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10.xml"/>
  <Override ContentType="application/vnd.openxmlformats-officedocument.spreadsheetml.comments+xml" PartName="/xl/comments1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omments+xml" PartName="/xl/comments8.xml"/>
  <Override ContentType="application/vnd.openxmlformats-officedocument.spreadsheetml.comments+xml" PartName="/xl/comments9.xml"/>
  <Override ContentType="application/vnd.openxmlformats-officedocument.drawing+xml" PartName="/xl/drawings/drawing1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10.xml"/>
  <Override ContentType="application/vnd.openxmlformats-officedocument.spreadsheetml.externalLink+xml" PartName="/xl/externalLinks/externalLink11.xml"/>
  <Override ContentType="application/vnd.openxmlformats-officedocument.spreadsheetml.externalLink+xml" PartName="/xl/externalLinks/externalLink12.xml"/>
  <Override ContentType="application/vnd.openxmlformats-officedocument.spreadsheetml.externalLink+xml" PartName="/xl/externalLinks/externalLink13.xml"/>
  <Override ContentType="application/vnd.openxmlformats-officedocument.spreadsheetml.externalLink+xml" PartName="/xl/externalLinks/externalLink14.xml"/>
  <Override ContentType="application/vnd.openxmlformats-officedocument.spreadsheetml.externalLink+xml" PartName="/xl/externalLinks/externalLink15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5" yWindow="225" windowWidth="17700" windowHeight="8325" tabRatio="913" firstSheet="1" activeTab="1"/>
  </bookViews>
  <sheets>
    <sheet name="__FDSCACHE__" sheetId="25" state="veryHidden" r:id="rId1"/>
    <sheet name="ImportantDisclosures" sheetId="75" r:id="rId2"/>
    <sheet name="Cover" sheetId="27" r:id="rId3"/>
    <sheet name="Valuation" sheetId="61" r:id="rId4"/>
    <sheet name="Financial" sheetId="3" r:id="rId5"/>
    <sheet name="FirstEnergy" sheetId="4" r:id="rId6"/>
    <sheet name="Distribution" sheetId="39" r:id="rId7"/>
    <sheet name="Transmission" sheetId="40" r:id="rId8"/>
    <sheet name="Competitive" sheetId="41" r:id="rId9"/>
    <sheet name="Parent" sheetId="42" r:id="rId10"/>
    <sheet name="Market Prices" sheetId="64" r:id="rId11"/>
    <sheet name="Debt" sheetId="51" r:id="rId12"/>
    <sheet name="Genco Spin Math" sheetId="72" state="hidden" r:id="rId13"/>
    <sheet name="Utility Detail" sheetId="60" r:id="rId14"/>
    <sheet name="IndexInformation" sheetId="76" r:id="rId15"/>
    <sheet name="ModPubIndex" sheetId="77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FDS_HYPERLINK_TOGGLE_STATE__" hidden="1">"ON"</definedName>
    <definedName name="__FDS_UNIQUE_RANGE_ID_GENERATOR_COUNTER" hidden="1">1</definedName>
    <definedName name="__FDS_USED_FOR_REUSING_RANGE_IDS_RECYCLE" localSheetId="11" hidden="1">{1,1,1,1,1,1,1,1,1,1,1,1,1,1,1,1,1,1,1,1,1,1,1,1,1,1,1,1,1,1}</definedName>
    <definedName name="__FDS_USED_FOR_REUSING_RANGE_IDS_RECYCLE" localSheetId="12" hidden="1">{1,1,1,1,1,1,1,1,1,1,1,1,1,1,1,1,1,1,1,1,1,1,1,1,1,1,1,1,1,1}</definedName>
    <definedName name="__FDS_USED_FOR_REUSING_RANGE_IDS_RECYCLE" localSheetId="10" hidden="1">{1,1,1,1,1,1,1,1,1,1,1,1,1,1,1,1,1,1,1,1,1,1,1,1,1,1,1,1,1,1}</definedName>
    <definedName name="__FDS_USED_FOR_REUSING_RANGE_IDS_RECYCLE" localSheetId="9" hidden="1">{1,1,1,1,1,1,1,1,1,1,1,1,1,1,1,1,1,1,1,1,1,1,1,1,1,1,1,1,1,1}</definedName>
    <definedName name="__FDS_USED_FOR_REUSING_RANGE_IDS_RECYCLE" localSheetId="7" hidden="1">{1,1,1,1,1,1,1,1,1,1,1,1,1,1,1,1,1,1,1,1,1,1,1,1,1,1,1,1,1,1}</definedName>
    <definedName name="__FDS_USED_FOR_REUSING_RANGE_IDS_RECYCLE" localSheetId="3" hidden="1">{1,1,1,1,1,1,1,1,1,1,1,1,1,1,1,1,1,1,1,1,1,1,1,1,1,1,1,1,1,1}</definedName>
    <definedName name="__FDS_USED_FOR_REUSING_RANGE_IDS_RECYCLE">{1,1,1,1,1,1,1,1,1,1,1,1,1,1,1,1,1,1,1,1,1,1,1,1,1,1,1,1,1,1}</definedName>
    <definedName name="_1__FDSAUDITLINK__" localSheetId="2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11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12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10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9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localSheetId="3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__FDSAUDITLINK__" hidden="1">{"fdsup://directions/FAT Viewer?action=UPDATE&amp;creator=factset&amp;DYN_ARGS=TRUE&amp;DOC_NAME=FAT:FQL_AUDITING_CLIENT_TEMPLATE.FAT&amp;display_string=Audit&amp;VAR:KEY=NEPKPEBABG&amp;VAR:QUERY=RkZfRUJJVERBX0lCKEFOTiwyMDA4KQ==&amp;WINDOW=FIRST_POPUP&amp;HEIGHT=450&amp;WIDTH=450&amp;START_MAXIMI","ZED=FALSE&amp;VAR:CALENDAR=FIVEDAY&amp;VAR:SYMBOL=PFE&amp;VAR:INDEX=0"}</definedName>
    <definedName name="_10__FDSAUDITLINK__" localSheetId="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11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1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9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0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11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1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9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1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2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11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12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10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9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localSheetId="3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2__FDSAUDITLINK__" hidden="1">{"fdsup://directions/FAT%20Viewer?VAR:PED=20071231&amp;VAR:PERIOD=FIXED&amp;VAR:V=10.315862&amp;VAR:AUDIT_ID=00000117&amp;VAR:DATE=20100309&amp;action=UPDATE&amp;creator=factset&amp;DOC_NAME=FAT:FMA_audit_DETAIL.fat&amp;DISPLAY_STRING=Display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2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11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12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10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9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localSheetId="3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3__FDSAUDITLINK__" hidden="1">{"fdsup://directions/FAT%20Viewer?VAR:PED=20071231&amp;VAR:PERIOD=FIXED&amp;VAR:V=5.958505&amp;VAR:AUDIT_ID=71692910&amp;VAR:DATE=20100322&amp;action=UPDATE&amp;creator=factset&amp;DOC_NAME=FAT:FMA_audit_DETAIL.fat&amp;DISPLAY_STRING=Display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2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11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12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10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9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localSheetId="3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4__FDSAUDITLINK__" hidden="1">{"fdsup://directions/FAT%20Viewer?VAR:PED=20071231&amp;VAR:PERIOD=FIXED&amp;VAR:V=10.299100&amp;VAR:AUDIT_ID=00000117&amp;VAR:DATE=20100322&amp;action=UPDATE&amp;creator=factset&amp;DOC_NAME=FAT:FMA_audit_DETAIL.fat&amp;DISPLAY_STRING=Display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2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11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12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10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9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localSheetId="3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5__FDSAUDITLINK__" hidden="1">{"fdsup://directions/FAT%20Viewer?VAR:PED=20071231&amp;VAR:PERIOD=FIXED&amp;VAR:V=5.913890&amp;VAR:AUDIT_ID=71692910&amp;VAR:DATE=20100409&amp;action=UPDATE&amp;creator=factset&amp;DOC_NAME=FAT:FMA_audit_DETAIL.fat&amp;DISPLAY_STRING=Display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2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11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12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10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9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localSheetId="3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6__FDSAUDITLINK__" hidden="1">{"fdsup://directions/FAT%20Viewer?VAR:PED=20071231&amp;VAR:PERIOD=FIXED&amp;VAR:V=10.288388&amp;VAR:AUDIT_ID=00000117&amp;VAR:DATE=20100409&amp;action=UPDATE&amp;creator=factset&amp;DOC_NAME=FAT:FMA_audit_DETAIL.fat&amp;DISPLAY_STRING=Display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7__FDSAUDITLINK__" localSheetId="2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11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12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10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9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localSheetId="3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7__FDSAUDITLINK__" hidden="1">{"fdsup://directions/FAT Viewer?action=UPDATE&amp;creator=factset&amp;DYN_ARGS=TRUE&amp;DOC_NAME=FAT:FQL_AUDITING_CLIENT_TEMPLATE.FAT&amp;display_string=Audit&amp;VAR:KEY=UFWJGFSHUJ&amp;VAR:QUERY=RkZfRUJJVERBX0lCKCdBTk4nLDIwMDYp&amp;WINDOW=FIRST_POPUP&amp;HEIGHT=450&amp;WIDTH=450&amp;START_MAXIMI","ZED=FALSE&amp;VAR:CALENDAR=FIVEDAY&amp;VAR:SYMBOL=PFE&amp;VAR:INDEX=0"}</definedName>
    <definedName name="_18__FDSAUDITLINK__" localSheetId="2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11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12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10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9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localSheetId="3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8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2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11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12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10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9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localSheetId="3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19__FDSAUDITLINK__" hidden="1">{"fdsup://directions/FAT%20Viewer?VAR:PED=20071231&amp;VAR:PERIOD=FIXED&amp;VAR:V=5.937205&amp;VAR:AUDIT_ID=71692910&amp;VAR:DATE=20100419&amp;action=UPDATE&amp;creator=factset&amp;DOC_NAME=FAT:FMA_audit_DETAIL.fat&amp;DISPLAY_STRING=Display Audit for EPS LTG&amp;DYN_ARGS=TRUE&amp;WINDOW=first_po","pup&amp;START_MAXIMIZED=FALSE&amp;width=910&amp;height=525&amp;TITLEBAR=FactSet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__FDSAUDITLINK__" localSheetId="2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11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12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10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9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localSheetId="3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__FDSAUDITLINK__" hidden="1">{"fdsup://directions/FAT Viewer?action=UPDATE&amp;creator=factset&amp;DYN_ARGS=TRUE&amp;DOC_NAME=FAT:FQL_AUDITING_CLIENT_TEMPLATE.FAT&amp;display_string=Audit&amp;VAR:KEY=DCPCRGJOXS&amp;VAR:QUERY=RkZfRUJJVERBX0lCKEFOTiwyMDA3KQ==&amp;WINDOW=FIRST_POPUP&amp;HEIGHT=450&amp;WIDTH=450&amp;START_MAXIMI","ZED=FALSE&amp;VAR:CALENDAR=FIVEDAY&amp;VAR:SYMBOL=PFE&amp;VAR:INDEX=0"}</definedName>
    <definedName name="_20__FDSAUDITLINK__" localSheetId="2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11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12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10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9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localSheetId="3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0__FDSAUDITLINK__" hidden="1">{"fdsup://directions/FAT%20Viewer?VAR:PED=20071231&amp;VAR:PERIOD=FIXED&amp;VAR:V=10.293473&amp;VAR:AUDIT_ID=00000117&amp;VAR:DATE=20100419&amp;action=UPDATE&amp;creator=factset&amp;DOC_NAME=FAT:FMA_audit_DETAIL.fat&amp;DISPLAY_STRING=Display Audit for EPS LTG&amp;DYN_ARGS=TRUE&amp;WINDOW=first_p","opup&amp;START_MAXIMIZED=FALSE&amp;width=910&amp;height=525&amp;TITLEBAR=FactSet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2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11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12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10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9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localSheetId="3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1__FDSAUDITLINK__" hidden="1">{"fdsup://directions/FAT%20Viewer?VAR:PED=20071231&amp;VAR:PERIOD=FIXED&amp;VAR:V=5.940494&amp;VAR:PCT=N&amp;VAR:AUDIT_ID=71692910&amp;VAR:DATE=20100616&amp;action=UPDATE&amp;creator=factset&amp;DOC_NAME=FAT:FMA_audit_DETAIL.fat&amp;DISPLAY_STRING=Display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2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11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12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10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9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localSheetId="3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2__FDSAUDITLINK__" hidden="1">{"fdsup://directions/FAT%20Viewer?VAR:PED=20071231&amp;VAR:PERIOD=FIXED&amp;VAR:V=10.501677&amp;VAR:PCT=N&amp;VAR:AUDIT_ID=00000117&amp;VAR:DATE=20100616&amp;action=UPDATE&amp;creator=factset&amp;DOC_NAME=FAT:FMA_audit_DETAIL.fat&amp;DISPLAY_STRING=Display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2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11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12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10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9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localSheetId="3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__FDSAUDITLINK__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2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11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12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10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9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localSheetId="3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__FDSAUDITLINK__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2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11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12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10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9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localSheetId="3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__FDSAUDITLINK__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2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11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12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10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9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localSheetId="3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__FDSAUDITLINK__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2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11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12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10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9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localSheetId="3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__FDSAUDITLINK__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2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11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12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10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9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localSheetId="3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__FDSAUDITLINK__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3__FDSAUDITLINK__" localSheetId="2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11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12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10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9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localSheetId="3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3__FDSAUDITLINK__" hidden="1">{"fdsup://directions/FAT Viewer?action=UPDATE&amp;creator=factset&amp;DYN_ARGS=TRUE&amp;DOC_NAME=FAT:FQL_AUDITING_CLIENT_TEMPLATE.FAT&amp;display_string=Audit&amp;VAR:KEY=ZYZAZOHSNG&amp;VAR:QUERY=RkZfRUJJVERBX0lCKEFOTiwyMDA2KQ==&amp;WINDOW=FIRST_POPUP&amp;HEIGHT=450&amp;WIDTH=450&amp;START_MAXIMI","ZED=FALSE&amp;VAR:CALENDAR=FIVEDAY&amp;VAR:SYMBOL=PFE&amp;VAR:INDEX=0"}</definedName>
    <definedName name="_4__FDSAUDITLINK__" localSheetId="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11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1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9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4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11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1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9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5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11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1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9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6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11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1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9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7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11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12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10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9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localSheetId="3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8__FDSAUDITLINK__" hidden="1">{"fdsup://directions/FAT%20Viewer?VAR:PED=20071231&amp;VAR:PERIOD=FIXED&amp;VAR:V=5.636408&amp;VAR:PCT=N&amp;VAR:AUDIT_ID=71692910&amp;VAR:DATE=20101102&amp;action=UPDATE&amp;creator=factset&amp;DOC_NAME=FAT:FMA_audit_DETAIL.fat&amp;DISPLAY_STRING=Display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11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12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10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9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localSheetId="3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9__FDSAUDITLINK__" hidden="1">{"fdsup://directions/FAT%20Viewer?VAR:PED=20071231&amp;VAR:PERIOD=FIXED&amp;VAR:V=10.600984&amp;VAR:PCT=N&amp;VAR:AUDIT_ID=00000117&amp;VAR:DATE=20101102&amp;action=UPDATE&amp;creator=factset&amp;DOC_NAME=FAT:FMA_audit_DETAIL.fat&amp;DISPLAY_STRING=Display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bdm.02E29E7B1053433EA3CCCBE4E5141596.edm" hidden="1">[1]Sheet1!$A:$IV</definedName>
    <definedName name="_bdm.261112BAE8204F8280374C78A1E02552.edm" hidden="1" xml:space="preserve"> '[2]Capex Chart'!$A:$IV</definedName>
    <definedName name="_bdm.48BD514DC04A4AB4891E926213491EC9.edm" localSheetId="4">Financial!$A$5:$CI$62</definedName>
    <definedName name="_bdm.530488839E8A407C8F1C1B550BFC2836.edm" localSheetId="4">Financial!$A$5:$CI$60</definedName>
    <definedName name="_bdm.5C8302ADDFAB47CFA0BC58B537A8ADEE.edm" localSheetId="4" hidden="1">Financial!$B$5:$DE$64</definedName>
    <definedName name="_bdm.6AFA43F0E39A44E1A1138F4D6AB6937E.edm" hidden="1">'[3]Financial Summary'!$A:$IV</definedName>
    <definedName name="_bdm.7264DC3258CD40029D96B7569D540AD9.edm" localSheetId="4">Financial!$A$5:$CI$62</definedName>
    <definedName name="_bdm.95D97703F0B44275930D649261210A38.edm" hidden="1">'[2]Capex Chart'!$A:$IV</definedName>
    <definedName name="_bdm.9CF1EC782CA246C5B743B60E78EFF75A.edm" hidden="1">'[4]New Resources'!$A:$IV</definedName>
    <definedName name="_bdm.A552EFC7BDCB4B65921447ED0EB2DE33.edm" hidden="1">Financial!$1:$1048576</definedName>
    <definedName name="_bdm.BB11A2CB11314C6E9BE7E6722D945EB9.edm" hidden="1">'[2]FCF-Div. Working Chart'!$A:$IV</definedName>
    <definedName name="_bdm.E967D92EDBF846E2B7B774FBF88F28E1.edm" localSheetId="4">Financial!$B$6:$CH$60</definedName>
    <definedName name="_bdm.F7E901476B1C4A78A8384B81CD6FDDBF.edm" hidden="1">'[2]MWA RR'!$A:$IV</definedName>
    <definedName name="_Order1">255</definedName>
    <definedName name="AdditionalInstructions">IndexInformation!$B$42</definedName>
    <definedName name="Address" localSheetId="1">ImportantDisclosures!$A$2:$A$2</definedName>
    <definedName name="ANA" localSheetId="15">ModPubIndex!$A$7</definedName>
    <definedName name="Analyst_Detail" localSheetId="10">'[6]Income Statement'!$O$1</definedName>
    <definedName name="Analyst_Detail" localSheetId="3">'[6]Income Statement'!$O$1</definedName>
    <definedName name="Analyst_Detail">'[6]Income Statement'!$O$1</definedName>
    <definedName name="anscount" hidden="1">1</definedName>
    <definedName name="Authors" localSheetId="1">ImportantDisclosures!$A$7</definedName>
    <definedName name="Authors" localSheetId="14">IndexInformation!$B$18</definedName>
    <definedName name="Average_Cost_of_Total_Debt" localSheetId="10">'[7]Fin Stats'!$B$59:$M$59</definedName>
    <definedName name="Average_Cost_of_Total_Debt" localSheetId="3">'[7]Fin Stats'!$B$59:$M$59</definedName>
    <definedName name="Average_Cost_of_Total_Debt">'[7]Fin Stats'!$B$59:$M$59</definedName>
    <definedName name="basept">Valuation!$CG$18</definedName>
    <definedName name="bearpt">Valuation!$CB$18</definedName>
    <definedName name="BRO" localSheetId="15">ModPubIndex!$A$1</definedName>
    <definedName name="bullpt">Valuation!$CL$18</definedName>
    <definedName name="Capital_Expenditures" localSheetId="10">'[7]Fin Stats'!$B$111:$M$111</definedName>
    <definedName name="Capital_Expenditures" localSheetId="3">'[7]Fin Stats'!$B$111:$M$111</definedName>
    <definedName name="Capital_Expenditures">'[7]Fin Stats'!$B$111:$M$111</definedName>
    <definedName name="Cash_Flow" localSheetId="10">'[7]Fin Stats'!$B$113:$M$113</definedName>
    <definedName name="Cash_Flow" localSheetId="3">'[7]Fin Stats'!$B$113:$M$113</definedName>
    <definedName name="Cash_Flow">'[7]Fin Stats'!$B$113:$M$113</definedName>
    <definedName name="Cash_Flow_per_Share" localSheetId="10">'[7]Fin Stats'!$B$116:$M$116</definedName>
    <definedName name="Cash_Flow_per_Share" localSheetId="3">'[7]Fin Stats'!$B$116:$M$116</definedName>
    <definedName name="Cash_Flow_per_Share">'[7]Fin Stats'!$B$116:$M$116</definedName>
    <definedName name="CFO_Assets" localSheetId="10">'[7]Fin Stats'!$B$67:$M$67</definedName>
    <definedName name="CFO_Assets" localSheetId="3">'[7]Fin Stats'!$B$67:$M$67</definedName>
    <definedName name="CFO_Assets">'[7]Fin Stats'!$B$67:$M$67</definedName>
    <definedName name="CFO_Total_Debt" localSheetId="10">'[7]Fin Stats'!$B$78:$M$78</definedName>
    <definedName name="CFO_Total_Debt" localSheetId="3">'[7]Fin Stats'!$B$78:$M$78</definedName>
    <definedName name="CFO_Total_Debt">'[7]Fin Stats'!$B$78:$M$78</definedName>
    <definedName name="Common_equity" localSheetId="10">'[7]Fin Stats'!$B$38:$M$38</definedName>
    <definedName name="Common_equity" localSheetId="3">'[7]Fin Stats'!$B$38:$M$38</definedName>
    <definedName name="Common_equity">'[7]Fin Stats'!$B$38:$M$38</definedName>
    <definedName name="Company_Name" localSheetId="10">'[8]Income Statement'!$A$1</definedName>
    <definedName name="Company_Name" localSheetId="3">'[8]Income Statement'!$A$1</definedName>
    <definedName name="Company_Name">'[8]Income Statement'!$A$1</definedName>
    <definedName name="CopyrightStamp">ImportantDisclosures!$A$27</definedName>
    <definedName name="COU" localSheetId="15">ModPubIndex!$A$5</definedName>
    <definedName name="CQEnd" localSheetId="14">IndexInformation!$B$31</definedName>
    <definedName name="Currency" localSheetId="14">IndexInformation!$B$24</definedName>
    <definedName name="CurrentStockPrice" localSheetId="14">IndexInformation!$B$23</definedName>
    <definedName name="CurrQtrEPS" localSheetId="14">IndexInformation!$B$29</definedName>
    <definedName name="CurrYearEPS" localSheetId="14">IndexInformation!$B$11</definedName>
    <definedName name="CurrYearTotalRevenue" localSheetId="14">IndexInformation!$B$10</definedName>
    <definedName name="CurrYearTotalRevenueActual" localSheetId="14">IndexInformation!$B$32</definedName>
    <definedName name="CUSIP" localSheetId="14">IndexInformation!$B$20</definedName>
    <definedName name="CYEnd" localSheetId="14">IndexInformation!$B$30</definedName>
    <definedName name="dataseries1" localSheetId="10">#N/A</definedName>
    <definedName name="dataseries1">#N/A</definedName>
    <definedName name="dataseries4">OFFSET([9]c1!$G$12,0,0,COUNTA([9]c1!$G$12:$G$31),1)</definedName>
    <definedName name="Date" localSheetId="1">ImportantDisclosures!$A$8</definedName>
    <definedName name="Debt_Equity" localSheetId="10">'[7]Fin Stats'!$B$60:$M$60</definedName>
    <definedName name="Debt_Equity" localSheetId="3">'[7]Fin Stats'!$B$60:$M$60</definedName>
    <definedName name="Debt_Equity">'[7]Fin Stats'!$B$60:$M$60</definedName>
    <definedName name="Debt_Total_Capital" localSheetId="10">'[7]Fin Stats'!$B$61:$M$61</definedName>
    <definedName name="Debt_Total_Capital" localSheetId="3">'[7]Fin Stats'!$B$61:$M$61</definedName>
    <definedName name="Debt_Total_Capital">'[7]Fin Stats'!$B$61:$M$61</definedName>
    <definedName name="Deleted" localSheetId="14">IndexInformation!$B$27</definedName>
    <definedName name="Depreciation__D___A" localSheetId="10">'[7]Fin Stats'!$B$110:$M$110</definedName>
    <definedName name="Depreciation__D___A" localSheetId="3">'[7]Fin Stats'!$B$110:$M$110</definedName>
    <definedName name="Depreciation__D___A">'[7]Fin Stats'!$B$110:$M$110</definedName>
    <definedName name="Description" localSheetId="14">IndexInformation!$B$7</definedName>
    <definedName name="Discipline" localSheetId="14">IndexInformation!$B$3</definedName>
    <definedName name="DISCIPLINE" localSheetId="15">ModPubIndex!$A$12</definedName>
    <definedName name="DisclosuresText">ImportantDisclosures!$A$22</definedName>
    <definedName name="Distribution" localSheetId="14">IndexInformation!$B$26</definedName>
    <definedName name="DistTable" localSheetId="1">ImportantDisclosures!#REF!</definedName>
    <definedName name="DistTablePreamble" localSheetId="1">ImportantDisclosures!#REF!</definedName>
    <definedName name="Dividends_per_Share" localSheetId="10">'[7]Fin Stats'!$B$118:$M$118</definedName>
    <definedName name="Dividends_per_Share" localSheetId="3">'[7]Fin Stats'!$B$118:$M$118</definedName>
    <definedName name="Dividends_per_Share">'[7]Fin Stats'!$B$118:$M$118</definedName>
    <definedName name="DOCDAT" localSheetId="15">ModPubIndex!$A$2</definedName>
    <definedName name="DOCTIME" localSheetId="15">ModPubIndex!$A$3</definedName>
    <definedName name="DocType" localSheetId="14">IndexInformation!$B$5</definedName>
    <definedName name="Earnings" localSheetId="10">'[7]Fin Stats'!$B$106:$M$106</definedName>
    <definedName name="Earnings" localSheetId="3">'[7]Fin Stats'!$B$106:$M$106</definedName>
    <definedName name="Earnings">'[7]Fin Stats'!$B$106:$M$106</definedName>
    <definedName name="Earnings_per_Share" localSheetId="10">'[7]Fin Stats'!$B$107:$M$107</definedName>
    <definedName name="Earnings_per_Share" localSheetId="3">'[7]Fin Stats'!$B$107:$M$107</definedName>
    <definedName name="Earnings_per_Share">'[7]Fin Stats'!$B$107:$M$107</definedName>
    <definedName name="EBIT" localSheetId="10">'[7]Fin Stats'!$B$101:$M$101</definedName>
    <definedName name="EBIT" localSheetId="3">'[7]Fin Stats'!$B$101:$M$101</definedName>
    <definedName name="EBIT">'[7]Fin Stats'!$B$101:$M$101</definedName>
    <definedName name="EBIT_Assets" localSheetId="10">'[7]Fin Stats'!$B$66:$M$66</definedName>
    <definedName name="EBIT_Assets" localSheetId="3">'[7]Fin Stats'!$B$66:$M$66</definedName>
    <definedName name="EBIT_Assets">'[7]Fin Stats'!$B$66:$M$66</definedName>
    <definedName name="EBIT_Margin" localSheetId="10">'[7]Fin Stats'!$B$24:$M$24</definedName>
    <definedName name="EBIT_Margin" localSheetId="3">'[7]Fin Stats'!$B$24:$M$24</definedName>
    <definedName name="EBIT_Margin">'[7]Fin Stats'!$B$24:$M$24</definedName>
    <definedName name="EBIT_to_Interest_Expense" localSheetId="10">'[7]Fin Stats'!$B$45:$M$45</definedName>
    <definedName name="EBIT_to_Interest_Expense" localSheetId="3">'[7]Fin Stats'!$B$45:$M$45</definedName>
    <definedName name="EBIT_to_Interest_Expense">'[7]Fin Stats'!$B$45:$M$45</definedName>
    <definedName name="EBITDA" localSheetId="10">'[7]Fin Stats'!$B$100:$M$100</definedName>
    <definedName name="EBITDA" localSheetId="3">'[7]Fin Stats'!$B$100:$M$100</definedName>
    <definedName name="EBITDA">'[7]Fin Stats'!$B$100:$M$100</definedName>
    <definedName name="EBITDA_Interest" localSheetId="10">'[7]Fin Stats'!$B$75:$M$75</definedName>
    <definedName name="EBITDA_Interest" localSheetId="3">'[7]Fin Stats'!$B$75:$M$75</definedName>
    <definedName name="EBITDA_Interest">'[7]Fin Stats'!$B$75:$M$75</definedName>
    <definedName name="EMAIL_ALERT" localSheetId="15">ModPubIndex!$A$10</definedName>
    <definedName name="EmailAlert" localSheetId="14">IndexInformation!$B$28</definedName>
    <definedName name="Energy">[10]Data!$P$9:$Q$29</definedName>
    <definedName name="EnergyGrowth">[10]Data!$U$58:$X$76</definedName>
    <definedName name="Enterprise_Value" localSheetId="10">'[7]Fin Stats'!$B$57:$M$57</definedName>
    <definedName name="Enterprise_Value" localSheetId="3">'[7]Fin Stats'!$B$57:$M$57</definedName>
    <definedName name="Enterprise_Value">'[7]Fin Stats'!$B$57:$M$57</definedName>
    <definedName name="Equity_to_Capital" localSheetId="10">'[7]Fin Stats'!$B$43:$M$43</definedName>
    <definedName name="Equity_to_Capital" localSheetId="3">'[7]Fin Stats'!$B$43:$M$43</definedName>
    <definedName name="Equity_to_Capital">'[7]Fin Stats'!$B$43:$M$43</definedName>
    <definedName name="ev.Calculation" hidden="1">-4105</definedName>
    <definedName name="ev.Initialized" hidden="1">FALSE</definedName>
    <definedName name="EV_EBITDA_Current_Year" localSheetId="10">'[7]Fin Stats'!$B$85:$M$85</definedName>
    <definedName name="EV_EBITDA_Current_Year" localSheetId="3">'[7]Fin Stats'!$B$85:$M$85</definedName>
    <definedName name="EV_EBITDA_Current_Year">'[7]Fin Stats'!$B$85:$M$85</definedName>
    <definedName name="EV_EBITDA_Forward_Year" localSheetId="10">'[7]Fin Stats'!$B$86:$M$86</definedName>
    <definedName name="EV_EBITDA_Forward_Year" localSheetId="3">'[7]Fin Stats'!$B$86:$M$86</definedName>
    <definedName name="EV_EBITDA_Forward_Year">'[7]Fin Stats'!$B$86:$M$86</definedName>
    <definedName name="EV_Sales_Current_Year" localSheetId="10">'[7]Fin Stats'!$B$82:$M$82</definedName>
    <definedName name="EV_Sales_Current_Year" localSheetId="3">'[7]Fin Stats'!$B$82:$M$82</definedName>
    <definedName name="EV_Sales_Current_Year">'[7]Fin Stats'!$B$82:$M$82</definedName>
    <definedName name="EV_Sales_Forward_Year" localSheetId="10">'[7]Fin Stats'!$B$83:$M$83</definedName>
    <definedName name="EV_Sales_Forward_Year" localSheetId="3">'[7]Fin Stats'!$B$83:$M$83</definedName>
    <definedName name="EV_Sales_Forward_Year">'[7]Fin Stats'!$B$83:$M$83</definedName>
    <definedName name="FFO_Coverage" localSheetId="10">'[7]Fin Stats'!$B$76:$M$76</definedName>
    <definedName name="FFO_Coverage" localSheetId="3">'[7]Fin Stats'!$B$76:$M$76</definedName>
    <definedName name="FFO_Coverage">'[7]Fin Stats'!$B$76:$M$76</definedName>
    <definedName name="FFO_Total_Debt" localSheetId="10">'[7]Fin Stats'!$B$77:$M$77</definedName>
    <definedName name="FFO_Total_Debt" localSheetId="3">'[7]Fin Stats'!$B$77:$M$77</definedName>
    <definedName name="FFO_Total_Debt">'[7]Fin Stats'!$B$77:$M$77</definedName>
    <definedName name="FiveYearGrowthRate" localSheetId="14">IndexInformation!$B$16</definedName>
    <definedName name="FollowingYearEPS" localSheetId="14">IndexInformation!$B$15</definedName>
    <definedName name="FollowingYearTotalRevenue" localSheetId="14">IndexInformation!$B$14</definedName>
    <definedName name="FollowingYearTotalRevenueActual" localSheetId="14">IndexInformation!$B$34</definedName>
    <definedName name="Free_Cash_Flow" localSheetId="10">'[7]Fin Stats'!$B$114:$M$114</definedName>
    <definedName name="Free_Cash_Flow" localSheetId="3">'[7]Fin Stats'!$B$114:$M$114</definedName>
    <definedName name="Free_Cash_Flow">'[7]Fin Stats'!$B$114:$M$114</definedName>
    <definedName name="GasPaste" localSheetId="11">[11]Gas!$D$7</definedName>
    <definedName name="GasPaste" localSheetId="12">[12]Gas!$D$7</definedName>
    <definedName name="GasPaste" localSheetId="10">[13]Gas!$D$7</definedName>
    <definedName name="GasPaste" localSheetId="9">[11]Gas!$D$7</definedName>
    <definedName name="GasPaste" localSheetId="3">[12]Gas!$D$7</definedName>
    <definedName name="GasPaste">[13]Gas!$D$7</definedName>
    <definedName name="GenCo">Valuation!$CG$15</definedName>
    <definedName name="Generation">[10]Data!$P$34:$Q$54</definedName>
    <definedName name="Gross_Margin" localSheetId="10">'[7]Fin Stats'!$B$22:$M$22</definedName>
    <definedName name="Gross_Margin" localSheetId="3">'[7]Fin Stats'!$B$22:$M$22</definedName>
    <definedName name="Gross_Margin">'[7]Fin Stats'!$B$22:$M$22</definedName>
    <definedName name="Growth_ROIC" localSheetId="2">OFFSET([0]!XRange,10,0)</definedName>
    <definedName name="Growth_ROIC" localSheetId="11">OFFSET([0]!XRange,10,0)</definedName>
    <definedName name="Growth_ROIC" localSheetId="12">OFFSET('Genco Spin Math'!XRange,10,0)</definedName>
    <definedName name="Growth_ROIC" localSheetId="10">OFFSET([0]!XRange,10,0)</definedName>
    <definedName name="Growth_ROIC" localSheetId="9">OFFSET(Parent!XRange,10,0)</definedName>
    <definedName name="Growth_ROIC" localSheetId="7">OFFSET(Transmission!XRange,10,0)</definedName>
    <definedName name="Growth_ROIC" localSheetId="3">OFFSET(Valuation!XRange,10,0)</definedName>
    <definedName name="Growth_ROIC">OFFSET([0]!XRange,10,0)</definedName>
    <definedName name="highmid_coal_cf">0.7</definedName>
    <definedName name="highmid_gas_cf" localSheetId="12">'[4]Valuation Summary'!$AQ$28</definedName>
    <definedName name="highmid_gas_cf" localSheetId="10">'[4]Valuation Summary'!$AQ$28</definedName>
    <definedName name="highmid_gas_cf">0.5</definedName>
    <definedName name="highmidmargin" localSheetId="12">'[4]Valuation Summary'!$AN$28</definedName>
    <definedName name="highmidmargin" localSheetId="10">'[4]Valuation Summary'!$AN$28</definedName>
    <definedName name="highmidmargin">7</definedName>
    <definedName name="HL" localSheetId="15">ModPubIndex!$A$8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uge_coal_cf">0.85</definedName>
    <definedName name="huge_gas_cf" localSheetId="12">'[4]Valuation Summary'!$AQ$27</definedName>
    <definedName name="huge_gas_cf" localSheetId="10">'[4]Valuation Summary'!$AQ$27</definedName>
    <definedName name="huge_gas_cf">0.85</definedName>
    <definedName name="hugemargin" localSheetId="12">'[4]Valuation Summary'!$AN$27</definedName>
    <definedName name="hugemargin" localSheetId="10">'[4]Valuation Summary'!$AN$27</definedName>
    <definedName name="hugemargin">12</definedName>
    <definedName name="Img_ML_7g5e5e2b" hidden="1">"IMG_12"</definedName>
    <definedName name="IND" localSheetId="15">ModPubIndex!$A$9</definedName>
    <definedName name="Industry" localSheetId="1">ImportantDisclosures!$A$12</definedName>
    <definedName name="IndustryId" localSheetId="10">[14]IndexInformation!$B$40</definedName>
    <definedName name="IndustryId">IndexInformation!$B$40</definedName>
    <definedName name="IndustryRating" localSheetId="1">ImportantDisclosures!$A$13</definedName>
    <definedName name="Interest_Expense" localSheetId="10">'[7]Fin Stats'!$B$103:$M$103</definedName>
    <definedName name="Interest_Expense" localSheetId="3">'[7]Fin Stats'!$B$103:$M$103</definedName>
    <definedName name="Interest_Expense">'[7]Fin Stats'!$B$103:$M$103</definedName>
    <definedName name="InvestCapGrowth" localSheetId="2">OFFSET([0]!XRange2,4,0)</definedName>
    <definedName name="InvestCapGrowth" localSheetId="11">OFFSET([0]!XRange2,4,0)</definedName>
    <definedName name="InvestCapGrowth" localSheetId="12">OFFSET('Genco Spin Math'!XRange2,4,0)</definedName>
    <definedName name="InvestCapGrowth" localSheetId="10">OFFSET([0]!XRange2,4,0)</definedName>
    <definedName name="InvestCapGrowth" localSheetId="9">OFFSET(Parent!XRange2,4,0)</definedName>
    <definedName name="InvestCapGrowth" localSheetId="7">OFFSET(Transmission!XRange2,4,0)</definedName>
    <definedName name="InvestCapGrowth" localSheetId="3">OFFSET(Valuation!XRange2,4,0)</definedName>
    <definedName name="InvestCapGrowth">OFFSET([0]!XRange2,4,0)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MES_REVISION_DATE_" hidden="1">40521.6808449074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39177.4967361111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>"iQShowAll"</definedName>
    <definedName name="KeepVersions" localSheetId="14">IndexInformation!$B$8</definedName>
    <definedName name="LanguageCode" localSheetId="10">[14]IndexInformation!$B$38</definedName>
    <definedName name="LanguageCode">IndexInformation!$B$38</definedName>
    <definedName name="LastCell" localSheetId="1">ImportantDisclosures!$A$22</definedName>
    <definedName name="Linking_1">'Genco Spin Math'!$B$6:$BB$37</definedName>
    <definedName name="Linking_2">'Genco Spin Math'!$B$7:$BB$37</definedName>
    <definedName name="Linking_3">'Genco Spin Math'!$B$68:$AC$89</definedName>
    <definedName name="Linking_4">'Genco Spin Math'!$B$41:$AC$62</definedName>
    <definedName name="Linking_5">'Genco Spin Math'!$B$41:$AC$64</definedName>
    <definedName name="Linking_6">Financial!$B$4:$ED$64</definedName>
    <definedName name="Linking_7">Financial!$B$4:$EI$64</definedName>
    <definedName name="Linking_Range_1">Financial!$B$5:$DE$64</definedName>
    <definedName name="Linking_Range_10">Financial!$B$4:$DE$64</definedName>
    <definedName name="Linking_Range_11">Financial!$B$4:$DJ$64</definedName>
    <definedName name="Linking_Range_12">Financial!$B$5:$DT$64</definedName>
    <definedName name="Linking_Range_3">Financial!$B$2:$DE$64</definedName>
    <definedName name="Linking_Range_4">Competitive!$BU$498:$BX$506</definedName>
    <definedName name="Linking_Range_5">Competitive!$BU$355:$BX$391</definedName>
    <definedName name="Linking_Range_6">Competitive!$BU$394:$BX$399</definedName>
    <definedName name="Linking_Range_7" localSheetId="12">'Genco Spin Math'!$B$6:$AM$21</definedName>
    <definedName name="Linking_Range_7">Competitive!$BU$414:$BX$426</definedName>
    <definedName name="Linking_Range_8">Competitive!$BU$511:$BX$517</definedName>
    <definedName name="Linking_Range_9">Valuation!$DA$9:$DK$19</definedName>
    <definedName name="Long_term_debt" localSheetId="10">'[7]Fin Stats'!$B$36:$M$36</definedName>
    <definedName name="Long_term_debt" localSheetId="3">'[7]Fin Stats'!$B$36:$M$36</definedName>
    <definedName name="Long_term_debt">'[7]Fin Stats'!$B$36:$M$36</definedName>
    <definedName name="Long_term_Debt_to_Capital" localSheetId="10">'[7]Fin Stats'!$B$41:$M$41</definedName>
    <definedName name="Long_term_Debt_to_Capital" localSheetId="3">'[7]Fin Stats'!$B$41:$M$41</definedName>
    <definedName name="Long_term_Debt_to_Capital">'[7]Fin Stats'!$B$41:$M$41</definedName>
    <definedName name="lowmid_coal_cf">0.6</definedName>
    <definedName name="lowmid_gas_cf" localSheetId="12">'[4]Valuation Summary'!$AQ$29</definedName>
    <definedName name="lowmid_gas_cf" localSheetId="10">'[4]Valuation Summary'!$AQ$29</definedName>
    <definedName name="lowmid_gas_cf">0.3</definedName>
    <definedName name="lowmidmargin" localSheetId="12">'[4]Valuation Summary'!$AN$29</definedName>
    <definedName name="lowmidmargin" localSheetId="10">'[4]Valuation Summary'!$AN$29</definedName>
    <definedName name="lowmidmargin">2</definedName>
    <definedName name="MacroVersion" localSheetId="14">IndexInformation!$B$1</definedName>
    <definedName name="Market_Value" localSheetId="10">'[7]Fin Stats'!$B$56:$M$56</definedName>
    <definedName name="Market_Value" localSheetId="3">'[7]Fin Stats'!$B$56:$M$56</definedName>
    <definedName name="Market_Value">'[7]Fin Stats'!$B$56:$M$56</definedName>
    <definedName name="Minority_Interest" localSheetId="10">'[7]Fin Stats'!$B$53:$M$53</definedName>
    <definedName name="Minority_Interest" localSheetId="3">'[7]Fin Stats'!$B$53:$M$53</definedName>
    <definedName name="Minority_Interest">'[7]Fin Stats'!$B$53:$M$53</definedName>
    <definedName name="ModelPrice" localSheetId="1">ImportantDisclosures!$A$14</definedName>
    <definedName name="Multiplier" localSheetId="14">IndexInformation!$B$35</definedName>
    <definedName name="Net_Debt" localSheetId="10">'[7]Fin Stats'!$B$51:$M$51</definedName>
    <definedName name="Net_Debt" localSheetId="3">'[7]Fin Stats'!$B$51:$M$51</definedName>
    <definedName name="Net_Debt">'[7]Fin Stats'!$B$51:$M$51</definedName>
    <definedName name="Net_Income_Margin" localSheetId="10">'[7]Fin Stats'!$B$26:$M$26</definedName>
    <definedName name="Net_Income_Margin" localSheetId="3">'[7]Fin Stats'!$B$26:$M$26</definedName>
    <definedName name="Net_Income_Margin">'[7]Fin Stats'!$B$26:$M$26</definedName>
    <definedName name="NextYearEPS" localSheetId="14">IndexInformation!$B$13</definedName>
    <definedName name="NextYearTotalRevenue" localSheetId="14">IndexInformation!$B$12</definedName>
    <definedName name="NextYearTotalRevenueActual" localSheetId="14">IndexInformation!$B$33</definedName>
    <definedName name="NM">"NM"</definedName>
    <definedName name="ObjectType" localSheetId="10">[14]IndexInformation!$B$37</definedName>
    <definedName name="ObjectType">IndexInformation!$B$37</definedName>
    <definedName name="Operating_Margin" localSheetId="10">'[7]Fin Stats'!$B$23:$M$23</definedName>
    <definedName name="Operating_Margin" localSheetId="3">'[7]Fin Stats'!$B$23:$M$23</definedName>
    <definedName name="Operating_Margin">'[7]Fin Stats'!$B$23:$M$23</definedName>
    <definedName name="OPkPaste" localSheetId="11">'[11]Off Peak'!$D$7</definedName>
    <definedName name="OPkPaste" localSheetId="12">'[12]Off Peak'!$D$7</definedName>
    <definedName name="OPkPaste" localSheetId="10">'[13]Off Peak'!$D$7</definedName>
    <definedName name="OPkPaste" localSheetId="9">'[11]Off Peak'!$D$7</definedName>
    <definedName name="OPkPaste" localSheetId="3">'[12]Off Peak'!$D$7</definedName>
    <definedName name="OPkPaste">'[13]Off Peak'!$D$7</definedName>
    <definedName name="OpMargin" localSheetId="2">OFFSET([0]!XRange2,5,0)</definedName>
    <definedName name="OpMargin" localSheetId="11">OFFSET([0]!XRange2,5,0)</definedName>
    <definedName name="OpMargin" localSheetId="12">OFFSET('Genco Spin Math'!XRange2,5,0)</definedName>
    <definedName name="OpMargin" localSheetId="10">OFFSET([0]!XRange2,5,0)</definedName>
    <definedName name="OpMargin" localSheetId="9">OFFSET(Parent!XRange2,5,0)</definedName>
    <definedName name="OpMargin" localSheetId="7">OFFSET(Transmission!XRange2,5,0)</definedName>
    <definedName name="OpMargin" localSheetId="3">OFFSET(Valuation!XRange2,5,0)</definedName>
    <definedName name="OpMargin">OFFSET([0]!XRange2,5,0)</definedName>
    <definedName name="PANA" localSheetId="15">ModPubIndex!$A$11</definedName>
    <definedName name="PathName" localSheetId="14">IndexInformation!$B$25</definedName>
    <definedName name="Payout_ratio" localSheetId="10">'[7]Fin Stats'!$B$119:$M$119</definedName>
    <definedName name="Payout_ratio" localSheetId="3">'[7]Fin Stats'!$B$119:$M$119</definedName>
    <definedName name="Payout_ratio">'[7]Fin Stats'!$B$119:$M$119</definedName>
    <definedName name="PeakGrowth">[10]Data!$P$56:$S$74</definedName>
    <definedName name="Phase1NPVFCF" localSheetId="2">OFFSET([0]!XRange,39,0)</definedName>
    <definedName name="Phase1NPVFCF" localSheetId="11">OFFSET([0]!XRange,39,0)</definedName>
    <definedName name="Phase1NPVFCF" localSheetId="12">OFFSET('Genco Spin Math'!XRange,39,0)</definedName>
    <definedName name="Phase1NPVFCF" localSheetId="10">OFFSET([0]!XRange,39,0)</definedName>
    <definedName name="Phase1NPVFCF" localSheetId="9">OFFSET(Parent!XRange,39,0)</definedName>
    <definedName name="Phase1NPVFCF" localSheetId="7">OFFSET(Transmission!XRange,39,0)</definedName>
    <definedName name="Phase1NPVFCF" localSheetId="3">OFFSET(Valuation!XRange,39,0)</definedName>
    <definedName name="Phase1NPVFCF">OFFSET([0]!XRange,39,0)</definedName>
    <definedName name="Phase2NPVFCF" localSheetId="2">OFFSET([0]!XRange,40,0)</definedName>
    <definedName name="Phase2NPVFCF" localSheetId="11">OFFSET([0]!XRange,40,0)</definedName>
    <definedName name="Phase2NPVFCF" localSheetId="12">OFFSET('Genco Spin Math'!XRange,40,0)</definedName>
    <definedName name="Phase2NPVFCF" localSheetId="10">OFFSET([0]!XRange,40,0)</definedName>
    <definedName name="Phase2NPVFCF" localSheetId="9">OFFSET(Parent!XRange,40,0)</definedName>
    <definedName name="Phase2NPVFCF" localSheetId="7">OFFSET(Transmission!XRange,40,0)</definedName>
    <definedName name="Phase2NPVFCF" localSheetId="3">OFFSET(Valuation!XRange,40,0)</definedName>
    <definedName name="Phase2NPVFCF">OFFSET([0]!XRange,40,0)</definedName>
    <definedName name="Phase3NPVFCF" localSheetId="2">OFFSET([0]!XRange,41,0)</definedName>
    <definedName name="Phase3NPVFCF" localSheetId="11">OFFSET([0]!XRange,41,0)</definedName>
    <definedName name="Phase3NPVFCF" localSheetId="12">OFFSET('Genco Spin Math'!XRange,41,0)</definedName>
    <definedName name="Phase3NPVFCF" localSheetId="10">OFFSET([0]!XRange,41,0)</definedName>
    <definedName name="Phase3NPVFCF" localSheetId="9">OFFSET(Parent!XRange,41,0)</definedName>
    <definedName name="Phase3NPVFCF" localSheetId="7">OFFSET(Transmission!XRange,41,0)</definedName>
    <definedName name="Phase3NPVFCF" localSheetId="3">OFFSET(Valuation!XRange,41,0)</definedName>
    <definedName name="Phase3NPVFCF">OFFSET([0]!XRange,41,0)</definedName>
    <definedName name="PkPaste" localSheetId="11">[11]Peak!$D$7</definedName>
    <definedName name="PkPaste" localSheetId="12">[12]Peak!$D$7</definedName>
    <definedName name="PkPaste" localSheetId="10">[13]Peak!$D$7</definedName>
    <definedName name="PkPaste" localSheetId="9">[11]Peak!$D$7</definedName>
    <definedName name="PkPaste" localSheetId="3">[12]Peak!$D$7</definedName>
    <definedName name="PkPaste">[13]Peak!$D$7</definedName>
    <definedName name="Preferred_Equity" localSheetId="10">'[7]Fin Stats'!$B$52:$M$52</definedName>
    <definedName name="Preferred_Equity" localSheetId="3">'[7]Fin Stats'!$B$52:$M$52</definedName>
    <definedName name="Preferred_Equity">'[7]Fin Stats'!$B$52:$M$52</definedName>
    <definedName name="Preferred_stock" localSheetId="10">'[7]Fin Stats'!$B$37:$M$37</definedName>
    <definedName name="Preferred_stock" localSheetId="3">'[7]Fin Stats'!$B$37:$M$37</definedName>
    <definedName name="Preferred_stock">'[7]Fin Stats'!$B$37:$M$37</definedName>
    <definedName name="Preferred_to_Capital" localSheetId="10">'[7]Fin Stats'!$B$44:$M$44</definedName>
    <definedName name="Preferred_to_Capital" localSheetId="3">'[7]Fin Stats'!$B$44:$M$44</definedName>
    <definedName name="Preferred_to_Capital">'[7]Fin Stats'!$B$44:$M$44</definedName>
    <definedName name="Pretax_Income" localSheetId="10">'[7]Fin Stats'!$B$104:$M$104</definedName>
    <definedName name="Pretax_Income" localSheetId="3">'[7]Fin Stats'!$B$104:$M$104</definedName>
    <definedName name="Pretax_Income">'[7]Fin Stats'!$B$104:$M$104</definedName>
    <definedName name="Pretax_Margin" localSheetId="10">'[7]Fin Stats'!$B$25:$M$25</definedName>
    <definedName name="Pretax_Margin" localSheetId="3">'[7]Fin Stats'!$B$25:$M$25</definedName>
    <definedName name="Pretax_Margin">'[7]Fin Stats'!$B$25:$M$25</definedName>
    <definedName name="Price_Book" localSheetId="10">'[7]Fin Stats'!$B$94:$M$94</definedName>
    <definedName name="Price_Book" localSheetId="3">'[7]Fin Stats'!$B$94:$M$94</definedName>
    <definedName name="Price_Book">'[7]Fin Stats'!$B$94:$M$94</definedName>
    <definedName name="Price_Cash_Flow" localSheetId="10">'[7]Fin Stats'!$B$88:$M$88</definedName>
    <definedName name="Price_Cash_Flow" localSheetId="3">'[7]Fin Stats'!$B$88:$M$88</definedName>
    <definedName name="Price_Cash_Flow">'[7]Fin Stats'!$B$88:$M$88</definedName>
    <definedName name="Price_Earnings" localSheetId="10">'[7]Fin Stats'!$B$91:$M$91</definedName>
    <definedName name="Price_Earnings" localSheetId="3">'[7]Fin Stats'!$B$91:$M$91</definedName>
    <definedName name="Price_Earnings">'[7]Fin Stats'!$B$91:$M$91</definedName>
    <definedName name="_xlnm.Print_Area" localSheetId="11">Debt!$B$1:$CS$261</definedName>
    <definedName name="_xlnm.Print_Area" localSheetId="6">Distribution!$B$2:$AR$220</definedName>
    <definedName name="_xlnm.Print_Area" localSheetId="4">Financial!$A$1:$DE$62</definedName>
    <definedName name="_xlnm.Print_Area" localSheetId="5">FirstEnergy!$B$155:$P$193</definedName>
    <definedName name="_xlnm.Print_Area" localSheetId="12">'Genco Spin Math'!$A$1:$CM$68</definedName>
    <definedName name="_xlnm.Print_Area" localSheetId="9">Parent!$A$2:$AR$45</definedName>
    <definedName name="_xlnm.Print_Area" localSheetId="7">Transmission!$B$2:$AR$111</definedName>
    <definedName name="_xlnm.Print_Area" localSheetId="3">Valuation!$B$1:$CV$80</definedName>
    <definedName name="_xlnm.Print_Area">"Formula removed, name can be deleted."</definedName>
    <definedName name="_xlnm.Print_Titles" localSheetId="8">Competitive!$2:$5</definedName>
    <definedName name="_xlnm.Print_Titles" localSheetId="11">Debt!$1:$4</definedName>
    <definedName name="_xlnm.Print_Titles" localSheetId="6">Distribution!$2:$5</definedName>
    <definedName name="_xlnm.Print_Titles" localSheetId="7">Transmission!$2:$5</definedName>
    <definedName name="_xlnm.Print_Titles">"Formula removed, name can be deleted."</definedName>
    <definedName name="PRODUCT" localSheetId="15">ModPubIndex!$A$6</definedName>
    <definedName name="ProjectName" localSheetId="2">{"Client Name or Project Name"}</definedName>
    <definedName name="ProjectName" localSheetId="11">{"Client Name or Project Name"}</definedName>
    <definedName name="ProjectName" localSheetId="12">{"Client Name or Project Name"}</definedName>
    <definedName name="ProjectName" localSheetId="10">{"Client Name or Project Name"}</definedName>
    <definedName name="ProjectName" localSheetId="9">{"Client Name or Project Name"}</definedName>
    <definedName name="ProjectName" localSheetId="7">{"Client Name or Project Name"}</definedName>
    <definedName name="ProjectName" localSheetId="3">{"Client Name or Project Name"}</definedName>
    <definedName name="ProjectName">{"Client Name or Project Name"}</definedName>
    <definedName name="ProjectName_1" localSheetId="2">{"Client Name or Project Name"}</definedName>
    <definedName name="ProjectName_1" localSheetId="11">{"Client Name or Project Name"}</definedName>
    <definedName name="ProjectName_1" localSheetId="12">{"Client Name or Project Name"}</definedName>
    <definedName name="ProjectName_1" localSheetId="10">{"Client Name or Project Name"}</definedName>
    <definedName name="ProjectName_1" localSheetId="9">{"Client Name or Project Name"}</definedName>
    <definedName name="ProjectName_1" localSheetId="3">{"Client Name or Project Name"}</definedName>
    <definedName name="ProjectName_1">{"Client Name or Project Name"}</definedName>
    <definedName name="PSYM" localSheetId="15">ModPubIndex!$A$4</definedName>
    <definedName name="PublishDate" localSheetId="14">IndexInformation!$B$2</definedName>
    <definedName name="puredist">Distribution!$D$6</definedName>
    <definedName name="puretrans">Transmission!$D$6</definedName>
    <definedName name="Rate_Case_2004" localSheetId="10">'[7]Income Statement'!$K$1</definedName>
    <definedName name="Rate_Case_2004" localSheetId="3">'[7]Income Statement'!$K$1</definedName>
    <definedName name="Rate_Case_2004">'[7]Income Statement'!$K$1</definedName>
    <definedName name="Rate_Case_2005" localSheetId="10">'[7]Income Statement'!$K$2</definedName>
    <definedName name="Rate_Case_2005" localSheetId="3">'[7]Income Statement'!$K$2</definedName>
    <definedName name="Rate_Case_2005">'[7]Income Statement'!$K$2</definedName>
    <definedName name="Rating" localSheetId="14">IndexInformation!$B$9</definedName>
    <definedName name="RatingsDefined" localSheetId="1">ImportantDisclosures!$A$21</definedName>
    <definedName name="RatingsDefs" localSheetId="1">ImportantDisclosures!#REF!</definedName>
    <definedName name="RCF_Total_Debt" localSheetId="10">'[7]Fin Stats'!$B$79:$M$79</definedName>
    <definedName name="RCF_Total_Debt" localSheetId="3">'[7]Fin Stats'!$B$79:$M$79</definedName>
    <definedName name="RCF_Total_Debt">'[7]Fin Stats'!$B$79:$M$79</definedName>
    <definedName name="RegACDisclosure" localSheetId="1">ImportantDisclosures!#REF!</definedName>
    <definedName name="RegPct">Financial!$D$10</definedName>
    <definedName name="Rem_Bus_ROIC" localSheetId="2">OFFSET([0]!XRange,11,0)</definedName>
    <definedName name="Rem_Bus_ROIC" localSheetId="11">OFFSET([0]!XRange,11,0)</definedName>
    <definedName name="Rem_Bus_ROIC" localSheetId="12">OFFSET('Genco Spin Math'!XRange,11,0)</definedName>
    <definedName name="Rem_Bus_ROIC" localSheetId="10">OFFSET([0]!XRange,11,0)</definedName>
    <definedName name="Rem_Bus_ROIC" localSheetId="9">OFFSET(Parent!XRange,11,0)</definedName>
    <definedName name="Rem_Bus_ROIC" localSheetId="7">OFFSET(Transmission!XRange,11,0)</definedName>
    <definedName name="Rem_Bus_ROIC" localSheetId="3">OFFSET(Valuation!XRange,11,0)</definedName>
    <definedName name="Rem_Bus_ROIC">OFFSET([0]!XRange,11,0)</definedName>
    <definedName name="ResearchTopic" localSheetId="14">IndexInformation!$B$4</definedName>
    <definedName name="Return_on_Assets" localSheetId="10">'[7]Fin Stats'!$B$29:$M$29</definedName>
    <definedName name="Return_on_Assets" localSheetId="3">'[7]Fin Stats'!$B$29:$M$29</definedName>
    <definedName name="Return_on_Assets">'[7]Fin Stats'!$B$29:$M$29</definedName>
    <definedName name="Return_on_Equity" localSheetId="10">'[7]Fin Stats'!$B$30:$M$30</definedName>
    <definedName name="Return_on_Equity" localSheetId="3">'[7]Fin Stats'!$B$30:$M$30</definedName>
    <definedName name="Return_on_Equity">'[7]Fin Stats'!$B$30:$M$30</definedName>
    <definedName name="Return_on_Invested_Capital" localSheetId="10">'[7]Fin Stats'!$B$31:$M$31</definedName>
    <definedName name="Return_on_Invested_Capital" localSheetId="3">'[7]Fin Stats'!$B$31:$M$31</definedName>
    <definedName name="Return_on_Invested_Capital">'[7]Fin Stats'!$B$31:$M$31</definedName>
    <definedName name="Return_Relative_to_S_P_500" localSheetId="10">'[7]Fin Stats'!$B$133:$M$133</definedName>
    <definedName name="Return_Relative_to_S_P_500" localSheetId="3">'[7]Fin Stats'!$B$133:$M$133</definedName>
    <definedName name="Return_Relative_to_S_P_500">'[7]Fin Stats'!$B$133:$M$133</definedName>
    <definedName name="Revenues" localSheetId="10">'[7]Fin Stats'!$B$99:$M$99</definedName>
    <definedName name="Revenues" localSheetId="3">'[7]Fin Stats'!$B$99:$M$99</definedName>
    <definedName name="Revenues">'[7]Fin Stats'!$B$99:$M$99</definedName>
    <definedName name="RIC" localSheetId="14">IndexInformation!$B$21</definedName>
    <definedName name="SECSettlement" localSheetId="1">ImportantDisclosures!#REF!</definedName>
    <definedName name="SEDOL" localSheetId="14">IndexInformation!$B$22</definedName>
    <definedName name="Shareholder_Return" localSheetId="10">'[7]Fin Stats'!$B$32:$M$32</definedName>
    <definedName name="Shareholder_Return" localSheetId="3">'[7]Fin Stats'!$B$32:$M$32</definedName>
    <definedName name="Shareholder_Return">'[7]Fin Stats'!$B$32:$M$32</definedName>
    <definedName name="SharePrice" localSheetId="10">'[5]Valuation Summary'!$BO$11</definedName>
    <definedName name="SharePrice">'[5]Valuation Summary'!$BO$11</definedName>
    <definedName name="Shares_Outstanding" localSheetId="10">'[7]Fin Stats'!$B$54:$M$54</definedName>
    <definedName name="Shares_Outstanding" localSheetId="3">'[7]Fin Stats'!$B$54:$M$54</definedName>
    <definedName name="Shares_Outstanding">'[7]Fin Stats'!$B$54:$M$54</definedName>
    <definedName name="Short_term_debt" localSheetId="10">'[7]Fin Stats'!$B$35:$M$35</definedName>
    <definedName name="Short_term_debt" localSheetId="3">'[7]Fin Stats'!$B$35:$M$35</definedName>
    <definedName name="Short_term_debt">'[7]Fin Stats'!$B$35:$M$35</definedName>
    <definedName name="SO">Financial!$AH$31</definedName>
    <definedName name="SourceDefined" localSheetId="1">ImportantDisclosures!$A$19</definedName>
    <definedName name="SPWS_WBID">"AB974E08-D2D4-47A3-BC27-DEDF1C76035D"</definedName>
    <definedName name="StockRating" localSheetId="1">ImportantDisclosures!$A$11</definedName>
    <definedName name="SubjectCode" localSheetId="14">IndexInformation!$B$6</definedName>
    <definedName name="SubmitterUserId" localSheetId="10">[14]IndexInformation!$B$39</definedName>
    <definedName name="SubmitterUserId">IndexInformation!$B$39</definedName>
    <definedName name="Subs">Financial!$C$10</definedName>
    <definedName name="SUPPRESSED" localSheetId="15">ModPubIndex!$A$13</definedName>
    <definedName name="TargetPrice" localSheetId="1">ImportantDisclosures!$A$15</definedName>
    <definedName name="Tax" localSheetId="10">'[5]Valuation Summary'!$BO$8</definedName>
    <definedName name="Tax">'[5]Valuation Summary'!$BO$8</definedName>
    <definedName name="TemplateRegion" localSheetId="10">[14]IndexInformation!$B$36</definedName>
    <definedName name="TemplateRegion">IndexInformation!$B$36</definedName>
    <definedName name="ticker" localSheetId="12">'Genco Spin Math'!$N$2</definedName>
    <definedName name="Ticker" localSheetId="1">ImportantDisclosures!$A$10</definedName>
    <definedName name="ticker" localSheetId="3">Valuation!$N$2</definedName>
    <definedName name="ticker">Cover!$C$3</definedName>
    <definedName name="TickerRegion">IndexInformation!$B$41</definedName>
    <definedName name="Tickers" localSheetId="14">IndexInformation!$B$19</definedName>
    <definedName name="tiny_coal_cf">0.3</definedName>
    <definedName name="tiny_gas_cf">0.05</definedName>
    <definedName name="tinymargin">0.01</definedName>
    <definedName name="Total_Bus_ROIC" localSheetId="2">OFFSET([0]!XRange,12,0)</definedName>
    <definedName name="Total_Bus_ROIC" localSheetId="11">OFFSET([0]!XRange,12,0)</definedName>
    <definedName name="Total_Bus_ROIC" localSheetId="12">OFFSET('Genco Spin Math'!XRange,12,0)</definedName>
    <definedName name="Total_Bus_ROIC" localSheetId="10">OFFSET([0]!XRange,12,0)</definedName>
    <definedName name="Total_Bus_ROIC" localSheetId="9">OFFSET(Parent!XRange,12,0)</definedName>
    <definedName name="Total_Bus_ROIC" localSheetId="7">OFFSET(Transmission!XRange,12,0)</definedName>
    <definedName name="Total_Bus_ROIC" localSheetId="3">OFFSET(Valuation!XRange,12,0)</definedName>
    <definedName name="Total_Bus_ROIC">OFFSET([0]!XRange,12,0)</definedName>
    <definedName name="Total_Capital" localSheetId="10">'[7]Fin Stats'!$B$39:$M$39</definedName>
    <definedName name="Total_Capital" localSheetId="3">'[7]Fin Stats'!$B$39:$M$39</definedName>
    <definedName name="Total_Capital">'[7]Fin Stats'!$B$39:$M$39</definedName>
    <definedName name="Total_Debt_EBITDA" localSheetId="10">'[7]Fin Stats'!$B$74:$M$74</definedName>
    <definedName name="Total_Debt_EBITDA" localSheetId="3">'[7]Fin Stats'!$B$74:$M$74</definedName>
    <definedName name="Total_Debt_EBITDA">'[7]Fin Stats'!$B$74:$M$74</definedName>
    <definedName name="Total_Debt_Outstanding" localSheetId="10">'[7]Fin Stats'!$B$50:$M$50</definedName>
    <definedName name="Total_Debt_Outstanding" localSheetId="3">'[7]Fin Stats'!$B$50:$M$50</definedName>
    <definedName name="Total_Debt_Outstanding">'[7]Fin Stats'!$B$50:$M$50</definedName>
    <definedName name="Total_Debt_to_Capital" localSheetId="10">'[7]Fin Stats'!$B$42:$M$42</definedName>
    <definedName name="Total_Debt_to_Capital" localSheetId="3">'[7]Fin Stats'!$B$42:$M$42</definedName>
    <definedName name="Total_Debt_to_Capital">'[7]Fin Stats'!$B$42:$M$42</definedName>
    <definedName name="Total_Debt_Total_Market_Cap" localSheetId="10">'[7]Fin Stats'!$B$62:$M$62</definedName>
    <definedName name="Total_Debt_Total_Market_Cap" localSheetId="3">'[7]Fin Stats'!$B$62:$M$62</definedName>
    <definedName name="Total_Debt_Total_Market_Cap">'[7]Fin Stats'!$B$62:$M$62</definedName>
    <definedName name="trc_XLS_DATASHEET_ProtectDate" localSheetId="11">36879.7503587963</definedName>
    <definedName name="trc_XLS_DATASHEET_ProtectDate" localSheetId="12">36879.7503587963</definedName>
    <definedName name="trc_XLS_DATASHEET_ProtectDate" localSheetId="10">36879.7503587963</definedName>
    <definedName name="trc_XLS_DATASHEET_ProtectDate" localSheetId="9">36879.7503587963</definedName>
    <definedName name="trc_XLS_DATASHEET_ProtectDate" localSheetId="3">36879.7503587963</definedName>
    <definedName name="trc_XLS_DATASHEET_ProtectDate">36879.7503587963</definedName>
    <definedName name="trc_XLS_DATASHEET_ProtectDate_1">36879.7503587963</definedName>
    <definedName name="Update_This">[15]!Update_This</definedName>
    <definedName name="UpdateReason" localSheetId="14">IndexInformation!$B$17</definedName>
    <definedName name="Uplift" localSheetId="10">'Market Prices'!$D$4</definedName>
    <definedName name="USRegDisclosures" localSheetId="1">ImportantDisclosures!#REF!</definedName>
    <definedName name="UtilityEPS">Valuation!$CG$8</definedName>
    <definedName name="Version">"June 29, 2004"</definedName>
    <definedName name="WACC" localSheetId="2">OFFSET([0]!XRange,13,0)</definedName>
    <definedName name="WACC" localSheetId="11">OFFSET([0]!XRange,13,0)</definedName>
    <definedName name="WACC" localSheetId="12">OFFSET('Genco Spin Math'!XRange,13,0)</definedName>
    <definedName name="WACC" localSheetId="10">OFFSET([0]!XRange,13,0)</definedName>
    <definedName name="WACC" localSheetId="9">OFFSET(Parent!XRange,13,0)</definedName>
    <definedName name="WACC" localSheetId="7">OFFSET(Transmission!XRange,13,0)</definedName>
    <definedName name="WACC" localSheetId="3">OFFSET(Valuation!XRange,13,0)</definedName>
    <definedName name="WACC">OFFSET([0]!XRange,13,0)</definedName>
    <definedName name="wrn.Earnings._.Model." localSheetId="1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12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1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9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3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xaxis">#N/A</definedName>
    <definedName name="Year_End_Market_Price" localSheetId="10">'[7]Fin Stats'!$B$55:$M$55</definedName>
    <definedName name="Year_End_Market_Price" localSheetId="3">'[7]Fin Stats'!$B$55:$M$55</definedName>
    <definedName name="Year_End_Market_Price">'[7]Fin Stats'!$B$55:$M$55</definedName>
  </definedNames>
  <calcPr calcId="145621" calcMode="manual" iterate="1"/>
</workbook>
</file>

<file path=xl/calcChain.xml><?xml version="1.0" encoding="utf-8"?>
<calcChain xmlns="http://schemas.openxmlformats.org/spreadsheetml/2006/main">
  <c r="BG48" i="39" l="1"/>
  <c r="BB48" i="39"/>
  <c r="AY146" i="4" l="1"/>
  <c r="AX182" i="41" l="1"/>
  <c r="BQ206" i="39" l="1"/>
  <c r="BP206" i="39"/>
  <c r="BO206" i="39"/>
  <c r="BN206" i="39"/>
  <c r="BM206" i="39"/>
  <c r="BL206" i="39"/>
  <c r="BK206" i="39"/>
  <c r="BJ206" i="39"/>
  <c r="BI206" i="39"/>
  <c r="BH206" i="39"/>
  <c r="BG206" i="39"/>
  <c r="BF206" i="39"/>
  <c r="BE206" i="39"/>
  <c r="BD206" i="39"/>
  <c r="BC206" i="39"/>
  <c r="BA206" i="39"/>
  <c r="AZ206" i="39"/>
  <c r="AY206" i="39"/>
  <c r="AX206" i="39"/>
  <c r="BB206" i="39"/>
  <c r="BQ148" i="39"/>
  <c r="BL148" i="39"/>
  <c r="BG148" i="39"/>
  <c r="BB148" i="39"/>
  <c r="BH148" i="39" l="1"/>
  <c r="BI148" i="39" s="1"/>
  <c r="BJ148" i="39" s="1"/>
  <c r="BM148" i="39"/>
  <c r="BN148" i="39" s="1"/>
  <c r="AX148" i="39"/>
  <c r="AY148" i="39" s="1"/>
  <c r="AZ148" i="39" s="1"/>
  <c r="DN14" i="61"/>
  <c r="BL59" i="39"/>
  <c r="BG59" i="39"/>
  <c r="BB59" i="39"/>
  <c r="AZ59" i="39" s="1"/>
  <c r="BA59" i="39"/>
  <c r="AX59" i="39"/>
  <c r="BL51" i="39"/>
  <c r="BL50" i="39"/>
  <c r="BG51" i="39"/>
  <c r="BG50" i="39"/>
  <c r="AY18" i="40"/>
  <c r="AZ18" i="40" s="1"/>
  <c r="BA18" i="40" s="1"/>
  <c r="BP56" i="42"/>
  <c r="BO56" i="42"/>
  <c r="BN56" i="42"/>
  <c r="BM56" i="42"/>
  <c r="BK56" i="42"/>
  <c r="BJ56" i="42"/>
  <c r="BI56" i="42"/>
  <c r="BH56" i="42"/>
  <c r="BF56" i="42"/>
  <c r="BE56" i="42"/>
  <c r="BD56" i="42"/>
  <c r="BC56" i="42"/>
  <c r="BA56" i="42"/>
  <c r="AZ56" i="42"/>
  <c r="AY56" i="42"/>
  <c r="AX56" i="42"/>
  <c r="BB49" i="40"/>
  <c r="BU49" i="40"/>
  <c r="BU48" i="40"/>
  <c r="BM61" i="39"/>
  <c r="BN61" i="39"/>
  <c r="BO61" i="39"/>
  <c r="BP61" i="39"/>
  <c r="BH61" i="39"/>
  <c r="BI61" i="39"/>
  <c r="BJ61" i="39"/>
  <c r="BK61" i="39"/>
  <c r="BC61" i="39"/>
  <c r="BD61" i="39"/>
  <c r="BE61" i="39"/>
  <c r="BF61" i="39"/>
  <c r="BB61" i="39"/>
  <c r="BS58" i="39"/>
  <c r="BA148" i="39" l="1"/>
  <c r="BC148" i="39"/>
  <c r="BK148" i="39"/>
  <c r="BO148" i="39"/>
  <c r="BP148" i="39" s="1"/>
  <c r="AY59" i="39"/>
  <c r="BA20" i="39"/>
  <c r="BW87" i="61"/>
  <c r="I21" i="51"/>
  <c r="DQ21" i="51"/>
  <c r="DP21" i="51"/>
  <c r="DO21" i="51"/>
  <c r="DN21" i="51"/>
  <c r="CW21" i="51"/>
  <c r="CV21" i="51"/>
  <c r="CU21" i="51"/>
  <c r="CT21" i="51"/>
  <c r="CR21" i="51"/>
  <c r="CQ21" i="51"/>
  <c r="CP21" i="51"/>
  <c r="CO21" i="51"/>
  <c r="CM21" i="51"/>
  <c r="CL21" i="51"/>
  <c r="CK21" i="51"/>
  <c r="CJ21" i="51"/>
  <c r="CH21" i="51"/>
  <c r="CG21" i="51"/>
  <c r="CF21" i="51"/>
  <c r="CE21" i="51"/>
  <c r="CC21" i="51"/>
  <c r="CB21" i="51"/>
  <c r="CA21" i="51"/>
  <c r="BZ21" i="51"/>
  <c r="BX21" i="51"/>
  <c r="BW21" i="51"/>
  <c r="BV21" i="51"/>
  <c r="BU21" i="51"/>
  <c r="BT21" i="51"/>
  <c r="BY21" i="51" s="1"/>
  <c r="CD21" i="51" s="1"/>
  <c r="CI21" i="51" s="1"/>
  <c r="CN21" i="51" s="1"/>
  <c r="CS21" i="51" s="1"/>
  <c r="CX21" i="51" s="1"/>
  <c r="DC21" i="51" s="1"/>
  <c r="BS21" i="51"/>
  <c r="BR21" i="51"/>
  <c r="BQ21" i="51"/>
  <c r="BP21" i="51"/>
  <c r="BN21" i="51"/>
  <c r="BM21" i="51" s="1"/>
  <c r="BJ21" i="51"/>
  <c r="BI21" i="51"/>
  <c r="BG21" i="51" s="1"/>
  <c r="BF21" i="51"/>
  <c r="BE21" i="51"/>
  <c r="BD21" i="51"/>
  <c r="BA21" i="51" s="1"/>
  <c r="BC21" i="51"/>
  <c r="AZ21" i="51"/>
  <c r="AY21" i="51"/>
  <c r="AW21" i="51" s="1"/>
  <c r="AT21" i="51"/>
  <c r="AS21" i="51" s="1"/>
  <c r="AR21" i="51"/>
  <c r="AQ21" i="51"/>
  <c r="AP21" i="51"/>
  <c r="AO21" i="51"/>
  <c r="AN21" i="51"/>
  <c r="AM21" i="51"/>
  <c r="AL21" i="51"/>
  <c r="AK21" i="51"/>
  <c r="AJ21" i="51"/>
  <c r="AG21" i="51" s="1"/>
  <c r="AI21" i="51"/>
  <c r="AF21" i="51"/>
  <c r="AE21" i="51"/>
  <c r="AC21" i="51" s="1"/>
  <c r="AA21" i="51"/>
  <c r="Z21" i="51"/>
  <c r="W21" i="51" s="1"/>
  <c r="U21" i="51"/>
  <c r="R21" i="51" s="1"/>
  <c r="Q21" i="51"/>
  <c r="P21" i="51"/>
  <c r="DD20" i="51"/>
  <c r="CY20" i="51"/>
  <c r="CW20" i="51"/>
  <c r="CV20" i="51"/>
  <c r="CU20" i="51"/>
  <c r="CT20" i="51"/>
  <c r="CR20" i="51"/>
  <c r="CQ20" i="51"/>
  <c r="CP20" i="51"/>
  <c r="CO20" i="51"/>
  <c r="CM20" i="51"/>
  <c r="CL20" i="51"/>
  <c r="CK20" i="51"/>
  <c r="CJ20" i="51"/>
  <c r="CH20" i="51"/>
  <c r="CG20" i="51"/>
  <c r="CF20" i="51"/>
  <c r="CE20" i="51"/>
  <c r="CC20" i="51"/>
  <c r="CB20" i="51"/>
  <c r="CA20" i="51"/>
  <c r="BZ20" i="51"/>
  <c r="BX20" i="51"/>
  <c r="BW20" i="51"/>
  <c r="BV20" i="51"/>
  <c r="BU20" i="51"/>
  <c r="BT20" i="51"/>
  <c r="BY20" i="51" s="1"/>
  <c r="CD20" i="51" s="1"/>
  <c r="CI20" i="51" s="1"/>
  <c r="CN20" i="51" s="1"/>
  <c r="CS20" i="51" s="1"/>
  <c r="CX20" i="51" s="1"/>
  <c r="DC20" i="51" s="1"/>
  <c r="DH20" i="51" s="1"/>
  <c r="DM20" i="51" s="1"/>
  <c r="BS20" i="51"/>
  <c r="BR20" i="51"/>
  <c r="BQ20" i="51"/>
  <c r="BP20" i="51"/>
  <c r="BN20" i="51"/>
  <c r="BM20" i="51"/>
  <c r="BL20" i="51"/>
  <c r="BK20" i="51"/>
  <c r="BJ20" i="51"/>
  <c r="BD20" i="51"/>
  <c r="BA20" i="51" s="1"/>
  <c r="AY20" i="51"/>
  <c r="AX20" i="51" s="1"/>
  <c r="AT20" i="51"/>
  <c r="AS20" i="51" s="1"/>
  <c r="AP20" i="51"/>
  <c r="AO20" i="51"/>
  <c r="AL20" i="51" s="1"/>
  <c r="AJ20" i="51"/>
  <c r="AI20" i="51" s="1"/>
  <c r="AE20" i="51"/>
  <c r="AD20" i="51" s="1"/>
  <c r="Z20" i="51"/>
  <c r="X20" i="51" s="1"/>
  <c r="U20" i="51"/>
  <c r="R20" i="51" s="1"/>
  <c r="P20" i="51"/>
  <c r="BI20" i="51"/>
  <c r="BQ81" i="40"/>
  <c r="BL81" i="40"/>
  <c r="BG81" i="40"/>
  <c r="BB81" i="40"/>
  <c r="BB48" i="40" s="1"/>
  <c r="BQ51" i="39"/>
  <c r="BQ50" i="39"/>
  <c r="BD148" i="39" l="1"/>
  <c r="BE148" i="39" s="1"/>
  <c r="V21" i="51"/>
  <c r="T21" i="51"/>
  <c r="X21" i="51"/>
  <c r="BH21" i="51"/>
  <c r="BL21" i="51"/>
  <c r="Y21" i="51"/>
  <c r="S21" i="51"/>
  <c r="BK21" i="51"/>
  <c r="DB21" i="51"/>
  <c r="CZ21" i="51"/>
  <c r="DE21" i="51"/>
  <c r="DA21" i="51"/>
  <c r="DH21" i="51"/>
  <c r="DD21" i="51"/>
  <c r="DG21" i="51"/>
  <c r="CY21" i="51"/>
  <c r="AU21" i="51"/>
  <c r="AD21" i="51"/>
  <c r="AH21" i="51"/>
  <c r="AX21" i="51"/>
  <c r="BB21" i="51"/>
  <c r="AB21" i="51"/>
  <c r="AV21" i="51"/>
  <c r="CZ20" i="51"/>
  <c r="DE20" i="51"/>
  <c r="V20" i="51"/>
  <c r="W20" i="51"/>
  <c r="DA20" i="51"/>
  <c r="DF20" i="51"/>
  <c r="Y20" i="51"/>
  <c r="AN20" i="51"/>
  <c r="AV20" i="51"/>
  <c r="DB20" i="51"/>
  <c r="DG20" i="51"/>
  <c r="AA20" i="51"/>
  <c r="S20" i="51"/>
  <c r="T20" i="51"/>
  <c r="AB20" i="51"/>
  <c r="AM20" i="51"/>
  <c r="AQ20" i="51"/>
  <c r="AU20" i="51"/>
  <c r="AR20" i="51"/>
  <c r="Q20" i="51"/>
  <c r="AF20" i="51"/>
  <c r="BH20" i="51"/>
  <c r="BG20" i="51"/>
  <c r="BF20" i="51"/>
  <c r="BE20" i="51"/>
  <c r="DR20" i="51"/>
  <c r="DN20" i="51"/>
  <c r="DJ20" i="51"/>
  <c r="DI20" i="51"/>
  <c r="DP20" i="51"/>
  <c r="DL20" i="51"/>
  <c r="DO20" i="51"/>
  <c r="DK20" i="51"/>
  <c r="DQ20" i="51"/>
  <c r="AZ20" i="51"/>
  <c r="AC20" i="51"/>
  <c r="AG20" i="51"/>
  <c r="AK20" i="51"/>
  <c r="AW20" i="51"/>
  <c r="AH20" i="51"/>
  <c r="BB20" i="51"/>
  <c r="BC20" i="51"/>
  <c r="AV611" i="41"/>
  <c r="AV163" i="39"/>
  <c r="AW146" i="39"/>
  <c r="BF148" i="39" l="1"/>
  <c r="DM21" i="51"/>
  <c r="DR21" i="51" s="1"/>
  <c r="DI21" i="51"/>
  <c r="DL21" i="51"/>
  <c r="DK21" i="51"/>
  <c r="DJ21" i="51"/>
  <c r="DF21" i="51"/>
  <c r="AM68" i="60" l="1"/>
  <c r="AR68" i="60"/>
  <c r="AR62" i="60"/>
  <c r="AM59" i="60"/>
  <c r="AR59" i="60"/>
  <c r="AW167" i="39"/>
  <c r="BW97" i="61" l="1"/>
  <c r="DL61" i="61"/>
  <c r="DL62" i="61" s="1"/>
  <c r="DL63" i="61" s="1"/>
  <c r="DL64" i="61" s="1"/>
  <c r="DL65" i="61" s="1"/>
  <c r="DL66" i="61" s="1"/>
  <c r="DL67" i="61" s="1"/>
  <c r="DL68" i="61" s="1"/>
  <c r="DL69" i="61" s="1"/>
  <c r="DL70" i="61" s="1"/>
  <c r="DL71" i="61" s="1"/>
  <c r="DL72" i="61" s="1"/>
  <c r="DL73" i="61" s="1"/>
  <c r="DL74" i="61" s="1"/>
  <c r="DL75" i="61" s="1"/>
  <c r="DL76" i="61" s="1"/>
  <c r="DL77" i="61" s="1"/>
  <c r="DL78" i="61" s="1"/>
  <c r="DL79" i="61" s="1"/>
  <c r="DL80" i="61" s="1"/>
  <c r="DL81" i="61" s="1"/>
  <c r="DL82" i="61" s="1"/>
  <c r="DL83" i="61" s="1"/>
  <c r="DL84" i="61" s="1"/>
  <c r="DL85" i="61" s="1"/>
  <c r="DL86" i="61" s="1"/>
  <c r="DL87" i="61" s="1"/>
  <c r="DL88" i="61" s="1"/>
  <c r="DL89" i="61" s="1"/>
  <c r="BW88" i="61"/>
  <c r="BW92" i="61"/>
  <c r="CL77" i="61"/>
  <c r="CL74" i="61"/>
  <c r="CG74" i="61"/>
  <c r="CB74" i="61"/>
  <c r="BW74" i="61"/>
  <c r="CA73" i="61"/>
  <c r="BZ73" i="61"/>
  <c r="BY73" i="61"/>
  <c r="BX73" i="61"/>
  <c r="BG65" i="61"/>
  <c r="BB65" i="61"/>
  <c r="AW65" i="61"/>
  <c r="AR65" i="61"/>
  <c r="BW64" i="61"/>
  <c r="BQ63" i="61"/>
  <c r="BQ65" i="61" s="1"/>
  <c r="BL63" i="61"/>
  <c r="BL65" i="61" s="1"/>
  <c r="AM63" i="61"/>
  <c r="AM65" i="61" s="1"/>
  <c r="AW60" i="61"/>
  <c r="AR60" i="61"/>
  <c r="CG77" i="61" s="1"/>
  <c r="AM60" i="61"/>
  <c r="CB77" i="61" s="1"/>
  <c r="AH60" i="61"/>
  <c r="BW77" i="61" s="1"/>
  <c r="AC60" i="61"/>
  <c r="X60" i="61"/>
  <c r="DN60" i="61"/>
  <c r="DN61" i="61" s="1"/>
  <c r="EA56" i="61"/>
  <c r="EB56" i="61" s="1"/>
  <c r="EC56" i="61" s="1"/>
  <c r="ED56" i="61" s="1"/>
  <c r="EC55" i="61"/>
  <c r="EB55" i="61"/>
  <c r="EA55" i="61" s="1"/>
  <c r="DZ55" i="61" s="1"/>
  <c r="AC50" i="61"/>
  <c r="X50" i="61"/>
  <c r="DO49" i="61"/>
  <c r="DF49" i="61"/>
  <c r="DF48" i="61"/>
  <c r="DF47" i="61"/>
  <c r="DF50" i="61" s="1"/>
  <c r="DA49" i="61"/>
  <c r="DA48" i="61"/>
  <c r="DA47" i="61"/>
  <c r="DA50" i="61" s="1"/>
  <c r="CV49" i="61"/>
  <c r="CV48" i="61"/>
  <c r="CV47" i="61"/>
  <c r="CV50" i="61" s="1"/>
  <c r="CQ49" i="61"/>
  <c r="CQ48" i="61"/>
  <c r="CQ47" i="61"/>
  <c r="CQ50" i="61" s="1"/>
  <c r="CL49" i="61"/>
  <c r="CL48" i="61"/>
  <c r="CL47" i="61"/>
  <c r="CL50" i="61" s="1"/>
  <c r="CG49" i="61"/>
  <c r="CG48" i="61"/>
  <c r="CG47" i="61"/>
  <c r="CG50" i="61" s="1"/>
  <c r="CB49" i="61"/>
  <c r="CB48" i="61"/>
  <c r="CB47" i="61"/>
  <c r="CB50" i="61" s="1"/>
  <c r="BW49" i="61"/>
  <c r="BW48" i="61"/>
  <c r="BW47" i="61"/>
  <c r="BW50" i="61" s="1"/>
  <c r="DO46" i="61"/>
  <c r="X44" i="61"/>
  <c r="DF42" i="61"/>
  <c r="DA42" i="61"/>
  <c r="CV42" i="61"/>
  <c r="CQ42" i="61"/>
  <c r="CL43" i="61"/>
  <c r="CL42" i="61"/>
  <c r="CL41" i="61"/>
  <c r="CL71" i="61" s="1"/>
  <c r="CL73" i="61" s="1"/>
  <c r="CL75" i="61" s="1"/>
  <c r="CL78" i="61" s="1"/>
  <c r="CG43" i="61"/>
  <c r="CG42" i="61"/>
  <c r="CG44" i="61" s="1"/>
  <c r="CG41" i="61"/>
  <c r="CG71" i="61" s="1"/>
  <c r="CG73" i="61" s="1"/>
  <c r="CG75" i="61" s="1"/>
  <c r="CG78" i="61" s="1"/>
  <c r="CB43" i="61"/>
  <c r="CB42" i="61"/>
  <c r="CB41" i="61"/>
  <c r="CB71" i="61" s="1"/>
  <c r="CB73" i="61" s="1"/>
  <c r="CB75" i="61" s="1"/>
  <c r="CB78" i="61" s="1"/>
  <c r="BW43" i="61"/>
  <c r="BW42" i="61"/>
  <c r="BW44" i="61" s="1"/>
  <c r="BW41" i="61"/>
  <c r="BW71" i="61" s="1"/>
  <c r="BW73" i="61" s="1"/>
  <c r="BW75" i="61" s="1"/>
  <c r="BW78" i="61" s="1"/>
  <c r="BQ41" i="61"/>
  <c r="BQ40" i="61"/>
  <c r="BL41" i="61"/>
  <c r="BL40" i="61"/>
  <c r="BG41" i="61"/>
  <c r="BG40" i="61"/>
  <c r="BB41" i="61"/>
  <c r="BB40" i="61"/>
  <c r="AW41" i="61"/>
  <c r="AW40" i="61"/>
  <c r="AR41" i="61"/>
  <c r="AR40" i="61"/>
  <c r="AM41" i="61"/>
  <c r="AM40" i="61"/>
  <c r="AH41" i="61"/>
  <c r="AH40" i="61"/>
  <c r="AC41" i="61"/>
  <c r="AC40" i="61"/>
  <c r="X41" i="61"/>
  <c r="X40" i="61"/>
  <c r="BU39" i="61"/>
  <c r="AW38" i="61"/>
  <c r="AR38" i="61"/>
  <c r="AM38" i="61"/>
  <c r="AH38" i="61"/>
  <c r="AC38" i="61"/>
  <c r="AC37" i="61"/>
  <c r="X38" i="61"/>
  <c r="X37" i="61"/>
  <c r="DO36" i="61"/>
  <c r="DO35" i="61"/>
  <c r="DO42" i="61" s="1"/>
  <c r="BQ35" i="61"/>
  <c r="BQ34" i="61"/>
  <c r="BL35" i="61"/>
  <c r="BL34" i="61"/>
  <c r="BG35" i="61"/>
  <c r="BG34" i="61"/>
  <c r="BB35" i="61"/>
  <c r="BB34" i="61"/>
  <c r="AW35" i="61"/>
  <c r="AW34" i="61"/>
  <c r="AR35" i="61"/>
  <c r="AR34" i="61"/>
  <c r="AM35" i="61"/>
  <c r="AM34" i="61"/>
  <c r="AH35" i="61"/>
  <c r="AH34" i="61"/>
  <c r="AC35" i="61"/>
  <c r="AC34" i="61"/>
  <c r="X35" i="61"/>
  <c r="X34" i="61"/>
  <c r="BQ31" i="61"/>
  <c r="BQ49" i="61" s="1"/>
  <c r="BP31" i="61"/>
  <c r="BP49" i="61" s="1"/>
  <c r="BO31" i="61"/>
  <c r="BO49" i="61" s="1"/>
  <c r="BN31" i="61"/>
  <c r="BN49" i="61" s="1"/>
  <c r="BM31" i="61"/>
  <c r="BM49" i="61" s="1"/>
  <c r="BL31" i="61"/>
  <c r="BL49" i="61" s="1"/>
  <c r="BK31" i="61"/>
  <c r="BK49" i="61" s="1"/>
  <c r="BJ31" i="61"/>
  <c r="BJ49" i="61" s="1"/>
  <c r="BI31" i="61"/>
  <c r="BI49" i="61" s="1"/>
  <c r="BH31" i="61"/>
  <c r="BH49" i="61" s="1"/>
  <c r="BG31" i="61"/>
  <c r="BG49" i="61" s="1"/>
  <c r="BF31" i="61"/>
  <c r="BE31" i="61"/>
  <c r="BD31" i="61"/>
  <c r="BC31" i="61"/>
  <c r="BB31" i="61"/>
  <c r="BA31" i="61"/>
  <c r="AZ31" i="61"/>
  <c r="AY31" i="61"/>
  <c r="AX31" i="61"/>
  <c r="AW31" i="61"/>
  <c r="BL19" i="61"/>
  <c r="CG20" i="61" s="1"/>
  <c r="BQ16" i="61"/>
  <c r="BL16" i="61"/>
  <c r="BG16" i="61"/>
  <c r="BB16" i="61"/>
  <c r="AW16" i="61"/>
  <c r="AR16" i="61"/>
  <c r="AM16" i="61"/>
  <c r="AH16" i="61"/>
  <c r="DQ15" i="61"/>
  <c r="DP15" i="61"/>
  <c r="DQ14" i="61"/>
  <c r="CG12" i="61"/>
  <c r="CL20" i="61" l="1"/>
  <c r="CB20" i="61"/>
  <c r="DF56" i="61"/>
  <c r="DA56" i="61"/>
  <c r="CV56" i="61"/>
  <c r="CQ56" i="61"/>
  <c r="CL56" i="61"/>
  <c r="CG56" i="61"/>
  <c r="CB56" i="61"/>
  <c r="BW56" i="61"/>
  <c r="EG22" i="61"/>
  <c r="EE22" i="61"/>
  <c r="EC22" i="61"/>
  <c r="EA22" i="61"/>
  <c r="DY22" i="61"/>
  <c r="DW22" i="61"/>
  <c r="DU22" i="61"/>
  <c r="DS22" i="61"/>
  <c r="DQ22" i="61"/>
  <c r="DO45" i="61"/>
  <c r="DV33" i="61"/>
  <c r="EH22" i="61"/>
  <c r="EF22" i="61"/>
  <c r="ED22" i="61"/>
  <c r="EB22" i="61"/>
  <c r="DZ22" i="61"/>
  <c r="DX22" i="61"/>
  <c r="DV22" i="61"/>
  <c r="DT22" i="61"/>
  <c r="DR22" i="61"/>
  <c r="BW63" i="61" s="1"/>
  <c r="DP22" i="61"/>
  <c r="DN62" i="61"/>
  <c r="BG19" i="61"/>
  <c r="BB19" i="61" s="1"/>
  <c r="AW19" i="61" s="1"/>
  <c r="AR19" i="61" s="1"/>
  <c r="BW45" i="61"/>
  <c r="BW52" i="61" s="1"/>
  <c r="BW53" i="61" s="1"/>
  <c r="CB44" i="61"/>
  <c r="CG45" i="61"/>
  <c r="CG52" i="61" s="1"/>
  <c r="CG53" i="61" s="1"/>
  <c r="CL44" i="61"/>
  <c r="CB45" i="61"/>
  <c r="CB52" i="61" s="1"/>
  <c r="CB53" i="61" s="1"/>
  <c r="CL45" i="61"/>
  <c r="CL52" i="61" s="1"/>
  <c r="CL53" i="61" s="1"/>
  <c r="DU80" i="61"/>
  <c r="DU77" i="61"/>
  <c r="DU76" i="61"/>
  <c r="DU73" i="61"/>
  <c r="DU79" i="61"/>
  <c r="DU78" i="61"/>
  <c r="DU75" i="61"/>
  <c r="DU74" i="61"/>
  <c r="DU72" i="61"/>
  <c r="DU69" i="61"/>
  <c r="DU68" i="61"/>
  <c r="DU66" i="61"/>
  <c r="DU63" i="61"/>
  <c r="DU62" i="61"/>
  <c r="DU71" i="61"/>
  <c r="DU70" i="61"/>
  <c r="DU67" i="61"/>
  <c r="DU65" i="61"/>
  <c r="DU64" i="61"/>
  <c r="DU61" i="61"/>
  <c r="DU60" i="61"/>
  <c r="AH63" i="61"/>
  <c r="AH65" i="61" s="1"/>
  <c r="BW99" i="61"/>
  <c r="BQ70" i="61" l="1"/>
  <c r="BG70" i="61"/>
  <c r="AW70" i="61"/>
  <c r="AM70" i="61"/>
  <c r="BL70" i="61"/>
  <c r="BB70" i="61"/>
  <c r="AR70" i="61"/>
  <c r="AH70" i="61"/>
  <c r="AM19" i="61"/>
  <c r="AH19" i="61" s="1"/>
  <c r="DN63" i="61"/>
  <c r="BW57" i="61"/>
  <c r="CG57" i="61"/>
  <c r="CB57" i="61"/>
  <c r="CL57" i="61"/>
  <c r="AW8" i="61"/>
  <c r="AR8" i="61"/>
  <c r="AM8" i="61"/>
  <c r="AH8" i="61"/>
  <c r="AC8" i="61"/>
  <c r="X8" i="61"/>
  <c r="DR10" i="61"/>
  <c r="DP10" i="61"/>
  <c r="DO10" i="61"/>
  <c r="CL10" i="61"/>
  <c r="CL12" i="61" s="1"/>
  <c r="CB10" i="61"/>
  <c r="CB12" i="61" s="1"/>
  <c r="DQ8" i="61"/>
  <c r="DQ10" i="61" s="1"/>
  <c r="DP8" i="61"/>
  <c r="DP7" i="61"/>
  <c r="DP12" i="61" s="1"/>
  <c r="DO7" i="61"/>
  <c r="DO12" i="61" s="1"/>
  <c r="DS9" i="61"/>
  <c r="DT9" i="61" s="1"/>
  <c r="DS8" i="61"/>
  <c r="DS10" i="61" s="1"/>
  <c r="DQ6" i="61"/>
  <c r="DR6" i="61" s="1"/>
  <c r="DS6" i="61" s="1"/>
  <c r="DT6" i="61" s="1"/>
  <c r="DU6" i="61" s="1"/>
  <c r="DV6" i="61" s="1"/>
  <c r="DW6" i="61" s="1"/>
  <c r="DX6" i="61" s="1"/>
  <c r="DY6" i="61" s="1"/>
  <c r="DZ6" i="61" s="1"/>
  <c r="EA6" i="61" s="1"/>
  <c r="EB6" i="61" s="1"/>
  <c r="EC6" i="61" s="1"/>
  <c r="ED6" i="61" s="1"/>
  <c r="EE6" i="61" s="1"/>
  <c r="EF6" i="61" s="1"/>
  <c r="EG6" i="61" s="1"/>
  <c r="EH6" i="61" s="1"/>
  <c r="DP6" i="61"/>
  <c r="DU9" i="61" l="1"/>
  <c r="DT8" i="61"/>
  <c r="DN64" i="61"/>
  <c r="AW625" i="41"/>
  <c r="AW618" i="41"/>
  <c r="AW617" i="41"/>
  <c r="AW615" i="41"/>
  <c r="AV618" i="41"/>
  <c r="AV617" i="41"/>
  <c r="AV615" i="41"/>
  <c r="DN65" i="61" l="1"/>
  <c r="DT10" i="61"/>
  <c r="DU8" i="61"/>
  <c r="DV9" i="61"/>
  <c r="AV619" i="41"/>
  <c r="AW619" i="41"/>
  <c r="AV625" i="41"/>
  <c r="AW557" i="41"/>
  <c r="AV557" i="41" s="1"/>
  <c r="AV564" i="41" s="1"/>
  <c r="AW554" i="41"/>
  <c r="AV554" i="41" s="1"/>
  <c r="AW553" i="41"/>
  <c r="AV570" i="41"/>
  <c r="AW559" i="41"/>
  <c r="AV559" i="41"/>
  <c r="AW555" i="41"/>
  <c r="AV555" i="41" s="1"/>
  <c r="AV553" i="41"/>
  <c r="AV177" i="39"/>
  <c r="AV174" i="39"/>
  <c r="AV170" i="39"/>
  <c r="AV169" i="39"/>
  <c r="AV167" i="39"/>
  <c r="AW177" i="39"/>
  <c r="AW170" i="39"/>
  <c r="AW169" i="39"/>
  <c r="AW171" i="39" s="1"/>
  <c r="AR56" i="60"/>
  <c r="AR80" i="60" s="1"/>
  <c r="AR55" i="60"/>
  <c r="AR54" i="60"/>
  <c r="AR53" i="60"/>
  <c r="AR52" i="60"/>
  <c r="AR76" i="60" s="1"/>
  <c r="AR51" i="60"/>
  <c r="AR50" i="60"/>
  <c r="AR49" i="60"/>
  <c r="AR48" i="60"/>
  <c r="AR72" i="60" s="1"/>
  <c r="AR47" i="60"/>
  <c r="AR67" i="60"/>
  <c r="AR66" i="60"/>
  <c r="AR65" i="60"/>
  <c r="AR64" i="60"/>
  <c r="AR63" i="60"/>
  <c r="AR61" i="60"/>
  <c r="AR60" i="60"/>
  <c r="AR44" i="60"/>
  <c r="AR43" i="60"/>
  <c r="AR42" i="60"/>
  <c r="AR41" i="60"/>
  <c r="AR40" i="60"/>
  <c r="AR39" i="60"/>
  <c r="AR38" i="60"/>
  <c r="AR37" i="60"/>
  <c r="AR36" i="60"/>
  <c r="AR35" i="60"/>
  <c r="AR20" i="60"/>
  <c r="AR19" i="60"/>
  <c r="AR79" i="60" s="1"/>
  <c r="AR18" i="60"/>
  <c r="AR78" i="60" s="1"/>
  <c r="AR17" i="60"/>
  <c r="AR77" i="60" s="1"/>
  <c r="AR16" i="60"/>
  <c r="AR15" i="60"/>
  <c r="AR75" i="60" s="1"/>
  <c r="AR14" i="60"/>
  <c r="AR74" i="60" s="1"/>
  <c r="AR13" i="60"/>
  <c r="AR73" i="60" s="1"/>
  <c r="AR12" i="60"/>
  <c r="AR11" i="60"/>
  <c r="AR71" i="60" s="1"/>
  <c r="DW9" i="61" l="1"/>
  <c r="DU10" i="61"/>
  <c r="DV8" i="61"/>
  <c r="DN66" i="61"/>
  <c r="AV628" i="41"/>
  <c r="AV626" i="41" s="1"/>
  <c r="AW628" i="41"/>
  <c r="AW629" i="41" s="1"/>
  <c r="AV629" i="41"/>
  <c r="AW564" i="41"/>
  <c r="AV563" i="41"/>
  <c r="AW563" i="41"/>
  <c r="AV171" i="39"/>
  <c r="AV180" i="39"/>
  <c r="AV178" i="39" s="1"/>
  <c r="AV175" i="39"/>
  <c r="AV172" i="39"/>
  <c r="AW180" i="39"/>
  <c r="AW172" i="39" s="1"/>
  <c r="DW8" i="61" l="1"/>
  <c r="DV10" i="61"/>
  <c r="DX9" i="61"/>
  <c r="DN67" i="61"/>
  <c r="AW620" i="41"/>
  <c r="AW623" i="41"/>
  <c r="AW626" i="41"/>
  <c r="AV623" i="41"/>
  <c r="AV620" i="41"/>
  <c r="AV181" i="39"/>
  <c r="AW181" i="39"/>
  <c r="AW178" i="39"/>
  <c r="AW175" i="39"/>
  <c r="DQ249" i="51"/>
  <c r="DP249" i="51"/>
  <c r="DO249" i="51"/>
  <c r="DN249" i="51"/>
  <c r="DL249" i="51"/>
  <c r="DK249" i="51"/>
  <c r="DJ249" i="51"/>
  <c r="DI249" i="51"/>
  <c r="DG249" i="51"/>
  <c r="DF249" i="51"/>
  <c r="DE249" i="51"/>
  <c r="DD249" i="51"/>
  <c r="CR249" i="51"/>
  <c r="CQ249" i="51"/>
  <c r="CP249" i="51"/>
  <c r="CO249" i="51"/>
  <c r="CM249" i="51"/>
  <c r="CL249" i="51"/>
  <c r="CK249" i="51"/>
  <c r="CJ249" i="51"/>
  <c r="CH249" i="51"/>
  <c r="CG249" i="51"/>
  <c r="CF249" i="51"/>
  <c r="CE249" i="51"/>
  <c r="CC249" i="51"/>
  <c r="CB249" i="51"/>
  <c r="CA249" i="51"/>
  <c r="BZ249" i="51"/>
  <c r="BX249" i="51"/>
  <c r="BW249" i="51"/>
  <c r="BV249" i="51"/>
  <c r="BU249" i="51"/>
  <c r="BT249" i="51"/>
  <c r="BY249" i="51" s="1"/>
  <c r="CD249" i="51" s="1"/>
  <c r="CI249" i="51" s="1"/>
  <c r="CN249" i="51" s="1"/>
  <c r="CS249" i="51" s="1"/>
  <c r="CX249" i="51" s="1"/>
  <c r="BS249" i="51"/>
  <c r="BR249" i="51"/>
  <c r="BQ249" i="51"/>
  <c r="BP249" i="51"/>
  <c r="BN249" i="51"/>
  <c r="BM249" i="51" s="1"/>
  <c r="BI249" i="51"/>
  <c r="BH249" i="51" s="1"/>
  <c r="BD249" i="51"/>
  <c r="BA249" i="51" s="1"/>
  <c r="AY249" i="51"/>
  <c r="AW249" i="51" s="1"/>
  <c r="AT249" i="51"/>
  <c r="AS249" i="51" s="1"/>
  <c r="AO249" i="51"/>
  <c r="AN249" i="51" s="1"/>
  <c r="AJ249" i="51"/>
  <c r="AH249" i="51" s="1"/>
  <c r="AE249" i="51"/>
  <c r="AC249" i="51" s="1"/>
  <c r="Z249" i="51"/>
  <c r="Y249" i="51" s="1"/>
  <c r="U249" i="51"/>
  <c r="T249" i="51" s="1"/>
  <c r="P249" i="51"/>
  <c r="O249" i="51" s="1"/>
  <c r="P248" i="51"/>
  <c r="L248" i="51" s="1"/>
  <c r="U248" i="51"/>
  <c r="T248" i="51" s="1"/>
  <c r="Z248" i="51"/>
  <c r="X248" i="51" s="1"/>
  <c r="AE248" i="51"/>
  <c r="AB248" i="51" s="1"/>
  <c r="AJ248" i="51"/>
  <c r="AF248" i="51" s="1"/>
  <c r="AO248" i="51"/>
  <c r="AN248" i="51" s="1"/>
  <c r="AT248" i="51"/>
  <c r="AR248" i="51" s="1"/>
  <c r="AY248" i="51"/>
  <c r="AV248" i="51" s="1"/>
  <c r="BD248" i="51"/>
  <c r="AZ248" i="51" s="1"/>
  <c r="BI248" i="51"/>
  <c r="BH248" i="51" s="1"/>
  <c r="BN248" i="51"/>
  <c r="BL248" i="51" s="1"/>
  <c r="BP248" i="51"/>
  <c r="BQ248" i="51"/>
  <c r="BR248" i="51"/>
  <c r="BS248" i="51"/>
  <c r="BT248" i="51"/>
  <c r="BY248" i="51" s="1"/>
  <c r="CD248" i="51" s="1"/>
  <c r="CI248" i="51" s="1"/>
  <c r="CN248" i="51" s="1"/>
  <c r="CS248" i="51" s="1"/>
  <c r="CX248" i="51" s="1"/>
  <c r="BU248" i="51"/>
  <c r="BV248" i="51"/>
  <c r="BW248" i="51"/>
  <c r="BX248" i="51"/>
  <c r="BZ248" i="51"/>
  <c r="CA248" i="51"/>
  <c r="CB248" i="51"/>
  <c r="CC248" i="51"/>
  <c r="CE248" i="51"/>
  <c r="CF248" i="51"/>
  <c r="CG248" i="51"/>
  <c r="CH248" i="51"/>
  <c r="CJ248" i="51"/>
  <c r="CK248" i="51"/>
  <c r="CL248" i="51"/>
  <c r="CM248" i="51"/>
  <c r="CO248" i="51"/>
  <c r="CP248" i="51"/>
  <c r="CQ248" i="51"/>
  <c r="CR248" i="51"/>
  <c r="DD248" i="51"/>
  <c r="DE248" i="51"/>
  <c r="DF248" i="51"/>
  <c r="DG248" i="51"/>
  <c r="DI248" i="51"/>
  <c r="DJ248" i="51"/>
  <c r="DK248" i="51"/>
  <c r="DL248" i="51"/>
  <c r="DN248" i="51"/>
  <c r="DO248" i="51"/>
  <c r="DP248" i="51"/>
  <c r="DQ248" i="51"/>
  <c r="E238" i="51"/>
  <c r="DQ230" i="51"/>
  <c r="DP230" i="51"/>
  <c r="DO230" i="51"/>
  <c r="DN230" i="51"/>
  <c r="DL230" i="51"/>
  <c r="DK230" i="51"/>
  <c r="DJ230" i="51"/>
  <c r="DI230" i="51"/>
  <c r="DG230" i="51"/>
  <c r="DF230" i="51"/>
  <c r="DE230" i="51"/>
  <c r="DD230" i="51"/>
  <c r="DB230" i="51"/>
  <c r="DA230" i="51"/>
  <c r="CZ230" i="51"/>
  <c r="CY230" i="51"/>
  <c r="CW230" i="51"/>
  <c r="CV230" i="51"/>
  <c r="CU230" i="51"/>
  <c r="CT230" i="51"/>
  <c r="CR230" i="51"/>
  <c r="CQ230" i="51"/>
  <c r="CP230" i="51"/>
  <c r="CO230" i="51"/>
  <c r="CM230" i="51"/>
  <c r="CL230" i="51"/>
  <c r="CK230" i="51"/>
  <c r="CJ230" i="51"/>
  <c r="CH230" i="51"/>
  <c r="CG230" i="51"/>
  <c r="CF230" i="51"/>
  <c r="CE230" i="51"/>
  <c r="CC230" i="51"/>
  <c r="CB230" i="51"/>
  <c r="CA230" i="51"/>
  <c r="BZ230" i="51"/>
  <c r="BX230" i="51"/>
  <c r="BW230" i="51"/>
  <c r="BV230" i="51"/>
  <c r="BU230" i="51"/>
  <c r="BT230" i="51"/>
  <c r="BY230" i="51" s="1"/>
  <c r="CD230" i="51" s="1"/>
  <c r="CI230" i="51" s="1"/>
  <c r="CN230" i="51" s="1"/>
  <c r="CS230" i="51" s="1"/>
  <c r="CX230" i="51" s="1"/>
  <c r="DC230" i="51" s="1"/>
  <c r="DH230" i="51" s="1"/>
  <c r="DM230" i="51" s="1"/>
  <c r="DR230" i="51" s="1"/>
  <c r="BS230" i="51"/>
  <c r="BR230" i="51"/>
  <c r="BQ230" i="51"/>
  <c r="BP230" i="51"/>
  <c r="BN230" i="51"/>
  <c r="BM230" i="51" s="1"/>
  <c r="BI230" i="51"/>
  <c r="BH230" i="51" s="1"/>
  <c r="BD230" i="51"/>
  <c r="BA230" i="51" s="1"/>
  <c r="AY230" i="51"/>
  <c r="AW230" i="51" s="1"/>
  <c r="AT230" i="51"/>
  <c r="AS230" i="51" s="1"/>
  <c r="AO230" i="51"/>
  <c r="AM230" i="51" s="1"/>
  <c r="AJ230" i="51"/>
  <c r="AG230" i="51" s="1"/>
  <c r="AE230" i="51"/>
  <c r="AC230" i="51" s="1"/>
  <c r="Z230" i="51"/>
  <c r="Y230" i="51" s="1"/>
  <c r="U230" i="51"/>
  <c r="T230" i="51" s="1"/>
  <c r="P230" i="51"/>
  <c r="M230" i="51" s="1"/>
  <c r="E230" i="51"/>
  <c r="E229" i="51"/>
  <c r="DQ202" i="51"/>
  <c r="DP202" i="51"/>
  <c r="DO202" i="51"/>
  <c r="DN202" i="51"/>
  <c r="DL202" i="51"/>
  <c r="DK202" i="51"/>
  <c r="DJ202" i="51"/>
  <c r="DI202" i="51"/>
  <c r="DG202" i="51"/>
  <c r="DF202" i="51"/>
  <c r="DE202" i="51"/>
  <c r="DD202" i="51"/>
  <c r="DB202" i="51"/>
  <c r="DA202" i="51"/>
  <c r="CZ202" i="51"/>
  <c r="CY202" i="51"/>
  <c r="CW202" i="51"/>
  <c r="CV202" i="51"/>
  <c r="CU202" i="51"/>
  <c r="CT202" i="51"/>
  <c r="CR202" i="51"/>
  <c r="CQ202" i="51"/>
  <c r="CP202" i="51"/>
  <c r="CO202" i="51"/>
  <c r="CM202" i="51"/>
  <c r="CL202" i="51"/>
  <c r="CK202" i="51"/>
  <c r="CJ202" i="51"/>
  <c r="CH202" i="51"/>
  <c r="CG202" i="51"/>
  <c r="CF202" i="51"/>
  <c r="CE202" i="51"/>
  <c r="CC202" i="51"/>
  <c r="CB202" i="51"/>
  <c r="CA202" i="51"/>
  <c r="BZ202" i="51"/>
  <c r="BX202" i="51"/>
  <c r="BW202" i="51"/>
  <c r="BV202" i="51"/>
  <c r="BU202" i="51"/>
  <c r="BT202" i="51"/>
  <c r="BY202" i="51" s="1"/>
  <c r="CD202" i="51" s="1"/>
  <c r="CI202" i="51" s="1"/>
  <c r="CN202" i="51" s="1"/>
  <c r="CS202" i="51" s="1"/>
  <c r="CX202" i="51" s="1"/>
  <c r="DC202" i="51" s="1"/>
  <c r="DH202" i="51" s="1"/>
  <c r="DM202" i="51" s="1"/>
  <c r="DR202" i="51" s="1"/>
  <c r="BS202" i="51"/>
  <c r="BR202" i="51"/>
  <c r="BQ202" i="51"/>
  <c r="BP202" i="51"/>
  <c r="BN202" i="51"/>
  <c r="BM202" i="51" s="1"/>
  <c r="BI202" i="51"/>
  <c r="BG202" i="51" s="1"/>
  <c r="BD202" i="51"/>
  <c r="BA202" i="51" s="1"/>
  <c r="AY202" i="51"/>
  <c r="AW202" i="51" s="1"/>
  <c r="AT202" i="51"/>
  <c r="AS202" i="51" s="1"/>
  <c r="AO202" i="51"/>
  <c r="AL202" i="51" s="1"/>
  <c r="AJ202" i="51"/>
  <c r="AG202" i="51" s="1"/>
  <c r="AE202" i="51"/>
  <c r="AC202" i="51" s="1"/>
  <c r="Z202" i="51"/>
  <c r="Y202" i="51" s="1"/>
  <c r="U202" i="51"/>
  <c r="S202" i="51" s="1"/>
  <c r="P202" i="51"/>
  <c r="M202" i="51" s="1"/>
  <c r="E202" i="51"/>
  <c r="DQ181" i="51"/>
  <c r="DP181" i="51"/>
  <c r="DO181" i="51"/>
  <c r="DN181" i="51"/>
  <c r="DL181" i="51"/>
  <c r="DK181" i="51"/>
  <c r="DJ181" i="51"/>
  <c r="DI181" i="51"/>
  <c r="DG181" i="51"/>
  <c r="DF181" i="51"/>
  <c r="DE181" i="51"/>
  <c r="DD181" i="51"/>
  <c r="DB181" i="51"/>
  <c r="DA181" i="51"/>
  <c r="CZ181" i="51"/>
  <c r="CY181" i="51"/>
  <c r="CW181" i="51"/>
  <c r="CV181" i="51"/>
  <c r="CU181" i="51"/>
  <c r="CT181" i="51"/>
  <c r="CR181" i="51"/>
  <c r="CQ181" i="51"/>
  <c r="CP181" i="51"/>
  <c r="CO181" i="51"/>
  <c r="CM181" i="51"/>
  <c r="CL181" i="51"/>
  <c r="CK181" i="51"/>
  <c r="CJ181" i="51"/>
  <c r="CH181" i="51"/>
  <c r="CG181" i="51"/>
  <c r="CF181" i="51"/>
  <c r="CE181" i="51"/>
  <c r="CC181" i="51"/>
  <c r="CB181" i="51"/>
  <c r="CA181" i="51"/>
  <c r="BZ181" i="51"/>
  <c r="BX181" i="51"/>
  <c r="BW181" i="51"/>
  <c r="BV181" i="51"/>
  <c r="BU181" i="51"/>
  <c r="BT181" i="51"/>
  <c r="BY181" i="51" s="1"/>
  <c r="CD181" i="51" s="1"/>
  <c r="CI181" i="51" s="1"/>
  <c r="CN181" i="51" s="1"/>
  <c r="CS181" i="51" s="1"/>
  <c r="CX181" i="51" s="1"/>
  <c r="DC181" i="51" s="1"/>
  <c r="DH181" i="51" s="1"/>
  <c r="DM181" i="51" s="1"/>
  <c r="DR181" i="51" s="1"/>
  <c r="BS181" i="51"/>
  <c r="BR181" i="51"/>
  <c r="BQ181" i="51"/>
  <c r="BP181" i="51"/>
  <c r="BN181" i="51"/>
  <c r="BM181" i="51" s="1"/>
  <c r="BI181" i="51"/>
  <c r="BH181" i="51" s="1"/>
  <c r="BD181" i="51"/>
  <c r="BC181" i="51" s="1"/>
  <c r="AY181" i="51"/>
  <c r="AW181" i="51" s="1"/>
  <c r="AT181" i="51"/>
  <c r="AS181" i="51" s="1"/>
  <c r="AO181" i="51"/>
  <c r="AN181" i="51" s="1"/>
  <c r="AJ181" i="51"/>
  <c r="AG181" i="51" s="1"/>
  <c r="AE181" i="51"/>
  <c r="AC181" i="51" s="1"/>
  <c r="Z181" i="51"/>
  <c r="Y181" i="51" s="1"/>
  <c r="U181" i="51"/>
  <c r="T181" i="51" s="1"/>
  <c r="P181" i="51"/>
  <c r="M181" i="51" s="1"/>
  <c r="E181" i="51"/>
  <c r="E194" i="51"/>
  <c r="E145" i="51"/>
  <c r="E27" i="51"/>
  <c r="E25" i="51"/>
  <c r="E23" i="51"/>
  <c r="E19" i="51"/>
  <c r="G128" i="51"/>
  <c r="G244" i="51" s="1"/>
  <c r="G102" i="51"/>
  <c r="G54" i="51"/>
  <c r="G53" i="51"/>
  <c r="G28" i="51"/>
  <c r="G30" i="51" s="1"/>
  <c r="AI248" i="51" l="1"/>
  <c r="N248" i="51"/>
  <c r="BA248" i="51"/>
  <c r="AL248" i="51"/>
  <c r="AD248" i="51"/>
  <c r="AX248" i="51"/>
  <c r="AZ249" i="51"/>
  <c r="DN68" i="61"/>
  <c r="DW10" i="61"/>
  <c r="DX8" i="61"/>
  <c r="DY9" i="61"/>
  <c r="BB248" i="51"/>
  <c r="AW248" i="51"/>
  <c r="O248" i="51"/>
  <c r="BF248" i="51"/>
  <c r="R248" i="51"/>
  <c r="M248" i="51"/>
  <c r="V249" i="51"/>
  <c r="W249" i="51"/>
  <c r="N249" i="51"/>
  <c r="BG249" i="51"/>
  <c r="L249" i="51"/>
  <c r="Q249" i="51"/>
  <c r="AP249" i="51"/>
  <c r="BC249" i="51"/>
  <c r="M249" i="51"/>
  <c r="R249" i="51"/>
  <c r="AF249" i="51"/>
  <c r="AI249" i="51"/>
  <c r="AM249" i="51"/>
  <c r="BB249" i="51"/>
  <c r="BF249" i="51"/>
  <c r="BK249" i="51"/>
  <c r="AG249" i="51"/>
  <c r="AK249" i="51"/>
  <c r="S249" i="51"/>
  <c r="AL249" i="51"/>
  <c r="AQ249" i="51"/>
  <c r="BE249" i="51"/>
  <c r="BJ249" i="51"/>
  <c r="DB249" i="51"/>
  <c r="CT249" i="51"/>
  <c r="CZ249" i="51"/>
  <c r="DA249" i="51"/>
  <c r="CW249" i="51"/>
  <c r="CV249" i="51"/>
  <c r="DC249" i="51"/>
  <c r="DH249" i="51" s="1"/>
  <c r="DM249" i="51" s="1"/>
  <c r="DR249" i="51" s="1"/>
  <c r="CY249" i="51"/>
  <c r="CU249" i="51"/>
  <c r="AD249" i="51"/>
  <c r="AX249" i="51"/>
  <c r="AA249" i="51"/>
  <c r="AH248" i="51"/>
  <c r="AC248" i="51"/>
  <c r="X249" i="51"/>
  <c r="AB249" i="51"/>
  <c r="AR249" i="51"/>
  <c r="AV249" i="51"/>
  <c r="BL249" i="51"/>
  <c r="AU249" i="51"/>
  <c r="BC248" i="51"/>
  <c r="AG248" i="51"/>
  <c r="CW248" i="51"/>
  <c r="DA248" i="51"/>
  <c r="CT248" i="51"/>
  <c r="DB248" i="51"/>
  <c r="CU248" i="51"/>
  <c r="CY248" i="51"/>
  <c r="DC248" i="51"/>
  <c r="DH248" i="51" s="1"/>
  <c r="DM248" i="51" s="1"/>
  <c r="DR248" i="51" s="1"/>
  <c r="CV248" i="51"/>
  <c r="CZ248" i="51"/>
  <c r="BK248" i="51"/>
  <c r="BG248" i="51"/>
  <c r="AU248" i="51"/>
  <c r="AQ248" i="51"/>
  <c r="AM248" i="51"/>
  <c r="AA248" i="51"/>
  <c r="W248" i="51"/>
  <c r="S248" i="51"/>
  <c r="BJ248" i="51"/>
  <c r="AP248" i="51"/>
  <c r="V248" i="51"/>
  <c r="BM248" i="51"/>
  <c r="BE248" i="51"/>
  <c r="AS248" i="51"/>
  <c r="AK248" i="51"/>
  <c r="Y248" i="51"/>
  <c r="Q248" i="51"/>
  <c r="Q230" i="51"/>
  <c r="R230" i="51"/>
  <c r="AK230" i="51"/>
  <c r="AA230" i="51"/>
  <c r="BG230" i="51"/>
  <c r="V230" i="51"/>
  <c r="BF230" i="51"/>
  <c r="BK230" i="51"/>
  <c r="AP230" i="51"/>
  <c r="BE230" i="51"/>
  <c r="BJ230" i="51"/>
  <c r="S230" i="51"/>
  <c r="W230" i="51"/>
  <c r="AL230" i="51"/>
  <c r="AR230" i="51"/>
  <c r="BL230" i="51"/>
  <c r="X230" i="51"/>
  <c r="AF230" i="51"/>
  <c r="AN230" i="51"/>
  <c r="AU230" i="51"/>
  <c r="O230" i="51"/>
  <c r="BC230" i="51"/>
  <c r="AI230" i="51"/>
  <c r="AQ230" i="51"/>
  <c r="L230" i="51"/>
  <c r="AZ230" i="51"/>
  <c r="N230" i="51"/>
  <c r="AD230" i="51"/>
  <c r="AH230" i="51"/>
  <c r="AX230" i="51"/>
  <c r="BB230" i="51"/>
  <c r="AB230" i="51"/>
  <c r="AV230" i="51"/>
  <c r="BG181" i="51"/>
  <c r="AD181" i="51"/>
  <c r="AL181" i="51"/>
  <c r="AH181" i="51"/>
  <c r="N202" i="51"/>
  <c r="BH202" i="51"/>
  <c r="Q202" i="51"/>
  <c r="BE202" i="51"/>
  <c r="BJ202" i="51"/>
  <c r="R181" i="51"/>
  <c r="BB181" i="51"/>
  <c r="BJ181" i="51"/>
  <c r="V202" i="51"/>
  <c r="AK202" i="51"/>
  <c r="T202" i="51"/>
  <c r="BF202" i="51"/>
  <c r="BA181" i="51"/>
  <c r="AM202" i="51"/>
  <c r="AN202" i="51"/>
  <c r="AU202" i="51"/>
  <c r="R202" i="51"/>
  <c r="AP202" i="51"/>
  <c r="BB202" i="51"/>
  <c r="AH202" i="51"/>
  <c r="L202" i="51"/>
  <c r="AD202" i="51"/>
  <c r="AI202" i="51"/>
  <c r="AZ202" i="51"/>
  <c r="O202" i="51"/>
  <c r="AF202" i="51"/>
  <c r="AX202" i="51"/>
  <c r="BC202" i="51"/>
  <c r="AA202" i="51"/>
  <c r="W202" i="51"/>
  <c r="AQ202" i="51"/>
  <c r="BK202" i="51"/>
  <c r="X202" i="51"/>
  <c r="AB202" i="51"/>
  <c r="AR202" i="51"/>
  <c r="AV202" i="51"/>
  <c r="BL202" i="51"/>
  <c r="N181" i="51"/>
  <c r="AX181" i="51"/>
  <c r="L181" i="51"/>
  <c r="AF181" i="51"/>
  <c r="AZ181" i="51"/>
  <c r="BE181" i="51"/>
  <c r="O181" i="51"/>
  <c r="S181" i="51"/>
  <c r="AI181" i="51"/>
  <c r="AM181" i="51"/>
  <c r="Q181" i="51"/>
  <c r="AK181" i="51"/>
  <c r="BF181" i="51"/>
  <c r="V181" i="51"/>
  <c r="AP181" i="51"/>
  <c r="W181" i="51"/>
  <c r="AA181" i="51"/>
  <c r="AQ181" i="51"/>
  <c r="BK181" i="51"/>
  <c r="X181" i="51"/>
  <c r="AB181" i="51"/>
  <c r="AR181" i="51"/>
  <c r="AV181" i="51"/>
  <c r="BL181" i="51"/>
  <c r="AU181" i="51"/>
  <c r="G108" i="51"/>
  <c r="DZ9" i="61" l="1"/>
  <c r="DN69" i="61"/>
  <c r="DX10" i="61"/>
  <c r="DY8" i="61"/>
  <c r="G12" i="51"/>
  <c r="AW103" i="39"/>
  <c r="BA55" i="39"/>
  <c r="AW575" i="41"/>
  <c r="AV575" i="41"/>
  <c r="AW574" i="41"/>
  <c r="AV574" i="41"/>
  <c r="AW90" i="40"/>
  <c r="AW75" i="40"/>
  <c r="AW64" i="40"/>
  <c r="AV122" i="39"/>
  <c r="AW122" i="39" s="1"/>
  <c r="AW120" i="39"/>
  <c r="AV120" i="39"/>
  <c r="AV121" i="39" s="1"/>
  <c r="AW121" i="39" s="1"/>
  <c r="AW113" i="39"/>
  <c r="AW114" i="39" s="1"/>
  <c r="AW65" i="39" s="1"/>
  <c r="AV113" i="39"/>
  <c r="AV114" i="39" s="1"/>
  <c r="AV65" i="39" s="1"/>
  <c r="AW109" i="39"/>
  <c r="AW110" i="39" s="1"/>
  <c r="AV109" i="39"/>
  <c r="AV110" i="39" s="1"/>
  <c r="AW69" i="39"/>
  <c r="AV69" i="39"/>
  <c r="AW67" i="39"/>
  <c r="AV67" i="39"/>
  <c r="AW64" i="39"/>
  <c r="AV64" i="39"/>
  <c r="AW55" i="39"/>
  <c r="AV55" i="39"/>
  <c r="AV209" i="4"/>
  <c r="AW209" i="4" s="1"/>
  <c r="AV202" i="4"/>
  <c r="AW202" i="4" s="1"/>
  <c r="AV201" i="4"/>
  <c r="AW201" i="4" s="1"/>
  <c r="AW203" i="4" s="1"/>
  <c r="AW199" i="4"/>
  <c r="AV199" i="4"/>
  <c r="DT143" i="4"/>
  <c r="AW92" i="4"/>
  <c r="AV92" i="4"/>
  <c r="AW91" i="4"/>
  <c r="AV91" i="4"/>
  <c r="EA9" i="61" l="1"/>
  <c r="DY10" i="61"/>
  <c r="DZ8" i="61"/>
  <c r="DN70" i="61"/>
  <c r="AW212" i="4"/>
  <c r="AW207" i="4" s="1"/>
  <c r="AV203" i="4"/>
  <c r="AV606" i="41"/>
  <c r="AW605" i="41"/>
  <c r="AV599" i="41"/>
  <c r="AW596" i="41"/>
  <c r="AW595" i="41"/>
  <c r="AV594" i="41"/>
  <c r="AW594" i="41" s="1"/>
  <c r="AV593" i="41"/>
  <c r="AV148" i="39"/>
  <c r="AV152" i="39"/>
  <c r="AV158" i="39"/>
  <c r="DZ10" i="61" l="1"/>
  <c r="EA8" i="61"/>
  <c r="EB9" i="61"/>
  <c r="DN71" i="61"/>
  <c r="AW210" i="4"/>
  <c r="AV204" i="4"/>
  <c r="AW204" i="4"/>
  <c r="AV212" i="4"/>
  <c r="AV213" i="4" s="1"/>
  <c r="AW213" i="4"/>
  <c r="AW593" i="41"/>
  <c r="AW597" i="41" s="1"/>
  <c r="DN72" i="61" l="1"/>
  <c r="EC9" i="61"/>
  <c r="EA10" i="61"/>
  <c r="EB8" i="61"/>
  <c r="AV207" i="4"/>
  <c r="AV210" i="4"/>
  <c r="AW157" i="39"/>
  <c r="AW148" i="39"/>
  <c r="EB10" i="61" l="1"/>
  <c r="EC8" i="61"/>
  <c r="ED9" i="61"/>
  <c r="DN73" i="61"/>
  <c r="EE9" i="61" l="1"/>
  <c r="EC10" i="61"/>
  <c r="ED8" i="61"/>
  <c r="DN74" i="61"/>
  <c r="AV140" i="41"/>
  <c r="AV136" i="41"/>
  <c r="AV135" i="41"/>
  <c r="AV134" i="41"/>
  <c r="AV129" i="41"/>
  <c r="AV123" i="41"/>
  <c r="AV122" i="41"/>
  <c r="AV121" i="41"/>
  <c r="AV120" i="41"/>
  <c r="AV117" i="41"/>
  <c r="AV116" i="41"/>
  <c r="AV115" i="41"/>
  <c r="AV114" i="41"/>
  <c r="AW129" i="41"/>
  <c r="AS129" i="41"/>
  <c r="AT129" i="41" s="1"/>
  <c r="AW127" i="41"/>
  <c r="AW123" i="41"/>
  <c r="AU123" i="41"/>
  <c r="AT123" i="41"/>
  <c r="AS123" i="41"/>
  <c r="AW122" i="41"/>
  <c r="AU122" i="41"/>
  <c r="AT122" i="41"/>
  <c r="AS122" i="41"/>
  <c r="AW121" i="41"/>
  <c r="AU121" i="41"/>
  <c r="AT121" i="41"/>
  <c r="AS121" i="41"/>
  <c r="AW120" i="41"/>
  <c r="AU120" i="41"/>
  <c r="AT120" i="41"/>
  <c r="AS120" i="41"/>
  <c r="AW117" i="41"/>
  <c r="AU117" i="41"/>
  <c r="AT117" i="41"/>
  <c r="AS117" i="41"/>
  <c r="AW116" i="41"/>
  <c r="AU116" i="41"/>
  <c r="AT116" i="41"/>
  <c r="AS116" i="41"/>
  <c r="AW115" i="41"/>
  <c r="AW140" i="41" s="1"/>
  <c r="AS140" i="41" s="1"/>
  <c r="AT140" i="41" s="1"/>
  <c r="AU140" i="41" s="1"/>
  <c r="AU115" i="41"/>
  <c r="AT115" i="41"/>
  <c r="AS115" i="41"/>
  <c r="AW114" i="41"/>
  <c r="AW136" i="41" s="1"/>
  <c r="AS136" i="41" s="1"/>
  <c r="AT136" i="41" s="1"/>
  <c r="AU136" i="41" s="1"/>
  <c r="AU114" i="41"/>
  <c r="AT114" i="41"/>
  <c r="AS114" i="41"/>
  <c r="ED10" i="61" l="1"/>
  <c r="EE8" i="61"/>
  <c r="EF9" i="61"/>
  <c r="DN75" i="61"/>
  <c r="AU129" i="41"/>
  <c r="AW135" i="41"/>
  <c r="AS135" i="41" s="1"/>
  <c r="AT135" i="41" s="1"/>
  <c r="AU135" i="41" s="1"/>
  <c r="AW134" i="41"/>
  <c r="AS134" i="41" s="1"/>
  <c r="AT134" i="41" s="1"/>
  <c r="AU134" i="41" s="1"/>
  <c r="EG9" i="61" l="1"/>
  <c r="EE10" i="61"/>
  <c r="EF8" i="61"/>
  <c r="DN76" i="61"/>
  <c r="AW42" i="42"/>
  <c r="AV42" i="42"/>
  <c r="AW41" i="42"/>
  <c r="AV41" i="42"/>
  <c r="AW38" i="42"/>
  <c r="AW35" i="42"/>
  <c r="AV35" i="42"/>
  <c r="AW34" i="42"/>
  <c r="AV34" i="42"/>
  <c r="AW31" i="42"/>
  <c r="AW26" i="42"/>
  <c r="AW25" i="42"/>
  <c r="AW27" i="42" s="1"/>
  <c r="AW20" i="42"/>
  <c r="AW15" i="42"/>
  <c r="AW14" i="42"/>
  <c r="AW13" i="42"/>
  <c r="AW12" i="42"/>
  <c r="AW9" i="42"/>
  <c r="AW16" i="42" s="1"/>
  <c r="AV9" i="42"/>
  <c r="AW8" i="42"/>
  <c r="AW647" i="41"/>
  <c r="AW636" i="41"/>
  <c r="AW635" i="41"/>
  <c r="AW634" i="41"/>
  <c r="AW18" i="42" l="1"/>
  <c r="AW22" i="42" s="1"/>
  <c r="AW23" i="42" s="1"/>
  <c r="EF10" i="61"/>
  <c r="EG8" i="61"/>
  <c r="EH9" i="61"/>
  <c r="DN77" i="61"/>
  <c r="AW10" i="42"/>
  <c r="AW548" i="41"/>
  <c r="AW549" i="41" s="1"/>
  <c r="AV548" i="41"/>
  <c r="AV549" i="41" s="1"/>
  <c r="AV543" i="41"/>
  <c r="AV544" i="41" s="1"/>
  <c r="AV545" i="41" s="1"/>
  <c r="AW542" i="41"/>
  <c r="AW544" i="41" s="1"/>
  <c r="AW545" i="41" s="1"/>
  <c r="AV542" i="41"/>
  <c r="AW170" i="41"/>
  <c r="AV170" i="41"/>
  <c r="AW169" i="41"/>
  <c r="AV169" i="41"/>
  <c r="AW168" i="41"/>
  <c r="AW171" i="41" s="1"/>
  <c r="AV168" i="41"/>
  <c r="AV171" i="41" s="1"/>
  <c r="AV165" i="41"/>
  <c r="AW164" i="41"/>
  <c r="AV164" i="41"/>
  <c r="AW163" i="41"/>
  <c r="AV163" i="41"/>
  <c r="AW162" i="41"/>
  <c r="AV162" i="41"/>
  <c r="AW161" i="41"/>
  <c r="AV161" i="41"/>
  <c r="AW160" i="41"/>
  <c r="AW165" i="41" s="1"/>
  <c r="AV160" i="41"/>
  <c r="AW155" i="41"/>
  <c r="AV155" i="41"/>
  <c r="AW154" i="41"/>
  <c r="AV154" i="41"/>
  <c r="AW152" i="41"/>
  <c r="AV152" i="41"/>
  <c r="AW148" i="41"/>
  <c r="AV148" i="41"/>
  <c r="AW107" i="41"/>
  <c r="AV107" i="41"/>
  <c r="AW56" i="41"/>
  <c r="AV56" i="41" s="1"/>
  <c r="AW55" i="41"/>
  <c r="AV55" i="41" s="1"/>
  <c r="AW19" i="41"/>
  <c r="AV19" i="41" s="1"/>
  <c r="AW9" i="41"/>
  <c r="AW15" i="41"/>
  <c r="AW17" i="41" s="1"/>
  <c r="AW21" i="41" s="1"/>
  <c r="AW39" i="41"/>
  <c r="AV39" i="41"/>
  <c r="AW38" i="41"/>
  <c r="AV38" i="41"/>
  <c r="AV35" i="41"/>
  <c r="AV33" i="41"/>
  <c r="AV30" i="41"/>
  <c r="AW26" i="41"/>
  <c r="AV25" i="41"/>
  <c r="AV24" i="41"/>
  <c r="AV26" i="41" s="1"/>
  <c r="AV14" i="41"/>
  <c r="AV13" i="41"/>
  <c r="AV12" i="41"/>
  <c r="AV9" i="41"/>
  <c r="AV8" i="41"/>
  <c r="AW99" i="40"/>
  <c r="AW98" i="40"/>
  <c r="AV83" i="40"/>
  <c r="AW81" i="40"/>
  <c r="AW36" i="40"/>
  <c r="AV36" i="40"/>
  <c r="AW35" i="40"/>
  <c r="AV35" i="40"/>
  <c r="AV32" i="40"/>
  <c r="AV29" i="40"/>
  <c r="AW25" i="40"/>
  <c r="AV24" i="40"/>
  <c r="AV26" i="42" s="1"/>
  <c r="AV23" i="40"/>
  <c r="AV18" i="40"/>
  <c r="AV20" i="42" s="1"/>
  <c r="AW14" i="40"/>
  <c r="AW16" i="40" s="1"/>
  <c r="AW20" i="40" s="1"/>
  <c r="AV13" i="40"/>
  <c r="AV12" i="40"/>
  <c r="AV14" i="42" s="1"/>
  <c r="AV11" i="40"/>
  <c r="AV10" i="40"/>
  <c r="AV8" i="40"/>
  <c r="AV8" i="42" s="1"/>
  <c r="AW213" i="39"/>
  <c r="AV213" i="39"/>
  <c r="AW205" i="39"/>
  <c r="AV205" i="39"/>
  <c r="AW204" i="39"/>
  <c r="AV204" i="39"/>
  <c r="AW188" i="39"/>
  <c r="AV188" i="39"/>
  <c r="AW187" i="39"/>
  <c r="AV187" i="39"/>
  <c r="AW186" i="39"/>
  <c r="AW199" i="39" s="1"/>
  <c r="AV186" i="39"/>
  <c r="AV127" i="39"/>
  <c r="AV82" i="4" s="1"/>
  <c r="AV108" i="39"/>
  <c r="AW107" i="39"/>
  <c r="AV107" i="39"/>
  <c r="AW102" i="39"/>
  <c r="AV102" i="39"/>
  <c r="AW88" i="39"/>
  <c r="AW91" i="39" s="1"/>
  <c r="AW92" i="39" s="1"/>
  <c r="AV88" i="39"/>
  <c r="AV91" i="39" s="1"/>
  <c r="AV92" i="39" s="1"/>
  <c r="AW78" i="39"/>
  <c r="AW79" i="39" s="1"/>
  <c r="AW81" i="39" s="1"/>
  <c r="AW83" i="39"/>
  <c r="AV83" i="39"/>
  <c r="AV77" i="39"/>
  <c r="AV76" i="39"/>
  <c r="AW20" i="39"/>
  <c r="AV20" i="39" s="1"/>
  <c r="AW9" i="39"/>
  <c r="AW38" i="39"/>
  <c r="AV38" i="39"/>
  <c r="AW37" i="39"/>
  <c r="AV37" i="39"/>
  <c r="AV34" i="39"/>
  <c r="AV31" i="39"/>
  <c r="AW27" i="39"/>
  <c r="AV26" i="39"/>
  <c r="AV25" i="39"/>
  <c r="AV27" i="39" s="1"/>
  <c r="AV15" i="39"/>
  <c r="AV14" i="39"/>
  <c r="AV13" i="39"/>
  <c r="AV12" i="39"/>
  <c r="AW16" i="39"/>
  <c r="AW18" i="39" s="1"/>
  <c r="AV9" i="39"/>
  <c r="AV8" i="39"/>
  <c r="AW248" i="4"/>
  <c r="AW247" i="4"/>
  <c r="AV247" i="4"/>
  <c r="AW246" i="4"/>
  <c r="AV246" i="4"/>
  <c r="AW244" i="4"/>
  <c r="AV244" i="4"/>
  <c r="AW228" i="4"/>
  <c r="AW227" i="4"/>
  <c r="AW223" i="4"/>
  <c r="AW221" i="4"/>
  <c r="AV182" i="4"/>
  <c r="AV177" i="4"/>
  <c r="AV171" i="4"/>
  <c r="AW171" i="4" s="1"/>
  <c r="AV160" i="4"/>
  <c r="AV158" i="4"/>
  <c r="AV191" i="4"/>
  <c r="AW190" i="4"/>
  <c r="AW189" i="4"/>
  <c r="AW188" i="4"/>
  <c r="AW187" i="4"/>
  <c r="AW185" i="4"/>
  <c r="AW182" i="4"/>
  <c r="AW181" i="4"/>
  <c r="AW180" i="4"/>
  <c r="AW177" i="4"/>
  <c r="AW176" i="4"/>
  <c r="AW175" i="4"/>
  <c r="AW174" i="4"/>
  <c r="AW170" i="4"/>
  <c r="AW169" i="4"/>
  <c r="AW168" i="4"/>
  <c r="AV166" i="4"/>
  <c r="AW165" i="4"/>
  <c r="AW164" i="4"/>
  <c r="AW163" i="4"/>
  <c r="AW160" i="4"/>
  <c r="AW159" i="4"/>
  <c r="AW158" i="4"/>
  <c r="AW157" i="4"/>
  <c r="DT138" i="4"/>
  <c r="AW138" i="4" s="1"/>
  <c r="AV138" i="4" s="1"/>
  <c r="DT137" i="4"/>
  <c r="DT136" i="4"/>
  <c r="DS136" i="4" s="1"/>
  <c r="DT133" i="4"/>
  <c r="DS133" i="4" s="1"/>
  <c r="DT132" i="4"/>
  <c r="DS132" i="4" s="1"/>
  <c r="DT150" i="4"/>
  <c r="DS150" i="4"/>
  <c r="DS146" i="4"/>
  <c r="DS145" i="4"/>
  <c r="DS144" i="4"/>
  <c r="DS143" i="4"/>
  <c r="DS142" i="4"/>
  <c r="DT147" i="4"/>
  <c r="AW147" i="4" s="1"/>
  <c r="DS141" i="4"/>
  <c r="DS138" i="4"/>
  <c r="DS137" i="4"/>
  <c r="DT139" i="4"/>
  <c r="AW139" i="4" s="1"/>
  <c r="DT134" i="4"/>
  <c r="DS131" i="4"/>
  <c r="DS130" i="4"/>
  <c r="DS129" i="4"/>
  <c r="AW150" i="4"/>
  <c r="AV150" i="4"/>
  <c r="AW146" i="4"/>
  <c r="AV146" i="4" s="1"/>
  <c r="AW145" i="4"/>
  <c r="AV145" i="4" s="1"/>
  <c r="AW144" i="4"/>
  <c r="AV144" i="4" s="1"/>
  <c r="AW143" i="4"/>
  <c r="AV143" i="4" s="1"/>
  <c r="AW142" i="4"/>
  <c r="AV142" i="4" s="1"/>
  <c r="AW141" i="4"/>
  <c r="AV141" i="4" s="1"/>
  <c r="AW137" i="4"/>
  <c r="AV137" i="4"/>
  <c r="AW133" i="4"/>
  <c r="AV133" i="4" s="1"/>
  <c r="AW132" i="4"/>
  <c r="AV132" i="4" s="1"/>
  <c r="AW131" i="4"/>
  <c r="AV131" i="4" s="1"/>
  <c r="AW130" i="4"/>
  <c r="AV130" i="4" s="1"/>
  <c r="AW129" i="4"/>
  <c r="AV129" i="4" s="1"/>
  <c r="AW120" i="4"/>
  <c r="AV120" i="4"/>
  <c r="AW119" i="4"/>
  <c r="AW84" i="4"/>
  <c r="AV84" i="4"/>
  <c r="AW82" i="4"/>
  <c r="AW62" i="4"/>
  <c r="AV61" i="4"/>
  <c r="AW25" i="4"/>
  <c r="AW9" i="4"/>
  <c r="AW46" i="4"/>
  <c r="AV43" i="4"/>
  <c r="AV40" i="4"/>
  <c r="AV39" i="4"/>
  <c r="AV36" i="4"/>
  <c r="AW32" i="4"/>
  <c r="AV31" i="4"/>
  <c r="AV30" i="4"/>
  <c r="AV32" i="4" s="1"/>
  <c r="AV25" i="4"/>
  <c r="AW16" i="4"/>
  <c r="AW22" i="4" s="1"/>
  <c r="AW219" i="4" s="1"/>
  <c r="AW235" i="4" s="1"/>
  <c r="AV15" i="4"/>
  <c r="AV14" i="4"/>
  <c r="AV13" i="4"/>
  <c r="AV12" i="4"/>
  <c r="AW10" i="4"/>
  <c r="AV9" i="4"/>
  <c r="AV16" i="4" s="1"/>
  <c r="AV8" i="4"/>
  <c r="AV90" i="40" l="1"/>
  <c r="AV25" i="42"/>
  <c r="AV27" i="42" s="1"/>
  <c r="AV75" i="40"/>
  <c r="AV146" i="39"/>
  <c r="AV13" i="42"/>
  <c r="AV62" i="42" s="1"/>
  <c r="AV31" i="42"/>
  <c r="AV97" i="40"/>
  <c r="AV68" i="40"/>
  <c r="AV15" i="42"/>
  <c r="AV10" i="42"/>
  <c r="AV38" i="42"/>
  <c r="AV63" i="40"/>
  <c r="AV12" i="42"/>
  <c r="AV16" i="42" s="1"/>
  <c r="AV18" i="42" s="1"/>
  <c r="AV96" i="40"/>
  <c r="AV151" i="39"/>
  <c r="AV153" i="39" s="1"/>
  <c r="AW29" i="42"/>
  <c r="AW33" i="42" s="1"/>
  <c r="AW37" i="42" s="1"/>
  <c r="AW44" i="42" s="1"/>
  <c r="EG10" i="61"/>
  <c r="EH8" i="61"/>
  <c r="EH10" i="61" s="1"/>
  <c r="DN78" i="61"/>
  <c r="AV248" i="4"/>
  <c r="AV10" i="41"/>
  <c r="AW28" i="41"/>
  <c r="AW31" i="41" s="1"/>
  <c r="AW34" i="41" s="1"/>
  <c r="AW22" i="41"/>
  <c r="AW10" i="41"/>
  <c r="AV15" i="41"/>
  <c r="AV17" i="41" s="1"/>
  <c r="AV25" i="40"/>
  <c r="AV14" i="40"/>
  <c r="AV16" i="40" s="1"/>
  <c r="AW27" i="40"/>
  <c r="AW21" i="40"/>
  <c r="AV89" i="39"/>
  <c r="AW89" i="39"/>
  <c r="AV78" i="39"/>
  <c r="AV79" i="39" s="1"/>
  <c r="AV81" i="39" s="1"/>
  <c r="AV16" i="39"/>
  <c r="AV18" i="39" s="1"/>
  <c r="AV22" i="39" s="1"/>
  <c r="AW22" i="39"/>
  <c r="AW252" i="4"/>
  <c r="AW10" i="39"/>
  <c r="AV10" i="39"/>
  <c r="AW191" i="4"/>
  <c r="AW166" i="4"/>
  <c r="AV161" i="4"/>
  <c r="AV172" i="4" s="1"/>
  <c r="AW161" i="4"/>
  <c r="AW172" i="4" s="1"/>
  <c r="AW178" i="4"/>
  <c r="AW183" i="4" s="1"/>
  <c r="AW193" i="4" s="1"/>
  <c r="AV178" i="4"/>
  <c r="AV183" i="4" s="1"/>
  <c r="AV193" i="4" s="1"/>
  <c r="DS147" i="4"/>
  <c r="DS139" i="4"/>
  <c r="AW136" i="4"/>
  <c r="AV136" i="4" s="1"/>
  <c r="AV139" i="4" s="1"/>
  <c r="AV134" i="4"/>
  <c r="DS134" i="4"/>
  <c r="DT149" i="4"/>
  <c r="AW149" i="4" s="1"/>
  <c r="AW152" i="4" s="1"/>
  <c r="AW134" i="4"/>
  <c r="AV147" i="4"/>
  <c r="AV62" i="4"/>
  <c r="AV22" i="4"/>
  <c r="AV28" i="4" s="1"/>
  <c r="AW28" i="4"/>
  <c r="AW220" i="4" s="1"/>
  <c r="AW229" i="4" s="1"/>
  <c r="AW27" i="4"/>
  <c r="AW34" i="4" s="1"/>
  <c r="AV10" i="4"/>
  <c r="AX20" i="39"/>
  <c r="AY20" i="39"/>
  <c r="AZ20" i="39"/>
  <c r="AW39" i="42" l="1"/>
  <c r="AV22" i="42"/>
  <c r="AV21" i="4"/>
  <c r="AV65" i="40"/>
  <c r="AW31" i="40"/>
  <c r="AW56" i="40"/>
  <c r="AV27" i="4"/>
  <c r="AV34" i="4" s="1"/>
  <c r="AW38" i="4"/>
  <c r="DQ7" i="61"/>
  <c r="DQ12" i="61" s="1"/>
  <c r="AW104" i="4"/>
  <c r="AW45" i="42"/>
  <c r="AW58" i="61"/>
  <c r="DN79" i="61"/>
  <c r="AV21" i="41"/>
  <c r="AV19" i="4"/>
  <c r="AW19" i="4" s="1"/>
  <c r="AW41" i="41"/>
  <c r="AW36" i="41"/>
  <c r="AW38" i="40"/>
  <c r="AW33" i="40"/>
  <c r="AW39" i="40" s="1"/>
  <c r="AV20" i="40"/>
  <c r="AV20" i="4"/>
  <c r="AV252" i="4"/>
  <c r="AV18" i="4"/>
  <c r="AV23" i="4" s="1"/>
  <c r="AW29" i="39"/>
  <c r="AW33" i="39" s="1"/>
  <c r="AW23" i="39"/>
  <c r="AV29" i="39"/>
  <c r="AV33" i="39" s="1"/>
  <c r="AV23" i="39"/>
  <c r="AV195" i="4"/>
  <c r="AW195" i="4"/>
  <c r="AV149" i="4"/>
  <c r="AV152" i="4" s="1"/>
  <c r="DS149" i="4"/>
  <c r="DS152" i="4" s="1"/>
  <c r="DT152" i="4"/>
  <c r="AX60" i="39"/>
  <c r="BH70" i="4"/>
  <c r="BI70" i="4" s="1"/>
  <c r="AW47" i="39" l="1"/>
  <c r="AV23" i="42"/>
  <c r="AV29" i="42"/>
  <c r="AV33" i="42" s="1"/>
  <c r="AW42" i="4"/>
  <c r="AW249" i="4"/>
  <c r="AV38" i="4"/>
  <c r="AV104" i="4"/>
  <c r="DN80" i="61"/>
  <c r="AW42" i="41"/>
  <c r="AW43" i="41" s="1"/>
  <c r="AW637" i="41"/>
  <c r="AV28" i="41"/>
  <c r="AV31" i="41" s="1"/>
  <c r="AV34" i="41" s="1"/>
  <c r="AV22" i="41"/>
  <c r="AW77" i="4"/>
  <c r="AW9" i="61" s="1"/>
  <c r="AV27" i="40"/>
  <c r="AV21" i="40"/>
  <c r="AV40" i="39"/>
  <c r="AV35" i="39"/>
  <c r="AW40" i="39"/>
  <c r="AW35" i="39"/>
  <c r="BJ70" i="4"/>
  <c r="AV37" i="42" l="1"/>
  <c r="AV61" i="42"/>
  <c r="AV31" i="40"/>
  <c r="AV56" i="40"/>
  <c r="AV42" i="4"/>
  <c r="AV249" i="4"/>
  <c r="AW50" i="4"/>
  <c r="AW44" i="4"/>
  <c r="DO80" i="61"/>
  <c r="DN81" i="61"/>
  <c r="AW41" i="39"/>
  <c r="AW46" i="39" s="1"/>
  <c r="AW189" i="39"/>
  <c r="AW185" i="39"/>
  <c r="AW198" i="39" s="1"/>
  <c r="AV41" i="39"/>
  <c r="AV75" i="4" s="1"/>
  <c r="AV189" i="39"/>
  <c r="AV185" i="39"/>
  <c r="AV41" i="41"/>
  <c r="AV36" i="41"/>
  <c r="AV42" i="41" s="1"/>
  <c r="AV38" i="40"/>
  <c r="AV33" i="40"/>
  <c r="AV145" i="39" s="1"/>
  <c r="BK70" i="4"/>
  <c r="AV44" i="42" l="1"/>
  <c r="AV39" i="42"/>
  <c r="AV45" i="42" s="1"/>
  <c r="AW75" i="4"/>
  <c r="AW7" i="61" s="1"/>
  <c r="AW51" i="4"/>
  <c r="AW222" i="4"/>
  <c r="AV50" i="4"/>
  <c r="AV44" i="4"/>
  <c r="AV51" i="4" s="1"/>
  <c r="DO81" i="61"/>
  <c r="DN82" i="61"/>
  <c r="AV39" i="40"/>
  <c r="AV77" i="4" s="1"/>
  <c r="AX133" i="4"/>
  <c r="I38" i="51"/>
  <c r="DQ38" i="51"/>
  <c r="DP38" i="51"/>
  <c r="DO38" i="51"/>
  <c r="DN38" i="51"/>
  <c r="DL38" i="51"/>
  <c r="DK38" i="51"/>
  <c r="DJ38" i="51"/>
  <c r="DI38" i="51"/>
  <c r="CW38" i="51"/>
  <c r="CV38" i="51"/>
  <c r="CU38" i="51"/>
  <c r="CT38" i="51"/>
  <c r="CR38" i="51"/>
  <c r="CQ38" i="51"/>
  <c r="CP38" i="51"/>
  <c r="CO38" i="51"/>
  <c r="CM38" i="51"/>
  <c r="CL38" i="51"/>
  <c r="CK38" i="51"/>
  <c r="CJ38" i="51"/>
  <c r="CH38" i="51"/>
  <c r="CG38" i="51"/>
  <c r="CF38" i="51"/>
  <c r="CE38" i="51"/>
  <c r="CC38" i="51"/>
  <c r="CB38" i="51"/>
  <c r="CA38" i="51"/>
  <c r="BZ38" i="51"/>
  <c r="BX38" i="51"/>
  <c r="BW38" i="51"/>
  <c r="BV38" i="51"/>
  <c r="BU38" i="51"/>
  <c r="BT38" i="51"/>
  <c r="BY38" i="51" s="1"/>
  <c r="CD38" i="51" s="1"/>
  <c r="CI38" i="51" s="1"/>
  <c r="CN38" i="51" s="1"/>
  <c r="CS38" i="51" s="1"/>
  <c r="CX38" i="51" s="1"/>
  <c r="BS38" i="51"/>
  <c r="BR38" i="51"/>
  <c r="BQ38" i="51"/>
  <c r="BP38" i="51"/>
  <c r="BN38" i="51"/>
  <c r="BM38" i="51" s="1"/>
  <c r="BI38" i="51"/>
  <c r="BH38" i="51" s="1"/>
  <c r="BD38" i="51"/>
  <c r="BB38" i="51" s="1"/>
  <c r="AY38" i="51"/>
  <c r="AX38" i="51" s="1"/>
  <c r="AT38" i="51"/>
  <c r="AS38" i="51" s="1"/>
  <c r="AO38" i="51"/>
  <c r="AN38" i="51" s="1"/>
  <c r="AJ38" i="51"/>
  <c r="AI38" i="51" s="1"/>
  <c r="AE38" i="51"/>
  <c r="AD38" i="51" s="1"/>
  <c r="Z38" i="51"/>
  <c r="Y38" i="51" s="1"/>
  <c r="U38" i="51"/>
  <c r="T38" i="51" s="1"/>
  <c r="P38" i="51"/>
  <c r="BB70" i="4"/>
  <c r="AV65" i="4" l="1"/>
  <c r="AV52" i="4"/>
  <c r="AW65" i="4"/>
  <c r="AW52" i="4"/>
  <c r="DO82" i="61"/>
  <c r="DN83" i="61"/>
  <c r="BG38" i="51"/>
  <c r="DC38" i="51"/>
  <c r="CY38" i="51" s="1"/>
  <c r="W38" i="51"/>
  <c r="V38" i="51"/>
  <c r="AF38" i="51"/>
  <c r="AP38" i="51"/>
  <c r="BC38" i="51"/>
  <c r="Q38" i="51"/>
  <c r="AZ38" i="51"/>
  <c r="AG38" i="51"/>
  <c r="R38" i="51"/>
  <c r="AK38" i="51"/>
  <c r="S38" i="51"/>
  <c r="AH38" i="51"/>
  <c r="AL38" i="51"/>
  <c r="AQ38" i="51"/>
  <c r="BA38" i="51"/>
  <c r="BE38" i="51"/>
  <c r="BJ38" i="51"/>
  <c r="AM38" i="51"/>
  <c r="BF38" i="51"/>
  <c r="BK38" i="51"/>
  <c r="AU38" i="51"/>
  <c r="AA38" i="51"/>
  <c r="X38" i="51"/>
  <c r="AB38" i="51"/>
  <c r="AR38" i="51"/>
  <c r="AV38" i="51"/>
  <c r="BL38" i="51"/>
  <c r="AC38" i="51"/>
  <c r="AW38" i="51"/>
  <c r="DO83" i="61" l="1"/>
  <c r="DN84" i="61"/>
  <c r="DF38" i="51"/>
  <c r="DA38" i="51"/>
  <c r="DH38" i="51"/>
  <c r="DM38" i="51" s="1"/>
  <c r="DR38" i="51" s="1"/>
  <c r="DD38" i="51"/>
  <c r="DG38" i="51"/>
  <c r="CZ38" i="51"/>
  <c r="DB38" i="51"/>
  <c r="DE38" i="51"/>
  <c r="DO84" i="61" l="1"/>
  <c r="DN85" i="61"/>
  <c r="BP221" i="41"/>
  <c r="BO221" i="41"/>
  <c r="BN221" i="41"/>
  <c r="BM221" i="41"/>
  <c r="BK221" i="41"/>
  <c r="BJ221" i="41"/>
  <c r="BI221" i="41"/>
  <c r="BH221" i="41"/>
  <c r="BF221" i="41"/>
  <c r="BE221" i="41"/>
  <c r="BD221" i="41"/>
  <c r="BC221" i="41"/>
  <c r="BA221" i="41"/>
  <c r="AZ221" i="41"/>
  <c r="AX221" i="41"/>
  <c r="BA231" i="41"/>
  <c r="AZ231" i="41"/>
  <c r="DO85" i="61" l="1"/>
  <c r="DN86" i="61"/>
  <c r="AY287" i="41"/>
  <c r="AZ287" i="41" s="1"/>
  <c r="BA287" i="41" s="1"/>
  <c r="AY274" i="41"/>
  <c r="AZ274" i="41" s="1"/>
  <c r="BA274" i="41" s="1"/>
  <c r="BB19" i="41"/>
  <c r="DO86" i="61" l="1"/>
  <c r="DN87" i="61"/>
  <c r="BA25" i="41"/>
  <c r="AZ25" i="41"/>
  <c r="AY25" i="41"/>
  <c r="AX25" i="41"/>
  <c r="DQ145" i="51"/>
  <c r="DP145" i="51"/>
  <c r="DO145" i="51"/>
  <c r="DN145" i="51"/>
  <c r="DL145" i="51"/>
  <c r="DK145" i="51"/>
  <c r="DJ145" i="51"/>
  <c r="DI145" i="51"/>
  <c r="DG145" i="51"/>
  <c r="DF145" i="51"/>
  <c r="DE145" i="51"/>
  <c r="DD145" i="51"/>
  <c r="DB145" i="51"/>
  <c r="DA145" i="51"/>
  <c r="CZ145" i="51"/>
  <c r="CY145" i="51"/>
  <c r="CW145" i="51"/>
  <c r="CV145" i="51"/>
  <c r="CU145" i="51"/>
  <c r="CT145" i="51"/>
  <c r="CR145" i="51"/>
  <c r="CQ145" i="51"/>
  <c r="CP145" i="51"/>
  <c r="CO145" i="51"/>
  <c r="CM145" i="51"/>
  <c r="CL145" i="51"/>
  <c r="CK145" i="51"/>
  <c r="CJ145" i="51"/>
  <c r="CH145" i="51"/>
  <c r="CG145" i="51"/>
  <c r="CF145" i="51"/>
  <c r="CE145" i="51"/>
  <c r="CC145" i="51"/>
  <c r="CB145" i="51"/>
  <c r="CA145" i="51"/>
  <c r="BZ145" i="51"/>
  <c r="BX145" i="51"/>
  <c r="BW145" i="51"/>
  <c r="BV145" i="51"/>
  <c r="BU145" i="51"/>
  <c r="BT145" i="51"/>
  <c r="BY145" i="51" s="1"/>
  <c r="CD145" i="51" s="1"/>
  <c r="CI145" i="51" s="1"/>
  <c r="CN145" i="51" s="1"/>
  <c r="CS145" i="51" s="1"/>
  <c r="CX145" i="51" s="1"/>
  <c r="DC145" i="51" s="1"/>
  <c r="DH145" i="51" s="1"/>
  <c r="DM145" i="51" s="1"/>
  <c r="DR145" i="51" s="1"/>
  <c r="BS145" i="51"/>
  <c r="BR145" i="51"/>
  <c r="BQ145" i="51"/>
  <c r="BP145" i="51"/>
  <c r="BN145" i="51"/>
  <c r="BM145" i="51" s="1"/>
  <c r="BI145" i="51"/>
  <c r="BH145" i="51" s="1"/>
  <c r="BD145" i="51"/>
  <c r="BC145" i="51" s="1"/>
  <c r="AY145" i="51"/>
  <c r="AW145" i="51" s="1"/>
  <c r="AT145" i="51"/>
  <c r="AS145" i="51" s="1"/>
  <c r="AO145" i="51"/>
  <c r="AN145" i="51" s="1"/>
  <c r="AJ145" i="51"/>
  <c r="DQ252" i="51"/>
  <c r="DP252" i="51"/>
  <c r="DO252" i="51"/>
  <c r="DN252" i="51"/>
  <c r="DL252" i="51"/>
  <c r="DK252" i="51"/>
  <c r="DJ252" i="51"/>
  <c r="DI252" i="51"/>
  <c r="DG252" i="51"/>
  <c r="DF252" i="51"/>
  <c r="DE252" i="51"/>
  <c r="DD252" i="51"/>
  <c r="CR252" i="51"/>
  <c r="CQ252" i="51"/>
  <c r="CP252" i="51"/>
  <c r="CO252" i="51"/>
  <c r="CM252" i="51"/>
  <c r="CL252" i="51"/>
  <c r="CK252" i="51"/>
  <c r="CJ252" i="51"/>
  <c r="CH252" i="51"/>
  <c r="CG252" i="51"/>
  <c r="CF252" i="51"/>
  <c r="CE252" i="51"/>
  <c r="CC252" i="51"/>
  <c r="CB252" i="51"/>
  <c r="CA252" i="51"/>
  <c r="BZ252" i="51"/>
  <c r="BX252" i="51"/>
  <c r="BW252" i="51"/>
  <c r="BV252" i="51"/>
  <c r="BU252" i="51"/>
  <c r="BT252" i="51"/>
  <c r="BY252" i="51" s="1"/>
  <c r="CD252" i="51" s="1"/>
  <c r="CI252" i="51" s="1"/>
  <c r="CN252" i="51" s="1"/>
  <c r="CS252" i="51" s="1"/>
  <c r="CX252" i="51" s="1"/>
  <c r="BS252" i="51"/>
  <c r="BR252" i="51"/>
  <c r="BQ252" i="51"/>
  <c r="BP252" i="51"/>
  <c r="BN252" i="51"/>
  <c r="BM252" i="51" s="1"/>
  <c r="BI252" i="51"/>
  <c r="BH252" i="51" s="1"/>
  <c r="BD252" i="51"/>
  <c r="BA252" i="51" s="1"/>
  <c r="AY252" i="51"/>
  <c r="AW252" i="51" s="1"/>
  <c r="AT252" i="51"/>
  <c r="AS252" i="51" s="1"/>
  <c r="AO252" i="51"/>
  <c r="AN252" i="51" s="1"/>
  <c r="AJ252" i="51"/>
  <c r="AG252" i="51" s="1"/>
  <c r="AE252" i="51"/>
  <c r="AC252" i="51" s="1"/>
  <c r="Z252" i="51"/>
  <c r="Y252" i="51" s="1"/>
  <c r="U252" i="51"/>
  <c r="T252" i="51" s="1"/>
  <c r="P252" i="51"/>
  <c r="M252" i="51" s="1"/>
  <c r="DO87" i="61" l="1"/>
  <c r="DN88" i="61"/>
  <c r="AZ145" i="51"/>
  <c r="AF252" i="51"/>
  <c r="V252" i="51"/>
  <c r="W252" i="51"/>
  <c r="BE145" i="51"/>
  <c r="BJ145" i="51"/>
  <c r="Q252" i="51"/>
  <c r="AK145" i="51"/>
  <c r="AU145" i="51"/>
  <c r="BA145" i="51"/>
  <c r="BF145" i="51"/>
  <c r="AL145" i="51"/>
  <c r="AX145" i="51"/>
  <c r="BB145" i="51"/>
  <c r="R252" i="51"/>
  <c r="AM145" i="51"/>
  <c r="O252" i="51"/>
  <c r="S252" i="51"/>
  <c r="AK252" i="51"/>
  <c r="BG145" i="51"/>
  <c r="AP145" i="51"/>
  <c r="AL252" i="51"/>
  <c r="AP252" i="51"/>
  <c r="BF252" i="51"/>
  <c r="BJ252" i="51"/>
  <c r="AQ145" i="51"/>
  <c r="BK145" i="51"/>
  <c r="X252" i="51"/>
  <c r="AI252" i="51"/>
  <c r="AM252" i="51"/>
  <c r="AQ252" i="51"/>
  <c r="BC252" i="51"/>
  <c r="BG252" i="51"/>
  <c r="BK252" i="51"/>
  <c r="AR145" i="51"/>
  <c r="AV145" i="51"/>
  <c r="BL145" i="51"/>
  <c r="BE252" i="51"/>
  <c r="AR252" i="51"/>
  <c r="BL252" i="51"/>
  <c r="DB252" i="51"/>
  <c r="CT252" i="51"/>
  <c r="DA252" i="51"/>
  <c r="CW252" i="51"/>
  <c r="CZ252" i="51"/>
  <c r="CV252" i="51"/>
  <c r="DC252" i="51"/>
  <c r="DH252" i="51" s="1"/>
  <c r="DM252" i="51" s="1"/>
  <c r="DR252" i="51" s="1"/>
  <c r="CY252" i="51"/>
  <c r="CU252" i="51"/>
  <c r="N252" i="51"/>
  <c r="AD252" i="51"/>
  <c r="AH252" i="51"/>
  <c r="AX252" i="51"/>
  <c r="BB252" i="51"/>
  <c r="AZ252" i="51"/>
  <c r="AA252" i="51"/>
  <c r="AU252" i="51"/>
  <c r="L252" i="51"/>
  <c r="AB252" i="51"/>
  <c r="AV252" i="51"/>
  <c r="DO88" i="61" l="1"/>
  <c r="DN89" i="61"/>
  <c r="AZ55" i="39"/>
  <c r="DO89" i="61" l="1"/>
  <c r="AU42" i="42"/>
  <c r="AU41" i="42"/>
  <c r="AU38" i="42"/>
  <c r="AU35" i="42"/>
  <c r="AU34" i="42"/>
  <c r="AU31" i="42"/>
  <c r="AU26" i="42"/>
  <c r="AU25" i="42"/>
  <c r="AU15" i="42"/>
  <c r="AU14" i="42"/>
  <c r="AU13" i="42"/>
  <c r="AU12" i="42"/>
  <c r="AU8" i="42"/>
  <c r="AU68" i="40"/>
  <c r="AU63" i="40"/>
  <c r="AU65" i="40" s="1"/>
  <c r="AU158" i="39"/>
  <c r="AT158" i="39"/>
  <c r="AS152" i="39"/>
  <c r="AN152" i="39"/>
  <c r="AU109" i="39"/>
  <c r="AU69" i="39"/>
  <c r="AU65" i="39"/>
  <c r="AU64" i="39"/>
  <c r="AU55" i="39"/>
  <c r="AU62" i="4"/>
  <c r="AU27" i="42" l="1"/>
  <c r="AT152" i="39"/>
  <c r="AU152" i="39" s="1"/>
  <c r="AO152" i="39"/>
  <c r="AP152" i="39" s="1"/>
  <c r="AT169" i="39"/>
  <c r="AQ152" i="39" l="1"/>
  <c r="AU163" i="39"/>
  <c r="AU151" i="39"/>
  <c r="AU153" i="39" s="1"/>
  <c r="AU148" i="39"/>
  <c r="AU146" i="39"/>
  <c r="AT163" i="39"/>
  <c r="AT151" i="39"/>
  <c r="AT153" i="39" s="1"/>
  <c r="AT148" i="39"/>
  <c r="AT146" i="39"/>
  <c r="DQ194" i="51"/>
  <c r="DP194" i="51"/>
  <c r="DO194" i="51"/>
  <c r="DN194" i="51"/>
  <c r="DL194" i="51"/>
  <c r="DK194" i="51"/>
  <c r="DJ194" i="51"/>
  <c r="DI194" i="51"/>
  <c r="DG194" i="51"/>
  <c r="DF194" i="51"/>
  <c r="DE194" i="51"/>
  <c r="DD194" i="51"/>
  <c r="DB194" i="51"/>
  <c r="DA194" i="51"/>
  <c r="CZ194" i="51"/>
  <c r="CY194" i="51"/>
  <c r="CW194" i="51"/>
  <c r="CV194" i="51"/>
  <c r="CU194" i="51"/>
  <c r="CT194" i="51"/>
  <c r="CR194" i="51"/>
  <c r="CQ194" i="51"/>
  <c r="CP194" i="51"/>
  <c r="CO194" i="51"/>
  <c r="CM194" i="51"/>
  <c r="CL194" i="51"/>
  <c r="CK194" i="51"/>
  <c r="CJ194" i="51"/>
  <c r="CH194" i="51"/>
  <c r="CG194" i="51"/>
  <c r="CF194" i="51"/>
  <c r="CE194" i="51"/>
  <c r="CC194" i="51"/>
  <c r="CB194" i="51"/>
  <c r="CA194" i="51"/>
  <c r="BZ194" i="51"/>
  <c r="BX194" i="51"/>
  <c r="BW194" i="51"/>
  <c r="BV194" i="51"/>
  <c r="BU194" i="51"/>
  <c r="BT194" i="51"/>
  <c r="BY194" i="51" s="1"/>
  <c r="CD194" i="51" s="1"/>
  <c r="CI194" i="51" s="1"/>
  <c r="CN194" i="51" s="1"/>
  <c r="CS194" i="51" s="1"/>
  <c r="CX194" i="51" s="1"/>
  <c r="DC194" i="51" s="1"/>
  <c r="DH194" i="51" s="1"/>
  <c r="DM194" i="51" s="1"/>
  <c r="DR194" i="51" s="1"/>
  <c r="BS194" i="51"/>
  <c r="BR194" i="51"/>
  <c r="BQ194" i="51"/>
  <c r="BP194" i="51"/>
  <c r="BN194" i="51"/>
  <c r="BM194" i="51" s="1"/>
  <c r="BI194" i="51"/>
  <c r="BH194" i="51" s="1"/>
  <c r="BD194" i="51"/>
  <c r="BC194" i="51" s="1"/>
  <c r="AY194" i="51"/>
  <c r="AX194" i="51" s="1"/>
  <c r="AT194" i="51"/>
  <c r="AS194" i="51" s="1"/>
  <c r="AO194" i="51"/>
  <c r="AN194" i="51" s="1"/>
  <c r="AJ194" i="51"/>
  <c r="AI194" i="51" s="1"/>
  <c r="AE194" i="51"/>
  <c r="AD194" i="51" s="1"/>
  <c r="Z194" i="51"/>
  <c r="Y194" i="51" s="1"/>
  <c r="U194" i="51"/>
  <c r="T194" i="51" s="1"/>
  <c r="P194" i="51"/>
  <c r="O194" i="51" s="1"/>
  <c r="DQ251" i="51"/>
  <c r="DP251" i="51"/>
  <c r="DO251" i="51"/>
  <c r="DN251" i="51"/>
  <c r="DL251" i="51"/>
  <c r="DK251" i="51"/>
  <c r="DJ251" i="51"/>
  <c r="DI251" i="51"/>
  <c r="DG251" i="51"/>
  <c r="DF251" i="51"/>
  <c r="DE251" i="51"/>
  <c r="DD251" i="51"/>
  <c r="CR251" i="51"/>
  <c r="CQ251" i="51"/>
  <c r="CP251" i="51"/>
  <c r="CO251" i="51"/>
  <c r="CM251" i="51"/>
  <c r="CL251" i="51"/>
  <c r="CK251" i="51"/>
  <c r="CJ251" i="51"/>
  <c r="CH251" i="51"/>
  <c r="CG251" i="51"/>
  <c r="CF251" i="51"/>
  <c r="CE251" i="51"/>
  <c r="CC251" i="51"/>
  <c r="CB251" i="51"/>
  <c r="CA251" i="51"/>
  <c r="BZ251" i="51"/>
  <c r="BX251" i="51"/>
  <c r="BW251" i="51"/>
  <c r="BV251" i="51"/>
  <c r="BU251" i="51"/>
  <c r="BT251" i="51"/>
  <c r="BY251" i="51" s="1"/>
  <c r="CD251" i="51" s="1"/>
  <c r="CI251" i="51" s="1"/>
  <c r="CN251" i="51" s="1"/>
  <c r="CS251" i="51" s="1"/>
  <c r="CX251" i="51" s="1"/>
  <c r="BS251" i="51"/>
  <c r="BR251" i="51"/>
  <c r="BQ251" i="51"/>
  <c r="BP251" i="51"/>
  <c r="BN251" i="51"/>
  <c r="BM251" i="51" s="1"/>
  <c r="BI251" i="51"/>
  <c r="BH251" i="51" s="1"/>
  <c r="BD251" i="51"/>
  <c r="BC251" i="51" s="1"/>
  <c r="AY251" i="51"/>
  <c r="AX251" i="51" s="1"/>
  <c r="AT251" i="51"/>
  <c r="AS251" i="51" s="1"/>
  <c r="AO251" i="51"/>
  <c r="AN251" i="51" s="1"/>
  <c r="AJ251" i="51"/>
  <c r="AI251" i="51" s="1"/>
  <c r="AE251" i="51"/>
  <c r="AD251" i="51" s="1"/>
  <c r="Z251" i="51"/>
  <c r="Y251" i="51" s="1"/>
  <c r="U251" i="51"/>
  <c r="S251" i="51" s="1"/>
  <c r="P251" i="51"/>
  <c r="O251" i="51" s="1"/>
  <c r="AU194" i="51" l="1"/>
  <c r="AU251" i="51"/>
  <c r="AP251" i="51"/>
  <c r="AZ251" i="51"/>
  <c r="BL251" i="51"/>
  <c r="BJ251" i="51"/>
  <c r="AF251" i="51"/>
  <c r="AR251" i="51"/>
  <c r="Q194" i="51"/>
  <c r="BE194" i="51"/>
  <c r="AK194" i="51"/>
  <c r="AA194" i="51"/>
  <c r="AM194" i="51"/>
  <c r="AW194" i="51"/>
  <c r="BG194" i="51"/>
  <c r="V251" i="51"/>
  <c r="S194" i="51"/>
  <c r="AC194" i="51"/>
  <c r="AL194" i="51"/>
  <c r="AV194" i="51"/>
  <c r="BF194" i="51"/>
  <c r="BJ194" i="51"/>
  <c r="X251" i="51"/>
  <c r="BB251" i="51"/>
  <c r="BK251" i="51"/>
  <c r="L194" i="51"/>
  <c r="N194" i="51"/>
  <c r="R194" i="51"/>
  <c r="AB194" i="51"/>
  <c r="AF194" i="51"/>
  <c r="BL194" i="51"/>
  <c r="L251" i="51"/>
  <c r="AH251" i="51"/>
  <c r="V194" i="51"/>
  <c r="X194" i="51"/>
  <c r="AP194" i="51"/>
  <c r="AR194" i="51"/>
  <c r="AZ194" i="51"/>
  <c r="BB194" i="51"/>
  <c r="AH194" i="51"/>
  <c r="N251" i="51"/>
  <c r="W251" i="51"/>
  <c r="AG251" i="51"/>
  <c r="AK251" i="51"/>
  <c r="BA251" i="51"/>
  <c r="BE251" i="51"/>
  <c r="M194" i="51"/>
  <c r="W194" i="51"/>
  <c r="AG194" i="51"/>
  <c r="AQ194" i="51"/>
  <c r="BA194" i="51"/>
  <c r="BK194" i="51"/>
  <c r="AW251" i="51"/>
  <c r="BG251" i="51"/>
  <c r="M251" i="51"/>
  <c r="Q251" i="51"/>
  <c r="AQ251" i="51"/>
  <c r="DB251" i="51"/>
  <c r="CZ251" i="51"/>
  <c r="CV251" i="51"/>
  <c r="CT251" i="51"/>
  <c r="DC251" i="51"/>
  <c r="DH251" i="51" s="1"/>
  <c r="DM251" i="51" s="1"/>
  <c r="DR251" i="51" s="1"/>
  <c r="DA251" i="51"/>
  <c r="CY251" i="51"/>
  <c r="CW251" i="51"/>
  <c r="CU251" i="51"/>
  <c r="AA251" i="51"/>
  <c r="AC251" i="51"/>
  <c r="AM251" i="51"/>
  <c r="R251" i="51"/>
  <c r="T251" i="51"/>
  <c r="AB251" i="51"/>
  <c r="AL251" i="51"/>
  <c r="AV251" i="51"/>
  <c r="BF251" i="51"/>
  <c r="DQ250" i="51" l="1"/>
  <c r="DP250" i="51"/>
  <c r="DO250" i="51"/>
  <c r="DN250" i="51"/>
  <c r="DL250" i="51"/>
  <c r="DK250" i="51"/>
  <c r="DJ250" i="51"/>
  <c r="DI250" i="51"/>
  <c r="DG250" i="51"/>
  <c r="DF250" i="51"/>
  <c r="DE250" i="51"/>
  <c r="DD250" i="51"/>
  <c r="CR250" i="51"/>
  <c r="CQ250" i="51"/>
  <c r="CP250" i="51"/>
  <c r="CO250" i="51"/>
  <c r="CM250" i="51"/>
  <c r="CL250" i="51"/>
  <c r="CK250" i="51"/>
  <c r="CJ250" i="51"/>
  <c r="CH250" i="51"/>
  <c r="CG250" i="51"/>
  <c r="CF250" i="51"/>
  <c r="CE250" i="51"/>
  <c r="CC250" i="51"/>
  <c r="CB250" i="51"/>
  <c r="CA250" i="51"/>
  <c r="BZ250" i="51"/>
  <c r="BX250" i="51"/>
  <c r="BW250" i="51"/>
  <c r="BV250" i="51"/>
  <c r="BU250" i="51"/>
  <c r="BT250" i="51"/>
  <c r="BY250" i="51" s="1"/>
  <c r="CD250" i="51" s="1"/>
  <c r="CI250" i="51" s="1"/>
  <c r="CN250" i="51" s="1"/>
  <c r="CS250" i="51" s="1"/>
  <c r="CX250" i="51" s="1"/>
  <c r="BS250" i="51"/>
  <c r="BR250" i="51"/>
  <c r="BQ250" i="51"/>
  <c r="BP250" i="51"/>
  <c r="BN250" i="51"/>
  <c r="BM250" i="51" s="1"/>
  <c r="BI250" i="51"/>
  <c r="BF250" i="51" s="1"/>
  <c r="BD250" i="51"/>
  <c r="BC250" i="51" s="1"/>
  <c r="AY250" i="51"/>
  <c r="AX250" i="51" s="1"/>
  <c r="AT250" i="51"/>
  <c r="AS250" i="51" s="1"/>
  <c r="AO250" i="51"/>
  <c r="AN250" i="51" s="1"/>
  <c r="AJ250" i="51"/>
  <c r="AI250" i="51" s="1"/>
  <c r="AE250" i="51"/>
  <c r="AD250" i="51" s="1"/>
  <c r="Z250" i="51"/>
  <c r="Y250" i="51" s="1"/>
  <c r="U250" i="51"/>
  <c r="T250" i="51" s="1"/>
  <c r="P250" i="51"/>
  <c r="O250" i="51" s="1"/>
  <c r="DQ229" i="51"/>
  <c r="DP229" i="51"/>
  <c r="DO229" i="51"/>
  <c r="DN229" i="51"/>
  <c r="DL229" i="51"/>
  <c r="DK229" i="51"/>
  <c r="DJ229" i="51"/>
  <c r="DI229" i="51"/>
  <c r="DG229" i="51"/>
  <c r="DF229" i="51"/>
  <c r="DE229" i="51"/>
  <c r="DD229" i="51"/>
  <c r="DB229" i="51"/>
  <c r="DA229" i="51"/>
  <c r="CZ229" i="51"/>
  <c r="CY229" i="51"/>
  <c r="CW229" i="51"/>
  <c r="CV229" i="51"/>
  <c r="CU229" i="51"/>
  <c r="CT229" i="51"/>
  <c r="CR229" i="51"/>
  <c r="CQ229" i="51"/>
  <c r="CP229" i="51"/>
  <c r="CO229" i="51"/>
  <c r="CM229" i="51"/>
  <c r="CL229" i="51"/>
  <c r="CK229" i="51"/>
  <c r="CJ229" i="51"/>
  <c r="CH229" i="51"/>
  <c r="CG229" i="51"/>
  <c r="CF229" i="51"/>
  <c r="CE229" i="51"/>
  <c r="CC229" i="51"/>
  <c r="CB229" i="51"/>
  <c r="CA229" i="51"/>
  <c r="BZ229" i="51"/>
  <c r="BX229" i="51"/>
  <c r="BW229" i="51"/>
  <c r="BV229" i="51"/>
  <c r="BU229" i="51"/>
  <c r="BT229" i="51"/>
  <c r="BY229" i="51" s="1"/>
  <c r="CD229" i="51" s="1"/>
  <c r="CI229" i="51" s="1"/>
  <c r="CN229" i="51" s="1"/>
  <c r="CS229" i="51" s="1"/>
  <c r="CX229" i="51" s="1"/>
  <c r="DC229" i="51" s="1"/>
  <c r="DH229" i="51" s="1"/>
  <c r="DM229" i="51" s="1"/>
  <c r="DR229" i="51" s="1"/>
  <c r="BS229" i="51"/>
  <c r="BR229" i="51"/>
  <c r="BQ229" i="51"/>
  <c r="BP229" i="51"/>
  <c r="BN229" i="51"/>
  <c r="BM229" i="51" s="1"/>
  <c r="BI229" i="51"/>
  <c r="BH229" i="51" s="1"/>
  <c r="BD229" i="51"/>
  <c r="BC229" i="51" s="1"/>
  <c r="AY229" i="51"/>
  <c r="AX229" i="51" s="1"/>
  <c r="AT229" i="51"/>
  <c r="AS229" i="51" s="1"/>
  <c r="AO229" i="51"/>
  <c r="AN229" i="51" s="1"/>
  <c r="AJ229" i="51"/>
  <c r="AI229" i="51" s="1"/>
  <c r="AE229" i="51"/>
  <c r="AD229" i="51" s="1"/>
  <c r="Z229" i="51"/>
  <c r="Y229" i="51" s="1"/>
  <c r="U229" i="51"/>
  <c r="T229" i="51" s="1"/>
  <c r="P229" i="51"/>
  <c r="O229" i="51" s="1"/>
  <c r="DQ238" i="51"/>
  <c r="DP238" i="51"/>
  <c r="DO238" i="51"/>
  <c r="DN238" i="51"/>
  <c r="DL238" i="51"/>
  <c r="DK238" i="51"/>
  <c r="DJ238" i="51"/>
  <c r="DI238" i="51"/>
  <c r="DG238" i="51"/>
  <c r="DF238" i="51"/>
  <c r="DE238" i="51"/>
  <c r="DD238" i="51"/>
  <c r="DB238" i="51"/>
  <c r="DA238" i="51"/>
  <c r="CZ238" i="51"/>
  <c r="CY238" i="51"/>
  <c r="CW238" i="51"/>
  <c r="CV238" i="51"/>
  <c r="CU238" i="51"/>
  <c r="CT238" i="51"/>
  <c r="CR238" i="51"/>
  <c r="CQ238" i="51"/>
  <c r="CP238" i="51"/>
  <c r="CO238" i="51"/>
  <c r="CM238" i="51"/>
  <c r="CL238" i="51"/>
  <c r="CK238" i="51"/>
  <c r="CJ238" i="51"/>
  <c r="CH238" i="51"/>
  <c r="CG238" i="51"/>
  <c r="CF238" i="51"/>
  <c r="CE238" i="51"/>
  <c r="CC238" i="51"/>
  <c r="CB238" i="51"/>
  <c r="CA238" i="51"/>
  <c r="BZ238" i="51"/>
  <c r="BX238" i="51"/>
  <c r="BW238" i="51"/>
  <c r="BV238" i="51"/>
  <c r="BU238" i="51"/>
  <c r="BT238" i="51"/>
  <c r="BY238" i="51" s="1"/>
  <c r="CD238" i="51" s="1"/>
  <c r="CI238" i="51" s="1"/>
  <c r="CN238" i="51" s="1"/>
  <c r="CS238" i="51" s="1"/>
  <c r="CX238" i="51" s="1"/>
  <c r="DC238" i="51" s="1"/>
  <c r="DH238" i="51" s="1"/>
  <c r="DM238" i="51" s="1"/>
  <c r="DR238" i="51" s="1"/>
  <c r="BS238" i="51"/>
  <c r="BR238" i="51"/>
  <c r="BQ238" i="51"/>
  <c r="BP238" i="51"/>
  <c r="BN238" i="51"/>
  <c r="BM238" i="51" s="1"/>
  <c r="BI238" i="51"/>
  <c r="BH238" i="51" s="1"/>
  <c r="BD238" i="51"/>
  <c r="BC238" i="51" s="1"/>
  <c r="AY238" i="51"/>
  <c r="AX238" i="51" s="1"/>
  <c r="AT238" i="51"/>
  <c r="AS238" i="51" s="1"/>
  <c r="AO238" i="51"/>
  <c r="AN238" i="51" s="1"/>
  <c r="AJ238" i="51"/>
  <c r="AI238" i="51" s="1"/>
  <c r="AE238" i="51"/>
  <c r="AD238" i="51" s="1"/>
  <c r="Z238" i="51"/>
  <c r="Y238" i="51" s="1"/>
  <c r="U238" i="51"/>
  <c r="T238" i="51" s="1"/>
  <c r="P238" i="51"/>
  <c r="O238" i="51" s="1"/>
  <c r="AU611" i="41"/>
  <c r="AT611" i="41"/>
  <c r="AU599" i="41"/>
  <c r="AT599" i="41"/>
  <c r="AT595" i="41"/>
  <c r="AU595" i="41" s="1"/>
  <c r="AU594" i="41"/>
  <c r="AT594" i="41"/>
  <c r="AT593" i="41"/>
  <c r="AU62" i="42"/>
  <c r="AU625" i="41"/>
  <c r="AU619" i="41"/>
  <c r="AU618" i="41"/>
  <c r="AU617" i="41"/>
  <c r="AU615" i="41"/>
  <c r="AT625" i="41"/>
  <c r="AT618" i="41"/>
  <c r="AT617" i="41"/>
  <c r="AT615" i="41"/>
  <c r="AU559" i="41"/>
  <c r="AU557" i="41"/>
  <c r="AU554" i="41"/>
  <c r="AU553" i="41"/>
  <c r="AT559" i="41"/>
  <c r="AT557" i="41"/>
  <c r="AT554" i="41"/>
  <c r="AT553" i="41"/>
  <c r="AU548" i="41"/>
  <c r="AU549" i="41" s="1"/>
  <c r="AU544" i="41"/>
  <c r="AU545" i="41" s="1"/>
  <c r="AU542" i="41"/>
  <c r="AU449" i="41"/>
  <c r="AU457" i="41"/>
  <c r="AU459" i="41"/>
  <c r="AU452" i="41" s="1"/>
  <c r="AU163" i="41" s="1"/>
  <c r="AU461" i="41"/>
  <c r="AU462" i="41" s="1"/>
  <c r="AU469" i="41"/>
  <c r="AU471" i="41"/>
  <c r="AU473" i="41"/>
  <c r="AU474" i="41" s="1"/>
  <c r="AU476" i="41" s="1"/>
  <c r="AU478" i="41" s="1"/>
  <c r="AU422" i="41"/>
  <c r="AU433" i="41"/>
  <c r="AU435" i="41"/>
  <c r="AU438" i="41" s="1"/>
  <c r="AU441" i="41" s="1"/>
  <c r="AU437" i="41"/>
  <c r="AU403" i="41"/>
  <c r="AU405" i="41"/>
  <c r="AU406" i="41" s="1"/>
  <c r="AU375" i="41"/>
  <c r="AU377" i="41"/>
  <c r="AU379" i="41"/>
  <c r="AU380" i="41" s="1"/>
  <c r="AU367" i="41"/>
  <c r="AU364" i="41"/>
  <c r="AU356" i="41" s="1"/>
  <c r="AU162" i="41" s="1"/>
  <c r="AU333" i="41"/>
  <c r="AU313" i="41"/>
  <c r="AU302" i="41" s="1"/>
  <c r="AU161" i="41" s="1"/>
  <c r="AU283" i="41"/>
  <c r="AU285" i="41"/>
  <c r="AU287" i="41"/>
  <c r="AU288" i="41"/>
  <c r="AU291" i="41"/>
  <c r="AU270" i="41"/>
  <c r="AU272" i="41"/>
  <c r="AU264" i="41" s="1"/>
  <c r="AU160" i="41" s="1"/>
  <c r="AU274" i="41"/>
  <c r="AU275" i="41"/>
  <c r="AU265" i="41" s="1"/>
  <c r="AU278" i="41"/>
  <c r="AU248" i="41"/>
  <c r="AU213" i="41"/>
  <c r="AU214" i="41"/>
  <c r="AU182" i="41"/>
  <c r="AU186" i="41" s="1"/>
  <c r="AU192" i="41" s="1"/>
  <c r="AU183" i="41"/>
  <c r="AU185" i="41"/>
  <c r="AU176" i="41"/>
  <c r="AU170" i="41"/>
  <c r="AU169" i="41"/>
  <c r="AU168" i="41"/>
  <c r="AU171" i="41" s="1"/>
  <c r="AU39" i="41"/>
  <c r="AU38" i="41"/>
  <c r="AU35" i="41"/>
  <c r="AU21" i="41"/>
  <c r="AU28" i="41" s="1"/>
  <c r="AU19" i="41"/>
  <c r="AU9" i="41"/>
  <c r="AU97" i="40"/>
  <c r="AU96" i="40"/>
  <c r="AU90" i="40"/>
  <c r="AU75" i="40"/>
  <c r="AU35" i="40"/>
  <c r="AU36" i="40"/>
  <c r="BJ238" i="51" l="1"/>
  <c r="BJ229" i="51"/>
  <c r="BH250" i="51"/>
  <c r="V238" i="51"/>
  <c r="V229" i="51"/>
  <c r="AU574" i="41"/>
  <c r="AU575" i="41"/>
  <c r="AU22" i="41"/>
  <c r="V250" i="51"/>
  <c r="Q250" i="51"/>
  <c r="BE250" i="51"/>
  <c r="R250" i="51"/>
  <c r="AU250" i="51"/>
  <c r="BG250" i="51"/>
  <c r="S250" i="51"/>
  <c r="AK250" i="51"/>
  <c r="AA250" i="51"/>
  <c r="AM250" i="51"/>
  <c r="AW250" i="51"/>
  <c r="BJ250" i="51"/>
  <c r="AP229" i="51"/>
  <c r="AP238" i="51"/>
  <c r="BL238" i="51"/>
  <c r="L229" i="51"/>
  <c r="X229" i="51"/>
  <c r="AZ229" i="51"/>
  <c r="BL229" i="51"/>
  <c r="L238" i="51"/>
  <c r="X238" i="51"/>
  <c r="N238" i="51"/>
  <c r="W238" i="51"/>
  <c r="AA238" i="51"/>
  <c r="AF238" i="51"/>
  <c r="AR238" i="51"/>
  <c r="BK238" i="51"/>
  <c r="N229" i="51"/>
  <c r="W229" i="51"/>
  <c r="AA229" i="51"/>
  <c r="AF229" i="51"/>
  <c r="AR229" i="51"/>
  <c r="BB229" i="51"/>
  <c r="BK229" i="51"/>
  <c r="AC250" i="51"/>
  <c r="AL250" i="51"/>
  <c r="AP250" i="51"/>
  <c r="L250" i="51"/>
  <c r="AB250" i="51"/>
  <c r="AF250" i="51"/>
  <c r="AV250" i="51"/>
  <c r="AZ250" i="51"/>
  <c r="N250" i="51"/>
  <c r="X250" i="51"/>
  <c r="AH250" i="51"/>
  <c r="AR250" i="51"/>
  <c r="BB250" i="51"/>
  <c r="BL250" i="51"/>
  <c r="DB250" i="51"/>
  <c r="CZ250" i="51"/>
  <c r="CV250" i="51"/>
  <c r="CT250" i="51"/>
  <c r="DC250" i="51"/>
  <c r="DH250" i="51" s="1"/>
  <c r="DM250" i="51" s="1"/>
  <c r="DR250" i="51" s="1"/>
  <c r="DA250" i="51"/>
  <c r="CY250" i="51"/>
  <c r="CW250" i="51"/>
  <c r="CU250" i="51"/>
  <c r="M250" i="51"/>
  <c r="W250" i="51"/>
  <c r="AG250" i="51"/>
  <c r="AQ250" i="51"/>
  <c r="BA250" i="51"/>
  <c r="BK250" i="51"/>
  <c r="AH229" i="51"/>
  <c r="AQ229" i="51"/>
  <c r="AU229" i="51"/>
  <c r="M229" i="51"/>
  <c r="Q229" i="51"/>
  <c r="AG229" i="51"/>
  <c r="AK229" i="51"/>
  <c r="BA229" i="51"/>
  <c r="BE229" i="51"/>
  <c r="S229" i="51"/>
  <c r="AC229" i="51"/>
  <c r="AM229" i="51"/>
  <c r="AW229" i="51"/>
  <c r="BG229" i="51"/>
  <c r="R229" i="51"/>
  <c r="AB229" i="51"/>
  <c r="AL229" i="51"/>
  <c r="AV229" i="51"/>
  <c r="BF229" i="51"/>
  <c r="AH238" i="51"/>
  <c r="AQ238" i="51"/>
  <c r="AU238" i="51"/>
  <c r="AZ238" i="51"/>
  <c r="BB238" i="51"/>
  <c r="M238" i="51"/>
  <c r="Q238" i="51"/>
  <c r="AG238" i="51"/>
  <c r="AK238" i="51"/>
  <c r="BA238" i="51"/>
  <c r="BE238" i="51"/>
  <c r="S238" i="51"/>
  <c r="AC238" i="51"/>
  <c r="AM238" i="51"/>
  <c r="AW238" i="51"/>
  <c r="BG238" i="51"/>
  <c r="R238" i="51"/>
  <c r="AB238" i="51"/>
  <c r="AL238" i="51"/>
  <c r="AV238" i="51"/>
  <c r="BF238" i="51"/>
  <c r="AU453" i="41"/>
  <c r="AU464" i="41"/>
  <c r="AU394" i="41"/>
  <c r="AU164" i="41" s="1"/>
  <c r="AU383" i="41"/>
  <c r="AU165" i="41"/>
  <c r="AU261" i="41"/>
  <c r="AU266" i="41"/>
  <c r="AU152" i="41"/>
  <c r="AU213" i="39"/>
  <c r="AU205" i="39"/>
  <c r="AU204" i="39"/>
  <c r="AT189" i="39"/>
  <c r="AT188" i="39"/>
  <c r="AT187" i="39"/>
  <c r="AT186" i="39"/>
  <c r="AT185" i="39"/>
  <c r="AU188" i="39"/>
  <c r="AU186" i="39"/>
  <c r="AU177" i="39"/>
  <c r="AU170" i="39"/>
  <c r="AU169" i="39"/>
  <c r="AU171" i="39" s="1"/>
  <c r="AU167" i="39"/>
  <c r="AT177" i="39"/>
  <c r="AT170" i="39"/>
  <c r="AT171" i="39"/>
  <c r="AT167" i="39"/>
  <c r="AU119" i="4"/>
  <c r="AU122" i="39"/>
  <c r="AU120" i="39"/>
  <c r="AU121" i="39" s="1"/>
  <c r="AU113" i="39"/>
  <c r="AU114" i="39" s="1"/>
  <c r="AU110" i="39"/>
  <c r="AU107" i="39"/>
  <c r="AU102" i="39"/>
  <c r="AU103" i="39" s="1"/>
  <c r="AU79" i="39"/>
  <c r="AU81" i="39"/>
  <c r="AU83" i="39"/>
  <c r="AU88" i="39"/>
  <c r="AU89" i="39" s="1"/>
  <c r="AU91" i="39"/>
  <c r="AU92" i="39" s="1"/>
  <c r="AU78" i="39"/>
  <c r="AU37" i="39"/>
  <c r="AU38" i="39"/>
  <c r="AU34" i="39"/>
  <c r="AU22" i="39"/>
  <c r="AU23" i="39" s="1"/>
  <c r="AU187" i="39" s="1"/>
  <c r="AU9" i="39"/>
  <c r="AP163" i="39"/>
  <c r="AP158" i="39"/>
  <c r="AP151" i="39"/>
  <c r="AP153" i="39" s="1"/>
  <c r="AP146" i="39"/>
  <c r="AP147" i="39"/>
  <c r="AU248" i="4"/>
  <c r="AU201" i="4"/>
  <c r="AU202" i="4"/>
  <c r="AU203" i="4" s="1"/>
  <c r="AU199" i="4"/>
  <c r="AU182" i="4"/>
  <c r="AU177" i="4"/>
  <c r="AU171" i="4"/>
  <c r="AU160" i="4"/>
  <c r="AU158" i="4"/>
  <c r="AU129" i="4"/>
  <c r="AU130" i="4"/>
  <c r="AU131" i="4"/>
  <c r="AU141" i="4"/>
  <c r="AU91" i="4" s="1"/>
  <c r="AU142" i="4"/>
  <c r="AU144" i="4"/>
  <c r="AU70" i="4" s="1"/>
  <c r="AU145" i="4"/>
  <c r="AU64" i="4" s="1"/>
  <c r="AU146" i="4"/>
  <c r="DR143" i="4"/>
  <c r="DR147" i="4" s="1"/>
  <c r="DR137" i="4"/>
  <c r="DR136" i="4"/>
  <c r="DR133" i="4"/>
  <c r="DR132" i="4"/>
  <c r="DR134" i="4" s="1"/>
  <c r="AU120" i="4"/>
  <c r="AU82" i="4"/>
  <c r="AU84" i="4"/>
  <c r="AU25" i="4"/>
  <c r="AU20" i="42" s="1"/>
  <c r="AZ20" i="42" s="1"/>
  <c r="AU10" i="4"/>
  <c r="AU9" i="4"/>
  <c r="AU9" i="42" s="1"/>
  <c r="AU29" i="39" l="1"/>
  <c r="AU67" i="39" s="1"/>
  <c r="AU247" i="4"/>
  <c r="AU143" i="4"/>
  <c r="AU147" i="4" s="1"/>
  <c r="AU92" i="4"/>
  <c r="AU16" i="42"/>
  <c r="AU18" i="42" s="1"/>
  <c r="AU10" i="42"/>
  <c r="DR139" i="4"/>
  <c r="DR149" i="4" s="1"/>
  <c r="AU246" i="4"/>
  <c r="AU448" i="41"/>
  <c r="AU450" i="41" s="1"/>
  <c r="AU107" i="41" s="1"/>
  <c r="AU466" i="41"/>
  <c r="AU148" i="41"/>
  <c r="AU454" i="41"/>
  <c r="AU155" i="41"/>
  <c r="AU180" i="39"/>
  <c r="AU175" i="39" s="1"/>
  <c r="AT180" i="39"/>
  <c r="AT175" i="39" s="1"/>
  <c r="BB596" i="41"/>
  <c r="AU22" i="42" l="1"/>
  <c r="AU21" i="4"/>
  <c r="AU172" i="39"/>
  <c r="AU178" i="39"/>
  <c r="AU214" i="39" s="1"/>
  <c r="AU181" i="39"/>
  <c r="AT172" i="39"/>
  <c r="AT178" i="39"/>
  <c r="AT181" i="39"/>
  <c r="BQ131" i="4"/>
  <c r="BN131" i="4" s="1"/>
  <c r="BL131" i="4"/>
  <c r="BK131" i="4" s="1"/>
  <c r="BB131" i="4"/>
  <c r="BG131" i="4"/>
  <c r="BF131" i="4" s="1"/>
  <c r="AU23" i="42" l="1"/>
  <c r="AU29" i="42"/>
  <c r="AU33" i="42" s="1"/>
  <c r="BO131" i="4"/>
  <c r="BP131" i="4"/>
  <c r="BM131" i="4"/>
  <c r="BC131" i="4"/>
  <c r="BH131" i="4"/>
  <c r="BD131" i="4"/>
  <c r="BI131" i="4"/>
  <c r="BE131" i="4"/>
  <c r="BJ131" i="4"/>
  <c r="AU37" i="42" l="1"/>
  <c r="AU61" i="42"/>
  <c r="AU39" i="42" l="1"/>
  <c r="AU45" i="42" s="1"/>
  <c r="AU44" i="42"/>
  <c r="AZ12" i="42"/>
  <c r="BA12" i="42"/>
  <c r="AY55" i="39" l="1"/>
  <c r="AT68" i="40"/>
  <c r="AT63" i="40"/>
  <c r="AT65" i="40" s="1"/>
  <c r="AT69" i="39"/>
  <c r="AT64" i="39"/>
  <c r="DQ138" i="4"/>
  <c r="AU138" i="4" s="1"/>
  <c r="DQ137" i="4"/>
  <c r="AU137" i="4" s="1"/>
  <c r="DQ247" i="51" l="1"/>
  <c r="DP247" i="51"/>
  <c r="DO247" i="51"/>
  <c r="DN247" i="51"/>
  <c r="DL247" i="51"/>
  <c r="DK247" i="51"/>
  <c r="DJ247" i="51"/>
  <c r="DI247" i="51"/>
  <c r="DG247" i="51"/>
  <c r="DF247" i="51"/>
  <c r="DE247" i="51"/>
  <c r="DD247" i="51"/>
  <c r="CM247" i="51"/>
  <c r="CL247" i="51"/>
  <c r="CK247" i="51"/>
  <c r="CJ247" i="51"/>
  <c r="CH247" i="51"/>
  <c r="CG247" i="51"/>
  <c r="CF247" i="51"/>
  <c r="CE247" i="51"/>
  <c r="CC247" i="51"/>
  <c r="CB247" i="51"/>
  <c r="CA247" i="51"/>
  <c r="BZ247" i="51"/>
  <c r="BX247" i="51"/>
  <c r="BW247" i="51"/>
  <c r="BV247" i="51"/>
  <c r="BU247" i="51"/>
  <c r="BT247" i="51"/>
  <c r="BY247" i="51" s="1"/>
  <c r="CD247" i="51" s="1"/>
  <c r="CI247" i="51" s="1"/>
  <c r="CN247" i="51" s="1"/>
  <c r="CS247" i="51" s="1"/>
  <c r="BS247" i="51"/>
  <c r="BR247" i="51"/>
  <c r="BQ247" i="51"/>
  <c r="BP247" i="51"/>
  <c r="BN247" i="51"/>
  <c r="BM247" i="51" s="1"/>
  <c r="BI247" i="51"/>
  <c r="BH247" i="51" s="1"/>
  <c r="BD247" i="51"/>
  <c r="BC247" i="51" s="1"/>
  <c r="AY247" i="51"/>
  <c r="AX247" i="51" s="1"/>
  <c r="AT247" i="51"/>
  <c r="AS247" i="51" s="1"/>
  <c r="AO247" i="51"/>
  <c r="AN247" i="51" s="1"/>
  <c r="AJ247" i="51"/>
  <c r="AI247" i="51" s="1"/>
  <c r="AE247" i="51"/>
  <c r="AD247" i="51" s="1"/>
  <c r="Z247" i="51"/>
  <c r="Y247" i="51" s="1"/>
  <c r="U247" i="51"/>
  <c r="T247" i="51" s="1"/>
  <c r="P247" i="51"/>
  <c r="O247" i="51" s="1"/>
  <c r="AT42" i="42"/>
  <c r="AT41" i="42"/>
  <c r="AT35" i="42"/>
  <c r="AT34" i="42"/>
  <c r="AT31" i="42"/>
  <c r="AT26" i="42"/>
  <c r="AT25" i="42"/>
  <c r="AT15" i="42"/>
  <c r="AT14" i="42"/>
  <c r="AT13" i="42"/>
  <c r="AT62" i="42" s="1"/>
  <c r="AT12" i="42"/>
  <c r="AY12" i="42" s="1"/>
  <c r="AT8" i="42"/>
  <c r="AS595" i="41"/>
  <c r="AS600" i="41"/>
  <c r="AS599" i="41"/>
  <c r="AW599" i="41" s="1"/>
  <c r="AW601" i="41" s="1"/>
  <c r="AS594" i="41"/>
  <c r="AS625" i="41"/>
  <c r="AS618" i="41"/>
  <c r="AS617" i="41"/>
  <c r="AS615" i="41"/>
  <c r="AS611" i="41" s="1"/>
  <c r="AT120" i="4"/>
  <c r="AS559" i="41"/>
  <c r="AS557" i="41"/>
  <c r="AS554" i="41"/>
  <c r="AS553" i="41"/>
  <c r="AS546" i="41"/>
  <c r="AT548" i="41"/>
  <c r="AT542" i="41"/>
  <c r="AT544" i="41" s="1"/>
  <c r="AT35" i="41"/>
  <c r="AT19" i="41"/>
  <c r="AT39" i="41"/>
  <c r="AT38" i="41"/>
  <c r="AT26" i="41"/>
  <c r="AT9" i="41"/>
  <c r="AT15" i="41" s="1"/>
  <c r="AT17" i="41" s="1"/>
  <c r="AT97" i="40"/>
  <c r="AT96" i="40"/>
  <c r="AT90" i="40"/>
  <c r="AT75" i="40"/>
  <c r="AT36" i="40"/>
  <c r="AT35" i="40"/>
  <c r="AT25" i="40"/>
  <c r="AT14" i="40"/>
  <c r="AT16" i="40" s="1"/>
  <c r="AT20" i="40" s="1"/>
  <c r="AT205" i="39"/>
  <c r="AT204" i="39"/>
  <c r="AS177" i="39"/>
  <c r="AS170" i="39"/>
  <c r="AS169" i="39"/>
  <c r="AS167" i="39"/>
  <c r="AS163" i="39" s="1"/>
  <c r="AT120" i="39"/>
  <c r="AT113" i="39"/>
  <c r="AT107" i="39"/>
  <c r="AT109" i="39" s="1"/>
  <c r="AT102" i="39"/>
  <c r="AT78" i="39"/>
  <c r="AT79" i="39" s="1"/>
  <c r="AT83" i="39"/>
  <c r="AT34" i="39"/>
  <c r="AT38" i="39"/>
  <c r="AT37" i="39"/>
  <c r="AT27" i="39"/>
  <c r="AT9" i="39"/>
  <c r="AT10" i="39" s="1"/>
  <c r="AT202" i="4"/>
  <c r="AT201" i="4"/>
  <c r="AT199" i="4"/>
  <c r="AT182" i="4"/>
  <c r="AT177" i="4"/>
  <c r="AT178" i="4" s="1"/>
  <c r="AT171" i="4"/>
  <c r="AT160" i="4"/>
  <c r="AT158" i="4"/>
  <c r="AT191" i="4"/>
  <c r="AT209" i="4" s="1"/>
  <c r="AT166" i="4"/>
  <c r="DQ136" i="4"/>
  <c r="AU136" i="4" s="1"/>
  <c r="AU139" i="4" s="1"/>
  <c r="DQ133" i="4"/>
  <c r="AU133" i="4" s="1"/>
  <c r="DQ132" i="4"/>
  <c r="AU132" i="4" s="1"/>
  <c r="DQ147" i="4"/>
  <c r="AT146" i="4"/>
  <c r="AT145" i="4"/>
  <c r="AT144" i="4"/>
  <c r="AT143" i="4"/>
  <c r="AT142" i="4"/>
  <c r="AT141" i="4"/>
  <c r="AT131" i="4"/>
  <c r="AT130" i="4"/>
  <c r="AT129" i="4"/>
  <c r="AT84" i="4"/>
  <c r="AT83" i="4"/>
  <c r="AT82" i="4"/>
  <c r="AT62" i="4"/>
  <c r="AT32" i="4"/>
  <c r="AT25" i="4"/>
  <c r="AT9" i="4"/>
  <c r="AT16" i="4" s="1"/>
  <c r="AT22" i="4" s="1"/>
  <c r="AT600" i="41" l="1"/>
  <c r="AT546" i="41"/>
  <c r="AU546" i="41" s="1"/>
  <c r="AU134" i="4"/>
  <c r="AU149" i="4" s="1"/>
  <c r="DQ134" i="4"/>
  <c r="AT203" i="4"/>
  <c r="AT212" i="4" s="1"/>
  <c r="AT204" i="4" s="1"/>
  <c r="AT183" i="4"/>
  <c r="AT193" i="4" s="1"/>
  <c r="X247" i="51"/>
  <c r="AT16" i="39"/>
  <c r="AT18" i="39" s="1"/>
  <c r="AT22" i="39" s="1"/>
  <c r="AT29" i="39" s="1"/>
  <c r="AT67" i="39" s="1"/>
  <c r="AT10" i="41"/>
  <c r="AH247" i="51"/>
  <c r="AS601" i="41"/>
  <c r="L247" i="51"/>
  <c r="AT28" i="4"/>
  <c r="AT27" i="4"/>
  <c r="AT34" i="4" s="1"/>
  <c r="AT20" i="42"/>
  <c r="AY20" i="42" s="1"/>
  <c r="V247" i="51"/>
  <c r="AF247" i="51"/>
  <c r="AP247" i="51"/>
  <c r="AT147" i="4"/>
  <c r="AS619" i="41"/>
  <c r="AS628" i="41" s="1"/>
  <c r="AS623" i="41" s="1"/>
  <c r="AU247" i="51"/>
  <c r="AT38" i="42"/>
  <c r="AT27" i="42"/>
  <c r="AT9" i="42"/>
  <c r="AT16" i="42" s="1"/>
  <c r="AT18" i="42" s="1"/>
  <c r="AT88" i="39"/>
  <c r="AT89" i="39" s="1"/>
  <c r="AQ247" i="51"/>
  <c r="AT81" i="39"/>
  <c r="AR247" i="51"/>
  <c r="BJ247" i="51"/>
  <c r="AZ247" i="51"/>
  <c r="BL247" i="51"/>
  <c r="N247" i="51"/>
  <c r="W247" i="51"/>
  <c r="AA247" i="51"/>
  <c r="BB247" i="51"/>
  <c r="BK247" i="51"/>
  <c r="M247" i="51"/>
  <c r="Q247" i="51"/>
  <c r="AG247" i="51"/>
  <c r="AK247" i="51"/>
  <c r="BA247" i="51"/>
  <c r="BE247" i="51"/>
  <c r="S247" i="51"/>
  <c r="AC247" i="51"/>
  <c r="AM247" i="51"/>
  <c r="AW247" i="51"/>
  <c r="BG247" i="51"/>
  <c r="CX247" i="51"/>
  <c r="CV247" i="51" s="1"/>
  <c r="CR247" i="51"/>
  <c r="CP247" i="51"/>
  <c r="CQ247" i="51"/>
  <c r="CO247" i="51"/>
  <c r="R247" i="51"/>
  <c r="AB247" i="51"/>
  <c r="AL247" i="51"/>
  <c r="AV247" i="51"/>
  <c r="BF247" i="51"/>
  <c r="AS555" i="41"/>
  <c r="AT21" i="41"/>
  <c r="AT28" i="41" s="1"/>
  <c r="AT27" i="40"/>
  <c r="AT21" i="40"/>
  <c r="AS171" i="39"/>
  <c r="AS180" i="39" s="1"/>
  <c r="AS175" i="39" s="1"/>
  <c r="AT161" i="4"/>
  <c r="AT172" i="4" s="1"/>
  <c r="DQ139" i="4"/>
  <c r="AT10" i="4"/>
  <c r="AU600" i="41" l="1"/>
  <c r="AT601" i="41"/>
  <c r="AV546" i="41"/>
  <c r="AT33" i="39"/>
  <c r="AT35" i="39" s="1"/>
  <c r="AT41" i="39" s="1"/>
  <c r="DQ149" i="4"/>
  <c r="AT23" i="39"/>
  <c r="AT91" i="39"/>
  <c r="CU247" i="51"/>
  <c r="AT10" i="42"/>
  <c r="AT38" i="4"/>
  <c r="AT42" i="4" s="1"/>
  <c r="AT104" i="4"/>
  <c r="AT31" i="40"/>
  <c r="AT33" i="40" s="1"/>
  <c r="AT56" i="40"/>
  <c r="CT247" i="51"/>
  <c r="AT22" i="41"/>
  <c r="AT31" i="41"/>
  <c r="AT34" i="41" s="1"/>
  <c r="AT575" i="41"/>
  <c r="AT574" i="41"/>
  <c r="AS178" i="39"/>
  <c r="CW247" i="51"/>
  <c r="DC247" i="51"/>
  <c r="DH247" i="51" s="1"/>
  <c r="DM247" i="51" s="1"/>
  <c r="DR247" i="51" s="1"/>
  <c r="DA247" i="51"/>
  <c r="CY247" i="51"/>
  <c r="DB247" i="51"/>
  <c r="CZ247" i="51"/>
  <c r="AT22" i="42"/>
  <c r="AT21" i="4"/>
  <c r="AS626" i="41"/>
  <c r="AS620" i="41"/>
  <c r="AS629" i="41"/>
  <c r="AS181" i="39"/>
  <c r="AT210" i="4"/>
  <c r="AT207" i="4"/>
  <c r="AT213" i="4"/>
  <c r="AT195" i="4"/>
  <c r="AU601" i="41" l="1"/>
  <c r="AU68" i="42" s="1"/>
  <c r="AV600" i="41"/>
  <c r="AV601" i="41" s="1"/>
  <c r="AT39" i="40"/>
  <c r="AT145" i="39"/>
  <c r="AT40" i="39"/>
  <c r="AT38" i="40"/>
  <c r="AT41" i="41"/>
  <c r="AT36" i="41"/>
  <c r="AT42" i="41" s="1"/>
  <c r="AT44" i="4"/>
  <c r="AT51" i="4" s="1"/>
  <c r="AT50" i="4"/>
  <c r="AT29" i="42"/>
  <c r="AT33" i="42" s="1"/>
  <c r="AT23" i="42"/>
  <c r="AT65" i="4" l="1"/>
  <c r="AT37" i="42"/>
  <c r="AT39" i="42" s="1"/>
  <c r="AT45" i="42" s="1"/>
  <c r="AT61" i="42"/>
  <c r="BG19" i="41"/>
  <c r="AT44" i="42" l="1"/>
  <c r="AC47" i="72" l="1"/>
  <c r="BE66" i="42"/>
  <c r="AZ66" i="42"/>
  <c r="AS201" i="4" l="1"/>
  <c r="DQ37" i="51"/>
  <c r="DP37" i="51"/>
  <c r="DO37" i="51"/>
  <c r="DN37" i="51"/>
  <c r="DL37" i="51"/>
  <c r="DK37" i="51"/>
  <c r="DJ37" i="51"/>
  <c r="DI37" i="51"/>
  <c r="DG37" i="51"/>
  <c r="DF37" i="51"/>
  <c r="DE37" i="51"/>
  <c r="DD37" i="51"/>
  <c r="CR37" i="51"/>
  <c r="CQ37" i="51"/>
  <c r="CP37" i="51"/>
  <c r="CO37" i="51"/>
  <c r="CM37" i="51"/>
  <c r="CL37" i="51"/>
  <c r="CK37" i="51"/>
  <c r="CJ37" i="51"/>
  <c r="CH37" i="51"/>
  <c r="CG37" i="51"/>
  <c r="CF37" i="51"/>
  <c r="CE37" i="51"/>
  <c r="CC37" i="51"/>
  <c r="CB37" i="51"/>
  <c r="CA37" i="51"/>
  <c r="BZ37" i="51"/>
  <c r="BX37" i="51"/>
  <c r="BW37" i="51"/>
  <c r="BV37" i="51"/>
  <c r="BU37" i="51"/>
  <c r="BT37" i="51"/>
  <c r="BY37" i="51" s="1"/>
  <c r="CD37" i="51" s="1"/>
  <c r="CI37" i="51" s="1"/>
  <c r="CN37" i="51" s="1"/>
  <c r="CS37" i="51" s="1"/>
  <c r="CX37" i="51" s="1"/>
  <c r="BS37" i="51"/>
  <c r="BR37" i="51"/>
  <c r="BQ37" i="51"/>
  <c r="BP37" i="51"/>
  <c r="BN37" i="51"/>
  <c r="BM37" i="51" s="1"/>
  <c r="BI37" i="51"/>
  <c r="BH37" i="51" s="1"/>
  <c r="BD37" i="51"/>
  <c r="BC37" i="51" s="1"/>
  <c r="AY37" i="51"/>
  <c r="AW37" i="51" s="1"/>
  <c r="AT37" i="51"/>
  <c r="AS37" i="51" s="1"/>
  <c r="AO37" i="51"/>
  <c r="AN37" i="51" s="1"/>
  <c r="AJ37" i="51"/>
  <c r="AI37" i="51" s="1"/>
  <c r="AE37" i="51"/>
  <c r="AC37" i="51" s="1"/>
  <c r="Z37" i="51"/>
  <c r="Y37" i="51" s="1"/>
  <c r="U37" i="51"/>
  <c r="T37" i="51" s="1"/>
  <c r="P37" i="51"/>
  <c r="DQ36" i="51"/>
  <c r="DP36" i="51"/>
  <c r="DO36" i="51"/>
  <c r="DN36" i="51"/>
  <c r="DL36" i="51"/>
  <c r="DK36" i="51"/>
  <c r="DJ36" i="51"/>
  <c r="DI36" i="51"/>
  <c r="DG36" i="51"/>
  <c r="DF36" i="51"/>
  <c r="DE36" i="51"/>
  <c r="DD36" i="51"/>
  <c r="CR36" i="51"/>
  <c r="CQ36" i="51"/>
  <c r="CP36" i="51"/>
  <c r="CO36" i="51"/>
  <c r="CM36" i="51"/>
  <c r="CL36" i="51"/>
  <c r="CK36" i="51"/>
  <c r="CJ36" i="51"/>
  <c r="CH36" i="51"/>
  <c r="CG36" i="51"/>
  <c r="CF36" i="51"/>
  <c r="CE36" i="51"/>
  <c r="CC36" i="51"/>
  <c r="CB36" i="51"/>
  <c r="CA36" i="51"/>
  <c r="BZ36" i="51"/>
  <c r="BX36" i="51"/>
  <c r="BW36" i="51"/>
  <c r="BV36" i="51"/>
  <c r="BU36" i="51"/>
  <c r="BT36" i="51"/>
  <c r="BY36" i="51" s="1"/>
  <c r="CD36" i="51" s="1"/>
  <c r="CI36" i="51" s="1"/>
  <c r="CN36" i="51" s="1"/>
  <c r="CS36" i="51" s="1"/>
  <c r="CX36" i="51" s="1"/>
  <c r="BS36" i="51"/>
  <c r="BR36" i="51"/>
  <c r="BQ36" i="51"/>
  <c r="BP36" i="51"/>
  <c r="BN36" i="51"/>
  <c r="BM36" i="51" s="1"/>
  <c r="BI36" i="51"/>
  <c r="BG36" i="51" s="1"/>
  <c r="BD36" i="51"/>
  <c r="BC36" i="51" s="1"/>
  <c r="AY36" i="51"/>
  <c r="AX36" i="51" s="1"/>
  <c r="AT36" i="51"/>
  <c r="AS36" i="51" s="1"/>
  <c r="AO36" i="51"/>
  <c r="AM36" i="51" s="1"/>
  <c r="AJ36" i="51"/>
  <c r="AI36" i="51" s="1"/>
  <c r="AE36" i="51"/>
  <c r="AD36" i="51" s="1"/>
  <c r="Z36" i="51"/>
  <c r="Y36" i="51" s="1"/>
  <c r="U36" i="51"/>
  <c r="S36" i="51" s="1"/>
  <c r="P36" i="51"/>
  <c r="DQ35" i="51"/>
  <c r="DP35" i="51"/>
  <c r="DO35" i="51"/>
  <c r="DN35" i="51"/>
  <c r="DL35" i="51"/>
  <c r="DK35" i="51"/>
  <c r="DJ35" i="51"/>
  <c r="DI35" i="51"/>
  <c r="DG35" i="51"/>
  <c r="DF35" i="51"/>
  <c r="DE35" i="51"/>
  <c r="DD35" i="51"/>
  <c r="CR35" i="51"/>
  <c r="CQ35" i="51"/>
  <c r="CP35" i="51"/>
  <c r="CO35" i="51"/>
  <c r="CM35" i="51"/>
  <c r="CL35" i="51"/>
  <c r="CK35" i="51"/>
  <c r="CJ35" i="51"/>
  <c r="CH35" i="51"/>
  <c r="CG35" i="51"/>
  <c r="CF35" i="51"/>
  <c r="CE35" i="51"/>
  <c r="CC35" i="51"/>
  <c r="CB35" i="51"/>
  <c r="CA35" i="51"/>
  <c r="BZ35" i="51"/>
  <c r="BX35" i="51"/>
  <c r="BW35" i="51"/>
  <c r="BV35" i="51"/>
  <c r="BU35" i="51"/>
  <c r="BT35" i="51"/>
  <c r="BY35" i="51" s="1"/>
  <c r="CD35" i="51" s="1"/>
  <c r="CI35" i="51" s="1"/>
  <c r="CN35" i="51" s="1"/>
  <c r="CS35" i="51" s="1"/>
  <c r="CX35" i="51" s="1"/>
  <c r="BS35" i="51"/>
  <c r="BR35" i="51"/>
  <c r="BQ35" i="51"/>
  <c r="BP35" i="51"/>
  <c r="BN35" i="51"/>
  <c r="BM35" i="51" s="1"/>
  <c r="BI35" i="51"/>
  <c r="BH35" i="51" s="1"/>
  <c r="BD35" i="51"/>
  <c r="BC35" i="51" s="1"/>
  <c r="AY35" i="51"/>
  <c r="AW35" i="51" s="1"/>
  <c r="AT35" i="51"/>
  <c r="AS35" i="51" s="1"/>
  <c r="AO35" i="51"/>
  <c r="AN35" i="51" s="1"/>
  <c r="AJ35" i="51"/>
  <c r="AI35" i="51" s="1"/>
  <c r="AE35" i="51"/>
  <c r="AC35" i="51" s="1"/>
  <c r="Z35" i="51"/>
  <c r="Y35" i="51" s="1"/>
  <c r="U35" i="51"/>
  <c r="T35" i="51" s="1"/>
  <c r="P35" i="51"/>
  <c r="DQ27" i="51"/>
  <c r="DP27" i="51"/>
  <c r="DO27" i="51"/>
  <c r="DN27" i="51"/>
  <c r="DL27" i="51"/>
  <c r="DK27" i="51"/>
  <c r="DJ27" i="51"/>
  <c r="DI27" i="51"/>
  <c r="DG27" i="51"/>
  <c r="DF27" i="51"/>
  <c r="DE27" i="51"/>
  <c r="DD27" i="51"/>
  <c r="DB27" i="51"/>
  <c r="DA27" i="51"/>
  <c r="CZ27" i="51"/>
  <c r="CY27" i="51"/>
  <c r="CW27" i="51"/>
  <c r="CV27" i="51"/>
  <c r="CU27" i="51"/>
  <c r="CT27" i="51"/>
  <c r="CR27" i="51"/>
  <c r="CQ27" i="51"/>
  <c r="CP27" i="51"/>
  <c r="CO27" i="51"/>
  <c r="CM27" i="51"/>
  <c r="CL27" i="51"/>
  <c r="CK27" i="51"/>
  <c r="CJ27" i="51"/>
  <c r="CH27" i="51"/>
  <c r="CG27" i="51"/>
  <c r="CF27" i="51"/>
  <c r="CE27" i="51"/>
  <c r="CC27" i="51"/>
  <c r="CB27" i="51"/>
  <c r="CA27" i="51"/>
  <c r="BZ27" i="51"/>
  <c r="BX27" i="51"/>
  <c r="BW27" i="51"/>
  <c r="BV27" i="51"/>
  <c r="BU27" i="51"/>
  <c r="BT27" i="51"/>
  <c r="BY27" i="51" s="1"/>
  <c r="CD27" i="51" s="1"/>
  <c r="CI27" i="51" s="1"/>
  <c r="CN27" i="51" s="1"/>
  <c r="CS27" i="51" s="1"/>
  <c r="CX27" i="51" s="1"/>
  <c r="DC27" i="51" s="1"/>
  <c r="DH27" i="51" s="1"/>
  <c r="DM27" i="51" s="1"/>
  <c r="DR27" i="51" s="1"/>
  <c r="BS27" i="51"/>
  <c r="BR27" i="51"/>
  <c r="BQ27" i="51"/>
  <c r="BP27" i="51"/>
  <c r="BN27" i="51"/>
  <c r="BM27" i="51" s="1"/>
  <c r="BI27" i="51"/>
  <c r="BH27" i="51" s="1"/>
  <c r="BD27" i="51"/>
  <c r="BA27" i="51" s="1"/>
  <c r="AY27" i="51"/>
  <c r="AW27" i="51" s="1"/>
  <c r="AT27" i="51"/>
  <c r="AS27" i="51" s="1"/>
  <c r="AO27" i="51"/>
  <c r="AN27" i="51" s="1"/>
  <c r="AJ27" i="51"/>
  <c r="AI27" i="51" s="1"/>
  <c r="AE27" i="51"/>
  <c r="AC27" i="51" s="1"/>
  <c r="Z27" i="51"/>
  <c r="Y27" i="51" s="1"/>
  <c r="U27" i="51"/>
  <c r="T27" i="51" s="1"/>
  <c r="P27" i="51"/>
  <c r="DQ25" i="51"/>
  <c r="DP25" i="51"/>
  <c r="DO25" i="51"/>
  <c r="DN25" i="51"/>
  <c r="DL25" i="51"/>
  <c r="DK25" i="51"/>
  <c r="DJ25" i="51"/>
  <c r="DI25" i="51"/>
  <c r="DG25" i="51"/>
  <c r="DF25" i="51"/>
  <c r="DE25" i="51"/>
  <c r="DD25" i="51"/>
  <c r="DB25" i="51"/>
  <c r="DA25" i="51"/>
  <c r="CZ25" i="51"/>
  <c r="CY25" i="51"/>
  <c r="CW25" i="51"/>
  <c r="CV25" i="51"/>
  <c r="CU25" i="51"/>
  <c r="CT25" i="51"/>
  <c r="CR25" i="51"/>
  <c r="CQ25" i="51"/>
  <c r="CP25" i="51"/>
  <c r="CO25" i="51"/>
  <c r="CM25" i="51"/>
  <c r="CL25" i="51"/>
  <c r="CK25" i="51"/>
  <c r="CJ25" i="51"/>
  <c r="CH25" i="51"/>
  <c r="CG25" i="51"/>
  <c r="CF25" i="51"/>
  <c r="CE25" i="51"/>
  <c r="CC25" i="51"/>
  <c r="CB25" i="51"/>
  <c r="CA25" i="51"/>
  <c r="BZ25" i="51"/>
  <c r="BX25" i="51"/>
  <c r="BW25" i="51"/>
  <c r="BV25" i="51"/>
  <c r="BU25" i="51"/>
  <c r="BT25" i="51"/>
  <c r="BY25" i="51" s="1"/>
  <c r="CD25" i="51" s="1"/>
  <c r="CI25" i="51" s="1"/>
  <c r="CN25" i="51" s="1"/>
  <c r="CS25" i="51" s="1"/>
  <c r="CX25" i="51" s="1"/>
  <c r="DC25" i="51" s="1"/>
  <c r="DH25" i="51" s="1"/>
  <c r="DM25" i="51" s="1"/>
  <c r="DR25" i="51" s="1"/>
  <c r="BS25" i="51"/>
  <c r="BR25" i="51"/>
  <c r="BQ25" i="51"/>
  <c r="BP25" i="51"/>
  <c r="BN25" i="51"/>
  <c r="BM25" i="51" s="1"/>
  <c r="BI25" i="51"/>
  <c r="BG25" i="51" s="1"/>
  <c r="BD25" i="51"/>
  <c r="BB25" i="51" s="1"/>
  <c r="AY25" i="51"/>
  <c r="AX25" i="51" s="1"/>
  <c r="AT25" i="51"/>
  <c r="AS25" i="51" s="1"/>
  <c r="AO25" i="51"/>
  <c r="AM25" i="51" s="1"/>
  <c r="AJ25" i="51"/>
  <c r="AH25" i="51" s="1"/>
  <c r="AE25" i="51"/>
  <c r="AD25" i="51" s="1"/>
  <c r="Z25" i="51"/>
  <c r="Y25" i="51" s="1"/>
  <c r="U25" i="51"/>
  <c r="S25" i="51" s="1"/>
  <c r="P25" i="51"/>
  <c r="DQ23" i="51"/>
  <c r="DP23" i="51"/>
  <c r="DO23" i="51"/>
  <c r="DN23" i="51"/>
  <c r="DL23" i="51"/>
  <c r="DK23" i="51"/>
  <c r="DJ23" i="51"/>
  <c r="DI23" i="51"/>
  <c r="DG23" i="51"/>
  <c r="DF23" i="51"/>
  <c r="DE23" i="51"/>
  <c r="DD23" i="51"/>
  <c r="DB23" i="51"/>
  <c r="DA23" i="51"/>
  <c r="CZ23" i="51"/>
  <c r="CY23" i="51"/>
  <c r="CW23" i="51"/>
  <c r="CV23" i="51"/>
  <c r="CU23" i="51"/>
  <c r="CT23" i="51"/>
  <c r="CR23" i="51"/>
  <c r="CQ23" i="51"/>
  <c r="CP23" i="51"/>
  <c r="CO23" i="51"/>
  <c r="CM23" i="51"/>
  <c r="CL23" i="51"/>
  <c r="CK23" i="51"/>
  <c r="CJ23" i="51"/>
  <c r="CH23" i="51"/>
  <c r="CG23" i="51"/>
  <c r="CF23" i="51"/>
  <c r="CE23" i="51"/>
  <c r="CC23" i="51"/>
  <c r="CB23" i="51"/>
  <c r="CA23" i="51"/>
  <c r="BZ23" i="51"/>
  <c r="BX23" i="51"/>
  <c r="BW23" i="51"/>
  <c r="BV23" i="51"/>
  <c r="BU23" i="51"/>
  <c r="BT23" i="51"/>
  <c r="BY23" i="51" s="1"/>
  <c r="CD23" i="51" s="1"/>
  <c r="CI23" i="51" s="1"/>
  <c r="CN23" i="51" s="1"/>
  <c r="CS23" i="51" s="1"/>
  <c r="CX23" i="51" s="1"/>
  <c r="DC23" i="51" s="1"/>
  <c r="DH23" i="51" s="1"/>
  <c r="DM23" i="51" s="1"/>
  <c r="DR23" i="51" s="1"/>
  <c r="BS23" i="51"/>
  <c r="BR23" i="51"/>
  <c r="BQ23" i="51"/>
  <c r="BP23" i="51"/>
  <c r="BN23" i="51"/>
  <c r="BM23" i="51" s="1"/>
  <c r="BI23" i="51"/>
  <c r="BH23" i="51" s="1"/>
  <c r="BD23" i="51"/>
  <c r="BC23" i="51" s="1"/>
  <c r="AY23" i="51"/>
  <c r="AW23" i="51" s="1"/>
  <c r="AT23" i="51"/>
  <c r="AS23" i="51" s="1"/>
  <c r="AO23" i="51"/>
  <c r="AN23" i="51" s="1"/>
  <c r="AJ23" i="51"/>
  <c r="AI23" i="51" s="1"/>
  <c r="AE23" i="51"/>
  <c r="AC23" i="51" s="1"/>
  <c r="Z23" i="51"/>
  <c r="Y23" i="51" s="1"/>
  <c r="U23" i="51"/>
  <c r="T23" i="51" s="1"/>
  <c r="P23" i="51"/>
  <c r="AQ23" i="51" l="1"/>
  <c r="AK27" i="51"/>
  <c r="AK37" i="51"/>
  <c r="BJ27" i="51"/>
  <c r="Q36" i="51"/>
  <c r="AL37" i="51"/>
  <c r="AF37" i="51"/>
  <c r="AG37" i="51"/>
  <c r="AH37" i="51"/>
  <c r="BJ25" i="51"/>
  <c r="Q37" i="51"/>
  <c r="AM37" i="51"/>
  <c r="AZ37" i="51"/>
  <c r="AG25" i="51"/>
  <c r="AH35" i="51"/>
  <c r="R37" i="51"/>
  <c r="BG37" i="51"/>
  <c r="BA25" i="51"/>
  <c r="AP23" i="51"/>
  <c r="AZ23" i="51"/>
  <c r="BK23" i="51"/>
  <c r="AW25" i="51"/>
  <c r="BC25" i="51"/>
  <c r="AL27" i="51"/>
  <c r="AF35" i="51"/>
  <c r="S37" i="51"/>
  <c r="BA37" i="51"/>
  <c r="BE37" i="51"/>
  <c r="AM27" i="51"/>
  <c r="V36" i="51"/>
  <c r="AK36" i="51"/>
  <c r="BB37" i="51"/>
  <c r="BF37" i="51"/>
  <c r="AZ25" i="51"/>
  <c r="BB27" i="51"/>
  <c r="BJ23" i="51"/>
  <c r="AU25" i="51"/>
  <c r="V23" i="51"/>
  <c r="AU23" i="51"/>
  <c r="AA25" i="51"/>
  <c r="V27" i="51"/>
  <c r="T36" i="51"/>
  <c r="AP36" i="51"/>
  <c r="BE36" i="51"/>
  <c r="BE25" i="51"/>
  <c r="BF27" i="51"/>
  <c r="AL35" i="51"/>
  <c r="AZ35" i="51"/>
  <c r="V37" i="51"/>
  <c r="AP37" i="51"/>
  <c r="BJ37" i="51"/>
  <c r="Q25" i="51"/>
  <c r="AC25" i="51"/>
  <c r="AF25" i="51"/>
  <c r="AI25" i="51"/>
  <c r="AK25" i="51"/>
  <c r="AP25" i="51"/>
  <c r="R35" i="51"/>
  <c r="BB35" i="51"/>
  <c r="BF35" i="51"/>
  <c r="W27" i="51"/>
  <c r="AA27" i="51"/>
  <c r="AF27" i="51"/>
  <c r="AR36" i="51"/>
  <c r="AV36" i="51"/>
  <c r="BH36" i="51"/>
  <c r="BJ36" i="51"/>
  <c r="W23" i="51"/>
  <c r="AA23" i="51"/>
  <c r="AF23" i="51"/>
  <c r="AL23" i="51"/>
  <c r="BB23" i="51"/>
  <c r="BF23" i="51"/>
  <c r="AR25" i="51"/>
  <c r="BL25" i="51"/>
  <c r="R27" i="51"/>
  <c r="AH27" i="51"/>
  <c r="BK27" i="51"/>
  <c r="Q35" i="51"/>
  <c r="S35" i="51"/>
  <c r="V35" i="51"/>
  <c r="AG35" i="51"/>
  <c r="AK35" i="51"/>
  <c r="AM35" i="51"/>
  <c r="AP35" i="51"/>
  <c r="BA35" i="51"/>
  <c r="BE35" i="51"/>
  <c r="BG35" i="51"/>
  <c r="BJ35" i="51"/>
  <c r="X36" i="51"/>
  <c r="AB36" i="51"/>
  <c r="AN36" i="51"/>
  <c r="BL36" i="51"/>
  <c r="R23" i="51"/>
  <c r="AH23" i="51"/>
  <c r="V25" i="51"/>
  <c r="X25" i="51"/>
  <c r="AP27" i="51"/>
  <c r="Q23" i="51"/>
  <c r="S23" i="51"/>
  <c r="AG23" i="51"/>
  <c r="AK23" i="51"/>
  <c r="AM23" i="51"/>
  <c r="BA23" i="51"/>
  <c r="BE23" i="51"/>
  <c r="BG23" i="51"/>
  <c r="W25" i="51"/>
  <c r="AQ25" i="51"/>
  <c r="BK25" i="51"/>
  <c r="Q27" i="51"/>
  <c r="S27" i="51"/>
  <c r="AG27" i="51"/>
  <c r="AQ27" i="51"/>
  <c r="AU27" i="51"/>
  <c r="AZ27" i="51"/>
  <c r="BC27" i="51"/>
  <c r="BE27" i="51"/>
  <c r="BG27" i="51"/>
  <c r="W35" i="51"/>
  <c r="AA35" i="51"/>
  <c r="AQ35" i="51"/>
  <c r="AU35" i="51"/>
  <c r="BK35" i="51"/>
  <c r="W36" i="51"/>
  <c r="AA36" i="51"/>
  <c r="AC36" i="51"/>
  <c r="AF36" i="51"/>
  <c r="AQ36" i="51"/>
  <c r="AU36" i="51"/>
  <c r="AW36" i="51"/>
  <c r="AZ36" i="51"/>
  <c r="BK36" i="51"/>
  <c r="W37" i="51"/>
  <c r="AA37" i="51"/>
  <c r="AQ37" i="51"/>
  <c r="AU37" i="51"/>
  <c r="BK37" i="51"/>
  <c r="CZ36" i="51"/>
  <c r="CV36" i="51"/>
  <c r="DC36" i="51"/>
  <c r="DH36" i="51" s="1"/>
  <c r="DM36" i="51" s="1"/>
  <c r="DR36" i="51" s="1"/>
  <c r="CY36" i="51"/>
  <c r="CU36" i="51"/>
  <c r="DB36" i="51"/>
  <c r="CT36" i="51"/>
  <c r="DA36" i="51"/>
  <c r="CW36" i="51"/>
  <c r="DB35" i="51"/>
  <c r="CT35" i="51"/>
  <c r="DA35" i="51"/>
  <c r="CW35" i="51"/>
  <c r="CZ35" i="51"/>
  <c r="CV35" i="51"/>
  <c r="DC35" i="51"/>
  <c r="DH35" i="51" s="1"/>
  <c r="DM35" i="51" s="1"/>
  <c r="DR35" i="51" s="1"/>
  <c r="CY35" i="51"/>
  <c r="CU35" i="51"/>
  <c r="DB37" i="51"/>
  <c r="CT37" i="51"/>
  <c r="DA37" i="51"/>
  <c r="CW37" i="51"/>
  <c r="CZ37" i="51"/>
  <c r="CV37" i="51"/>
  <c r="DC37" i="51"/>
  <c r="DH37" i="51" s="1"/>
  <c r="DM37" i="51" s="1"/>
  <c r="DR37" i="51" s="1"/>
  <c r="CY37" i="51"/>
  <c r="CU37" i="51"/>
  <c r="AD35" i="51"/>
  <c r="AX35" i="51"/>
  <c r="AD37" i="51"/>
  <c r="AX37" i="51"/>
  <c r="AG36" i="51"/>
  <c r="BA36" i="51"/>
  <c r="X35" i="51"/>
  <c r="AB35" i="51"/>
  <c r="AR35" i="51"/>
  <c r="AV35" i="51"/>
  <c r="BL35" i="51"/>
  <c r="R36" i="51"/>
  <c r="AH36" i="51"/>
  <c r="AL36" i="51"/>
  <c r="BB36" i="51"/>
  <c r="BF36" i="51"/>
  <c r="X37" i="51"/>
  <c r="AB37" i="51"/>
  <c r="AR37" i="51"/>
  <c r="AV37" i="51"/>
  <c r="BL37" i="51"/>
  <c r="AD23" i="51"/>
  <c r="AX23" i="51"/>
  <c r="T25" i="51"/>
  <c r="AB25" i="51"/>
  <c r="AN25" i="51"/>
  <c r="AV25" i="51"/>
  <c r="BH25" i="51"/>
  <c r="AD27" i="51"/>
  <c r="AX27" i="51"/>
  <c r="X23" i="51"/>
  <c r="AB23" i="51"/>
  <c r="AR23" i="51"/>
  <c r="AV23" i="51"/>
  <c r="BL23" i="51"/>
  <c r="R25" i="51"/>
  <c r="AL25" i="51"/>
  <c r="BF25" i="51"/>
  <c r="X27" i="51"/>
  <c r="AB27" i="51"/>
  <c r="AR27" i="51"/>
  <c r="AV27" i="51"/>
  <c r="BL27" i="51"/>
  <c r="DG19" i="51"/>
  <c r="DF19" i="51"/>
  <c r="DE19" i="51"/>
  <c r="DD19" i="51"/>
  <c r="DB19" i="51"/>
  <c r="DA19" i="51"/>
  <c r="CZ19" i="51"/>
  <c r="CY19" i="51"/>
  <c r="CW19" i="51"/>
  <c r="CV19" i="51"/>
  <c r="CU19" i="51"/>
  <c r="CT19" i="51"/>
  <c r="CR19" i="51"/>
  <c r="CQ19" i="51"/>
  <c r="CP19" i="51"/>
  <c r="CO19" i="51"/>
  <c r="CM19" i="51"/>
  <c r="CL19" i="51"/>
  <c r="CK19" i="51"/>
  <c r="CJ19" i="51"/>
  <c r="CH19" i="51"/>
  <c r="CG19" i="51"/>
  <c r="CF19" i="51"/>
  <c r="CE19" i="51"/>
  <c r="CC19" i="51"/>
  <c r="CB19" i="51"/>
  <c r="CA19" i="51"/>
  <c r="BZ19" i="51"/>
  <c r="BX19" i="51"/>
  <c r="BW19" i="51"/>
  <c r="BV19" i="51"/>
  <c r="BU19" i="51"/>
  <c r="BT19" i="51"/>
  <c r="BY19" i="51" s="1"/>
  <c r="CD19" i="51" s="1"/>
  <c r="CI19" i="51" s="1"/>
  <c r="CN19" i="51" s="1"/>
  <c r="CS19" i="51" s="1"/>
  <c r="CX19" i="51" s="1"/>
  <c r="DC19" i="51" s="1"/>
  <c r="DH19" i="51" s="1"/>
  <c r="DM19" i="51" s="1"/>
  <c r="BS19" i="51"/>
  <c r="BR19" i="51"/>
  <c r="BQ19" i="51"/>
  <c r="BP19" i="51"/>
  <c r="BN19" i="51"/>
  <c r="BM19" i="51" s="1"/>
  <c r="BI19" i="51"/>
  <c r="BG19" i="51" s="1"/>
  <c r="BD19" i="51"/>
  <c r="BB19" i="51" s="1"/>
  <c r="AY19" i="51"/>
  <c r="AX19" i="51" s="1"/>
  <c r="AT19" i="51"/>
  <c r="AS19" i="51" s="1"/>
  <c r="AO19" i="51"/>
  <c r="AM19" i="51" s="1"/>
  <c r="AJ19" i="51"/>
  <c r="AH19" i="51" s="1"/>
  <c r="AE19" i="51"/>
  <c r="AD19" i="51" s="1"/>
  <c r="Z19" i="51"/>
  <c r="Y19" i="51" s="1"/>
  <c r="U19" i="51"/>
  <c r="S19" i="51" s="1"/>
  <c r="P19" i="51"/>
  <c r="DQ34" i="51"/>
  <c r="DP34" i="51"/>
  <c r="DO34" i="51"/>
  <c r="DN34" i="51"/>
  <c r="DL34" i="51"/>
  <c r="DK34" i="51"/>
  <c r="DJ34" i="51"/>
  <c r="DI34" i="51"/>
  <c r="DG34" i="51"/>
  <c r="DF34" i="51"/>
  <c r="DE34" i="51"/>
  <c r="DD34" i="51"/>
  <c r="CR34" i="51"/>
  <c r="CQ34" i="51"/>
  <c r="CP34" i="51"/>
  <c r="CO34" i="51"/>
  <c r="CM34" i="51"/>
  <c r="CL34" i="51"/>
  <c r="CK34" i="51"/>
  <c r="CJ34" i="51"/>
  <c r="CH34" i="51"/>
  <c r="CG34" i="51"/>
  <c r="CF34" i="51"/>
  <c r="CE34" i="51"/>
  <c r="CC34" i="51"/>
  <c r="CB34" i="51"/>
  <c r="CA34" i="51"/>
  <c r="BZ34" i="51"/>
  <c r="BX34" i="51"/>
  <c r="BW34" i="51"/>
  <c r="BV34" i="51"/>
  <c r="BU34" i="51"/>
  <c r="BT34" i="51"/>
  <c r="BY34" i="51" s="1"/>
  <c r="CD34" i="51" s="1"/>
  <c r="CI34" i="51" s="1"/>
  <c r="CN34" i="51" s="1"/>
  <c r="CS34" i="51" s="1"/>
  <c r="CX34" i="51" s="1"/>
  <c r="BS34" i="51"/>
  <c r="BR34" i="51"/>
  <c r="BQ34" i="51"/>
  <c r="BP34" i="51"/>
  <c r="BN34" i="51"/>
  <c r="BM34" i="51" s="1"/>
  <c r="BI34" i="51"/>
  <c r="BH34" i="51" s="1"/>
  <c r="BD34" i="51"/>
  <c r="BA34" i="51" s="1"/>
  <c r="AY34" i="51"/>
  <c r="AW34" i="51" s="1"/>
  <c r="AT34" i="51"/>
  <c r="AS34" i="51" s="1"/>
  <c r="AO34" i="51"/>
  <c r="AM34" i="51" s="1"/>
  <c r="AJ34" i="51"/>
  <c r="AG34" i="51" s="1"/>
  <c r="AE34" i="51"/>
  <c r="AC34" i="51" s="1"/>
  <c r="Z34" i="51"/>
  <c r="Y34" i="51" s="1"/>
  <c r="U34" i="51"/>
  <c r="R34" i="51" s="1"/>
  <c r="P34" i="51"/>
  <c r="M34" i="51" s="1"/>
  <c r="DQ33" i="51"/>
  <c r="DP33" i="51"/>
  <c r="DO33" i="51"/>
  <c r="DN33" i="51"/>
  <c r="DL33" i="51"/>
  <c r="DK33" i="51"/>
  <c r="DJ33" i="51"/>
  <c r="DI33" i="51"/>
  <c r="DG33" i="51"/>
  <c r="DF33" i="51"/>
  <c r="DE33" i="51"/>
  <c r="DD33" i="51"/>
  <c r="CR33" i="51"/>
  <c r="CQ33" i="51"/>
  <c r="CP33" i="51"/>
  <c r="CO33" i="51"/>
  <c r="CM33" i="51"/>
  <c r="CL33" i="51"/>
  <c r="CK33" i="51"/>
  <c r="CJ33" i="51"/>
  <c r="CH33" i="51"/>
  <c r="CG33" i="51"/>
  <c r="CF33" i="51"/>
  <c r="CE33" i="51"/>
  <c r="CC33" i="51"/>
  <c r="CB33" i="51"/>
  <c r="CA33" i="51"/>
  <c r="BZ33" i="51"/>
  <c r="BX33" i="51"/>
  <c r="BW33" i="51"/>
  <c r="BV33" i="51"/>
  <c r="BU33" i="51"/>
  <c r="BT33" i="51"/>
  <c r="BY33" i="51" s="1"/>
  <c r="CD33" i="51" s="1"/>
  <c r="CI33" i="51" s="1"/>
  <c r="CN33" i="51" s="1"/>
  <c r="CS33" i="51" s="1"/>
  <c r="CX33" i="51" s="1"/>
  <c r="BS33" i="51"/>
  <c r="BR33" i="51"/>
  <c r="BQ33" i="51"/>
  <c r="BP33" i="51"/>
  <c r="BN33" i="51"/>
  <c r="BK33" i="51" s="1"/>
  <c r="BI33" i="51"/>
  <c r="BG33" i="51" s="1"/>
  <c r="BD33" i="51"/>
  <c r="BC33" i="51" s="1"/>
  <c r="AY33" i="51"/>
  <c r="AX33" i="51" s="1"/>
  <c r="AT33" i="51"/>
  <c r="AQ33" i="51" s="1"/>
  <c r="AO33" i="51"/>
  <c r="AM33" i="51" s="1"/>
  <c r="AJ33" i="51"/>
  <c r="AI33" i="51" s="1"/>
  <c r="AE33" i="51"/>
  <c r="AC33" i="51" s="1"/>
  <c r="Z33" i="51"/>
  <c r="W33" i="51" s="1"/>
  <c r="U33" i="51"/>
  <c r="S33" i="51" s="1"/>
  <c r="P33" i="51"/>
  <c r="O33" i="51" s="1"/>
  <c r="BK19" i="51" l="1"/>
  <c r="AF19" i="51"/>
  <c r="AZ19" i="51"/>
  <c r="BE19" i="51"/>
  <c r="BJ19" i="51"/>
  <c r="BL19" i="51"/>
  <c r="T34" i="51"/>
  <c r="V19" i="51"/>
  <c r="AG19" i="51"/>
  <c r="AD33" i="51"/>
  <c r="AA19" i="51"/>
  <c r="W19" i="51"/>
  <c r="AP19" i="51"/>
  <c r="Q33" i="51"/>
  <c r="Q34" i="51"/>
  <c r="W34" i="51"/>
  <c r="X19" i="51"/>
  <c r="AC19" i="51"/>
  <c r="AI19" i="51"/>
  <c r="AQ19" i="51"/>
  <c r="AU19" i="51"/>
  <c r="BA19" i="51"/>
  <c r="AH33" i="51"/>
  <c r="AU33" i="51"/>
  <c r="S34" i="51"/>
  <c r="X34" i="51"/>
  <c r="AR19" i="51"/>
  <c r="AW19" i="51"/>
  <c r="BC19" i="51"/>
  <c r="DP19" i="51"/>
  <c r="DL19" i="51"/>
  <c r="DO19" i="51"/>
  <c r="DK19" i="51"/>
  <c r="DR19" i="51"/>
  <c r="DN19" i="51"/>
  <c r="DJ19" i="51"/>
  <c r="DQ19" i="51"/>
  <c r="DI19" i="51"/>
  <c r="T19" i="51"/>
  <c r="AB19" i="51"/>
  <c r="AN19" i="51"/>
  <c r="AV19" i="51"/>
  <c r="BH19" i="51"/>
  <c r="Q19" i="51"/>
  <c r="AK19" i="51"/>
  <c r="R19" i="51"/>
  <c r="AL19" i="51"/>
  <c r="BF19" i="51"/>
  <c r="AA33" i="51"/>
  <c r="BE34" i="51"/>
  <c r="BJ34" i="51"/>
  <c r="V34" i="51"/>
  <c r="AA34" i="51"/>
  <c r="AK34" i="51"/>
  <c r="BF34" i="51"/>
  <c r="BK34" i="51"/>
  <c r="BF33" i="51"/>
  <c r="L34" i="51"/>
  <c r="AB34" i="51"/>
  <c r="AN34" i="51"/>
  <c r="AZ34" i="51"/>
  <c r="BG34" i="51"/>
  <c r="BA33" i="51"/>
  <c r="AV33" i="51"/>
  <c r="AZ33" i="51"/>
  <c r="AW33" i="51"/>
  <c r="BB33" i="51"/>
  <c r="AR34" i="51"/>
  <c r="M33" i="51"/>
  <c r="R33" i="51"/>
  <c r="AB33" i="51"/>
  <c r="AF33" i="51"/>
  <c r="AK33" i="51"/>
  <c r="BJ33" i="51"/>
  <c r="AL34" i="51"/>
  <c r="AP34" i="51"/>
  <c r="AU34" i="51"/>
  <c r="BL34" i="51"/>
  <c r="N33" i="51"/>
  <c r="AG33" i="51"/>
  <c r="AL33" i="51"/>
  <c r="BE33" i="51"/>
  <c r="AF34" i="51"/>
  <c r="AQ34" i="51"/>
  <c r="AV34" i="51"/>
  <c r="L33" i="51"/>
  <c r="CZ33" i="51"/>
  <c r="CV33" i="51"/>
  <c r="CU33" i="51"/>
  <c r="DC33" i="51"/>
  <c r="DH33" i="51" s="1"/>
  <c r="DM33" i="51" s="1"/>
  <c r="DR33" i="51" s="1"/>
  <c r="CY33" i="51"/>
  <c r="DB33" i="51"/>
  <c r="CT33" i="51"/>
  <c r="DA33" i="51"/>
  <c r="CW33" i="51"/>
  <c r="DB34" i="51"/>
  <c r="CT34" i="51"/>
  <c r="DA34" i="51"/>
  <c r="CW34" i="51"/>
  <c r="CZ34" i="51"/>
  <c r="CV34" i="51"/>
  <c r="DC34" i="51"/>
  <c r="DH34" i="51" s="1"/>
  <c r="DM34" i="51" s="1"/>
  <c r="DR34" i="51" s="1"/>
  <c r="CY34" i="51"/>
  <c r="CU34" i="51"/>
  <c r="V33" i="51"/>
  <c r="T33" i="51"/>
  <c r="X33" i="51"/>
  <c r="AN33" i="51"/>
  <c r="AR33" i="51"/>
  <c r="BH33" i="51"/>
  <c r="BL33" i="51"/>
  <c r="N34" i="51"/>
  <c r="AD34" i="51"/>
  <c r="AH34" i="51"/>
  <c r="AX34" i="51"/>
  <c r="BB34" i="51"/>
  <c r="Y33" i="51"/>
  <c r="AS33" i="51"/>
  <c r="BM33" i="51"/>
  <c r="O34" i="51"/>
  <c r="AI34" i="51"/>
  <c r="BC34" i="51"/>
  <c r="AP33" i="51"/>
  <c r="AS158" i="39" l="1"/>
  <c r="AS151" i="39"/>
  <c r="AW151" i="39" s="1"/>
  <c r="AS148" i="39"/>
  <c r="AS146" i="39"/>
  <c r="AS543" i="41"/>
  <c r="AS185" i="41"/>
  <c r="AS183" i="41"/>
  <c r="AS182" i="41"/>
  <c r="AW153" i="39" l="1"/>
  <c r="AW147" i="39"/>
  <c r="AT119" i="4"/>
  <c r="AS153" i="39"/>
  <c r="AS90" i="40"/>
  <c r="AS75" i="40"/>
  <c r="AS68" i="40"/>
  <c r="AW68" i="40" s="1"/>
  <c r="AS63" i="40"/>
  <c r="AS120" i="39"/>
  <c r="AS113" i="39"/>
  <c r="AS69" i="39"/>
  <c r="AS64" i="39"/>
  <c r="AS84" i="4"/>
  <c r="AS83" i="4"/>
  <c r="AS82" i="4"/>
  <c r="AS62" i="4"/>
  <c r="AS65" i="40" l="1"/>
  <c r="AW65" i="40" s="1"/>
  <c r="AW63" i="40"/>
  <c r="AV119" i="4"/>
  <c r="AS34" i="39"/>
  <c r="AS38" i="42" s="1"/>
  <c r="AS42" i="42"/>
  <c r="AS41" i="42"/>
  <c r="AS35" i="42"/>
  <c r="AS34" i="42"/>
  <c r="AS31" i="42"/>
  <c r="AS26" i="42"/>
  <c r="AS25" i="42"/>
  <c r="AS20" i="42"/>
  <c r="AX20" i="42" s="1"/>
  <c r="AS15" i="42"/>
  <c r="AS14" i="42"/>
  <c r="AS13" i="42"/>
  <c r="AS62" i="42" s="1"/>
  <c r="AW62" i="42" s="1"/>
  <c r="AS12" i="42"/>
  <c r="AX12" i="42" s="1"/>
  <c r="AS8" i="42"/>
  <c r="AS548" i="41"/>
  <c r="AS542" i="41"/>
  <c r="AS544" i="41" s="1"/>
  <c r="AS469" i="41"/>
  <c r="AS459" i="41"/>
  <c r="AS457" i="41"/>
  <c r="AS449" i="41"/>
  <c r="AS403" i="41"/>
  <c r="AS375" i="41"/>
  <c r="AS287" i="41"/>
  <c r="AS285" i="41"/>
  <c r="AS274" i="41"/>
  <c r="AS199" i="41"/>
  <c r="AS195" i="41"/>
  <c r="AS169" i="41"/>
  <c r="AS39" i="41"/>
  <c r="AS38" i="41"/>
  <c r="AS26" i="41"/>
  <c r="AS9" i="41"/>
  <c r="AS10" i="41" s="1"/>
  <c r="AS97" i="40"/>
  <c r="AW97" i="40" s="1"/>
  <c r="AS96" i="40"/>
  <c r="AW96" i="40" s="1"/>
  <c r="AS36" i="40"/>
  <c r="AS35" i="40"/>
  <c r="AS25" i="40"/>
  <c r="AS205" i="39"/>
  <c r="AS204" i="39"/>
  <c r="AS111" i="39"/>
  <c r="AS107" i="39"/>
  <c r="AS109" i="39" s="1"/>
  <c r="AS102" i="39"/>
  <c r="AS103" i="39" s="1"/>
  <c r="AX55" i="39" s="1"/>
  <c r="AS83" i="39"/>
  <c r="AS248" i="4"/>
  <c r="AS202" i="4"/>
  <c r="AS203" i="4" s="1"/>
  <c r="AS199" i="4"/>
  <c r="AS120" i="4"/>
  <c r="AS119" i="4"/>
  <c r="AT111" i="39" l="1"/>
  <c r="AS288" i="41"/>
  <c r="AS27" i="42"/>
  <c r="AS78" i="39"/>
  <c r="AS79" i="39" s="1"/>
  <c r="AS81" i="39" s="1"/>
  <c r="AS38" i="39"/>
  <c r="AS37" i="39"/>
  <c r="AS9" i="39"/>
  <c r="AS16" i="39" s="1"/>
  <c r="AS18" i="39" s="1"/>
  <c r="AS27" i="39"/>
  <c r="AS182" i="4"/>
  <c r="AS177" i="4"/>
  <c r="AS171" i="4"/>
  <c r="AS163" i="4"/>
  <c r="AS158" i="4"/>
  <c r="AS160" i="4"/>
  <c r="AS146" i="4"/>
  <c r="AS145" i="4"/>
  <c r="AS144" i="4"/>
  <c r="AS143" i="4"/>
  <c r="AS142" i="4"/>
  <c r="AS92" i="4" s="1"/>
  <c r="AS141" i="4"/>
  <c r="AS131" i="4"/>
  <c r="AS130" i="4"/>
  <c r="AS129" i="4"/>
  <c r="DP138" i="4"/>
  <c r="AT138" i="4" s="1"/>
  <c r="DP137" i="4"/>
  <c r="AT137" i="4" s="1"/>
  <c r="DP136" i="4"/>
  <c r="AT136" i="4" s="1"/>
  <c r="DP133" i="4"/>
  <c r="DP132" i="4"/>
  <c r="AT132" i="4" s="1"/>
  <c r="DP147" i="4"/>
  <c r="AU111" i="39" l="1"/>
  <c r="AV111" i="39" s="1"/>
  <c r="AS10" i="39"/>
  <c r="AS138" i="4"/>
  <c r="DP134" i="4"/>
  <c r="AT133" i="4"/>
  <c r="AT134" i="4" s="1"/>
  <c r="AS133" i="4"/>
  <c r="AS147" i="4"/>
  <c r="AS91" i="4"/>
  <c r="AS64" i="4"/>
  <c r="AS124" i="4"/>
  <c r="AS247" i="4"/>
  <c r="AS132" i="4"/>
  <c r="AT139" i="4"/>
  <c r="AT68" i="42" s="1"/>
  <c r="AS136" i="4"/>
  <c r="AS86" i="4" s="1"/>
  <c r="AS85" i="4" s="1"/>
  <c r="AS66" i="42" s="1"/>
  <c r="AS70" i="4"/>
  <c r="AS121" i="4"/>
  <c r="AS246" i="4"/>
  <c r="AS137" i="4"/>
  <c r="AS88" i="39"/>
  <c r="AS22" i="39"/>
  <c r="DP139" i="4"/>
  <c r="AS134" i="4" l="1"/>
  <c r="DP149" i="4"/>
  <c r="AT149" i="4"/>
  <c r="AS139" i="4"/>
  <c r="AS68" i="42" s="1"/>
  <c r="AS67" i="42" s="1"/>
  <c r="AS89" i="39"/>
  <c r="AS91" i="39"/>
  <c r="AS29" i="39"/>
  <c r="AS67" i="39" s="1"/>
  <c r="AS23" i="39"/>
  <c r="AS149" i="4" l="1"/>
  <c r="AS33" i="39"/>
  <c r="AS40" i="39" l="1"/>
  <c r="AS35" i="39"/>
  <c r="AS41" i="39" l="1"/>
  <c r="AS75" i="4" s="1"/>
  <c r="AS18" i="4"/>
  <c r="AS9" i="4"/>
  <c r="AS9" i="42" s="1"/>
  <c r="AS32" i="4"/>
  <c r="AS16" i="4" l="1"/>
  <c r="AS22" i="4" s="1"/>
  <c r="AS27" i="4" s="1"/>
  <c r="AS34" i="4" s="1"/>
  <c r="AS16" i="42"/>
  <c r="AS18" i="42" s="1"/>
  <c r="AS10" i="42"/>
  <c r="AS10" i="4"/>
  <c r="AS28" i="4" l="1"/>
  <c r="AS38" i="4"/>
  <c r="AS104" i="4"/>
  <c r="AS22" i="42"/>
  <c r="AS21" i="4"/>
  <c r="AW21" i="4" s="1"/>
  <c r="AS29" i="42" l="1"/>
  <c r="AS33" i="42" s="1"/>
  <c r="AS23" i="42"/>
  <c r="AS42" i="4"/>
  <c r="AS249" i="4"/>
  <c r="AR169" i="39"/>
  <c r="AS44" i="4" l="1"/>
  <c r="AS51" i="4" s="1"/>
  <c r="AS50" i="4"/>
  <c r="AS37" i="42"/>
  <c r="AS61" i="42"/>
  <c r="AW61" i="42" s="1"/>
  <c r="AC59" i="72"/>
  <c r="AS39" i="42" l="1"/>
  <c r="AS45" i="42" s="1"/>
  <c r="AS78" i="4" s="1"/>
  <c r="AS44" i="42"/>
  <c r="AS65" i="4"/>
  <c r="CM49" i="72"/>
  <c r="AS596" i="41"/>
  <c r="BQ19" i="41"/>
  <c r="BL19" i="41"/>
  <c r="AX236" i="41" l="1"/>
  <c r="AV236" i="41"/>
  <c r="AU236" i="41"/>
  <c r="AV221" i="41"/>
  <c r="AU221" i="41"/>
  <c r="CC195" i="41"/>
  <c r="CB195" i="41"/>
  <c r="CA195" i="41"/>
  <c r="BQ122" i="41"/>
  <c r="BP122" i="41"/>
  <c r="BO122" i="41"/>
  <c r="BN122" i="41"/>
  <c r="BM122" i="41"/>
  <c r="BL122" i="41"/>
  <c r="BK122" i="41"/>
  <c r="BJ122" i="41"/>
  <c r="BI122" i="41"/>
  <c r="BH122" i="41"/>
  <c r="BG122" i="41"/>
  <c r="BF122" i="41"/>
  <c r="BE122" i="41"/>
  <c r="BD122" i="41"/>
  <c r="BC122" i="41"/>
  <c r="BB122" i="41"/>
  <c r="BA122" i="41"/>
  <c r="AZ122" i="41"/>
  <c r="AY122" i="41"/>
  <c r="AX122" i="41"/>
  <c r="AR167" i="39"/>
  <c r="AR170" i="39"/>
  <c r="AQ170" i="39" s="1"/>
  <c r="BB566" i="41" l="1"/>
  <c r="E228" i="51" l="1"/>
  <c r="DQ215" i="51"/>
  <c r="DP215" i="51"/>
  <c r="DO215" i="51"/>
  <c r="DN215" i="51"/>
  <c r="DL215" i="51"/>
  <c r="DK215" i="51"/>
  <c r="DJ215" i="51"/>
  <c r="DI215" i="51"/>
  <c r="DG215" i="51"/>
  <c r="DF215" i="51"/>
  <c r="DE215" i="51"/>
  <c r="DD215" i="51"/>
  <c r="DB215" i="51"/>
  <c r="DA215" i="51"/>
  <c r="CZ215" i="51"/>
  <c r="CY215" i="51"/>
  <c r="CW215" i="51"/>
  <c r="CV215" i="51"/>
  <c r="CU215" i="51"/>
  <c r="CT215" i="51"/>
  <c r="CR215" i="51"/>
  <c r="CQ215" i="51"/>
  <c r="CP215" i="51"/>
  <c r="CO215" i="51"/>
  <c r="CM215" i="51"/>
  <c r="CL215" i="51"/>
  <c r="CK215" i="51"/>
  <c r="CJ215" i="51"/>
  <c r="CH215" i="51"/>
  <c r="CG215" i="51"/>
  <c r="CF215" i="51"/>
  <c r="CE215" i="51"/>
  <c r="CC215" i="51"/>
  <c r="CB215" i="51"/>
  <c r="CA215" i="51"/>
  <c r="BZ215" i="51"/>
  <c r="BX215" i="51"/>
  <c r="BW215" i="51"/>
  <c r="BV215" i="51"/>
  <c r="BU215" i="51"/>
  <c r="BT215" i="51"/>
  <c r="BY215" i="51" s="1"/>
  <c r="CD215" i="51" s="1"/>
  <c r="CI215" i="51" s="1"/>
  <c r="CN215" i="51" s="1"/>
  <c r="CS215" i="51" s="1"/>
  <c r="CX215" i="51" s="1"/>
  <c r="DC215" i="51" s="1"/>
  <c r="DH215" i="51" s="1"/>
  <c r="DM215" i="51" s="1"/>
  <c r="DR215" i="51" s="1"/>
  <c r="BS215" i="51"/>
  <c r="BR215" i="51"/>
  <c r="BQ215" i="51"/>
  <c r="BP215" i="51"/>
  <c r="BN215" i="51"/>
  <c r="BM215" i="51" s="1"/>
  <c r="BI215" i="51"/>
  <c r="BH215" i="51" s="1"/>
  <c r="BD215" i="51"/>
  <c r="BC215" i="51" s="1"/>
  <c r="AY215" i="51"/>
  <c r="AX215" i="51" s="1"/>
  <c r="AT215" i="51"/>
  <c r="AS215" i="51" s="1"/>
  <c r="AO215" i="51"/>
  <c r="AN215" i="51" s="1"/>
  <c r="AJ215" i="51"/>
  <c r="AI215" i="51" s="1"/>
  <c r="AE215" i="51"/>
  <c r="AD215" i="51" s="1"/>
  <c r="Z215" i="51"/>
  <c r="Y215" i="51" s="1"/>
  <c r="U215" i="51"/>
  <c r="T215" i="51" s="1"/>
  <c r="P215" i="51"/>
  <c r="O215" i="51" s="1"/>
  <c r="E215" i="51"/>
  <c r="DQ139" i="51"/>
  <c r="DP139" i="51"/>
  <c r="DO139" i="51"/>
  <c r="DN139" i="51"/>
  <c r="DB139" i="51"/>
  <c r="DA139" i="51"/>
  <c r="CZ139" i="51"/>
  <c r="CY139" i="51"/>
  <c r="CW139" i="51"/>
  <c r="CV139" i="51"/>
  <c r="CU139" i="51"/>
  <c r="CT139" i="51"/>
  <c r="CR139" i="51"/>
  <c r="CQ139" i="51"/>
  <c r="CP139" i="51"/>
  <c r="CO139" i="51"/>
  <c r="CM139" i="51"/>
  <c r="CL139" i="51"/>
  <c r="CK139" i="51"/>
  <c r="CJ139" i="51"/>
  <c r="CH139" i="51"/>
  <c r="CG139" i="51"/>
  <c r="CF139" i="51"/>
  <c r="CE139" i="51"/>
  <c r="CC139" i="51"/>
  <c r="CB139" i="51"/>
  <c r="CA139" i="51"/>
  <c r="BZ139" i="51"/>
  <c r="BX139" i="51"/>
  <c r="BW139" i="51"/>
  <c r="BV139" i="51"/>
  <c r="BU139" i="51"/>
  <c r="BT139" i="51"/>
  <c r="BY139" i="51" s="1"/>
  <c r="CD139" i="51" s="1"/>
  <c r="CI139" i="51" s="1"/>
  <c r="CN139" i="51" s="1"/>
  <c r="CS139" i="51" s="1"/>
  <c r="CX139" i="51" s="1"/>
  <c r="DC139" i="51" s="1"/>
  <c r="BS139" i="51"/>
  <c r="BR139" i="51"/>
  <c r="BQ139" i="51"/>
  <c r="BP139" i="51"/>
  <c r="BN139" i="51"/>
  <c r="BM139" i="51" s="1"/>
  <c r="BI139" i="51"/>
  <c r="BH139" i="51" s="1"/>
  <c r="AY139" i="51"/>
  <c r="AX139" i="51" s="1"/>
  <c r="AT139" i="51"/>
  <c r="AS139" i="51" s="1"/>
  <c r="AO139" i="51"/>
  <c r="AN139" i="51" s="1"/>
  <c r="AJ139" i="51"/>
  <c r="AI139" i="51" s="1"/>
  <c r="AE139" i="51"/>
  <c r="AD139" i="51" s="1"/>
  <c r="Z139" i="51"/>
  <c r="Y139" i="51" s="1"/>
  <c r="U139" i="51"/>
  <c r="T139" i="51" s="1"/>
  <c r="P139" i="51"/>
  <c r="O139" i="51" s="1"/>
  <c r="E139" i="51"/>
  <c r="BD139" i="51" s="1"/>
  <c r="E95" i="51"/>
  <c r="AO95" i="51" s="1"/>
  <c r="AK95" i="51" s="1"/>
  <c r="P95" i="51"/>
  <c r="L95" i="51" s="1"/>
  <c r="U95" i="51"/>
  <c r="Q95" i="51" s="1"/>
  <c r="Z95" i="51"/>
  <c r="V95" i="51" s="1"/>
  <c r="AE95" i="51"/>
  <c r="AA95" i="51" s="1"/>
  <c r="AJ95" i="51"/>
  <c r="AF95" i="51" s="1"/>
  <c r="AT95" i="51"/>
  <c r="AP95" i="51" s="1"/>
  <c r="AY95" i="51"/>
  <c r="AU95" i="51" s="1"/>
  <c r="BD95" i="51"/>
  <c r="AZ95" i="51" s="1"/>
  <c r="BI95" i="51"/>
  <c r="BE95" i="51" s="1"/>
  <c r="BN95" i="51"/>
  <c r="BJ95" i="51" s="1"/>
  <c r="BP95" i="51"/>
  <c r="BQ95" i="51"/>
  <c r="BR95" i="51"/>
  <c r="BS95" i="51"/>
  <c r="BT95" i="51"/>
  <c r="BY95" i="51" s="1"/>
  <c r="CD95" i="51" s="1"/>
  <c r="CI95" i="51" s="1"/>
  <c r="CN95" i="51" s="1"/>
  <c r="CS95" i="51" s="1"/>
  <c r="BU95" i="51"/>
  <c r="BV95" i="51"/>
  <c r="BW95" i="51"/>
  <c r="BX95" i="51"/>
  <c r="BZ95" i="51"/>
  <c r="CA95" i="51"/>
  <c r="CB95" i="51"/>
  <c r="CC95" i="51"/>
  <c r="CE95" i="51"/>
  <c r="CF95" i="51"/>
  <c r="CG95" i="51"/>
  <c r="CH95" i="51"/>
  <c r="CJ95" i="51"/>
  <c r="CK95" i="51"/>
  <c r="CL95" i="51"/>
  <c r="CM95" i="51"/>
  <c r="CY95" i="51"/>
  <c r="CZ95" i="51"/>
  <c r="DA95" i="51"/>
  <c r="DB95" i="51"/>
  <c r="DD95" i="51"/>
  <c r="DE95" i="51"/>
  <c r="DF95" i="51"/>
  <c r="DG95" i="51"/>
  <c r="DI95" i="51"/>
  <c r="DJ95" i="51"/>
  <c r="DK95" i="51"/>
  <c r="DL95" i="51"/>
  <c r="DN95" i="51"/>
  <c r="DO95" i="51"/>
  <c r="DP95" i="51"/>
  <c r="DQ95" i="51"/>
  <c r="E75" i="51"/>
  <c r="DQ64" i="51"/>
  <c r="DP64" i="51"/>
  <c r="DO64" i="51"/>
  <c r="DN64" i="51"/>
  <c r="DL64" i="51"/>
  <c r="DK64" i="51"/>
  <c r="DJ64" i="51"/>
  <c r="DI64" i="51"/>
  <c r="DG64" i="51"/>
  <c r="DF64" i="51"/>
  <c r="DE64" i="51"/>
  <c r="DD64" i="51"/>
  <c r="DB64" i="51"/>
  <c r="DA64" i="51"/>
  <c r="CZ64" i="51"/>
  <c r="CY64" i="51"/>
  <c r="CW64" i="51"/>
  <c r="CV64" i="51"/>
  <c r="CU64" i="51"/>
  <c r="CT64" i="51"/>
  <c r="CR64" i="51"/>
  <c r="CQ64" i="51"/>
  <c r="CP64" i="51"/>
  <c r="CO64" i="51"/>
  <c r="CM64" i="51"/>
  <c r="CL64" i="51"/>
  <c r="CK64" i="51"/>
  <c r="CJ64" i="51"/>
  <c r="CH64" i="51"/>
  <c r="CG64" i="51"/>
  <c r="CF64" i="51"/>
  <c r="CE64" i="51"/>
  <c r="CC64" i="51"/>
  <c r="CB64" i="51"/>
  <c r="CA64" i="51"/>
  <c r="BZ64" i="51"/>
  <c r="BX64" i="51"/>
  <c r="BW64" i="51"/>
  <c r="BV64" i="51"/>
  <c r="BU64" i="51"/>
  <c r="BT64" i="51"/>
  <c r="BY64" i="51" s="1"/>
  <c r="CD64" i="51" s="1"/>
  <c r="CI64" i="51" s="1"/>
  <c r="CN64" i="51" s="1"/>
  <c r="CS64" i="51" s="1"/>
  <c r="CX64" i="51" s="1"/>
  <c r="DC64" i="51" s="1"/>
  <c r="DH64" i="51" s="1"/>
  <c r="DM64" i="51" s="1"/>
  <c r="DR64" i="51" s="1"/>
  <c r="BS64" i="51"/>
  <c r="BR64" i="51"/>
  <c r="BQ64" i="51"/>
  <c r="BP64" i="51"/>
  <c r="BN64" i="51"/>
  <c r="BM64" i="51" s="1"/>
  <c r="BI64" i="51"/>
  <c r="BH64" i="51" s="1"/>
  <c r="BD64" i="51"/>
  <c r="BC64" i="51" s="1"/>
  <c r="AY64" i="51"/>
  <c r="AX64" i="51" s="1"/>
  <c r="AT64" i="51"/>
  <c r="AS64" i="51" s="1"/>
  <c r="AO64" i="51"/>
  <c r="AN64" i="51" s="1"/>
  <c r="AJ64" i="51"/>
  <c r="AI64" i="51" s="1"/>
  <c r="AE64" i="51"/>
  <c r="AD64" i="51" s="1"/>
  <c r="Z64" i="51"/>
  <c r="Y64" i="51" s="1"/>
  <c r="U64" i="51"/>
  <c r="T64" i="51" s="1"/>
  <c r="P64" i="51"/>
  <c r="O64" i="51" s="1"/>
  <c r="E64" i="51"/>
  <c r="F28" i="51"/>
  <c r="E28" i="51" l="1"/>
  <c r="F30" i="51"/>
  <c r="AK215" i="51"/>
  <c r="Q215" i="51"/>
  <c r="BE215" i="51"/>
  <c r="AA215" i="51"/>
  <c r="AM215" i="51"/>
  <c r="S215" i="51"/>
  <c r="AC215" i="51"/>
  <c r="AL215" i="51"/>
  <c r="AP215" i="51"/>
  <c r="AU215" i="51"/>
  <c r="BG215" i="51"/>
  <c r="R215" i="51"/>
  <c r="V215" i="51"/>
  <c r="AW215" i="51"/>
  <c r="BF215" i="51"/>
  <c r="BJ215" i="51"/>
  <c r="L215" i="51"/>
  <c r="AB215" i="51"/>
  <c r="AF215" i="51"/>
  <c r="AV215" i="51"/>
  <c r="AZ215" i="51"/>
  <c r="N215" i="51"/>
  <c r="X215" i="51"/>
  <c r="AH215" i="51"/>
  <c r="AR215" i="51"/>
  <c r="BB215" i="51"/>
  <c r="BL215" i="51"/>
  <c r="M215" i="51"/>
  <c r="W215" i="51"/>
  <c r="AG215" i="51"/>
  <c r="AQ215" i="51"/>
  <c r="BA215" i="51"/>
  <c r="BK215" i="51"/>
  <c r="AK139" i="51"/>
  <c r="Q139" i="51"/>
  <c r="BJ139" i="51"/>
  <c r="S139" i="51"/>
  <c r="V139" i="51"/>
  <c r="AA139" i="51"/>
  <c r="AM139" i="51"/>
  <c r="AP139" i="51"/>
  <c r="AU139" i="51"/>
  <c r="BL139" i="51"/>
  <c r="L139" i="51"/>
  <c r="AC139" i="51"/>
  <c r="AF139" i="51"/>
  <c r="AW139" i="51"/>
  <c r="BE139" i="51"/>
  <c r="N139" i="51"/>
  <c r="X139" i="51"/>
  <c r="AH139" i="51"/>
  <c r="AR139" i="51"/>
  <c r="BG139" i="51"/>
  <c r="DH139" i="51"/>
  <c r="DL139" i="51" s="1"/>
  <c r="BC139" i="51"/>
  <c r="AZ139" i="51"/>
  <c r="BB139" i="51"/>
  <c r="R139" i="51"/>
  <c r="AB139" i="51"/>
  <c r="AL139" i="51"/>
  <c r="AV139" i="51"/>
  <c r="BF139" i="51"/>
  <c r="DJ139" i="51"/>
  <c r="DD139" i="51"/>
  <c r="DK139" i="51"/>
  <c r="DG139" i="51"/>
  <c r="DE139" i="51"/>
  <c r="M139" i="51"/>
  <c r="W139" i="51"/>
  <c r="AG139" i="51"/>
  <c r="AQ139" i="51"/>
  <c r="BA139" i="51"/>
  <c r="BK139" i="51"/>
  <c r="BM95" i="51"/>
  <c r="AS95" i="51"/>
  <c r="Y95" i="51"/>
  <c r="BC95" i="51"/>
  <c r="AI95" i="51"/>
  <c r="O95" i="51"/>
  <c r="BK95" i="51"/>
  <c r="BA95" i="51"/>
  <c r="AQ95" i="51"/>
  <c r="AG95" i="51"/>
  <c r="W95" i="51"/>
  <c r="M95" i="51"/>
  <c r="CP95" i="51"/>
  <c r="CR95" i="51"/>
  <c r="CT95" i="51"/>
  <c r="CV95" i="51"/>
  <c r="CX95" i="51"/>
  <c r="DC95" i="51" s="1"/>
  <c r="DH95" i="51" s="1"/>
  <c r="DM95" i="51" s="1"/>
  <c r="DR95" i="51" s="1"/>
  <c r="CO95" i="51"/>
  <c r="CQ95" i="51"/>
  <c r="CU95" i="51"/>
  <c r="CW95" i="51"/>
  <c r="BL95" i="51"/>
  <c r="BH95" i="51"/>
  <c r="BF95" i="51"/>
  <c r="BB95" i="51"/>
  <c r="AX95" i="51"/>
  <c r="AV95" i="51"/>
  <c r="AR95" i="51"/>
  <c r="AN95" i="51"/>
  <c r="AL95" i="51"/>
  <c r="AH95" i="51"/>
  <c r="AD95" i="51"/>
  <c r="AB95" i="51"/>
  <c r="X95" i="51"/>
  <c r="T95" i="51"/>
  <c r="R95" i="51"/>
  <c r="N95" i="51"/>
  <c r="BG95" i="51"/>
  <c r="AW95" i="51"/>
  <c r="AM95" i="51"/>
  <c r="AC95" i="51"/>
  <c r="S95" i="51"/>
  <c r="AZ64" i="51"/>
  <c r="L64" i="51"/>
  <c r="AF64" i="51"/>
  <c r="N64" i="51"/>
  <c r="Q64" i="51"/>
  <c r="V64" i="51"/>
  <c r="AH64" i="51"/>
  <c r="AK64" i="51"/>
  <c r="AP64" i="51"/>
  <c r="BB64" i="51"/>
  <c r="BE64" i="51"/>
  <c r="BJ64" i="51"/>
  <c r="X64" i="51"/>
  <c r="AA64" i="51"/>
  <c r="AR64" i="51"/>
  <c r="AU64" i="51"/>
  <c r="BL64" i="51"/>
  <c r="S64" i="51"/>
  <c r="AC64" i="51"/>
  <c r="AM64" i="51"/>
  <c r="AW64" i="51"/>
  <c r="BG64" i="51"/>
  <c r="R64" i="51"/>
  <c r="AB64" i="51"/>
  <c r="AL64" i="51"/>
  <c r="AV64" i="51"/>
  <c r="BF64" i="51"/>
  <c r="M64" i="51"/>
  <c r="W64" i="51"/>
  <c r="AG64" i="51"/>
  <c r="AQ64" i="51"/>
  <c r="BA64" i="51"/>
  <c r="BK64" i="51"/>
  <c r="BP171" i="64"/>
  <c r="DI139" i="51" l="1"/>
  <c r="DM139" i="51"/>
  <c r="DR139" i="51" s="1"/>
  <c r="DF139" i="51"/>
  <c r="AM13" i="60"/>
  <c r="AM44" i="60" l="1"/>
  <c r="AM20" i="60"/>
  <c r="AM67" i="60"/>
  <c r="AM43" i="60"/>
  <c r="AM55" i="60" s="1"/>
  <c r="AM19" i="60"/>
  <c r="AM66" i="60"/>
  <c r="AM42" i="60"/>
  <c r="AM54" i="60" s="1"/>
  <c r="AM18" i="60"/>
  <c r="AM65" i="60"/>
  <c r="AM41" i="60"/>
  <c r="AM53" i="60" s="1"/>
  <c r="AM17" i="60"/>
  <c r="AM64" i="60"/>
  <c r="AM40" i="60"/>
  <c r="AM52" i="60" s="1"/>
  <c r="AM16" i="60"/>
  <c r="AM63" i="60"/>
  <c r="AM39" i="60"/>
  <c r="AM51" i="60" s="1"/>
  <c r="AM15" i="60"/>
  <c r="AM62" i="60"/>
  <c r="AM38" i="60"/>
  <c r="AM50" i="60" s="1"/>
  <c r="AM14" i="60"/>
  <c r="AM61" i="60"/>
  <c r="AM37" i="60"/>
  <c r="AM49" i="60" s="1"/>
  <c r="AM60" i="60"/>
  <c r="AM36" i="60"/>
  <c r="AM48" i="60" s="1"/>
  <c r="AM12" i="60"/>
  <c r="AM35" i="60"/>
  <c r="AM47" i="60" s="1"/>
  <c r="AM11" i="60"/>
  <c r="AM56" i="60"/>
  <c r="AR42" i="42" l="1"/>
  <c r="AQ42" i="42"/>
  <c r="AR41" i="42"/>
  <c r="AQ41" i="42"/>
  <c r="AR38" i="42"/>
  <c r="AR35" i="42"/>
  <c r="AR34" i="42"/>
  <c r="AR31" i="42"/>
  <c r="AR26" i="42"/>
  <c r="AR25" i="42"/>
  <c r="AR15" i="42"/>
  <c r="AR14" i="42"/>
  <c r="AR13" i="42"/>
  <c r="AR12" i="42"/>
  <c r="AR8" i="42"/>
  <c r="AR625" i="41"/>
  <c r="AQ625" i="41" s="1"/>
  <c r="AR618" i="41"/>
  <c r="AQ618" i="41" s="1"/>
  <c r="AR617" i="41"/>
  <c r="AQ617" i="41" s="1"/>
  <c r="AR615" i="41"/>
  <c r="AQ615" i="41" s="1"/>
  <c r="AQ595" i="41"/>
  <c r="AR605" i="41"/>
  <c r="AQ8" i="41"/>
  <c r="AR9" i="41"/>
  <c r="AR10" i="41" s="1"/>
  <c r="AQ12" i="41"/>
  <c r="AQ13" i="41"/>
  <c r="AQ594" i="41" s="1"/>
  <c r="AQ14" i="41"/>
  <c r="AR19" i="41"/>
  <c r="AQ24" i="41"/>
  <c r="AQ25" i="41"/>
  <c r="AR26" i="41"/>
  <c r="AQ30" i="41"/>
  <c r="AQ33" i="41"/>
  <c r="AQ38" i="41"/>
  <c r="AR38" i="41"/>
  <c r="AQ39" i="41"/>
  <c r="AR39" i="41"/>
  <c r="AR557" i="41"/>
  <c r="AQ557" i="41" s="1"/>
  <c r="AR554" i="41"/>
  <c r="AQ554" i="41" s="1"/>
  <c r="AR553" i="41"/>
  <c r="AQ553" i="41" s="1"/>
  <c r="AR559" i="41"/>
  <c r="AQ543" i="41"/>
  <c r="AR90" i="40"/>
  <c r="AR81" i="40"/>
  <c r="AQ83" i="40"/>
  <c r="AR75" i="40"/>
  <c r="AR64" i="40"/>
  <c r="AR36" i="40"/>
  <c r="AQ36" i="40"/>
  <c r="AR35" i="40"/>
  <c r="AQ35" i="40"/>
  <c r="AQ32" i="40"/>
  <c r="AQ29" i="40"/>
  <c r="AR25" i="40"/>
  <c r="AQ24" i="40"/>
  <c r="AQ23" i="40"/>
  <c r="AR14" i="40"/>
  <c r="AR16" i="40" s="1"/>
  <c r="AR20" i="40" s="1"/>
  <c r="AQ13" i="40"/>
  <c r="AQ68" i="40" s="1"/>
  <c r="AV69" i="40" s="1"/>
  <c r="AV54" i="40" s="1"/>
  <c r="AQ12" i="40"/>
  <c r="AQ11" i="40"/>
  <c r="AQ75" i="40" s="1"/>
  <c r="AQ10" i="40"/>
  <c r="AQ8" i="40"/>
  <c r="AQ174" i="39"/>
  <c r="AR177" i="39"/>
  <c r="AQ177" i="39" s="1"/>
  <c r="AR171" i="39"/>
  <c r="AQ167" i="39"/>
  <c r="AQ559" i="41" l="1"/>
  <c r="AQ26" i="41"/>
  <c r="AQ14" i="40"/>
  <c r="AQ16" i="40" s="1"/>
  <c r="AR15" i="41"/>
  <c r="AR17" i="41" s="1"/>
  <c r="AR21" i="41" s="1"/>
  <c r="AR28" i="41" s="1"/>
  <c r="AQ25" i="40"/>
  <c r="AQ63" i="40"/>
  <c r="AQ65" i="40" s="1"/>
  <c r="AV66" i="40" s="1"/>
  <c r="AV53" i="40" s="1"/>
  <c r="AQ90" i="40"/>
  <c r="AV91" i="40" s="1"/>
  <c r="AR27" i="42"/>
  <c r="AQ169" i="39"/>
  <c r="AQ171" i="39" s="1"/>
  <c r="AQ180" i="39" s="1"/>
  <c r="AQ181" i="39" s="1"/>
  <c r="AQ619" i="41"/>
  <c r="AR619" i="41"/>
  <c r="AR555" i="41"/>
  <c r="AR27" i="40"/>
  <c r="AR21" i="40"/>
  <c r="AR180" i="39"/>
  <c r="AR175" i="39" s="1"/>
  <c r="AR31" i="40" l="1"/>
  <c r="AR38" i="40" s="1"/>
  <c r="AR56" i="40"/>
  <c r="AR22" i="41"/>
  <c r="AQ555" i="41"/>
  <c r="AS563" i="41"/>
  <c r="AR575" i="41"/>
  <c r="AR574" i="41"/>
  <c r="AR31" i="41"/>
  <c r="AR34" i="41" s="1"/>
  <c r="AR628" i="41"/>
  <c r="AR629" i="41" s="1"/>
  <c r="AQ628" i="41"/>
  <c r="AQ629" i="41" s="1"/>
  <c r="AQ172" i="39"/>
  <c r="AQ178" i="39"/>
  <c r="AQ175" i="39"/>
  <c r="AR172" i="39"/>
  <c r="AR178" i="39"/>
  <c r="AR181" i="39"/>
  <c r="AR157" i="39"/>
  <c r="AR146" i="39"/>
  <c r="AQ127" i="39"/>
  <c r="AQ151" i="39" s="1"/>
  <c r="AR120" i="39"/>
  <c r="AR113" i="39"/>
  <c r="AQ108" i="39"/>
  <c r="AR107" i="39"/>
  <c r="AR109" i="39" s="1"/>
  <c r="AR102" i="39"/>
  <c r="AR103" i="39" s="1"/>
  <c r="AQ102" i="39"/>
  <c r="AR78" i="39"/>
  <c r="AR83" i="39"/>
  <c r="AQ77" i="39"/>
  <c r="AQ76" i="39"/>
  <c r="AR69" i="39"/>
  <c r="AQ69" i="39"/>
  <c r="AR64" i="39"/>
  <c r="AR20" i="39"/>
  <c r="AR9" i="39"/>
  <c r="AR38" i="39"/>
  <c r="AQ38" i="39"/>
  <c r="AR37" i="39"/>
  <c r="AQ37" i="39"/>
  <c r="AQ31" i="39"/>
  <c r="AR27" i="39"/>
  <c r="AQ26" i="39"/>
  <c r="AQ25" i="39"/>
  <c r="AQ15" i="39"/>
  <c r="AQ14" i="39"/>
  <c r="AQ13" i="39"/>
  <c r="AQ12" i="39"/>
  <c r="AQ8" i="39"/>
  <c r="AQ199" i="4"/>
  <c r="AQ201" i="4"/>
  <c r="AQ202" i="4"/>
  <c r="AR202" i="4" s="1"/>
  <c r="DO141" i="4"/>
  <c r="AQ61" i="4"/>
  <c r="DO138" i="4"/>
  <c r="DO137" i="4"/>
  <c r="AR84" i="4"/>
  <c r="AQ84" i="4"/>
  <c r="AR82" i="4"/>
  <c r="AR46" i="4"/>
  <c r="AQ43" i="4"/>
  <c r="AR33" i="40" l="1"/>
  <c r="AR39" i="40" s="1"/>
  <c r="AQ203" i="4"/>
  <c r="AR201" i="4"/>
  <c r="AR203" i="4" s="1"/>
  <c r="AQ82" i="4"/>
  <c r="AS188" i="39"/>
  <c r="AQ20" i="39"/>
  <c r="AR36" i="41"/>
  <c r="AR42" i="41" s="1"/>
  <c r="AR41" i="41"/>
  <c r="AR88" i="39"/>
  <c r="AR91" i="39" s="1"/>
  <c r="AQ107" i="39"/>
  <c r="AQ109" i="39" s="1"/>
  <c r="AQ83" i="39"/>
  <c r="AQ120" i="39"/>
  <c r="AQ146" i="39"/>
  <c r="AQ27" i="39"/>
  <c r="AQ113" i="39"/>
  <c r="AQ148" i="39"/>
  <c r="AR620" i="41"/>
  <c r="AQ620" i="41"/>
  <c r="AR623" i="41"/>
  <c r="AR626" i="41"/>
  <c r="AQ623" i="41"/>
  <c r="AQ626" i="41"/>
  <c r="AR79" i="39"/>
  <c r="AR81" i="39" s="1"/>
  <c r="AR10" i="39"/>
  <c r="AR16" i="39"/>
  <c r="AR18" i="39" s="1"/>
  <c r="AR22" i="39" s="1"/>
  <c r="DN146" i="4"/>
  <c r="DN145" i="4"/>
  <c r="DN144" i="4"/>
  <c r="DN143" i="4"/>
  <c r="DN142" i="4"/>
  <c r="DN141" i="4"/>
  <c r="DN138" i="4"/>
  <c r="DN131" i="4"/>
  <c r="DN130" i="4"/>
  <c r="DN129" i="4"/>
  <c r="DO132" i="4"/>
  <c r="AR132" i="4" s="1"/>
  <c r="DO133" i="4"/>
  <c r="AR133" i="4" s="1"/>
  <c r="DO136" i="4"/>
  <c r="AR136" i="4" s="1"/>
  <c r="AR25" i="4"/>
  <c r="AR221" i="4"/>
  <c r="AQ182" i="4"/>
  <c r="AR182" i="4" s="1"/>
  <c r="AQ177" i="4"/>
  <c r="AR177" i="4" s="1"/>
  <c r="AQ160" i="4"/>
  <c r="AR160" i="4" s="1"/>
  <c r="AQ158" i="4"/>
  <c r="AR158" i="4" s="1"/>
  <c r="AQ191" i="4"/>
  <c r="AQ209" i="4" s="1"/>
  <c r="AR190" i="4"/>
  <c r="AR189" i="4"/>
  <c r="AR188" i="4"/>
  <c r="AR187" i="4"/>
  <c r="AR185" i="4"/>
  <c r="AR181" i="4"/>
  <c r="AR180" i="4"/>
  <c r="AR176" i="4"/>
  <c r="AR175" i="4"/>
  <c r="AR174" i="4"/>
  <c r="AR171" i="4"/>
  <c r="AR170" i="4"/>
  <c r="AR169" i="4"/>
  <c r="AR168" i="4"/>
  <c r="AQ166" i="4"/>
  <c r="AR165" i="4"/>
  <c r="AR164" i="4"/>
  <c r="AR163" i="4"/>
  <c r="AR159" i="4"/>
  <c r="AR157" i="4"/>
  <c r="AR199" i="4" s="1"/>
  <c r="DO147" i="4"/>
  <c r="AR147" i="4" s="1"/>
  <c r="AR146" i="4"/>
  <c r="AQ146" i="4" s="1"/>
  <c r="AR145" i="4"/>
  <c r="AR144" i="4"/>
  <c r="AR143" i="4"/>
  <c r="AQ143" i="4" s="1"/>
  <c r="AR142" i="4"/>
  <c r="AR141" i="4"/>
  <c r="AR138" i="4"/>
  <c r="AQ138" i="4" s="1"/>
  <c r="AR137" i="4"/>
  <c r="AR131" i="4"/>
  <c r="AQ131" i="4" s="1"/>
  <c r="AR130" i="4"/>
  <c r="AQ130" i="4" s="1"/>
  <c r="AR129" i="4"/>
  <c r="AQ129" i="4" s="1"/>
  <c r="AR120" i="4"/>
  <c r="AR119" i="4"/>
  <c r="AR62" i="4"/>
  <c r="AQ20" i="4"/>
  <c r="AQ15" i="4"/>
  <c r="AQ15" i="42" s="1"/>
  <c r="AQ14" i="4"/>
  <c r="AQ14" i="42" s="1"/>
  <c r="AQ13" i="4"/>
  <c r="AQ13" i="42" s="1"/>
  <c r="AQ62" i="42" s="1"/>
  <c r="AQ12" i="4"/>
  <c r="AQ12" i="42" s="1"/>
  <c r="AQ8" i="4"/>
  <c r="AQ8" i="42" s="1"/>
  <c r="AR9" i="4"/>
  <c r="AR9" i="42" s="1"/>
  <c r="AR77" i="4" l="1"/>
  <c r="AR9" i="61" s="1"/>
  <c r="AW40" i="40"/>
  <c r="AQ178" i="4"/>
  <c r="AQ183" i="4" s="1"/>
  <c r="AQ193" i="4" s="1"/>
  <c r="AQ161" i="4"/>
  <c r="AQ172" i="4" s="1"/>
  <c r="AR191" i="4"/>
  <c r="AR86" i="4"/>
  <c r="AR20" i="42"/>
  <c r="DN147" i="4"/>
  <c r="AQ145" i="4"/>
  <c r="AR64" i="4"/>
  <c r="AR161" i="4"/>
  <c r="AR209" i="4"/>
  <c r="AR212" i="4" s="1"/>
  <c r="AR227" i="4" s="1"/>
  <c r="AQ212" i="4"/>
  <c r="AQ210" i="4" s="1"/>
  <c r="AQ142" i="4"/>
  <c r="AQ92" i="4" s="1"/>
  <c r="AR92" i="4"/>
  <c r="DO134" i="4"/>
  <c r="AR16" i="42"/>
  <c r="AR18" i="42" s="1"/>
  <c r="AR10" i="42"/>
  <c r="AR89" i="39"/>
  <c r="AR29" i="39"/>
  <c r="AR23" i="39"/>
  <c r="AQ144" i="4"/>
  <c r="AR70" i="4"/>
  <c r="AQ141" i="4"/>
  <c r="AQ91" i="4" s="1"/>
  <c r="AR91" i="4"/>
  <c r="DO139" i="4"/>
  <c r="AR139" i="4" s="1"/>
  <c r="AR178" i="4"/>
  <c r="AR183" i="4" s="1"/>
  <c r="AR166" i="4"/>
  <c r="AR22" i="42" l="1"/>
  <c r="AR23" i="42" s="1"/>
  <c r="AR193" i="4"/>
  <c r="AR213" i="4"/>
  <c r="AR228" i="4"/>
  <c r="AR172" i="4"/>
  <c r="AQ147" i="4"/>
  <c r="AR207" i="4"/>
  <c r="AQ213" i="4"/>
  <c r="AR210" i="4"/>
  <c r="AR204" i="4"/>
  <c r="AQ204" i="4"/>
  <c r="AQ207" i="4"/>
  <c r="AQ64" i="4"/>
  <c r="AQ247" i="4"/>
  <c r="AR33" i="39"/>
  <c r="AR40" i="39" s="1"/>
  <c r="AR67" i="39"/>
  <c r="AQ70" i="4"/>
  <c r="AQ246" i="4"/>
  <c r="DO149" i="4"/>
  <c r="AR134" i="4"/>
  <c r="AR223" i="4" s="1"/>
  <c r="AR29" i="42" l="1"/>
  <c r="AR33" i="42" s="1"/>
  <c r="AR37" i="42" s="1"/>
  <c r="AR44" i="42" s="1"/>
  <c r="AR35" i="39"/>
  <c r="AR41" i="39" s="1"/>
  <c r="AR149" i="4"/>
  <c r="AW42" i="39" l="1"/>
  <c r="AR39" i="42"/>
  <c r="DG49" i="72"/>
  <c r="DG47" i="72"/>
  <c r="AR45" i="42" l="1"/>
  <c r="AR46" i="39" s="1"/>
  <c r="AR58" i="61"/>
  <c r="CD185" i="41"/>
  <c r="BA214" i="41" l="1"/>
  <c r="AZ214" i="41" s="1"/>
  <c r="AY214" i="41" s="1"/>
  <c r="AX214" i="41" s="1"/>
  <c r="AV214" i="41"/>
  <c r="AT214" i="41" s="1"/>
  <c r="BB188" i="41"/>
  <c r="AW188" i="41"/>
  <c r="BA185" i="41"/>
  <c r="AZ185" i="41"/>
  <c r="AY185" i="41"/>
  <c r="AX185" i="41"/>
  <c r="AV185" i="41"/>
  <c r="AT185" i="41"/>
  <c r="BA183" i="41"/>
  <c r="AZ183" i="41"/>
  <c r="AY183" i="41"/>
  <c r="AX183" i="41"/>
  <c r="AV183" i="41"/>
  <c r="AT183" i="41"/>
  <c r="BA182" i="41"/>
  <c r="AZ182" i="41"/>
  <c r="AY182" i="41"/>
  <c r="AV182" i="41"/>
  <c r="AT182" i="41"/>
  <c r="AX139" i="64" l="1"/>
  <c r="AW139" i="64"/>
  <c r="AV139" i="64"/>
  <c r="AU139" i="64"/>
  <c r="AT139" i="64"/>
  <c r="AS139" i="64"/>
  <c r="AR139" i="64"/>
  <c r="AQ139" i="64"/>
  <c r="AP139" i="64"/>
  <c r="AO139" i="64"/>
  <c r="AN139" i="64"/>
  <c r="AM139" i="64"/>
  <c r="AL139" i="64"/>
  <c r="AK139" i="64"/>
  <c r="AJ139" i="64"/>
  <c r="AI139" i="64"/>
  <c r="AH139" i="64"/>
  <c r="AG139" i="64"/>
  <c r="AF139" i="64"/>
  <c r="AE139" i="64"/>
  <c r="AD139" i="64"/>
  <c r="AC139" i="64"/>
  <c r="AB139" i="64"/>
  <c r="AA139" i="64"/>
  <c r="Z139" i="64"/>
  <c r="Y139" i="64"/>
  <c r="X139" i="64"/>
  <c r="W139" i="64"/>
  <c r="V139" i="64"/>
  <c r="U139" i="64"/>
  <c r="T139" i="64"/>
  <c r="S139" i="64"/>
  <c r="R139" i="64"/>
  <c r="Q139" i="64"/>
  <c r="P139" i="64"/>
  <c r="O139" i="64"/>
  <c r="N139" i="64"/>
  <c r="M139" i="64"/>
  <c r="L139" i="64"/>
  <c r="K139" i="64"/>
  <c r="J139" i="64"/>
  <c r="I139" i="64"/>
  <c r="H139" i="64"/>
  <c r="G139" i="64"/>
  <c r="AX138" i="64"/>
  <c r="AW138" i="64"/>
  <c r="AV138" i="64"/>
  <c r="AU138" i="64"/>
  <c r="AT138" i="64"/>
  <c r="AS138" i="64"/>
  <c r="AR138" i="64"/>
  <c r="AQ138" i="64"/>
  <c r="AP138" i="64"/>
  <c r="AO138" i="64"/>
  <c r="AN138" i="64"/>
  <c r="AM138" i="64"/>
  <c r="AL138" i="64"/>
  <c r="AK138" i="64"/>
  <c r="AJ138" i="64"/>
  <c r="AI138" i="64"/>
  <c r="AH138" i="64"/>
  <c r="AG138" i="64"/>
  <c r="AF138" i="64"/>
  <c r="AE138" i="64"/>
  <c r="AD138" i="64"/>
  <c r="AC138" i="64"/>
  <c r="AB138" i="64"/>
  <c r="AA138" i="64"/>
  <c r="Z138" i="64"/>
  <c r="Y138" i="64"/>
  <c r="X138" i="64"/>
  <c r="W138" i="64"/>
  <c r="V138" i="64"/>
  <c r="U138" i="64"/>
  <c r="T138" i="64"/>
  <c r="S138" i="64"/>
  <c r="R138" i="64"/>
  <c r="Q138" i="64"/>
  <c r="P138" i="64"/>
  <c r="O138" i="64"/>
  <c r="N138" i="64"/>
  <c r="M138" i="64"/>
  <c r="L138" i="64"/>
  <c r="K138" i="64"/>
  <c r="J138" i="64"/>
  <c r="I138" i="64"/>
  <c r="H138" i="64"/>
  <c r="G138" i="64"/>
  <c r="AX137" i="64"/>
  <c r="AW137" i="64"/>
  <c r="AV137" i="64"/>
  <c r="AU137" i="64"/>
  <c r="AT137" i="64"/>
  <c r="AS137" i="64"/>
  <c r="AR137" i="64"/>
  <c r="AQ137" i="64"/>
  <c r="AP137" i="64"/>
  <c r="AO137" i="64"/>
  <c r="AN137" i="64"/>
  <c r="AM137" i="64"/>
  <c r="AL137" i="64"/>
  <c r="AK137" i="64"/>
  <c r="AJ137" i="64"/>
  <c r="AI137" i="64"/>
  <c r="AH137" i="64"/>
  <c r="AG137" i="64"/>
  <c r="AF137" i="64"/>
  <c r="AE137" i="64"/>
  <c r="AD137" i="64"/>
  <c r="AC137" i="64"/>
  <c r="AB137" i="64"/>
  <c r="AA137" i="64"/>
  <c r="Z137" i="64"/>
  <c r="Y137" i="64"/>
  <c r="X137" i="64"/>
  <c r="W137" i="64"/>
  <c r="V137" i="64"/>
  <c r="U137" i="64"/>
  <c r="T137" i="64"/>
  <c r="S137" i="64"/>
  <c r="R137" i="64"/>
  <c r="Q137" i="64"/>
  <c r="P137" i="64"/>
  <c r="O137" i="64"/>
  <c r="N137" i="64"/>
  <c r="M137" i="64"/>
  <c r="L137" i="64"/>
  <c r="K137" i="64"/>
  <c r="J137" i="64"/>
  <c r="I137" i="64"/>
  <c r="H137" i="64"/>
  <c r="G137" i="64"/>
  <c r="AX136" i="64"/>
  <c r="AW136" i="64"/>
  <c r="AV136" i="64"/>
  <c r="AU136" i="64"/>
  <c r="AT136" i="64"/>
  <c r="AS136" i="64"/>
  <c r="AR136" i="64"/>
  <c r="AQ136" i="64"/>
  <c r="AP136" i="64"/>
  <c r="AO136" i="64"/>
  <c r="AN136" i="64"/>
  <c r="AM136" i="64"/>
  <c r="AL136" i="64"/>
  <c r="AK136" i="64"/>
  <c r="AJ136" i="64"/>
  <c r="AI136" i="64"/>
  <c r="AH136" i="64"/>
  <c r="AG136" i="64"/>
  <c r="AF136" i="64"/>
  <c r="AE136" i="64"/>
  <c r="AD136" i="64"/>
  <c r="AC136" i="64"/>
  <c r="AB136" i="64"/>
  <c r="AA136" i="64"/>
  <c r="Z136" i="64"/>
  <c r="Y136" i="64"/>
  <c r="X136" i="64"/>
  <c r="W136" i="64"/>
  <c r="V136" i="64"/>
  <c r="U136" i="64"/>
  <c r="T136" i="64"/>
  <c r="S136" i="64"/>
  <c r="R136" i="64"/>
  <c r="Q136" i="64"/>
  <c r="P136" i="64"/>
  <c r="O136" i="64"/>
  <c r="N136" i="64"/>
  <c r="M136" i="64"/>
  <c r="L136" i="64"/>
  <c r="K136" i="64"/>
  <c r="J136" i="64"/>
  <c r="I136" i="64"/>
  <c r="H136" i="64"/>
  <c r="G136" i="64"/>
  <c r="AX135" i="64"/>
  <c r="AW135" i="64"/>
  <c r="AV135" i="64"/>
  <c r="AU135" i="64"/>
  <c r="AT135" i="64"/>
  <c r="AS135" i="64"/>
  <c r="AR135" i="64"/>
  <c r="AQ135" i="64"/>
  <c r="AP135" i="64"/>
  <c r="AO135" i="64"/>
  <c r="AN135" i="64"/>
  <c r="AM135" i="64"/>
  <c r="AL135" i="64"/>
  <c r="AK135" i="64"/>
  <c r="AJ135" i="64"/>
  <c r="AI135" i="64"/>
  <c r="AH135" i="64"/>
  <c r="AG135" i="64"/>
  <c r="AF135" i="64"/>
  <c r="AE135" i="64"/>
  <c r="AD135" i="64"/>
  <c r="AC135" i="64"/>
  <c r="AB135" i="64"/>
  <c r="AA135" i="64"/>
  <c r="Z135" i="64"/>
  <c r="Y135" i="64"/>
  <c r="X135" i="64"/>
  <c r="W135" i="64"/>
  <c r="V135" i="64"/>
  <c r="U135" i="64"/>
  <c r="T135" i="64"/>
  <c r="S135" i="64"/>
  <c r="R135" i="64"/>
  <c r="Q135" i="64"/>
  <c r="P135" i="64"/>
  <c r="O135" i="64"/>
  <c r="N135" i="64"/>
  <c r="M135" i="64"/>
  <c r="L135" i="64"/>
  <c r="K135" i="64"/>
  <c r="J135" i="64"/>
  <c r="I135" i="64"/>
  <c r="H135" i="64"/>
  <c r="G135" i="64"/>
  <c r="AX134" i="64"/>
  <c r="AW134" i="64"/>
  <c r="AV134" i="64"/>
  <c r="AU134" i="64"/>
  <c r="AT134" i="64"/>
  <c r="AS134" i="64"/>
  <c r="AR134" i="64"/>
  <c r="AQ134" i="64"/>
  <c r="AP134" i="64"/>
  <c r="AO134" i="64"/>
  <c r="AN134" i="64"/>
  <c r="AM134" i="64"/>
  <c r="AL134" i="64"/>
  <c r="AK134" i="64"/>
  <c r="AJ134" i="64"/>
  <c r="AI134" i="64"/>
  <c r="AH134" i="64"/>
  <c r="AG134" i="64"/>
  <c r="AF134" i="64"/>
  <c r="AE134" i="64"/>
  <c r="AD134" i="64"/>
  <c r="AC134" i="64"/>
  <c r="AB134" i="64"/>
  <c r="AA134" i="64"/>
  <c r="Z134" i="64"/>
  <c r="Y134" i="64"/>
  <c r="X134" i="64"/>
  <c r="W134" i="64"/>
  <c r="V134" i="64"/>
  <c r="U134" i="64"/>
  <c r="T134" i="64"/>
  <c r="S134" i="64"/>
  <c r="R134" i="64"/>
  <c r="Q134" i="64"/>
  <c r="P134" i="64"/>
  <c r="O134" i="64"/>
  <c r="N134" i="64"/>
  <c r="M134" i="64"/>
  <c r="L134" i="64"/>
  <c r="K134" i="64"/>
  <c r="J134" i="64"/>
  <c r="I134" i="64"/>
  <c r="H134" i="64"/>
  <c r="G134" i="64"/>
  <c r="AX133" i="64"/>
  <c r="AW133" i="64"/>
  <c r="AV133" i="64"/>
  <c r="AU133" i="64"/>
  <c r="AT133" i="64"/>
  <c r="AS133" i="64"/>
  <c r="AR133" i="64"/>
  <c r="AQ133" i="64"/>
  <c r="AP133" i="64"/>
  <c r="AO133" i="64"/>
  <c r="AN133" i="64"/>
  <c r="AM133" i="64"/>
  <c r="AL133" i="64"/>
  <c r="AK133" i="64"/>
  <c r="AJ133" i="64"/>
  <c r="AI133" i="64"/>
  <c r="AH133" i="64"/>
  <c r="AG133" i="64"/>
  <c r="AF133" i="64"/>
  <c r="AE133" i="64"/>
  <c r="AD133" i="64"/>
  <c r="AC133" i="64"/>
  <c r="AB133" i="64"/>
  <c r="AA133" i="64"/>
  <c r="Z133" i="64"/>
  <c r="Y133" i="64"/>
  <c r="X133" i="64"/>
  <c r="W133" i="64"/>
  <c r="V133" i="64"/>
  <c r="U133" i="64"/>
  <c r="T133" i="64"/>
  <c r="S133" i="64"/>
  <c r="R133" i="64"/>
  <c r="Q133" i="64"/>
  <c r="P133" i="64"/>
  <c r="O133" i="64"/>
  <c r="N133" i="64"/>
  <c r="M133" i="64"/>
  <c r="L133" i="64"/>
  <c r="K133" i="64"/>
  <c r="J133" i="64"/>
  <c r="I133" i="64"/>
  <c r="H133" i="64"/>
  <c r="G133" i="64"/>
  <c r="AX132" i="64"/>
  <c r="AW132" i="64"/>
  <c r="AV132" i="64"/>
  <c r="AU132" i="64"/>
  <c r="AT132" i="64"/>
  <c r="AS132" i="64"/>
  <c r="AR132" i="64"/>
  <c r="AQ132" i="64"/>
  <c r="AP132" i="64"/>
  <c r="AO132" i="64"/>
  <c r="AN132" i="64"/>
  <c r="AM132" i="64"/>
  <c r="AL132" i="64"/>
  <c r="AK132" i="64"/>
  <c r="AJ132" i="64"/>
  <c r="AI132" i="64"/>
  <c r="AH132" i="64"/>
  <c r="AG132" i="64"/>
  <c r="AF132" i="64"/>
  <c r="AE132" i="64"/>
  <c r="AD132" i="64"/>
  <c r="AC132" i="64"/>
  <c r="AB132" i="64"/>
  <c r="AA132" i="64"/>
  <c r="Z132" i="64"/>
  <c r="Y132" i="64"/>
  <c r="X132" i="64"/>
  <c r="W132" i="64"/>
  <c r="V132" i="64"/>
  <c r="U132" i="64"/>
  <c r="T132" i="64"/>
  <c r="S132" i="64"/>
  <c r="R132" i="64"/>
  <c r="Q132" i="64"/>
  <c r="P132" i="64"/>
  <c r="O132" i="64"/>
  <c r="N132" i="64"/>
  <c r="M132" i="64"/>
  <c r="L132" i="64"/>
  <c r="K132" i="64"/>
  <c r="J132" i="64"/>
  <c r="I132" i="64"/>
  <c r="H132" i="64"/>
  <c r="G132" i="64"/>
  <c r="AX131" i="64"/>
  <c r="AW131" i="64"/>
  <c r="AV131" i="64"/>
  <c r="AU131" i="64"/>
  <c r="AT131" i="64"/>
  <c r="AS131" i="64"/>
  <c r="AR131" i="64"/>
  <c r="AQ131" i="64"/>
  <c r="AP131" i="64"/>
  <c r="AO131" i="64"/>
  <c r="AN131" i="64"/>
  <c r="AM131" i="64"/>
  <c r="AL131" i="64"/>
  <c r="AK131" i="64"/>
  <c r="AJ131" i="64"/>
  <c r="AI131" i="64"/>
  <c r="AH131" i="64"/>
  <c r="AG131" i="64"/>
  <c r="AF131" i="64"/>
  <c r="AE131" i="64"/>
  <c r="AD131" i="64"/>
  <c r="AC131" i="64"/>
  <c r="AB131" i="64"/>
  <c r="AA131" i="64"/>
  <c r="Z131" i="64"/>
  <c r="Y131" i="64"/>
  <c r="X131" i="64"/>
  <c r="W131" i="64"/>
  <c r="V131" i="64"/>
  <c r="U131" i="64"/>
  <c r="T131" i="64"/>
  <c r="S131" i="64"/>
  <c r="R131" i="64"/>
  <c r="Q131" i="64"/>
  <c r="P131" i="64"/>
  <c r="O131" i="64"/>
  <c r="N131" i="64"/>
  <c r="M131" i="64"/>
  <c r="L131" i="64"/>
  <c r="K131" i="64"/>
  <c r="J131" i="64"/>
  <c r="I131" i="64"/>
  <c r="H131" i="64"/>
  <c r="G131" i="64"/>
  <c r="AX130" i="64"/>
  <c r="AW130" i="64"/>
  <c r="AV130" i="64"/>
  <c r="AU130" i="64"/>
  <c r="AT130" i="64"/>
  <c r="AS130" i="64"/>
  <c r="AR130" i="64"/>
  <c r="AQ130" i="64"/>
  <c r="AP130" i="64"/>
  <c r="AO130" i="64"/>
  <c r="AN130" i="64"/>
  <c r="AM130" i="64"/>
  <c r="AL130" i="64"/>
  <c r="AK130" i="64"/>
  <c r="AJ130" i="64"/>
  <c r="AI130" i="64"/>
  <c r="AH130" i="64"/>
  <c r="AG130" i="64"/>
  <c r="AF130" i="64"/>
  <c r="AE130" i="64"/>
  <c r="AD130" i="64"/>
  <c r="AC130" i="64"/>
  <c r="AB130" i="64"/>
  <c r="AA130" i="64"/>
  <c r="Z130" i="64"/>
  <c r="Y130" i="64"/>
  <c r="X130" i="64"/>
  <c r="W130" i="64"/>
  <c r="V130" i="64"/>
  <c r="U130" i="64"/>
  <c r="T130" i="64"/>
  <c r="S130" i="64"/>
  <c r="R130" i="64"/>
  <c r="Q130" i="64"/>
  <c r="P130" i="64"/>
  <c r="O130" i="64"/>
  <c r="N130" i="64"/>
  <c r="M130" i="64"/>
  <c r="L130" i="64"/>
  <c r="K130" i="64"/>
  <c r="J130" i="64"/>
  <c r="I130" i="64"/>
  <c r="H130" i="64"/>
  <c r="G130" i="64"/>
  <c r="AX129" i="64"/>
  <c r="AW129" i="64"/>
  <c r="AV129" i="64"/>
  <c r="AU129" i="64"/>
  <c r="AT129" i="64"/>
  <c r="AS129" i="64"/>
  <c r="AR129" i="64"/>
  <c r="AQ129" i="64"/>
  <c r="AP129" i="64"/>
  <c r="AO129" i="64"/>
  <c r="AN129" i="64"/>
  <c r="AM129" i="64"/>
  <c r="AL129" i="64"/>
  <c r="AK129" i="64"/>
  <c r="AJ129" i="64"/>
  <c r="AI129" i="64"/>
  <c r="AH129" i="64"/>
  <c r="AG129" i="64"/>
  <c r="AF129" i="64"/>
  <c r="AE129" i="64"/>
  <c r="AD129" i="64"/>
  <c r="AC129" i="64"/>
  <c r="AB129" i="64"/>
  <c r="AA129" i="64"/>
  <c r="Z129" i="64"/>
  <c r="Y129" i="64"/>
  <c r="X129" i="64"/>
  <c r="W129" i="64"/>
  <c r="V129" i="64"/>
  <c r="U129" i="64"/>
  <c r="T129" i="64"/>
  <c r="S129" i="64"/>
  <c r="R129" i="64"/>
  <c r="Q129" i="64"/>
  <c r="P129" i="64"/>
  <c r="O129" i="64"/>
  <c r="N129" i="64"/>
  <c r="M129" i="64"/>
  <c r="L129" i="64"/>
  <c r="K129" i="64"/>
  <c r="J129" i="64"/>
  <c r="I129" i="64"/>
  <c r="H129" i="64"/>
  <c r="G129" i="64"/>
  <c r="AX128" i="64"/>
  <c r="AW128" i="64"/>
  <c r="AV128" i="64"/>
  <c r="AU128" i="64"/>
  <c r="AT128" i="64"/>
  <c r="AS128" i="64"/>
  <c r="AR128" i="64"/>
  <c r="AQ128" i="64"/>
  <c r="AP128" i="64"/>
  <c r="AO128" i="64"/>
  <c r="AN128" i="64"/>
  <c r="AM128" i="64"/>
  <c r="AL128" i="64"/>
  <c r="AK128" i="64"/>
  <c r="AJ128" i="64"/>
  <c r="AI128" i="64"/>
  <c r="AH128" i="64"/>
  <c r="AG128" i="64"/>
  <c r="AF128" i="64"/>
  <c r="AE128" i="64"/>
  <c r="AD128" i="64"/>
  <c r="AC128" i="64"/>
  <c r="AB128" i="64"/>
  <c r="AA128" i="64"/>
  <c r="Z128" i="64"/>
  <c r="Y128" i="64"/>
  <c r="X128" i="64"/>
  <c r="W128" i="64"/>
  <c r="V128" i="64"/>
  <c r="U128" i="64"/>
  <c r="T128" i="64"/>
  <c r="S128" i="64"/>
  <c r="R128" i="64"/>
  <c r="Q128" i="64"/>
  <c r="P128" i="64"/>
  <c r="O128" i="64"/>
  <c r="N128" i="64"/>
  <c r="M128" i="64"/>
  <c r="L128" i="64"/>
  <c r="K128" i="64"/>
  <c r="J128" i="64"/>
  <c r="I128" i="64"/>
  <c r="H128" i="64"/>
  <c r="G128" i="64"/>
  <c r="AX127" i="64"/>
  <c r="AW127" i="64"/>
  <c r="AV127" i="64"/>
  <c r="AU127" i="64"/>
  <c r="AT127" i="64"/>
  <c r="AS127" i="64"/>
  <c r="AR127" i="64"/>
  <c r="AQ127" i="64"/>
  <c r="AP127" i="64"/>
  <c r="AO127" i="64"/>
  <c r="AN127" i="64"/>
  <c r="AM127" i="64"/>
  <c r="AL127" i="64"/>
  <c r="AK127" i="64"/>
  <c r="AJ127" i="64"/>
  <c r="AI127" i="64"/>
  <c r="AH127" i="64"/>
  <c r="AG127" i="64"/>
  <c r="AF127" i="64"/>
  <c r="AE127" i="64"/>
  <c r="AD127" i="64"/>
  <c r="AC127" i="64"/>
  <c r="AB127" i="64"/>
  <c r="AA127" i="64"/>
  <c r="Z127" i="64"/>
  <c r="Y127" i="64"/>
  <c r="X127" i="64"/>
  <c r="W127" i="64"/>
  <c r="V127" i="64"/>
  <c r="U127" i="64"/>
  <c r="T127" i="64"/>
  <c r="S127" i="64"/>
  <c r="R127" i="64"/>
  <c r="Q127" i="64"/>
  <c r="P127" i="64"/>
  <c r="O127" i="64"/>
  <c r="N127" i="64"/>
  <c r="M127" i="64"/>
  <c r="L127" i="64"/>
  <c r="K127" i="64"/>
  <c r="J127" i="64"/>
  <c r="I127" i="64"/>
  <c r="H127" i="64"/>
  <c r="G127" i="64"/>
  <c r="AX126" i="64"/>
  <c r="AW126" i="64"/>
  <c r="AV126" i="64"/>
  <c r="AU126" i="64"/>
  <c r="AT126" i="64"/>
  <c r="AS126" i="64"/>
  <c r="AR126" i="64"/>
  <c r="AQ126" i="64"/>
  <c r="AP126" i="64"/>
  <c r="AO126" i="64"/>
  <c r="AN126" i="64"/>
  <c r="AM126" i="64"/>
  <c r="AL126" i="64"/>
  <c r="AK126" i="64"/>
  <c r="AJ126" i="64"/>
  <c r="AI126" i="64"/>
  <c r="AH126" i="64"/>
  <c r="AG126" i="64"/>
  <c r="AF126" i="64"/>
  <c r="AE126" i="64"/>
  <c r="AD126" i="64"/>
  <c r="AC126" i="64"/>
  <c r="AB126" i="64"/>
  <c r="AA126" i="64"/>
  <c r="Z126" i="64"/>
  <c r="Y126" i="64"/>
  <c r="X126" i="64"/>
  <c r="W126" i="64"/>
  <c r="V126" i="64"/>
  <c r="U126" i="64"/>
  <c r="T126" i="64"/>
  <c r="S126" i="64"/>
  <c r="R126" i="64"/>
  <c r="Q126" i="64"/>
  <c r="P126" i="64"/>
  <c r="O126" i="64"/>
  <c r="N126" i="64"/>
  <c r="M126" i="64"/>
  <c r="L126" i="64"/>
  <c r="K126" i="64"/>
  <c r="J126" i="64"/>
  <c r="I126" i="64"/>
  <c r="H126" i="64"/>
  <c r="G126" i="64"/>
  <c r="AX125" i="64"/>
  <c r="AW125" i="64"/>
  <c r="AV125" i="64"/>
  <c r="AU125" i="64"/>
  <c r="AT125" i="64"/>
  <c r="AS125" i="64"/>
  <c r="AR125" i="64"/>
  <c r="AQ125" i="64"/>
  <c r="AP125" i="64"/>
  <c r="AO125" i="64"/>
  <c r="AN125" i="64"/>
  <c r="AM125" i="64"/>
  <c r="AL125" i="64"/>
  <c r="AV81" i="41" s="1"/>
  <c r="AK125" i="64"/>
  <c r="AU81" i="41" s="1"/>
  <c r="AJ125" i="64"/>
  <c r="AS81" i="41" s="1"/>
  <c r="AI125" i="64"/>
  <c r="AH125" i="64"/>
  <c r="AG125" i="64"/>
  <c r="AP81" i="41" s="1"/>
  <c r="AF125" i="64"/>
  <c r="AE125" i="64"/>
  <c r="AD125" i="64"/>
  <c r="AC125" i="64"/>
  <c r="AB125" i="64"/>
  <c r="AA125" i="64"/>
  <c r="Z125" i="64"/>
  <c r="Y125" i="64"/>
  <c r="X125" i="64"/>
  <c r="W125" i="64"/>
  <c r="V125" i="64"/>
  <c r="U125" i="64"/>
  <c r="T125" i="64"/>
  <c r="S125" i="64"/>
  <c r="R125" i="64"/>
  <c r="Q125" i="64"/>
  <c r="P125" i="64"/>
  <c r="O125" i="64"/>
  <c r="N125" i="64"/>
  <c r="M125" i="64"/>
  <c r="L125" i="64"/>
  <c r="K125" i="64"/>
  <c r="J125" i="64"/>
  <c r="I125" i="64"/>
  <c r="H125" i="64"/>
  <c r="G125" i="64"/>
  <c r="AX124" i="64"/>
  <c r="AW124" i="64"/>
  <c r="AV124" i="64"/>
  <c r="AU124" i="64"/>
  <c r="AT124" i="64"/>
  <c r="AS124" i="64"/>
  <c r="AR124" i="64"/>
  <c r="AQ124" i="64"/>
  <c r="AP124" i="64"/>
  <c r="AO124" i="64"/>
  <c r="AN124" i="64"/>
  <c r="AM124" i="64"/>
  <c r="AL124" i="64"/>
  <c r="AK124" i="64"/>
  <c r="AJ124" i="64"/>
  <c r="AI124" i="64"/>
  <c r="AH124" i="64"/>
  <c r="AG124" i="64"/>
  <c r="AF124" i="64"/>
  <c r="AE124" i="64"/>
  <c r="AD124" i="64"/>
  <c r="AC124" i="64"/>
  <c r="AB124" i="64"/>
  <c r="AA124" i="64"/>
  <c r="Z124" i="64"/>
  <c r="Y124" i="64"/>
  <c r="X124" i="64"/>
  <c r="W124" i="64"/>
  <c r="V124" i="64"/>
  <c r="U124" i="64"/>
  <c r="T124" i="64"/>
  <c r="S124" i="64"/>
  <c r="R124" i="64"/>
  <c r="Q124" i="64"/>
  <c r="P124" i="64"/>
  <c r="O124" i="64"/>
  <c r="N124" i="64"/>
  <c r="M124" i="64"/>
  <c r="L124" i="64"/>
  <c r="K124" i="64"/>
  <c r="J124" i="64"/>
  <c r="I124" i="64"/>
  <c r="H124" i="64"/>
  <c r="G124" i="64"/>
  <c r="AX123" i="64"/>
  <c r="AW123" i="64"/>
  <c r="AV123" i="64"/>
  <c r="AU123" i="64"/>
  <c r="AT123" i="64"/>
  <c r="AS123" i="64"/>
  <c r="AR123" i="64"/>
  <c r="AQ123" i="64"/>
  <c r="AP123" i="64"/>
  <c r="AO123" i="64"/>
  <c r="AN123" i="64"/>
  <c r="AM123" i="64"/>
  <c r="AL123" i="64"/>
  <c r="AK123" i="64"/>
  <c r="AJ123" i="64"/>
  <c r="AI123" i="64"/>
  <c r="AH123" i="64"/>
  <c r="AG123" i="64"/>
  <c r="AF123" i="64"/>
  <c r="AE123" i="64"/>
  <c r="AD123" i="64"/>
  <c r="AC123" i="64"/>
  <c r="AB123" i="64"/>
  <c r="AA123" i="64"/>
  <c r="Z123" i="64"/>
  <c r="Y123" i="64"/>
  <c r="X123" i="64"/>
  <c r="W123" i="64"/>
  <c r="V123" i="64"/>
  <c r="U123" i="64"/>
  <c r="T123" i="64"/>
  <c r="S123" i="64"/>
  <c r="R123" i="64"/>
  <c r="Q123" i="64"/>
  <c r="P123" i="64"/>
  <c r="O123" i="64"/>
  <c r="N123" i="64"/>
  <c r="M123" i="64"/>
  <c r="L123" i="64"/>
  <c r="K123" i="64"/>
  <c r="J123" i="64"/>
  <c r="I123" i="64"/>
  <c r="H123" i="64"/>
  <c r="G123" i="64"/>
  <c r="AX122" i="64"/>
  <c r="AW122" i="64"/>
  <c r="AV122" i="64"/>
  <c r="AU122" i="64"/>
  <c r="AT122" i="64"/>
  <c r="AS122" i="64"/>
  <c r="AR122" i="64"/>
  <c r="AQ122" i="64"/>
  <c r="AP122" i="64"/>
  <c r="AO122" i="64"/>
  <c r="AN122" i="64"/>
  <c r="AM122" i="64"/>
  <c r="AL122" i="64"/>
  <c r="AK122" i="64"/>
  <c r="AJ122" i="64"/>
  <c r="AI122" i="64"/>
  <c r="AH122" i="64"/>
  <c r="AG122" i="64"/>
  <c r="AF122" i="64"/>
  <c r="AE122" i="64"/>
  <c r="AD122" i="64"/>
  <c r="AC122" i="64"/>
  <c r="AB122" i="64"/>
  <c r="AA122" i="64"/>
  <c r="Z122" i="64"/>
  <c r="Y122" i="64"/>
  <c r="X122" i="64"/>
  <c r="W122" i="64"/>
  <c r="V122" i="64"/>
  <c r="U122" i="64"/>
  <c r="T122" i="64"/>
  <c r="S122" i="64"/>
  <c r="R122" i="64"/>
  <c r="Q122" i="64"/>
  <c r="P122" i="64"/>
  <c r="O122" i="64"/>
  <c r="N122" i="64"/>
  <c r="M122" i="64"/>
  <c r="L122" i="64"/>
  <c r="K122" i="64"/>
  <c r="J122" i="64"/>
  <c r="I122" i="64"/>
  <c r="H122" i="64"/>
  <c r="G122" i="64"/>
  <c r="AX121" i="64"/>
  <c r="AW121" i="64"/>
  <c r="AV121" i="64"/>
  <c r="AU121" i="64"/>
  <c r="AT121" i="64"/>
  <c r="AS121" i="64"/>
  <c r="AR121" i="64"/>
  <c r="AQ121" i="64"/>
  <c r="AP121" i="64"/>
  <c r="AO121" i="64"/>
  <c r="AN121" i="64"/>
  <c r="AM121" i="64"/>
  <c r="AL121" i="64"/>
  <c r="AK121" i="64"/>
  <c r="AJ121" i="64"/>
  <c r="AI121" i="64"/>
  <c r="AH121" i="64"/>
  <c r="AG121" i="64"/>
  <c r="AF121" i="64"/>
  <c r="AE121" i="64"/>
  <c r="AD121" i="64"/>
  <c r="AC121" i="64"/>
  <c r="AB121" i="64"/>
  <c r="AA121" i="64"/>
  <c r="Z121" i="64"/>
  <c r="Y121" i="64"/>
  <c r="X121" i="64"/>
  <c r="W121" i="64"/>
  <c r="V121" i="64"/>
  <c r="U121" i="64"/>
  <c r="T121" i="64"/>
  <c r="S121" i="64"/>
  <c r="R121" i="64"/>
  <c r="Q121" i="64"/>
  <c r="P121" i="64"/>
  <c r="O121" i="64"/>
  <c r="N121" i="64"/>
  <c r="M121" i="64"/>
  <c r="L121" i="64"/>
  <c r="K121" i="64"/>
  <c r="J121" i="64"/>
  <c r="I121" i="64"/>
  <c r="H121" i="64"/>
  <c r="G121" i="64"/>
  <c r="AX120" i="64"/>
  <c r="AW120" i="64"/>
  <c r="AV120" i="64"/>
  <c r="AU120" i="64"/>
  <c r="AT120" i="64"/>
  <c r="AS120" i="64"/>
  <c r="AR120" i="64"/>
  <c r="AQ120" i="64"/>
  <c r="AP120" i="64"/>
  <c r="AO120" i="64"/>
  <c r="AN120" i="64"/>
  <c r="AM120" i="64"/>
  <c r="AL120" i="64"/>
  <c r="AK120" i="64"/>
  <c r="AJ120" i="64"/>
  <c r="AI120" i="64"/>
  <c r="AH120" i="64"/>
  <c r="AG120" i="64"/>
  <c r="AF120" i="64"/>
  <c r="AE120" i="64"/>
  <c r="AD120" i="64"/>
  <c r="AC120" i="64"/>
  <c r="AB120" i="64"/>
  <c r="AA120" i="64"/>
  <c r="Z120" i="64"/>
  <c r="Y120" i="64"/>
  <c r="X120" i="64"/>
  <c r="W120" i="64"/>
  <c r="V120" i="64"/>
  <c r="U120" i="64"/>
  <c r="T120" i="64"/>
  <c r="S120" i="64"/>
  <c r="R120" i="64"/>
  <c r="Q120" i="64"/>
  <c r="P120" i="64"/>
  <c r="O120" i="64"/>
  <c r="N120" i="64"/>
  <c r="M120" i="64"/>
  <c r="L120" i="64"/>
  <c r="K120" i="64"/>
  <c r="J120" i="64"/>
  <c r="I120" i="64"/>
  <c r="H120" i="64"/>
  <c r="G120" i="64"/>
  <c r="AX119" i="64"/>
  <c r="AW119" i="64"/>
  <c r="AV119" i="64"/>
  <c r="AU119" i="64"/>
  <c r="AT119" i="64"/>
  <c r="AS119" i="64"/>
  <c r="AR119" i="64"/>
  <c r="AQ119" i="64"/>
  <c r="AP119" i="64"/>
  <c r="AO119" i="64"/>
  <c r="AN119" i="64"/>
  <c r="AM119" i="64"/>
  <c r="AL119" i="64"/>
  <c r="AK119" i="64"/>
  <c r="AJ119" i="64"/>
  <c r="AI119" i="64"/>
  <c r="AH119" i="64"/>
  <c r="AG119" i="64"/>
  <c r="AF119" i="64"/>
  <c r="AE119" i="64"/>
  <c r="AD119" i="64"/>
  <c r="AC119" i="64"/>
  <c r="AB119" i="64"/>
  <c r="AA119" i="64"/>
  <c r="Z119" i="64"/>
  <c r="Y119" i="64"/>
  <c r="X119" i="64"/>
  <c r="W119" i="64"/>
  <c r="V119" i="64"/>
  <c r="U119" i="64"/>
  <c r="T119" i="64"/>
  <c r="S119" i="64"/>
  <c r="R119" i="64"/>
  <c r="Q119" i="64"/>
  <c r="P119" i="64"/>
  <c r="O119" i="64"/>
  <c r="N119" i="64"/>
  <c r="M119" i="64"/>
  <c r="L119" i="64"/>
  <c r="K119" i="64"/>
  <c r="J119" i="64"/>
  <c r="I119" i="64"/>
  <c r="H119" i="64"/>
  <c r="G119" i="64"/>
  <c r="AX118" i="64"/>
  <c r="AW118" i="64"/>
  <c r="AV118" i="64"/>
  <c r="AU118" i="64"/>
  <c r="AT118" i="64"/>
  <c r="AS118" i="64"/>
  <c r="AR118" i="64"/>
  <c r="AQ118" i="64"/>
  <c r="AP118" i="64"/>
  <c r="AO118" i="64"/>
  <c r="AN118" i="64"/>
  <c r="AM118" i="64"/>
  <c r="AL118" i="64"/>
  <c r="AK118" i="64"/>
  <c r="AJ118" i="64"/>
  <c r="AI118" i="64"/>
  <c r="AH118" i="64"/>
  <c r="AG118" i="64"/>
  <c r="AF118" i="64"/>
  <c r="AE118" i="64"/>
  <c r="AD118" i="64"/>
  <c r="AC118" i="64"/>
  <c r="AB118" i="64"/>
  <c r="AA118" i="64"/>
  <c r="Z118" i="64"/>
  <c r="Y118" i="64"/>
  <c r="X118" i="64"/>
  <c r="W118" i="64"/>
  <c r="V118" i="64"/>
  <c r="U118" i="64"/>
  <c r="T118" i="64"/>
  <c r="S118" i="64"/>
  <c r="R118" i="64"/>
  <c r="Q118" i="64"/>
  <c r="P118" i="64"/>
  <c r="O118" i="64"/>
  <c r="N118" i="64"/>
  <c r="M118" i="64"/>
  <c r="L118" i="64"/>
  <c r="K118" i="64"/>
  <c r="J118" i="64"/>
  <c r="I118" i="64"/>
  <c r="H118" i="64"/>
  <c r="G118" i="64"/>
  <c r="AX117" i="64"/>
  <c r="AW117" i="64"/>
  <c r="AV117" i="64"/>
  <c r="AU117" i="64"/>
  <c r="AT117" i="64"/>
  <c r="AS117" i="64"/>
  <c r="AR117" i="64"/>
  <c r="AQ117" i="64"/>
  <c r="AP117" i="64"/>
  <c r="AO117" i="64"/>
  <c r="AN117" i="64"/>
  <c r="AM117" i="64"/>
  <c r="AL117" i="64"/>
  <c r="AV80" i="41" s="1"/>
  <c r="AK117" i="64"/>
  <c r="AU80" i="41" s="1"/>
  <c r="AJ117" i="64"/>
  <c r="AS80" i="41" s="1"/>
  <c r="AI117" i="64"/>
  <c r="AH117" i="64"/>
  <c r="AG117" i="64"/>
  <c r="AP80" i="41" s="1"/>
  <c r="AF117" i="64"/>
  <c r="AE117" i="64"/>
  <c r="AD117" i="64"/>
  <c r="AC117" i="64"/>
  <c r="AB117" i="64"/>
  <c r="AA117" i="64"/>
  <c r="Z117" i="64"/>
  <c r="Y117" i="64"/>
  <c r="X117" i="64"/>
  <c r="W117" i="64"/>
  <c r="V117" i="64"/>
  <c r="U117" i="64"/>
  <c r="T117" i="64"/>
  <c r="S117" i="64"/>
  <c r="R117" i="64"/>
  <c r="Q117" i="64"/>
  <c r="P117" i="64"/>
  <c r="O117" i="64"/>
  <c r="N117" i="64"/>
  <c r="M117" i="64"/>
  <c r="L117" i="64"/>
  <c r="K117" i="64"/>
  <c r="J117" i="64"/>
  <c r="I117" i="64"/>
  <c r="H117" i="64"/>
  <c r="G117" i="64"/>
  <c r="AX116" i="64"/>
  <c r="AW116" i="64"/>
  <c r="AV116" i="64"/>
  <c r="AU116" i="64"/>
  <c r="AT116" i="64"/>
  <c r="AS116" i="64"/>
  <c r="AR116" i="64"/>
  <c r="AQ116" i="64"/>
  <c r="AP116" i="64"/>
  <c r="AO116" i="64"/>
  <c r="AN116" i="64"/>
  <c r="AM116" i="64"/>
  <c r="AL116" i="64"/>
  <c r="AV79" i="41" s="1"/>
  <c r="AK116" i="64"/>
  <c r="AU79" i="41" s="1"/>
  <c r="AJ116" i="64"/>
  <c r="AS79" i="41" s="1"/>
  <c r="AI116" i="64"/>
  <c r="AH116" i="64"/>
  <c r="AG116" i="64"/>
  <c r="AP79" i="41" s="1"/>
  <c r="AF116" i="64"/>
  <c r="AE116" i="64"/>
  <c r="AD116" i="64"/>
  <c r="AC116" i="64"/>
  <c r="AB116" i="64"/>
  <c r="AA116" i="64"/>
  <c r="Z116" i="64"/>
  <c r="Y116" i="64"/>
  <c r="X116" i="64"/>
  <c r="W116" i="64"/>
  <c r="V116" i="64"/>
  <c r="U116" i="64"/>
  <c r="T116" i="64"/>
  <c r="S116" i="64"/>
  <c r="R116" i="64"/>
  <c r="Q116" i="64"/>
  <c r="P116" i="64"/>
  <c r="O116" i="64"/>
  <c r="N116" i="64"/>
  <c r="M116" i="64"/>
  <c r="L116" i="64"/>
  <c r="K116" i="64"/>
  <c r="J116" i="64"/>
  <c r="I116" i="64"/>
  <c r="H116" i="64"/>
  <c r="G116" i="64"/>
  <c r="AX115" i="64"/>
  <c r="AW115" i="64"/>
  <c r="AV115" i="64"/>
  <c r="AU115" i="64"/>
  <c r="AT115" i="64"/>
  <c r="AS115" i="64"/>
  <c r="AR115" i="64"/>
  <c r="AQ115" i="64"/>
  <c r="AP115" i="64"/>
  <c r="AO115" i="64"/>
  <c r="AN115" i="64"/>
  <c r="AM115" i="64"/>
  <c r="AL115" i="64"/>
  <c r="AK115" i="64"/>
  <c r="AJ115" i="64"/>
  <c r="AI115" i="64"/>
  <c r="AH115" i="64"/>
  <c r="AG115" i="64"/>
  <c r="AF115" i="64"/>
  <c r="AE115" i="64"/>
  <c r="AD115" i="64"/>
  <c r="AC115" i="64"/>
  <c r="AB115" i="64"/>
  <c r="AA115" i="64"/>
  <c r="Z115" i="64"/>
  <c r="Y115" i="64"/>
  <c r="X115" i="64"/>
  <c r="W115" i="64"/>
  <c r="V115" i="64"/>
  <c r="U115" i="64"/>
  <c r="T115" i="64"/>
  <c r="S115" i="64"/>
  <c r="R115" i="64"/>
  <c r="Q115" i="64"/>
  <c r="P115" i="64"/>
  <c r="O115" i="64"/>
  <c r="N115" i="64"/>
  <c r="M115" i="64"/>
  <c r="L115" i="64"/>
  <c r="K115" i="64"/>
  <c r="J115" i="64"/>
  <c r="I115" i="64"/>
  <c r="H115" i="64"/>
  <c r="G115" i="64"/>
  <c r="AX114" i="64"/>
  <c r="AW114" i="64"/>
  <c r="AV114" i="64"/>
  <c r="AU114" i="64"/>
  <c r="AT114" i="64"/>
  <c r="AS114" i="64"/>
  <c r="AR114" i="64"/>
  <c r="AQ114" i="64"/>
  <c r="AP114" i="64"/>
  <c r="AO114" i="64"/>
  <c r="AN114" i="64"/>
  <c r="AM114" i="64"/>
  <c r="AL114" i="64"/>
  <c r="AK114" i="64"/>
  <c r="AJ114" i="64"/>
  <c r="AI114" i="64"/>
  <c r="AH114" i="64"/>
  <c r="AG114" i="64"/>
  <c r="AF114" i="64"/>
  <c r="AE114" i="64"/>
  <c r="AD114" i="64"/>
  <c r="AC114" i="64"/>
  <c r="AB114" i="64"/>
  <c r="AA114" i="64"/>
  <c r="Z114" i="64"/>
  <c r="Y114" i="64"/>
  <c r="X114" i="64"/>
  <c r="W114" i="64"/>
  <c r="V114" i="64"/>
  <c r="U114" i="64"/>
  <c r="T114" i="64"/>
  <c r="S114" i="64"/>
  <c r="R114" i="64"/>
  <c r="Q114" i="64"/>
  <c r="P114" i="64"/>
  <c r="O114" i="64"/>
  <c r="N114" i="64"/>
  <c r="M114" i="64"/>
  <c r="L114" i="64"/>
  <c r="K114" i="64"/>
  <c r="J114" i="64"/>
  <c r="I114" i="64"/>
  <c r="H114" i="64"/>
  <c r="G114" i="64"/>
  <c r="AX113" i="64"/>
  <c r="AW113" i="64"/>
  <c r="AV113" i="64"/>
  <c r="AU113" i="64"/>
  <c r="AT113" i="64"/>
  <c r="AS113" i="64"/>
  <c r="AR113" i="64"/>
  <c r="AQ113" i="64"/>
  <c r="AP113" i="64"/>
  <c r="AO113" i="64"/>
  <c r="AN113" i="64"/>
  <c r="AM113" i="64"/>
  <c r="AL113" i="64"/>
  <c r="AK113" i="64"/>
  <c r="AJ113" i="64"/>
  <c r="AI113" i="64"/>
  <c r="AH113" i="64"/>
  <c r="AG113" i="64"/>
  <c r="AF113" i="64"/>
  <c r="AE113" i="64"/>
  <c r="AD113" i="64"/>
  <c r="AC113" i="64"/>
  <c r="AB113" i="64"/>
  <c r="AA113" i="64"/>
  <c r="Z113" i="64"/>
  <c r="Y113" i="64"/>
  <c r="X113" i="64"/>
  <c r="W113" i="64"/>
  <c r="V113" i="64"/>
  <c r="U113" i="64"/>
  <c r="T113" i="64"/>
  <c r="S113" i="64"/>
  <c r="R113" i="64"/>
  <c r="Q113" i="64"/>
  <c r="P113" i="64"/>
  <c r="O113" i="64"/>
  <c r="N113" i="64"/>
  <c r="M113" i="64"/>
  <c r="L113" i="64"/>
  <c r="K113" i="64"/>
  <c r="J113" i="64"/>
  <c r="I113" i="64"/>
  <c r="H113" i="64"/>
  <c r="G113" i="64"/>
  <c r="AX112" i="64"/>
  <c r="AW112" i="64"/>
  <c r="AV112" i="64"/>
  <c r="AU112" i="64"/>
  <c r="AT112" i="64"/>
  <c r="AS112" i="64"/>
  <c r="AR112" i="64"/>
  <c r="AQ112" i="64"/>
  <c r="AP112" i="64"/>
  <c r="AO112" i="64"/>
  <c r="AN112" i="64"/>
  <c r="AM112" i="64"/>
  <c r="AL112" i="64"/>
  <c r="AK112" i="64"/>
  <c r="AJ112" i="64"/>
  <c r="AI112" i="64"/>
  <c r="AH112" i="64"/>
  <c r="AG112" i="64"/>
  <c r="AF112" i="64"/>
  <c r="AE112" i="64"/>
  <c r="AD112" i="64"/>
  <c r="AC112" i="64"/>
  <c r="AB112" i="64"/>
  <c r="AA112" i="64"/>
  <c r="Z112" i="64"/>
  <c r="Y112" i="64"/>
  <c r="X112" i="64"/>
  <c r="W112" i="64"/>
  <c r="V112" i="64"/>
  <c r="U112" i="64"/>
  <c r="T112" i="64"/>
  <c r="S112" i="64"/>
  <c r="R112" i="64"/>
  <c r="Q112" i="64"/>
  <c r="P112" i="64"/>
  <c r="O112" i="64"/>
  <c r="N112" i="64"/>
  <c r="M112" i="64"/>
  <c r="L112" i="64"/>
  <c r="K112" i="64"/>
  <c r="J112" i="64"/>
  <c r="I112" i="64"/>
  <c r="H112" i="64"/>
  <c r="G112" i="64"/>
  <c r="AX111" i="64"/>
  <c r="AW111" i="64"/>
  <c r="AV111" i="64"/>
  <c r="AU111" i="64"/>
  <c r="AT111" i="64"/>
  <c r="AS111" i="64"/>
  <c r="AR111" i="64"/>
  <c r="AQ111" i="64"/>
  <c r="AP111" i="64"/>
  <c r="AO111" i="64"/>
  <c r="AN111" i="64"/>
  <c r="AM111" i="64"/>
  <c r="AL111" i="64"/>
  <c r="AK111" i="64"/>
  <c r="AJ111" i="64"/>
  <c r="AI111" i="64"/>
  <c r="AH111" i="64"/>
  <c r="AG111" i="64"/>
  <c r="AF111" i="64"/>
  <c r="AE111" i="64"/>
  <c r="AD111" i="64"/>
  <c r="AC111" i="64"/>
  <c r="AB111" i="64"/>
  <c r="AA111" i="64"/>
  <c r="Z111" i="64"/>
  <c r="Y111" i="64"/>
  <c r="X111" i="64"/>
  <c r="W111" i="64"/>
  <c r="V111" i="64"/>
  <c r="U111" i="64"/>
  <c r="T111" i="64"/>
  <c r="S111" i="64"/>
  <c r="R111" i="64"/>
  <c r="Q111" i="64"/>
  <c r="P111" i="64"/>
  <c r="O111" i="64"/>
  <c r="N111" i="64"/>
  <c r="M111" i="64"/>
  <c r="L111" i="64"/>
  <c r="K111" i="64"/>
  <c r="J111" i="64"/>
  <c r="I111" i="64"/>
  <c r="H111" i="64"/>
  <c r="G111" i="64"/>
  <c r="AX110" i="64"/>
  <c r="AW110" i="64"/>
  <c r="AV110" i="64"/>
  <c r="AU110" i="64"/>
  <c r="AT110" i="64"/>
  <c r="AS110" i="64"/>
  <c r="AR110" i="64"/>
  <c r="AQ110" i="64"/>
  <c r="AP110" i="64"/>
  <c r="AO110" i="64"/>
  <c r="AN110" i="64"/>
  <c r="AM110" i="64"/>
  <c r="AL110" i="64"/>
  <c r="AK110" i="64"/>
  <c r="AJ110" i="64"/>
  <c r="AI110" i="64"/>
  <c r="AH110" i="64"/>
  <c r="AG110" i="64"/>
  <c r="AF110" i="64"/>
  <c r="AE110" i="64"/>
  <c r="AD110" i="64"/>
  <c r="AC110" i="64"/>
  <c r="AB110" i="64"/>
  <c r="AA110" i="64"/>
  <c r="Z110" i="64"/>
  <c r="Y110" i="64"/>
  <c r="X110" i="64"/>
  <c r="W110" i="64"/>
  <c r="V110" i="64"/>
  <c r="U110" i="64"/>
  <c r="T110" i="64"/>
  <c r="S110" i="64"/>
  <c r="R110" i="64"/>
  <c r="Q110" i="64"/>
  <c r="P110" i="64"/>
  <c r="O110" i="64"/>
  <c r="N110" i="64"/>
  <c r="M110" i="64"/>
  <c r="L110" i="64"/>
  <c r="K110" i="64"/>
  <c r="J110" i="64"/>
  <c r="I110" i="64"/>
  <c r="H110" i="64"/>
  <c r="G110" i="64"/>
  <c r="AX109" i="64"/>
  <c r="AW109" i="64"/>
  <c r="AV109" i="64"/>
  <c r="AU109" i="64"/>
  <c r="AT109" i="64"/>
  <c r="AS109" i="64"/>
  <c r="AR109" i="64"/>
  <c r="AQ109" i="64"/>
  <c r="AP109" i="64"/>
  <c r="AO109" i="64"/>
  <c r="AN109" i="64"/>
  <c r="AM109" i="64"/>
  <c r="AL109" i="64"/>
  <c r="AK109" i="64"/>
  <c r="AJ109" i="64"/>
  <c r="AI109" i="64"/>
  <c r="AH109" i="64"/>
  <c r="AG109" i="64"/>
  <c r="AF109" i="64"/>
  <c r="AE109" i="64"/>
  <c r="AD109" i="64"/>
  <c r="AC109" i="64"/>
  <c r="AB109" i="64"/>
  <c r="AA109" i="64"/>
  <c r="Z109" i="64"/>
  <c r="Y109" i="64"/>
  <c r="X109" i="64"/>
  <c r="W109" i="64"/>
  <c r="V109" i="64"/>
  <c r="U109" i="64"/>
  <c r="T109" i="64"/>
  <c r="S109" i="64"/>
  <c r="R109" i="64"/>
  <c r="Q109" i="64"/>
  <c r="P109" i="64"/>
  <c r="O109" i="64"/>
  <c r="N109" i="64"/>
  <c r="M109" i="64"/>
  <c r="L109" i="64"/>
  <c r="K109" i="64"/>
  <c r="J109" i="64"/>
  <c r="I109" i="64"/>
  <c r="H109" i="64"/>
  <c r="G109" i="64"/>
  <c r="AX108" i="64"/>
  <c r="AW108" i="64"/>
  <c r="AV108" i="64"/>
  <c r="AU108" i="64"/>
  <c r="AT108" i="64"/>
  <c r="AS108" i="64"/>
  <c r="AR108" i="64"/>
  <c r="AQ108" i="64"/>
  <c r="AP108" i="64"/>
  <c r="AO108" i="64"/>
  <c r="AN108" i="64"/>
  <c r="AM108" i="64"/>
  <c r="AL108" i="64"/>
  <c r="AK108" i="64"/>
  <c r="AJ108" i="64"/>
  <c r="AI108" i="64"/>
  <c r="AH108" i="64"/>
  <c r="AG108" i="64"/>
  <c r="AF108" i="64"/>
  <c r="AE108" i="64"/>
  <c r="AD108" i="64"/>
  <c r="AC108" i="64"/>
  <c r="AB108" i="64"/>
  <c r="AA108" i="64"/>
  <c r="Z108" i="64"/>
  <c r="Y108" i="64"/>
  <c r="X108" i="64"/>
  <c r="W108" i="64"/>
  <c r="V108" i="64"/>
  <c r="U108" i="64"/>
  <c r="T108" i="64"/>
  <c r="S108" i="64"/>
  <c r="R108" i="64"/>
  <c r="Q108" i="64"/>
  <c r="P108" i="64"/>
  <c r="O108" i="64"/>
  <c r="N108" i="64"/>
  <c r="M108" i="64"/>
  <c r="L108" i="64"/>
  <c r="K108" i="64"/>
  <c r="J108" i="64"/>
  <c r="I108" i="64"/>
  <c r="H108" i="64"/>
  <c r="G108" i="64"/>
  <c r="AX107" i="64"/>
  <c r="AW107" i="64"/>
  <c r="AV107" i="64"/>
  <c r="AU107" i="64"/>
  <c r="AT107" i="64"/>
  <c r="AS107" i="64"/>
  <c r="AR107" i="64"/>
  <c r="AQ107" i="64"/>
  <c r="AP107" i="64"/>
  <c r="AO107" i="64"/>
  <c r="AN107" i="64"/>
  <c r="AM107" i="64"/>
  <c r="AL107" i="64"/>
  <c r="AK107" i="64"/>
  <c r="AJ107" i="64"/>
  <c r="AI107" i="64"/>
  <c r="AH107" i="64"/>
  <c r="AG107" i="64"/>
  <c r="AF107" i="64"/>
  <c r="AE107" i="64"/>
  <c r="AD107" i="64"/>
  <c r="AC107" i="64"/>
  <c r="AB107" i="64"/>
  <c r="AA107" i="64"/>
  <c r="Z107" i="64"/>
  <c r="Y107" i="64"/>
  <c r="X107" i="64"/>
  <c r="W107" i="64"/>
  <c r="V107" i="64"/>
  <c r="U107" i="64"/>
  <c r="T107" i="64"/>
  <c r="S107" i="64"/>
  <c r="R107" i="64"/>
  <c r="Q107" i="64"/>
  <c r="P107" i="64"/>
  <c r="O107" i="64"/>
  <c r="N107" i="64"/>
  <c r="M107" i="64"/>
  <c r="L107" i="64"/>
  <c r="K107" i="64"/>
  <c r="J107" i="64"/>
  <c r="I107" i="64"/>
  <c r="H107" i="64"/>
  <c r="G107" i="64"/>
  <c r="AX106" i="64"/>
  <c r="AW106" i="64"/>
  <c r="AV106" i="64"/>
  <c r="AU106" i="64"/>
  <c r="AT106" i="64"/>
  <c r="AS106" i="64"/>
  <c r="AR106" i="64"/>
  <c r="AQ106" i="64"/>
  <c r="AP106" i="64"/>
  <c r="AO106" i="64"/>
  <c r="AN106" i="64"/>
  <c r="AM106" i="64"/>
  <c r="AL106" i="64"/>
  <c r="AK106" i="64"/>
  <c r="AJ106" i="64"/>
  <c r="AI106" i="64"/>
  <c r="AH106" i="64"/>
  <c r="AG106" i="64"/>
  <c r="AF106" i="64"/>
  <c r="AE106" i="64"/>
  <c r="AD106" i="64"/>
  <c r="AC106" i="64"/>
  <c r="AB106" i="64"/>
  <c r="AA106" i="64"/>
  <c r="Z106" i="64"/>
  <c r="Y106" i="64"/>
  <c r="X106" i="64"/>
  <c r="W106" i="64"/>
  <c r="V106" i="64"/>
  <c r="U106" i="64"/>
  <c r="T106" i="64"/>
  <c r="S106" i="64"/>
  <c r="R106" i="64"/>
  <c r="Q106" i="64"/>
  <c r="P106" i="64"/>
  <c r="O106" i="64"/>
  <c r="N106" i="64"/>
  <c r="M106" i="64"/>
  <c r="L106" i="64"/>
  <c r="K106" i="64"/>
  <c r="J106" i="64"/>
  <c r="I106" i="64"/>
  <c r="H106" i="64"/>
  <c r="G106" i="64"/>
  <c r="AX105" i="64"/>
  <c r="AW105" i="64"/>
  <c r="AV105" i="64"/>
  <c r="AU105" i="64"/>
  <c r="AT105" i="64"/>
  <c r="AS105" i="64"/>
  <c r="AR105" i="64"/>
  <c r="AQ105" i="64"/>
  <c r="AP105" i="64"/>
  <c r="AO105" i="64"/>
  <c r="AN105" i="64"/>
  <c r="AM105" i="64"/>
  <c r="AL105" i="64"/>
  <c r="AK105" i="64"/>
  <c r="AJ105" i="64"/>
  <c r="AI105" i="64"/>
  <c r="AH105" i="64"/>
  <c r="AG105" i="64"/>
  <c r="AF105" i="64"/>
  <c r="AE105" i="64"/>
  <c r="AD105" i="64"/>
  <c r="AC105" i="64"/>
  <c r="AB105" i="64"/>
  <c r="AA105" i="64"/>
  <c r="Z105" i="64"/>
  <c r="Y105" i="64"/>
  <c r="X105" i="64"/>
  <c r="W105" i="64"/>
  <c r="V105" i="64"/>
  <c r="U105" i="64"/>
  <c r="T105" i="64"/>
  <c r="S105" i="64"/>
  <c r="R105" i="64"/>
  <c r="Q105" i="64"/>
  <c r="P105" i="64"/>
  <c r="O105" i="64"/>
  <c r="N105" i="64"/>
  <c r="M105" i="64"/>
  <c r="L105" i="64"/>
  <c r="K105" i="64"/>
  <c r="J105" i="64"/>
  <c r="I105" i="64"/>
  <c r="H105" i="64"/>
  <c r="G105" i="64"/>
  <c r="AX104" i="64"/>
  <c r="AW104" i="64"/>
  <c r="AV104" i="64"/>
  <c r="AU104" i="64"/>
  <c r="AT104" i="64"/>
  <c r="AS104" i="64"/>
  <c r="AR104" i="64"/>
  <c r="AQ104" i="64"/>
  <c r="AP104" i="64"/>
  <c r="AO104" i="64"/>
  <c r="AN104" i="64"/>
  <c r="AM104" i="64"/>
  <c r="AL104" i="64"/>
  <c r="AK104" i="64"/>
  <c r="AJ104" i="64"/>
  <c r="AI104" i="64"/>
  <c r="AH104" i="64"/>
  <c r="AG104" i="64"/>
  <c r="AF104" i="64"/>
  <c r="AE104" i="64"/>
  <c r="AD104" i="64"/>
  <c r="AC104" i="64"/>
  <c r="AB104" i="64"/>
  <c r="AA104" i="64"/>
  <c r="Z104" i="64"/>
  <c r="Y104" i="64"/>
  <c r="X104" i="64"/>
  <c r="W104" i="64"/>
  <c r="V104" i="64"/>
  <c r="U104" i="64"/>
  <c r="T104" i="64"/>
  <c r="S104" i="64"/>
  <c r="R104" i="64"/>
  <c r="Q104" i="64"/>
  <c r="P104" i="64"/>
  <c r="O104" i="64"/>
  <c r="N104" i="64"/>
  <c r="M104" i="64"/>
  <c r="L104" i="64"/>
  <c r="K104" i="64"/>
  <c r="J104" i="64"/>
  <c r="I104" i="64"/>
  <c r="H104" i="64"/>
  <c r="G104" i="64"/>
  <c r="AX103" i="64"/>
  <c r="AW103" i="64"/>
  <c r="AV103" i="64"/>
  <c r="AU103" i="64"/>
  <c r="AT103" i="64"/>
  <c r="AS103" i="64"/>
  <c r="AR103" i="64"/>
  <c r="AQ103" i="64"/>
  <c r="AP103" i="64"/>
  <c r="AO103" i="64"/>
  <c r="AN103" i="64"/>
  <c r="AM103" i="64"/>
  <c r="AL103" i="64"/>
  <c r="AK103" i="64"/>
  <c r="AJ103" i="64"/>
  <c r="AI103" i="64"/>
  <c r="AH103" i="64"/>
  <c r="AG103" i="64"/>
  <c r="AF103" i="64"/>
  <c r="AE103" i="64"/>
  <c r="AD103" i="64"/>
  <c r="AC103" i="64"/>
  <c r="AB103" i="64"/>
  <c r="AA103" i="64"/>
  <c r="Z103" i="64"/>
  <c r="Y103" i="64"/>
  <c r="X103" i="64"/>
  <c r="W103" i="64"/>
  <c r="V103" i="64"/>
  <c r="U103" i="64"/>
  <c r="T103" i="64"/>
  <c r="S103" i="64"/>
  <c r="R103" i="64"/>
  <c r="Q103" i="64"/>
  <c r="P103" i="64"/>
  <c r="O103" i="64"/>
  <c r="N103" i="64"/>
  <c r="M103" i="64"/>
  <c r="L103" i="64"/>
  <c r="K103" i="64"/>
  <c r="J103" i="64"/>
  <c r="I103" i="64"/>
  <c r="H103" i="64"/>
  <c r="G103" i="64"/>
  <c r="AX102" i="64"/>
  <c r="AW102" i="64"/>
  <c r="AV102" i="64"/>
  <c r="AU102" i="64"/>
  <c r="AT102" i="64"/>
  <c r="AS102" i="64"/>
  <c r="AR102" i="64"/>
  <c r="AQ102" i="64"/>
  <c r="AP102" i="64"/>
  <c r="AO102" i="64"/>
  <c r="AN102" i="64"/>
  <c r="AM102" i="64"/>
  <c r="AL102" i="64"/>
  <c r="AV73" i="41" s="1"/>
  <c r="AK102" i="64"/>
  <c r="AU73" i="41" s="1"/>
  <c r="AJ102" i="64"/>
  <c r="AS73" i="41" s="1"/>
  <c r="AI102" i="64"/>
  <c r="AH102" i="64"/>
  <c r="AG102" i="64"/>
  <c r="AP73" i="41" s="1"/>
  <c r="AF102" i="64"/>
  <c r="AE102" i="64"/>
  <c r="AD102" i="64"/>
  <c r="AC102" i="64"/>
  <c r="AB102" i="64"/>
  <c r="AA102" i="64"/>
  <c r="Z102" i="64"/>
  <c r="Y102" i="64"/>
  <c r="X102" i="64"/>
  <c r="W102" i="64"/>
  <c r="V102" i="64"/>
  <c r="U102" i="64"/>
  <c r="T102" i="64"/>
  <c r="S102" i="64"/>
  <c r="R102" i="64"/>
  <c r="Q102" i="64"/>
  <c r="P102" i="64"/>
  <c r="O102" i="64"/>
  <c r="N102" i="64"/>
  <c r="M102" i="64"/>
  <c r="L102" i="64"/>
  <c r="K102" i="64"/>
  <c r="J102" i="64"/>
  <c r="I102" i="64"/>
  <c r="H102" i="64"/>
  <c r="G102" i="64"/>
  <c r="AX101" i="64"/>
  <c r="AW101" i="64"/>
  <c r="AV101" i="64"/>
  <c r="AU101" i="64"/>
  <c r="AT101" i="64"/>
  <c r="AS101" i="64"/>
  <c r="AR101" i="64"/>
  <c r="AQ101" i="64"/>
  <c r="AP101" i="64"/>
  <c r="AO101" i="64"/>
  <c r="AN101" i="64"/>
  <c r="AM101" i="64"/>
  <c r="AL101" i="64"/>
  <c r="AK101" i="64"/>
  <c r="AJ101" i="64"/>
  <c r="AI101" i="64"/>
  <c r="AH101" i="64"/>
  <c r="AG101" i="64"/>
  <c r="AF101" i="64"/>
  <c r="AE101" i="64"/>
  <c r="AD101" i="64"/>
  <c r="AC101" i="64"/>
  <c r="AB101" i="64"/>
  <c r="AA101" i="64"/>
  <c r="Z101" i="64"/>
  <c r="Y101" i="64"/>
  <c r="X101" i="64"/>
  <c r="W101" i="64"/>
  <c r="V101" i="64"/>
  <c r="U101" i="64"/>
  <c r="T101" i="64"/>
  <c r="S101" i="64"/>
  <c r="R101" i="64"/>
  <c r="Q101" i="64"/>
  <c r="P101" i="64"/>
  <c r="O101" i="64"/>
  <c r="N101" i="64"/>
  <c r="M101" i="64"/>
  <c r="L101" i="64"/>
  <c r="K101" i="64"/>
  <c r="J101" i="64"/>
  <c r="I101" i="64"/>
  <c r="H101" i="64"/>
  <c r="G101" i="64"/>
  <c r="AX100" i="64"/>
  <c r="AW100" i="64"/>
  <c r="AV100" i="64"/>
  <c r="AU100" i="64"/>
  <c r="AT100" i="64"/>
  <c r="AS100" i="64"/>
  <c r="AR100" i="64"/>
  <c r="AQ100" i="64"/>
  <c r="AP100" i="64"/>
  <c r="AO100" i="64"/>
  <c r="AN100" i="64"/>
  <c r="AM100" i="64"/>
  <c r="AL100" i="64"/>
  <c r="AV76" i="41" s="1"/>
  <c r="AK100" i="64"/>
  <c r="AU76" i="41" s="1"/>
  <c r="AJ100" i="64"/>
  <c r="AS76" i="41" s="1"/>
  <c r="AI100" i="64"/>
  <c r="AH100" i="64"/>
  <c r="AG100" i="64"/>
  <c r="AP76" i="41" s="1"/>
  <c r="AF100" i="64"/>
  <c r="AE100" i="64"/>
  <c r="AD100" i="64"/>
  <c r="AC100" i="64"/>
  <c r="AB100" i="64"/>
  <c r="AA100" i="64"/>
  <c r="Z100" i="64"/>
  <c r="Y100" i="64"/>
  <c r="X100" i="64"/>
  <c r="W100" i="64"/>
  <c r="V100" i="64"/>
  <c r="U100" i="64"/>
  <c r="T100" i="64"/>
  <c r="S100" i="64"/>
  <c r="R100" i="64"/>
  <c r="Q100" i="64"/>
  <c r="P100" i="64"/>
  <c r="O100" i="64"/>
  <c r="N100" i="64"/>
  <c r="M100" i="64"/>
  <c r="L100" i="64"/>
  <c r="K100" i="64"/>
  <c r="J100" i="64"/>
  <c r="I100" i="64"/>
  <c r="H100" i="64"/>
  <c r="G100" i="64"/>
  <c r="AX99" i="64"/>
  <c r="AW99" i="64"/>
  <c r="AV99" i="64"/>
  <c r="AU99" i="64"/>
  <c r="AT99" i="64"/>
  <c r="AS99" i="64"/>
  <c r="AR99" i="64"/>
  <c r="AQ99" i="64"/>
  <c r="AP99" i="64"/>
  <c r="AO99" i="64"/>
  <c r="AN99" i="64"/>
  <c r="AM99" i="64"/>
  <c r="AL99" i="64"/>
  <c r="AK99" i="64"/>
  <c r="AJ99" i="64"/>
  <c r="AI99" i="64"/>
  <c r="AH99" i="64"/>
  <c r="AG99" i="64"/>
  <c r="AF99" i="64"/>
  <c r="AE99" i="64"/>
  <c r="AD99" i="64"/>
  <c r="AC99" i="64"/>
  <c r="AB99" i="64"/>
  <c r="AA99" i="64"/>
  <c r="Z99" i="64"/>
  <c r="Y99" i="64"/>
  <c r="X99" i="64"/>
  <c r="W99" i="64"/>
  <c r="V99" i="64"/>
  <c r="U99" i="64"/>
  <c r="T99" i="64"/>
  <c r="S99" i="64"/>
  <c r="R99" i="64"/>
  <c r="Q99" i="64"/>
  <c r="P99" i="64"/>
  <c r="O99" i="64"/>
  <c r="N99" i="64"/>
  <c r="M99" i="64"/>
  <c r="L99" i="64"/>
  <c r="K99" i="64"/>
  <c r="J99" i="64"/>
  <c r="I99" i="64"/>
  <c r="H99" i="64"/>
  <c r="G99" i="64"/>
  <c r="AX98" i="64"/>
  <c r="AW98" i="64"/>
  <c r="AV98" i="64"/>
  <c r="AU98" i="64"/>
  <c r="AT98" i="64"/>
  <c r="AS98" i="64"/>
  <c r="AR98" i="64"/>
  <c r="AQ98" i="64"/>
  <c r="AP98" i="64"/>
  <c r="AO98" i="64"/>
  <c r="AN98" i="64"/>
  <c r="AM98" i="64"/>
  <c r="AL98" i="64"/>
  <c r="AK98" i="64"/>
  <c r="AJ98" i="64"/>
  <c r="AI98" i="64"/>
  <c r="AH98" i="64"/>
  <c r="AG98" i="64"/>
  <c r="AF98" i="64"/>
  <c r="AE98" i="64"/>
  <c r="AD98" i="64"/>
  <c r="AC98" i="64"/>
  <c r="AB98" i="64"/>
  <c r="AA98" i="64"/>
  <c r="Z98" i="64"/>
  <c r="Y98" i="64"/>
  <c r="X98" i="64"/>
  <c r="W98" i="64"/>
  <c r="V98" i="64"/>
  <c r="U98" i="64"/>
  <c r="T98" i="64"/>
  <c r="S98" i="64"/>
  <c r="R98" i="64"/>
  <c r="Q98" i="64"/>
  <c r="P98" i="64"/>
  <c r="O98" i="64"/>
  <c r="N98" i="64"/>
  <c r="M98" i="64"/>
  <c r="L98" i="64"/>
  <c r="K98" i="64"/>
  <c r="J98" i="64"/>
  <c r="I98" i="64"/>
  <c r="H98" i="64"/>
  <c r="G98" i="64"/>
  <c r="AX97" i="64"/>
  <c r="AW97" i="64"/>
  <c r="AV97" i="64"/>
  <c r="AU97" i="64"/>
  <c r="AT97" i="64"/>
  <c r="AS97" i="64"/>
  <c r="AR97" i="64"/>
  <c r="AQ97" i="64"/>
  <c r="AP97" i="64"/>
  <c r="AO97" i="64"/>
  <c r="AN97" i="64"/>
  <c r="AM97" i="64"/>
  <c r="AL97" i="64"/>
  <c r="AK97" i="64"/>
  <c r="AJ97" i="64"/>
  <c r="AI97" i="64"/>
  <c r="AH97" i="64"/>
  <c r="AG97" i="64"/>
  <c r="AF97" i="64"/>
  <c r="AE97" i="64"/>
  <c r="AD97" i="64"/>
  <c r="AC97" i="64"/>
  <c r="AB97" i="64"/>
  <c r="AA97" i="64"/>
  <c r="Z97" i="64"/>
  <c r="Y97" i="64"/>
  <c r="X97" i="64"/>
  <c r="W97" i="64"/>
  <c r="V97" i="64"/>
  <c r="U97" i="64"/>
  <c r="T97" i="64"/>
  <c r="S97" i="64"/>
  <c r="R97" i="64"/>
  <c r="Q97" i="64"/>
  <c r="P97" i="64"/>
  <c r="O97" i="64"/>
  <c r="N97" i="64"/>
  <c r="M97" i="64"/>
  <c r="L97" i="64"/>
  <c r="K97" i="64"/>
  <c r="J97" i="64"/>
  <c r="I97" i="64"/>
  <c r="H97" i="64"/>
  <c r="G97" i="64"/>
  <c r="AX96" i="64"/>
  <c r="AW96" i="64"/>
  <c r="AV96" i="64"/>
  <c r="AU96" i="64"/>
  <c r="AT96" i="64"/>
  <c r="AS96" i="64"/>
  <c r="AR96" i="64"/>
  <c r="AQ96" i="64"/>
  <c r="AP96" i="64"/>
  <c r="AO96" i="64"/>
  <c r="AN96" i="64"/>
  <c r="AM96" i="64"/>
  <c r="AL96" i="64"/>
  <c r="AK96" i="64"/>
  <c r="AJ96" i="64"/>
  <c r="AI96" i="64"/>
  <c r="AH96" i="64"/>
  <c r="AG96" i="64"/>
  <c r="AF96" i="64"/>
  <c r="AE96" i="64"/>
  <c r="AD96" i="64"/>
  <c r="AC96" i="64"/>
  <c r="AB96" i="64"/>
  <c r="AA96" i="64"/>
  <c r="Z96" i="64"/>
  <c r="Y96" i="64"/>
  <c r="X96" i="64"/>
  <c r="W96" i="64"/>
  <c r="V96" i="64"/>
  <c r="U96" i="64"/>
  <c r="T96" i="64"/>
  <c r="S96" i="64"/>
  <c r="R96" i="64"/>
  <c r="Q96" i="64"/>
  <c r="P96" i="64"/>
  <c r="O96" i="64"/>
  <c r="N96" i="64"/>
  <c r="M96" i="64"/>
  <c r="L96" i="64"/>
  <c r="K96" i="64"/>
  <c r="J96" i="64"/>
  <c r="I96" i="64"/>
  <c r="H96" i="64"/>
  <c r="G96" i="64"/>
  <c r="AX95" i="64"/>
  <c r="AW95" i="64"/>
  <c r="AV95" i="64"/>
  <c r="AU95" i="64"/>
  <c r="AT95" i="64"/>
  <c r="AS95" i="64"/>
  <c r="AR95" i="64"/>
  <c r="AQ95" i="64"/>
  <c r="AP95" i="64"/>
  <c r="AO95" i="64"/>
  <c r="AN95" i="64"/>
  <c r="AM95" i="64"/>
  <c r="AL95" i="64"/>
  <c r="AK95" i="64"/>
  <c r="AJ95" i="64"/>
  <c r="AI95" i="64"/>
  <c r="AH95" i="64"/>
  <c r="AG95" i="64"/>
  <c r="AF95" i="64"/>
  <c r="AE95" i="64"/>
  <c r="AD95" i="64"/>
  <c r="AC95" i="64"/>
  <c r="AB95" i="64"/>
  <c r="AA95" i="64"/>
  <c r="Z95" i="64"/>
  <c r="Y95" i="64"/>
  <c r="X95" i="64"/>
  <c r="W95" i="64"/>
  <c r="V95" i="64"/>
  <c r="U95" i="64"/>
  <c r="T95" i="64"/>
  <c r="S95" i="64"/>
  <c r="R95" i="64"/>
  <c r="Q95" i="64"/>
  <c r="P95" i="64"/>
  <c r="O95" i="64"/>
  <c r="N95" i="64"/>
  <c r="M95" i="64"/>
  <c r="L95" i="64"/>
  <c r="K95" i="64"/>
  <c r="J95" i="64"/>
  <c r="I95" i="64"/>
  <c r="H95" i="64"/>
  <c r="G95" i="64"/>
  <c r="AX94" i="64"/>
  <c r="AW94" i="64"/>
  <c r="AV94" i="64"/>
  <c r="AU94" i="64"/>
  <c r="AT94" i="64"/>
  <c r="AS94" i="64"/>
  <c r="AR94" i="64"/>
  <c r="AQ94" i="64"/>
  <c r="AP94" i="64"/>
  <c r="AO94" i="64"/>
  <c r="AN94" i="64"/>
  <c r="AM94" i="64"/>
  <c r="AL94" i="64"/>
  <c r="AK94" i="64"/>
  <c r="AJ94" i="64"/>
  <c r="AI94" i="64"/>
  <c r="AH94" i="64"/>
  <c r="AG94" i="64"/>
  <c r="AF94" i="64"/>
  <c r="AE94" i="64"/>
  <c r="AD94" i="64"/>
  <c r="AC94" i="64"/>
  <c r="AB94" i="64"/>
  <c r="AA94" i="64"/>
  <c r="Z94" i="64"/>
  <c r="Y94" i="64"/>
  <c r="X94" i="64"/>
  <c r="W94" i="64"/>
  <c r="V94" i="64"/>
  <c r="U94" i="64"/>
  <c r="T94" i="64"/>
  <c r="S94" i="64"/>
  <c r="R94" i="64"/>
  <c r="Q94" i="64"/>
  <c r="P94" i="64"/>
  <c r="O94" i="64"/>
  <c r="N94" i="64"/>
  <c r="M94" i="64"/>
  <c r="L94" i="64"/>
  <c r="K94" i="64"/>
  <c r="J94" i="64"/>
  <c r="I94" i="64"/>
  <c r="H94" i="64"/>
  <c r="G94" i="64"/>
  <c r="AX93" i="64"/>
  <c r="AW93" i="64"/>
  <c r="AV93" i="64"/>
  <c r="AU93" i="64"/>
  <c r="AT93" i="64"/>
  <c r="AS93" i="64"/>
  <c r="AR93" i="64"/>
  <c r="AQ93" i="64"/>
  <c r="AP93" i="64"/>
  <c r="AO93" i="64"/>
  <c r="AN93" i="64"/>
  <c r="AM93" i="64"/>
  <c r="AL93" i="64"/>
  <c r="AK93" i="64"/>
  <c r="AJ93" i="64"/>
  <c r="AI93" i="64"/>
  <c r="AH93" i="64"/>
  <c r="AG93" i="64"/>
  <c r="AF93" i="64"/>
  <c r="AE93" i="64"/>
  <c r="AD93" i="64"/>
  <c r="AC93" i="64"/>
  <c r="AB93" i="64"/>
  <c r="AA93" i="64"/>
  <c r="Z93" i="64"/>
  <c r="Y93" i="64"/>
  <c r="X93" i="64"/>
  <c r="W93" i="64"/>
  <c r="V93" i="64"/>
  <c r="U93" i="64"/>
  <c r="T93" i="64"/>
  <c r="S93" i="64"/>
  <c r="R93" i="64"/>
  <c r="Q93" i="64"/>
  <c r="P93" i="64"/>
  <c r="O93" i="64"/>
  <c r="N93" i="64"/>
  <c r="M93" i="64"/>
  <c r="L93" i="64"/>
  <c r="K93" i="64"/>
  <c r="J93" i="64"/>
  <c r="I93" i="64"/>
  <c r="H93" i="64"/>
  <c r="G93" i="64"/>
  <c r="AX92" i="64"/>
  <c r="AW92" i="64"/>
  <c r="AV92" i="64"/>
  <c r="AU92" i="64"/>
  <c r="AT92" i="64"/>
  <c r="AS92" i="64"/>
  <c r="AR92" i="64"/>
  <c r="AQ92" i="64"/>
  <c r="AP92" i="64"/>
  <c r="AO92" i="64"/>
  <c r="AN92" i="64"/>
  <c r="AM92" i="64"/>
  <c r="AL92" i="64"/>
  <c r="AK92" i="64"/>
  <c r="AJ92" i="64"/>
  <c r="AI92" i="64"/>
  <c r="AH92" i="64"/>
  <c r="AG92" i="64"/>
  <c r="AF92" i="64"/>
  <c r="AE92" i="64"/>
  <c r="AD92" i="64"/>
  <c r="AC92" i="64"/>
  <c r="AB92" i="64"/>
  <c r="AA92" i="64"/>
  <c r="Z92" i="64"/>
  <c r="Y92" i="64"/>
  <c r="X92" i="64"/>
  <c r="W92" i="64"/>
  <c r="V92" i="64"/>
  <c r="U92" i="64"/>
  <c r="T92" i="64"/>
  <c r="S92" i="64"/>
  <c r="R92" i="64"/>
  <c r="Q92" i="64"/>
  <c r="P92" i="64"/>
  <c r="O92" i="64"/>
  <c r="N92" i="64"/>
  <c r="M92" i="64"/>
  <c r="L92" i="64"/>
  <c r="K92" i="64"/>
  <c r="J92" i="64"/>
  <c r="I92" i="64"/>
  <c r="H92" i="64"/>
  <c r="G92" i="64"/>
  <c r="AX91" i="64"/>
  <c r="AW91" i="64"/>
  <c r="AV91" i="64"/>
  <c r="AU91" i="64"/>
  <c r="AT91" i="64"/>
  <c r="AS91" i="64"/>
  <c r="AR91" i="64"/>
  <c r="AQ91" i="64"/>
  <c r="AP91" i="64"/>
  <c r="AO91" i="64"/>
  <c r="AN91" i="64"/>
  <c r="AM91" i="64"/>
  <c r="AL91" i="64"/>
  <c r="AK91" i="64"/>
  <c r="AJ91" i="64"/>
  <c r="AI91" i="64"/>
  <c r="AH91" i="64"/>
  <c r="AG91" i="64"/>
  <c r="AF91" i="64"/>
  <c r="AE91" i="64"/>
  <c r="AD91" i="64"/>
  <c r="AC91" i="64"/>
  <c r="AB91" i="64"/>
  <c r="AA91" i="64"/>
  <c r="Z91" i="64"/>
  <c r="Y91" i="64"/>
  <c r="X91" i="64"/>
  <c r="W91" i="64"/>
  <c r="V91" i="64"/>
  <c r="U91" i="64"/>
  <c r="T91" i="64"/>
  <c r="S91" i="64"/>
  <c r="R91" i="64"/>
  <c r="Q91" i="64"/>
  <c r="P91" i="64"/>
  <c r="O91" i="64"/>
  <c r="N91" i="64"/>
  <c r="M91" i="64"/>
  <c r="L91" i="64"/>
  <c r="K91" i="64"/>
  <c r="J91" i="64"/>
  <c r="I91" i="64"/>
  <c r="H91" i="64"/>
  <c r="G91" i="64"/>
  <c r="AX90" i="64"/>
  <c r="AW90" i="64"/>
  <c r="AV90" i="64"/>
  <c r="AU90" i="64"/>
  <c r="AT90" i="64"/>
  <c r="AS90" i="64"/>
  <c r="AR90" i="64"/>
  <c r="AQ90" i="64"/>
  <c r="AP90" i="64"/>
  <c r="AO90" i="64"/>
  <c r="AN90" i="64"/>
  <c r="AM90" i="64"/>
  <c r="AL90" i="64"/>
  <c r="AK90" i="64"/>
  <c r="AJ90" i="64"/>
  <c r="AI90" i="64"/>
  <c r="AH90" i="64"/>
  <c r="AG90" i="64"/>
  <c r="AF90" i="64"/>
  <c r="AE90" i="64"/>
  <c r="AD90" i="64"/>
  <c r="AC90" i="64"/>
  <c r="AB90" i="64"/>
  <c r="AA90" i="64"/>
  <c r="Z90" i="64"/>
  <c r="Y90" i="64"/>
  <c r="X90" i="64"/>
  <c r="W90" i="64"/>
  <c r="V90" i="64"/>
  <c r="U90" i="64"/>
  <c r="T90" i="64"/>
  <c r="S90" i="64"/>
  <c r="R90" i="64"/>
  <c r="Q90" i="64"/>
  <c r="P90" i="64"/>
  <c r="O90" i="64"/>
  <c r="N90" i="64"/>
  <c r="M90" i="64"/>
  <c r="L90" i="64"/>
  <c r="K90" i="64"/>
  <c r="J90" i="64"/>
  <c r="I90" i="64"/>
  <c r="H90" i="64"/>
  <c r="G90" i="64"/>
  <c r="AX89" i="64"/>
  <c r="AW89" i="64"/>
  <c r="AV89" i="64"/>
  <c r="AU89" i="64"/>
  <c r="AT89" i="64"/>
  <c r="AS89" i="64"/>
  <c r="AR89" i="64"/>
  <c r="AQ89" i="64"/>
  <c r="AP89" i="64"/>
  <c r="AO89" i="64"/>
  <c r="AN89" i="64"/>
  <c r="AM89" i="64"/>
  <c r="AL89" i="64"/>
  <c r="AK89" i="64"/>
  <c r="AJ89" i="64"/>
  <c r="AI89" i="64"/>
  <c r="AH89" i="64"/>
  <c r="AG89" i="64"/>
  <c r="AF89" i="64"/>
  <c r="AE89" i="64"/>
  <c r="AD89" i="64"/>
  <c r="AC89" i="64"/>
  <c r="AB89" i="64"/>
  <c r="AA89" i="64"/>
  <c r="Z89" i="64"/>
  <c r="Y89" i="64"/>
  <c r="X89" i="64"/>
  <c r="W89" i="64"/>
  <c r="V89" i="64"/>
  <c r="U89" i="64"/>
  <c r="T89" i="64"/>
  <c r="S89" i="64"/>
  <c r="R89" i="64"/>
  <c r="Q89" i="64"/>
  <c r="P89" i="64"/>
  <c r="O89" i="64"/>
  <c r="N89" i="64"/>
  <c r="M89" i="64"/>
  <c r="L89" i="64"/>
  <c r="K89" i="64"/>
  <c r="J89" i="64"/>
  <c r="I89" i="64"/>
  <c r="H89" i="64"/>
  <c r="G89" i="64"/>
  <c r="AX88" i="64"/>
  <c r="AW88" i="64"/>
  <c r="AV88" i="64"/>
  <c r="AU88" i="64"/>
  <c r="AT88" i="64"/>
  <c r="AS88" i="64"/>
  <c r="AR88" i="64"/>
  <c r="AQ88" i="64"/>
  <c r="AP88" i="64"/>
  <c r="AO88" i="64"/>
  <c r="AN88" i="64"/>
  <c r="AM88" i="64"/>
  <c r="AL88" i="64"/>
  <c r="AK88" i="64"/>
  <c r="AJ88" i="64"/>
  <c r="AI88" i="64"/>
  <c r="AH88" i="64"/>
  <c r="AG88" i="64"/>
  <c r="AF88" i="64"/>
  <c r="AE88" i="64"/>
  <c r="AD88" i="64"/>
  <c r="AC88" i="64"/>
  <c r="AB88" i="64"/>
  <c r="AA88" i="64"/>
  <c r="Z88" i="64"/>
  <c r="Y88" i="64"/>
  <c r="X88" i="64"/>
  <c r="W88" i="64"/>
  <c r="V88" i="64"/>
  <c r="U88" i="64"/>
  <c r="T88" i="64"/>
  <c r="S88" i="64"/>
  <c r="R88" i="64"/>
  <c r="Q88" i="64"/>
  <c r="P88" i="64"/>
  <c r="O88" i="64"/>
  <c r="N88" i="64"/>
  <c r="M88" i="64"/>
  <c r="L88" i="64"/>
  <c r="K88" i="64"/>
  <c r="J88" i="64"/>
  <c r="I88" i="64"/>
  <c r="H88" i="64"/>
  <c r="G88" i="64"/>
  <c r="AX87" i="64"/>
  <c r="AW87" i="64"/>
  <c r="AV87" i="64"/>
  <c r="AU87" i="64"/>
  <c r="AT87" i="64"/>
  <c r="AS87" i="64"/>
  <c r="AR87" i="64"/>
  <c r="AQ87" i="64"/>
  <c r="AP87" i="64"/>
  <c r="AO87" i="64"/>
  <c r="AN87" i="64"/>
  <c r="AM87" i="64"/>
  <c r="AL87" i="64"/>
  <c r="AK87" i="64"/>
  <c r="AJ87" i="64"/>
  <c r="AI87" i="64"/>
  <c r="AH87" i="64"/>
  <c r="AG87" i="64"/>
  <c r="AF87" i="64"/>
  <c r="AE87" i="64"/>
  <c r="AD87" i="64"/>
  <c r="AC87" i="64"/>
  <c r="AB87" i="64"/>
  <c r="AA87" i="64"/>
  <c r="Z87" i="64"/>
  <c r="Y87" i="64"/>
  <c r="X87" i="64"/>
  <c r="W87" i="64"/>
  <c r="V87" i="64"/>
  <c r="U87" i="64"/>
  <c r="T87" i="64"/>
  <c r="S87" i="64"/>
  <c r="R87" i="64"/>
  <c r="Q87" i="64"/>
  <c r="P87" i="64"/>
  <c r="O87" i="64"/>
  <c r="N87" i="64"/>
  <c r="M87" i="64"/>
  <c r="L87" i="64"/>
  <c r="K87" i="64"/>
  <c r="J87" i="64"/>
  <c r="I87" i="64"/>
  <c r="H87" i="64"/>
  <c r="G87" i="64"/>
  <c r="AX86" i="64"/>
  <c r="AW86" i="64"/>
  <c r="AV86" i="64"/>
  <c r="AU86" i="64"/>
  <c r="AT86" i="64"/>
  <c r="AS86" i="64"/>
  <c r="AR86" i="64"/>
  <c r="AQ86" i="64"/>
  <c r="AP86" i="64"/>
  <c r="AO86" i="64"/>
  <c r="AN86" i="64"/>
  <c r="AM86" i="64"/>
  <c r="AL86" i="64"/>
  <c r="AK86" i="64"/>
  <c r="AJ86" i="64"/>
  <c r="AI86" i="64"/>
  <c r="AH86" i="64"/>
  <c r="AG86" i="64"/>
  <c r="AF86" i="64"/>
  <c r="AE86" i="64"/>
  <c r="AD86" i="64"/>
  <c r="AC86" i="64"/>
  <c r="AB86" i="64"/>
  <c r="AA86" i="64"/>
  <c r="Z86" i="64"/>
  <c r="Y86" i="64"/>
  <c r="X86" i="64"/>
  <c r="W86" i="64"/>
  <c r="V86" i="64"/>
  <c r="U86" i="64"/>
  <c r="T86" i="64"/>
  <c r="S86" i="64"/>
  <c r="R86" i="64"/>
  <c r="Q86" i="64"/>
  <c r="P86" i="64"/>
  <c r="O86" i="64"/>
  <c r="N86" i="64"/>
  <c r="M86" i="64"/>
  <c r="L86" i="64"/>
  <c r="K86" i="64"/>
  <c r="J86" i="64"/>
  <c r="I86" i="64"/>
  <c r="H86" i="64"/>
  <c r="G86" i="64"/>
  <c r="AX85" i="64"/>
  <c r="AW85" i="64"/>
  <c r="AV85" i="64"/>
  <c r="AU85" i="64"/>
  <c r="AT85" i="64"/>
  <c r="AS85" i="64"/>
  <c r="AR85" i="64"/>
  <c r="AQ85" i="64"/>
  <c r="AP85" i="64"/>
  <c r="AO85" i="64"/>
  <c r="AN85" i="64"/>
  <c r="AM85" i="64"/>
  <c r="AL85" i="64"/>
  <c r="AK85" i="64"/>
  <c r="AJ85" i="64"/>
  <c r="AI85" i="64"/>
  <c r="AH85" i="64"/>
  <c r="AG85" i="64"/>
  <c r="AF85" i="64"/>
  <c r="AE85" i="64"/>
  <c r="AD85" i="64"/>
  <c r="AC85" i="64"/>
  <c r="AB85" i="64"/>
  <c r="AA85" i="64"/>
  <c r="Z85" i="64"/>
  <c r="Y85" i="64"/>
  <c r="X85" i="64"/>
  <c r="W85" i="64"/>
  <c r="V85" i="64"/>
  <c r="U85" i="64"/>
  <c r="T85" i="64"/>
  <c r="S85" i="64"/>
  <c r="R85" i="64"/>
  <c r="Q85" i="64"/>
  <c r="P85" i="64"/>
  <c r="O85" i="64"/>
  <c r="N85" i="64"/>
  <c r="M85" i="64"/>
  <c r="L85" i="64"/>
  <c r="K85" i="64"/>
  <c r="J85" i="64"/>
  <c r="I85" i="64"/>
  <c r="H85" i="64"/>
  <c r="G85" i="64"/>
  <c r="AX84" i="64"/>
  <c r="AW84" i="64"/>
  <c r="AV84" i="64"/>
  <c r="AU84" i="64"/>
  <c r="AT84" i="64"/>
  <c r="AS84" i="64"/>
  <c r="AR84" i="64"/>
  <c r="AQ84" i="64"/>
  <c r="AP84" i="64"/>
  <c r="AO84" i="64"/>
  <c r="AN84" i="64"/>
  <c r="AM84" i="64"/>
  <c r="AL84" i="64"/>
  <c r="AV72" i="41" s="1"/>
  <c r="AK84" i="64"/>
  <c r="AU72" i="41" s="1"/>
  <c r="AJ84" i="64"/>
  <c r="AS72" i="41" s="1"/>
  <c r="AI84" i="64"/>
  <c r="AH84" i="64"/>
  <c r="AG84" i="64"/>
  <c r="AP72" i="41" s="1"/>
  <c r="AF84" i="64"/>
  <c r="AE84" i="64"/>
  <c r="AD84" i="64"/>
  <c r="AC84" i="64"/>
  <c r="AB84" i="64"/>
  <c r="AA84" i="64"/>
  <c r="Z84" i="64"/>
  <c r="Y84" i="64"/>
  <c r="X84" i="64"/>
  <c r="W84" i="64"/>
  <c r="V84" i="64"/>
  <c r="U84" i="64"/>
  <c r="T84" i="64"/>
  <c r="S84" i="64"/>
  <c r="R84" i="64"/>
  <c r="Q84" i="64"/>
  <c r="P84" i="64"/>
  <c r="O84" i="64"/>
  <c r="N84" i="64"/>
  <c r="M84" i="64"/>
  <c r="L84" i="64"/>
  <c r="K84" i="64"/>
  <c r="J84" i="64"/>
  <c r="I84" i="64"/>
  <c r="H84" i="64"/>
  <c r="G84" i="64"/>
  <c r="AX83" i="64"/>
  <c r="AW83" i="64"/>
  <c r="AV83" i="64"/>
  <c r="AU83" i="64"/>
  <c r="AT83" i="64"/>
  <c r="AS83" i="64"/>
  <c r="AR83" i="64"/>
  <c r="AQ83" i="64"/>
  <c r="AP83" i="64"/>
  <c r="AO83" i="64"/>
  <c r="AN83" i="64"/>
  <c r="AM83" i="64"/>
  <c r="AL83" i="64"/>
  <c r="AK83" i="64"/>
  <c r="AJ83" i="64"/>
  <c r="AI83" i="64"/>
  <c r="AH83" i="64"/>
  <c r="AG83" i="64"/>
  <c r="AF83" i="64"/>
  <c r="AE83" i="64"/>
  <c r="AD83" i="64"/>
  <c r="AC83" i="64"/>
  <c r="AB83" i="64"/>
  <c r="AA83" i="64"/>
  <c r="Z83" i="64"/>
  <c r="Y83" i="64"/>
  <c r="X83" i="64"/>
  <c r="W83" i="64"/>
  <c r="V83" i="64"/>
  <c r="U83" i="64"/>
  <c r="T83" i="64"/>
  <c r="S83" i="64"/>
  <c r="R83" i="64"/>
  <c r="Q83" i="64"/>
  <c r="P83" i="64"/>
  <c r="O83" i="64"/>
  <c r="N83" i="64"/>
  <c r="M83" i="64"/>
  <c r="L83" i="64"/>
  <c r="K83" i="64"/>
  <c r="J83" i="64"/>
  <c r="I83" i="64"/>
  <c r="H83" i="64"/>
  <c r="G83" i="64"/>
  <c r="AX82" i="64"/>
  <c r="AW82" i="64"/>
  <c r="AV82" i="64"/>
  <c r="AU82" i="64"/>
  <c r="AT82" i="64"/>
  <c r="AS82" i="64"/>
  <c r="AR82" i="64"/>
  <c r="AQ82" i="64"/>
  <c r="AP82" i="64"/>
  <c r="AO82" i="64"/>
  <c r="AN82" i="64"/>
  <c r="AM82" i="64"/>
  <c r="AL82" i="64"/>
  <c r="AV75" i="41" s="1"/>
  <c r="AK82" i="64"/>
  <c r="AU75" i="41" s="1"/>
  <c r="AJ82" i="64"/>
  <c r="AS75" i="41" s="1"/>
  <c r="AI82" i="64"/>
  <c r="AH82" i="64"/>
  <c r="AG82" i="64"/>
  <c r="AP75" i="41" s="1"/>
  <c r="AF82" i="64"/>
  <c r="AE82" i="64"/>
  <c r="AD82" i="64"/>
  <c r="AC82" i="64"/>
  <c r="AB82" i="64"/>
  <c r="AA82" i="64"/>
  <c r="Z82" i="64"/>
  <c r="Y82" i="64"/>
  <c r="X82" i="64"/>
  <c r="W82" i="64"/>
  <c r="V82" i="64"/>
  <c r="U82" i="64"/>
  <c r="T82" i="64"/>
  <c r="S82" i="64"/>
  <c r="R82" i="64"/>
  <c r="Q82" i="64"/>
  <c r="P82" i="64"/>
  <c r="O82" i="64"/>
  <c r="N82" i="64"/>
  <c r="M82" i="64"/>
  <c r="L82" i="64"/>
  <c r="K82" i="64"/>
  <c r="J82" i="64"/>
  <c r="I82" i="64"/>
  <c r="H82" i="64"/>
  <c r="G82" i="64"/>
  <c r="AX81" i="64"/>
  <c r="AW81" i="64"/>
  <c r="AV81" i="64"/>
  <c r="AU81" i="64"/>
  <c r="AT81" i="64"/>
  <c r="AS81" i="64"/>
  <c r="AR81" i="64"/>
  <c r="AQ81" i="64"/>
  <c r="AP81" i="64"/>
  <c r="AO81" i="64"/>
  <c r="AN81" i="64"/>
  <c r="AM81" i="64"/>
  <c r="AL81" i="64"/>
  <c r="AK81" i="64"/>
  <c r="AJ81" i="64"/>
  <c r="AI81" i="64"/>
  <c r="AH81" i="64"/>
  <c r="AG81" i="64"/>
  <c r="AF81" i="64"/>
  <c r="AE81" i="64"/>
  <c r="AD81" i="64"/>
  <c r="AC81" i="64"/>
  <c r="AB81" i="64"/>
  <c r="AA81" i="64"/>
  <c r="Z81" i="64"/>
  <c r="Y81" i="64"/>
  <c r="X81" i="64"/>
  <c r="W81" i="64"/>
  <c r="V81" i="64"/>
  <c r="U81" i="64"/>
  <c r="T81" i="64"/>
  <c r="S81" i="64"/>
  <c r="R81" i="64"/>
  <c r="Q81" i="64"/>
  <c r="P81" i="64"/>
  <c r="O81" i="64"/>
  <c r="N81" i="64"/>
  <c r="M81" i="64"/>
  <c r="L81" i="64"/>
  <c r="K81" i="64"/>
  <c r="J81" i="64"/>
  <c r="I81" i="64"/>
  <c r="H81" i="64"/>
  <c r="G81" i="64"/>
  <c r="AX80" i="64"/>
  <c r="AW80" i="64"/>
  <c r="AV80" i="64"/>
  <c r="AU80" i="64"/>
  <c r="AT80" i="64"/>
  <c r="AS80" i="64"/>
  <c r="AR80" i="64"/>
  <c r="AQ80" i="64"/>
  <c r="AP80" i="64"/>
  <c r="AO80" i="64"/>
  <c r="AN80" i="64"/>
  <c r="AM80" i="64"/>
  <c r="AL80" i="64"/>
  <c r="AK80" i="64"/>
  <c r="AJ80" i="64"/>
  <c r="AI80" i="64"/>
  <c r="AH80" i="64"/>
  <c r="AG80" i="64"/>
  <c r="AF80" i="64"/>
  <c r="AE80" i="64"/>
  <c r="AD80" i="64"/>
  <c r="AC80" i="64"/>
  <c r="AB80" i="64"/>
  <c r="AA80" i="64"/>
  <c r="Z80" i="64"/>
  <c r="Y80" i="64"/>
  <c r="X80" i="64"/>
  <c r="W80" i="64"/>
  <c r="V80" i="64"/>
  <c r="U80" i="64"/>
  <c r="T80" i="64"/>
  <c r="S80" i="64"/>
  <c r="R80" i="64"/>
  <c r="Q80" i="64"/>
  <c r="P80" i="64"/>
  <c r="O80" i="64"/>
  <c r="N80" i="64"/>
  <c r="M80" i="64"/>
  <c r="L80" i="64"/>
  <c r="K80" i="64"/>
  <c r="J80" i="64"/>
  <c r="I80" i="64"/>
  <c r="H80" i="64"/>
  <c r="G80" i="64"/>
  <c r="AX79" i="64"/>
  <c r="AW79" i="64"/>
  <c r="AV79" i="64"/>
  <c r="AU79" i="64"/>
  <c r="AT79" i="64"/>
  <c r="AS79" i="64"/>
  <c r="AR79" i="64"/>
  <c r="AQ79" i="64"/>
  <c r="AP79" i="64"/>
  <c r="AO79" i="64"/>
  <c r="AN79" i="64"/>
  <c r="AM79" i="64"/>
  <c r="AL79" i="64"/>
  <c r="AK79" i="64"/>
  <c r="AJ79" i="64"/>
  <c r="AI79" i="64"/>
  <c r="AH79" i="64"/>
  <c r="AG79" i="64"/>
  <c r="AF79" i="64"/>
  <c r="AE79" i="64"/>
  <c r="AD79" i="64"/>
  <c r="AC79" i="64"/>
  <c r="AB79" i="64"/>
  <c r="AA79" i="64"/>
  <c r="Z79" i="64"/>
  <c r="Y79" i="64"/>
  <c r="X79" i="64"/>
  <c r="W79" i="64"/>
  <c r="V79" i="64"/>
  <c r="U79" i="64"/>
  <c r="T79" i="64"/>
  <c r="S79" i="64"/>
  <c r="R79" i="64"/>
  <c r="Q79" i="64"/>
  <c r="P79" i="64"/>
  <c r="O79" i="64"/>
  <c r="N79" i="64"/>
  <c r="M79" i="64"/>
  <c r="L79" i="64"/>
  <c r="K79" i="64"/>
  <c r="J79" i="64"/>
  <c r="I79" i="64"/>
  <c r="H79" i="64"/>
  <c r="G79" i="64"/>
  <c r="AX78" i="64"/>
  <c r="AW78" i="64"/>
  <c r="AV78" i="64"/>
  <c r="AU78" i="64"/>
  <c r="AT78" i="64"/>
  <c r="AS78" i="64"/>
  <c r="AR78" i="64"/>
  <c r="AQ78" i="64"/>
  <c r="AP78" i="64"/>
  <c r="AO78" i="64"/>
  <c r="AN78" i="64"/>
  <c r="AM78" i="64"/>
  <c r="AL78" i="64"/>
  <c r="AK78" i="64"/>
  <c r="AJ78" i="64"/>
  <c r="AI78" i="64"/>
  <c r="AH78" i="64"/>
  <c r="AG78" i="64"/>
  <c r="AF78" i="64"/>
  <c r="AE78" i="64"/>
  <c r="AD78" i="64"/>
  <c r="AC78" i="64"/>
  <c r="AB78" i="64"/>
  <c r="AA78" i="64"/>
  <c r="Z78" i="64"/>
  <c r="Y78" i="64"/>
  <c r="X78" i="64"/>
  <c r="W78" i="64"/>
  <c r="V78" i="64"/>
  <c r="U78" i="64"/>
  <c r="T78" i="64"/>
  <c r="S78" i="64"/>
  <c r="R78" i="64"/>
  <c r="Q78" i="64"/>
  <c r="P78" i="64"/>
  <c r="O78" i="64"/>
  <c r="N78" i="64"/>
  <c r="M78" i="64"/>
  <c r="L78" i="64"/>
  <c r="K78" i="64"/>
  <c r="J78" i="64"/>
  <c r="I78" i="64"/>
  <c r="H78" i="64"/>
  <c r="G78" i="64"/>
  <c r="AX77" i="64"/>
  <c r="AW77" i="64"/>
  <c r="AV77" i="64"/>
  <c r="AU77" i="64"/>
  <c r="AT77" i="64"/>
  <c r="AS77" i="64"/>
  <c r="AR77" i="64"/>
  <c r="AQ77" i="64"/>
  <c r="AP77" i="64"/>
  <c r="AO77" i="64"/>
  <c r="AN77" i="64"/>
  <c r="AM77" i="64"/>
  <c r="AL77" i="64"/>
  <c r="AK77" i="64"/>
  <c r="AJ77" i="64"/>
  <c r="AI77" i="64"/>
  <c r="AH77" i="64"/>
  <c r="AG77" i="64"/>
  <c r="AF77" i="64"/>
  <c r="AE77" i="64"/>
  <c r="AD77" i="64"/>
  <c r="AC77" i="64"/>
  <c r="AB77" i="64"/>
  <c r="AA77" i="64"/>
  <c r="Z77" i="64"/>
  <c r="Y77" i="64"/>
  <c r="X77" i="64"/>
  <c r="W77" i="64"/>
  <c r="V77" i="64"/>
  <c r="U77" i="64"/>
  <c r="T77" i="64"/>
  <c r="S77" i="64"/>
  <c r="R77" i="64"/>
  <c r="Q77" i="64"/>
  <c r="P77" i="64"/>
  <c r="O77" i="64"/>
  <c r="N77" i="64"/>
  <c r="M77" i="64"/>
  <c r="L77" i="64"/>
  <c r="K77" i="64"/>
  <c r="J77" i="64"/>
  <c r="I77" i="64"/>
  <c r="H77" i="64"/>
  <c r="G77" i="64"/>
  <c r="AX76" i="64"/>
  <c r="AW76" i="64"/>
  <c r="AV76" i="64"/>
  <c r="AU76" i="64"/>
  <c r="AT76" i="64"/>
  <c r="AS76" i="64"/>
  <c r="AR76" i="64"/>
  <c r="AQ76" i="64"/>
  <c r="AP76" i="64"/>
  <c r="AO76" i="64"/>
  <c r="AN76" i="64"/>
  <c r="AM76" i="64"/>
  <c r="AL76" i="64"/>
  <c r="AK76" i="64"/>
  <c r="AJ76" i="64"/>
  <c r="AI76" i="64"/>
  <c r="AH76" i="64"/>
  <c r="AG76" i="64"/>
  <c r="AF76" i="64"/>
  <c r="AE76" i="64"/>
  <c r="AD76" i="64"/>
  <c r="AC76" i="64"/>
  <c r="AB76" i="64"/>
  <c r="AA76" i="64"/>
  <c r="Z76" i="64"/>
  <c r="Y76" i="64"/>
  <c r="X76" i="64"/>
  <c r="W76" i="64"/>
  <c r="V76" i="64"/>
  <c r="U76" i="64"/>
  <c r="T76" i="64"/>
  <c r="S76" i="64"/>
  <c r="R76" i="64"/>
  <c r="Q76" i="64"/>
  <c r="P76" i="64"/>
  <c r="O76" i="64"/>
  <c r="N76" i="64"/>
  <c r="M76" i="64"/>
  <c r="L76" i="64"/>
  <c r="K76" i="64"/>
  <c r="J76" i="64"/>
  <c r="I76" i="64"/>
  <c r="H76" i="64"/>
  <c r="G76" i="64"/>
  <c r="AX75" i="64"/>
  <c r="AW75" i="64"/>
  <c r="AV75" i="64"/>
  <c r="AU75" i="64"/>
  <c r="AT75" i="64"/>
  <c r="AS75" i="64"/>
  <c r="AR75" i="64"/>
  <c r="AQ75" i="64"/>
  <c r="AP75" i="64"/>
  <c r="AO75" i="64"/>
  <c r="AN75" i="64"/>
  <c r="AM75" i="64"/>
  <c r="AL75" i="64"/>
  <c r="AK75" i="64"/>
  <c r="AJ75" i="64"/>
  <c r="AI75" i="64"/>
  <c r="AH75" i="64"/>
  <c r="AG75" i="64"/>
  <c r="AF75" i="64"/>
  <c r="AE75" i="64"/>
  <c r="AD75" i="64"/>
  <c r="AC75" i="64"/>
  <c r="AB75" i="64"/>
  <c r="AA75" i="64"/>
  <c r="Z75" i="64"/>
  <c r="Y75" i="64"/>
  <c r="X75" i="64"/>
  <c r="W75" i="64"/>
  <c r="V75" i="64"/>
  <c r="U75" i="64"/>
  <c r="T75" i="64"/>
  <c r="S75" i="64"/>
  <c r="R75" i="64"/>
  <c r="Q75" i="64"/>
  <c r="P75" i="64"/>
  <c r="O75" i="64"/>
  <c r="N75" i="64"/>
  <c r="M75" i="64"/>
  <c r="L75" i="64"/>
  <c r="K75" i="64"/>
  <c r="J75" i="64"/>
  <c r="I75" i="64"/>
  <c r="H75" i="64"/>
  <c r="G75" i="64"/>
  <c r="AX74" i="64"/>
  <c r="AW74" i="64"/>
  <c r="AV74" i="64"/>
  <c r="AU74" i="64"/>
  <c r="AT74" i="64"/>
  <c r="AS74" i="64"/>
  <c r="AR74" i="64"/>
  <c r="AQ74" i="64"/>
  <c r="AP74" i="64"/>
  <c r="AO74" i="64"/>
  <c r="AN74" i="64"/>
  <c r="AM74" i="64"/>
  <c r="AL74" i="64"/>
  <c r="AK74" i="64"/>
  <c r="AJ74" i="64"/>
  <c r="AI74" i="64"/>
  <c r="AH74" i="64"/>
  <c r="AG74" i="64"/>
  <c r="AF74" i="64"/>
  <c r="AE74" i="64"/>
  <c r="AD74" i="64"/>
  <c r="AC74" i="64"/>
  <c r="AB74" i="64"/>
  <c r="AA74" i="64"/>
  <c r="Z74" i="64"/>
  <c r="Y74" i="64"/>
  <c r="X74" i="64"/>
  <c r="W74" i="64"/>
  <c r="V74" i="64"/>
  <c r="U74" i="64"/>
  <c r="T74" i="64"/>
  <c r="S74" i="64"/>
  <c r="R74" i="64"/>
  <c r="Q74" i="64"/>
  <c r="P74" i="64"/>
  <c r="O74" i="64"/>
  <c r="N74" i="64"/>
  <c r="M74" i="64"/>
  <c r="L74" i="64"/>
  <c r="K74" i="64"/>
  <c r="J74" i="64"/>
  <c r="I74" i="64"/>
  <c r="H74" i="64"/>
  <c r="G74" i="64"/>
  <c r="AX73" i="64"/>
  <c r="AW73" i="64"/>
  <c r="AV73" i="64"/>
  <c r="AU73" i="64"/>
  <c r="AT73" i="64"/>
  <c r="AS73" i="64"/>
  <c r="AR73" i="64"/>
  <c r="AQ73" i="64"/>
  <c r="AP73" i="64"/>
  <c r="AO73" i="64"/>
  <c r="AN73" i="64"/>
  <c r="AM73" i="64"/>
  <c r="AL73" i="64"/>
  <c r="AK73" i="64"/>
  <c r="AJ73" i="64"/>
  <c r="AI73" i="64"/>
  <c r="AH73" i="64"/>
  <c r="AG73" i="64"/>
  <c r="AF73" i="64"/>
  <c r="AE73" i="64"/>
  <c r="AD73" i="64"/>
  <c r="AC73" i="64"/>
  <c r="AB73" i="64"/>
  <c r="AA73" i="64"/>
  <c r="Z73" i="64"/>
  <c r="Y73" i="64"/>
  <c r="X73" i="64"/>
  <c r="W73" i="64"/>
  <c r="V73" i="64"/>
  <c r="U73" i="64"/>
  <c r="T73" i="64"/>
  <c r="S73" i="64"/>
  <c r="R73" i="64"/>
  <c r="Q73" i="64"/>
  <c r="P73" i="64"/>
  <c r="O73" i="64"/>
  <c r="N73" i="64"/>
  <c r="M73" i="64"/>
  <c r="L73" i="64"/>
  <c r="K73" i="64"/>
  <c r="J73" i="64"/>
  <c r="I73" i="64"/>
  <c r="H73" i="64"/>
  <c r="G73" i="64"/>
  <c r="AX72" i="64"/>
  <c r="AW72" i="64"/>
  <c r="AV72" i="64"/>
  <c r="AU72" i="64"/>
  <c r="AT72" i="64"/>
  <c r="AS72" i="64"/>
  <c r="AR72" i="64"/>
  <c r="AQ72" i="64"/>
  <c r="AP72" i="64"/>
  <c r="AO72" i="64"/>
  <c r="AN72" i="64"/>
  <c r="AM72" i="64"/>
  <c r="AL72" i="64"/>
  <c r="AK72" i="64"/>
  <c r="AJ72" i="64"/>
  <c r="AI72" i="64"/>
  <c r="AH72" i="64"/>
  <c r="AG72" i="64"/>
  <c r="AF72" i="64"/>
  <c r="AE72" i="64"/>
  <c r="AD72" i="64"/>
  <c r="AC72" i="64"/>
  <c r="AB72" i="64"/>
  <c r="AA72" i="64"/>
  <c r="Z72" i="64"/>
  <c r="Y72" i="64"/>
  <c r="X72" i="64"/>
  <c r="W72" i="64"/>
  <c r="V72" i="64"/>
  <c r="U72" i="64"/>
  <c r="T72" i="64"/>
  <c r="S72" i="64"/>
  <c r="R72" i="64"/>
  <c r="Q72" i="64"/>
  <c r="P72" i="64"/>
  <c r="O72" i="64"/>
  <c r="N72" i="64"/>
  <c r="M72" i="64"/>
  <c r="L72" i="64"/>
  <c r="K72" i="64"/>
  <c r="J72" i="64"/>
  <c r="I72" i="64"/>
  <c r="H72" i="64"/>
  <c r="G72" i="64"/>
  <c r="AX71" i="64"/>
  <c r="AW71" i="64"/>
  <c r="AV71" i="64"/>
  <c r="AU71" i="64"/>
  <c r="AT71" i="64"/>
  <c r="AS71" i="64"/>
  <c r="AR71" i="64"/>
  <c r="AQ71" i="64"/>
  <c r="AP71" i="64"/>
  <c r="AO71" i="64"/>
  <c r="AN71" i="64"/>
  <c r="AM71" i="64"/>
  <c r="AL71" i="64"/>
  <c r="AK71" i="64"/>
  <c r="AJ71" i="64"/>
  <c r="AI71" i="64"/>
  <c r="AH71" i="64"/>
  <c r="AG71" i="64"/>
  <c r="AF71" i="64"/>
  <c r="AE71" i="64"/>
  <c r="AD71" i="64"/>
  <c r="AC71" i="64"/>
  <c r="AB71" i="64"/>
  <c r="AA71" i="64"/>
  <c r="Z71" i="64"/>
  <c r="Y71" i="64"/>
  <c r="X71" i="64"/>
  <c r="W71" i="64"/>
  <c r="V71" i="64"/>
  <c r="U71" i="64"/>
  <c r="T71" i="64"/>
  <c r="S71" i="64"/>
  <c r="R71" i="64"/>
  <c r="Q71" i="64"/>
  <c r="P71" i="64"/>
  <c r="O71" i="64"/>
  <c r="N71" i="64"/>
  <c r="M71" i="64"/>
  <c r="L71" i="64"/>
  <c r="K71" i="64"/>
  <c r="J71" i="64"/>
  <c r="I71" i="64"/>
  <c r="H71" i="64"/>
  <c r="G71" i="64"/>
  <c r="AX70" i="64"/>
  <c r="AW70" i="64"/>
  <c r="AV70" i="64"/>
  <c r="AU70" i="64"/>
  <c r="AT70" i="64"/>
  <c r="AS70" i="64"/>
  <c r="AR70" i="64"/>
  <c r="AQ70" i="64"/>
  <c r="AP70" i="64"/>
  <c r="AO70" i="64"/>
  <c r="AN70" i="64"/>
  <c r="AM70" i="64"/>
  <c r="AL70" i="64"/>
  <c r="AK70" i="64"/>
  <c r="AJ70" i="64"/>
  <c r="AI70" i="64"/>
  <c r="AH70" i="64"/>
  <c r="AG70" i="64"/>
  <c r="AF70" i="64"/>
  <c r="AE70" i="64"/>
  <c r="AD70" i="64"/>
  <c r="AC70" i="64"/>
  <c r="AB70" i="64"/>
  <c r="AA70" i="64"/>
  <c r="Z70" i="64"/>
  <c r="Y70" i="64"/>
  <c r="X70" i="64"/>
  <c r="W70" i="64"/>
  <c r="V70" i="64"/>
  <c r="U70" i="64"/>
  <c r="T70" i="64"/>
  <c r="S70" i="64"/>
  <c r="R70" i="64"/>
  <c r="Q70" i="64"/>
  <c r="P70" i="64"/>
  <c r="O70" i="64"/>
  <c r="N70" i="64"/>
  <c r="M70" i="64"/>
  <c r="L70" i="64"/>
  <c r="K70" i="64"/>
  <c r="J70" i="64"/>
  <c r="I70" i="64"/>
  <c r="H70" i="64"/>
  <c r="G70" i="64"/>
  <c r="AX69" i="64"/>
  <c r="AW69" i="64"/>
  <c r="AV69" i="64"/>
  <c r="AU69" i="64"/>
  <c r="AT69" i="64"/>
  <c r="AS69" i="64"/>
  <c r="AR69" i="64"/>
  <c r="AQ69" i="64"/>
  <c r="AP69" i="64"/>
  <c r="AO69" i="64"/>
  <c r="AN69" i="64"/>
  <c r="AM69" i="64"/>
  <c r="AL69" i="64"/>
  <c r="AK69" i="64"/>
  <c r="AJ69" i="64"/>
  <c r="AI69" i="64"/>
  <c r="AH69" i="64"/>
  <c r="AG69" i="64"/>
  <c r="AF69" i="64"/>
  <c r="AE69" i="64"/>
  <c r="AD69" i="64"/>
  <c r="AC69" i="64"/>
  <c r="AB69" i="64"/>
  <c r="AA69" i="64"/>
  <c r="Z69" i="64"/>
  <c r="Y69" i="64"/>
  <c r="X69" i="64"/>
  <c r="W69" i="64"/>
  <c r="V69" i="64"/>
  <c r="U69" i="64"/>
  <c r="T69" i="64"/>
  <c r="S69" i="64"/>
  <c r="R69" i="64"/>
  <c r="Q69" i="64"/>
  <c r="P69" i="64"/>
  <c r="O69" i="64"/>
  <c r="N69" i="64"/>
  <c r="M69" i="64"/>
  <c r="L69" i="64"/>
  <c r="K69" i="64"/>
  <c r="J69" i="64"/>
  <c r="I69" i="64"/>
  <c r="H69" i="64"/>
  <c r="G69" i="64"/>
  <c r="AX68" i="64"/>
  <c r="AW68" i="64"/>
  <c r="AV68" i="64"/>
  <c r="AU68" i="64"/>
  <c r="AT68" i="64"/>
  <c r="AS68" i="64"/>
  <c r="AR68" i="64"/>
  <c r="AQ68" i="64"/>
  <c r="AP68" i="64"/>
  <c r="AO68" i="64"/>
  <c r="AN68" i="64"/>
  <c r="AM68" i="64"/>
  <c r="AL68" i="64"/>
  <c r="AK68" i="64"/>
  <c r="AJ68" i="64"/>
  <c r="AI68" i="64"/>
  <c r="AH68" i="64"/>
  <c r="AG68" i="64"/>
  <c r="AF68" i="64"/>
  <c r="AE68" i="64"/>
  <c r="AD68" i="64"/>
  <c r="AC68" i="64"/>
  <c r="AB68" i="64"/>
  <c r="AA68" i="64"/>
  <c r="Z68" i="64"/>
  <c r="Y68" i="64"/>
  <c r="X68" i="64"/>
  <c r="W68" i="64"/>
  <c r="V68" i="64"/>
  <c r="U68" i="64"/>
  <c r="T68" i="64"/>
  <c r="S68" i="64"/>
  <c r="R68" i="64"/>
  <c r="Q68" i="64"/>
  <c r="P68" i="64"/>
  <c r="O68" i="64"/>
  <c r="N68" i="64"/>
  <c r="M68" i="64"/>
  <c r="L68" i="64"/>
  <c r="K68" i="64"/>
  <c r="J68" i="64"/>
  <c r="I68" i="64"/>
  <c r="H68" i="64"/>
  <c r="G68" i="64"/>
  <c r="AX67" i="64"/>
  <c r="AW67" i="64"/>
  <c r="AV67" i="64"/>
  <c r="AU67" i="64"/>
  <c r="AT67" i="64"/>
  <c r="AS67" i="64"/>
  <c r="AR67" i="64"/>
  <c r="AQ67" i="64"/>
  <c r="AP67" i="64"/>
  <c r="AO67" i="64"/>
  <c r="AN67" i="64"/>
  <c r="AM67" i="64"/>
  <c r="AL67" i="64"/>
  <c r="AK67" i="64"/>
  <c r="AJ67" i="64"/>
  <c r="AI67" i="64"/>
  <c r="AH67" i="64"/>
  <c r="AG67" i="64"/>
  <c r="AF67" i="64"/>
  <c r="AE67" i="64"/>
  <c r="AD67" i="64"/>
  <c r="AC67" i="64"/>
  <c r="AB67" i="64"/>
  <c r="AA67" i="64"/>
  <c r="Z67" i="64"/>
  <c r="Y67" i="64"/>
  <c r="X67" i="64"/>
  <c r="W67" i="64"/>
  <c r="V67" i="64"/>
  <c r="U67" i="64"/>
  <c r="T67" i="64"/>
  <c r="S67" i="64"/>
  <c r="R67" i="64"/>
  <c r="Q67" i="64"/>
  <c r="P67" i="64"/>
  <c r="O67" i="64"/>
  <c r="N67" i="64"/>
  <c r="M67" i="64"/>
  <c r="L67" i="64"/>
  <c r="K67" i="64"/>
  <c r="J67" i="64"/>
  <c r="I67" i="64"/>
  <c r="H67" i="64"/>
  <c r="G67" i="64"/>
  <c r="AX66" i="64"/>
  <c r="AW66" i="64"/>
  <c r="AV66" i="64"/>
  <c r="AU66" i="64"/>
  <c r="AT66" i="64"/>
  <c r="AS66" i="64"/>
  <c r="AR66" i="64"/>
  <c r="AQ66" i="64"/>
  <c r="AP66" i="64"/>
  <c r="AO66" i="64"/>
  <c r="AN66" i="64"/>
  <c r="AM66" i="64"/>
  <c r="AL66" i="64"/>
  <c r="AK66" i="64"/>
  <c r="AJ66" i="64"/>
  <c r="AI66" i="64"/>
  <c r="AH66" i="64"/>
  <c r="AG66" i="64"/>
  <c r="AF66" i="64"/>
  <c r="AE66" i="64"/>
  <c r="AD66" i="64"/>
  <c r="AC66" i="64"/>
  <c r="AB66" i="64"/>
  <c r="AA66" i="64"/>
  <c r="Z66" i="64"/>
  <c r="Y66" i="64"/>
  <c r="X66" i="64"/>
  <c r="W66" i="64"/>
  <c r="V66" i="64"/>
  <c r="U66" i="64"/>
  <c r="T66" i="64"/>
  <c r="S66" i="64"/>
  <c r="R66" i="64"/>
  <c r="Q66" i="64"/>
  <c r="P66" i="64"/>
  <c r="O66" i="64"/>
  <c r="N66" i="64"/>
  <c r="M66" i="64"/>
  <c r="L66" i="64"/>
  <c r="K66" i="64"/>
  <c r="J66" i="64"/>
  <c r="I66" i="64"/>
  <c r="H66" i="64"/>
  <c r="G66" i="64"/>
  <c r="AX65" i="64"/>
  <c r="AW65" i="64"/>
  <c r="AV65" i="64"/>
  <c r="AU65" i="64"/>
  <c r="AT65" i="64"/>
  <c r="AS65" i="64"/>
  <c r="AR65" i="64"/>
  <c r="AQ65" i="64"/>
  <c r="AP65" i="64"/>
  <c r="AO65" i="64"/>
  <c r="AN65" i="64"/>
  <c r="AM65" i="64"/>
  <c r="AL65" i="64"/>
  <c r="AK65" i="64"/>
  <c r="AJ65" i="64"/>
  <c r="AI65" i="64"/>
  <c r="AH65" i="64"/>
  <c r="AG65" i="64"/>
  <c r="AF65" i="64"/>
  <c r="AE65" i="64"/>
  <c r="AD65" i="64"/>
  <c r="AC65" i="64"/>
  <c r="AB65" i="64"/>
  <c r="AA65" i="64"/>
  <c r="Z65" i="64"/>
  <c r="Y65" i="64"/>
  <c r="X65" i="64"/>
  <c r="W65" i="64"/>
  <c r="V65" i="64"/>
  <c r="U65" i="64"/>
  <c r="T65" i="64"/>
  <c r="S65" i="64"/>
  <c r="R65" i="64"/>
  <c r="Q65" i="64"/>
  <c r="P65" i="64"/>
  <c r="O65" i="64"/>
  <c r="N65" i="64"/>
  <c r="M65" i="64"/>
  <c r="L65" i="64"/>
  <c r="K65" i="64"/>
  <c r="J65" i="64"/>
  <c r="I65" i="64"/>
  <c r="H65" i="64"/>
  <c r="G65" i="64"/>
  <c r="AX64" i="64"/>
  <c r="AW64" i="64"/>
  <c r="AV64" i="64"/>
  <c r="AU64" i="64"/>
  <c r="AT64" i="64"/>
  <c r="AS64" i="64"/>
  <c r="AR64" i="64"/>
  <c r="AQ64" i="64"/>
  <c r="AP64" i="64"/>
  <c r="AO64" i="64"/>
  <c r="AN64" i="64"/>
  <c r="AM64" i="64"/>
  <c r="AL64" i="64"/>
  <c r="AK64" i="64"/>
  <c r="AJ64" i="64"/>
  <c r="AI64" i="64"/>
  <c r="AH64" i="64"/>
  <c r="AG64" i="64"/>
  <c r="AF64" i="64"/>
  <c r="AE64" i="64"/>
  <c r="AD64" i="64"/>
  <c r="AC64" i="64"/>
  <c r="AB64" i="64"/>
  <c r="AA64" i="64"/>
  <c r="Z64" i="64"/>
  <c r="Y64" i="64"/>
  <c r="X64" i="64"/>
  <c r="W64" i="64"/>
  <c r="V64" i="64"/>
  <c r="U64" i="64"/>
  <c r="T64" i="64"/>
  <c r="S64" i="64"/>
  <c r="R64" i="64"/>
  <c r="Q64" i="64"/>
  <c r="P64" i="64"/>
  <c r="O64" i="64"/>
  <c r="N64" i="64"/>
  <c r="M64" i="64"/>
  <c r="L64" i="64"/>
  <c r="K64" i="64"/>
  <c r="J64" i="64"/>
  <c r="I64" i="64"/>
  <c r="H64" i="64"/>
  <c r="G64" i="64"/>
  <c r="AX63" i="64"/>
  <c r="AW63" i="64"/>
  <c r="AV63" i="64"/>
  <c r="AU63" i="64"/>
  <c r="AT63" i="64"/>
  <c r="AS63" i="64"/>
  <c r="AR63" i="64"/>
  <c r="AQ63" i="64"/>
  <c r="AP63" i="64"/>
  <c r="AO63" i="64"/>
  <c r="AN63" i="64"/>
  <c r="AM63" i="64"/>
  <c r="AL63" i="64"/>
  <c r="AK63" i="64"/>
  <c r="AJ63" i="64"/>
  <c r="AI63" i="64"/>
  <c r="AH63" i="64"/>
  <c r="AG63" i="64"/>
  <c r="AF63" i="64"/>
  <c r="AE63" i="64"/>
  <c r="AD63" i="64"/>
  <c r="AC63" i="64"/>
  <c r="AB63" i="64"/>
  <c r="AA63" i="64"/>
  <c r="Z63" i="64"/>
  <c r="Y63" i="64"/>
  <c r="X63" i="64"/>
  <c r="W63" i="64"/>
  <c r="V63" i="64"/>
  <c r="U63" i="64"/>
  <c r="T63" i="64"/>
  <c r="S63" i="64"/>
  <c r="R63" i="64"/>
  <c r="Q63" i="64"/>
  <c r="P63" i="64"/>
  <c r="O63" i="64"/>
  <c r="N63" i="64"/>
  <c r="M63" i="64"/>
  <c r="L63" i="64"/>
  <c r="K63" i="64"/>
  <c r="J63" i="64"/>
  <c r="I63" i="64"/>
  <c r="H63" i="64"/>
  <c r="G63" i="64"/>
  <c r="AX62" i="64"/>
  <c r="AW62" i="64"/>
  <c r="AV62" i="64"/>
  <c r="AU62" i="64"/>
  <c r="AT62" i="64"/>
  <c r="AS62" i="64"/>
  <c r="AR62" i="64"/>
  <c r="AQ62" i="64"/>
  <c r="AP62" i="64"/>
  <c r="AO62" i="64"/>
  <c r="AN62" i="64"/>
  <c r="AM62" i="64"/>
  <c r="AL62" i="64"/>
  <c r="AK62" i="64"/>
  <c r="AJ62" i="64"/>
  <c r="AI62" i="64"/>
  <c r="AH62" i="64"/>
  <c r="AG62" i="64"/>
  <c r="AF62" i="64"/>
  <c r="AE62" i="64"/>
  <c r="AD62" i="64"/>
  <c r="AC62" i="64"/>
  <c r="AB62" i="64"/>
  <c r="AA62" i="64"/>
  <c r="Z62" i="64"/>
  <c r="Y62" i="64"/>
  <c r="X62" i="64"/>
  <c r="W62" i="64"/>
  <c r="V62" i="64"/>
  <c r="U62" i="64"/>
  <c r="T62" i="64"/>
  <c r="S62" i="64"/>
  <c r="R62" i="64"/>
  <c r="Q62" i="64"/>
  <c r="P62" i="64"/>
  <c r="O62" i="64"/>
  <c r="N62" i="64"/>
  <c r="M62" i="64"/>
  <c r="L62" i="64"/>
  <c r="K62" i="64"/>
  <c r="J62" i="64"/>
  <c r="I62" i="64"/>
  <c r="H62" i="64"/>
  <c r="G62" i="64"/>
  <c r="AX61" i="64"/>
  <c r="AW61" i="64"/>
  <c r="AV61" i="64"/>
  <c r="AU61" i="64"/>
  <c r="AT61" i="64"/>
  <c r="AS61" i="64"/>
  <c r="AR61" i="64"/>
  <c r="AQ61" i="64"/>
  <c r="AP61" i="64"/>
  <c r="AO61" i="64"/>
  <c r="AN61" i="64"/>
  <c r="AM61" i="64"/>
  <c r="AL61" i="64"/>
  <c r="AK61" i="64"/>
  <c r="AJ61" i="64"/>
  <c r="AI61" i="64"/>
  <c r="AH61" i="64"/>
  <c r="AG61" i="64"/>
  <c r="AF61" i="64"/>
  <c r="AE61" i="64"/>
  <c r="AD61" i="64"/>
  <c r="AC61" i="64"/>
  <c r="AB61" i="64"/>
  <c r="AA61" i="64"/>
  <c r="Z61" i="64"/>
  <c r="Y61" i="64"/>
  <c r="X61" i="64"/>
  <c r="W61" i="64"/>
  <c r="V61" i="64"/>
  <c r="U61" i="64"/>
  <c r="T61" i="64"/>
  <c r="S61" i="64"/>
  <c r="R61" i="64"/>
  <c r="Q61" i="64"/>
  <c r="P61" i="64"/>
  <c r="O61" i="64"/>
  <c r="N61" i="64"/>
  <c r="M61" i="64"/>
  <c r="L61" i="64"/>
  <c r="K61" i="64"/>
  <c r="J61" i="64"/>
  <c r="I61" i="64"/>
  <c r="H61" i="64"/>
  <c r="G61" i="64"/>
  <c r="AX60" i="64"/>
  <c r="AW60" i="64"/>
  <c r="AV60" i="64"/>
  <c r="AU60" i="64"/>
  <c r="AT60" i="64"/>
  <c r="AS60" i="64"/>
  <c r="AR60" i="64"/>
  <c r="AQ60" i="64"/>
  <c r="AP60" i="64"/>
  <c r="AO60" i="64"/>
  <c r="AN60" i="64"/>
  <c r="AM60" i="64"/>
  <c r="AL60" i="64"/>
  <c r="AK60" i="64"/>
  <c r="AJ60" i="64"/>
  <c r="AI60" i="64"/>
  <c r="AH60" i="64"/>
  <c r="AG60" i="64"/>
  <c r="AF60" i="64"/>
  <c r="AE60" i="64"/>
  <c r="AD60" i="64"/>
  <c r="AC60" i="64"/>
  <c r="AB60" i="64"/>
  <c r="AA60" i="64"/>
  <c r="Z60" i="64"/>
  <c r="Y60" i="64"/>
  <c r="X60" i="64"/>
  <c r="W60" i="64"/>
  <c r="V60" i="64"/>
  <c r="U60" i="64"/>
  <c r="T60" i="64"/>
  <c r="S60" i="64"/>
  <c r="R60" i="64"/>
  <c r="Q60" i="64"/>
  <c r="P60" i="64"/>
  <c r="O60" i="64"/>
  <c r="N60" i="64"/>
  <c r="M60" i="64"/>
  <c r="L60" i="64"/>
  <c r="K60" i="64"/>
  <c r="J60" i="64"/>
  <c r="I60" i="64"/>
  <c r="H60" i="64"/>
  <c r="G60" i="64"/>
  <c r="AX59" i="64"/>
  <c r="AW59" i="64"/>
  <c r="AV59" i="64"/>
  <c r="AU59" i="64"/>
  <c r="AT59" i="64"/>
  <c r="AS59" i="64"/>
  <c r="AR59" i="64"/>
  <c r="AQ59" i="64"/>
  <c r="AP59" i="64"/>
  <c r="AO59" i="64"/>
  <c r="AN59" i="64"/>
  <c r="AM59" i="64"/>
  <c r="AL59" i="64"/>
  <c r="AV60" i="41" s="1"/>
  <c r="AK59" i="64"/>
  <c r="AU60" i="41" s="1"/>
  <c r="AJ59" i="64"/>
  <c r="AS60" i="41" s="1"/>
  <c r="AI59" i="64"/>
  <c r="AH59" i="64"/>
  <c r="AG59" i="64"/>
  <c r="AP60" i="41" s="1"/>
  <c r="AF59" i="64"/>
  <c r="AE59" i="64"/>
  <c r="AD59" i="64"/>
  <c r="AC59" i="64"/>
  <c r="AB59" i="64"/>
  <c r="AA59" i="64"/>
  <c r="Z59" i="64"/>
  <c r="Y59" i="64"/>
  <c r="X59" i="64"/>
  <c r="W59" i="64"/>
  <c r="V59" i="64"/>
  <c r="U59" i="64"/>
  <c r="T59" i="64"/>
  <c r="S59" i="64"/>
  <c r="R59" i="64"/>
  <c r="Q59" i="64"/>
  <c r="P59" i="64"/>
  <c r="O59" i="64"/>
  <c r="N59" i="64"/>
  <c r="M59" i="64"/>
  <c r="L59" i="64"/>
  <c r="K59" i="64"/>
  <c r="J59" i="64"/>
  <c r="I59" i="64"/>
  <c r="H59" i="64"/>
  <c r="G59" i="64"/>
  <c r="AX58" i="64"/>
  <c r="AW58" i="64"/>
  <c r="AV58" i="64"/>
  <c r="AU58" i="64"/>
  <c r="AT58" i="64"/>
  <c r="AS58" i="64"/>
  <c r="AR58" i="64"/>
  <c r="AQ58" i="64"/>
  <c r="AP58" i="64"/>
  <c r="AO58" i="64"/>
  <c r="AN58" i="64"/>
  <c r="AM58" i="64"/>
  <c r="AL58" i="64"/>
  <c r="AK58" i="64"/>
  <c r="AJ58" i="64"/>
  <c r="AI58" i="64"/>
  <c r="AH58" i="64"/>
  <c r="AG58" i="64"/>
  <c r="AF58" i="64"/>
  <c r="AE58" i="64"/>
  <c r="AD58" i="64"/>
  <c r="AC58" i="64"/>
  <c r="AB58" i="64"/>
  <c r="AA58" i="64"/>
  <c r="Z58" i="64"/>
  <c r="Y58" i="64"/>
  <c r="X58" i="64"/>
  <c r="W58" i="64"/>
  <c r="V58" i="64"/>
  <c r="U58" i="64"/>
  <c r="T58" i="64"/>
  <c r="S58" i="64"/>
  <c r="R58" i="64"/>
  <c r="Q58" i="64"/>
  <c r="P58" i="64"/>
  <c r="O58" i="64"/>
  <c r="N58" i="64"/>
  <c r="M58" i="64"/>
  <c r="L58" i="64"/>
  <c r="K58" i="64"/>
  <c r="J58" i="64"/>
  <c r="I58" i="64"/>
  <c r="H58" i="64"/>
  <c r="G58" i="64"/>
  <c r="AX57" i="64"/>
  <c r="AW57" i="64"/>
  <c r="AV57" i="64"/>
  <c r="AU57" i="64"/>
  <c r="AT57" i="64"/>
  <c r="AS57" i="64"/>
  <c r="AR57" i="64"/>
  <c r="AQ57" i="64"/>
  <c r="AP57" i="64"/>
  <c r="AO57" i="64"/>
  <c r="AN57" i="64"/>
  <c r="AM57" i="64"/>
  <c r="AL57" i="64"/>
  <c r="AV59" i="41" s="1"/>
  <c r="AK57" i="64"/>
  <c r="AU59" i="41" s="1"/>
  <c r="AJ57" i="64"/>
  <c r="AS59" i="41" s="1"/>
  <c r="AI57" i="64"/>
  <c r="AH57" i="64"/>
  <c r="AG57" i="64"/>
  <c r="AP59" i="41" s="1"/>
  <c r="AF57" i="64"/>
  <c r="AE57" i="64"/>
  <c r="AD57" i="64"/>
  <c r="AC57" i="64"/>
  <c r="AB57" i="64"/>
  <c r="AA57" i="64"/>
  <c r="Z57" i="64"/>
  <c r="Y57" i="64"/>
  <c r="X57" i="64"/>
  <c r="W57" i="64"/>
  <c r="V57" i="64"/>
  <c r="U57" i="64"/>
  <c r="T57" i="64"/>
  <c r="S57" i="64"/>
  <c r="R57" i="64"/>
  <c r="Q57" i="64"/>
  <c r="P57" i="64"/>
  <c r="O57" i="64"/>
  <c r="N57" i="64"/>
  <c r="M57" i="64"/>
  <c r="L57" i="64"/>
  <c r="K57" i="64"/>
  <c r="J57" i="64"/>
  <c r="I57" i="64"/>
  <c r="H57" i="64"/>
  <c r="G57" i="64"/>
  <c r="AX56" i="64"/>
  <c r="AW56" i="64"/>
  <c r="AV56" i="64"/>
  <c r="AU56" i="64"/>
  <c r="AT56" i="64"/>
  <c r="AS56" i="64"/>
  <c r="AR56" i="64"/>
  <c r="AQ56" i="64"/>
  <c r="AP56" i="64"/>
  <c r="AO56" i="64"/>
  <c r="AN56" i="64"/>
  <c r="AM56" i="64"/>
  <c r="AL56" i="64"/>
  <c r="AK56" i="64"/>
  <c r="AJ56" i="64"/>
  <c r="AI56" i="64"/>
  <c r="AH56" i="64"/>
  <c r="AG56" i="64"/>
  <c r="AF56" i="64"/>
  <c r="AE56" i="64"/>
  <c r="AD56" i="64"/>
  <c r="AC56" i="64"/>
  <c r="AB56" i="64"/>
  <c r="AA56" i="64"/>
  <c r="Z56" i="64"/>
  <c r="Y56" i="64"/>
  <c r="X56" i="64"/>
  <c r="W56" i="64"/>
  <c r="V56" i="64"/>
  <c r="U56" i="64"/>
  <c r="T56" i="64"/>
  <c r="S56" i="64"/>
  <c r="R56" i="64"/>
  <c r="Q56" i="64"/>
  <c r="P56" i="64"/>
  <c r="O56" i="64"/>
  <c r="N56" i="64"/>
  <c r="M56" i="64"/>
  <c r="L56" i="64"/>
  <c r="K56" i="64"/>
  <c r="J56" i="64"/>
  <c r="I56" i="64"/>
  <c r="H56" i="64"/>
  <c r="G56" i="64"/>
  <c r="AX55" i="64"/>
  <c r="AW55" i="64"/>
  <c r="AV55" i="64"/>
  <c r="AU55" i="64"/>
  <c r="AT55" i="64"/>
  <c r="AS55" i="64"/>
  <c r="AR55" i="64"/>
  <c r="AQ55" i="64"/>
  <c r="AP55" i="64"/>
  <c r="AO55" i="64"/>
  <c r="AN55" i="64"/>
  <c r="AM55" i="64"/>
  <c r="AL55" i="64"/>
  <c r="AK55" i="64"/>
  <c r="AJ55" i="64"/>
  <c r="AI55" i="64"/>
  <c r="AH55" i="64"/>
  <c r="AG55" i="64"/>
  <c r="AF55" i="64"/>
  <c r="AE55" i="64"/>
  <c r="AD55" i="64"/>
  <c r="AC55" i="64"/>
  <c r="AB55" i="64"/>
  <c r="AA55" i="64"/>
  <c r="Z55" i="64"/>
  <c r="Y55" i="64"/>
  <c r="X55" i="64"/>
  <c r="W55" i="64"/>
  <c r="V55" i="64"/>
  <c r="U55" i="64"/>
  <c r="T55" i="64"/>
  <c r="S55" i="64"/>
  <c r="R55" i="64"/>
  <c r="Q55" i="64"/>
  <c r="P55" i="64"/>
  <c r="O55" i="64"/>
  <c r="N55" i="64"/>
  <c r="M55" i="64"/>
  <c r="L55" i="64"/>
  <c r="K55" i="64"/>
  <c r="J55" i="64"/>
  <c r="I55" i="64"/>
  <c r="H55" i="64"/>
  <c r="G55" i="64"/>
  <c r="AX54" i="64"/>
  <c r="AW54" i="64"/>
  <c r="AV54" i="64"/>
  <c r="AU54" i="64"/>
  <c r="AT54" i="64"/>
  <c r="AS54" i="64"/>
  <c r="AR54" i="64"/>
  <c r="AQ54" i="64"/>
  <c r="AP54" i="64"/>
  <c r="AO54" i="64"/>
  <c r="AN54" i="64"/>
  <c r="AM54" i="64"/>
  <c r="AL54" i="64"/>
  <c r="AK54" i="64"/>
  <c r="AJ54" i="64"/>
  <c r="AI54" i="64"/>
  <c r="AH54" i="64"/>
  <c r="AG54" i="64"/>
  <c r="AF54" i="64"/>
  <c r="AE54" i="64"/>
  <c r="AD54" i="64"/>
  <c r="AC54" i="64"/>
  <c r="AB54" i="64"/>
  <c r="AA54" i="64"/>
  <c r="Z54" i="64"/>
  <c r="Y54" i="64"/>
  <c r="X54" i="64"/>
  <c r="W54" i="64"/>
  <c r="V54" i="64"/>
  <c r="U54" i="64"/>
  <c r="T54" i="64"/>
  <c r="S54" i="64"/>
  <c r="R54" i="64"/>
  <c r="Q54" i="64"/>
  <c r="P54" i="64"/>
  <c r="O54" i="64"/>
  <c r="N54" i="64"/>
  <c r="M54" i="64"/>
  <c r="L54" i="64"/>
  <c r="K54" i="64"/>
  <c r="J54" i="64"/>
  <c r="I54" i="64"/>
  <c r="H54" i="64"/>
  <c r="G54" i="64"/>
  <c r="AX53" i="64"/>
  <c r="AW53" i="64"/>
  <c r="AV53" i="64"/>
  <c r="AU53" i="64"/>
  <c r="AT53" i="64"/>
  <c r="AS53" i="64"/>
  <c r="AR53" i="64"/>
  <c r="AQ53" i="64"/>
  <c r="AP53" i="64"/>
  <c r="AO53" i="64"/>
  <c r="AN53" i="64"/>
  <c r="AM53" i="64"/>
  <c r="AL53" i="64"/>
  <c r="AK53" i="64"/>
  <c r="AJ53" i="64"/>
  <c r="AI53" i="64"/>
  <c r="AH53" i="64"/>
  <c r="AG53" i="64"/>
  <c r="AF53" i="64"/>
  <c r="AE53" i="64"/>
  <c r="AD53" i="64"/>
  <c r="AC53" i="64"/>
  <c r="AB53" i="64"/>
  <c r="AA53" i="64"/>
  <c r="Z53" i="64"/>
  <c r="Y53" i="64"/>
  <c r="X53" i="64"/>
  <c r="W53" i="64"/>
  <c r="V53" i="64"/>
  <c r="U53" i="64"/>
  <c r="T53" i="64"/>
  <c r="S53" i="64"/>
  <c r="R53" i="64"/>
  <c r="Q53" i="64"/>
  <c r="P53" i="64"/>
  <c r="O53" i="64"/>
  <c r="N53" i="64"/>
  <c r="M53" i="64"/>
  <c r="L53" i="64"/>
  <c r="K53" i="64"/>
  <c r="J53" i="64"/>
  <c r="I53" i="64"/>
  <c r="H53" i="64"/>
  <c r="G53" i="64"/>
  <c r="AX49" i="64"/>
  <c r="AW49" i="64"/>
  <c r="AV49" i="64"/>
  <c r="AU49" i="64"/>
  <c r="AT49" i="64"/>
  <c r="AS49" i="64"/>
  <c r="AR49" i="64"/>
  <c r="AQ49" i="64"/>
  <c r="AP49" i="64"/>
  <c r="AO49" i="64"/>
  <c r="AN49" i="64"/>
  <c r="AM49" i="64"/>
  <c r="AL49" i="64"/>
  <c r="AK49" i="64"/>
  <c r="AJ49" i="64"/>
  <c r="AI49" i="64"/>
  <c r="AH49" i="64"/>
  <c r="AG49" i="64"/>
  <c r="AF49" i="64"/>
  <c r="AE49" i="64"/>
  <c r="AD49" i="64"/>
  <c r="AC49" i="64"/>
  <c r="AB49" i="64"/>
  <c r="AA49" i="64"/>
  <c r="Z49" i="64"/>
  <c r="Y49" i="64"/>
  <c r="X49" i="64"/>
  <c r="W49" i="64"/>
  <c r="V49" i="64"/>
  <c r="U49" i="64"/>
  <c r="T49" i="64"/>
  <c r="S49" i="64"/>
  <c r="R49" i="64"/>
  <c r="Q49" i="64"/>
  <c r="P49" i="64"/>
  <c r="O49" i="64"/>
  <c r="N49" i="64"/>
  <c r="M49" i="64"/>
  <c r="L49" i="64"/>
  <c r="K49" i="64"/>
  <c r="J49" i="64"/>
  <c r="I49" i="64"/>
  <c r="H49" i="64"/>
  <c r="G49" i="64"/>
  <c r="AX48" i="64"/>
  <c r="AW48" i="64"/>
  <c r="AV48" i="64"/>
  <c r="AU48" i="64"/>
  <c r="AT48" i="64"/>
  <c r="AS48" i="64"/>
  <c r="AR48" i="64"/>
  <c r="AQ48" i="64"/>
  <c r="AP48" i="64"/>
  <c r="AO48" i="64"/>
  <c r="AN48" i="64"/>
  <c r="AM48" i="64"/>
  <c r="AL48" i="64"/>
  <c r="AK48" i="64"/>
  <c r="AJ48" i="64"/>
  <c r="AI48" i="64"/>
  <c r="AH48" i="64"/>
  <c r="AG48" i="64"/>
  <c r="AF48" i="64"/>
  <c r="AE48" i="64"/>
  <c r="AD48" i="64"/>
  <c r="AC48" i="64"/>
  <c r="AB48" i="64"/>
  <c r="AA48" i="64"/>
  <c r="Z48" i="64"/>
  <c r="Y48" i="64"/>
  <c r="X48" i="64"/>
  <c r="W48" i="64"/>
  <c r="V48" i="64"/>
  <c r="U48" i="64"/>
  <c r="T48" i="64"/>
  <c r="S48" i="64"/>
  <c r="R48" i="64"/>
  <c r="Q48" i="64"/>
  <c r="P48" i="64"/>
  <c r="O48" i="64"/>
  <c r="N48" i="64"/>
  <c r="M48" i="64"/>
  <c r="L48" i="64"/>
  <c r="K48" i="64"/>
  <c r="J48" i="64"/>
  <c r="I48" i="64"/>
  <c r="H48" i="64"/>
  <c r="G48" i="64"/>
  <c r="AX47" i="64"/>
  <c r="AW47" i="64"/>
  <c r="AV47" i="64"/>
  <c r="AU47" i="64"/>
  <c r="AT47" i="64"/>
  <c r="AS47" i="64"/>
  <c r="AR47" i="64"/>
  <c r="AQ47" i="64"/>
  <c r="AP47" i="64"/>
  <c r="AO47" i="64"/>
  <c r="AN47" i="64"/>
  <c r="AM47" i="64"/>
  <c r="AL47" i="64"/>
  <c r="AK47" i="64"/>
  <c r="AJ47" i="64"/>
  <c r="AI47" i="64"/>
  <c r="AH47" i="64"/>
  <c r="AG47" i="64"/>
  <c r="AF47" i="64"/>
  <c r="AE47" i="64"/>
  <c r="AD47" i="64"/>
  <c r="AC47" i="64"/>
  <c r="AB47" i="64"/>
  <c r="AA47" i="64"/>
  <c r="Z47" i="64"/>
  <c r="Y47" i="64"/>
  <c r="X47" i="64"/>
  <c r="W47" i="64"/>
  <c r="V47" i="64"/>
  <c r="U47" i="64"/>
  <c r="T47" i="64"/>
  <c r="S47" i="64"/>
  <c r="R47" i="64"/>
  <c r="Q47" i="64"/>
  <c r="P47" i="64"/>
  <c r="O47" i="64"/>
  <c r="N47" i="64"/>
  <c r="M47" i="64"/>
  <c r="L47" i="64"/>
  <c r="K47" i="64"/>
  <c r="J47" i="64"/>
  <c r="I47" i="64"/>
  <c r="H47" i="64"/>
  <c r="G47" i="64"/>
  <c r="AX46" i="64"/>
  <c r="AW46" i="64"/>
  <c r="AV46" i="64"/>
  <c r="AU46" i="64"/>
  <c r="AT46" i="64"/>
  <c r="AS46" i="64"/>
  <c r="AR46" i="64"/>
  <c r="AQ46" i="64"/>
  <c r="AP46" i="64"/>
  <c r="AO46" i="64"/>
  <c r="AN46" i="64"/>
  <c r="AM46" i="64"/>
  <c r="AL46" i="64"/>
  <c r="AK46" i="64"/>
  <c r="AJ46" i="64"/>
  <c r="AI46" i="64"/>
  <c r="AH46" i="64"/>
  <c r="AG46" i="64"/>
  <c r="AF46" i="64"/>
  <c r="AE46" i="64"/>
  <c r="AD46" i="64"/>
  <c r="AC46" i="64"/>
  <c r="AB46" i="64"/>
  <c r="AA46" i="64"/>
  <c r="Z46" i="64"/>
  <c r="Y46" i="64"/>
  <c r="X46" i="64"/>
  <c r="W46" i="64"/>
  <c r="V46" i="64"/>
  <c r="U46" i="64"/>
  <c r="T46" i="64"/>
  <c r="S46" i="64"/>
  <c r="R46" i="64"/>
  <c r="Q46" i="64"/>
  <c r="P46" i="64"/>
  <c r="O46" i="64"/>
  <c r="N46" i="64"/>
  <c r="M46" i="64"/>
  <c r="L46" i="64"/>
  <c r="K46" i="64"/>
  <c r="J46" i="64"/>
  <c r="I46" i="64"/>
  <c r="H46" i="64"/>
  <c r="G46" i="64"/>
  <c r="AX45" i="64"/>
  <c r="AW45" i="64"/>
  <c r="AV45" i="64"/>
  <c r="AU45" i="64"/>
  <c r="AT45" i="64"/>
  <c r="AS45" i="64"/>
  <c r="AR45" i="64"/>
  <c r="AQ45" i="64"/>
  <c r="AP45" i="64"/>
  <c r="AO45" i="64"/>
  <c r="AN45" i="64"/>
  <c r="AM45" i="64"/>
  <c r="AL45" i="64"/>
  <c r="AK45" i="64"/>
  <c r="AJ45" i="64"/>
  <c r="AI45" i="64"/>
  <c r="AH45" i="64"/>
  <c r="AG45" i="64"/>
  <c r="AF45" i="64"/>
  <c r="AE45" i="64"/>
  <c r="AD45" i="64"/>
  <c r="AC45" i="64"/>
  <c r="AB45" i="64"/>
  <c r="AA45" i="64"/>
  <c r="Z45" i="64"/>
  <c r="Y45" i="64"/>
  <c r="X45" i="64"/>
  <c r="W45" i="64"/>
  <c r="V45" i="64"/>
  <c r="U45" i="64"/>
  <c r="T45" i="64"/>
  <c r="S45" i="64"/>
  <c r="R45" i="64"/>
  <c r="Q45" i="64"/>
  <c r="P45" i="64"/>
  <c r="O45" i="64"/>
  <c r="N45" i="64"/>
  <c r="M45" i="64"/>
  <c r="L45" i="64"/>
  <c r="K45" i="64"/>
  <c r="J45" i="64"/>
  <c r="I45" i="64"/>
  <c r="H45" i="64"/>
  <c r="G45" i="64"/>
  <c r="AX44" i="64"/>
  <c r="AW44" i="64"/>
  <c r="AV44" i="64"/>
  <c r="AU44" i="64"/>
  <c r="AT44" i="64"/>
  <c r="AS44" i="64"/>
  <c r="AR44" i="64"/>
  <c r="AQ44" i="64"/>
  <c r="AP44" i="64"/>
  <c r="AO44" i="64"/>
  <c r="AN44" i="64"/>
  <c r="AM44" i="64"/>
  <c r="AL44" i="64"/>
  <c r="AK44" i="64"/>
  <c r="AJ44" i="64"/>
  <c r="AI44" i="64"/>
  <c r="AH44" i="64"/>
  <c r="AG44" i="64"/>
  <c r="AF44" i="64"/>
  <c r="AE44" i="64"/>
  <c r="AD44" i="64"/>
  <c r="AC44" i="64"/>
  <c r="AB44" i="64"/>
  <c r="AA44" i="64"/>
  <c r="Z44" i="64"/>
  <c r="Y44" i="64"/>
  <c r="X44" i="64"/>
  <c r="W44" i="64"/>
  <c r="V44" i="64"/>
  <c r="U44" i="64"/>
  <c r="T44" i="64"/>
  <c r="S44" i="64"/>
  <c r="R44" i="64"/>
  <c r="Q44" i="64"/>
  <c r="P44" i="64"/>
  <c r="O44" i="64"/>
  <c r="N44" i="64"/>
  <c r="M44" i="64"/>
  <c r="L44" i="64"/>
  <c r="K44" i="64"/>
  <c r="J44" i="64"/>
  <c r="I44" i="64"/>
  <c r="H44" i="64"/>
  <c r="G44" i="64"/>
  <c r="AX43" i="64"/>
  <c r="AW43" i="64"/>
  <c r="AV43" i="64"/>
  <c r="AU43" i="64"/>
  <c r="AT43" i="64"/>
  <c r="AS43" i="64"/>
  <c r="AR43" i="64"/>
  <c r="AQ43" i="64"/>
  <c r="AP43" i="64"/>
  <c r="AO43" i="64"/>
  <c r="AN43" i="64"/>
  <c r="AM43" i="64"/>
  <c r="AL43" i="64"/>
  <c r="AK43" i="64"/>
  <c r="AJ43" i="64"/>
  <c r="AI43" i="64"/>
  <c r="AH43" i="64"/>
  <c r="AG43" i="64"/>
  <c r="AF43" i="64"/>
  <c r="AE43" i="64"/>
  <c r="AD43" i="64"/>
  <c r="AC43" i="64"/>
  <c r="AB43" i="64"/>
  <c r="AA43" i="64"/>
  <c r="Z43" i="64"/>
  <c r="Y43" i="64"/>
  <c r="X43" i="64"/>
  <c r="W43" i="64"/>
  <c r="V43" i="64"/>
  <c r="U43" i="64"/>
  <c r="T43" i="64"/>
  <c r="S43" i="64"/>
  <c r="R43" i="64"/>
  <c r="Q43" i="64"/>
  <c r="P43" i="64"/>
  <c r="O43" i="64"/>
  <c r="N43" i="64"/>
  <c r="M43" i="64"/>
  <c r="L43" i="64"/>
  <c r="K43" i="64"/>
  <c r="J43" i="64"/>
  <c r="I43" i="64"/>
  <c r="H43" i="64"/>
  <c r="G43" i="64"/>
  <c r="AX42" i="64"/>
  <c r="AW42" i="64"/>
  <c r="AV42" i="64"/>
  <c r="AU42" i="64"/>
  <c r="AT42" i="64"/>
  <c r="AS42" i="64"/>
  <c r="AR42" i="64"/>
  <c r="AQ42" i="64"/>
  <c r="AP42" i="64"/>
  <c r="AO42" i="64"/>
  <c r="AN42" i="64"/>
  <c r="AM42" i="64"/>
  <c r="AL42" i="64"/>
  <c r="AK42" i="64"/>
  <c r="AJ42" i="64"/>
  <c r="AI42" i="64"/>
  <c r="AH42" i="64"/>
  <c r="AG42" i="64"/>
  <c r="AF42" i="64"/>
  <c r="AE42" i="64"/>
  <c r="AD42" i="64"/>
  <c r="AC42" i="64"/>
  <c r="AB42" i="64"/>
  <c r="AA42" i="64"/>
  <c r="Z42" i="64"/>
  <c r="Y42" i="64"/>
  <c r="X42" i="64"/>
  <c r="W42" i="64"/>
  <c r="V42" i="64"/>
  <c r="U42" i="64"/>
  <c r="T42" i="64"/>
  <c r="S42" i="64"/>
  <c r="R42" i="64"/>
  <c r="Q42" i="64"/>
  <c r="P42" i="64"/>
  <c r="O42" i="64"/>
  <c r="N42" i="64"/>
  <c r="M42" i="64"/>
  <c r="L42" i="64"/>
  <c r="K42" i="64"/>
  <c r="J42" i="64"/>
  <c r="I42" i="64"/>
  <c r="H42" i="64"/>
  <c r="G42" i="64"/>
  <c r="AX41" i="64"/>
  <c r="AW41" i="64"/>
  <c r="AV41" i="64"/>
  <c r="AU41" i="64"/>
  <c r="AT41" i="64"/>
  <c r="AS41" i="64"/>
  <c r="AR41" i="64"/>
  <c r="AQ41" i="64"/>
  <c r="AP41" i="64"/>
  <c r="AO41" i="64"/>
  <c r="AN41" i="64"/>
  <c r="AM41" i="64"/>
  <c r="AL41" i="64"/>
  <c r="AK41" i="64"/>
  <c r="AJ41" i="64"/>
  <c r="AI41" i="64"/>
  <c r="AH41" i="64"/>
  <c r="AG41" i="64"/>
  <c r="AF41" i="64"/>
  <c r="AE41" i="64"/>
  <c r="AD41" i="64"/>
  <c r="AC41" i="64"/>
  <c r="AB41" i="64"/>
  <c r="AA41" i="64"/>
  <c r="Z41" i="64"/>
  <c r="Y41" i="64"/>
  <c r="X41" i="64"/>
  <c r="W41" i="64"/>
  <c r="V41" i="64"/>
  <c r="U41" i="64"/>
  <c r="T41" i="64"/>
  <c r="S41" i="64"/>
  <c r="R41" i="64"/>
  <c r="Q41" i="64"/>
  <c r="P41" i="64"/>
  <c r="O41" i="64"/>
  <c r="N41" i="64"/>
  <c r="M41" i="64"/>
  <c r="L41" i="64"/>
  <c r="K41" i="64"/>
  <c r="J41" i="64"/>
  <c r="I41" i="64"/>
  <c r="H41" i="64"/>
  <c r="G41" i="64"/>
  <c r="AX40" i="64"/>
  <c r="AW40" i="64"/>
  <c r="AV40" i="64"/>
  <c r="AU40" i="64"/>
  <c r="AT40" i="64"/>
  <c r="AS40" i="64"/>
  <c r="AR40" i="64"/>
  <c r="AQ40" i="64"/>
  <c r="AP40" i="64"/>
  <c r="AO40" i="64"/>
  <c r="AN40" i="64"/>
  <c r="AM40" i="64"/>
  <c r="AL40" i="64"/>
  <c r="AK40" i="64"/>
  <c r="AJ40" i="64"/>
  <c r="AI40" i="64"/>
  <c r="AH40" i="64"/>
  <c r="AG40" i="64"/>
  <c r="AF40" i="64"/>
  <c r="AE40" i="64"/>
  <c r="AD40" i="64"/>
  <c r="AC40" i="64"/>
  <c r="AB40" i="64"/>
  <c r="AA40" i="64"/>
  <c r="Z40" i="64"/>
  <c r="Y40" i="64"/>
  <c r="X40" i="64"/>
  <c r="W40" i="64"/>
  <c r="V40" i="64"/>
  <c r="U40" i="64"/>
  <c r="T40" i="64"/>
  <c r="S40" i="64"/>
  <c r="R40" i="64"/>
  <c r="Q40" i="64"/>
  <c r="P40" i="64"/>
  <c r="O40" i="64"/>
  <c r="N40" i="64"/>
  <c r="M40" i="64"/>
  <c r="L40" i="64"/>
  <c r="K40" i="64"/>
  <c r="J40" i="64"/>
  <c r="I40" i="64"/>
  <c r="H40" i="64"/>
  <c r="G40" i="64"/>
  <c r="AX39" i="64"/>
  <c r="AW39" i="64"/>
  <c r="AV39" i="64"/>
  <c r="AU39" i="64"/>
  <c r="AT39" i="64"/>
  <c r="AS39" i="64"/>
  <c r="AR39" i="64"/>
  <c r="AQ39" i="64"/>
  <c r="AP39" i="64"/>
  <c r="AO39" i="64"/>
  <c r="AN39" i="64"/>
  <c r="AM39" i="64"/>
  <c r="AL39" i="64"/>
  <c r="AK39" i="64"/>
  <c r="AJ39" i="64"/>
  <c r="AI39" i="64"/>
  <c r="AH39" i="64"/>
  <c r="AG39" i="64"/>
  <c r="AF39" i="64"/>
  <c r="AE39" i="64"/>
  <c r="AD39" i="64"/>
  <c r="AC39" i="64"/>
  <c r="AB39" i="64"/>
  <c r="AA39" i="64"/>
  <c r="Z39" i="64"/>
  <c r="Y39" i="64"/>
  <c r="X39" i="64"/>
  <c r="W39" i="64"/>
  <c r="V39" i="64"/>
  <c r="U39" i="64"/>
  <c r="T39" i="64"/>
  <c r="S39" i="64"/>
  <c r="R39" i="64"/>
  <c r="Q39" i="64"/>
  <c r="P39" i="64"/>
  <c r="O39" i="64"/>
  <c r="N39" i="64"/>
  <c r="M39" i="64"/>
  <c r="L39" i="64"/>
  <c r="K39" i="64"/>
  <c r="J39" i="64"/>
  <c r="I39" i="64"/>
  <c r="H39" i="64"/>
  <c r="G39" i="64"/>
  <c r="AX38" i="64"/>
  <c r="AW38" i="64"/>
  <c r="AV38" i="64"/>
  <c r="AU38" i="64"/>
  <c r="AT38" i="64"/>
  <c r="AS38" i="64"/>
  <c r="AR38" i="64"/>
  <c r="AQ38" i="64"/>
  <c r="AP38" i="64"/>
  <c r="AO38" i="64"/>
  <c r="AN38" i="64"/>
  <c r="AM38" i="64"/>
  <c r="AL38" i="64"/>
  <c r="AK38" i="64"/>
  <c r="AJ38" i="64"/>
  <c r="AI38" i="64"/>
  <c r="AH38" i="64"/>
  <c r="AG38" i="64"/>
  <c r="AF38" i="64"/>
  <c r="AE38" i="64"/>
  <c r="AD38" i="64"/>
  <c r="AC38" i="64"/>
  <c r="AB38" i="64"/>
  <c r="AA38" i="64"/>
  <c r="Z38" i="64"/>
  <c r="Y38" i="64"/>
  <c r="X38" i="64"/>
  <c r="W38" i="64"/>
  <c r="V38" i="64"/>
  <c r="U38" i="64"/>
  <c r="T38" i="64"/>
  <c r="S38" i="64"/>
  <c r="R38" i="64"/>
  <c r="Q38" i="64"/>
  <c r="P38" i="64"/>
  <c r="O38" i="64"/>
  <c r="N38" i="64"/>
  <c r="M38" i="64"/>
  <c r="L38" i="64"/>
  <c r="K38" i="64"/>
  <c r="J38" i="64"/>
  <c r="I38" i="64"/>
  <c r="H38" i="64"/>
  <c r="G38" i="64"/>
  <c r="AX37" i="64"/>
  <c r="AW37" i="64"/>
  <c r="AV37" i="64"/>
  <c r="AU37" i="64"/>
  <c r="AT37" i="64"/>
  <c r="AS37" i="64"/>
  <c r="AR37" i="64"/>
  <c r="AQ37" i="64"/>
  <c r="AP37" i="64"/>
  <c r="AO37" i="64"/>
  <c r="AN37" i="64"/>
  <c r="AM37" i="64"/>
  <c r="AL37" i="64"/>
  <c r="AK37" i="64"/>
  <c r="AJ37" i="64"/>
  <c r="AI37" i="64"/>
  <c r="AH37" i="64"/>
  <c r="AG37" i="64"/>
  <c r="AF37" i="64"/>
  <c r="AE37" i="64"/>
  <c r="AD37" i="64"/>
  <c r="AC37" i="64"/>
  <c r="AB37" i="64"/>
  <c r="AA37" i="64"/>
  <c r="Z37" i="64"/>
  <c r="Y37" i="64"/>
  <c r="X37" i="64"/>
  <c r="W37" i="64"/>
  <c r="V37" i="64"/>
  <c r="U37" i="64"/>
  <c r="T37" i="64"/>
  <c r="S37" i="64"/>
  <c r="R37" i="64"/>
  <c r="Q37" i="64"/>
  <c r="P37" i="64"/>
  <c r="O37" i="64"/>
  <c r="N37" i="64"/>
  <c r="M37" i="64"/>
  <c r="L37" i="64"/>
  <c r="K37" i="64"/>
  <c r="J37" i="64"/>
  <c r="I37" i="64"/>
  <c r="H37" i="64"/>
  <c r="G37" i="64"/>
  <c r="AX36" i="64"/>
  <c r="AW36" i="64"/>
  <c r="AV36" i="64"/>
  <c r="AU36" i="64"/>
  <c r="AT36" i="64"/>
  <c r="AS36" i="64"/>
  <c r="AR36" i="64"/>
  <c r="AQ36" i="64"/>
  <c r="AP36" i="64"/>
  <c r="AO36" i="64"/>
  <c r="AN36" i="64"/>
  <c r="AM36" i="64"/>
  <c r="AL36" i="64"/>
  <c r="AK36" i="64"/>
  <c r="AJ36" i="64"/>
  <c r="AI36" i="64"/>
  <c r="AH36" i="64"/>
  <c r="AG36" i="64"/>
  <c r="AF36" i="64"/>
  <c r="AE36" i="64"/>
  <c r="AD36" i="64"/>
  <c r="AC36" i="64"/>
  <c r="AB36" i="64"/>
  <c r="AA36" i="64"/>
  <c r="Z36" i="64"/>
  <c r="Y36" i="64"/>
  <c r="X36" i="64"/>
  <c r="W36" i="64"/>
  <c r="V36" i="64"/>
  <c r="U36" i="64"/>
  <c r="T36" i="64"/>
  <c r="S36" i="64"/>
  <c r="R36" i="64"/>
  <c r="Q36" i="64"/>
  <c r="P36" i="64"/>
  <c r="O36" i="64"/>
  <c r="N36" i="64"/>
  <c r="M36" i="64"/>
  <c r="L36" i="64"/>
  <c r="K36" i="64"/>
  <c r="J36" i="64"/>
  <c r="I36" i="64"/>
  <c r="H36" i="64"/>
  <c r="G36" i="64"/>
  <c r="AX35" i="64"/>
  <c r="AW35" i="64"/>
  <c r="AV35" i="64"/>
  <c r="AU35" i="64"/>
  <c r="AT35" i="64"/>
  <c r="AS35" i="64"/>
  <c r="AR35" i="64"/>
  <c r="AQ35" i="64"/>
  <c r="AP35" i="64"/>
  <c r="AO35" i="64"/>
  <c r="AN35" i="64"/>
  <c r="AM35" i="64"/>
  <c r="AL35" i="64"/>
  <c r="AK35" i="64"/>
  <c r="AJ35" i="64"/>
  <c r="AI35" i="64"/>
  <c r="AH35" i="64"/>
  <c r="AG35" i="64"/>
  <c r="AF35" i="64"/>
  <c r="AE35" i="64"/>
  <c r="AD35" i="64"/>
  <c r="AC35" i="64"/>
  <c r="AB35" i="64"/>
  <c r="AA35" i="64"/>
  <c r="Z35" i="64"/>
  <c r="Y35" i="64"/>
  <c r="X35" i="64"/>
  <c r="W35" i="64"/>
  <c r="V35" i="64"/>
  <c r="U35" i="64"/>
  <c r="T35" i="64"/>
  <c r="S35" i="64"/>
  <c r="R35" i="64"/>
  <c r="Q35" i="64"/>
  <c r="P35" i="64"/>
  <c r="O35" i="64"/>
  <c r="N35" i="64"/>
  <c r="M35" i="64"/>
  <c r="L35" i="64"/>
  <c r="K35" i="64"/>
  <c r="J35" i="64"/>
  <c r="I35" i="64"/>
  <c r="H35" i="64"/>
  <c r="G35" i="64"/>
  <c r="AX34" i="64"/>
  <c r="AW34" i="64"/>
  <c r="AV34" i="64"/>
  <c r="AU34" i="64"/>
  <c r="AT34" i="64"/>
  <c r="AS34" i="64"/>
  <c r="AR34" i="64"/>
  <c r="AQ34" i="64"/>
  <c r="AP34" i="64"/>
  <c r="AO34" i="64"/>
  <c r="AN34" i="64"/>
  <c r="AM34" i="64"/>
  <c r="AL34" i="64"/>
  <c r="AK34" i="64"/>
  <c r="AJ34" i="64"/>
  <c r="AI34" i="64"/>
  <c r="AH34" i="64"/>
  <c r="AG34" i="64"/>
  <c r="AF34" i="64"/>
  <c r="AE34" i="64"/>
  <c r="AD34" i="64"/>
  <c r="AC34" i="64"/>
  <c r="AB34" i="64"/>
  <c r="AA34" i="64"/>
  <c r="Z34" i="64"/>
  <c r="Y34" i="64"/>
  <c r="X34" i="64"/>
  <c r="W34" i="64"/>
  <c r="V34" i="64"/>
  <c r="U34" i="64"/>
  <c r="T34" i="64"/>
  <c r="S34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AX31" i="64"/>
  <c r="AW31" i="64"/>
  <c r="AV31" i="64"/>
  <c r="AU31" i="64"/>
  <c r="AT31" i="64"/>
  <c r="AS31" i="64"/>
  <c r="AR31" i="64"/>
  <c r="AQ31" i="64"/>
  <c r="AP31" i="64"/>
  <c r="AO31" i="64"/>
  <c r="AN31" i="64"/>
  <c r="AM31" i="64"/>
  <c r="AL31" i="64"/>
  <c r="AK31" i="64"/>
  <c r="AJ31" i="64"/>
  <c r="AI31" i="64"/>
  <c r="AH31" i="64"/>
  <c r="AG31" i="64"/>
  <c r="AF31" i="64"/>
  <c r="AE31" i="64"/>
  <c r="AD31" i="64"/>
  <c r="AC31" i="64"/>
  <c r="AB31" i="64"/>
  <c r="AA31" i="64"/>
  <c r="Z31" i="64"/>
  <c r="Y31" i="64"/>
  <c r="X31" i="64"/>
  <c r="W31" i="64"/>
  <c r="V31" i="64"/>
  <c r="U31" i="64"/>
  <c r="T31" i="64"/>
  <c r="S31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AX30" i="64"/>
  <c r="AW30" i="64"/>
  <c r="AV30" i="64"/>
  <c r="AU30" i="64"/>
  <c r="AT30" i="64"/>
  <c r="AS30" i="64"/>
  <c r="AR30" i="64"/>
  <c r="AQ30" i="64"/>
  <c r="AP30" i="64"/>
  <c r="AO30" i="64"/>
  <c r="AN30" i="64"/>
  <c r="AM30" i="64"/>
  <c r="AL30" i="64"/>
  <c r="AK30" i="64"/>
  <c r="AJ30" i="64"/>
  <c r="AI30" i="64"/>
  <c r="AH30" i="64"/>
  <c r="AG30" i="64"/>
  <c r="AF30" i="64"/>
  <c r="AE30" i="64"/>
  <c r="AD30" i="64"/>
  <c r="AC30" i="64"/>
  <c r="AB30" i="64"/>
  <c r="AA30" i="64"/>
  <c r="Z30" i="64"/>
  <c r="Y30" i="64"/>
  <c r="X30" i="64"/>
  <c r="W30" i="64"/>
  <c r="V30" i="64"/>
  <c r="U30" i="64"/>
  <c r="T30" i="64"/>
  <c r="S30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AX29" i="64"/>
  <c r="AW29" i="64"/>
  <c r="AV29" i="64"/>
  <c r="AU29" i="64"/>
  <c r="AT29" i="64"/>
  <c r="AS29" i="64"/>
  <c r="AR29" i="64"/>
  <c r="AQ29" i="64"/>
  <c r="AP29" i="64"/>
  <c r="AO29" i="64"/>
  <c r="AN29" i="64"/>
  <c r="AM29" i="64"/>
  <c r="AL29" i="64"/>
  <c r="AK29" i="64"/>
  <c r="AJ29" i="64"/>
  <c r="AI29" i="64"/>
  <c r="AH29" i="64"/>
  <c r="AG29" i="64"/>
  <c r="AF29" i="64"/>
  <c r="AE29" i="64"/>
  <c r="AD29" i="64"/>
  <c r="AC29" i="64"/>
  <c r="AB29" i="64"/>
  <c r="AA29" i="64"/>
  <c r="Z29" i="64"/>
  <c r="Y29" i="64"/>
  <c r="X29" i="64"/>
  <c r="W29" i="64"/>
  <c r="V29" i="64"/>
  <c r="U29" i="64"/>
  <c r="T29" i="64"/>
  <c r="S29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AX28" i="64"/>
  <c r="AW28" i="64"/>
  <c r="AV28" i="64"/>
  <c r="AU28" i="64"/>
  <c r="AT28" i="64"/>
  <c r="AS28" i="64"/>
  <c r="AR28" i="64"/>
  <c r="AQ28" i="64"/>
  <c r="AP28" i="64"/>
  <c r="AO28" i="64"/>
  <c r="AN28" i="64"/>
  <c r="AM28" i="64"/>
  <c r="AL28" i="64"/>
  <c r="AK28" i="64"/>
  <c r="AJ28" i="64"/>
  <c r="AI28" i="64"/>
  <c r="AH28" i="64"/>
  <c r="AG28" i="64"/>
  <c r="AF28" i="64"/>
  <c r="AE28" i="64"/>
  <c r="AD28" i="64"/>
  <c r="AC28" i="64"/>
  <c r="AB28" i="64"/>
  <c r="AA28" i="64"/>
  <c r="Z28" i="64"/>
  <c r="Y28" i="64"/>
  <c r="X28" i="64"/>
  <c r="W28" i="64"/>
  <c r="V28" i="64"/>
  <c r="U28" i="64"/>
  <c r="T28" i="64"/>
  <c r="S28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AX27" i="64"/>
  <c r="AW27" i="64"/>
  <c r="AV27" i="64"/>
  <c r="AU27" i="64"/>
  <c r="AT27" i="64"/>
  <c r="AS27" i="64"/>
  <c r="AR27" i="64"/>
  <c r="AQ27" i="64"/>
  <c r="AP27" i="64"/>
  <c r="AO27" i="64"/>
  <c r="AN27" i="64"/>
  <c r="AM27" i="64"/>
  <c r="AL27" i="64"/>
  <c r="AK27" i="64"/>
  <c r="AJ27" i="64"/>
  <c r="AI27" i="64"/>
  <c r="AH27" i="64"/>
  <c r="AG27" i="64"/>
  <c r="AF27" i="64"/>
  <c r="AE27" i="64"/>
  <c r="AD27" i="64"/>
  <c r="AC27" i="64"/>
  <c r="AB27" i="64"/>
  <c r="AA27" i="64"/>
  <c r="Z27" i="64"/>
  <c r="Y27" i="64"/>
  <c r="X27" i="64"/>
  <c r="W27" i="64"/>
  <c r="V27" i="64"/>
  <c r="U27" i="64"/>
  <c r="T27" i="64"/>
  <c r="S27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AX26" i="64"/>
  <c r="AW26" i="64"/>
  <c r="AV26" i="64"/>
  <c r="AU26" i="64"/>
  <c r="AT26" i="64"/>
  <c r="AS26" i="64"/>
  <c r="AR26" i="64"/>
  <c r="AQ26" i="64"/>
  <c r="AP26" i="64"/>
  <c r="AO26" i="64"/>
  <c r="AN26" i="64"/>
  <c r="AM26" i="64"/>
  <c r="AL26" i="64"/>
  <c r="AK26" i="64"/>
  <c r="AJ26" i="64"/>
  <c r="AI26" i="64"/>
  <c r="AH26" i="64"/>
  <c r="AG26" i="64"/>
  <c r="AF26" i="64"/>
  <c r="AE26" i="64"/>
  <c r="AD26" i="64"/>
  <c r="AC26" i="64"/>
  <c r="AB26" i="64"/>
  <c r="AA26" i="64"/>
  <c r="Z26" i="64"/>
  <c r="Y26" i="64"/>
  <c r="X26" i="64"/>
  <c r="W26" i="64"/>
  <c r="V26" i="64"/>
  <c r="U26" i="64"/>
  <c r="T26" i="64"/>
  <c r="S26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AX25" i="64"/>
  <c r="AW25" i="64"/>
  <c r="AV25" i="64"/>
  <c r="AU25" i="64"/>
  <c r="AT25" i="64"/>
  <c r="AS25" i="64"/>
  <c r="AR25" i="64"/>
  <c r="AQ25" i="64"/>
  <c r="AP25" i="64"/>
  <c r="AO25" i="64"/>
  <c r="AN25" i="64"/>
  <c r="AM25" i="64"/>
  <c r="AL25" i="64"/>
  <c r="AK25" i="64"/>
  <c r="AJ25" i="64"/>
  <c r="AI25" i="64"/>
  <c r="AH25" i="64"/>
  <c r="AG25" i="64"/>
  <c r="AF25" i="64"/>
  <c r="AE25" i="64"/>
  <c r="AD25" i="64"/>
  <c r="AC25" i="64"/>
  <c r="AB25" i="64"/>
  <c r="AA25" i="64"/>
  <c r="Z25" i="64"/>
  <c r="Y25" i="64"/>
  <c r="X25" i="64"/>
  <c r="W25" i="64"/>
  <c r="V25" i="64"/>
  <c r="U25" i="64"/>
  <c r="T25" i="64"/>
  <c r="S25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AX24" i="64"/>
  <c r="AW24" i="64"/>
  <c r="AV24" i="64"/>
  <c r="AU24" i="64"/>
  <c r="AT24" i="64"/>
  <c r="AS24" i="64"/>
  <c r="AR24" i="64"/>
  <c r="AQ24" i="64"/>
  <c r="AP24" i="64"/>
  <c r="AO24" i="64"/>
  <c r="AN24" i="64"/>
  <c r="AM24" i="64"/>
  <c r="AL24" i="64"/>
  <c r="AK24" i="64"/>
  <c r="AJ24" i="64"/>
  <c r="AI24" i="64"/>
  <c r="AH24" i="64"/>
  <c r="AG24" i="64"/>
  <c r="AF24" i="64"/>
  <c r="AE24" i="64"/>
  <c r="AD24" i="64"/>
  <c r="AC24" i="64"/>
  <c r="AB24" i="64"/>
  <c r="AA24" i="64"/>
  <c r="Z24" i="64"/>
  <c r="Y24" i="64"/>
  <c r="X24" i="64"/>
  <c r="W24" i="64"/>
  <c r="V24" i="64"/>
  <c r="U24" i="64"/>
  <c r="T24" i="64"/>
  <c r="S24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AX23" i="64"/>
  <c r="AW23" i="64"/>
  <c r="AV23" i="64"/>
  <c r="AU23" i="64"/>
  <c r="AT23" i="64"/>
  <c r="AS23" i="64"/>
  <c r="AR23" i="64"/>
  <c r="AQ23" i="64"/>
  <c r="AP23" i="64"/>
  <c r="AO23" i="64"/>
  <c r="AN23" i="64"/>
  <c r="AM23" i="64"/>
  <c r="AL23" i="64"/>
  <c r="AK23" i="64"/>
  <c r="AJ23" i="64"/>
  <c r="AI23" i="64"/>
  <c r="AH23" i="64"/>
  <c r="AG23" i="64"/>
  <c r="AF23" i="64"/>
  <c r="AE23" i="64"/>
  <c r="AD23" i="64"/>
  <c r="AC23" i="64"/>
  <c r="AB23" i="64"/>
  <c r="AA23" i="64"/>
  <c r="Z23" i="64"/>
  <c r="Y23" i="64"/>
  <c r="X23" i="64"/>
  <c r="W23" i="64"/>
  <c r="V23" i="64"/>
  <c r="U23" i="64"/>
  <c r="T23" i="64"/>
  <c r="S23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AX22" i="64"/>
  <c r="AW22" i="64"/>
  <c r="AV22" i="64"/>
  <c r="AU22" i="64"/>
  <c r="AT22" i="64"/>
  <c r="AS22" i="64"/>
  <c r="AR22" i="64"/>
  <c r="AQ22" i="64"/>
  <c r="AP22" i="64"/>
  <c r="AO22" i="64"/>
  <c r="AN22" i="64"/>
  <c r="AM22" i="64"/>
  <c r="AL22" i="64"/>
  <c r="AK22" i="64"/>
  <c r="AJ22" i="64"/>
  <c r="AI22" i="64"/>
  <c r="AH22" i="64"/>
  <c r="AG22" i="64"/>
  <c r="AF22" i="64"/>
  <c r="AE22" i="64"/>
  <c r="AD22" i="64"/>
  <c r="AC22" i="64"/>
  <c r="AB22" i="64"/>
  <c r="AA22" i="64"/>
  <c r="Z22" i="64"/>
  <c r="Y22" i="64"/>
  <c r="X22" i="64"/>
  <c r="W22" i="64"/>
  <c r="V22" i="64"/>
  <c r="U22" i="64"/>
  <c r="T22" i="64"/>
  <c r="S22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AX21" i="64"/>
  <c r="AW21" i="64"/>
  <c r="AV21" i="64"/>
  <c r="AU21" i="64"/>
  <c r="AT21" i="64"/>
  <c r="AS21" i="64"/>
  <c r="AR21" i="64"/>
  <c r="AQ21" i="64"/>
  <c r="AP21" i="64"/>
  <c r="AO21" i="64"/>
  <c r="AN21" i="64"/>
  <c r="AM21" i="64"/>
  <c r="AL21" i="64"/>
  <c r="AK21" i="64"/>
  <c r="AJ21" i="64"/>
  <c r="AI21" i="64"/>
  <c r="AH21" i="64"/>
  <c r="AG21" i="64"/>
  <c r="AF21" i="64"/>
  <c r="AE21" i="64"/>
  <c r="AD21" i="64"/>
  <c r="AC21" i="64"/>
  <c r="AB21" i="64"/>
  <c r="AA21" i="64"/>
  <c r="Z21" i="64"/>
  <c r="Y21" i="64"/>
  <c r="X21" i="64"/>
  <c r="W21" i="64"/>
  <c r="V21" i="64"/>
  <c r="U21" i="64"/>
  <c r="T21" i="64"/>
  <c r="S21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AX20" i="64"/>
  <c r="AW20" i="64"/>
  <c r="AV20" i="64"/>
  <c r="AU20" i="64"/>
  <c r="AT20" i="64"/>
  <c r="AS20" i="64"/>
  <c r="AR20" i="64"/>
  <c r="AQ20" i="64"/>
  <c r="AP20" i="64"/>
  <c r="AO20" i="64"/>
  <c r="AN20" i="64"/>
  <c r="AM20" i="64"/>
  <c r="AL20" i="64"/>
  <c r="AK20" i="64"/>
  <c r="AJ20" i="64"/>
  <c r="AI20" i="64"/>
  <c r="AH20" i="64"/>
  <c r="AG20" i="64"/>
  <c r="AF20" i="64"/>
  <c r="AE20" i="64"/>
  <c r="AD20" i="64"/>
  <c r="AC20" i="64"/>
  <c r="AB20" i="64"/>
  <c r="AA20" i="64"/>
  <c r="Z20" i="64"/>
  <c r="Y20" i="64"/>
  <c r="X20" i="64"/>
  <c r="W20" i="64"/>
  <c r="V20" i="64"/>
  <c r="U20" i="64"/>
  <c r="T20" i="64"/>
  <c r="S20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AX19" i="64"/>
  <c r="AW19" i="64"/>
  <c r="AV19" i="64"/>
  <c r="AU19" i="64"/>
  <c r="AT19" i="64"/>
  <c r="AS19" i="64"/>
  <c r="AR19" i="64"/>
  <c r="AQ19" i="64"/>
  <c r="AP19" i="64"/>
  <c r="AO19" i="64"/>
  <c r="AN19" i="64"/>
  <c r="AM19" i="64"/>
  <c r="AL19" i="64"/>
  <c r="AK19" i="64"/>
  <c r="AJ19" i="64"/>
  <c r="AI19" i="64"/>
  <c r="AH19" i="64"/>
  <c r="AG19" i="64"/>
  <c r="AF19" i="64"/>
  <c r="AE19" i="64"/>
  <c r="AD19" i="64"/>
  <c r="AC19" i="64"/>
  <c r="AB19" i="64"/>
  <c r="AA19" i="64"/>
  <c r="Z19" i="64"/>
  <c r="Y19" i="64"/>
  <c r="X19" i="64"/>
  <c r="W19" i="64"/>
  <c r="V19" i="64"/>
  <c r="U19" i="64"/>
  <c r="T19" i="64"/>
  <c r="S19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AX18" i="64"/>
  <c r="AW18" i="64"/>
  <c r="AV18" i="64"/>
  <c r="AU18" i="64"/>
  <c r="AT18" i="64"/>
  <c r="AS18" i="64"/>
  <c r="AR18" i="64"/>
  <c r="AQ18" i="64"/>
  <c r="AP18" i="64"/>
  <c r="AO18" i="64"/>
  <c r="AN18" i="64"/>
  <c r="AM18" i="64"/>
  <c r="AL18" i="64"/>
  <c r="AK18" i="64"/>
  <c r="AJ18" i="64"/>
  <c r="AI18" i="64"/>
  <c r="AH18" i="64"/>
  <c r="AG18" i="64"/>
  <c r="AF18" i="64"/>
  <c r="AE18" i="64"/>
  <c r="AD18" i="64"/>
  <c r="AC18" i="64"/>
  <c r="AB18" i="64"/>
  <c r="AA18" i="64"/>
  <c r="Z18" i="64"/>
  <c r="Y18" i="64"/>
  <c r="X18" i="64"/>
  <c r="W18" i="64"/>
  <c r="V18" i="64"/>
  <c r="U18" i="64"/>
  <c r="T18" i="64"/>
  <c r="S18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AX17" i="64"/>
  <c r="AW17" i="64"/>
  <c r="AV17" i="64"/>
  <c r="AU17" i="64"/>
  <c r="AT17" i="64"/>
  <c r="AS17" i="64"/>
  <c r="AR17" i="64"/>
  <c r="AQ17" i="64"/>
  <c r="AP17" i="64"/>
  <c r="AO17" i="64"/>
  <c r="AN17" i="64"/>
  <c r="AM17" i="64"/>
  <c r="AL17" i="64"/>
  <c r="AK17" i="64"/>
  <c r="AJ17" i="64"/>
  <c r="AI17" i="64"/>
  <c r="AH17" i="64"/>
  <c r="AG17" i="64"/>
  <c r="AF17" i="64"/>
  <c r="AE17" i="64"/>
  <c r="AD17" i="64"/>
  <c r="AC17" i="64"/>
  <c r="AB17" i="64"/>
  <c r="AA17" i="64"/>
  <c r="Z17" i="64"/>
  <c r="Y17" i="64"/>
  <c r="X17" i="64"/>
  <c r="W17" i="64"/>
  <c r="V17" i="64"/>
  <c r="U17" i="64"/>
  <c r="T17" i="64"/>
  <c r="S17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AX16" i="64"/>
  <c r="AW16" i="64"/>
  <c r="AV16" i="64"/>
  <c r="AU16" i="64"/>
  <c r="AT16" i="64"/>
  <c r="AS16" i="64"/>
  <c r="AR16" i="64"/>
  <c r="AQ16" i="64"/>
  <c r="AP16" i="64"/>
  <c r="AO16" i="64"/>
  <c r="AN16" i="64"/>
  <c r="AM16" i="64"/>
  <c r="AL16" i="64"/>
  <c r="AK16" i="64"/>
  <c r="AJ16" i="64"/>
  <c r="AI16" i="64"/>
  <c r="AH16" i="64"/>
  <c r="AG16" i="64"/>
  <c r="AF16" i="64"/>
  <c r="AE16" i="64"/>
  <c r="AD16" i="64"/>
  <c r="AC16" i="64"/>
  <c r="AB16" i="64"/>
  <c r="AA16" i="64"/>
  <c r="Z16" i="64"/>
  <c r="Y16" i="64"/>
  <c r="X16" i="64"/>
  <c r="W16" i="64"/>
  <c r="V16" i="64"/>
  <c r="U16" i="64"/>
  <c r="T16" i="64"/>
  <c r="S16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AX12" i="64"/>
  <c r="AW12" i="64"/>
  <c r="AV12" i="64"/>
  <c r="AU12" i="64"/>
  <c r="AT12" i="64"/>
  <c r="AS12" i="64"/>
  <c r="AR12" i="64"/>
  <c r="AQ12" i="64"/>
  <c r="AP12" i="64"/>
  <c r="AO12" i="64"/>
  <c r="AN12" i="64"/>
  <c r="AM12" i="64"/>
  <c r="AL12" i="64"/>
  <c r="AK12" i="64"/>
  <c r="AJ12" i="64"/>
  <c r="AI12" i="64"/>
  <c r="AH12" i="64"/>
  <c r="AG12" i="64"/>
  <c r="AF12" i="64"/>
  <c r="AE12" i="64"/>
  <c r="AD12" i="64"/>
  <c r="AC12" i="64"/>
  <c r="AB12" i="64"/>
  <c r="AA12" i="64"/>
  <c r="Z12" i="64"/>
  <c r="Y12" i="64"/>
  <c r="X12" i="64"/>
  <c r="W12" i="64"/>
  <c r="V12" i="64"/>
  <c r="U12" i="64"/>
  <c r="T12" i="64"/>
  <c r="S12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AX11" i="64"/>
  <c r="AW11" i="64"/>
  <c r="AV11" i="64"/>
  <c r="AU11" i="64"/>
  <c r="AT11" i="64"/>
  <c r="AS11" i="64"/>
  <c r="AR11" i="64"/>
  <c r="AQ11" i="64"/>
  <c r="AP11" i="64"/>
  <c r="AO11" i="64"/>
  <c r="AN11" i="64"/>
  <c r="AM11" i="64"/>
  <c r="AL11" i="64"/>
  <c r="AK11" i="64"/>
  <c r="AJ11" i="64"/>
  <c r="AI11" i="64"/>
  <c r="AH11" i="64"/>
  <c r="AG11" i="64"/>
  <c r="AF11" i="64"/>
  <c r="AE11" i="64"/>
  <c r="AD11" i="64"/>
  <c r="AC11" i="64"/>
  <c r="AB11" i="64"/>
  <c r="AA11" i="64"/>
  <c r="Z11" i="64"/>
  <c r="Y11" i="64"/>
  <c r="X11" i="64"/>
  <c r="W11" i="64"/>
  <c r="V11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I11" i="64"/>
  <c r="H11" i="64"/>
  <c r="G11" i="64"/>
  <c r="AX10" i="64"/>
  <c r="AW10" i="64"/>
  <c r="AV10" i="64"/>
  <c r="AU10" i="64"/>
  <c r="AT10" i="64"/>
  <c r="AS10" i="64"/>
  <c r="AR10" i="64"/>
  <c r="AQ10" i="64"/>
  <c r="AP10" i="64"/>
  <c r="AO10" i="64"/>
  <c r="AN10" i="64"/>
  <c r="AM10" i="64"/>
  <c r="AL10" i="64"/>
  <c r="AV88" i="41" s="1"/>
  <c r="AV89" i="41" s="1"/>
  <c r="AK10" i="64"/>
  <c r="AU88" i="41" s="1"/>
  <c r="AU89" i="41" s="1"/>
  <c r="AJ10" i="64"/>
  <c r="AS88" i="41" s="1"/>
  <c r="AI10" i="64"/>
  <c r="AH10" i="64"/>
  <c r="AG10" i="64"/>
  <c r="AP88" i="41" s="1"/>
  <c r="AF10" i="64"/>
  <c r="AE10" i="64"/>
  <c r="AD10" i="64"/>
  <c r="AC10" i="64"/>
  <c r="AB10" i="64"/>
  <c r="AA10" i="64"/>
  <c r="Z10" i="64"/>
  <c r="Y10" i="64"/>
  <c r="X10" i="64"/>
  <c r="W10" i="64"/>
  <c r="V10" i="64"/>
  <c r="U10" i="64"/>
  <c r="T10" i="64"/>
  <c r="S10" i="64"/>
  <c r="R10" i="64"/>
  <c r="Q10" i="64"/>
  <c r="P10" i="64"/>
  <c r="O10" i="64"/>
  <c r="N10" i="64"/>
  <c r="M10" i="64"/>
  <c r="L10" i="64"/>
  <c r="K10" i="64"/>
  <c r="J10" i="64"/>
  <c r="I10" i="64"/>
  <c r="H10" i="64"/>
  <c r="G10" i="64"/>
  <c r="AX9" i="64"/>
  <c r="AW9" i="64"/>
  <c r="AV9" i="64"/>
  <c r="AU9" i="64"/>
  <c r="AT9" i="64"/>
  <c r="AS9" i="64"/>
  <c r="AR9" i="64"/>
  <c r="AQ9" i="64"/>
  <c r="AP9" i="64"/>
  <c r="AO9" i="64"/>
  <c r="AN9" i="64"/>
  <c r="AM9" i="64"/>
  <c r="AL9" i="64"/>
  <c r="AV84" i="41" s="1"/>
  <c r="AK9" i="64"/>
  <c r="AU84" i="41" s="1"/>
  <c r="AJ9" i="64"/>
  <c r="AS84" i="41" s="1"/>
  <c r="AI9" i="64"/>
  <c r="AH9" i="64"/>
  <c r="AG9" i="64"/>
  <c r="AP84" i="41" s="1"/>
  <c r="AF9" i="64"/>
  <c r="AE9" i="64"/>
  <c r="AD9" i="64"/>
  <c r="AC9" i="64"/>
  <c r="AB9" i="64"/>
  <c r="AA9" i="64"/>
  <c r="Z9" i="64"/>
  <c r="Y9" i="64"/>
  <c r="X9" i="64"/>
  <c r="W9" i="64"/>
  <c r="V9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G9" i="64"/>
  <c r="AX8" i="64"/>
  <c r="AW8" i="64"/>
  <c r="AV8" i="64"/>
  <c r="AU8" i="64"/>
  <c r="AT8" i="64"/>
  <c r="AS8" i="64"/>
  <c r="AR8" i="64"/>
  <c r="AQ8" i="64"/>
  <c r="AP8" i="64"/>
  <c r="AO8" i="64"/>
  <c r="AN8" i="64"/>
  <c r="AM8" i="64"/>
  <c r="AL8" i="64"/>
  <c r="AV53" i="41" s="1"/>
  <c r="AK8" i="64"/>
  <c r="AJ8" i="64"/>
  <c r="AI8" i="64"/>
  <c r="AH8" i="64"/>
  <c r="AG8" i="64"/>
  <c r="AF8" i="64"/>
  <c r="AE8" i="64"/>
  <c r="AD8" i="64"/>
  <c r="AC8" i="64"/>
  <c r="AB8" i="64"/>
  <c r="AA8" i="64"/>
  <c r="Z8" i="64"/>
  <c r="Y8" i="64"/>
  <c r="X8" i="64"/>
  <c r="W8" i="64"/>
  <c r="V8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G8" i="64"/>
  <c r="AV85" i="41" l="1"/>
  <c r="AV86" i="41"/>
  <c r="AS89" i="41"/>
  <c r="AV68" i="41"/>
  <c r="AV67" i="41"/>
  <c r="AV64" i="41"/>
  <c r="AV63" i="41"/>
  <c r="AS203" i="41"/>
  <c r="AU85" i="41"/>
  <c r="AU86" i="41"/>
  <c r="AU306" i="41" s="1"/>
  <c r="AS86" i="41"/>
  <c r="AS306" i="41" s="1"/>
  <c r="AS85" i="41"/>
  <c r="DG256" i="51"/>
  <c r="DF256" i="51"/>
  <c r="DE256" i="51"/>
  <c r="DD256" i="51"/>
  <c r="DB256" i="51"/>
  <c r="DA256" i="51"/>
  <c r="CZ256" i="51"/>
  <c r="CY256" i="51"/>
  <c r="CW256" i="51"/>
  <c r="CV256" i="51"/>
  <c r="CU256" i="51"/>
  <c r="CT256" i="51"/>
  <c r="CR256" i="51"/>
  <c r="CQ256" i="51"/>
  <c r="CP256" i="51"/>
  <c r="CO256" i="51"/>
  <c r="CM256" i="51"/>
  <c r="CL256" i="51"/>
  <c r="CK256" i="51"/>
  <c r="CJ256" i="51"/>
  <c r="CH256" i="51"/>
  <c r="CG256" i="51"/>
  <c r="CF256" i="51"/>
  <c r="CE256" i="51"/>
  <c r="CC256" i="51"/>
  <c r="CB256" i="51"/>
  <c r="CA256" i="51"/>
  <c r="BZ256" i="51"/>
  <c r="BX256" i="51"/>
  <c r="BW256" i="51"/>
  <c r="BV256" i="51"/>
  <c r="BU256" i="51"/>
  <c r="BT256" i="51"/>
  <c r="BY256" i="51" s="1"/>
  <c r="CD256" i="51" s="1"/>
  <c r="CI256" i="51" s="1"/>
  <c r="CN256" i="51" s="1"/>
  <c r="CS256" i="51" s="1"/>
  <c r="CX256" i="51" s="1"/>
  <c r="DC256" i="51" s="1"/>
  <c r="DH256" i="51" s="1"/>
  <c r="BS256" i="51"/>
  <c r="BR256" i="51"/>
  <c r="BQ256" i="51"/>
  <c r="BP256" i="51"/>
  <c r="BD256" i="51"/>
  <c r="BC256" i="51" s="1"/>
  <c r="AY256" i="51"/>
  <c r="AX256" i="51" s="1"/>
  <c r="AT256" i="51"/>
  <c r="AS256" i="51" s="1"/>
  <c r="AO256" i="51"/>
  <c r="AN256" i="51" s="1"/>
  <c r="AJ256" i="51"/>
  <c r="AI256" i="51" s="1"/>
  <c r="AE256" i="51"/>
  <c r="AD256" i="51" s="1"/>
  <c r="Z256" i="51"/>
  <c r="Y256" i="51" s="1"/>
  <c r="U256" i="51"/>
  <c r="S256" i="51" s="1"/>
  <c r="P256" i="51"/>
  <c r="O256" i="51" s="1"/>
  <c r="BI256" i="51"/>
  <c r="E114" i="51"/>
  <c r="AV69" i="41" l="1"/>
  <c r="AV65" i="41"/>
  <c r="AU311" i="41"/>
  <c r="AU331" i="41"/>
  <c r="AS331" i="41"/>
  <c r="AS311" i="41"/>
  <c r="V256" i="51"/>
  <c r="L256" i="51"/>
  <c r="X256" i="51"/>
  <c r="AG256" i="51"/>
  <c r="AF256" i="51"/>
  <c r="AK256" i="51"/>
  <c r="AH256" i="51"/>
  <c r="AR256" i="51"/>
  <c r="BB256" i="51"/>
  <c r="AP256" i="51"/>
  <c r="AZ256" i="51"/>
  <c r="N256" i="51"/>
  <c r="M256" i="51"/>
  <c r="W256" i="51"/>
  <c r="AA256" i="51"/>
  <c r="AQ256" i="51"/>
  <c r="BA256" i="51"/>
  <c r="AU256" i="51"/>
  <c r="AC256" i="51"/>
  <c r="AM256" i="51"/>
  <c r="AW256" i="51"/>
  <c r="DM256" i="51"/>
  <c r="BG256" i="51"/>
  <c r="BE256" i="51"/>
  <c r="BH256" i="51"/>
  <c r="BF256" i="51"/>
  <c r="DL256" i="51"/>
  <c r="DK256" i="51"/>
  <c r="R256" i="51"/>
  <c r="T256" i="51"/>
  <c r="AB256" i="51"/>
  <c r="AL256" i="51"/>
  <c r="AV256" i="51"/>
  <c r="Q256" i="51"/>
  <c r="DG114" i="51"/>
  <c r="DF114" i="51"/>
  <c r="DE114" i="51"/>
  <c r="DD114" i="51"/>
  <c r="DB114" i="51"/>
  <c r="DA114" i="51"/>
  <c r="CZ114" i="51"/>
  <c r="CY114" i="51"/>
  <c r="CW114" i="51"/>
  <c r="CV114" i="51"/>
  <c r="CU114" i="51"/>
  <c r="CT114" i="51"/>
  <c r="CR114" i="51"/>
  <c r="CQ114" i="51"/>
  <c r="CP114" i="51"/>
  <c r="CO114" i="51"/>
  <c r="CM114" i="51"/>
  <c r="CL114" i="51"/>
  <c r="CK114" i="51"/>
  <c r="CJ114" i="51"/>
  <c r="CH114" i="51"/>
  <c r="CG114" i="51"/>
  <c r="CF114" i="51"/>
  <c r="CE114" i="51"/>
  <c r="CC114" i="51"/>
  <c r="CB114" i="51"/>
  <c r="CA114" i="51"/>
  <c r="BZ114" i="51"/>
  <c r="BX114" i="51"/>
  <c r="BW114" i="51"/>
  <c r="BV114" i="51"/>
  <c r="BU114" i="51"/>
  <c r="BT114" i="51"/>
  <c r="BY114" i="51" s="1"/>
  <c r="CD114" i="51" s="1"/>
  <c r="CI114" i="51" s="1"/>
  <c r="CN114" i="51" s="1"/>
  <c r="CS114" i="51" s="1"/>
  <c r="CX114" i="51" s="1"/>
  <c r="DC114" i="51" s="1"/>
  <c r="DH114" i="51" s="1"/>
  <c r="DM114" i="51" s="1"/>
  <c r="BS114" i="51"/>
  <c r="BR114" i="51"/>
  <c r="BQ114" i="51"/>
  <c r="BP114" i="51"/>
  <c r="BN114" i="51"/>
  <c r="BM114" i="51" s="1"/>
  <c r="BD114" i="51"/>
  <c r="BC114" i="51" s="1"/>
  <c r="AY114" i="51"/>
  <c r="AX114" i="51" s="1"/>
  <c r="AT114" i="51"/>
  <c r="AS114" i="51" s="1"/>
  <c r="AO114" i="51"/>
  <c r="AN114" i="51" s="1"/>
  <c r="AJ114" i="51"/>
  <c r="AI114" i="51" s="1"/>
  <c r="AE114" i="51"/>
  <c r="AD114" i="51" s="1"/>
  <c r="Z114" i="51"/>
  <c r="Y114" i="51" s="1"/>
  <c r="U114" i="51"/>
  <c r="T114" i="51" s="1"/>
  <c r="P114" i="51"/>
  <c r="O114" i="51" s="1"/>
  <c r="BI114" i="51"/>
  <c r="E42" i="51"/>
  <c r="BN42" i="51" s="1"/>
  <c r="BM42" i="51" s="1"/>
  <c r="DG42" i="51"/>
  <c r="DF42" i="51"/>
  <c r="DE42" i="51"/>
  <c r="DD42" i="51"/>
  <c r="DB42" i="51"/>
  <c r="DA42" i="51"/>
  <c r="CZ42" i="51"/>
  <c r="CY42" i="51"/>
  <c r="CW42" i="51"/>
  <c r="CV42" i="51"/>
  <c r="CU42" i="51"/>
  <c r="CT42" i="51"/>
  <c r="CR42" i="51"/>
  <c r="CQ42" i="51"/>
  <c r="CP42" i="51"/>
  <c r="CO42" i="51"/>
  <c r="CM42" i="51"/>
  <c r="CL42" i="51"/>
  <c r="CK42" i="51"/>
  <c r="CJ42" i="51"/>
  <c r="CH42" i="51"/>
  <c r="CG42" i="51"/>
  <c r="CF42" i="51"/>
  <c r="CE42" i="51"/>
  <c r="CC42" i="51"/>
  <c r="CB42" i="51"/>
  <c r="CA42" i="51"/>
  <c r="BZ42" i="51"/>
  <c r="BX42" i="51"/>
  <c r="BW42" i="51"/>
  <c r="BV42" i="51"/>
  <c r="BU42" i="51"/>
  <c r="BT42" i="51"/>
  <c r="BY42" i="51" s="1"/>
  <c r="CD42" i="51" s="1"/>
  <c r="CI42" i="51" s="1"/>
  <c r="CN42" i="51" s="1"/>
  <c r="CS42" i="51" s="1"/>
  <c r="CX42" i="51" s="1"/>
  <c r="DC42" i="51" s="1"/>
  <c r="DH42" i="51" s="1"/>
  <c r="DM42" i="51" s="1"/>
  <c r="BS42" i="51"/>
  <c r="BR42" i="51"/>
  <c r="BQ42" i="51"/>
  <c r="BP42" i="51"/>
  <c r="BD42" i="51"/>
  <c r="BC42" i="51" s="1"/>
  <c r="AY42" i="51"/>
  <c r="AX42" i="51" s="1"/>
  <c r="AT42" i="51"/>
  <c r="AS42" i="51" s="1"/>
  <c r="AO42" i="51"/>
  <c r="AN42" i="51" s="1"/>
  <c r="AJ42" i="51"/>
  <c r="AI42" i="51" s="1"/>
  <c r="AE42" i="51"/>
  <c r="AD42" i="51" s="1"/>
  <c r="Z42" i="51"/>
  <c r="Y42" i="51" s="1"/>
  <c r="U42" i="51"/>
  <c r="T42" i="51" s="1"/>
  <c r="P42" i="51"/>
  <c r="O42" i="51" s="1"/>
  <c r="BI42" i="51"/>
  <c r="BJ42" i="51" l="1"/>
  <c r="AK42" i="51"/>
  <c r="BL42" i="51"/>
  <c r="AM42" i="51"/>
  <c r="AP42" i="51"/>
  <c r="AU42" i="51"/>
  <c r="BK42" i="51"/>
  <c r="V42" i="51"/>
  <c r="V114" i="51"/>
  <c r="BL114" i="51"/>
  <c r="AP114" i="51"/>
  <c r="BJ114" i="51"/>
  <c r="DI256" i="51"/>
  <c r="DJ256" i="51"/>
  <c r="L42" i="51"/>
  <c r="X42" i="51"/>
  <c r="X114" i="51"/>
  <c r="AA114" i="51"/>
  <c r="AF114" i="51"/>
  <c r="AR114" i="51"/>
  <c r="AU114" i="51"/>
  <c r="AZ114" i="51"/>
  <c r="L114" i="51"/>
  <c r="Q114" i="51"/>
  <c r="AH114" i="51"/>
  <c r="AK114" i="51"/>
  <c r="BB114" i="51"/>
  <c r="S114" i="51"/>
  <c r="AC114" i="51"/>
  <c r="AM114" i="51"/>
  <c r="AW114" i="51"/>
  <c r="BK114" i="51"/>
  <c r="N114" i="51"/>
  <c r="M114" i="51"/>
  <c r="W114" i="51"/>
  <c r="AG114" i="51"/>
  <c r="AQ114" i="51"/>
  <c r="BA114" i="51"/>
  <c r="BG114" i="51"/>
  <c r="BE114" i="51"/>
  <c r="BH114" i="51"/>
  <c r="BF114" i="51"/>
  <c r="DR114" i="51"/>
  <c r="DN114" i="51" s="1"/>
  <c r="DL114" i="51"/>
  <c r="DJ114" i="51"/>
  <c r="DK114" i="51"/>
  <c r="DI114" i="51"/>
  <c r="N42" i="51"/>
  <c r="W42" i="51"/>
  <c r="AA42" i="51"/>
  <c r="AF42" i="51"/>
  <c r="AW42" i="51"/>
  <c r="AZ42" i="51"/>
  <c r="R114" i="51"/>
  <c r="AB114" i="51"/>
  <c r="AL114" i="51"/>
  <c r="AV114" i="51"/>
  <c r="AH42" i="51"/>
  <c r="AR42" i="51"/>
  <c r="BB42" i="51"/>
  <c r="M42" i="51"/>
  <c r="Q42" i="51"/>
  <c r="AG42" i="51"/>
  <c r="AQ42" i="51"/>
  <c r="BA42" i="51"/>
  <c r="BG42" i="51"/>
  <c r="BE42" i="51"/>
  <c r="BH42" i="51"/>
  <c r="BF42" i="51"/>
  <c r="DR42" i="51"/>
  <c r="DP42" i="51" s="1"/>
  <c r="DL42" i="51"/>
  <c r="DJ42" i="51"/>
  <c r="DK42" i="51"/>
  <c r="DI42" i="51"/>
  <c r="S42" i="51"/>
  <c r="AC42" i="51"/>
  <c r="R42" i="51"/>
  <c r="AB42" i="51"/>
  <c r="AL42" i="51"/>
  <c r="AV42" i="51"/>
  <c r="DQ42" i="51" l="1"/>
  <c r="DO42" i="51"/>
  <c r="DN42" i="51"/>
  <c r="DO114" i="51"/>
  <c r="DQ114" i="51"/>
  <c r="DP114" i="51"/>
  <c r="BA111" i="64"/>
  <c r="AY111" i="64"/>
  <c r="AZ110" i="64"/>
  <c r="AY110" i="64"/>
  <c r="BA109" i="64"/>
  <c r="AZ109" i="64"/>
  <c r="AY109" i="64"/>
  <c r="AY108" i="64"/>
  <c r="BA107" i="64"/>
  <c r="AZ107" i="64"/>
  <c r="AY107" i="64"/>
  <c r="AZ106" i="64"/>
  <c r="AY106" i="64"/>
  <c r="BA105" i="64"/>
  <c r="AY105" i="64"/>
  <c r="AZ99" i="64"/>
  <c r="AY99" i="64"/>
  <c r="BA98" i="64"/>
  <c r="AZ98" i="64"/>
  <c r="AY98" i="64"/>
  <c r="AZ97" i="64"/>
  <c r="AY97" i="64"/>
  <c r="BA96" i="64"/>
  <c r="AZ96" i="64"/>
  <c r="AY96" i="64"/>
  <c r="AY93" i="64"/>
  <c r="BA92" i="64"/>
  <c r="AY92" i="64"/>
  <c r="AZ91" i="64"/>
  <c r="AY91" i="64"/>
  <c r="BA90" i="64"/>
  <c r="AY90" i="64"/>
  <c r="AZ89" i="64"/>
  <c r="AY89" i="64"/>
  <c r="BA88" i="64"/>
  <c r="AY88" i="64"/>
  <c r="AZ87" i="64"/>
  <c r="AY87" i="64"/>
  <c r="BA81" i="64"/>
  <c r="AY81" i="64"/>
  <c r="AZ80" i="64"/>
  <c r="AY80" i="64"/>
  <c r="BA79" i="64"/>
  <c r="AY79" i="64"/>
  <c r="AZ78" i="64"/>
  <c r="AY78" i="64"/>
  <c r="AY74" i="64"/>
  <c r="BA73" i="64"/>
  <c r="AY73" i="64"/>
  <c r="AZ72" i="64"/>
  <c r="AY72" i="64"/>
  <c r="AZ68" i="64"/>
  <c r="AY68" i="64"/>
  <c r="BA67" i="64"/>
  <c r="AY67" i="64"/>
  <c r="AZ66" i="64"/>
  <c r="AY66" i="64"/>
  <c r="BA65" i="64"/>
  <c r="AY65" i="64"/>
  <c r="AZ64" i="64"/>
  <c r="AY64" i="64"/>
  <c r="BA63" i="64"/>
  <c r="AY63" i="64"/>
  <c r="AZ62" i="64"/>
  <c r="AY62" i="64"/>
  <c r="BA61" i="64"/>
  <c r="AY61" i="64"/>
  <c r="AZ60" i="64"/>
  <c r="AY60" i="64"/>
  <c r="BA56" i="64"/>
  <c r="AY56" i="64"/>
  <c r="AY55" i="64"/>
  <c r="BA54" i="64"/>
  <c r="AY54" i="64"/>
  <c r="AZ53" i="64"/>
  <c r="AY53" i="64"/>
  <c r="BA49" i="64"/>
  <c r="AZ49" i="64"/>
  <c r="AY49" i="64"/>
  <c r="AZ48" i="64"/>
  <c r="AY48" i="64"/>
  <c r="BA47" i="64"/>
  <c r="AZ47" i="64"/>
  <c r="AY47" i="64"/>
  <c r="AZ46" i="64"/>
  <c r="AY46" i="64"/>
  <c r="BA45" i="64"/>
  <c r="AY45" i="64"/>
  <c r="AY44" i="64"/>
  <c r="BA43" i="64"/>
  <c r="AZ43" i="64"/>
  <c r="AY43" i="64"/>
  <c r="BA42" i="64"/>
  <c r="AZ42" i="64"/>
  <c r="AY42" i="64"/>
  <c r="BA41" i="64"/>
  <c r="AZ41" i="64"/>
  <c r="AY41" i="64"/>
  <c r="AY40" i="64"/>
  <c r="BA39" i="64"/>
  <c r="AZ39" i="64"/>
  <c r="AY39" i="64"/>
  <c r="BA38" i="64"/>
  <c r="AZ38" i="64"/>
  <c r="AY38" i="64"/>
  <c r="BA37" i="64"/>
  <c r="AZ37" i="64"/>
  <c r="AY37" i="64"/>
  <c r="AY36" i="64"/>
  <c r="BA35" i="64"/>
  <c r="AZ35" i="64"/>
  <c r="AY35" i="64"/>
  <c r="AZ34" i="64"/>
  <c r="AY34" i="64"/>
  <c r="BA31" i="64"/>
  <c r="AY31" i="64"/>
  <c r="BA30" i="64"/>
  <c r="AZ30" i="64"/>
  <c r="AY30" i="64"/>
  <c r="BA29" i="64"/>
  <c r="AZ29" i="64"/>
  <c r="AY29" i="64"/>
  <c r="BA28" i="64"/>
  <c r="AZ28" i="64"/>
  <c r="AY28" i="64"/>
  <c r="BA27" i="64"/>
  <c r="AY27" i="64"/>
  <c r="BA26" i="64"/>
  <c r="AZ26" i="64"/>
  <c r="AY26" i="64"/>
  <c r="BA25" i="64"/>
  <c r="AZ25" i="64"/>
  <c r="AY25" i="64"/>
  <c r="BA19" i="64"/>
  <c r="AZ19" i="64"/>
  <c r="AY19" i="64"/>
  <c r="BA18" i="64"/>
  <c r="BA17" i="64"/>
  <c r="AZ17" i="64"/>
  <c r="AY17" i="64"/>
  <c r="BA16" i="64"/>
  <c r="AZ16" i="64"/>
  <c r="BA12" i="64"/>
  <c r="BA11" i="64"/>
  <c r="AZ11" i="64"/>
  <c r="AY11" i="64"/>
  <c r="BA10" i="64"/>
  <c r="BO88" i="41" s="1"/>
  <c r="BO89" i="41" s="1"/>
  <c r="AZ10" i="64"/>
  <c r="BN88" i="41" s="1"/>
  <c r="BN89" i="41" s="1"/>
  <c r="BA9" i="64"/>
  <c r="BO84" i="41" s="1"/>
  <c r="BO86" i="41" s="1"/>
  <c r="AZ9" i="64"/>
  <c r="BN84" i="41" s="1"/>
  <c r="BN86" i="41" s="1"/>
  <c r="AY9" i="64"/>
  <c r="BM84" i="41" s="1"/>
  <c r="BM86" i="41" s="1"/>
  <c r="AY8" i="64"/>
  <c r="AX142" i="64"/>
  <c r="AW142" i="64"/>
  <c r="AV142" i="64"/>
  <c r="AU142" i="64"/>
  <c r="AX141" i="64"/>
  <c r="AW141" i="64"/>
  <c r="AV141" i="64"/>
  <c r="AU141" i="64"/>
  <c r="AX140" i="64"/>
  <c r="AW140" i="64"/>
  <c r="AV140" i="64"/>
  <c r="AU140" i="64"/>
  <c r="BJ81" i="41"/>
  <c r="BH81" i="41"/>
  <c r="BJ79" i="41"/>
  <c r="BH79" i="41"/>
  <c r="AX7" i="64"/>
  <c r="AW7" i="64"/>
  <c r="AV7" i="64"/>
  <c r="AU7" i="64"/>
  <c r="AX6" i="64"/>
  <c r="AW6" i="64"/>
  <c r="AV6" i="64"/>
  <c r="AU6" i="64"/>
  <c r="BQ92" i="41"/>
  <c r="BQ95" i="41" s="1"/>
  <c r="BK81" i="41"/>
  <c r="BI81" i="41"/>
  <c r="BK80" i="41"/>
  <c r="BJ80" i="41"/>
  <c r="BI80" i="41"/>
  <c r="BK79" i="41"/>
  <c r="BI79" i="41"/>
  <c r="BH80" i="41"/>
  <c r="BQ81" i="41"/>
  <c r="BQ80" i="41"/>
  <c r="BQ227" i="41" s="1"/>
  <c r="BQ79" i="41"/>
  <c r="BQ222" i="41" s="1"/>
  <c r="AY6" i="64"/>
  <c r="AZ6" i="64"/>
  <c r="BA6" i="64"/>
  <c r="AY7" i="64"/>
  <c r="AZ7" i="64"/>
  <c r="BA7" i="64"/>
  <c r="AZ8" i="64"/>
  <c r="AZ12" i="64"/>
  <c r="AY13" i="64"/>
  <c r="AZ13" i="64"/>
  <c r="BA13" i="64"/>
  <c r="AY14" i="64"/>
  <c r="AZ14" i="64"/>
  <c r="BA14" i="64"/>
  <c r="AY15" i="64"/>
  <c r="AZ15" i="64"/>
  <c r="BA15" i="64"/>
  <c r="AZ18" i="64"/>
  <c r="AZ27" i="64"/>
  <c r="AZ31" i="64"/>
  <c r="AY32" i="64"/>
  <c r="AZ32" i="64"/>
  <c r="BA32" i="64"/>
  <c r="AY33" i="64"/>
  <c r="AZ33" i="64"/>
  <c r="BA33" i="64"/>
  <c r="BA34" i="64"/>
  <c r="BA36" i="64"/>
  <c r="AZ40" i="64"/>
  <c r="BA40" i="64"/>
  <c r="BA44" i="64"/>
  <c r="AZ45" i="64"/>
  <c r="BA46" i="64"/>
  <c r="BA48" i="64"/>
  <c r="AY50" i="64"/>
  <c r="AZ50" i="64"/>
  <c r="BA50" i="64"/>
  <c r="AY52" i="64"/>
  <c r="AZ52" i="64"/>
  <c r="BA52" i="64"/>
  <c r="BA53" i="64"/>
  <c r="AZ54" i="64"/>
  <c r="BA55" i="64"/>
  <c r="AZ56" i="64"/>
  <c r="BA60" i="64"/>
  <c r="AZ61" i="64"/>
  <c r="BA62" i="64"/>
  <c r="AZ63" i="64"/>
  <c r="BA64" i="64"/>
  <c r="AZ65" i="64"/>
  <c r="BA66" i="64"/>
  <c r="AZ67" i="64"/>
  <c r="BA68" i="64"/>
  <c r="AY69" i="64"/>
  <c r="AZ69" i="64"/>
  <c r="BA69" i="64"/>
  <c r="AY70" i="64"/>
  <c r="AZ70" i="64"/>
  <c r="BA70" i="64"/>
  <c r="AY71" i="64"/>
  <c r="AZ71" i="64"/>
  <c r="BA71" i="64"/>
  <c r="BA72" i="64"/>
  <c r="AZ73" i="64"/>
  <c r="BA74" i="64"/>
  <c r="AY75" i="64"/>
  <c r="AZ75" i="64"/>
  <c r="BA75" i="64"/>
  <c r="AY76" i="64"/>
  <c r="AZ76" i="64"/>
  <c r="BA76" i="64"/>
  <c r="AY77" i="64"/>
  <c r="AZ77" i="64"/>
  <c r="BA77" i="64"/>
  <c r="BA78" i="64"/>
  <c r="AZ79" i="64"/>
  <c r="BA80" i="64"/>
  <c r="AZ81" i="64"/>
  <c r="BA87" i="64"/>
  <c r="AZ88" i="64"/>
  <c r="BA89" i="64"/>
  <c r="AZ90" i="64"/>
  <c r="BA91" i="64"/>
  <c r="AZ92" i="64"/>
  <c r="BA93" i="64"/>
  <c r="AY94" i="64"/>
  <c r="AZ94" i="64"/>
  <c r="BA94" i="64"/>
  <c r="AY95" i="64"/>
  <c r="AZ95" i="64"/>
  <c r="BA95" i="64"/>
  <c r="BA97" i="64"/>
  <c r="BA99" i="64"/>
  <c r="AZ105" i="64"/>
  <c r="BA106" i="64"/>
  <c r="AZ108" i="64"/>
  <c r="BA108" i="64"/>
  <c r="BA110" i="64"/>
  <c r="AY112" i="64"/>
  <c r="AZ112" i="64"/>
  <c r="BA112" i="64"/>
  <c r="AY113" i="64"/>
  <c r="AZ113" i="64"/>
  <c r="BA113" i="64"/>
  <c r="AY114" i="64"/>
  <c r="AZ114" i="64"/>
  <c r="BA114" i="64"/>
  <c r="AY115" i="64"/>
  <c r="AZ115" i="64"/>
  <c r="BA115" i="64"/>
  <c r="AY116" i="64"/>
  <c r="AZ116" i="64"/>
  <c r="BA116" i="64"/>
  <c r="AY117" i="64"/>
  <c r="AZ117" i="64"/>
  <c r="BA117" i="64"/>
  <c r="AY118" i="64"/>
  <c r="AZ118" i="64"/>
  <c r="BA118" i="64"/>
  <c r="AY119" i="64"/>
  <c r="AZ119" i="64"/>
  <c r="BA119" i="64"/>
  <c r="AY120" i="64"/>
  <c r="AZ120" i="64"/>
  <c r="BA120" i="64"/>
  <c r="AY121" i="64"/>
  <c r="AZ121" i="64"/>
  <c r="BA121" i="64"/>
  <c r="AY122" i="64"/>
  <c r="AZ122" i="64"/>
  <c r="BA122" i="64"/>
  <c r="AY123" i="64"/>
  <c r="AZ123" i="64"/>
  <c r="BA123" i="64"/>
  <c r="AY124" i="64"/>
  <c r="AZ124" i="64"/>
  <c r="BA124" i="64"/>
  <c r="AY125" i="64"/>
  <c r="AZ125" i="64"/>
  <c r="BA125" i="64"/>
  <c r="AY126" i="64"/>
  <c r="AZ126" i="64"/>
  <c r="BA126" i="64"/>
  <c r="AY127" i="64"/>
  <c r="AZ127" i="64"/>
  <c r="BA127" i="64"/>
  <c r="AY128" i="64"/>
  <c r="AZ128" i="64"/>
  <c r="BA128" i="64"/>
  <c r="AY130" i="64"/>
  <c r="AZ130" i="64"/>
  <c r="BA130" i="64"/>
  <c r="AY131" i="64"/>
  <c r="AZ131" i="64"/>
  <c r="BA131" i="64"/>
  <c r="AY132" i="64"/>
  <c r="AZ132" i="64"/>
  <c r="BA132" i="64"/>
  <c r="AY133" i="64"/>
  <c r="AZ133" i="64"/>
  <c r="BA133" i="64"/>
  <c r="AY134" i="64"/>
  <c r="AZ134" i="64"/>
  <c r="BA134" i="64"/>
  <c r="AY135" i="64"/>
  <c r="AZ135" i="64"/>
  <c r="BA135" i="64"/>
  <c r="AY136" i="64"/>
  <c r="AZ136" i="64"/>
  <c r="BA136" i="64"/>
  <c r="AY137" i="64"/>
  <c r="AZ137" i="64"/>
  <c r="BA137" i="64"/>
  <c r="AY138" i="64"/>
  <c r="AZ138" i="64"/>
  <c r="BA138" i="64"/>
  <c r="AY139" i="64"/>
  <c r="AZ139" i="64"/>
  <c r="BA139" i="64"/>
  <c r="AY140" i="64"/>
  <c r="AZ140" i="64"/>
  <c r="BA140" i="64"/>
  <c r="AY141" i="64"/>
  <c r="AZ141" i="64"/>
  <c r="BA141" i="64"/>
  <c r="AY142" i="64"/>
  <c r="AZ142" i="64"/>
  <c r="BA142" i="64"/>
  <c r="BB6" i="64"/>
  <c r="BB7" i="64"/>
  <c r="BB8" i="64"/>
  <c r="BB9" i="64"/>
  <c r="BP84" i="41" s="1"/>
  <c r="BB10" i="64"/>
  <c r="BP88" i="41" s="1"/>
  <c r="BP89" i="41" s="1"/>
  <c r="BB11" i="64"/>
  <c r="BB12" i="64"/>
  <c r="BB13" i="64"/>
  <c r="BB14" i="64"/>
  <c r="BB15" i="64"/>
  <c r="BB16" i="64"/>
  <c r="BB17" i="64"/>
  <c r="BB18" i="64"/>
  <c r="BB19" i="64"/>
  <c r="BB25" i="64"/>
  <c r="BB26" i="64"/>
  <c r="BB27" i="64"/>
  <c r="BB28" i="64"/>
  <c r="BB29" i="64"/>
  <c r="BB30" i="64"/>
  <c r="BB31" i="64"/>
  <c r="BB32" i="64"/>
  <c r="BB33" i="64"/>
  <c r="BB34" i="64"/>
  <c r="BB35" i="64"/>
  <c r="BB36" i="64"/>
  <c r="BB37" i="64"/>
  <c r="BB38" i="64"/>
  <c r="BB39" i="64"/>
  <c r="BB40" i="64"/>
  <c r="BB41" i="64"/>
  <c r="BB42" i="64"/>
  <c r="BB43" i="64"/>
  <c r="BB44" i="64"/>
  <c r="BB45" i="64"/>
  <c r="BB46" i="64"/>
  <c r="BB47" i="64"/>
  <c r="BB48" i="64"/>
  <c r="BB49" i="64"/>
  <c r="BB50" i="64"/>
  <c r="BB51" i="64"/>
  <c r="BB52" i="64"/>
  <c r="BB53" i="64"/>
  <c r="BB54" i="64"/>
  <c r="BB55" i="64"/>
  <c r="BB56" i="64"/>
  <c r="BB60" i="64"/>
  <c r="BB61" i="64"/>
  <c r="BB62" i="64"/>
  <c r="BB63" i="64"/>
  <c r="BB64" i="64"/>
  <c r="BB65" i="64"/>
  <c r="BB66" i="64"/>
  <c r="BB67" i="64"/>
  <c r="BB68" i="64"/>
  <c r="BB69" i="64"/>
  <c r="BB70" i="64"/>
  <c r="BB71" i="64"/>
  <c r="BB72" i="64"/>
  <c r="BB73" i="64"/>
  <c r="BB74" i="64"/>
  <c r="BB75" i="64"/>
  <c r="BB76" i="64"/>
  <c r="BB77" i="64"/>
  <c r="BB78" i="64"/>
  <c r="BB79" i="64"/>
  <c r="BB80" i="64"/>
  <c r="BB81" i="64"/>
  <c r="BB87" i="64"/>
  <c r="BB88" i="64"/>
  <c r="BB89" i="64"/>
  <c r="BB90" i="64"/>
  <c r="BB91" i="64"/>
  <c r="BB92" i="64"/>
  <c r="BB93" i="64"/>
  <c r="BB94" i="64"/>
  <c r="BB95" i="64"/>
  <c r="BB96" i="64"/>
  <c r="BB97" i="64"/>
  <c r="BB98" i="64"/>
  <c r="BB99" i="64"/>
  <c r="BB105" i="64"/>
  <c r="BB106" i="64"/>
  <c r="BB107" i="64"/>
  <c r="BB108" i="64"/>
  <c r="BB109" i="64"/>
  <c r="BB110" i="64"/>
  <c r="BB111" i="64"/>
  <c r="BB112" i="64"/>
  <c r="BB113" i="64"/>
  <c r="BB114" i="64"/>
  <c r="BB115" i="64"/>
  <c r="BB116" i="64"/>
  <c r="BB117" i="64"/>
  <c r="BB118" i="64"/>
  <c r="BB119" i="64"/>
  <c r="BB120" i="64"/>
  <c r="BB121" i="64"/>
  <c r="BB122" i="64"/>
  <c r="BB123" i="64"/>
  <c r="BB124" i="64"/>
  <c r="BB125" i="64"/>
  <c r="BB126" i="64"/>
  <c r="BB127" i="64"/>
  <c r="BB128" i="64"/>
  <c r="BB130" i="64"/>
  <c r="BB131" i="64"/>
  <c r="BB132" i="64"/>
  <c r="BB133" i="64"/>
  <c r="BB134" i="64"/>
  <c r="BB135" i="64"/>
  <c r="BB136" i="64"/>
  <c r="BB137" i="64"/>
  <c r="BB138" i="64"/>
  <c r="BB139" i="64"/>
  <c r="BB140" i="64"/>
  <c r="BB141" i="64"/>
  <c r="BB142" i="64"/>
  <c r="BP281" i="64"/>
  <c r="BP280" i="64"/>
  <c r="BP279" i="64"/>
  <c r="BP278" i="64"/>
  <c r="BP277" i="64"/>
  <c r="BP276" i="64"/>
  <c r="BP275" i="64"/>
  <c r="BP271" i="64"/>
  <c r="BP270" i="64"/>
  <c r="BP269" i="64"/>
  <c r="BP268" i="64"/>
  <c r="BP267" i="64"/>
  <c r="BP266" i="64"/>
  <c r="BP265" i="64"/>
  <c r="BP264" i="64"/>
  <c r="BP263" i="64"/>
  <c r="BP262" i="64"/>
  <c r="BP261" i="64"/>
  <c r="BP260" i="64"/>
  <c r="BP259" i="64"/>
  <c r="BP258" i="64"/>
  <c r="BP257" i="64"/>
  <c r="E256" i="51"/>
  <c r="BP67" i="39"/>
  <c r="BO60" i="39"/>
  <c r="BP57" i="39"/>
  <c r="BP55" i="39"/>
  <c r="BP62" i="4"/>
  <c r="BO62" i="4" s="1"/>
  <c r="EH63" i="3"/>
  <c r="EG63" i="3"/>
  <c r="EF63" i="3"/>
  <c r="EE63" i="3"/>
  <c r="EH61" i="3"/>
  <c r="EG61" i="3"/>
  <c r="EF61" i="3"/>
  <c r="EE61" i="3"/>
  <c r="EH59" i="3"/>
  <c r="EG59" i="3"/>
  <c r="EF59" i="3"/>
  <c r="EE59" i="3"/>
  <c r="EH53" i="3"/>
  <c r="EG53" i="3"/>
  <c r="EF53" i="3"/>
  <c r="EE53" i="3"/>
  <c r="EI52" i="3"/>
  <c r="EH28" i="3"/>
  <c r="EG28" i="3"/>
  <c r="EF28" i="3"/>
  <c r="EE28" i="3"/>
  <c r="EH27" i="3"/>
  <c r="EG27" i="3"/>
  <c r="EF27" i="3"/>
  <c r="EE27" i="3"/>
  <c r="EH24" i="3"/>
  <c r="EG24" i="3"/>
  <c r="EF24" i="3"/>
  <c r="EE24" i="3"/>
  <c r="EH23" i="3"/>
  <c r="EG23" i="3"/>
  <c r="EF23" i="3"/>
  <c r="EE23" i="3"/>
  <c r="EH22" i="3"/>
  <c r="EG22" i="3"/>
  <c r="EF22" i="3"/>
  <c r="EE22" i="3"/>
  <c r="EH21" i="3"/>
  <c r="EG21" i="3"/>
  <c r="EF21" i="3"/>
  <c r="EE21" i="3"/>
  <c r="EI15" i="3"/>
  <c r="EH15" i="3"/>
  <c r="EG15" i="3"/>
  <c r="EF15" i="3"/>
  <c r="EE15" i="3"/>
  <c r="BQ175" i="4"/>
  <c r="BQ146" i="4"/>
  <c r="EI63" i="3" s="1"/>
  <c r="BQ143" i="4"/>
  <c r="BQ137" i="4"/>
  <c r="BQ133" i="4"/>
  <c r="BQ120" i="4"/>
  <c r="BQ119" i="4"/>
  <c r="BP103" i="4"/>
  <c r="BO103" i="4"/>
  <c r="BN103" i="4"/>
  <c r="BM103" i="4"/>
  <c r="BP100" i="4"/>
  <c r="BO100" i="4" s="1"/>
  <c r="BP69" i="4"/>
  <c r="BO69" i="4"/>
  <c r="BN69" i="4"/>
  <c r="BM69" i="4"/>
  <c r="BQ207" i="39"/>
  <c r="BM158" i="39"/>
  <c r="BM119" i="4" s="1"/>
  <c r="BQ157" i="39"/>
  <c r="BM152" i="39"/>
  <c r="BM111" i="39"/>
  <c r="BN111" i="39" s="1"/>
  <c r="BQ108" i="39"/>
  <c r="BQ69" i="39"/>
  <c r="BP69" i="39"/>
  <c r="BO69" i="39"/>
  <c r="BN69" i="39"/>
  <c r="BM69" i="39"/>
  <c r="BO67" i="39"/>
  <c r="BM67" i="39"/>
  <c r="BP65" i="39"/>
  <c r="BP114" i="39" s="1"/>
  <c r="BP64" i="39"/>
  <c r="BP110" i="39" s="1"/>
  <c r="BP60" i="39"/>
  <c r="BN60" i="39"/>
  <c r="BP59" i="39"/>
  <c r="BO59" i="39"/>
  <c r="BN59" i="39"/>
  <c r="BM59" i="39"/>
  <c r="BO57" i="39"/>
  <c r="BM57" i="39"/>
  <c r="BO55" i="39"/>
  <c r="BM55" i="39"/>
  <c r="BQ34" i="39"/>
  <c r="BP14" i="39"/>
  <c r="BQ99" i="40"/>
  <c r="BQ98" i="40"/>
  <c r="BQ64" i="40"/>
  <c r="BP56" i="40"/>
  <c r="BO56" i="40"/>
  <c r="BN56" i="40"/>
  <c r="BM56" i="40"/>
  <c r="BP54" i="40"/>
  <c r="BP69" i="40" s="1"/>
  <c r="BP53" i="40"/>
  <c r="BP66" i="40" s="1"/>
  <c r="BP51" i="40"/>
  <c r="BO51" i="40" s="1"/>
  <c r="BN51" i="40" s="1"/>
  <c r="BM51" i="40" s="1"/>
  <c r="BP32" i="40"/>
  <c r="BO32" i="40"/>
  <c r="BN32" i="40"/>
  <c r="BM32" i="40"/>
  <c r="BM606" i="41"/>
  <c r="BM120" i="4" s="1"/>
  <c r="BQ605" i="41"/>
  <c r="BM600" i="41"/>
  <c r="BN600" i="41" s="1"/>
  <c r="BM596" i="41"/>
  <c r="BN596" i="41" s="1"/>
  <c r="BQ595" i="41"/>
  <c r="BQ588" i="41"/>
  <c r="BP574" i="41"/>
  <c r="BO574" i="41" s="1"/>
  <c r="BN574" i="41" s="1"/>
  <c r="BM574" i="41" s="1"/>
  <c r="BP549" i="41"/>
  <c r="BO549" i="41" s="1"/>
  <c r="BM546" i="41"/>
  <c r="BP545" i="41"/>
  <c r="BO545" i="41" s="1"/>
  <c r="BN545" i="41" s="1"/>
  <c r="BQ543" i="41"/>
  <c r="BQ535" i="41"/>
  <c r="BP535" i="41"/>
  <c r="BO535" i="41"/>
  <c r="BO471" i="41" s="1"/>
  <c r="BN535" i="41"/>
  <c r="BN471" i="41" s="1"/>
  <c r="BM535" i="41"/>
  <c r="BM471" i="41" s="1"/>
  <c r="BQ533" i="41"/>
  <c r="BQ435" i="41" s="1"/>
  <c r="BP533" i="41"/>
  <c r="BP435" i="41" s="1"/>
  <c r="BO533" i="41"/>
  <c r="BO435" i="41" s="1"/>
  <c r="BN533" i="41"/>
  <c r="BN435" i="41" s="1"/>
  <c r="BM533" i="41"/>
  <c r="BM435" i="41" s="1"/>
  <c r="BQ526" i="41"/>
  <c r="BQ422" i="41" s="1"/>
  <c r="BP526" i="41"/>
  <c r="BP123" i="41" s="1"/>
  <c r="BO526" i="41"/>
  <c r="BO123" i="41" s="1"/>
  <c r="BN526" i="41"/>
  <c r="BN422" i="41" s="1"/>
  <c r="BM526" i="41"/>
  <c r="BM123" i="41" s="1"/>
  <c r="BQ515" i="41"/>
  <c r="BQ333" i="41" s="1"/>
  <c r="BP515" i="41"/>
  <c r="BP121" i="41" s="1"/>
  <c r="BO515" i="41"/>
  <c r="BO333" i="41" s="1"/>
  <c r="BN515" i="41"/>
  <c r="BN121" i="41" s="1"/>
  <c r="BM515" i="41"/>
  <c r="BM333" i="41" s="1"/>
  <c r="BQ506" i="41"/>
  <c r="BQ313" i="41" s="1"/>
  <c r="BP506" i="41"/>
  <c r="BP313" i="41" s="1"/>
  <c r="BO506" i="41"/>
  <c r="BO313" i="41" s="1"/>
  <c r="BN506" i="41"/>
  <c r="BN313" i="41" s="1"/>
  <c r="BM506" i="41"/>
  <c r="BM313" i="41" s="1"/>
  <c r="BQ494" i="41"/>
  <c r="BQ377" i="41" s="1"/>
  <c r="BP494" i="41"/>
  <c r="BO494" i="41"/>
  <c r="BN494" i="41"/>
  <c r="BM494" i="41"/>
  <c r="BM377" i="41" s="1"/>
  <c r="BQ490" i="41"/>
  <c r="BQ120" i="41" s="1"/>
  <c r="BP490" i="41"/>
  <c r="BP120" i="41" s="1"/>
  <c r="BO490" i="41"/>
  <c r="BO120" i="41" s="1"/>
  <c r="BN490" i="41"/>
  <c r="BN120" i="41" s="1"/>
  <c r="BM490" i="41"/>
  <c r="BM120" i="41" s="1"/>
  <c r="BQ484" i="41"/>
  <c r="BP484" i="41"/>
  <c r="BP272" i="41" s="1"/>
  <c r="BO484" i="41"/>
  <c r="BO272" i="41" s="1"/>
  <c r="BN484" i="41"/>
  <c r="BM484" i="41"/>
  <c r="BM272" i="41" s="1"/>
  <c r="BQ471" i="41"/>
  <c r="BP471" i="41"/>
  <c r="BQ469" i="41"/>
  <c r="BP469" i="41"/>
  <c r="BO469" i="41"/>
  <c r="BN469" i="41"/>
  <c r="BM469" i="41"/>
  <c r="BQ459" i="41"/>
  <c r="BP459" i="41"/>
  <c r="BO459" i="41"/>
  <c r="BN459" i="41"/>
  <c r="BM459" i="41"/>
  <c r="BQ457" i="41"/>
  <c r="BP457" i="41"/>
  <c r="BO457" i="41"/>
  <c r="BN457" i="41"/>
  <c r="BM457" i="41"/>
  <c r="BQ449" i="41"/>
  <c r="BP449" i="41"/>
  <c r="BO449" i="41"/>
  <c r="BN449" i="41"/>
  <c r="BM449" i="41"/>
  <c r="BQ403" i="41"/>
  <c r="BP403" i="41"/>
  <c r="BO403" i="41"/>
  <c r="BN403" i="41"/>
  <c r="BM403" i="41"/>
  <c r="BQ375" i="41"/>
  <c r="BP375" i="41"/>
  <c r="BO375" i="41"/>
  <c r="BN375" i="41"/>
  <c r="BM375" i="41"/>
  <c r="BP287" i="41"/>
  <c r="BO287" i="41"/>
  <c r="BN287" i="41"/>
  <c r="BM287" i="41"/>
  <c r="BQ285" i="41"/>
  <c r="BP285" i="41"/>
  <c r="BO285" i="41"/>
  <c r="BN285" i="41"/>
  <c r="BM285" i="41"/>
  <c r="BP274" i="41"/>
  <c r="BO274" i="41"/>
  <c r="BN274" i="41"/>
  <c r="BM274" i="41"/>
  <c r="BP249" i="41"/>
  <c r="BO249" i="41" s="1"/>
  <c r="BN249" i="41" s="1"/>
  <c r="BM249" i="41" s="1"/>
  <c r="BQ231" i="41"/>
  <c r="BQ226" i="41"/>
  <c r="BQ221" i="41"/>
  <c r="BP199" i="41"/>
  <c r="BO199" i="41"/>
  <c r="BN199" i="41"/>
  <c r="BM199" i="41"/>
  <c r="BP185" i="41"/>
  <c r="BO185" i="41"/>
  <c r="BN185" i="41"/>
  <c r="BM185" i="41"/>
  <c r="BQ180" i="41"/>
  <c r="BQ169" i="41"/>
  <c r="BP169" i="41"/>
  <c r="BO169" i="41"/>
  <c r="BN169" i="41"/>
  <c r="BM169" i="41"/>
  <c r="BQ127" i="41"/>
  <c r="BQ117" i="41"/>
  <c r="BP117" i="41"/>
  <c r="BO117" i="41"/>
  <c r="BN117" i="41"/>
  <c r="BM117" i="41"/>
  <c r="BQ116" i="41"/>
  <c r="BP116" i="41"/>
  <c r="BO116" i="41"/>
  <c r="BN116" i="41"/>
  <c r="BM116" i="41"/>
  <c r="BQ115" i="41"/>
  <c r="BP115" i="41"/>
  <c r="BO115" i="41"/>
  <c r="BN115" i="41"/>
  <c r="BM115" i="41"/>
  <c r="BQ114" i="41"/>
  <c r="BP114" i="41"/>
  <c r="BO114" i="41"/>
  <c r="BN114" i="41"/>
  <c r="BM114" i="41"/>
  <c r="BP35" i="41"/>
  <c r="BO35" i="41"/>
  <c r="BN35" i="41"/>
  <c r="BM35" i="41"/>
  <c r="BQ33" i="41"/>
  <c r="BQ38" i="42"/>
  <c r="DQ254" i="51"/>
  <c r="DP254" i="51"/>
  <c r="DO254" i="51"/>
  <c r="DN254" i="51"/>
  <c r="DQ253" i="51"/>
  <c r="DP253" i="51"/>
  <c r="DO253" i="51"/>
  <c r="DN253" i="51"/>
  <c r="DQ239" i="51"/>
  <c r="DP239" i="51"/>
  <c r="DO239" i="51"/>
  <c r="DN239" i="51"/>
  <c r="DQ242" i="51"/>
  <c r="DP242" i="51"/>
  <c r="DO242" i="51"/>
  <c r="DN242" i="51"/>
  <c r="DQ241" i="51"/>
  <c r="DP241" i="51"/>
  <c r="DO241" i="51"/>
  <c r="DN241" i="51"/>
  <c r="DQ240" i="51"/>
  <c r="DP240" i="51"/>
  <c r="DO240" i="51"/>
  <c r="DN240" i="51"/>
  <c r="DQ237" i="51"/>
  <c r="DP237" i="51"/>
  <c r="DO237" i="51"/>
  <c r="DN237" i="51"/>
  <c r="DQ236" i="51"/>
  <c r="DP236" i="51"/>
  <c r="DO236" i="51"/>
  <c r="DN236" i="51"/>
  <c r="DQ235" i="51"/>
  <c r="DP235" i="51"/>
  <c r="DO235" i="51"/>
  <c r="DN235" i="51"/>
  <c r="DQ234" i="51"/>
  <c r="DP234" i="51"/>
  <c r="DO234" i="51"/>
  <c r="DN234" i="51"/>
  <c r="DQ228" i="51"/>
  <c r="DP228" i="51"/>
  <c r="DO228" i="51"/>
  <c r="DN228" i="51"/>
  <c r="DQ227" i="51"/>
  <c r="DP227" i="51"/>
  <c r="DO227" i="51"/>
  <c r="DN227" i="51"/>
  <c r="DQ226" i="51"/>
  <c r="DP226" i="51"/>
  <c r="DO226" i="51"/>
  <c r="DN226" i="51"/>
  <c r="DQ231" i="51"/>
  <c r="DP231" i="51"/>
  <c r="DO231" i="51"/>
  <c r="DN231" i="51"/>
  <c r="DQ225" i="51"/>
  <c r="DP225" i="51"/>
  <c r="DO225" i="51"/>
  <c r="DN225" i="51"/>
  <c r="DQ222" i="51"/>
  <c r="DP222" i="51"/>
  <c r="DO222" i="51"/>
  <c r="DN222" i="51"/>
  <c r="DQ220" i="51"/>
  <c r="DP220" i="51"/>
  <c r="DO220" i="51"/>
  <c r="DN220" i="51"/>
  <c r="DQ221" i="51"/>
  <c r="DP221" i="51"/>
  <c r="DO221" i="51"/>
  <c r="DN221" i="51"/>
  <c r="DQ219" i="51"/>
  <c r="DP219" i="51"/>
  <c r="DO219" i="51"/>
  <c r="DN219" i="51"/>
  <c r="DQ214" i="51"/>
  <c r="DP214" i="51"/>
  <c r="DO214" i="51"/>
  <c r="DN214" i="51"/>
  <c r="DQ216" i="51"/>
  <c r="DP216" i="51"/>
  <c r="DO216" i="51"/>
  <c r="DN216" i="51"/>
  <c r="DQ213" i="51"/>
  <c r="DP213" i="51"/>
  <c r="DO213" i="51"/>
  <c r="DN213" i="51"/>
  <c r="DQ210" i="51"/>
  <c r="DP210" i="51"/>
  <c r="DO210" i="51"/>
  <c r="DN210" i="51"/>
  <c r="DQ209" i="51"/>
  <c r="DP209" i="51"/>
  <c r="DO209" i="51"/>
  <c r="DN209" i="51"/>
  <c r="DQ208" i="51"/>
  <c r="DP208" i="51"/>
  <c r="DO208" i="51"/>
  <c r="DN208" i="51"/>
  <c r="DQ204" i="51"/>
  <c r="DP204" i="51"/>
  <c r="DO204" i="51"/>
  <c r="DN204" i="51"/>
  <c r="DQ200" i="51"/>
  <c r="DP200" i="51"/>
  <c r="DO200" i="51"/>
  <c r="DN200" i="51"/>
  <c r="DQ203" i="51"/>
  <c r="DP203" i="51"/>
  <c r="DO203" i="51"/>
  <c r="DN203" i="51"/>
  <c r="DQ201" i="51"/>
  <c r="DP201" i="51"/>
  <c r="DO201" i="51"/>
  <c r="DN201" i="51"/>
  <c r="DQ199" i="51"/>
  <c r="DP199" i="51"/>
  <c r="DO199" i="51"/>
  <c r="DN199" i="51"/>
  <c r="DQ193" i="51"/>
  <c r="DP193" i="51"/>
  <c r="DO193" i="51"/>
  <c r="DN193" i="51"/>
  <c r="DQ196" i="51"/>
  <c r="DP196" i="51"/>
  <c r="DO196" i="51"/>
  <c r="DN196" i="51"/>
  <c r="DQ191" i="51"/>
  <c r="DP191" i="51"/>
  <c r="DO191" i="51"/>
  <c r="DN191" i="51"/>
  <c r="DQ195" i="51"/>
  <c r="DP195" i="51"/>
  <c r="DO195" i="51"/>
  <c r="DN195" i="51"/>
  <c r="DQ190" i="51"/>
  <c r="DP190" i="51"/>
  <c r="DO190" i="51"/>
  <c r="DN190" i="51"/>
  <c r="DQ186" i="51"/>
  <c r="DP186" i="51"/>
  <c r="DO186" i="51"/>
  <c r="DN186" i="51"/>
  <c r="DQ187" i="51"/>
  <c r="DP187" i="51"/>
  <c r="DO187" i="51"/>
  <c r="DN187" i="51"/>
  <c r="DQ185" i="51"/>
  <c r="DP185" i="51"/>
  <c r="DO185" i="51"/>
  <c r="DN185" i="51"/>
  <c r="DQ184" i="51"/>
  <c r="DP184" i="51"/>
  <c r="DO184" i="51"/>
  <c r="DN184" i="51"/>
  <c r="DQ178" i="51"/>
  <c r="DP178" i="51"/>
  <c r="DO178" i="51"/>
  <c r="DN178" i="51"/>
  <c r="DQ177" i="51"/>
  <c r="DP177" i="51"/>
  <c r="DO177" i="51"/>
  <c r="DN177" i="51"/>
  <c r="DQ180" i="51"/>
  <c r="DP180" i="51"/>
  <c r="DO180" i="51"/>
  <c r="DN180" i="51"/>
  <c r="DQ179" i="51"/>
  <c r="DP179" i="51"/>
  <c r="DO179" i="51"/>
  <c r="DN179" i="51"/>
  <c r="DQ176" i="51"/>
  <c r="DP176" i="51"/>
  <c r="DO176" i="51"/>
  <c r="DN176" i="51"/>
  <c r="DQ174" i="51"/>
  <c r="DP174" i="51"/>
  <c r="DO174" i="51"/>
  <c r="DN174" i="51"/>
  <c r="DQ175" i="51"/>
  <c r="DP175" i="51"/>
  <c r="DO175" i="51"/>
  <c r="DN175" i="51"/>
  <c r="DQ171" i="51"/>
  <c r="DP171" i="51"/>
  <c r="DO171" i="51"/>
  <c r="DN171" i="51"/>
  <c r="DQ164" i="51"/>
  <c r="DP164" i="51"/>
  <c r="DO164" i="51"/>
  <c r="DN164" i="51"/>
  <c r="DQ162" i="51"/>
  <c r="DP162" i="51"/>
  <c r="DO162" i="51"/>
  <c r="DN162" i="51"/>
  <c r="DQ159" i="51"/>
  <c r="DP159" i="51"/>
  <c r="DO159" i="51"/>
  <c r="DN159" i="51"/>
  <c r="DQ158" i="51"/>
  <c r="DP158" i="51"/>
  <c r="DO158" i="51"/>
  <c r="DN158" i="51"/>
  <c r="DQ154" i="51"/>
  <c r="DP154" i="51"/>
  <c r="DO154" i="51"/>
  <c r="DN154" i="51"/>
  <c r="DQ152" i="51"/>
  <c r="DP152" i="51"/>
  <c r="DO152" i="51"/>
  <c r="DN152" i="51"/>
  <c r="DQ149" i="51"/>
  <c r="DP149" i="51"/>
  <c r="DO149" i="51"/>
  <c r="DN149" i="51"/>
  <c r="DQ148" i="51"/>
  <c r="DP148" i="51"/>
  <c r="DO148" i="51"/>
  <c r="DN148" i="51"/>
  <c r="DQ144" i="51"/>
  <c r="DP144" i="51"/>
  <c r="DO144" i="51"/>
  <c r="DN144" i="51"/>
  <c r="DQ143" i="51"/>
  <c r="DP143" i="51"/>
  <c r="DO143" i="51"/>
  <c r="DN143" i="51"/>
  <c r="DQ147" i="51"/>
  <c r="DP147" i="51"/>
  <c r="DO147" i="51"/>
  <c r="DN147" i="51"/>
  <c r="DQ146" i="51"/>
  <c r="DP146" i="51"/>
  <c r="DO146" i="51"/>
  <c r="DN146" i="51"/>
  <c r="DQ140" i="51"/>
  <c r="DP140" i="51"/>
  <c r="DO140" i="51"/>
  <c r="DN140" i="51"/>
  <c r="DQ137" i="51"/>
  <c r="DP137" i="51"/>
  <c r="DO137" i="51"/>
  <c r="DN137" i="51"/>
  <c r="DQ138" i="51"/>
  <c r="DP138" i="51"/>
  <c r="DO138" i="51"/>
  <c r="DN138" i="51"/>
  <c r="DQ134" i="51"/>
  <c r="DP134" i="51"/>
  <c r="DO134" i="51"/>
  <c r="DN134" i="51"/>
  <c r="DQ132" i="51"/>
  <c r="DP132" i="51"/>
  <c r="DO132" i="51"/>
  <c r="DN132" i="51"/>
  <c r="DQ129" i="51"/>
  <c r="DP129" i="51"/>
  <c r="DO129" i="51"/>
  <c r="DN129" i="51"/>
  <c r="DQ128" i="51"/>
  <c r="DP128" i="51"/>
  <c r="DO128" i="51"/>
  <c r="DN128" i="51"/>
  <c r="DQ126" i="51"/>
  <c r="DP126" i="51"/>
  <c r="DO126" i="51"/>
  <c r="DN126" i="51"/>
  <c r="DQ127" i="51"/>
  <c r="DP127" i="51"/>
  <c r="DO127" i="51"/>
  <c r="DN127" i="51"/>
  <c r="DQ112" i="51"/>
  <c r="DP112" i="51"/>
  <c r="DO112" i="51"/>
  <c r="DN112" i="51"/>
  <c r="DQ111" i="51"/>
  <c r="DP111" i="51"/>
  <c r="DO111" i="51"/>
  <c r="DN111" i="51"/>
  <c r="DQ106" i="51"/>
  <c r="DP106" i="51"/>
  <c r="DO106" i="51"/>
  <c r="DN106" i="51"/>
  <c r="DQ102" i="51"/>
  <c r="DP102" i="51"/>
  <c r="DO102" i="51"/>
  <c r="DN102" i="51"/>
  <c r="DQ101" i="51"/>
  <c r="DP101" i="51"/>
  <c r="DO101" i="51"/>
  <c r="DN101" i="51"/>
  <c r="DQ100" i="51"/>
  <c r="DP100" i="51"/>
  <c r="DO100" i="51"/>
  <c r="DN100" i="51"/>
  <c r="DQ81" i="51"/>
  <c r="DP81" i="51"/>
  <c r="DO81" i="51"/>
  <c r="DN81" i="51"/>
  <c r="DQ92" i="51"/>
  <c r="DP92" i="51"/>
  <c r="DO92" i="51"/>
  <c r="DN92" i="51"/>
  <c r="DQ94" i="51"/>
  <c r="DP94" i="51"/>
  <c r="DO94" i="51"/>
  <c r="DN94" i="51"/>
  <c r="DQ82" i="51"/>
  <c r="DP82" i="51"/>
  <c r="DO82" i="51"/>
  <c r="DN82" i="51"/>
  <c r="DQ93" i="51"/>
  <c r="DP93" i="51"/>
  <c r="DO93" i="51"/>
  <c r="DN93" i="51"/>
  <c r="DQ91" i="51"/>
  <c r="DP91" i="51"/>
  <c r="DO91" i="51"/>
  <c r="DN91" i="51"/>
  <c r="DQ89" i="51"/>
  <c r="DP89" i="51"/>
  <c r="DO89" i="51"/>
  <c r="DN89" i="51"/>
  <c r="DQ80" i="51"/>
  <c r="DP80" i="51"/>
  <c r="DO80" i="51"/>
  <c r="DN80" i="51"/>
  <c r="DQ98" i="51"/>
  <c r="DP98" i="51"/>
  <c r="DO98" i="51"/>
  <c r="DN98" i="51"/>
  <c r="DQ97" i="51"/>
  <c r="DP97" i="51"/>
  <c r="DO97" i="51"/>
  <c r="DN97" i="51"/>
  <c r="DQ83" i="51"/>
  <c r="DP83" i="51"/>
  <c r="DO83" i="51"/>
  <c r="DN83" i="51"/>
  <c r="DQ88" i="51"/>
  <c r="DP88" i="51"/>
  <c r="DO88" i="51"/>
  <c r="DN88" i="51"/>
  <c r="DQ90" i="51"/>
  <c r="DP90" i="51"/>
  <c r="DO90" i="51"/>
  <c r="DN90" i="51"/>
  <c r="DQ87" i="51"/>
  <c r="DP87" i="51"/>
  <c r="DO87" i="51"/>
  <c r="DN87" i="51"/>
  <c r="DQ84" i="51"/>
  <c r="DP84" i="51"/>
  <c r="DO84" i="51"/>
  <c r="DN84" i="51"/>
  <c r="DQ96" i="51"/>
  <c r="DP96" i="51"/>
  <c r="DO96" i="51"/>
  <c r="DN96" i="51"/>
  <c r="DQ86" i="51"/>
  <c r="DP86" i="51"/>
  <c r="DO86" i="51"/>
  <c r="DN86" i="51"/>
  <c r="DQ85" i="51"/>
  <c r="DP85" i="51"/>
  <c r="DO85" i="51"/>
  <c r="DN85" i="51"/>
  <c r="DQ69" i="51"/>
  <c r="DP69" i="51"/>
  <c r="DO69" i="51"/>
  <c r="DN69" i="51"/>
  <c r="DQ77" i="51"/>
  <c r="DP77" i="51"/>
  <c r="DO77" i="51"/>
  <c r="DN77" i="51"/>
  <c r="DQ65" i="51"/>
  <c r="DP65" i="51"/>
  <c r="DO65" i="51"/>
  <c r="DN65" i="51"/>
  <c r="DQ73" i="51"/>
  <c r="DP73" i="51"/>
  <c r="DO73" i="51"/>
  <c r="DN73" i="51"/>
  <c r="DQ74" i="51"/>
  <c r="DP74" i="51"/>
  <c r="DO74" i="51"/>
  <c r="DN74" i="51"/>
  <c r="DQ66" i="51"/>
  <c r="DP66" i="51"/>
  <c r="DO66" i="51"/>
  <c r="DN66" i="51"/>
  <c r="DQ67" i="51"/>
  <c r="DP67" i="51"/>
  <c r="DO67" i="51"/>
  <c r="DN67" i="51"/>
  <c r="DQ68" i="51"/>
  <c r="DP68" i="51"/>
  <c r="DO68" i="51"/>
  <c r="DN68" i="51"/>
  <c r="DQ72" i="51"/>
  <c r="DP72" i="51"/>
  <c r="DO72" i="51"/>
  <c r="DN72" i="51"/>
  <c r="DQ63" i="51"/>
  <c r="DP63" i="51"/>
  <c r="DO63" i="51"/>
  <c r="DN63" i="51"/>
  <c r="DQ62" i="51"/>
  <c r="DP62" i="51"/>
  <c r="DO62" i="51"/>
  <c r="DN62" i="51"/>
  <c r="DQ71" i="51"/>
  <c r="DP71" i="51"/>
  <c r="DO71" i="51"/>
  <c r="DN71" i="51"/>
  <c r="DQ76" i="51"/>
  <c r="DP76" i="51"/>
  <c r="DO76" i="51"/>
  <c r="DN76" i="51"/>
  <c r="DQ54" i="51"/>
  <c r="DP54" i="51"/>
  <c r="DO54" i="51"/>
  <c r="DN54" i="51"/>
  <c r="DQ55" i="51"/>
  <c r="DP55" i="51"/>
  <c r="DO55" i="51"/>
  <c r="DN55" i="51"/>
  <c r="DQ56" i="51"/>
  <c r="DP56" i="51"/>
  <c r="DO56" i="51"/>
  <c r="DN56" i="51"/>
  <c r="DQ53" i="51"/>
  <c r="DP53" i="51"/>
  <c r="DO53" i="51"/>
  <c r="DN53" i="51"/>
  <c r="DQ40" i="51"/>
  <c r="DP40" i="51"/>
  <c r="DO40" i="51"/>
  <c r="DN40" i="51"/>
  <c r="DQ39" i="51"/>
  <c r="DP39" i="51"/>
  <c r="DO39" i="51"/>
  <c r="DN39" i="51"/>
  <c r="DQ24" i="51"/>
  <c r="DP24" i="51"/>
  <c r="DO24" i="51"/>
  <c r="DN24" i="51"/>
  <c r="DQ26" i="51"/>
  <c r="DP26" i="51"/>
  <c r="DO26" i="51"/>
  <c r="DN26" i="51"/>
  <c r="DQ28" i="51"/>
  <c r="DP28" i="51"/>
  <c r="DO28" i="51"/>
  <c r="DN28" i="51"/>
  <c r="BN257" i="51"/>
  <c r="BM257" i="51" s="1"/>
  <c r="BN255" i="51"/>
  <c r="BL255" i="51" s="1"/>
  <c r="BN254" i="51"/>
  <c r="BM254" i="51" s="1"/>
  <c r="BN253" i="51"/>
  <c r="BL253" i="51" s="1"/>
  <c r="BN239" i="51"/>
  <c r="BM239" i="51" s="1"/>
  <c r="BN242" i="51"/>
  <c r="BL242" i="51" s="1"/>
  <c r="BN241" i="51"/>
  <c r="BM241" i="51" s="1"/>
  <c r="BN240" i="51"/>
  <c r="BL240" i="51" s="1"/>
  <c r="BN237" i="51"/>
  <c r="BM237" i="51" s="1"/>
  <c r="BN236" i="51"/>
  <c r="BL236" i="51" s="1"/>
  <c r="BN235" i="51"/>
  <c r="BM235" i="51" s="1"/>
  <c r="BN234" i="51"/>
  <c r="BL234" i="51" s="1"/>
  <c r="BN228" i="51"/>
  <c r="BM228" i="51" s="1"/>
  <c r="BN227" i="51"/>
  <c r="BL227" i="51" s="1"/>
  <c r="BN226" i="51"/>
  <c r="BM226" i="51" s="1"/>
  <c r="BN231" i="51"/>
  <c r="BJ231" i="51" s="1"/>
  <c r="BN225" i="51"/>
  <c r="BJ225" i="51" s="1"/>
  <c r="BN222" i="51"/>
  <c r="BM222" i="51" s="1"/>
  <c r="BN220" i="51"/>
  <c r="BJ220" i="51" s="1"/>
  <c r="BN221" i="51"/>
  <c r="BM221" i="51" s="1"/>
  <c r="BN219" i="51"/>
  <c r="BJ219" i="51" s="1"/>
  <c r="BN214" i="51"/>
  <c r="BM214" i="51" s="1"/>
  <c r="BN216" i="51"/>
  <c r="BJ216" i="51" s="1"/>
  <c r="BN213" i="51"/>
  <c r="BM213" i="51" s="1"/>
  <c r="BN210" i="51"/>
  <c r="BJ210" i="51" s="1"/>
  <c r="BN209" i="51"/>
  <c r="BM209" i="51" s="1"/>
  <c r="BN208" i="51"/>
  <c r="BJ208" i="51" s="1"/>
  <c r="BN204" i="51"/>
  <c r="BJ204" i="51" s="1"/>
  <c r="BN200" i="51"/>
  <c r="BM200" i="51" s="1"/>
  <c r="BN203" i="51"/>
  <c r="BJ203" i="51" s="1"/>
  <c r="BN201" i="51"/>
  <c r="BM201" i="51" s="1"/>
  <c r="BN199" i="51"/>
  <c r="BJ199" i="51" s="1"/>
  <c r="BN193" i="51"/>
  <c r="BJ193" i="51" s="1"/>
  <c r="BN196" i="51"/>
  <c r="BM196" i="51" s="1"/>
  <c r="BN191" i="51"/>
  <c r="BJ191" i="51" s="1"/>
  <c r="BN195" i="51"/>
  <c r="BM195" i="51" s="1"/>
  <c r="BN190" i="51"/>
  <c r="BJ190" i="51" s="1"/>
  <c r="BN192" i="51"/>
  <c r="BM192" i="51" s="1"/>
  <c r="BN186" i="51"/>
  <c r="BJ186" i="51" s="1"/>
  <c r="BN187" i="51"/>
  <c r="BM187" i="51" s="1"/>
  <c r="BN185" i="51"/>
  <c r="BJ185" i="51" s="1"/>
  <c r="BN184" i="51"/>
  <c r="BM184" i="51" s="1"/>
  <c r="BN178" i="51"/>
  <c r="BJ178" i="51" s="1"/>
  <c r="BN177" i="51"/>
  <c r="BM177" i="51" s="1"/>
  <c r="BN180" i="51"/>
  <c r="BJ180" i="51" s="1"/>
  <c r="BN179" i="51"/>
  <c r="BM179" i="51" s="1"/>
  <c r="BN176" i="51"/>
  <c r="BJ176" i="51" s="1"/>
  <c r="BN174" i="51"/>
  <c r="BM174" i="51" s="1"/>
  <c r="BN175" i="51"/>
  <c r="BM175" i="51" s="1"/>
  <c r="BN171" i="51"/>
  <c r="BJ171" i="51" s="1"/>
  <c r="BN167" i="51"/>
  <c r="BJ167" i="51" s="1"/>
  <c r="BN164" i="51"/>
  <c r="BL164" i="51" s="1"/>
  <c r="BN163" i="51"/>
  <c r="BJ163" i="51" s="1"/>
  <c r="BN162" i="51"/>
  <c r="BM162" i="51" s="1"/>
  <c r="BN159" i="51"/>
  <c r="BJ159" i="51" s="1"/>
  <c r="BN158" i="51"/>
  <c r="BM158" i="51" s="1"/>
  <c r="BN157" i="51"/>
  <c r="BJ157" i="51" s="1"/>
  <c r="BN154" i="51"/>
  <c r="BM154" i="51" s="1"/>
  <c r="BN153" i="51"/>
  <c r="BJ153" i="51" s="1"/>
  <c r="BN152" i="51"/>
  <c r="BL152" i="51" s="1"/>
  <c r="BN149" i="51"/>
  <c r="BM149" i="51" s="1"/>
  <c r="BN148" i="51"/>
  <c r="BL148" i="51" s="1"/>
  <c r="BN144" i="51"/>
  <c r="BM144" i="51" s="1"/>
  <c r="BN143" i="51"/>
  <c r="BL143" i="51" s="1"/>
  <c r="BN147" i="51"/>
  <c r="BM147" i="51" s="1"/>
  <c r="BN146" i="51"/>
  <c r="BL146" i="51" s="1"/>
  <c r="BN142" i="51"/>
  <c r="BM142" i="51" s="1"/>
  <c r="BN140" i="51"/>
  <c r="BL140" i="51" s="1"/>
  <c r="BN137" i="51"/>
  <c r="BM137" i="51" s="1"/>
  <c r="BN138" i="51"/>
  <c r="BL138" i="51" s="1"/>
  <c r="BN134" i="51"/>
  <c r="BM134" i="51" s="1"/>
  <c r="BN133" i="51"/>
  <c r="BL133" i="51" s="1"/>
  <c r="BN132" i="51"/>
  <c r="BM132" i="51" s="1"/>
  <c r="BN129" i="51"/>
  <c r="BL129" i="51" s="1"/>
  <c r="BN128" i="51"/>
  <c r="BM128" i="51" s="1"/>
  <c r="BN126" i="51"/>
  <c r="BN127" i="51"/>
  <c r="BN113" i="51"/>
  <c r="BL113" i="51" s="1"/>
  <c r="BN112" i="51"/>
  <c r="BM112" i="51" s="1"/>
  <c r="BN111" i="51"/>
  <c r="BL111" i="51" s="1"/>
  <c r="BN106" i="51"/>
  <c r="BL106" i="51" s="1"/>
  <c r="BN102" i="51"/>
  <c r="BM102" i="51" s="1"/>
  <c r="BN101" i="51"/>
  <c r="BM101" i="51" s="1"/>
  <c r="BN100" i="51"/>
  <c r="BM100" i="51" s="1"/>
  <c r="BN81" i="51"/>
  <c r="BM81" i="51" s="1"/>
  <c r="BN92" i="51"/>
  <c r="BM92" i="51" s="1"/>
  <c r="BN94" i="51"/>
  <c r="BM94" i="51" s="1"/>
  <c r="BN82" i="51"/>
  <c r="BM82" i="51" s="1"/>
  <c r="BN93" i="51"/>
  <c r="BM93" i="51" s="1"/>
  <c r="BN91" i="51"/>
  <c r="BM91" i="51" s="1"/>
  <c r="BN89" i="51"/>
  <c r="BM89" i="51" s="1"/>
  <c r="BN80" i="51"/>
  <c r="BM80" i="51" s="1"/>
  <c r="BN98" i="51"/>
  <c r="BM98" i="51" s="1"/>
  <c r="BN97" i="51"/>
  <c r="BM97" i="51" s="1"/>
  <c r="BN83" i="51"/>
  <c r="BM83" i="51" s="1"/>
  <c r="BN88" i="51"/>
  <c r="BM88" i="51" s="1"/>
  <c r="BN90" i="51"/>
  <c r="BM90" i="51" s="1"/>
  <c r="BN87" i="51"/>
  <c r="BM87" i="51" s="1"/>
  <c r="BN84" i="51"/>
  <c r="BM84" i="51" s="1"/>
  <c r="BN96" i="51"/>
  <c r="BM96" i="51" s="1"/>
  <c r="BN86" i="51"/>
  <c r="BM86" i="51" s="1"/>
  <c r="BN85" i="51"/>
  <c r="BM85" i="51" s="1"/>
  <c r="BN75" i="51"/>
  <c r="BL75" i="51" s="1"/>
  <c r="BN69" i="51"/>
  <c r="BM69" i="51" s="1"/>
  <c r="BN77" i="51"/>
  <c r="BM77" i="51" s="1"/>
  <c r="BN65" i="51"/>
  <c r="BM65" i="51" s="1"/>
  <c r="BN73" i="51"/>
  <c r="BM73" i="51" s="1"/>
  <c r="BN74" i="51"/>
  <c r="BM74" i="51" s="1"/>
  <c r="BN66" i="51"/>
  <c r="BM66" i="51" s="1"/>
  <c r="BN67" i="51"/>
  <c r="BM67" i="51" s="1"/>
  <c r="BN68" i="51"/>
  <c r="BM68" i="51" s="1"/>
  <c r="BN72" i="51"/>
  <c r="BM72" i="51" s="1"/>
  <c r="BN63" i="51"/>
  <c r="BM63" i="51" s="1"/>
  <c r="BN62" i="51"/>
  <c r="BM62" i="51" s="1"/>
  <c r="BN70" i="51"/>
  <c r="BM70" i="51" s="1"/>
  <c r="BN71" i="51"/>
  <c r="BM71" i="51" s="1"/>
  <c r="BN76" i="51"/>
  <c r="BM76" i="51" s="1"/>
  <c r="BN54" i="51"/>
  <c r="BM54" i="51" s="1"/>
  <c r="BN55" i="51"/>
  <c r="BM55" i="51" s="1"/>
  <c r="BN56" i="51"/>
  <c r="BM56" i="51" s="1"/>
  <c r="BN53" i="51"/>
  <c r="BM53" i="51" s="1"/>
  <c r="BN41" i="51"/>
  <c r="BM41" i="51" s="1"/>
  <c r="BN40" i="51"/>
  <c r="BM40" i="51" s="1"/>
  <c r="BN39" i="51"/>
  <c r="BM39" i="51" s="1"/>
  <c r="BN24" i="51"/>
  <c r="BM24" i="51" s="1"/>
  <c r="BN26" i="51"/>
  <c r="BM26" i="51" s="1"/>
  <c r="BN28" i="51"/>
  <c r="BL28" i="51" s="1"/>
  <c r="BM127" i="51" l="1"/>
  <c r="BO43" i="4"/>
  <c r="BN333" i="41"/>
  <c r="BN302" i="41" s="1"/>
  <c r="BN161" i="41" s="1"/>
  <c r="BQ123" i="41"/>
  <c r="BM364" i="41"/>
  <c r="BM367" i="41" s="1"/>
  <c r="BQ364" i="41"/>
  <c r="BQ356" i="41" s="1"/>
  <c r="BQ162" i="41" s="1"/>
  <c r="BN168" i="41"/>
  <c r="BP43" i="4"/>
  <c r="BN377" i="41"/>
  <c r="BM43" i="4"/>
  <c r="BQ452" i="41"/>
  <c r="BQ163" i="41" s="1"/>
  <c r="BP333" i="41"/>
  <c r="BP302" i="41" s="1"/>
  <c r="BP161" i="41" s="1"/>
  <c r="BO422" i="41"/>
  <c r="BO394" i="41" s="1"/>
  <c r="BO164" i="41" s="1"/>
  <c r="BP170" i="41"/>
  <c r="BO364" i="41"/>
  <c r="BO367" i="41" s="1"/>
  <c r="BQ170" i="41"/>
  <c r="BP168" i="41"/>
  <c r="BO121" i="41"/>
  <c r="BN364" i="41"/>
  <c r="BN367" i="41" s="1"/>
  <c r="BO168" i="41"/>
  <c r="BO302" i="41"/>
  <c r="BO161" i="41" s="1"/>
  <c r="BP364" i="41"/>
  <c r="BP367" i="41" s="1"/>
  <c r="BQ121" i="41"/>
  <c r="BM168" i="41"/>
  <c r="BQ272" i="41"/>
  <c r="BQ264" i="41" s="1"/>
  <c r="BQ160" i="41" s="1"/>
  <c r="BM452" i="41"/>
  <c r="BM163" i="41" s="1"/>
  <c r="BM275" i="41"/>
  <c r="BN452" i="41"/>
  <c r="BN163" i="41" s="1"/>
  <c r="BN43" i="4"/>
  <c r="BM121" i="41"/>
  <c r="BM170" i="41"/>
  <c r="BM288" i="41"/>
  <c r="BO377" i="41"/>
  <c r="BP422" i="41"/>
  <c r="BP394" i="41" s="1"/>
  <c r="BP164" i="41" s="1"/>
  <c r="BN170" i="41"/>
  <c r="BO170" i="41"/>
  <c r="BP588" i="41"/>
  <c r="BM302" i="41"/>
  <c r="BM161" i="41" s="1"/>
  <c r="BQ302" i="41"/>
  <c r="BQ161" i="41" s="1"/>
  <c r="BQ168" i="41"/>
  <c r="BP275" i="41"/>
  <c r="BO288" i="41"/>
  <c r="BO275" i="41"/>
  <c r="BN288" i="41"/>
  <c r="BP452" i="41"/>
  <c r="BP163" i="41" s="1"/>
  <c r="BQ394" i="41"/>
  <c r="BQ164" i="41" s="1"/>
  <c r="BP134" i="64"/>
  <c r="BA129" i="64"/>
  <c r="BP115" i="64"/>
  <c r="BP138" i="64"/>
  <c r="BB129" i="64"/>
  <c r="BP116" i="64"/>
  <c r="AZ129" i="64"/>
  <c r="BP136" i="64"/>
  <c r="BP135" i="64"/>
  <c r="BP126" i="64"/>
  <c r="BP125" i="64"/>
  <c r="BP123" i="64"/>
  <c r="BP122" i="64"/>
  <c r="BP118" i="64"/>
  <c r="BP114" i="64"/>
  <c r="BO264" i="41"/>
  <c r="BO160" i="41" s="1"/>
  <c r="BN272" i="41"/>
  <c r="BN275" i="41" s="1"/>
  <c r="BP288" i="41"/>
  <c r="BM422" i="41"/>
  <c r="BM394" i="41" s="1"/>
  <c r="BM164" i="41" s="1"/>
  <c r="BM538" i="41"/>
  <c r="BQ538" i="41"/>
  <c r="BP377" i="41"/>
  <c r="BO538" i="41"/>
  <c r="BP538" i="41"/>
  <c r="BO600" i="41"/>
  <c r="BP600" i="41" s="1"/>
  <c r="BM264" i="41"/>
  <c r="BM160" i="41" s="1"/>
  <c r="BO452" i="41"/>
  <c r="BO163" i="41" s="1"/>
  <c r="BN394" i="41"/>
  <c r="BN164" i="41" s="1"/>
  <c r="BN123" i="41"/>
  <c r="BN538" i="41"/>
  <c r="BN152" i="39"/>
  <c r="BN138" i="4" s="1"/>
  <c r="EF54" i="3" s="1"/>
  <c r="EF56" i="3" s="1"/>
  <c r="BM138" i="4"/>
  <c r="EE54" i="3" s="1"/>
  <c r="EE56" i="3" s="1"/>
  <c r="BL126" i="51"/>
  <c r="BJ179" i="51"/>
  <c r="BJ87" i="51"/>
  <c r="BJ85" i="51"/>
  <c r="BJ88" i="51"/>
  <c r="BJ235" i="51"/>
  <c r="BJ77" i="51"/>
  <c r="BK85" i="51"/>
  <c r="BJ86" i="51"/>
  <c r="BJ96" i="51"/>
  <c r="BL87" i="51"/>
  <c r="BL88" i="51"/>
  <c r="BJ222" i="51"/>
  <c r="BJ144" i="51"/>
  <c r="BJ200" i="51"/>
  <c r="BJ209" i="51"/>
  <c r="BJ41" i="51"/>
  <c r="BJ98" i="51"/>
  <c r="BJ164" i="51"/>
  <c r="BJ192" i="51"/>
  <c r="BJ221" i="51"/>
  <c r="BL222" i="51"/>
  <c r="BJ237" i="51"/>
  <c r="BL41" i="51"/>
  <c r="BJ53" i="51"/>
  <c r="BL85" i="51"/>
  <c r="BJ63" i="51"/>
  <c r="BJ97" i="51"/>
  <c r="BJ106" i="51"/>
  <c r="BJ126" i="51"/>
  <c r="BJ128" i="51"/>
  <c r="BJ129" i="51"/>
  <c r="BJ137" i="51"/>
  <c r="BJ158" i="51"/>
  <c r="BK195" i="51"/>
  <c r="BK214" i="51"/>
  <c r="BL235" i="51"/>
  <c r="BL237" i="51"/>
  <c r="BJ55" i="51"/>
  <c r="BJ68" i="51"/>
  <c r="BJ69" i="51"/>
  <c r="BK94" i="51"/>
  <c r="BJ147" i="51"/>
  <c r="BJ154" i="51"/>
  <c r="BJ162" i="51"/>
  <c r="BJ184" i="51"/>
  <c r="BJ195" i="51"/>
  <c r="BL195" i="51"/>
  <c r="BJ196" i="51"/>
  <c r="BJ214" i="51"/>
  <c r="BL214" i="51"/>
  <c r="BL221" i="51"/>
  <c r="BK222" i="51"/>
  <c r="BJ226" i="51"/>
  <c r="BJ149" i="51"/>
  <c r="BJ257" i="51"/>
  <c r="BL53" i="51"/>
  <c r="BL55" i="51"/>
  <c r="BJ73" i="51"/>
  <c r="BL77" i="51"/>
  <c r="BL69" i="51"/>
  <c r="BJ93" i="51"/>
  <c r="BJ142" i="51"/>
  <c r="BL147" i="51"/>
  <c r="BL144" i="51"/>
  <c r="BK149" i="51"/>
  <c r="BJ152" i="51"/>
  <c r="BL154" i="51"/>
  <c r="BL158" i="51"/>
  <c r="BL162" i="51"/>
  <c r="BK164" i="51"/>
  <c r="BM164" i="51"/>
  <c r="BJ175" i="51"/>
  <c r="BJ177" i="51"/>
  <c r="BJ187" i="51"/>
  <c r="BL192" i="51"/>
  <c r="BJ201" i="51"/>
  <c r="BJ213" i="51"/>
  <c r="BK228" i="51"/>
  <c r="BJ239" i="51"/>
  <c r="BL257" i="51"/>
  <c r="BJ76" i="51"/>
  <c r="BJ70" i="51"/>
  <c r="BL63" i="51"/>
  <c r="BL68" i="51"/>
  <c r="BJ89" i="51"/>
  <c r="BL93" i="51"/>
  <c r="BK81" i="51"/>
  <c r="BJ101" i="51"/>
  <c r="BJ102" i="51"/>
  <c r="BL137" i="51"/>
  <c r="BJ174" i="51"/>
  <c r="BL179" i="51"/>
  <c r="BL177" i="51"/>
  <c r="BL184" i="51"/>
  <c r="BL187" i="51"/>
  <c r="BK192" i="51"/>
  <c r="BL201" i="51"/>
  <c r="BL200" i="51"/>
  <c r="BL209" i="51"/>
  <c r="BL213" i="51"/>
  <c r="BK241" i="51"/>
  <c r="BL239" i="51"/>
  <c r="AY129" i="64"/>
  <c r="BP128" i="64"/>
  <c r="BP127" i="64"/>
  <c r="BP121" i="64"/>
  <c r="BP120" i="64"/>
  <c r="BP119" i="64"/>
  <c r="BP117" i="64"/>
  <c r="BP137" i="64"/>
  <c r="BP133" i="64"/>
  <c r="BP132" i="64"/>
  <c r="BP60" i="64"/>
  <c r="BP61" i="64"/>
  <c r="BP232" i="64"/>
  <c r="BP68" i="64"/>
  <c r="BP79" i="64"/>
  <c r="BJ112" i="51"/>
  <c r="BL112" i="51"/>
  <c r="BP210" i="64"/>
  <c r="BP81" i="64"/>
  <c r="BP172" i="64"/>
  <c r="BP250" i="64"/>
  <c r="BP164" i="64"/>
  <c r="BP179" i="64"/>
  <c r="BP183" i="64"/>
  <c r="BP187" i="64"/>
  <c r="BP198" i="64"/>
  <c r="BP202" i="64"/>
  <c r="BY62" i="64" s="1"/>
  <c r="BP206" i="64"/>
  <c r="BP217" i="64"/>
  <c r="BP224" i="64"/>
  <c r="BP228" i="64"/>
  <c r="BY46" i="64" s="1"/>
  <c r="BP87" i="64"/>
  <c r="BX72" i="64" s="1"/>
  <c r="BP236" i="64"/>
  <c r="BP246" i="64"/>
  <c r="BP109" i="64"/>
  <c r="BP254" i="64"/>
  <c r="BP191" i="64"/>
  <c r="BN256" i="51"/>
  <c r="BN258" i="51" s="1"/>
  <c r="DR256" i="51"/>
  <c r="BJ254" i="51"/>
  <c r="BL254" i="51"/>
  <c r="BP152" i="64"/>
  <c r="BP242" i="64"/>
  <c r="AZ93" i="64"/>
  <c r="BP93" i="64" s="1"/>
  <c r="AZ74" i="64"/>
  <c r="BP74" i="64" s="1"/>
  <c r="AZ55" i="64"/>
  <c r="BP55" i="64" s="1"/>
  <c r="AZ44" i="64"/>
  <c r="BP44" i="64" s="1"/>
  <c r="AZ36" i="64"/>
  <c r="BP36" i="64" s="1"/>
  <c r="AZ111" i="64"/>
  <c r="BP111" i="64" s="1"/>
  <c r="BP91" i="64"/>
  <c r="BP89" i="64"/>
  <c r="BX74" i="64" s="1"/>
  <c r="BP80" i="64"/>
  <c r="BP78" i="64"/>
  <c r="BP72" i="64"/>
  <c r="BP66" i="64"/>
  <c r="BP64" i="64"/>
  <c r="BP62" i="64"/>
  <c r="BP53" i="64"/>
  <c r="BP166" i="64"/>
  <c r="BP27" i="64"/>
  <c r="BP31" i="64"/>
  <c r="BP34" i="64"/>
  <c r="BP196" i="64"/>
  <c r="BP54" i="64"/>
  <c r="BP200" i="64"/>
  <c r="BY59" i="64" s="1"/>
  <c r="BP201" i="64"/>
  <c r="BP203" i="64"/>
  <c r="BP205" i="64"/>
  <c r="BP207" i="64"/>
  <c r="BP65" i="64"/>
  <c r="BP209" i="64"/>
  <c r="BP211" i="64"/>
  <c r="BP215" i="64"/>
  <c r="BP73" i="64"/>
  <c r="BP221" i="64"/>
  <c r="BP223" i="64"/>
  <c r="BP225" i="64"/>
  <c r="BY43" i="64" s="1"/>
  <c r="BP226" i="64"/>
  <c r="BY44" i="64" s="1"/>
  <c r="BP227" i="64"/>
  <c r="BY45" i="64" s="1"/>
  <c r="BP229" i="64"/>
  <c r="BY47" i="64" s="1"/>
  <c r="BP230" i="64"/>
  <c r="BY16" i="64" s="1"/>
  <c r="BP90" i="64"/>
  <c r="BP234" i="64"/>
  <c r="BP96" i="64"/>
  <c r="BP97" i="64"/>
  <c r="BP243" i="64"/>
  <c r="BP244" i="64"/>
  <c r="BP245" i="64"/>
  <c r="BP247" i="64"/>
  <c r="BP105" i="64"/>
  <c r="BP106" i="64"/>
  <c r="BP162" i="64"/>
  <c r="BP170" i="64"/>
  <c r="BP178" i="64"/>
  <c r="BP182" i="64"/>
  <c r="BP186" i="64"/>
  <c r="BP190" i="64"/>
  <c r="BP197" i="64"/>
  <c r="BP216" i="64"/>
  <c r="BP231" i="64"/>
  <c r="BP235" i="64"/>
  <c r="BP241" i="64"/>
  <c r="BP249" i="64"/>
  <c r="BP253" i="64"/>
  <c r="BP154" i="64"/>
  <c r="BP174" i="64"/>
  <c r="BP180" i="64"/>
  <c r="BP184" i="64"/>
  <c r="BP188" i="64"/>
  <c r="BP192" i="64"/>
  <c r="BP199" i="64"/>
  <c r="BP233" i="64"/>
  <c r="BP239" i="64"/>
  <c r="BP251" i="64"/>
  <c r="BP160" i="64"/>
  <c r="BP168" i="64"/>
  <c r="BP177" i="64"/>
  <c r="BP181" i="64"/>
  <c r="BP185" i="64"/>
  <c r="BP189" i="64"/>
  <c r="BP204" i="64"/>
  <c r="BP208" i="64"/>
  <c r="BP222" i="64"/>
  <c r="BP240" i="64"/>
  <c r="BP248" i="64"/>
  <c r="BP252" i="64"/>
  <c r="BP163" i="64"/>
  <c r="BP165" i="64"/>
  <c r="BP167" i="64"/>
  <c r="BP92" i="64"/>
  <c r="BP88" i="64"/>
  <c r="BX73" i="64" s="1"/>
  <c r="BP67" i="64"/>
  <c r="BP63" i="64"/>
  <c r="BP56" i="64"/>
  <c r="BP107" i="64"/>
  <c r="BP98" i="64"/>
  <c r="BP35" i="64"/>
  <c r="BP29" i="64"/>
  <c r="BP25" i="64"/>
  <c r="BO65" i="39"/>
  <c r="BN65" i="39" s="1"/>
  <c r="BN114" i="39" s="1"/>
  <c r="BN306" i="41"/>
  <c r="BP110" i="64"/>
  <c r="BP99" i="64"/>
  <c r="BP151" i="64"/>
  <c r="BA8" i="64"/>
  <c r="BP8" i="64" s="1"/>
  <c r="BP153" i="64"/>
  <c r="AY10" i="64"/>
  <c r="BP10" i="64" s="1"/>
  <c r="BP11" i="64"/>
  <c r="BP155" i="64"/>
  <c r="AY12" i="64"/>
  <c r="BP12" i="64" s="1"/>
  <c r="BP159" i="64"/>
  <c r="AY16" i="64"/>
  <c r="BP16" i="64" s="1"/>
  <c r="BP17" i="64"/>
  <c r="BP161" i="64"/>
  <c r="AY18" i="64"/>
  <c r="BP18" i="64" s="1"/>
  <c r="BP19" i="64"/>
  <c r="BP26" i="64"/>
  <c r="BP28" i="64"/>
  <c r="BP30" i="64"/>
  <c r="BP108" i="64"/>
  <c r="BL79" i="41"/>
  <c r="BL81" i="41"/>
  <c r="BL80" i="41"/>
  <c r="BJ24" i="51"/>
  <c r="BL24" i="51"/>
  <c r="BN44" i="51"/>
  <c r="BL70" i="51"/>
  <c r="BK63" i="51"/>
  <c r="BK68" i="51"/>
  <c r="BJ67" i="51"/>
  <c r="BJ66" i="51"/>
  <c r="BL98" i="51"/>
  <c r="BL89" i="51"/>
  <c r="BJ91" i="51"/>
  <c r="BJ94" i="51"/>
  <c r="BL94" i="51"/>
  <c r="BJ92" i="51"/>
  <c r="BJ81" i="51"/>
  <c r="BL81" i="51"/>
  <c r="BJ100" i="51"/>
  <c r="BJ127" i="51"/>
  <c r="BL149" i="51"/>
  <c r="BJ133" i="51"/>
  <c r="BJ134" i="51"/>
  <c r="BK137" i="51"/>
  <c r="BJ140" i="51"/>
  <c r="BJ228" i="51"/>
  <c r="BL228" i="51"/>
  <c r="BJ26" i="51"/>
  <c r="BJ40" i="51"/>
  <c r="BL96" i="51"/>
  <c r="BK87" i="51"/>
  <c r="BJ90" i="51"/>
  <c r="BK89" i="51"/>
  <c r="BL102" i="51"/>
  <c r="BJ71" i="51"/>
  <c r="BL66" i="51"/>
  <c r="BL73" i="51"/>
  <c r="BK77" i="51"/>
  <c r="BK69" i="51"/>
  <c r="BJ75" i="51"/>
  <c r="BK112" i="51"/>
  <c r="BJ113" i="51"/>
  <c r="BJ132" i="51"/>
  <c r="BL142" i="51"/>
  <c r="BK147" i="51"/>
  <c r="BJ143" i="51"/>
  <c r="BL226" i="51"/>
  <c r="BK235" i="51"/>
  <c r="BJ236" i="51"/>
  <c r="BJ241" i="51"/>
  <c r="BL241" i="51"/>
  <c r="BJ242" i="51"/>
  <c r="BK24" i="51"/>
  <c r="BL40" i="51"/>
  <c r="BK70" i="51"/>
  <c r="BJ62" i="51"/>
  <c r="BK66" i="51"/>
  <c r="BK73" i="51"/>
  <c r="BJ65" i="51"/>
  <c r="BK96" i="51"/>
  <c r="BJ84" i="51"/>
  <c r="BK88" i="51"/>
  <c r="BJ83" i="51"/>
  <c r="BK98" i="51"/>
  <c r="BJ80" i="51"/>
  <c r="BK93" i="51"/>
  <c r="BJ82" i="51"/>
  <c r="BL92" i="51"/>
  <c r="BL100" i="51"/>
  <c r="BL101" i="51"/>
  <c r="BL127" i="51"/>
  <c r="BL128" i="51"/>
  <c r="BL132" i="51"/>
  <c r="BL134" i="51"/>
  <c r="BJ138" i="51"/>
  <c r="BK142" i="51"/>
  <c r="BJ146" i="51"/>
  <c r="BK144" i="51"/>
  <c r="BJ148" i="51"/>
  <c r="BK154" i="51"/>
  <c r="BL175" i="51"/>
  <c r="BL174" i="51"/>
  <c r="BK179" i="51"/>
  <c r="BK177" i="51"/>
  <c r="BL196" i="51"/>
  <c r="BK201" i="51"/>
  <c r="BK200" i="51"/>
  <c r="BK213" i="51"/>
  <c r="BK254" i="51"/>
  <c r="BJ255" i="51"/>
  <c r="BN55" i="39"/>
  <c r="BM60" i="39"/>
  <c r="BO64" i="39"/>
  <c r="BN64" i="39" s="1"/>
  <c r="BN110" i="39" s="1"/>
  <c r="BN67" i="39"/>
  <c r="BK102" i="51"/>
  <c r="BJ28" i="51"/>
  <c r="BL26" i="51"/>
  <c r="BM44" i="51"/>
  <c r="BP53" i="42" s="1"/>
  <c r="BP70" i="42" s="1"/>
  <c r="BK40" i="51"/>
  <c r="BK53" i="51"/>
  <c r="BK55" i="51"/>
  <c r="BL76" i="51"/>
  <c r="BL71" i="51"/>
  <c r="BL62" i="51"/>
  <c r="BL67" i="51"/>
  <c r="BL65" i="51"/>
  <c r="BL86" i="51"/>
  <c r="BL84" i="51"/>
  <c r="BL90" i="51"/>
  <c r="BL83" i="51"/>
  <c r="BL97" i="51"/>
  <c r="BL80" i="51"/>
  <c r="BL91" i="51"/>
  <c r="BL82" i="51"/>
  <c r="BJ111" i="51"/>
  <c r="BK127" i="51"/>
  <c r="BK128" i="51"/>
  <c r="BK132" i="51"/>
  <c r="BK134" i="51"/>
  <c r="BK158" i="51"/>
  <c r="BK162" i="51"/>
  <c r="BK175" i="51"/>
  <c r="BK174" i="51"/>
  <c r="BK184" i="51"/>
  <c r="BK187" i="51"/>
  <c r="BK196" i="51"/>
  <c r="BK209" i="51"/>
  <c r="BK221" i="51"/>
  <c r="BK226" i="51"/>
  <c r="BJ227" i="51"/>
  <c r="BJ234" i="51"/>
  <c r="BK237" i="51"/>
  <c r="BJ240" i="51"/>
  <c r="BK239" i="51"/>
  <c r="BJ253" i="51"/>
  <c r="BK257" i="51"/>
  <c r="BP169" i="64"/>
  <c r="BP173" i="64"/>
  <c r="BP37" i="64"/>
  <c r="BP38" i="64"/>
  <c r="BP39" i="64"/>
  <c r="BP40" i="64"/>
  <c r="BP41" i="64"/>
  <c r="BP42" i="64"/>
  <c r="BP43" i="64"/>
  <c r="BP45" i="64"/>
  <c r="BP46" i="64"/>
  <c r="BP47" i="64"/>
  <c r="BP48" i="64"/>
  <c r="BP49" i="64"/>
  <c r="BP9" i="64"/>
  <c r="BP124" i="64"/>
  <c r="BP86" i="41"/>
  <c r="BP306" i="41" s="1"/>
  <c r="BP85" i="41"/>
  <c r="BO306" i="41"/>
  <c r="BN85" i="41"/>
  <c r="BN57" i="39"/>
  <c r="BN100" i="4"/>
  <c r="BO588" i="41"/>
  <c r="BP79" i="41"/>
  <c r="BO79" i="41" s="1"/>
  <c r="BN79" i="41" s="1"/>
  <c r="BQ232" i="41"/>
  <c r="BP81" i="41"/>
  <c r="BP232" i="41" s="1"/>
  <c r="BP233" i="41" s="1"/>
  <c r="BQ94" i="41"/>
  <c r="BQ93" i="41"/>
  <c r="BP92" i="41"/>
  <c r="BP94" i="41" s="1"/>
  <c r="BN62" i="4"/>
  <c r="BO14" i="39"/>
  <c r="BO111" i="39"/>
  <c r="BP111" i="39" s="1"/>
  <c r="BN158" i="39"/>
  <c r="BO53" i="40"/>
  <c r="BO54" i="40"/>
  <c r="BP80" i="41"/>
  <c r="BM85" i="41"/>
  <c r="BO85" i="41"/>
  <c r="BQ84" i="41"/>
  <c r="BQ140" i="41"/>
  <c r="BQ134" i="41"/>
  <c r="BM134" i="41" s="1"/>
  <c r="BN134" i="41" s="1"/>
  <c r="BO134" i="41" s="1"/>
  <c r="BP134" i="41" s="1"/>
  <c r="BP264" i="41"/>
  <c r="BP160" i="41" s="1"/>
  <c r="BN549" i="41"/>
  <c r="BM545" i="41"/>
  <c r="BN546" i="41"/>
  <c r="BO546" i="41" s="1"/>
  <c r="BO596" i="41"/>
  <c r="BP596" i="41" s="1"/>
  <c r="BP132" i="4" s="1"/>
  <c r="BN606" i="41"/>
  <c r="BJ39" i="51"/>
  <c r="BL39" i="51"/>
  <c r="BJ56" i="51"/>
  <c r="BL56" i="51"/>
  <c r="BJ54" i="51"/>
  <c r="BL54" i="51"/>
  <c r="BJ72" i="51"/>
  <c r="BL72" i="51"/>
  <c r="BJ74" i="51"/>
  <c r="BL74" i="51"/>
  <c r="BK28" i="51"/>
  <c r="BM28" i="51"/>
  <c r="BK26" i="51"/>
  <c r="BK39" i="51"/>
  <c r="BK41" i="51"/>
  <c r="BK56" i="51"/>
  <c r="BK54" i="51"/>
  <c r="BK76" i="51"/>
  <c r="BK71" i="51"/>
  <c r="BK62" i="51"/>
  <c r="BK72" i="51"/>
  <c r="BK67" i="51"/>
  <c r="BK74" i="51"/>
  <c r="BK65" i="51"/>
  <c r="BK75" i="51"/>
  <c r="BM75" i="51"/>
  <c r="BK86" i="51"/>
  <c r="BK84" i="51"/>
  <c r="BK90" i="51"/>
  <c r="BK83" i="51"/>
  <c r="BK97" i="51"/>
  <c r="BK80" i="51"/>
  <c r="BK91" i="51"/>
  <c r="BK82" i="51"/>
  <c r="BK92" i="51"/>
  <c r="BK100" i="51"/>
  <c r="BK101" i="51"/>
  <c r="BM106" i="51"/>
  <c r="BK106" i="51"/>
  <c r="BM126" i="51"/>
  <c r="BK126" i="51"/>
  <c r="BM129" i="51"/>
  <c r="BK129" i="51"/>
  <c r="BM133" i="51"/>
  <c r="BK133" i="51"/>
  <c r="BM138" i="51"/>
  <c r="BK138" i="51"/>
  <c r="BM140" i="51"/>
  <c r="BK140" i="51"/>
  <c r="BM146" i="51"/>
  <c r="BK146" i="51"/>
  <c r="BM143" i="51"/>
  <c r="BK143" i="51"/>
  <c r="BM148" i="51"/>
  <c r="BK148" i="51"/>
  <c r="BM152" i="51"/>
  <c r="BK152" i="51"/>
  <c r="BM157" i="51"/>
  <c r="BK157" i="51"/>
  <c r="BL157" i="51"/>
  <c r="BM163" i="51"/>
  <c r="BK163" i="51"/>
  <c r="BL163" i="51"/>
  <c r="BM171" i="51"/>
  <c r="BK171" i="51"/>
  <c r="BL171" i="51"/>
  <c r="BM176" i="51"/>
  <c r="BK176" i="51"/>
  <c r="BL176" i="51"/>
  <c r="BM178" i="51"/>
  <c r="BK178" i="51"/>
  <c r="BL178" i="51"/>
  <c r="BM186" i="51"/>
  <c r="BK186" i="51"/>
  <c r="BL186" i="51"/>
  <c r="BM191" i="51"/>
  <c r="BK191" i="51"/>
  <c r="BL191" i="51"/>
  <c r="BM199" i="51"/>
  <c r="BK199" i="51"/>
  <c r="BL199" i="51"/>
  <c r="BM204" i="51"/>
  <c r="BK204" i="51"/>
  <c r="BL204" i="51"/>
  <c r="BM210" i="51"/>
  <c r="BK210" i="51"/>
  <c r="BL210" i="51"/>
  <c r="BM216" i="51"/>
  <c r="BK216" i="51"/>
  <c r="BL216" i="51"/>
  <c r="BM220" i="51"/>
  <c r="BK220" i="51"/>
  <c r="BL220" i="51"/>
  <c r="BM231" i="51"/>
  <c r="BK231" i="51"/>
  <c r="BL231" i="51"/>
  <c r="BN116" i="51"/>
  <c r="BM111" i="51"/>
  <c r="BK111" i="51"/>
  <c r="BM113" i="51"/>
  <c r="BK113" i="51"/>
  <c r="BM153" i="51"/>
  <c r="BK153" i="51"/>
  <c r="BL153" i="51"/>
  <c r="BM159" i="51"/>
  <c r="BK159" i="51"/>
  <c r="BL159" i="51"/>
  <c r="BM167" i="51"/>
  <c r="BK167" i="51"/>
  <c r="BL167" i="51"/>
  <c r="BM180" i="51"/>
  <c r="BK180" i="51"/>
  <c r="BL180" i="51"/>
  <c r="BM185" i="51"/>
  <c r="BK185" i="51"/>
  <c r="BL185" i="51"/>
  <c r="BM190" i="51"/>
  <c r="BK190" i="51"/>
  <c r="BL190" i="51"/>
  <c r="BM193" i="51"/>
  <c r="BK193" i="51"/>
  <c r="BL193" i="51"/>
  <c r="BM203" i="51"/>
  <c r="BK203" i="51"/>
  <c r="BL203" i="51"/>
  <c r="BM208" i="51"/>
  <c r="BK208" i="51"/>
  <c r="BL208" i="51"/>
  <c r="BM219" i="51"/>
  <c r="BK219" i="51"/>
  <c r="BL219" i="51"/>
  <c r="BM225" i="51"/>
  <c r="BK225" i="51"/>
  <c r="BL225" i="51"/>
  <c r="BM227" i="51"/>
  <c r="BK227" i="51"/>
  <c r="BM234" i="51"/>
  <c r="BK234" i="51"/>
  <c r="BM236" i="51"/>
  <c r="BK236" i="51"/>
  <c r="BM240" i="51"/>
  <c r="BK240" i="51"/>
  <c r="BM242" i="51"/>
  <c r="BK242" i="51"/>
  <c r="BM253" i="51"/>
  <c r="BK253" i="51"/>
  <c r="BM255" i="51"/>
  <c r="BK255" i="51"/>
  <c r="DL75" i="51"/>
  <c r="DK75" i="51"/>
  <c r="DJ75" i="51"/>
  <c r="DI75" i="51"/>
  <c r="CW75" i="51"/>
  <c r="CV75" i="51"/>
  <c r="CU75" i="51"/>
  <c r="CT75" i="51"/>
  <c r="CR75" i="51"/>
  <c r="CQ75" i="51"/>
  <c r="CP75" i="51"/>
  <c r="CO75" i="51"/>
  <c r="CM75" i="51"/>
  <c r="CL75" i="51"/>
  <c r="CK75" i="51"/>
  <c r="CJ75" i="51"/>
  <c r="CH75" i="51"/>
  <c r="CG75" i="51"/>
  <c r="CF75" i="51"/>
  <c r="CE75" i="51"/>
  <c r="CC75" i="51"/>
  <c r="CB75" i="51"/>
  <c r="CA75" i="51"/>
  <c r="BZ75" i="51"/>
  <c r="BX75" i="51"/>
  <c r="BW75" i="51"/>
  <c r="BV75" i="51"/>
  <c r="BU75" i="51"/>
  <c r="BT75" i="51"/>
  <c r="BY75" i="51" s="1"/>
  <c r="CD75" i="51" s="1"/>
  <c r="CI75" i="51" s="1"/>
  <c r="CN75" i="51" s="1"/>
  <c r="CS75" i="51" s="1"/>
  <c r="CX75" i="51" s="1"/>
  <c r="DC75" i="51" s="1"/>
  <c r="BS75" i="51"/>
  <c r="BR75" i="51"/>
  <c r="BQ75" i="51"/>
  <c r="BP75" i="51"/>
  <c r="BI75" i="51"/>
  <c r="BH75" i="51" s="1"/>
  <c r="BD75" i="51"/>
  <c r="BC75" i="51" s="1"/>
  <c r="AT75" i="51"/>
  <c r="AS75" i="51" s="1"/>
  <c r="AO75" i="51"/>
  <c r="AN75" i="51" s="1"/>
  <c r="AJ75" i="51"/>
  <c r="AI75" i="51" s="1"/>
  <c r="AE75" i="51"/>
  <c r="AD75" i="51" s="1"/>
  <c r="Z75" i="51"/>
  <c r="Y75" i="51" s="1"/>
  <c r="U75" i="51"/>
  <c r="T75" i="51" s="1"/>
  <c r="P75" i="51"/>
  <c r="O75" i="51" s="1"/>
  <c r="AY75" i="51"/>
  <c r="BI257" i="51"/>
  <c r="BH257" i="51" s="1"/>
  <c r="BD257" i="51"/>
  <c r="AY257" i="51"/>
  <c r="AW257" i="51" s="1"/>
  <c r="AT257" i="51"/>
  <c r="AO257" i="51"/>
  <c r="AM257" i="51" s="1"/>
  <c r="AJ257" i="51"/>
  <c r="AH257" i="51" s="1"/>
  <c r="AE257" i="51"/>
  <c r="AD257" i="51" s="1"/>
  <c r="Z257" i="51"/>
  <c r="U257" i="51"/>
  <c r="T257" i="51" s="1"/>
  <c r="P257" i="51"/>
  <c r="BD255" i="51"/>
  <c r="AY255" i="51"/>
  <c r="AW255" i="51" s="1"/>
  <c r="AT255" i="51"/>
  <c r="AP255" i="51" s="1"/>
  <c r="AO255" i="51"/>
  <c r="AM255" i="51" s="1"/>
  <c r="AJ255" i="51"/>
  <c r="AF255" i="51" s="1"/>
  <c r="AE255" i="51"/>
  <c r="AD255" i="51" s="1"/>
  <c r="Z255" i="51"/>
  <c r="V255" i="51" s="1"/>
  <c r="U255" i="51"/>
  <c r="Q255" i="51" s="1"/>
  <c r="P255" i="51"/>
  <c r="L255" i="51" s="1"/>
  <c r="BI254" i="51"/>
  <c r="BH254" i="51" s="1"/>
  <c r="AY254" i="51"/>
  <c r="AT254" i="51"/>
  <c r="AP254" i="51" s="1"/>
  <c r="AO254" i="51"/>
  <c r="AN254" i="51" s="1"/>
  <c r="AJ254" i="51"/>
  <c r="AF254" i="51" s="1"/>
  <c r="AE254" i="51"/>
  <c r="Z254" i="51"/>
  <c r="V254" i="51" s="1"/>
  <c r="U254" i="51"/>
  <c r="Q254" i="51" s="1"/>
  <c r="P254" i="51"/>
  <c r="L254" i="51" s="1"/>
  <c r="BI253" i="51"/>
  <c r="BD253" i="51"/>
  <c r="AZ253" i="51" s="1"/>
  <c r="AT253" i="51"/>
  <c r="AP253" i="51" s="1"/>
  <c r="AO253" i="51"/>
  <c r="AM253" i="51" s="1"/>
  <c r="AJ253" i="51"/>
  <c r="AF253" i="51" s="1"/>
  <c r="AE253" i="51"/>
  <c r="AD253" i="51" s="1"/>
  <c r="Z253" i="51"/>
  <c r="V253" i="51" s="1"/>
  <c r="U253" i="51"/>
  <c r="P253" i="51"/>
  <c r="L253" i="51" s="1"/>
  <c r="BI239" i="51"/>
  <c r="BE239" i="51" s="1"/>
  <c r="BD239" i="51"/>
  <c r="BB239" i="51" s="1"/>
  <c r="AY239" i="51"/>
  <c r="AT239" i="51"/>
  <c r="AR239" i="51" s="1"/>
  <c r="AO239" i="51"/>
  <c r="AK239" i="51" s="1"/>
  <c r="AJ239" i="51"/>
  <c r="AH239" i="51" s="1"/>
  <c r="AE239" i="51"/>
  <c r="Z239" i="51"/>
  <c r="X239" i="51" s="1"/>
  <c r="U239" i="51"/>
  <c r="Q239" i="51" s="1"/>
  <c r="P239" i="51"/>
  <c r="N239" i="51" s="1"/>
  <c r="BI242" i="51"/>
  <c r="BD242" i="51"/>
  <c r="BB242" i="51" s="1"/>
  <c r="AY242" i="51"/>
  <c r="AU242" i="51" s="1"/>
  <c r="AT242" i="51"/>
  <c r="AR242" i="51" s="1"/>
  <c r="AO242" i="51"/>
  <c r="AJ242" i="51"/>
  <c r="AH242" i="51" s="1"/>
  <c r="AE242" i="51"/>
  <c r="AA242" i="51" s="1"/>
  <c r="Z242" i="51"/>
  <c r="X242" i="51" s="1"/>
  <c r="U242" i="51"/>
  <c r="P242" i="51"/>
  <c r="N242" i="51" s="1"/>
  <c r="BI241" i="51"/>
  <c r="BE241" i="51" s="1"/>
  <c r="BD241" i="51"/>
  <c r="BB241" i="51" s="1"/>
  <c r="AY241" i="51"/>
  <c r="AT241" i="51"/>
  <c r="AR241" i="51" s="1"/>
  <c r="AO241" i="51"/>
  <c r="AK241" i="51" s="1"/>
  <c r="AJ241" i="51"/>
  <c r="AH241" i="51" s="1"/>
  <c r="AE241" i="51"/>
  <c r="Z241" i="51"/>
  <c r="X241" i="51" s="1"/>
  <c r="U241" i="51"/>
  <c r="Q241" i="51" s="1"/>
  <c r="P241" i="51"/>
  <c r="N241" i="51" s="1"/>
  <c r="BI240" i="51"/>
  <c r="BD240" i="51"/>
  <c r="BB240" i="51" s="1"/>
  <c r="AY240" i="51"/>
  <c r="AU240" i="51" s="1"/>
  <c r="AT240" i="51"/>
  <c r="AR240" i="51" s="1"/>
  <c r="AO240" i="51"/>
  <c r="AJ240" i="51"/>
  <c r="AH240" i="51" s="1"/>
  <c r="AE240" i="51"/>
  <c r="AA240" i="51" s="1"/>
  <c r="Z240" i="51"/>
  <c r="X240" i="51" s="1"/>
  <c r="U240" i="51"/>
  <c r="P240" i="51"/>
  <c r="N240" i="51" s="1"/>
  <c r="BI237" i="51"/>
  <c r="BE237" i="51" s="1"/>
  <c r="BD237" i="51"/>
  <c r="BB237" i="51" s="1"/>
  <c r="AY237" i="51"/>
  <c r="AT237" i="51"/>
  <c r="AR237" i="51" s="1"/>
  <c r="AO237" i="51"/>
  <c r="AK237" i="51" s="1"/>
  <c r="AJ237" i="51"/>
  <c r="AE237" i="51"/>
  <c r="Z237" i="51"/>
  <c r="X237" i="51" s="1"/>
  <c r="U237" i="51"/>
  <c r="Q237" i="51" s="1"/>
  <c r="P237" i="51"/>
  <c r="N237" i="51" s="1"/>
  <c r="BI236" i="51"/>
  <c r="BD236" i="51"/>
  <c r="BB236" i="51" s="1"/>
  <c r="AY236" i="51"/>
  <c r="AU236" i="51" s="1"/>
  <c r="AT236" i="51"/>
  <c r="AR236" i="51" s="1"/>
  <c r="AO236" i="51"/>
  <c r="AJ236" i="51"/>
  <c r="AH236" i="51" s="1"/>
  <c r="AE236" i="51"/>
  <c r="AA236" i="51" s="1"/>
  <c r="Z236" i="51"/>
  <c r="X236" i="51" s="1"/>
  <c r="U236" i="51"/>
  <c r="P236" i="51"/>
  <c r="N236" i="51" s="1"/>
  <c r="BI235" i="51"/>
  <c r="BE235" i="51" s="1"/>
  <c r="BD235" i="51"/>
  <c r="BB235" i="51" s="1"/>
  <c r="AY235" i="51"/>
  <c r="AT235" i="51"/>
  <c r="AR235" i="51" s="1"/>
  <c r="AO235" i="51"/>
  <c r="AK235" i="51" s="1"/>
  <c r="AJ235" i="51"/>
  <c r="AH235" i="51" s="1"/>
  <c r="AE235" i="51"/>
  <c r="Z235" i="51"/>
  <c r="X235" i="51" s="1"/>
  <c r="U235" i="51"/>
  <c r="Q235" i="51" s="1"/>
  <c r="P235" i="51"/>
  <c r="N235" i="51" s="1"/>
  <c r="BI234" i="51"/>
  <c r="BD234" i="51"/>
  <c r="AY234" i="51"/>
  <c r="AU234" i="51" s="1"/>
  <c r="AT234" i="51"/>
  <c r="AR234" i="51" s="1"/>
  <c r="AO234" i="51"/>
  <c r="AJ234" i="51"/>
  <c r="AH234" i="51" s="1"/>
  <c r="AE234" i="51"/>
  <c r="AA234" i="51" s="1"/>
  <c r="Z234" i="51"/>
  <c r="X234" i="51" s="1"/>
  <c r="U234" i="51"/>
  <c r="P234" i="51"/>
  <c r="N234" i="51" s="1"/>
  <c r="BI228" i="51"/>
  <c r="BG228" i="51" s="1"/>
  <c r="BD228" i="51"/>
  <c r="AZ228" i="51" s="1"/>
  <c r="AY228" i="51"/>
  <c r="AT228" i="51"/>
  <c r="AO228" i="51"/>
  <c r="AM228" i="51" s="1"/>
  <c r="AJ228" i="51"/>
  <c r="AF228" i="51" s="1"/>
  <c r="AE228" i="51"/>
  <c r="AC228" i="51" s="1"/>
  <c r="Z228" i="51"/>
  <c r="U228" i="51"/>
  <c r="S228" i="51" s="1"/>
  <c r="P228" i="51"/>
  <c r="L228" i="51" s="1"/>
  <c r="BI227" i="51"/>
  <c r="BG227" i="51" s="1"/>
  <c r="BD227" i="51"/>
  <c r="AY227" i="51"/>
  <c r="AT227" i="51"/>
  <c r="AP227" i="51" s="1"/>
  <c r="AO227" i="51"/>
  <c r="AK227" i="51" s="1"/>
  <c r="AJ227" i="51"/>
  <c r="AI227" i="51" s="1"/>
  <c r="AE227" i="51"/>
  <c r="AA227" i="51" s="1"/>
  <c r="Z227" i="51"/>
  <c r="V227" i="51" s="1"/>
  <c r="U227" i="51"/>
  <c r="Q227" i="51" s="1"/>
  <c r="P227" i="51"/>
  <c r="BI226" i="51"/>
  <c r="BE226" i="51" s="1"/>
  <c r="BD226" i="51"/>
  <c r="AZ226" i="51" s="1"/>
  <c r="AY226" i="51"/>
  <c r="AU226" i="51" s="1"/>
  <c r="AT226" i="51"/>
  <c r="AS226" i="51" s="1"/>
  <c r="AO226" i="51"/>
  <c r="AK226" i="51" s="1"/>
  <c r="AJ226" i="51"/>
  <c r="AF226" i="51" s="1"/>
  <c r="AE226" i="51"/>
  <c r="AA226" i="51" s="1"/>
  <c r="Z226" i="51"/>
  <c r="U226" i="51"/>
  <c r="Q226" i="51" s="1"/>
  <c r="P226" i="51"/>
  <c r="L226" i="51" s="1"/>
  <c r="BI231" i="51"/>
  <c r="BE231" i="51" s="1"/>
  <c r="BD231" i="51"/>
  <c r="BC231" i="51" s="1"/>
  <c r="AY231" i="51"/>
  <c r="AU231" i="51" s="1"/>
  <c r="AT231" i="51"/>
  <c r="AP231" i="51" s="1"/>
  <c r="AO231" i="51"/>
  <c r="AK231" i="51" s="1"/>
  <c r="AJ231" i="51"/>
  <c r="AI231" i="51" s="1"/>
  <c r="AE231" i="51"/>
  <c r="AA231" i="51" s="1"/>
  <c r="Z231" i="51"/>
  <c r="V231" i="51" s="1"/>
  <c r="U231" i="51"/>
  <c r="Q231" i="51" s="1"/>
  <c r="P231" i="51"/>
  <c r="O231" i="51" s="1"/>
  <c r="BI225" i="51"/>
  <c r="BE225" i="51" s="1"/>
  <c r="BD225" i="51"/>
  <c r="BC225" i="51" s="1"/>
  <c r="AY225" i="51"/>
  <c r="AU225" i="51" s="1"/>
  <c r="AO225" i="51"/>
  <c r="AK225" i="51" s="1"/>
  <c r="AJ225" i="51"/>
  <c r="AI225" i="51" s="1"/>
  <c r="AE225" i="51"/>
  <c r="AA225" i="51" s="1"/>
  <c r="Z225" i="51"/>
  <c r="V225" i="51" s="1"/>
  <c r="U225" i="51"/>
  <c r="Q225" i="51" s="1"/>
  <c r="P225" i="51"/>
  <c r="O225" i="51" s="1"/>
  <c r="BI222" i="51"/>
  <c r="BD222" i="51"/>
  <c r="AZ222" i="51" s="1"/>
  <c r="AY222" i="51"/>
  <c r="AU222" i="51" s="1"/>
  <c r="AT222" i="51"/>
  <c r="AO222" i="51"/>
  <c r="AJ222" i="51"/>
  <c r="AH222" i="51" s="1"/>
  <c r="AE222" i="51"/>
  <c r="AA222" i="51" s="1"/>
  <c r="Z222" i="51"/>
  <c r="U222" i="51"/>
  <c r="P222" i="51"/>
  <c r="O222" i="51" s="1"/>
  <c r="BI220" i="51"/>
  <c r="BE220" i="51" s="1"/>
  <c r="BD220" i="51"/>
  <c r="AY220" i="51"/>
  <c r="AT220" i="51"/>
  <c r="AP220" i="51" s="1"/>
  <c r="AO220" i="51"/>
  <c r="AK220" i="51" s="1"/>
  <c r="AJ220" i="51"/>
  <c r="AE220" i="51"/>
  <c r="Z220" i="51"/>
  <c r="Y220" i="51" s="1"/>
  <c r="U220" i="51"/>
  <c r="Q220" i="51" s="1"/>
  <c r="P220" i="51"/>
  <c r="N220" i="51" s="1"/>
  <c r="BI221" i="51"/>
  <c r="BD221" i="51"/>
  <c r="AY221" i="51"/>
  <c r="AU221" i="51" s="1"/>
  <c r="AT221" i="51"/>
  <c r="AO221" i="51"/>
  <c r="AJ221" i="51"/>
  <c r="AE221" i="51"/>
  <c r="AA221" i="51" s="1"/>
  <c r="Z221" i="51"/>
  <c r="U221" i="51"/>
  <c r="P221" i="51"/>
  <c r="L221" i="51" s="1"/>
  <c r="BI219" i="51"/>
  <c r="BE219" i="51" s="1"/>
  <c r="AY219" i="51"/>
  <c r="AU219" i="51" s="1"/>
  <c r="AT219" i="51"/>
  <c r="AP219" i="51" s="1"/>
  <c r="AO219" i="51"/>
  <c r="AK219" i="51" s="1"/>
  <c r="AJ219" i="51"/>
  <c r="AI219" i="51" s="1"/>
  <c r="AE219" i="51"/>
  <c r="AA219" i="51" s="1"/>
  <c r="Z219" i="51"/>
  <c r="V219" i="51" s="1"/>
  <c r="U219" i="51"/>
  <c r="Q219" i="51" s="1"/>
  <c r="P219" i="51"/>
  <c r="BI214" i="51"/>
  <c r="BD214" i="51"/>
  <c r="AY214" i="51"/>
  <c r="AU214" i="51" s="1"/>
  <c r="AT214" i="51"/>
  <c r="AR214" i="51" s="1"/>
  <c r="AO214" i="51"/>
  <c r="AJ214" i="51"/>
  <c r="AE214" i="51"/>
  <c r="AA214" i="51" s="1"/>
  <c r="Z214" i="51"/>
  <c r="X214" i="51" s="1"/>
  <c r="U214" i="51"/>
  <c r="P214" i="51"/>
  <c r="BI216" i="51"/>
  <c r="BE216" i="51" s="1"/>
  <c r="BD216" i="51"/>
  <c r="AY216" i="51"/>
  <c r="AT216" i="51"/>
  <c r="AP216" i="51" s="1"/>
  <c r="AO216" i="51"/>
  <c r="AK216" i="51" s="1"/>
  <c r="AJ216" i="51"/>
  <c r="AH216" i="51" s="1"/>
  <c r="AE216" i="51"/>
  <c r="Z216" i="51"/>
  <c r="U216" i="51"/>
  <c r="Q216" i="51" s="1"/>
  <c r="P216" i="51"/>
  <c r="N216" i="51" s="1"/>
  <c r="BI213" i="51"/>
  <c r="BD213" i="51"/>
  <c r="BB213" i="51" s="1"/>
  <c r="AY213" i="51"/>
  <c r="AU213" i="51" s="1"/>
  <c r="AT213" i="51"/>
  <c r="AO213" i="51"/>
  <c r="AJ213" i="51"/>
  <c r="AI213" i="51" s="1"/>
  <c r="AE213" i="51"/>
  <c r="AA213" i="51" s="1"/>
  <c r="Z213" i="51"/>
  <c r="U213" i="51"/>
  <c r="P213" i="51"/>
  <c r="L213" i="51" s="1"/>
  <c r="BI210" i="51"/>
  <c r="BE210" i="51" s="1"/>
  <c r="BD210" i="51"/>
  <c r="AY210" i="51"/>
  <c r="AT210" i="51"/>
  <c r="AR210" i="51" s="1"/>
  <c r="AO210" i="51"/>
  <c r="AK210" i="51" s="1"/>
  <c r="AJ210" i="51"/>
  <c r="AF210" i="51" s="1"/>
  <c r="AE210" i="51"/>
  <c r="Z210" i="51"/>
  <c r="V210" i="51" s="1"/>
  <c r="U210" i="51"/>
  <c r="Q210" i="51" s="1"/>
  <c r="P210" i="51"/>
  <c r="BI209" i="51"/>
  <c r="BD209" i="51"/>
  <c r="AZ209" i="51" s="1"/>
  <c r="AY209" i="51"/>
  <c r="AU209" i="51" s="1"/>
  <c r="AT209" i="51"/>
  <c r="AP209" i="51" s="1"/>
  <c r="AO209" i="51"/>
  <c r="AJ209" i="51"/>
  <c r="AF209" i="51" s="1"/>
  <c r="AE209" i="51"/>
  <c r="AA209" i="51" s="1"/>
  <c r="Z209" i="51"/>
  <c r="U209" i="51"/>
  <c r="P209" i="51"/>
  <c r="O209" i="51" s="1"/>
  <c r="BI208" i="51"/>
  <c r="BE208" i="51" s="1"/>
  <c r="BD208" i="51"/>
  <c r="AZ208" i="51" s="1"/>
  <c r="AY208" i="51"/>
  <c r="AT208" i="51"/>
  <c r="AP208" i="51" s="1"/>
  <c r="AO208" i="51"/>
  <c r="AK208" i="51" s="1"/>
  <c r="AJ208" i="51"/>
  <c r="AE208" i="51"/>
  <c r="Z208" i="51"/>
  <c r="X208" i="51" s="1"/>
  <c r="U208" i="51"/>
  <c r="Q208" i="51" s="1"/>
  <c r="P208" i="51"/>
  <c r="BI207" i="51"/>
  <c r="AY207" i="51"/>
  <c r="AU207" i="51" s="1"/>
  <c r="AT207" i="51"/>
  <c r="AP207" i="51" s="1"/>
  <c r="AO207" i="51"/>
  <c r="AJ207" i="51"/>
  <c r="AF207" i="51" s="1"/>
  <c r="AE207" i="51"/>
  <c r="AA207" i="51" s="1"/>
  <c r="Z207" i="51"/>
  <c r="U207" i="51"/>
  <c r="P207" i="51"/>
  <c r="O207" i="51" s="1"/>
  <c r="BI204" i="51"/>
  <c r="BE204" i="51" s="1"/>
  <c r="BD204" i="51"/>
  <c r="BB204" i="51" s="1"/>
  <c r="AY204" i="51"/>
  <c r="AT204" i="51"/>
  <c r="AO204" i="51"/>
  <c r="AK204" i="51" s="1"/>
  <c r="AJ204" i="51"/>
  <c r="AE204" i="51"/>
  <c r="Z204" i="51"/>
  <c r="X204" i="51" s="1"/>
  <c r="U204" i="51"/>
  <c r="Q204" i="51" s="1"/>
  <c r="P204" i="51"/>
  <c r="L204" i="51" s="1"/>
  <c r="BI200" i="51"/>
  <c r="BD200" i="51"/>
  <c r="AZ200" i="51" s="1"/>
  <c r="AY200" i="51"/>
  <c r="AU200" i="51" s="1"/>
  <c r="AT200" i="51"/>
  <c r="AS200" i="51" s="1"/>
  <c r="AO200" i="51"/>
  <c r="AJ200" i="51"/>
  <c r="AI200" i="51" s="1"/>
  <c r="AE200" i="51"/>
  <c r="AA200" i="51" s="1"/>
  <c r="Z200" i="51"/>
  <c r="X200" i="51" s="1"/>
  <c r="U200" i="51"/>
  <c r="P200" i="51"/>
  <c r="N200" i="51" s="1"/>
  <c r="BI203" i="51"/>
  <c r="BE203" i="51" s="1"/>
  <c r="BD203" i="51"/>
  <c r="AY203" i="51"/>
  <c r="AT203" i="51"/>
  <c r="AS203" i="51" s="1"/>
  <c r="AO203" i="51"/>
  <c r="AK203" i="51" s="1"/>
  <c r="AJ203" i="51"/>
  <c r="AF203" i="51" s="1"/>
  <c r="AE203" i="51"/>
  <c r="Z203" i="51"/>
  <c r="V203" i="51" s="1"/>
  <c r="U203" i="51"/>
  <c r="Q203" i="51" s="1"/>
  <c r="P203" i="51"/>
  <c r="BI201" i="51"/>
  <c r="BD201" i="51"/>
  <c r="BC201" i="51" s="1"/>
  <c r="AY201" i="51"/>
  <c r="AU201" i="51" s="1"/>
  <c r="AT201" i="51"/>
  <c r="AR201" i="51" s="1"/>
  <c r="AO201" i="51"/>
  <c r="AJ201" i="51"/>
  <c r="AE201" i="51"/>
  <c r="AA201" i="51" s="1"/>
  <c r="Z201" i="51"/>
  <c r="Y201" i="51" s="1"/>
  <c r="U201" i="51"/>
  <c r="P201" i="51"/>
  <c r="O201" i="51" s="1"/>
  <c r="BI199" i="51"/>
  <c r="BE199" i="51" s="1"/>
  <c r="BD199" i="51"/>
  <c r="AZ199" i="51" s="1"/>
  <c r="AY199" i="51"/>
  <c r="AO199" i="51"/>
  <c r="AM199" i="51" s="1"/>
  <c r="AJ199" i="51"/>
  <c r="AE199" i="51"/>
  <c r="AC199" i="51" s="1"/>
  <c r="Z199" i="51"/>
  <c r="V199" i="51" s="1"/>
  <c r="U199" i="51"/>
  <c r="P199" i="51"/>
  <c r="BI193" i="51"/>
  <c r="BE193" i="51" s="1"/>
  <c r="BD193" i="51"/>
  <c r="AY193" i="51"/>
  <c r="AT193" i="51"/>
  <c r="AS193" i="51" s="1"/>
  <c r="AO193" i="51"/>
  <c r="AL193" i="51" s="1"/>
  <c r="AJ193" i="51"/>
  <c r="AH193" i="51" s="1"/>
  <c r="AE193" i="51"/>
  <c r="AD193" i="51" s="1"/>
  <c r="Z193" i="51"/>
  <c r="Y193" i="51" s="1"/>
  <c r="U193" i="51"/>
  <c r="T193" i="51" s="1"/>
  <c r="P193" i="51"/>
  <c r="L193" i="51" s="1"/>
  <c r="BI196" i="51"/>
  <c r="BG196" i="51" s="1"/>
  <c r="BD196" i="51"/>
  <c r="AY196" i="51"/>
  <c r="AW196" i="51" s="1"/>
  <c r="AT196" i="51"/>
  <c r="AP196" i="51" s="1"/>
  <c r="AO196" i="51"/>
  <c r="AN196" i="51" s="1"/>
  <c r="AJ196" i="51"/>
  <c r="AE196" i="51"/>
  <c r="AD196" i="51" s="1"/>
  <c r="Z196" i="51"/>
  <c r="V196" i="51" s="1"/>
  <c r="U196" i="51"/>
  <c r="Q196" i="51" s="1"/>
  <c r="P196" i="51"/>
  <c r="BI191" i="51"/>
  <c r="AY191" i="51"/>
  <c r="AX191" i="51" s="1"/>
  <c r="AT191" i="51"/>
  <c r="AO191" i="51"/>
  <c r="AN191" i="51" s="1"/>
  <c r="AJ191" i="51"/>
  <c r="AF191" i="51" s="1"/>
  <c r="AE191" i="51"/>
  <c r="AC191" i="51" s="1"/>
  <c r="Z191" i="51"/>
  <c r="U191" i="51"/>
  <c r="S191" i="51" s="1"/>
  <c r="P191" i="51"/>
  <c r="L191" i="51" s="1"/>
  <c r="BI195" i="51"/>
  <c r="BH195" i="51" s="1"/>
  <c r="BD195" i="51"/>
  <c r="AY195" i="51"/>
  <c r="AX195" i="51" s="1"/>
  <c r="AT195" i="51"/>
  <c r="AP195" i="51" s="1"/>
  <c r="AO195" i="51"/>
  <c r="AK195" i="51" s="1"/>
  <c r="AJ195" i="51"/>
  <c r="AE195" i="51"/>
  <c r="Z195" i="51"/>
  <c r="V195" i="51" s="1"/>
  <c r="U195" i="51"/>
  <c r="T195" i="51" s="1"/>
  <c r="P195" i="51"/>
  <c r="BI190" i="51"/>
  <c r="BH190" i="51" s="1"/>
  <c r="BD190" i="51"/>
  <c r="AZ190" i="51" s="1"/>
  <c r="AY190" i="51"/>
  <c r="AW190" i="51" s="1"/>
  <c r="AO190" i="51"/>
  <c r="AM190" i="51" s="1"/>
  <c r="AJ190" i="51"/>
  <c r="AF190" i="51" s="1"/>
  <c r="AE190" i="51"/>
  <c r="AD190" i="51" s="1"/>
  <c r="Z190" i="51"/>
  <c r="U190" i="51"/>
  <c r="T190" i="51" s="1"/>
  <c r="P190" i="51"/>
  <c r="L190" i="51" s="1"/>
  <c r="BD192" i="51"/>
  <c r="AY192" i="51"/>
  <c r="AT192" i="51"/>
  <c r="AP192" i="51" s="1"/>
  <c r="AO192" i="51"/>
  <c r="AN192" i="51" s="1"/>
  <c r="AJ192" i="51"/>
  <c r="AE192" i="51"/>
  <c r="Z192" i="51"/>
  <c r="V192" i="51" s="1"/>
  <c r="U192" i="51"/>
  <c r="P192" i="51"/>
  <c r="BI186" i="51"/>
  <c r="BF186" i="51" s="1"/>
  <c r="BD186" i="51"/>
  <c r="AZ186" i="51" s="1"/>
  <c r="AY186" i="51"/>
  <c r="AT186" i="51"/>
  <c r="AO186" i="51"/>
  <c r="AM186" i="51" s="1"/>
  <c r="AJ186" i="51"/>
  <c r="AF186" i="51" s="1"/>
  <c r="AE186" i="51"/>
  <c r="AC186" i="51" s="1"/>
  <c r="Z186" i="51"/>
  <c r="V186" i="51" s="1"/>
  <c r="U186" i="51"/>
  <c r="Q186" i="51" s="1"/>
  <c r="P186" i="51"/>
  <c r="L186" i="51" s="1"/>
  <c r="BI187" i="51"/>
  <c r="BD187" i="51"/>
  <c r="AY187" i="51"/>
  <c r="AU187" i="51" s="1"/>
  <c r="AT187" i="51"/>
  <c r="AO187" i="51"/>
  <c r="AJ187" i="51"/>
  <c r="AE187" i="51"/>
  <c r="AA187" i="51" s="1"/>
  <c r="Z187" i="51"/>
  <c r="Y187" i="51" s="1"/>
  <c r="U187" i="51"/>
  <c r="P187" i="51"/>
  <c r="BI185" i="51"/>
  <c r="BE185" i="51" s="1"/>
  <c r="BD185" i="51"/>
  <c r="AY185" i="51"/>
  <c r="AT185" i="51"/>
  <c r="AO185" i="51"/>
  <c r="AK185" i="51" s="1"/>
  <c r="AJ185" i="51"/>
  <c r="AE185" i="51"/>
  <c r="Z185" i="51"/>
  <c r="U185" i="51"/>
  <c r="Q185" i="51" s="1"/>
  <c r="P185" i="51"/>
  <c r="N185" i="51" s="1"/>
  <c r="BI184" i="51"/>
  <c r="AY184" i="51"/>
  <c r="AU184" i="51" s="1"/>
  <c r="AT184" i="51"/>
  <c r="AS184" i="51" s="1"/>
  <c r="AO184" i="51"/>
  <c r="AJ184" i="51"/>
  <c r="AE184" i="51"/>
  <c r="AA184" i="51" s="1"/>
  <c r="Z184" i="51"/>
  <c r="V184" i="51" s="1"/>
  <c r="U184" i="51"/>
  <c r="P184" i="51"/>
  <c r="L184" i="51" s="1"/>
  <c r="BI178" i="51"/>
  <c r="BE178" i="51" s="1"/>
  <c r="BD178" i="51"/>
  <c r="AY178" i="51"/>
  <c r="AT178" i="51"/>
  <c r="AO178" i="51"/>
  <c r="AK178" i="51" s="1"/>
  <c r="AJ178" i="51"/>
  <c r="AH178" i="51" s="1"/>
  <c r="AE178" i="51"/>
  <c r="Z178" i="51"/>
  <c r="X178" i="51" s="1"/>
  <c r="U178" i="51"/>
  <c r="Q178" i="51" s="1"/>
  <c r="P178" i="51"/>
  <c r="O178" i="51" s="1"/>
  <c r="BI177" i="51"/>
  <c r="BD177" i="51"/>
  <c r="AY177" i="51"/>
  <c r="AU177" i="51" s="1"/>
  <c r="AT177" i="51"/>
  <c r="AO177" i="51"/>
  <c r="AJ177" i="51"/>
  <c r="AE177" i="51"/>
  <c r="AA177" i="51" s="1"/>
  <c r="Z177" i="51"/>
  <c r="X177" i="51" s="1"/>
  <c r="U177" i="51"/>
  <c r="P177" i="51"/>
  <c r="N177" i="51" s="1"/>
  <c r="BI180" i="51"/>
  <c r="BE180" i="51" s="1"/>
  <c r="AY180" i="51"/>
  <c r="AT180" i="51"/>
  <c r="AO180" i="51"/>
  <c r="AJ180" i="51"/>
  <c r="AH180" i="51" s="1"/>
  <c r="AE180" i="51"/>
  <c r="AA180" i="51" s="1"/>
  <c r="Z180" i="51"/>
  <c r="Y180" i="51" s="1"/>
  <c r="U180" i="51"/>
  <c r="P180" i="51"/>
  <c r="O180" i="51" s="1"/>
  <c r="BI179" i="51"/>
  <c r="BE179" i="51" s="1"/>
  <c r="BD179" i="51"/>
  <c r="AZ179" i="51" s="1"/>
  <c r="AY179" i="51"/>
  <c r="AT179" i="51"/>
  <c r="AO179" i="51"/>
  <c r="AK179" i="51" s="1"/>
  <c r="AJ179" i="51"/>
  <c r="AI179" i="51" s="1"/>
  <c r="AE179" i="51"/>
  <c r="Z179" i="51"/>
  <c r="Y179" i="51" s="1"/>
  <c r="U179" i="51"/>
  <c r="Q179" i="51" s="1"/>
  <c r="P179" i="51"/>
  <c r="N179" i="51" s="1"/>
  <c r="BI176" i="51"/>
  <c r="BD176" i="51"/>
  <c r="AY176" i="51"/>
  <c r="AU176" i="51" s="1"/>
  <c r="AT176" i="51"/>
  <c r="AO176" i="51"/>
  <c r="AJ176" i="51"/>
  <c r="AE176" i="51"/>
  <c r="AA176" i="51" s="1"/>
  <c r="Z176" i="51"/>
  <c r="V176" i="51" s="1"/>
  <c r="U176" i="51"/>
  <c r="P176" i="51"/>
  <c r="L176" i="51" s="1"/>
  <c r="BI174" i="51"/>
  <c r="BE174" i="51" s="1"/>
  <c r="BD174" i="51"/>
  <c r="BC174" i="51" s="1"/>
  <c r="AY174" i="51"/>
  <c r="AO174" i="51"/>
  <c r="AK174" i="51" s="1"/>
  <c r="AJ174" i="51"/>
  <c r="AH174" i="51" s="1"/>
  <c r="AE174" i="51"/>
  <c r="Z174" i="51"/>
  <c r="X174" i="51" s="1"/>
  <c r="U174" i="51"/>
  <c r="Q174" i="51" s="1"/>
  <c r="P174" i="51"/>
  <c r="O174" i="51" s="1"/>
  <c r="BI175" i="51"/>
  <c r="BE175" i="51" s="1"/>
  <c r="BD175" i="51"/>
  <c r="AT175" i="51"/>
  <c r="AR175" i="51" s="1"/>
  <c r="AO175" i="51"/>
  <c r="AK175" i="51" s="1"/>
  <c r="AJ175" i="51"/>
  <c r="AE175" i="51"/>
  <c r="Z175" i="51"/>
  <c r="V175" i="51" s="1"/>
  <c r="U175" i="51"/>
  <c r="Q175" i="51" s="1"/>
  <c r="P175" i="51"/>
  <c r="L175" i="51" s="1"/>
  <c r="BI171" i="51"/>
  <c r="BG171" i="51" s="1"/>
  <c r="AY171" i="51"/>
  <c r="AX171" i="51" s="1"/>
  <c r="AO171" i="51"/>
  <c r="AN171" i="51" s="1"/>
  <c r="AJ171" i="51"/>
  <c r="AE171" i="51"/>
  <c r="AC171" i="51" s="1"/>
  <c r="Z171" i="51"/>
  <c r="V171" i="51" s="1"/>
  <c r="U171" i="51"/>
  <c r="T171" i="51" s="1"/>
  <c r="P171" i="51"/>
  <c r="BI168" i="51"/>
  <c r="BD168" i="51"/>
  <c r="AZ168" i="51" s="1"/>
  <c r="AY168" i="51"/>
  <c r="AU168" i="51" s="1"/>
  <c r="AT168" i="51"/>
  <c r="AP168" i="51" s="1"/>
  <c r="AO168" i="51"/>
  <c r="AJ168" i="51"/>
  <c r="AE168" i="51"/>
  <c r="AA168" i="51" s="1"/>
  <c r="Z168" i="51"/>
  <c r="X168" i="51" s="1"/>
  <c r="U168" i="51"/>
  <c r="P168" i="51"/>
  <c r="N168" i="51" s="1"/>
  <c r="BD167" i="51"/>
  <c r="AZ167" i="51" s="1"/>
  <c r="AT167" i="51"/>
  <c r="AP167" i="51" s="1"/>
  <c r="AO167" i="51"/>
  <c r="AK167" i="51" s="1"/>
  <c r="AJ167" i="51"/>
  <c r="AF167" i="51" s="1"/>
  <c r="AE167" i="51"/>
  <c r="Z167" i="51"/>
  <c r="V167" i="51" s="1"/>
  <c r="U167" i="51"/>
  <c r="Q167" i="51" s="1"/>
  <c r="P167" i="51"/>
  <c r="L167" i="51" s="1"/>
  <c r="BI164" i="51"/>
  <c r="BD164" i="51"/>
  <c r="BC164" i="51" s="1"/>
  <c r="AY164" i="51"/>
  <c r="AU164" i="51" s="1"/>
  <c r="AT164" i="51"/>
  <c r="AR164" i="51" s="1"/>
  <c r="AO164" i="51"/>
  <c r="AJ164" i="51"/>
  <c r="AH164" i="51" s="1"/>
  <c r="AE164" i="51"/>
  <c r="AA164" i="51" s="1"/>
  <c r="Z164" i="51"/>
  <c r="Y164" i="51" s="1"/>
  <c r="U164" i="51"/>
  <c r="P164" i="51"/>
  <c r="L164" i="51" s="1"/>
  <c r="BD163" i="51"/>
  <c r="BC163" i="51" s="1"/>
  <c r="AY163" i="51"/>
  <c r="AT163" i="51"/>
  <c r="AR163" i="51" s="1"/>
  <c r="AO163" i="51"/>
  <c r="AN163" i="51" s="1"/>
  <c r="AJ163" i="51"/>
  <c r="AI163" i="51" s="1"/>
  <c r="AE163" i="51"/>
  <c r="Z163" i="51"/>
  <c r="V163" i="51" s="1"/>
  <c r="U163" i="51"/>
  <c r="T163" i="51" s="1"/>
  <c r="P163" i="51"/>
  <c r="O163" i="51" s="1"/>
  <c r="BI162" i="51"/>
  <c r="BD162" i="51"/>
  <c r="BB162" i="51" s="1"/>
  <c r="AY162" i="51"/>
  <c r="AX162" i="51" s="1"/>
  <c r="AO162" i="51"/>
  <c r="AJ162" i="51"/>
  <c r="AF162" i="51" s="1"/>
  <c r="AE162" i="51"/>
  <c r="AD162" i="51" s="1"/>
  <c r="Z162" i="51"/>
  <c r="Y162" i="51" s="1"/>
  <c r="U162" i="51"/>
  <c r="P162" i="51"/>
  <c r="N162" i="51" s="1"/>
  <c r="BI159" i="51"/>
  <c r="BH159" i="51" s="1"/>
  <c r="BD159" i="51"/>
  <c r="BC159" i="51" s="1"/>
  <c r="AY159" i="51"/>
  <c r="AT159" i="51"/>
  <c r="AO159" i="51"/>
  <c r="AN159" i="51" s="1"/>
  <c r="AJ159" i="51"/>
  <c r="AI159" i="51" s="1"/>
  <c r="AE159" i="51"/>
  <c r="Z159" i="51"/>
  <c r="X159" i="51" s="1"/>
  <c r="U159" i="51"/>
  <c r="T159" i="51" s="1"/>
  <c r="P159" i="51"/>
  <c r="O159" i="51" s="1"/>
  <c r="BI158" i="51"/>
  <c r="BD158" i="51"/>
  <c r="AY158" i="51"/>
  <c r="AX158" i="51" s="1"/>
  <c r="AT158" i="51"/>
  <c r="AS158" i="51" s="1"/>
  <c r="AO158" i="51"/>
  <c r="AJ158" i="51"/>
  <c r="AH158" i="51" s="1"/>
  <c r="AE158" i="51"/>
  <c r="AD158" i="51" s="1"/>
  <c r="Z158" i="51"/>
  <c r="Y158" i="51" s="1"/>
  <c r="U158" i="51"/>
  <c r="P158" i="51"/>
  <c r="L158" i="51" s="1"/>
  <c r="BD157" i="51"/>
  <c r="BC157" i="51" s="1"/>
  <c r="AY157" i="51"/>
  <c r="AT157" i="51"/>
  <c r="AR157" i="51" s="1"/>
  <c r="AO157" i="51"/>
  <c r="AN157" i="51" s="1"/>
  <c r="AJ157" i="51"/>
  <c r="AI157" i="51" s="1"/>
  <c r="AE157" i="51"/>
  <c r="Z157" i="51"/>
  <c r="V157" i="51" s="1"/>
  <c r="U157" i="51"/>
  <c r="T157" i="51" s="1"/>
  <c r="P157" i="51"/>
  <c r="O157" i="51" s="1"/>
  <c r="BI154" i="51"/>
  <c r="BD154" i="51"/>
  <c r="BA154" i="51" s="1"/>
  <c r="AY154" i="51"/>
  <c r="AW154" i="51" s="1"/>
  <c r="AT154" i="51"/>
  <c r="AS154" i="51" s="1"/>
  <c r="AO154" i="51"/>
  <c r="AN154" i="51" s="1"/>
  <c r="AJ154" i="51"/>
  <c r="AF154" i="51" s="1"/>
  <c r="AE154" i="51"/>
  <c r="AD154" i="51" s="1"/>
  <c r="Z154" i="51"/>
  <c r="U154" i="51"/>
  <c r="T154" i="51" s="1"/>
  <c r="P154" i="51"/>
  <c r="M154" i="51" s="1"/>
  <c r="BD153" i="51"/>
  <c r="BC153" i="51" s="1"/>
  <c r="AY153" i="51"/>
  <c r="AT153" i="51"/>
  <c r="AS153" i="51" s="1"/>
  <c r="AO153" i="51"/>
  <c r="AK153" i="51" s="1"/>
  <c r="AJ153" i="51"/>
  <c r="AI153" i="51" s="1"/>
  <c r="AE153" i="51"/>
  <c r="Z153" i="51"/>
  <c r="Y153" i="51" s="1"/>
  <c r="U153" i="51"/>
  <c r="Q153" i="51" s="1"/>
  <c r="P153" i="51"/>
  <c r="O153" i="51" s="1"/>
  <c r="BI152" i="51"/>
  <c r="BE152" i="51" s="1"/>
  <c r="BD152" i="51"/>
  <c r="BC152" i="51" s="1"/>
  <c r="AY152" i="51"/>
  <c r="AO152" i="51"/>
  <c r="AK152" i="51" s="1"/>
  <c r="AJ152" i="51"/>
  <c r="AI152" i="51" s="1"/>
  <c r="AE152" i="51"/>
  <c r="Z152" i="51"/>
  <c r="Y152" i="51" s="1"/>
  <c r="U152" i="51"/>
  <c r="Q152" i="51" s="1"/>
  <c r="P152" i="51"/>
  <c r="O152" i="51" s="1"/>
  <c r="BI149" i="51"/>
  <c r="BD149" i="51"/>
  <c r="BC149" i="51" s="1"/>
  <c r="AY149" i="51"/>
  <c r="AU149" i="51" s="1"/>
  <c r="AT149" i="51"/>
  <c r="AS149" i="51" s="1"/>
  <c r="AO149" i="51"/>
  <c r="AJ149" i="51"/>
  <c r="AF149" i="51" s="1"/>
  <c r="AE149" i="51"/>
  <c r="AD149" i="51" s="1"/>
  <c r="Z149" i="51"/>
  <c r="U149" i="51"/>
  <c r="T149" i="51" s="1"/>
  <c r="P149" i="51"/>
  <c r="L149" i="51" s="1"/>
  <c r="BI148" i="51"/>
  <c r="BH148" i="51" s="1"/>
  <c r="BD148" i="51"/>
  <c r="AY148" i="51"/>
  <c r="AX148" i="51" s="1"/>
  <c r="AT148" i="51"/>
  <c r="AP148" i="51" s="1"/>
  <c r="AO148" i="51"/>
  <c r="AN148" i="51" s="1"/>
  <c r="AJ148" i="51"/>
  <c r="AE148" i="51"/>
  <c r="AD148" i="51" s="1"/>
  <c r="Z148" i="51"/>
  <c r="V148" i="51" s="1"/>
  <c r="U148" i="51"/>
  <c r="T148" i="51" s="1"/>
  <c r="P148" i="51"/>
  <c r="BI144" i="51"/>
  <c r="BH144" i="51" s="1"/>
  <c r="BD144" i="51"/>
  <c r="AZ144" i="51" s="1"/>
  <c r="AY144" i="51"/>
  <c r="AX144" i="51" s="1"/>
  <c r="AT144" i="51"/>
  <c r="AO144" i="51"/>
  <c r="AN144" i="51" s="1"/>
  <c r="AJ144" i="51"/>
  <c r="AF144" i="51" s="1"/>
  <c r="AE144" i="51"/>
  <c r="AD144" i="51" s="1"/>
  <c r="Z144" i="51"/>
  <c r="U144" i="51"/>
  <c r="T144" i="51" s="1"/>
  <c r="P144" i="51"/>
  <c r="L144" i="51" s="1"/>
  <c r="BI143" i="51"/>
  <c r="BH143" i="51" s="1"/>
  <c r="BD143" i="51"/>
  <c r="AT143" i="51"/>
  <c r="AP143" i="51" s="1"/>
  <c r="AO143" i="51"/>
  <c r="AN143" i="51" s="1"/>
  <c r="AJ143" i="51"/>
  <c r="AE143" i="51"/>
  <c r="AD143" i="51" s="1"/>
  <c r="Z143" i="51"/>
  <c r="V143" i="51" s="1"/>
  <c r="U143" i="51"/>
  <c r="T143" i="51" s="1"/>
  <c r="P143" i="51"/>
  <c r="BI147" i="51"/>
  <c r="BH147" i="51" s="1"/>
  <c r="BD147" i="51"/>
  <c r="AZ147" i="51" s="1"/>
  <c r="AY147" i="51"/>
  <c r="AX147" i="51" s="1"/>
  <c r="AO147" i="51"/>
  <c r="AN147" i="51" s="1"/>
  <c r="AJ147" i="51"/>
  <c r="AF147" i="51" s="1"/>
  <c r="AE147" i="51"/>
  <c r="AD147" i="51" s="1"/>
  <c r="Z147" i="51"/>
  <c r="U147" i="51"/>
  <c r="T147" i="51" s="1"/>
  <c r="P147" i="51"/>
  <c r="L147" i="51" s="1"/>
  <c r="BI146" i="51"/>
  <c r="BH146" i="51" s="1"/>
  <c r="BD146" i="51"/>
  <c r="AY146" i="51"/>
  <c r="AX146" i="51" s="1"/>
  <c r="AO146" i="51"/>
  <c r="AN146" i="51" s="1"/>
  <c r="AJ146" i="51"/>
  <c r="AE146" i="51"/>
  <c r="AD146" i="51" s="1"/>
  <c r="Z146" i="51"/>
  <c r="Y146" i="51" s="1"/>
  <c r="U146" i="51"/>
  <c r="T146" i="51" s="1"/>
  <c r="P146" i="51"/>
  <c r="BI142" i="51"/>
  <c r="BE142" i="51" s="1"/>
  <c r="BD142" i="51"/>
  <c r="BC142" i="51" s="1"/>
  <c r="AY142" i="51"/>
  <c r="AU142" i="51" s="1"/>
  <c r="AT142" i="51"/>
  <c r="AS142" i="51" s="1"/>
  <c r="AO142" i="51"/>
  <c r="AJ142" i="51"/>
  <c r="AI142" i="51" s="1"/>
  <c r="AE142" i="51"/>
  <c r="AA142" i="51" s="1"/>
  <c r="Z142" i="51"/>
  <c r="Y142" i="51" s="1"/>
  <c r="U142" i="51"/>
  <c r="P142" i="51"/>
  <c r="O142" i="51" s="1"/>
  <c r="BI140" i="51"/>
  <c r="BD140" i="51"/>
  <c r="AY140" i="51"/>
  <c r="AX140" i="51" s="1"/>
  <c r="AT140" i="51"/>
  <c r="AS140" i="51" s="1"/>
  <c r="AO140" i="51"/>
  <c r="AJ140" i="51"/>
  <c r="AI140" i="51" s="1"/>
  <c r="AE140" i="51"/>
  <c r="AD140" i="51" s="1"/>
  <c r="Z140" i="51"/>
  <c r="Y140" i="51" s="1"/>
  <c r="U140" i="51"/>
  <c r="T140" i="51" s="1"/>
  <c r="P140" i="51"/>
  <c r="O140" i="51" s="1"/>
  <c r="BI137" i="51"/>
  <c r="BH137" i="51" s="1"/>
  <c r="AY137" i="51"/>
  <c r="AX137" i="51" s="1"/>
  <c r="AT137" i="51"/>
  <c r="AS137" i="51" s="1"/>
  <c r="AO137" i="51"/>
  <c r="AN137" i="51" s="1"/>
  <c r="AJ137" i="51"/>
  <c r="AI137" i="51" s="1"/>
  <c r="AE137" i="51"/>
  <c r="AD137" i="51" s="1"/>
  <c r="Z137" i="51"/>
  <c r="Y137" i="51" s="1"/>
  <c r="U137" i="51"/>
  <c r="T137" i="51" s="1"/>
  <c r="P137" i="51"/>
  <c r="O137" i="51" s="1"/>
  <c r="BI138" i="51"/>
  <c r="BH138" i="51" s="1"/>
  <c r="BD138" i="51"/>
  <c r="BC138" i="51" s="1"/>
  <c r="AY138" i="51"/>
  <c r="AX138" i="51" s="1"/>
  <c r="AT138" i="51"/>
  <c r="AS138" i="51" s="1"/>
  <c r="AO138" i="51"/>
  <c r="AN138" i="51" s="1"/>
  <c r="AJ138" i="51"/>
  <c r="AI138" i="51" s="1"/>
  <c r="AE138" i="51"/>
  <c r="AD138" i="51" s="1"/>
  <c r="Z138" i="51"/>
  <c r="Y138" i="51" s="1"/>
  <c r="U138" i="51"/>
  <c r="T138" i="51" s="1"/>
  <c r="P138" i="51"/>
  <c r="O138" i="51" s="1"/>
  <c r="BI134" i="51"/>
  <c r="BH134" i="51" s="1"/>
  <c r="BD134" i="51"/>
  <c r="BC134" i="51" s="1"/>
  <c r="AY134" i="51"/>
  <c r="AX134" i="51" s="1"/>
  <c r="AT134" i="51"/>
  <c r="AS134" i="51" s="1"/>
  <c r="AO134" i="51"/>
  <c r="AN134" i="51" s="1"/>
  <c r="AJ134" i="51"/>
  <c r="AI134" i="51" s="1"/>
  <c r="AE134" i="51"/>
  <c r="AD134" i="51" s="1"/>
  <c r="Z134" i="51"/>
  <c r="Y134" i="51" s="1"/>
  <c r="U134" i="51"/>
  <c r="T134" i="51" s="1"/>
  <c r="P134" i="51"/>
  <c r="O134" i="51" s="1"/>
  <c r="BD133" i="51"/>
  <c r="BC133" i="51" s="1"/>
  <c r="AY133" i="51"/>
  <c r="AX133" i="51" s="1"/>
  <c r="AT133" i="51"/>
  <c r="AS133" i="51" s="1"/>
  <c r="AO133" i="51"/>
  <c r="AN133" i="51" s="1"/>
  <c r="AJ133" i="51"/>
  <c r="AI133" i="51" s="1"/>
  <c r="AE133" i="51"/>
  <c r="AC133" i="51" s="1"/>
  <c r="Z133" i="51"/>
  <c r="Y133" i="51" s="1"/>
  <c r="U133" i="51"/>
  <c r="T133" i="51" s="1"/>
  <c r="P133" i="51"/>
  <c r="O133" i="51" s="1"/>
  <c r="BI132" i="51"/>
  <c r="BG132" i="51" s="1"/>
  <c r="BD132" i="51"/>
  <c r="BC132" i="51" s="1"/>
  <c r="AY132" i="51"/>
  <c r="AX132" i="51" s="1"/>
  <c r="AO132" i="51"/>
  <c r="AN132" i="51" s="1"/>
  <c r="AJ132" i="51"/>
  <c r="AI132" i="51" s="1"/>
  <c r="AE132" i="51"/>
  <c r="AD132" i="51" s="1"/>
  <c r="Z132" i="51"/>
  <c r="Y132" i="51" s="1"/>
  <c r="U132" i="51"/>
  <c r="S132" i="51" s="1"/>
  <c r="P132" i="51"/>
  <c r="O132" i="51" s="1"/>
  <c r="BI129" i="51"/>
  <c r="BH129" i="51" s="1"/>
  <c r="BD129" i="51"/>
  <c r="BC129" i="51" s="1"/>
  <c r="AY129" i="51"/>
  <c r="AX129" i="51" s="1"/>
  <c r="AT129" i="51"/>
  <c r="AS129" i="51" s="1"/>
  <c r="AO129" i="51"/>
  <c r="AN129" i="51" s="1"/>
  <c r="AJ129" i="51"/>
  <c r="AI129" i="51" s="1"/>
  <c r="AE129" i="51"/>
  <c r="AD129" i="51" s="1"/>
  <c r="Z129" i="51"/>
  <c r="Y129" i="51" s="1"/>
  <c r="U129" i="51"/>
  <c r="T129" i="51" s="1"/>
  <c r="P129" i="51"/>
  <c r="O129" i="51" s="1"/>
  <c r="BI128" i="51"/>
  <c r="BH128" i="51" s="1"/>
  <c r="BD128" i="51"/>
  <c r="BC128" i="51" s="1"/>
  <c r="AY128" i="51"/>
  <c r="AX128" i="51" s="1"/>
  <c r="AT128" i="51"/>
  <c r="AS128" i="51" s="1"/>
  <c r="AO128" i="51"/>
  <c r="AN128" i="51" s="1"/>
  <c r="AJ128" i="51"/>
  <c r="AI128" i="51" s="1"/>
  <c r="AE128" i="51"/>
  <c r="AD128" i="51" s="1"/>
  <c r="Z128" i="51"/>
  <c r="Y128" i="51" s="1"/>
  <c r="U128" i="51"/>
  <c r="T128" i="51" s="1"/>
  <c r="P128" i="51"/>
  <c r="O128" i="51" s="1"/>
  <c r="BI126" i="51"/>
  <c r="BD126" i="51"/>
  <c r="AT126" i="51"/>
  <c r="AO126" i="51"/>
  <c r="AJ126" i="51"/>
  <c r="AE126" i="51"/>
  <c r="Z126" i="51"/>
  <c r="U126" i="51"/>
  <c r="P126" i="51"/>
  <c r="DL228" i="51"/>
  <c r="DK228" i="51"/>
  <c r="DJ228" i="51"/>
  <c r="DI228" i="51"/>
  <c r="DG228" i="51"/>
  <c r="DF228" i="51"/>
  <c r="DE228" i="51"/>
  <c r="DD228" i="51"/>
  <c r="DB228" i="51"/>
  <c r="DA228" i="51"/>
  <c r="CZ228" i="51"/>
  <c r="CY228" i="51"/>
  <c r="CM228" i="51"/>
  <c r="CL228" i="51"/>
  <c r="CK228" i="51"/>
  <c r="CJ228" i="51"/>
  <c r="CH228" i="51"/>
  <c r="CG228" i="51"/>
  <c r="CF228" i="51"/>
  <c r="CE228" i="51"/>
  <c r="CC228" i="51"/>
  <c r="CB228" i="51"/>
  <c r="CA228" i="51"/>
  <c r="BZ228" i="51"/>
  <c r="BX228" i="51"/>
  <c r="BW228" i="51"/>
  <c r="BV228" i="51"/>
  <c r="BU228" i="51"/>
  <c r="BT228" i="51"/>
  <c r="BY228" i="51" s="1"/>
  <c r="CD228" i="51" s="1"/>
  <c r="CI228" i="51" s="1"/>
  <c r="CN228" i="51" s="1"/>
  <c r="CS228" i="51" s="1"/>
  <c r="CX228" i="51" s="1"/>
  <c r="DC228" i="51" s="1"/>
  <c r="DH228" i="51" s="1"/>
  <c r="DM228" i="51" s="1"/>
  <c r="DR228" i="51" s="1"/>
  <c r="BS228" i="51"/>
  <c r="BR228" i="51"/>
  <c r="BQ228" i="51"/>
  <c r="BP228" i="51"/>
  <c r="BM65" i="39" l="1"/>
  <c r="BM114" i="39" s="1"/>
  <c r="BO114" i="39"/>
  <c r="BM356" i="41"/>
  <c r="BM162" i="41" s="1"/>
  <c r="BM165" i="41" s="1"/>
  <c r="BM130" i="41" s="1"/>
  <c r="BN171" i="41"/>
  <c r="BM64" i="39"/>
  <c r="BM110" i="39" s="1"/>
  <c r="BQ367" i="41"/>
  <c r="BO356" i="41"/>
  <c r="BO162" i="41" s="1"/>
  <c r="BO165" i="41" s="1"/>
  <c r="BO130" i="41" s="1"/>
  <c r="BQ366" i="41"/>
  <c r="BP265" i="41"/>
  <c r="BP266" i="41" s="1"/>
  <c r="BQ43" i="4"/>
  <c r="BN264" i="41"/>
  <c r="BN160" i="41" s="1"/>
  <c r="BM265" i="41"/>
  <c r="BM266" i="41" s="1"/>
  <c r="BN356" i="41"/>
  <c r="BN162" i="41" s="1"/>
  <c r="BQ171" i="41"/>
  <c r="BP171" i="41"/>
  <c r="BQ288" i="41"/>
  <c r="BQ287" i="41" s="1"/>
  <c r="BM171" i="41"/>
  <c r="BO110" i="39"/>
  <c r="BQ379" i="41"/>
  <c r="BO171" i="41"/>
  <c r="BN265" i="41"/>
  <c r="BQ275" i="41"/>
  <c r="BQ274" i="41" s="1"/>
  <c r="BO265" i="41"/>
  <c r="BO266" i="41" s="1"/>
  <c r="BQ165" i="41"/>
  <c r="BQ129" i="41" s="1"/>
  <c r="BM129" i="41" s="1"/>
  <c r="BN129" i="41" s="1"/>
  <c r="BO129" i="41" s="1"/>
  <c r="BP129" i="41" s="1"/>
  <c r="BO81" i="41"/>
  <c r="BO203" i="41" s="1"/>
  <c r="BO152" i="39"/>
  <c r="BP152" i="39" s="1"/>
  <c r="BP222" i="41"/>
  <c r="BP223" i="41" s="1"/>
  <c r="BO222" i="41"/>
  <c r="BO223" i="41" s="1"/>
  <c r="BP203" i="41"/>
  <c r="U258" i="51"/>
  <c r="AO258" i="51"/>
  <c r="AE258" i="51"/>
  <c r="P258" i="51"/>
  <c r="AJ258" i="51"/>
  <c r="Z258" i="51"/>
  <c r="BO606" i="41"/>
  <c r="BO120" i="4" s="1"/>
  <c r="BN120" i="4"/>
  <c r="BP356" i="41"/>
  <c r="BP162" i="41" s="1"/>
  <c r="BP165" i="41" s="1"/>
  <c r="BP130" i="41" s="1"/>
  <c r="BP138" i="4"/>
  <c r="EH54" i="3" s="1"/>
  <c r="EH56" i="3" s="1"/>
  <c r="BM140" i="41"/>
  <c r="BN140" i="41" s="1"/>
  <c r="BO140" i="41" s="1"/>
  <c r="BP140" i="41" s="1"/>
  <c r="T126" i="51"/>
  <c r="AD126" i="51"/>
  <c r="AN126" i="51"/>
  <c r="BC126" i="51"/>
  <c r="O126" i="51"/>
  <c r="Y126" i="51"/>
  <c r="AI126" i="51"/>
  <c r="AS126" i="51"/>
  <c r="BH126" i="51"/>
  <c r="AP126" i="51"/>
  <c r="L174" i="51"/>
  <c r="L180" i="51"/>
  <c r="AU195" i="51"/>
  <c r="AU171" i="51"/>
  <c r="AF126" i="51"/>
  <c r="AR126" i="51"/>
  <c r="AF128" i="51"/>
  <c r="Q171" i="51"/>
  <c r="AW171" i="51"/>
  <c r="AU191" i="51"/>
  <c r="BE75" i="51"/>
  <c r="BJ44" i="51"/>
  <c r="BM53" i="42" s="1"/>
  <c r="BM70" i="42" s="1"/>
  <c r="V132" i="51"/>
  <c r="BE138" i="51"/>
  <c r="AF164" i="51"/>
  <c r="AK191" i="51"/>
  <c r="AW191" i="51"/>
  <c r="AA196" i="51"/>
  <c r="V168" i="51"/>
  <c r="Q257" i="51"/>
  <c r="N174" i="51"/>
  <c r="V179" i="51"/>
  <c r="AF180" i="51"/>
  <c r="V178" i="51"/>
  <c r="V187" i="51"/>
  <c r="BE190" i="51"/>
  <c r="Q191" i="51"/>
  <c r="AK196" i="51"/>
  <c r="AK257" i="51"/>
  <c r="L132" i="51"/>
  <c r="AP140" i="51"/>
  <c r="AK146" i="51"/>
  <c r="AU146" i="51"/>
  <c r="AZ159" i="51"/>
  <c r="L163" i="51"/>
  <c r="V164" i="51"/>
  <c r="AP164" i="51"/>
  <c r="AK171" i="51"/>
  <c r="AV171" i="51"/>
  <c r="BE171" i="51"/>
  <c r="AF200" i="51"/>
  <c r="AF225" i="51"/>
  <c r="Q228" i="51"/>
  <c r="AP241" i="51"/>
  <c r="AZ129" i="51"/>
  <c r="N132" i="51"/>
  <c r="X132" i="51"/>
  <c r="AF133" i="51"/>
  <c r="V134" i="51"/>
  <c r="AU138" i="51"/>
  <c r="BG138" i="51"/>
  <c r="AR140" i="51"/>
  <c r="V214" i="51"/>
  <c r="V220" i="51"/>
  <c r="AF236" i="51"/>
  <c r="V239" i="51"/>
  <c r="AA257" i="51"/>
  <c r="AU257" i="51"/>
  <c r="BE148" i="51"/>
  <c r="AZ149" i="51"/>
  <c r="X164" i="51"/>
  <c r="S171" i="51"/>
  <c r="M174" i="51"/>
  <c r="V174" i="51"/>
  <c r="AZ174" i="51"/>
  <c r="AF179" i="51"/>
  <c r="V180" i="51"/>
  <c r="Q195" i="51"/>
  <c r="BE195" i="51"/>
  <c r="AA191" i="51"/>
  <c r="AC196" i="51"/>
  <c r="AZ201" i="51"/>
  <c r="BL116" i="51"/>
  <c r="BO580" i="41" s="1"/>
  <c r="BO603" i="41" s="1"/>
  <c r="V129" i="51"/>
  <c r="BE144" i="51"/>
  <c r="AF153" i="51"/>
  <c r="AF157" i="51"/>
  <c r="V158" i="51"/>
  <c r="AZ163" i="51"/>
  <c r="R171" i="51"/>
  <c r="AA171" i="51"/>
  <c r="L179" i="51"/>
  <c r="X179" i="51"/>
  <c r="AH179" i="51"/>
  <c r="N180" i="51"/>
  <c r="X180" i="51"/>
  <c r="L177" i="51"/>
  <c r="AK192" i="51"/>
  <c r="AA190" i="51"/>
  <c r="AU190" i="51"/>
  <c r="BG190" i="51"/>
  <c r="S195" i="51"/>
  <c r="AW195" i="51"/>
  <c r="BG195" i="51"/>
  <c r="AM191" i="51"/>
  <c r="AV191" i="51"/>
  <c r="AB196" i="51"/>
  <c r="AM196" i="51"/>
  <c r="AU196" i="51"/>
  <c r="AP193" i="51"/>
  <c r="L201" i="51"/>
  <c r="AP203" i="51"/>
  <c r="AF216" i="51"/>
  <c r="L222" i="51"/>
  <c r="BE228" i="51"/>
  <c r="AF240" i="51"/>
  <c r="AZ241" i="51"/>
  <c r="S257" i="51"/>
  <c r="AC257" i="51"/>
  <c r="BC187" i="51"/>
  <c r="BB187" i="51"/>
  <c r="AW186" i="51"/>
  <c r="AU186" i="51"/>
  <c r="N214" i="51"/>
  <c r="L214" i="51"/>
  <c r="L129" i="51"/>
  <c r="X129" i="51"/>
  <c r="S138" i="51"/>
  <c r="AU137" i="51"/>
  <c r="Q140" i="51"/>
  <c r="BE146" i="51"/>
  <c r="AA143" i="51"/>
  <c r="Q144" i="51"/>
  <c r="Q148" i="51"/>
  <c r="AA154" i="51"/>
  <c r="L157" i="51"/>
  <c r="L159" i="51"/>
  <c r="AP163" i="51"/>
  <c r="BB163" i="51"/>
  <c r="BA164" i="51"/>
  <c r="AB171" i="51"/>
  <c r="AD171" i="51"/>
  <c r="AM171" i="51"/>
  <c r="BH171" i="51"/>
  <c r="BF171" i="51"/>
  <c r="V177" i="51"/>
  <c r="BC178" i="51"/>
  <c r="AZ178" i="51"/>
  <c r="AR187" i="51"/>
  <c r="AP187" i="51"/>
  <c r="AZ187" i="51"/>
  <c r="O186" i="51"/>
  <c r="N186" i="51"/>
  <c r="BC193" i="51"/>
  <c r="AZ193" i="51"/>
  <c r="AH201" i="51"/>
  <c r="AF201" i="51"/>
  <c r="BC203" i="51"/>
  <c r="AZ203" i="51"/>
  <c r="X216" i="51"/>
  <c r="V216" i="51"/>
  <c r="BC214" i="51"/>
  <c r="AZ214" i="51"/>
  <c r="AI220" i="51"/>
  <c r="AF220" i="51"/>
  <c r="O227" i="51"/>
  <c r="L227" i="51"/>
  <c r="AW228" i="51"/>
  <c r="AU228" i="51"/>
  <c r="BB234" i="51"/>
  <c r="AZ234" i="51"/>
  <c r="Q138" i="51"/>
  <c r="AS176" i="51"/>
  <c r="AP176" i="51"/>
  <c r="AI185" i="51"/>
  <c r="AF185" i="51"/>
  <c r="S199" i="51"/>
  <c r="Q199" i="51"/>
  <c r="O203" i="51"/>
  <c r="L203" i="51"/>
  <c r="AH204" i="51"/>
  <c r="AF204" i="51"/>
  <c r="BB210" i="51"/>
  <c r="AZ210" i="51"/>
  <c r="AS221" i="51"/>
  <c r="AP221" i="51"/>
  <c r="Y222" i="51"/>
  <c r="V222" i="51"/>
  <c r="AW227" i="51"/>
  <c r="AU227" i="51"/>
  <c r="AH237" i="51"/>
  <c r="AF237" i="51"/>
  <c r="AF241" i="51"/>
  <c r="L242" i="51"/>
  <c r="BF257" i="51"/>
  <c r="BL44" i="51"/>
  <c r="BO53" i="42" s="1"/>
  <c r="BO70" i="42" s="1"/>
  <c r="O167" i="51"/>
  <c r="M167" i="51"/>
  <c r="AS167" i="51"/>
  <c r="AQ167" i="51"/>
  <c r="BC167" i="51"/>
  <c r="BA167" i="51"/>
  <c r="AI168" i="51"/>
  <c r="AF168" i="51"/>
  <c r="O171" i="51"/>
  <c r="N171" i="51"/>
  <c r="AI171" i="51"/>
  <c r="AH171" i="51"/>
  <c r="AI175" i="51"/>
  <c r="AH175" i="51"/>
  <c r="AI176" i="51"/>
  <c r="AF176" i="51"/>
  <c r="AS178" i="51"/>
  <c r="AP178" i="51"/>
  <c r="Y185" i="51"/>
  <c r="V185" i="51"/>
  <c r="AH187" i="51"/>
  <c r="AF187" i="51"/>
  <c r="AD192" i="51"/>
  <c r="AC192" i="51"/>
  <c r="V128" i="51"/>
  <c r="AH128" i="51"/>
  <c r="AP129" i="51"/>
  <c r="L133" i="51"/>
  <c r="AZ133" i="51"/>
  <c r="AZ134" i="51"/>
  <c r="AK138" i="51"/>
  <c r="AA137" i="51"/>
  <c r="AW137" i="51"/>
  <c r="AA140" i="51"/>
  <c r="AW146" i="51"/>
  <c r="BG146" i="51"/>
  <c r="Q147" i="51"/>
  <c r="AU147" i="51"/>
  <c r="AU144" i="51"/>
  <c r="BG144" i="51"/>
  <c r="S148" i="51"/>
  <c r="AA148" i="51"/>
  <c r="L152" i="51"/>
  <c r="N157" i="51"/>
  <c r="AH157" i="51"/>
  <c r="AP158" i="51"/>
  <c r="N159" i="51"/>
  <c r="V162" i="51"/>
  <c r="AF163" i="51"/>
  <c r="AZ164" i="51"/>
  <c r="BB164" i="51"/>
  <c r="N167" i="51"/>
  <c r="AR167" i="51"/>
  <c r="BB167" i="51"/>
  <c r="AS168" i="51"/>
  <c r="AR168" i="51"/>
  <c r="L171" i="51"/>
  <c r="Y171" i="51"/>
  <c r="X171" i="51"/>
  <c r="AF171" i="51"/>
  <c r="Y175" i="51"/>
  <c r="X175" i="51"/>
  <c r="AF175" i="51"/>
  <c r="BB175" i="51"/>
  <c r="AZ175" i="51"/>
  <c r="BB176" i="51"/>
  <c r="AZ176" i="51"/>
  <c r="O177" i="51"/>
  <c r="M177" i="51"/>
  <c r="Y177" i="51"/>
  <c r="W177" i="51"/>
  <c r="BC177" i="51"/>
  <c r="AZ177" i="51"/>
  <c r="AI184" i="51"/>
  <c r="AF184" i="51"/>
  <c r="O187" i="51"/>
  <c r="L187" i="51"/>
  <c r="S192" i="51"/>
  <c r="Q192" i="51"/>
  <c r="AA192" i="51"/>
  <c r="AR193" i="51"/>
  <c r="BB193" i="51"/>
  <c r="AA199" i="51"/>
  <c r="V201" i="51"/>
  <c r="AP201" i="51"/>
  <c r="BB201" i="51"/>
  <c r="N203" i="51"/>
  <c r="AR203" i="51"/>
  <c r="BB203" i="51"/>
  <c r="V204" i="51"/>
  <c r="L207" i="51"/>
  <c r="V208" i="51"/>
  <c r="M209" i="51"/>
  <c r="L216" i="51"/>
  <c r="L220" i="51"/>
  <c r="X220" i="51"/>
  <c r="AH220" i="51"/>
  <c r="N222" i="51"/>
  <c r="X222" i="51"/>
  <c r="L231" i="51"/>
  <c r="BE227" i="51"/>
  <c r="V234" i="51"/>
  <c r="AF235" i="51"/>
  <c r="AZ236" i="51"/>
  <c r="L240" i="51"/>
  <c r="L241" i="51"/>
  <c r="AP242" i="51"/>
  <c r="AF239" i="51"/>
  <c r="AK137" i="51"/>
  <c r="AK143" i="51"/>
  <c r="AL171" i="51"/>
  <c r="AK186" i="51"/>
  <c r="AM192" i="51"/>
  <c r="AL191" i="51"/>
  <c r="AL196" i="51"/>
  <c r="AK75" i="51"/>
  <c r="DP256" i="51"/>
  <c r="DQ256" i="51"/>
  <c r="DN256" i="51"/>
  <c r="DO256" i="51"/>
  <c r="BM256" i="51"/>
  <c r="BL256" i="51"/>
  <c r="BL258" i="51" s="1"/>
  <c r="BJ256" i="51"/>
  <c r="BJ258" i="51" s="1"/>
  <c r="BK256" i="51"/>
  <c r="BK258" i="51" s="1"/>
  <c r="BM88" i="41"/>
  <c r="BQ88" i="41" s="1"/>
  <c r="BO92" i="41"/>
  <c r="BO94" i="41" s="1"/>
  <c r="BU54" i="41"/>
  <c r="BX7" i="64"/>
  <c r="AP175" i="51"/>
  <c r="BB174" i="51"/>
  <c r="AH176" i="51"/>
  <c r="AR176" i="51"/>
  <c r="L178" i="51"/>
  <c r="AF178" i="51"/>
  <c r="AR178" i="51"/>
  <c r="BB178" i="51"/>
  <c r="AP184" i="51"/>
  <c r="L185" i="51"/>
  <c r="X185" i="51"/>
  <c r="AH185" i="51"/>
  <c r="N187" i="51"/>
  <c r="X187" i="51"/>
  <c r="BA187" i="51"/>
  <c r="M186" i="51"/>
  <c r="AA186" i="51"/>
  <c r="AB192" i="51"/>
  <c r="AL192" i="51"/>
  <c r="Q190" i="51"/>
  <c r="AK190" i="51"/>
  <c r="Q193" i="51"/>
  <c r="N201" i="51"/>
  <c r="X201" i="51"/>
  <c r="BA201" i="51"/>
  <c r="M203" i="51"/>
  <c r="AQ203" i="51"/>
  <c r="BA203" i="51"/>
  <c r="L200" i="51"/>
  <c r="AP200" i="51"/>
  <c r="Y207" i="51"/>
  <c r="V207" i="51"/>
  <c r="AH208" i="51"/>
  <c r="AF208" i="51"/>
  <c r="BC208" i="51"/>
  <c r="BB208" i="51"/>
  <c r="AI209" i="51"/>
  <c r="AH209" i="51"/>
  <c r="Y210" i="51"/>
  <c r="X210" i="51"/>
  <c r="AR213" i="51"/>
  <c r="AP213" i="51"/>
  <c r="AZ213" i="51"/>
  <c r="Y216" i="51"/>
  <c r="W216" i="51"/>
  <c r="AI216" i="51"/>
  <c r="AG216" i="51"/>
  <c r="O214" i="51"/>
  <c r="M214" i="51"/>
  <c r="Y214" i="51"/>
  <c r="W214" i="51"/>
  <c r="AH214" i="51"/>
  <c r="AF214" i="51"/>
  <c r="AI221" i="51"/>
  <c r="AF221" i="51"/>
  <c r="AR222" i="51"/>
  <c r="AP222" i="51"/>
  <c r="V126" i="51"/>
  <c r="L128" i="51"/>
  <c r="AZ128" i="51"/>
  <c r="AF129" i="51"/>
  <c r="AR129" i="51"/>
  <c r="BB129" i="51"/>
  <c r="M132" i="51"/>
  <c r="W132" i="51"/>
  <c r="AA132" i="51"/>
  <c r="AZ132" i="51"/>
  <c r="V133" i="51"/>
  <c r="AP133" i="51"/>
  <c r="L134" i="51"/>
  <c r="AF134" i="51"/>
  <c r="AK134" i="51"/>
  <c r="AP134" i="51"/>
  <c r="BB134" i="51"/>
  <c r="BE134" i="51"/>
  <c r="R138" i="51"/>
  <c r="V138" i="51"/>
  <c r="AA138" i="51"/>
  <c r="AM138" i="51"/>
  <c r="AW138" i="51"/>
  <c r="BF138" i="51"/>
  <c r="L137" i="51"/>
  <c r="Q137" i="51"/>
  <c r="AC137" i="51"/>
  <c r="AM137" i="51"/>
  <c r="AV137" i="51"/>
  <c r="BE137" i="51"/>
  <c r="S140" i="51"/>
  <c r="AC140" i="51"/>
  <c r="AG140" i="51"/>
  <c r="AQ140" i="51"/>
  <c r="AU140" i="51"/>
  <c r="L142" i="51"/>
  <c r="Q146" i="51"/>
  <c r="AK147" i="51"/>
  <c r="Q143" i="51"/>
  <c r="AC143" i="51"/>
  <c r="AM143" i="51"/>
  <c r="AA144" i="51"/>
  <c r="AU148" i="51"/>
  <c r="AA149" i="51"/>
  <c r="AP149" i="51"/>
  <c r="BB149" i="51"/>
  <c r="N152" i="51"/>
  <c r="V152" i="51"/>
  <c r="AZ152" i="51"/>
  <c r="V153" i="51"/>
  <c r="AZ153" i="51"/>
  <c r="Q154" i="51"/>
  <c r="AU154" i="51"/>
  <c r="AZ157" i="51"/>
  <c r="X158" i="51"/>
  <c r="AF159" i="51"/>
  <c r="BB159" i="51"/>
  <c r="AZ162" i="51"/>
  <c r="N163" i="51"/>
  <c r="AH163" i="51"/>
  <c r="BA163" i="51"/>
  <c r="L168" i="51"/>
  <c r="Y204" i="51"/>
  <c r="W204" i="51"/>
  <c r="AI204" i="51"/>
  <c r="AG204" i="51"/>
  <c r="AR204" i="51"/>
  <c r="AP204" i="51"/>
  <c r="O208" i="51"/>
  <c r="L208" i="51"/>
  <c r="AS208" i="51"/>
  <c r="AR208" i="51"/>
  <c r="X209" i="51"/>
  <c r="V209" i="51"/>
  <c r="AS209" i="51"/>
  <c r="AR209" i="51"/>
  <c r="AI210" i="51"/>
  <c r="AH210" i="51"/>
  <c r="O219" i="51"/>
  <c r="L219" i="51"/>
  <c r="BB221" i="51"/>
  <c r="AZ221" i="51"/>
  <c r="BC222" i="51"/>
  <c r="BB222" i="51"/>
  <c r="Y226" i="51"/>
  <c r="V226" i="51"/>
  <c r="AK228" i="51"/>
  <c r="BE257" i="51"/>
  <c r="BG257" i="51"/>
  <c r="Q75" i="51"/>
  <c r="BG75" i="51"/>
  <c r="AF234" i="51"/>
  <c r="L235" i="51"/>
  <c r="AZ235" i="51"/>
  <c r="L236" i="51"/>
  <c r="AP236" i="51"/>
  <c r="V237" i="51"/>
  <c r="AP237" i="51"/>
  <c r="V240" i="51"/>
  <c r="AZ240" i="51"/>
  <c r="V241" i="51"/>
  <c r="AF242" i="51"/>
  <c r="L239" i="51"/>
  <c r="AP239" i="51"/>
  <c r="L126" i="51"/>
  <c r="X126" i="51"/>
  <c r="AH126" i="51"/>
  <c r="AQ126" i="51"/>
  <c r="AZ126" i="51"/>
  <c r="N128" i="51"/>
  <c r="X128" i="51"/>
  <c r="AG128" i="51"/>
  <c r="AK128" i="51"/>
  <c r="AP128" i="51"/>
  <c r="BB128" i="51"/>
  <c r="N129" i="51"/>
  <c r="W129" i="51"/>
  <c r="AA129" i="51"/>
  <c r="V142" i="51"/>
  <c r="AA146" i="51"/>
  <c r="AA147" i="51"/>
  <c r="AM147" i="51"/>
  <c r="AW147" i="51"/>
  <c r="BE147" i="51"/>
  <c r="BE143" i="51"/>
  <c r="S144" i="51"/>
  <c r="AC144" i="51"/>
  <c r="AK144" i="51"/>
  <c r="AK148" i="51"/>
  <c r="AW148" i="51"/>
  <c r="BG148" i="51"/>
  <c r="Q149" i="51"/>
  <c r="AF152" i="51"/>
  <c r="BB152" i="51"/>
  <c r="L153" i="51"/>
  <c r="X153" i="51"/>
  <c r="AH153" i="51"/>
  <c r="AP153" i="51"/>
  <c r="S154" i="51"/>
  <c r="AC154" i="51"/>
  <c r="AK154" i="51"/>
  <c r="M157" i="51"/>
  <c r="Q157" i="51"/>
  <c r="AG157" i="51"/>
  <c r="AK157" i="51"/>
  <c r="AP157" i="51"/>
  <c r="BB157" i="51"/>
  <c r="W158" i="51"/>
  <c r="AA158" i="51"/>
  <c r="AF158" i="51"/>
  <c r="AR158" i="51"/>
  <c r="M159" i="51"/>
  <c r="Q159" i="51"/>
  <c r="V159" i="51"/>
  <c r="AH159" i="51"/>
  <c r="BA159" i="51"/>
  <c r="BE159" i="51"/>
  <c r="L162" i="51"/>
  <c r="X162" i="51"/>
  <c r="AU162" i="51"/>
  <c r="AH168" i="51"/>
  <c r="W175" i="51"/>
  <c r="AG175" i="51"/>
  <c r="AF174" i="51"/>
  <c r="W179" i="51"/>
  <c r="AG179" i="51"/>
  <c r="BB177" i="51"/>
  <c r="N178" i="51"/>
  <c r="AQ178" i="51"/>
  <c r="BA178" i="51"/>
  <c r="AH184" i="51"/>
  <c r="AR184" i="51"/>
  <c r="W185" i="51"/>
  <c r="AG185" i="51"/>
  <c r="S190" i="51"/>
  <c r="AC190" i="51"/>
  <c r="BF190" i="51"/>
  <c r="R195" i="51"/>
  <c r="BE196" i="51"/>
  <c r="S193" i="51"/>
  <c r="W193" i="51"/>
  <c r="AB193" i="51"/>
  <c r="AK199" i="51"/>
  <c r="V200" i="51"/>
  <c r="AH200" i="51"/>
  <c r="AR200" i="51"/>
  <c r="AZ204" i="51"/>
  <c r="N207" i="51"/>
  <c r="X207" i="51"/>
  <c r="N208" i="51"/>
  <c r="N134" i="51"/>
  <c r="Q134" i="51"/>
  <c r="AH134" i="51"/>
  <c r="AQ208" i="51"/>
  <c r="BA208" i="51"/>
  <c r="L209" i="51"/>
  <c r="N209" i="51"/>
  <c r="AG209" i="51"/>
  <c r="AQ209" i="51"/>
  <c r="W210" i="51"/>
  <c r="AG210" i="51"/>
  <c r="AP210" i="51"/>
  <c r="AG213" i="51"/>
  <c r="AP214" i="51"/>
  <c r="BB214" i="51"/>
  <c r="AF219" i="51"/>
  <c r="AH221" i="51"/>
  <c r="AR221" i="51"/>
  <c r="W220" i="51"/>
  <c r="AG220" i="51"/>
  <c r="M222" i="51"/>
  <c r="W222" i="51"/>
  <c r="AF222" i="51"/>
  <c r="L225" i="51"/>
  <c r="AZ225" i="51"/>
  <c r="AF231" i="51"/>
  <c r="AP234" i="51"/>
  <c r="V235" i="51"/>
  <c r="AP235" i="51"/>
  <c r="L237" i="51"/>
  <c r="AP240" i="51"/>
  <c r="V242" i="51"/>
  <c r="AZ242" i="51"/>
  <c r="AZ239" i="51"/>
  <c r="AZ231" i="51"/>
  <c r="AP226" i="51"/>
  <c r="AF227" i="51"/>
  <c r="AA228" i="51"/>
  <c r="L234" i="51"/>
  <c r="V236" i="51"/>
  <c r="AZ237" i="51"/>
  <c r="N126" i="51"/>
  <c r="W126" i="51"/>
  <c r="AA126" i="51"/>
  <c r="BB126" i="51"/>
  <c r="M128" i="51"/>
  <c r="Q128" i="51"/>
  <c r="AR128" i="51"/>
  <c r="BA128" i="51"/>
  <c r="BE128" i="51"/>
  <c r="AH129" i="51"/>
  <c r="AQ129" i="51"/>
  <c r="AU129" i="51"/>
  <c r="BB132" i="51"/>
  <c r="N133" i="51"/>
  <c r="X133" i="51"/>
  <c r="AH133" i="51"/>
  <c r="AR133" i="51"/>
  <c r="BB133" i="51"/>
  <c r="X134" i="51"/>
  <c r="AA134" i="51"/>
  <c r="AR134" i="51"/>
  <c r="AU134" i="51"/>
  <c r="AC138" i="51"/>
  <c r="AL138" i="51"/>
  <c r="AP138" i="51"/>
  <c r="S137" i="51"/>
  <c r="AB137" i="51"/>
  <c r="AF137" i="51"/>
  <c r="BG137" i="51"/>
  <c r="R140" i="51"/>
  <c r="V140" i="51"/>
  <c r="N142" i="51"/>
  <c r="X142" i="51"/>
  <c r="S146" i="51"/>
  <c r="AC146" i="51"/>
  <c r="AM146" i="51"/>
  <c r="S147" i="51"/>
  <c r="AC147" i="51"/>
  <c r="BG147" i="51"/>
  <c r="S143" i="51"/>
  <c r="BG143" i="51"/>
  <c r="AM144" i="51"/>
  <c r="AW144" i="51"/>
  <c r="AC148" i="51"/>
  <c r="AM148" i="51"/>
  <c r="S149" i="51"/>
  <c r="AC149" i="51"/>
  <c r="AR149" i="51"/>
  <c r="X152" i="51"/>
  <c r="AH152" i="51"/>
  <c r="N153" i="51"/>
  <c r="AR153" i="51"/>
  <c r="BB153" i="51"/>
  <c r="AM154" i="51"/>
  <c r="AQ154" i="51"/>
  <c r="BA157" i="51"/>
  <c r="AQ158" i="51"/>
  <c r="AU158" i="51"/>
  <c r="AG159" i="51"/>
  <c r="AK159" i="51"/>
  <c r="W162" i="51"/>
  <c r="AA162" i="51"/>
  <c r="M163" i="51"/>
  <c r="Q163" i="51"/>
  <c r="AG163" i="51"/>
  <c r="AK163" i="51"/>
  <c r="W164" i="51"/>
  <c r="AG168" i="51"/>
  <c r="AQ168" i="51"/>
  <c r="BA174" i="51"/>
  <c r="AG176" i="51"/>
  <c r="AQ176" i="51"/>
  <c r="M180" i="51"/>
  <c r="W180" i="51"/>
  <c r="BA177" i="51"/>
  <c r="M178" i="51"/>
  <c r="AG184" i="51"/>
  <c r="AQ184" i="51"/>
  <c r="M187" i="51"/>
  <c r="W187" i="51"/>
  <c r="R190" i="51"/>
  <c r="AB190" i="51"/>
  <c r="AV195" i="51"/>
  <c r="BF195" i="51"/>
  <c r="R193" i="51"/>
  <c r="V193" i="51"/>
  <c r="X193" i="51"/>
  <c r="AA193" i="51"/>
  <c r="AC193" i="51"/>
  <c r="AF193" i="51"/>
  <c r="AQ193" i="51"/>
  <c r="BA193" i="51"/>
  <c r="M201" i="51"/>
  <c r="W201" i="51"/>
  <c r="AG200" i="51"/>
  <c r="AQ200" i="51"/>
  <c r="M207" i="51"/>
  <c r="W207" i="51"/>
  <c r="M208" i="51"/>
  <c r="AF213" i="51"/>
  <c r="AH213" i="51"/>
  <c r="AS213" i="51"/>
  <c r="AQ213" i="51"/>
  <c r="BA214" i="51"/>
  <c r="N219" i="51"/>
  <c r="AH219" i="51"/>
  <c r="AG221" i="51"/>
  <c r="AQ221" i="51"/>
  <c r="BA222" i="51"/>
  <c r="N225" i="51"/>
  <c r="AH225" i="51"/>
  <c r="BB225" i="51"/>
  <c r="N231" i="51"/>
  <c r="AH231" i="51"/>
  <c r="BB231" i="51"/>
  <c r="X226" i="51"/>
  <c r="AR226" i="51"/>
  <c r="N227" i="51"/>
  <c r="AH227" i="51"/>
  <c r="R257" i="51"/>
  <c r="AB257" i="51"/>
  <c r="AF257" i="51"/>
  <c r="S75" i="51"/>
  <c r="V75" i="51"/>
  <c r="AA75" i="51"/>
  <c r="AM75" i="51"/>
  <c r="AP75" i="51"/>
  <c r="BF75" i="51"/>
  <c r="BJ116" i="51"/>
  <c r="BM580" i="41" s="1"/>
  <c r="BM603" i="41" s="1"/>
  <c r="BK44" i="51"/>
  <c r="BN53" i="42" s="1"/>
  <c r="BN70" i="42" s="1"/>
  <c r="BQ86" i="41"/>
  <c r="BP129" i="64"/>
  <c r="BN119" i="4"/>
  <c r="BM100" i="4"/>
  <c r="BM588" i="41" s="1"/>
  <c r="BN588" i="41"/>
  <c r="BP95" i="41"/>
  <c r="BP311" i="41" s="1"/>
  <c r="BP93" i="41"/>
  <c r="BM62" i="4"/>
  <c r="BO158" i="39"/>
  <c r="BP158" i="39" s="1"/>
  <c r="BN14" i="39"/>
  <c r="BO66" i="40"/>
  <c r="BN53" i="40"/>
  <c r="BO69" i="40"/>
  <c r="BN54" i="40"/>
  <c r="BP546" i="41"/>
  <c r="BQ85" i="41"/>
  <c r="BP227" i="41"/>
  <c r="BP228" i="41" s="1"/>
  <c r="BO80" i="41"/>
  <c r="BM549" i="41"/>
  <c r="BN222" i="41"/>
  <c r="BM79" i="41"/>
  <c r="BK116" i="51"/>
  <c r="BN11" i="51"/>
  <c r="BQ91" i="4" s="1"/>
  <c r="BM116" i="51"/>
  <c r="BP580" i="41" s="1"/>
  <c r="BP603" i="41" s="1"/>
  <c r="BE254" i="51"/>
  <c r="BG254" i="51"/>
  <c r="BF254" i="51"/>
  <c r="AA255" i="51"/>
  <c r="AU255" i="51"/>
  <c r="AL254" i="51"/>
  <c r="AK254" i="51"/>
  <c r="AM254" i="51"/>
  <c r="AB255" i="51"/>
  <c r="AK255" i="51"/>
  <c r="AA253" i="51"/>
  <c r="AC255" i="51"/>
  <c r="AC253" i="51"/>
  <c r="AB253" i="51"/>
  <c r="AK253" i="51"/>
  <c r="AK133" i="51"/>
  <c r="AN140" i="51"/>
  <c r="AM140" i="51"/>
  <c r="BC140" i="51"/>
  <c r="BA140" i="51"/>
  <c r="Y147" i="51"/>
  <c r="X147" i="51"/>
  <c r="AI143" i="51"/>
  <c r="AH143" i="51"/>
  <c r="Y144" i="51"/>
  <c r="X144" i="51"/>
  <c r="O148" i="51"/>
  <c r="N148" i="51"/>
  <c r="Y149" i="51"/>
  <c r="X149" i="51"/>
  <c r="BH149" i="51"/>
  <c r="BG149" i="51"/>
  <c r="AX152" i="51"/>
  <c r="AW152" i="51"/>
  <c r="AD153" i="51"/>
  <c r="AC153" i="51"/>
  <c r="Y154" i="51"/>
  <c r="X154" i="51"/>
  <c r="BH154" i="51"/>
  <c r="BE154" i="51"/>
  <c r="BC158" i="51"/>
  <c r="BA158" i="51"/>
  <c r="AD159" i="51"/>
  <c r="AA159" i="51"/>
  <c r="AS159" i="51"/>
  <c r="AQ159" i="51"/>
  <c r="BH162" i="51"/>
  <c r="BE162" i="51"/>
  <c r="Y167" i="51"/>
  <c r="W167" i="51"/>
  <c r="O176" i="51"/>
  <c r="M176" i="51"/>
  <c r="AS179" i="51"/>
  <c r="AQ179" i="51"/>
  <c r="AI177" i="51"/>
  <c r="AG177" i="51"/>
  <c r="AS177" i="51"/>
  <c r="AQ177" i="51"/>
  <c r="AS185" i="51"/>
  <c r="AQ185" i="51"/>
  <c r="BC185" i="51"/>
  <c r="BA185" i="51"/>
  <c r="AS186" i="51"/>
  <c r="AR186" i="51"/>
  <c r="AX192" i="51"/>
  <c r="AV192" i="51"/>
  <c r="AD195" i="51"/>
  <c r="AB195" i="51"/>
  <c r="BH191" i="51"/>
  <c r="BF191" i="51"/>
  <c r="T196" i="51"/>
  <c r="R196" i="51"/>
  <c r="AI199" i="51"/>
  <c r="AH199" i="51"/>
  <c r="BC199" i="51"/>
  <c r="BA199" i="51"/>
  <c r="O210" i="51"/>
  <c r="M210" i="51"/>
  <c r="N210" i="51"/>
  <c r="BC216" i="51"/>
  <c r="BA216" i="51"/>
  <c r="BB216" i="51"/>
  <c r="BC220" i="51"/>
  <c r="BA220" i="51"/>
  <c r="BB220" i="51"/>
  <c r="Y228" i="51"/>
  <c r="X228" i="51"/>
  <c r="V228" i="51"/>
  <c r="T234" i="51"/>
  <c r="S234" i="51"/>
  <c r="Q234" i="51"/>
  <c r="BH234" i="51"/>
  <c r="BG234" i="51"/>
  <c r="BE234" i="51"/>
  <c r="AX235" i="51"/>
  <c r="AW235" i="51"/>
  <c r="AU235" i="51"/>
  <c r="AN236" i="51"/>
  <c r="AM236" i="51"/>
  <c r="AK236" i="51"/>
  <c r="AD237" i="51"/>
  <c r="AC237" i="51"/>
  <c r="AA237" i="51"/>
  <c r="T240" i="51"/>
  <c r="S240" i="51"/>
  <c r="Q240" i="51"/>
  <c r="BH240" i="51"/>
  <c r="BG240" i="51"/>
  <c r="BE240" i="51"/>
  <c r="AX241" i="51"/>
  <c r="AW241" i="51"/>
  <c r="AU241" i="51"/>
  <c r="AN242" i="51"/>
  <c r="AM242" i="51"/>
  <c r="AK242" i="51"/>
  <c r="AD239" i="51"/>
  <c r="AC239" i="51"/>
  <c r="AA239" i="51"/>
  <c r="BG253" i="51"/>
  <c r="BE253" i="51"/>
  <c r="AW254" i="51"/>
  <c r="AU254" i="51"/>
  <c r="BB255" i="51"/>
  <c r="AZ255" i="51"/>
  <c r="BB257" i="51"/>
  <c r="AZ257" i="51"/>
  <c r="AF132" i="51"/>
  <c r="AH132" i="51"/>
  <c r="AU133" i="51"/>
  <c r="AZ140" i="51"/>
  <c r="T142" i="51"/>
  <c r="S142" i="51"/>
  <c r="AN142" i="51"/>
  <c r="AM142" i="51"/>
  <c r="AX142" i="51"/>
  <c r="AV142" i="51"/>
  <c r="BH142" i="51"/>
  <c r="BF142" i="51"/>
  <c r="AI146" i="51"/>
  <c r="AH146" i="51"/>
  <c r="BC146" i="51"/>
  <c r="BB146" i="51"/>
  <c r="O143" i="51"/>
  <c r="N143" i="51"/>
  <c r="BC143" i="51"/>
  <c r="BB143" i="51"/>
  <c r="AS144" i="51"/>
  <c r="AR144" i="51"/>
  <c r="AI148" i="51"/>
  <c r="AH148" i="51"/>
  <c r="BC148" i="51"/>
  <c r="BB148" i="51"/>
  <c r="AI149" i="51"/>
  <c r="AG149" i="51"/>
  <c r="AN149" i="51"/>
  <c r="AM149" i="51"/>
  <c r="AK149" i="51"/>
  <c r="AD152" i="51"/>
  <c r="AC152" i="51"/>
  <c r="AX153" i="51"/>
  <c r="AW153" i="51"/>
  <c r="Y157" i="51"/>
  <c r="W157" i="51"/>
  <c r="AX157" i="51"/>
  <c r="AU157" i="51"/>
  <c r="O158" i="51"/>
  <c r="M158" i="51"/>
  <c r="AN158" i="51"/>
  <c r="AK158" i="51"/>
  <c r="AZ158" i="51"/>
  <c r="AP159" i="51"/>
  <c r="T162" i="51"/>
  <c r="Q162" i="51"/>
  <c r="AI162" i="51"/>
  <c r="AG162" i="51"/>
  <c r="Y163" i="51"/>
  <c r="W163" i="51"/>
  <c r="AX163" i="51"/>
  <c r="AU163" i="51"/>
  <c r="O164" i="51"/>
  <c r="M164" i="51"/>
  <c r="AI167" i="51"/>
  <c r="AG167" i="51"/>
  <c r="BC168" i="51"/>
  <c r="BA168" i="51"/>
  <c r="O175" i="51"/>
  <c r="M175" i="51"/>
  <c r="Y176" i="51"/>
  <c r="W176" i="51"/>
  <c r="AP179" i="51"/>
  <c r="BC179" i="51"/>
  <c r="BA179" i="51"/>
  <c r="AF177" i="51"/>
  <c r="AP177" i="51"/>
  <c r="O184" i="51"/>
  <c r="M184" i="51"/>
  <c r="Y184" i="51"/>
  <c r="W184" i="51"/>
  <c r="AP185" i="51"/>
  <c r="AZ185" i="51"/>
  <c r="Y186" i="51"/>
  <c r="W186" i="51"/>
  <c r="AU192" i="51"/>
  <c r="AA195" i="51"/>
  <c r="AN195" i="51"/>
  <c r="AL195" i="51"/>
  <c r="BE191" i="51"/>
  <c r="O199" i="51"/>
  <c r="N199" i="51"/>
  <c r="Y203" i="51"/>
  <c r="W203" i="51"/>
  <c r="AI203" i="51"/>
  <c r="AG203" i="51"/>
  <c r="BC200" i="51"/>
  <c r="BA200" i="51"/>
  <c r="O204" i="51"/>
  <c r="M204" i="51"/>
  <c r="AI207" i="51"/>
  <c r="AG207" i="51"/>
  <c r="AS207" i="51"/>
  <c r="AQ207" i="51"/>
  <c r="Y213" i="51"/>
  <c r="W213" i="51"/>
  <c r="X213" i="51"/>
  <c r="Y221" i="51"/>
  <c r="W221" i="51"/>
  <c r="X221" i="51"/>
  <c r="M126" i="51"/>
  <c r="Q126" i="51"/>
  <c r="AG126" i="51"/>
  <c r="AK126" i="51"/>
  <c r="BA126" i="51"/>
  <c r="BE126" i="51"/>
  <c r="W128" i="51"/>
  <c r="AA128" i="51"/>
  <c r="AQ128" i="51"/>
  <c r="AU128" i="51"/>
  <c r="M129" i="51"/>
  <c r="Q129" i="51"/>
  <c r="AG129" i="51"/>
  <c r="AK129" i="51"/>
  <c r="BA129" i="51"/>
  <c r="BE129" i="51"/>
  <c r="AG132" i="51"/>
  <c r="BA132" i="51"/>
  <c r="BE132" i="51"/>
  <c r="AM133" i="51"/>
  <c r="AW133" i="51"/>
  <c r="S134" i="51"/>
  <c r="AC134" i="51"/>
  <c r="AM134" i="51"/>
  <c r="AW134" i="51"/>
  <c r="BG134" i="51"/>
  <c r="L138" i="51"/>
  <c r="AB138" i="51"/>
  <c r="AF138" i="51"/>
  <c r="AV138" i="51"/>
  <c r="AZ138" i="51"/>
  <c r="R137" i="51"/>
  <c r="V137" i="51"/>
  <c r="AL137" i="51"/>
  <c r="AP137" i="51"/>
  <c r="BF137" i="51"/>
  <c r="L140" i="51"/>
  <c r="AB140" i="51"/>
  <c r="AF140" i="51"/>
  <c r="AH140" i="51"/>
  <c r="AK140" i="51"/>
  <c r="BB140" i="51"/>
  <c r="BH140" i="51"/>
  <c r="BE140" i="51"/>
  <c r="Q142" i="51"/>
  <c r="AD142" i="51"/>
  <c r="AC142" i="51"/>
  <c r="AK142" i="51"/>
  <c r="AW142" i="51"/>
  <c r="BG142" i="51"/>
  <c r="O146" i="51"/>
  <c r="L146" i="51"/>
  <c r="AF146" i="51"/>
  <c r="AZ146" i="51"/>
  <c r="O147" i="51"/>
  <c r="N147" i="51"/>
  <c r="V147" i="51"/>
  <c r="AI147" i="51"/>
  <c r="AH147" i="51"/>
  <c r="BC147" i="51"/>
  <c r="BB147" i="51"/>
  <c r="L143" i="51"/>
  <c r="Y143" i="51"/>
  <c r="X143" i="51"/>
  <c r="AF143" i="51"/>
  <c r="AS143" i="51"/>
  <c r="AR143" i="51"/>
  <c r="AZ143" i="51"/>
  <c r="O144" i="51"/>
  <c r="N144" i="51"/>
  <c r="V144" i="51"/>
  <c r="AI144" i="51"/>
  <c r="AH144" i="51"/>
  <c r="AP144" i="51"/>
  <c r="BC144" i="51"/>
  <c r="BB144" i="51"/>
  <c r="L148" i="51"/>
  <c r="Y148" i="51"/>
  <c r="X148" i="51"/>
  <c r="AF148" i="51"/>
  <c r="AS148" i="51"/>
  <c r="AR148" i="51"/>
  <c r="AZ148" i="51"/>
  <c r="O149" i="51"/>
  <c r="N149" i="51"/>
  <c r="V149" i="51"/>
  <c r="AH149" i="51"/>
  <c r="AL149" i="51"/>
  <c r="AX149" i="51"/>
  <c r="AW149" i="51"/>
  <c r="BE149" i="51"/>
  <c r="T152" i="51"/>
  <c r="S152" i="51"/>
  <c r="AA152" i="51"/>
  <c r="AN152" i="51"/>
  <c r="AM152" i="51"/>
  <c r="AU152" i="51"/>
  <c r="BH152" i="51"/>
  <c r="BG152" i="51"/>
  <c r="T153" i="51"/>
  <c r="S153" i="51"/>
  <c r="AA153" i="51"/>
  <c r="AN153" i="51"/>
  <c r="AM153" i="51"/>
  <c r="AU153" i="51"/>
  <c r="O154" i="51"/>
  <c r="N154" i="51"/>
  <c r="L154" i="51"/>
  <c r="V154" i="51"/>
  <c r="AI154" i="51"/>
  <c r="AH154" i="51"/>
  <c r="AX154" i="51"/>
  <c r="AV154" i="51"/>
  <c r="BC154" i="51"/>
  <c r="BB154" i="51"/>
  <c r="AZ154" i="51"/>
  <c r="X157" i="51"/>
  <c r="AD157" i="51"/>
  <c r="AA157" i="51"/>
  <c r="AS157" i="51"/>
  <c r="AQ157" i="51"/>
  <c r="N158" i="51"/>
  <c r="T158" i="51"/>
  <c r="Q158" i="51"/>
  <c r="AI158" i="51"/>
  <c r="AG158" i="51"/>
  <c r="BB158" i="51"/>
  <c r="BH158" i="51"/>
  <c r="BE158" i="51"/>
  <c r="Y159" i="51"/>
  <c r="W159" i="51"/>
  <c r="AR159" i="51"/>
  <c r="AX159" i="51"/>
  <c r="AU159" i="51"/>
  <c r="O162" i="51"/>
  <c r="M162" i="51"/>
  <c r="AH162" i="51"/>
  <c r="AN162" i="51"/>
  <c r="AK162" i="51"/>
  <c r="BC162" i="51"/>
  <c r="BA162" i="51"/>
  <c r="X163" i="51"/>
  <c r="AD163" i="51"/>
  <c r="AA163" i="51"/>
  <c r="AS163" i="51"/>
  <c r="AQ163" i="51"/>
  <c r="N164" i="51"/>
  <c r="T164" i="51"/>
  <c r="Q164" i="51"/>
  <c r="AI164" i="51"/>
  <c r="AG164" i="51"/>
  <c r="AS164" i="51"/>
  <c r="AQ164" i="51"/>
  <c r="X167" i="51"/>
  <c r="AH167" i="51"/>
  <c r="O168" i="51"/>
  <c r="M168" i="51"/>
  <c r="Y168" i="51"/>
  <c r="W168" i="51"/>
  <c r="BB168" i="51"/>
  <c r="N175" i="51"/>
  <c r="AS175" i="51"/>
  <c r="AQ175" i="51"/>
  <c r="BC175" i="51"/>
  <c r="BA175" i="51"/>
  <c r="Y174" i="51"/>
  <c r="W174" i="51"/>
  <c r="AI174" i="51"/>
  <c r="AG174" i="51"/>
  <c r="N176" i="51"/>
  <c r="X176" i="51"/>
  <c r="BC176" i="51"/>
  <c r="BA176" i="51"/>
  <c r="O179" i="51"/>
  <c r="M179" i="51"/>
  <c r="AR179" i="51"/>
  <c r="BB179" i="51"/>
  <c r="AI180" i="51"/>
  <c r="AG180" i="51"/>
  <c r="AH177" i="51"/>
  <c r="AR177" i="51"/>
  <c r="Y178" i="51"/>
  <c r="W178" i="51"/>
  <c r="AI178" i="51"/>
  <c r="AG178" i="51"/>
  <c r="N184" i="51"/>
  <c r="X184" i="51"/>
  <c r="O185" i="51"/>
  <c r="M185" i="51"/>
  <c r="AR185" i="51"/>
  <c r="BB185" i="51"/>
  <c r="AI187" i="51"/>
  <c r="AG187" i="51"/>
  <c r="AS187" i="51"/>
  <c r="AQ187" i="51"/>
  <c r="X186" i="51"/>
  <c r="AI186" i="51"/>
  <c r="AH186" i="51"/>
  <c r="AP186" i="51"/>
  <c r="BC186" i="51"/>
  <c r="BB186" i="51"/>
  <c r="BH186" i="51"/>
  <c r="BG186" i="51"/>
  <c r="BE186" i="51"/>
  <c r="T192" i="51"/>
  <c r="R192" i="51"/>
  <c r="AW192" i="51"/>
  <c r="AN190" i="51"/>
  <c r="AL190" i="51"/>
  <c r="AX190" i="51"/>
  <c r="AV190" i="51"/>
  <c r="AC195" i="51"/>
  <c r="AM195" i="51"/>
  <c r="T191" i="51"/>
  <c r="R191" i="51"/>
  <c r="AD191" i="51"/>
  <c r="AB191" i="51"/>
  <c r="BG191" i="51"/>
  <c r="S196" i="51"/>
  <c r="AX196" i="51"/>
  <c r="AV196" i="51"/>
  <c r="BH196" i="51"/>
  <c r="BF196" i="51"/>
  <c r="L199" i="51"/>
  <c r="Y199" i="51"/>
  <c r="X199" i="51"/>
  <c r="AF199" i="51"/>
  <c r="BB199" i="51"/>
  <c r="AI201" i="51"/>
  <c r="AG201" i="51"/>
  <c r="AS201" i="51"/>
  <c r="AQ201" i="51"/>
  <c r="X203" i="51"/>
  <c r="AH203" i="51"/>
  <c r="O200" i="51"/>
  <c r="M200" i="51"/>
  <c r="Y200" i="51"/>
  <c r="W200" i="51"/>
  <c r="BB200" i="51"/>
  <c r="N204" i="51"/>
  <c r="AS204" i="51"/>
  <c r="AQ204" i="51"/>
  <c r="BC204" i="51"/>
  <c r="BA204" i="51"/>
  <c r="AH207" i="51"/>
  <c r="AR207" i="51"/>
  <c r="Y208" i="51"/>
  <c r="W208" i="51"/>
  <c r="AI208" i="51"/>
  <c r="AG208" i="51"/>
  <c r="BC209" i="51"/>
  <c r="BA209" i="51"/>
  <c r="BB209" i="51"/>
  <c r="L210" i="51"/>
  <c r="O213" i="51"/>
  <c r="M213" i="51"/>
  <c r="N213" i="51"/>
  <c r="V213" i="51"/>
  <c r="AS216" i="51"/>
  <c r="AQ216" i="51"/>
  <c r="AR216" i="51"/>
  <c r="AZ216" i="51"/>
  <c r="O221" i="51"/>
  <c r="M221" i="51"/>
  <c r="N221" i="51"/>
  <c r="V221" i="51"/>
  <c r="AS220" i="51"/>
  <c r="AQ220" i="51"/>
  <c r="AR220" i="51"/>
  <c r="AZ220" i="51"/>
  <c r="BC227" i="51"/>
  <c r="BB227" i="51"/>
  <c r="AZ227" i="51"/>
  <c r="AS228" i="51"/>
  <c r="AR228" i="51"/>
  <c r="AP228" i="51"/>
  <c r="AN234" i="51"/>
  <c r="AM234" i="51"/>
  <c r="AK234" i="51"/>
  <c r="AD235" i="51"/>
  <c r="AC235" i="51"/>
  <c r="AA235" i="51"/>
  <c r="T236" i="51"/>
  <c r="S236" i="51"/>
  <c r="Q236" i="51"/>
  <c r="BH236" i="51"/>
  <c r="BG236" i="51"/>
  <c r="BE236" i="51"/>
  <c r="AX237" i="51"/>
  <c r="AW237" i="51"/>
  <c r="AU237" i="51"/>
  <c r="AN240" i="51"/>
  <c r="AM240" i="51"/>
  <c r="AK240" i="51"/>
  <c r="AD241" i="51"/>
  <c r="AC241" i="51"/>
  <c r="AA241" i="51"/>
  <c r="T242" i="51"/>
  <c r="S242" i="51"/>
  <c r="Q242" i="51"/>
  <c r="BH242" i="51"/>
  <c r="BG242" i="51"/>
  <c r="BE242" i="51"/>
  <c r="AX239" i="51"/>
  <c r="AW239" i="51"/>
  <c r="AU239" i="51"/>
  <c r="Y209" i="51"/>
  <c r="W209" i="51"/>
  <c r="AS210" i="51"/>
  <c r="AQ210" i="51"/>
  <c r="BC210" i="51"/>
  <c r="BA210" i="51"/>
  <c r="BC213" i="51"/>
  <c r="BA213" i="51"/>
  <c r="O216" i="51"/>
  <c r="M216" i="51"/>
  <c r="AI214" i="51"/>
  <c r="AG214" i="51"/>
  <c r="AS214" i="51"/>
  <c r="AQ214" i="51"/>
  <c r="Y219" i="51"/>
  <c r="X219" i="51"/>
  <c r="AS219" i="51"/>
  <c r="AR219" i="51"/>
  <c r="BC221" i="51"/>
  <c r="BA221" i="51"/>
  <c r="O220" i="51"/>
  <c r="M220" i="51"/>
  <c r="AI222" i="51"/>
  <c r="AG222" i="51"/>
  <c r="AS222" i="51"/>
  <c r="AQ222" i="51"/>
  <c r="Y225" i="51"/>
  <c r="X225" i="51"/>
  <c r="Y231" i="51"/>
  <c r="X231" i="51"/>
  <c r="AS231" i="51"/>
  <c r="AR231" i="51"/>
  <c r="O226" i="51"/>
  <c r="N226" i="51"/>
  <c r="AI226" i="51"/>
  <c r="AH226" i="51"/>
  <c r="BC226" i="51"/>
  <c r="BB226" i="51"/>
  <c r="Y227" i="51"/>
  <c r="X227" i="51"/>
  <c r="AS227" i="51"/>
  <c r="AR227" i="51"/>
  <c r="O228" i="51"/>
  <c r="N228" i="51"/>
  <c r="AI228" i="51"/>
  <c r="AH228" i="51"/>
  <c r="BC228" i="51"/>
  <c r="BB228" i="51"/>
  <c r="AD234" i="51"/>
  <c r="AC234" i="51"/>
  <c r="AX234" i="51"/>
  <c r="AW234" i="51"/>
  <c r="T235" i="51"/>
  <c r="S235" i="51"/>
  <c r="AN235" i="51"/>
  <c r="AM235" i="51"/>
  <c r="BH235" i="51"/>
  <c r="BG235" i="51"/>
  <c r="AD236" i="51"/>
  <c r="AC236" i="51"/>
  <c r="AX236" i="51"/>
  <c r="AW236" i="51"/>
  <c r="T237" i="51"/>
  <c r="S237" i="51"/>
  <c r="AN237" i="51"/>
  <c r="AM237" i="51"/>
  <c r="BH237" i="51"/>
  <c r="BG237" i="51"/>
  <c r="AD240" i="51"/>
  <c r="AC240" i="51"/>
  <c r="AX240" i="51"/>
  <c r="AW240" i="51"/>
  <c r="T241" i="51"/>
  <c r="S241" i="51"/>
  <c r="AN241" i="51"/>
  <c r="AM241" i="51"/>
  <c r="BH241" i="51"/>
  <c r="BG241" i="51"/>
  <c r="AD242" i="51"/>
  <c r="AC242" i="51"/>
  <c r="AX242" i="51"/>
  <c r="AW242" i="51"/>
  <c r="T239" i="51"/>
  <c r="S239" i="51"/>
  <c r="AN239" i="51"/>
  <c r="AM239" i="51"/>
  <c r="BH239" i="51"/>
  <c r="BG239" i="51"/>
  <c r="T254" i="51"/>
  <c r="R254" i="51"/>
  <c r="S254" i="51"/>
  <c r="AX255" i="51"/>
  <c r="AV255" i="51"/>
  <c r="N257" i="51"/>
  <c r="L257" i="51"/>
  <c r="AN257" i="51"/>
  <c r="AL257" i="51"/>
  <c r="AX257" i="51"/>
  <c r="AV257" i="51"/>
  <c r="L75" i="51"/>
  <c r="AC75" i="51"/>
  <c r="AF75" i="51"/>
  <c r="N75" i="51"/>
  <c r="X75" i="51"/>
  <c r="AH75" i="51"/>
  <c r="AR75" i="51"/>
  <c r="AZ75" i="51"/>
  <c r="R75" i="51"/>
  <c r="AB75" i="51"/>
  <c r="AL75" i="51"/>
  <c r="BB75" i="51"/>
  <c r="AN164" i="51"/>
  <c r="AM164" i="51"/>
  <c r="BH164" i="51"/>
  <c r="BG164" i="51"/>
  <c r="AD167" i="51"/>
  <c r="AC167" i="51"/>
  <c r="T168" i="51"/>
  <c r="S168" i="51"/>
  <c r="AN168" i="51"/>
  <c r="AM168" i="51"/>
  <c r="BH168" i="51"/>
  <c r="BG168" i="51"/>
  <c r="AD175" i="51"/>
  <c r="AC175" i="51"/>
  <c r="AD174" i="51"/>
  <c r="AC174" i="51"/>
  <c r="AX174" i="51"/>
  <c r="AW174" i="51"/>
  <c r="T176" i="51"/>
  <c r="S176" i="51"/>
  <c r="AN176" i="51"/>
  <c r="AM176" i="51"/>
  <c r="BH176" i="51"/>
  <c r="BG176" i="51"/>
  <c r="AD179" i="51"/>
  <c r="AC179" i="51"/>
  <c r="AX179" i="51"/>
  <c r="AW179" i="51"/>
  <c r="T180" i="51"/>
  <c r="S180" i="51"/>
  <c r="AN180" i="51"/>
  <c r="AM180" i="51"/>
  <c r="AS180" i="51"/>
  <c r="AR180" i="51"/>
  <c r="AP180" i="51"/>
  <c r="AX180" i="51"/>
  <c r="AW180" i="51"/>
  <c r="AU180" i="51"/>
  <c r="T177" i="51"/>
  <c r="S177" i="51"/>
  <c r="AN177" i="51"/>
  <c r="AM177" i="51"/>
  <c r="BH177" i="51"/>
  <c r="BG177" i="51"/>
  <c r="AD178" i="51"/>
  <c r="AC178" i="51"/>
  <c r="AX178" i="51"/>
  <c r="AW178" i="51"/>
  <c r="T184" i="51"/>
  <c r="S184" i="51"/>
  <c r="AN184" i="51"/>
  <c r="AM184" i="51"/>
  <c r="BH184" i="51"/>
  <c r="BG184" i="51"/>
  <c r="AD185" i="51"/>
  <c r="AC185" i="51"/>
  <c r="AX185" i="51"/>
  <c r="AW185" i="51"/>
  <c r="T187" i="51"/>
  <c r="S187" i="51"/>
  <c r="AN187" i="51"/>
  <c r="AM187" i="51"/>
  <c r="BH187" i="51"/>
  <c r="BG187" i="51"/>
  <c r="O192" i="51"/>
  <c r="N192" i="51"/>
  <c r="AI192" i="51"/>
  <c r="AH192" i="51"/>
  <c r="BC192" i="51"/>
  <c r="BB192" i="51"/>
  <c r="Y190" i="51"/>
  <c r="X190" i="51"/>
  <c r="O195" i="51"/>
  <c r="N195" i="51"/>
  <c r="AI195" i="51"/>
  <c r="AH195" i="51"/>
  <c r="BC195" i="51"/>
  <c r="BB195" i="51"/>
  <c r="Y191" i="51"/>
  <c r="X191" i="51"/>
  <c r="AS191" i="51"/>
  <c r="AR191" i="51"/>
  <c r="O196" i="51"/>
  <c r="N196" i="51"/>
  <c r="AI196" i="51"/>
  <c r="AH196" i="51"/>
  <c r="BC196" i="51"/>
  <c r="BB196" i="51"/>
  <c r="AX193" i="51"/>
  <c r="AW193" i="51"/>
  <c r="AX199" i="51"/>
  <c r="AW199" i="51"/>
  <c r="T201" i="51"/>
  <c r="S201" i="51"/>
  <c r="AN201" i="51"/>
  <c r="AM201" i="51"/>
  <c r="BH201" i="51"/>
  <c r="BG201" i="51"/>
  <c r="AD203" i="51"/>
  <c r="AC203" i="51"/>
  <c r="AX203" i="51"/>
  <c r="AW203" i="51"/>
  <c r="T200" i="51"/>
  <c r="S200" i="51"/>
  <c r="AN200" i="51"/>
  <c r="AM200" i="51"/>
  <c r="BH200" i="51"/>
  <c r="BG200" i="51"/>
  <c r="AD204" i="51"/>
  <c r="AC204" i="51"/>
  <c r="AX204" i="51"/>
  <c r="AW204" i="51"/>
  <c r="T207" i="51"/>
  <c r="S207" i="51"/>
  <c r="AN207" i="51"/>
  <c r="AM207" i="51"/>
  <c r="BH207" i="51"/>
  <c r="BG207" i="51"/>
  <c r="AD208" i="51"/>
  <c r="AC208" i="51"/>
  <c r="AX208" i="51"/>
  <c r="AW208" i="51"/>
  <c r="T209" i="51"/>
  <c r="S209" i="51"/>
  <c r="AN209" i="51"/>
  <c r="AM209" i="51"/>
  <c r="BH209" i="51"/>
  <c r="BG209" i="51"/>
  <c r="AD210" i="51"/>
  <c r="AC210" i="51"/>
  <c r="AX210" i="51"/>
  <c r="AW210" i="51"/>
  <c r="T213" i="51"/>
  <c r="S213" i="51"/>
  <c r="AN213" i="51"/>
  <c r="AM213" i="51"/>
  <c r="BH213" i="51"/>
  <c r="BG213" i="51"/>
  <c r="AD216" i="51"/>
  <c r="AC216" i="51"/>
  <c r="AX216" i="51"/>
  <c r="AW216" i="51"/>
  <c r="T214" i="51"/>
  <c r="S214" i="51"/>
  <c r="AN214" i="51"/>
  <c r="AM214" i="51"/>
  <c r="BH214" i="51"/>
  <c r="BG214" i="51"/>
  <c r="T219" i="51"/>
  <c r="R219" i="51"/>
  <c r="AD219" i="51"/>
  <c r="AB219" i="51"/>
  <c r="AN219" i="51"/>
  <c r="AL219" i="51"/>
  <c r="AX219" i="51"/>
  <c r="AV219" i="51"/>
  <c r="T221" i="51"/>
  <c r="S221" i="51"/>
  <c r="AN221" i="51"/>
  <c r="AM221" i="51"/>
  <c r="BH221" i="51"/>
  <c r="BG221" i="51"/>
  <c r="AD220" i="51"/>
  <c r="AC220" i="51"/>
  <c r="AX220" i="51"/>
  <c r="AW220" i="51"/>
  <c r="T222" i="51"/>
  <c r="S222" i="51"/>
  <c r="AN222" i="51"/>
  <c r="AM222" i="51"/>
  <c r="BH222" i="51"/>
  <c r="BG222" i="51"/>
  <c r="T225" i="51"/>
  <c r="R225" i="51"/>
  <c r="AD225" i="51"/>
  <c r="AB225" i="51"/>
  <c r="AN225" i="51"/>
  <c r="AL225" i="51"/>
  <c r="AX225" i="51"/>
  <c r="AV225" i="51"/>
  <c r="BH225" i="51"/>
  <c r="BF225" i="51"/>
  <c r="T231" i="51"/>
  <c r="R231" i="51"/>
  <c r="AD231" i="51"/>
  <c r="AB231" i="51"/>
  <c r="AN231" i="51"/>
  <c r="AL231" i="51"/>
  <c r="AX231" i="51"/>
  <c r="AV231" i="51"/>
  <c r="BH231" i="51"/>
  <c r="BF231" i="51"/>
  <c r="T226" i="51"/>
  <c r="R226" i="51"/>
  <c r="AD226" i="51"/>
  <c r="AB226" i="51"/>
  <c r="AN226" i="51"/>
  <c r="AL226" i="51"/>
  <c r="AX226" i="51"/>
  <c r="AV226" i="51"/>
  <c r="BH226" i="51"/>
  <c r="BF226" i="51"/>
  <c r="T227" i="51"/>
  <c r="R227" i="51"/>
  <c r="AD227" i="51"/>
  <c r="AB227" i="51"/>
  <c r="AN227" i="51"/>
  <c r="AL227" i="51"/>
  <c r="AX227" i="51"/>
  <c r="AV227" i="51"/>
  <c r="BH227" i="51"/>
  <c r="BF227" i="51"/>
  <c r="T228" i="51"/>
  <c r="R228" i="51"/>
  <c r="AD228" i="51"/>
  <c r="AB228" i="51"/>
  <c r="AN228" i="51"/>
  <c r="AL228" i="51"/>
  <c r="AX228" i="51"/>
  <c r="AV228" i="51"/>
  <c r="BH228" i="51"/>
  <c r="BF228" i="51"/>
  <c r="T253" i="51"/>
  <c r="R253" i="51"/>
  <c r="S253" i="51"/>
  <c r="Q253" i="51"/>
  <c r="AD254" i="51"/>
  <c r="AB254" i="51"/>
  <c r="AC254" i="51"/>
  <c r="AA254" i="51"/>
  <c r="S126" i="51"/>
  <c r="AC126" i="51"/>
  <c r="AM126" i="51"/>
  <c r="BG126" i="51"/>
  <c r="S128" i="51"/>
  <c r="AC128" i="51"/>
  <c r="AM128" i="51"/>
  <c r="AW128" i="51"/>
  <c r="BG128" i="51"/>
  <c r="S129" i="51"/>
  <c r="AC129" i="51"/>
  <c r="AM129" i="51"/>
  <c r="AW129" i="51"/>
  <c r="BG129" i="51"/>
  <c r="AC132" i="51"/>
  <c r="M133" i="51"/>
  <c r="W133" i="51"/>
  <c r="AG133" i="51"/>
  <c r="AQ133" i="51"/>
  <c r="BA133" i="51"/>
  <c r="M134" i="51"/>
  <c r="W134" i="51"/>
  <c r="AG134" i="51"/>
  <c r="AQ134" i="51"/>
  <c r="BA134" i="51"/>
  <c r="N138" i="51"/>
  <c r="X138" i="51"/>
  <c r="AH138" i="51"/>
  <c r="AR138" i="51"/>
  <c r="BB138" i="51"/>
  <c r="N137" i="51"/>
  <c r="X137" i="51"/>
  <c r="AH137" i="51"/>
  <c r="AR137" i="51"/>
  <c r="N140" i="51"/>
  <c r="X140" i="51"/>
  <c r="AL140" i="51"/>
  <c r="AW140" i="51"/>
  <c r="BG140" i="51"/>
  <c r="R142" i="51"/>
  <c r="AB142" i="51"/>
  <c r="AL142" i="51"/>
  <c r="AP142" i="51"/>
  <c r="R146" i="51"/>
  <c r="AB146" i="51"/>
  <c r="AL146" i="51"/>
  <c r="AV146" i="51"/>
  <c r="BF146" i="51"/>
  <c r="R147" i="51"/>
  <c r="AB147" i="51"/>
  <c r="AL147" i="51"/>
  <c r="AV147" i="51"/>
  <c r="BF147" i="51"/>
  <c r="R143" i="51"/>
  <c r="AB143" i="51"/>
  <c r="AL143" i="51"/>
  <c r="BF143" i="51"/>
  <c r="R144" i="51"/>
  <c r="AB144" i="51"/>
  <c r="AL144" i="51"/>
  <c r="AV144" i="51"/>
  <c r="BF144" i="51"/>
  <c r="R148" i="51"/>
  <c r="AB148" i="51"/>
  <c r="AL148" i="51"/>
  <c r="AV148" i="51"/>
  <c r="BF148" i="51"/>
  <c r="R149" i="51"/>
  <c r="AB149" i="51"/>
  <c r="AQ149" i="51"/>
  <c r="BA149" i="51"/>
  <c r="M152" i="51"/>
  <c r="W152" i="51"/>
  <c r="AG152" i="51"/>
  <c r="BA152" i="51"/>
  <c r="M153" i="51"/>
  <c r="W153" i="51"/>
  <c r="AG153" i="51"/>
  <c r="AQ153" i="51"/>
  <c r="BA153" i="51"/>
  <c r="R154" i="51"/>
  <c r="AB154" i="51"/>
  <c r="AL154" i="51"/>
  <c r="AP154" i="51"/>
  <c r="AR154" i="51"/>
  <c r="BG154" i="51"/>
  <c r="S157" i="51"/>
  <c r="AC157" i="51"/>
  <c r="AM157" i="51"/>
  <c r="AW157" i="51"/>
  <c r="S158" i="51"/>
  <c r="AC158" i="51"/>
  <c r="AM158" i="51"/>
  <c r="AW158" i="51"/>
  <c r="BG158" i="51"/>
  <c r="S159" i="51"/>
  <c r="AC159" i="51"/>
  <c r="AM159" i="51"/>
  <c r="AW159" i="51"/>
  <c r="BG159" i="51"/>
  <c r="S162" i="51"/>
  <c r="AC162" i="51"/>
  <c r="AM162" i="51"/>
  <c r="AW162" i="51"/>
  <c r="BG162" i="51"/>
  <c r="S163" i="51"/>
  <c r="AC163" i="51"/>
  <c r="AM163" i="51"/>
  <c r="AW163" i="51"/>
  <c r="S164" i="51"/>
  <c r="AD164" i="51"/>
  <c r="AC164" i="51"/>
  <c r="AK164" i="51"/>
  <c r="AX164" i="51"/>
  <c r="AW164" i="51"/>
  <c r="BE164" i="51"/>
  <c r="T167" i="51"/>
  <c r="S167" i="51"/>
  <c r="AA167" i="51"/>
  <c r="AN167" i="51"/>
  <c r="AM167" i="51"/>
  <c r="Q168" i="51"/>
  <c r="AD168" i="51"/>
  <c r="AC168" i="51"/>
  <c r="AK168" i="51"/>
  <c r="AX168" i="51"/>
  <c r="AW168" i="51"/>
  <c r="BE168" i="51"/>
  <c r="T175" i="51"/>
  <c r="S175" i="51"/>
  <c r="AA175" i="51"/>
  <c r="AN175" i="51"/>
  <c r="AM175" i="51"/>
  <c r="BH175" i="51"/>
  <c r="BG175" i="51"/>
  <c r="T174" i="51"/>
  <c r="S174" i="51"/>
  <c r="AA174" i="51"/>
  <c r="AN174" i="51"/>
  <c r="AM174" i="51"/>
  <c r="AU174" i="51"/>
  <c r="BH174" i="51"/>
  <c r="BG174" i="51"/>
  <c r="Q176" i="51"/>
  <c r="AD176" i="51"/>
  <c r="AC176" i="51"/>
  <c r="AK176" i="51"/>
  <c r="AX176" i="51"/>
  <c r="AW176" i="51"/>
  <c r="BE176" i="51"/>
  <c r="T179" i="51"/>
  <c r="S179" i="51"/>
  <c r="AA179" i="51"/>
  <c r="AN179" i="51"/>
  <c r="AM179" i="51"/>
  <c r="AU179" i="51"/>
  <c r="BH179" i="51"/>
  <c r="BG179" i="51"/>
  <c r="Q180" i="51"/>
  <c r="AD180" i="51"/>
  <c r="AC180" i="51"/>
  <c r="AK180" i="51"/>
  <c r="AQ180" i="51"/>
  <c r="AV180" i="51"/>
  <c r="BH180" i="51"/>
  <c r="BG180" i="51"/>
  <c r="Q177" i="51"/>
  <c r="AD177" i="51"/>
  <c r="AC177" i="51"/>
  <c r="AK177" i="51"/>
  <c r="AX177" i="51"/>
  <c r="AW177" i="51"/>
  <c r="BE177" i="51"/>
  <c r="T178" i="51"/>
  <c r="S178" i="51"/>
  <c r="AA178" i="51"/>
  <c r="AN178" i="51"/>
  <c r="AM178" i="51"/>
  <c r="AU178" i="51"/>
  <c r="BH178" i="51"/>
  <c r="BG178" i="51"/>
  <c r="Q184" i="51"/>
  <c r="AD184" i="51"/>
  <c r="AC184" i="51"/>
  <c r="AK184" i="51"/>
  <c r="AX184" i="51"/>
  <c r="AW184" i="51"/>
  <c r="BE184" i="51"/>
  <c r="T185" i="51"/>
  <c r="S185" i="51"/>
  <c r="AA185" i="51"/>
  <c r="AN185" i="51"/>
  <c r="AM185" i="51"/>
  <c r="AU185" i="51"/>
  <c r="BH185" i="51"/>
  <c r="BG185" i="51"/>
  <c r="Q187" i="51"/>
  <c r="AD187" i="51"/>
  <c r="AC187" i="51"/>
  <c r="AK187" i="51"/>
  <c r="AX187" i="51"/>
  <c r="AW187" i="51"/>
  <c r="BE187" i="51"/>
  <c r="T186" i="51"/>
  <c r="S186" i="51"/>
  <c r="AD186" i="51"/>
  <c r="AB186" i="51"/>
  <c r="AN186" i="51"/>
  <c r="AL186" i="51"/>
  <c r="AX186" i="51"/>
  <c r="AV186" i="51"/>
  <c r="L192" i="51"/>
  <c r="Y192" i="51"/>
  <c r="X192" i="51"/>
  <c r="AF192" i="51"/>
  <c r="AS192" i="51"/>
  <c r="AR192" i="51"/>
  <c r="AZ192" i="51"/>
  <c r="O190" i="51"/>
  <c r="N190" i="51"/>
  <c r="V190" i="51"/>
  <c r="AI190" i="51"/>
  <c r="AH190" i="51"/>
  <c r="BC190" i="51"/>
  <c r="BB190" i="51"/>
  <c r="L195" i="51"/>
  <c r="Y195" i="51"/>
  <c r="X195" i="51"/>
  <c r="AF195" i="51"/>
  <c r="AS195" i="51"/>
  <c r="AR195" i="51"/>
  <c r="AZ195" i="51"/>
  <c r="O191" i="51"/>
  <c r="N191" i="51"/>
  <c r="V191" i="51"/>
  <c r="AI191" i="51"/>
  <c r="AH191" i="51"/>
  <c r="AP191" i="51"/>
  <c r="L196" i="51"/>
  <c r="Y196" i="51"/>
  <c r="X196" i="51"/>
  <c r="AF196" i="51"/>
  <c r="AS196" i="51"/>
  <c r="AR196" i="51"/>
  <c r="AZ196" i="51"/>
  <c r="O193" i="51"/>
  <c r="N193" i="51"/>
  <c r="AI193" i="51"/>
  <c r="AG193" i="51"/>
  <c r="AN193" i="51"/>
  <c r="AM193" i="51"/>
  <c r="AK193" i="51"/>
  <c r="AU193" i="51"/>
  <c r="BH193" i="51"/>
  <c r="BG193" i="51"/>
  <c r="T199" i="51"/>
  <c r="R199" i="51"/>
  <c r="AD199" i="51"/>
  <c r="AB199" i="51"/>
  <c r="AN199" i="51"/>
  <c r="AL199" i="51"/>
  <c r="AU199" i="51"/>
  <c r="BH199" i="51"/>
  <c r="BG199" i="51"/>
  <c r="Q201" i="51"/>
  <c r="AD201" i="51"/>
  <c r="AC201" i="51"/>
  <c r="AK201" i="51"/>
  <c r="AX201" i="51"/>
  <c r="AW201" i="51"/>
  <c r="BE201" i="51"/>
  <c r="T203" i="51"/>
  <c r="S203" i="51"/>
  <c r="AA203" i="51"/>
  <c r="AN203" i="51"/>
  <c r="AM203" i="51"/>
  <c r="AU203" i="51"/>
  <c r="BH203" i="51"/>
  <c r="BG203" i="51"/>
  <c r="Q200" i="51"/>
  <c r="AD200" i="51"/>
  <c r="AC200" i="51"/>
  <c r="AK200" i="51"/>
  <c r="AX200" i="51"/>
  <c r="AW200" i="51"/>
  <c r="BE200" i="51"/>
  <c r="T204" i="51"/>
  <c r="S204" i="51"/>
  <c r="AA204" i="51"/>
  <c r="AN204" i="51"/>
  <c r="AM204" i="51"/>
  <c r="AU204" i="51"/>
  <c r="BH204" i="51"/>
  <c r="BG204" i="51"/>
  <c r="Q207" i="51"/>
  <c r="AD207" i="51"/>
  <c r="AC207" i="51"/>
  <c r="AK207" i="51"/>
  <c r="AX207" i="51"/>
  <c r="AW207" i="51"/>
  <c r="BE207" i="51"/>
  <c r="T208" i="51"/>
  <c r="S208" i="51"/>
  <c r="AA208" i="51"/>
  <c r="AN208" i="51"/>
  <c r="AM208" i="51"/>
  <c r="AU208" i="51"/>
  <c r="BH208" i="51"/>
  <c r="BG208" i="51"/>
  <c r="Q209" i="51"/>
  <c r="AD209" i="51"/>
  <c r="AC209" i="51"/>
  <c r="AK209" i="51"/>
  <c r="AX209" i="51"/>
  <c r="AW209" i="51"/>
  <c r="BE209" i="51"/>
  <c r="T210" i="51"/>
  <c r="S210" i="51"/>
  <c r="AA210" i="51"/>
  <c r="AN210" i="51"/>
  <c r="AM210" i="51"/>
  <c r="AU210" i="51"/>
  <c r="BH210" i="51"/>
  <c r="BG210" i="51"/>
  <c r="Q213" i="51"/>
  <c r="AD213" i="51"/>
  <c r="AC213" i="51"/>
  <c r="AK213" i="51"/>
  <c r="AX213" i="51"/>
  <c r="AW213" i="51"/>
  <c r="BE213" i="51"/>
  <c r="T216" i="51"/>
  <c r="S216" i="51"/>
  <c r="AA216" i="51"/>
  <c r="AN216" i="51"/>
  <c r="AM216" i="51"/>
  <c r="AU216" i="51"/>
  <c r="BH216" i="51"/>
  <c r="BG216" i="51"/>
  <c r="Q214" i="51"/>
  <c r="AD214" i="51"/>
  <c r="AC214" i="51"/>
  <c r="AK214" i="51"/>
  <c r="AX214" i="51"/>
  <c r="AW214" i="51"/>
  <c r="BE214" i="51"/>
  <c r="S219" i="51"/>
  <c r="AC219" i="51"/>
  <c r="AM219" i="51"/>
  <c r="AW219" i="51"/>
  <c r="BH219" i="51"/>
  <c r="BG219" i="51"/>
  <c r="Q221" i="51"/>
  <c r="AD221" i="51"/>
  <c r="AC221" i="51"/>
  <c r="AK221" i="51"/>
  <c r="AX221" i="51"/>
  <c r="AW221" i="51"/>
  <c r="BE221" i="51"/>
  <c r="T220" i="51"/>
  <c r="S220" i="51"/>
  <c r="AA220" i="51"/>
  <c r="AN220" i="51"/>
  <c r="AM220" i="51"/>
  <c r="AU220" i="51"/>
  <c r="BH220" i="51"/>
  <c r="BG220" i="51"/>
  <c r="Q222" i="51"/>
  <c r="AD222" i="51"/>
  <c r="AC222" i="51"/>
  <c r="AK222" i="51"/>
  <c r="AX222" i="51"/>
  <c r="AW222" i="51"/>
  <c r="BE222" i="51"/>
  <c r="S225" i="51"/>
  <c r="AC225" i="51"/>
  <c r="AM225" i="51"/>
  <c r="AW225" i="51"/>
  <c r="BG225" i="51"/>
  <c r="S231" i="51"/>
  <c r="AC231" i="51"/>
  <c r="AM231" i="51"/>
  <c r="AW231" i="51"/>
  <c r="BG231" i="51"/>
  <c r="S226" i="51"/>
  <c r="AC226" i="51"/>
  <c r="AM226" i="51"/>
  <c r="AW226" i="51"/>
  <c r="BG226" i="51"/>
  <c r="S227" i="51"/>
  <c r="AC227" i="51"/>
  <c r="AM227" i="51"/>
  <c r="AR257" i="51"/>
  <c r="AP257" i="51"/>
  <c r="O234" i="51"/>
  <c r="M234" i="51"/>
  <c r="Y234" i="51"/>
  <c r="W234" i="51"/>
  <c r="AI234" i="51"/>
  <c r="AG234" i="51"/>
  <c r="AS234" i="51"/>
  <c r="AQ234" i="51"/>
  <c r="BC234" i="51"/>
  <c r="BA234" i="51"/>
  <c r="O235" i="51"/>
  <c r="M235" i="51"/>
  <c r="Y235" i="51"/>
  <c r="W235" i="51"/>
  <c r="AI235" i="51"/>
  <c r="AG235" i="51"/>
  <c r="AS235" i="51"/>
  <c r="AQ235" i="51"/>
  <c r="BC235" i="51"/>
  <c r="BA235" i="51"/>
  <c r="O236" i="51"/>
  <c r="M236" i="51"/>
  <c r="Y236" i="51"/>
  <c r="W236" i="51"/>
  <c r="AI236" i="51"/>
  <c r="AG236" i="51"/>
  <c r="AS236" i="51"/>
  <c r="AQ236" i="51"/>
  <c r="BC236" i="51"/>
  <c r="BA236" i="51"/>
  <c r="O237" i="51"/>
  <c r="M237" i="51"/>
  <c r="Y237" i="51"/>
  <c r="W237" i="51"/>
  <c r="AI237" i="51"/>
  <c r="AG237" i="51"/>
  <c r="AS237" i="51"/>
  <c r="AQ237" i="51"/>
  <c r="BC237" i="51"/>
  <c r="BA237" i="51"/>
  <c r="O240" i="51"/>
  <c r="M240" i="51"/>
  <c r="Y240" i="51"/>
  <c r="W240" i="51"/>
  <c r="AI240" i="51"/>
  <c r="AG240" i="51"/>
  <c r="AS240" i="51"/>
  <c r="AQ240" i="51"/>
  <c r="BC240" i="51"/>
  <c r="BA240" i="51"/>
  <c r="O241" i="51"/>
  <c r="M241" i="51"/>
  <c r="Y241" i="51"/>
  <c r="W241" i="51"/>
  <c r="AI241" i="51"/>
  <c r="AG241" i="51"/>
  <c r="AS241" i="51"/>
  <c r="AQ241" i="51"/>
  <c r="BC241" i="51"/>
  <c r="BA241" i="51"/>
  <c r="O242" i="51"/>
  <c r="M242" i="51"/>
  <c r="Y242" i="51"/>
  <c r="W242" i="51"/>
  <c r="AI242" i="51"/>
  <c r="AG242" i="51"/>
  <c r="AS242" i="51"/>
  <c r="AQ242" i="51"/>
  <c r="BC242" i="51"/>
  <c r="BA242" i="51"/>
  <c r="O239" i="51"/>
  <c r="M239" i="51"/>
  <c r="Y239" i="51"/>
  <c r="W239" i="51"/>
  <c r="AI239" i="51"/>
  <c r="AG239" i="51"/>
  <c r="AS239" i="51"/>
  <c r="AQ239" i="51"/>
  <c r="BC239" i="51"/>
  <c r="BA239" i="51"/>
  <c r="T255" i="51"/>
  <c r="R255" i="51"/>
  <c r="S255" i="51"/>
  <c r="X257" i="51"/>
  <c r="V257" i="51"/>
  <c r="AN253" i="51"/>
  <c r="AL253" i="51"/>
  <c r="BH253" i="51"/>
  <c r="BF253" i="51"/>
  <c r="AX254" i="51"/>
  <c r="AV254" i="51"/>
  <c r="AN255" i="51"/>
  <c r="AL255" i="51"/>
  <c r="AW75" i="51"/>
  <c r="AU75" i="51"/>
  <c r="AX75" i="51"/>
  <c r="AV75" i="51"/>
  <c r="DG75" i="51"/>
  <c r="DE75" i="51"/>
  <c r="DA75" i="51"/>
  <c r="CY75" i="51"/>
  <c r="DH75" i="51"/>
  <c r="DM75" i="51" s="1"/>
  <c r="DR75" i="51" s="1"/>
  <c r="DF75" i="51"/>
  <c r="DD75" i="51"/>
  <c r="DB75" i="51"/>
  <c r="CZ75" i="51"/>
  <c r="M75" i="51"/>
  <c r="W75" i="51"/>
  <c r="AG75" i="51"/>
  <c r="AQ75" i="51"/>
  <c r="BA75" i="51"/>
  <c r="O253" i="51"/>
  <c r="M253" i="51"/>
  <c r="Y253" i="51"/>
  <c r="W253" i="51"/>
  <c r="AI253" i="51"/>
  <c r="AG253" i="51"/>
  <c r="AS253" i="51"/>
  <c r="AQ253" i="51"/>
  <c r="BC253" i="51"/>
  <c r="BA253" i="51"/>
  <c r="O254" i="51"/>
  <c r="M254" i="51"/>
  <c r="Y254" i="51"/>
  <c r="W254" i="51"/>
  <c r="AI254" i="51"/>
  <c r="AG254" i="51"/>
  <c r="AS254" i="51"/>
  <c r="AQ254" i="51"/>
  <c r="O255" i="51"/>
  <c r="M255" i="51"/>
  <c r="Y255" i="51"/>
  <c r="W255" i="51"/>
  <c r="AI255" i="51"/>
  <c r="AG255" i="51"/>
  <c r="AS255" i="51"/>
  <c r="AQ255" i="51"/>
  <c r="BC255" i="51"/>
  <c r="BA255" i="51"/>
  <c r="O257" i="51"/>
  <c r="M257" i="51"/>
  <c r="Y257" i="51"/>
  <c r="W257" i="51"/>
  <c r="AI257" i="51"/>
  <c r="AG257" i="51"/>
  <c r="AS257" i="51"/>
  <c r="AQ257" i="51"/>
  <c r="BC257" i="51"/>
  <c r="BA257" i="51"/>
  <c r="N253" i="51"/>
  <c r="X253" i="51"/>
  <c r="AH253" i="51"/>
  <c r="AR253" i="51"/>
  <c r="BB253" i="51"/>
  <c r="N254" i="51"/>
  <c r="X254" i="51"/>
  <c r="AH254" i="51"/>
  <c r="AR254" i="51"/>
  <c r="N255" i="51"/>
  <c r="X255" i="51"/>
  <c r="AH255" i="51"/>
  <c r="AR255" i="51"/>
  <c r="R234" i="51"/>
  <c r="AB234" i="51"/>
  <c r="AL234" i="51"/>
  <c r="AV234" i="51"/>
  <c r="BF234" i="51"/>
  <c r="R235" i="51"/>
  <c r="AB235" i="51"/>
  <c r="AL235" i="51"/>
  <c r="AV235" i="51"/>
  <c r="BF235" i="51"/>
  <c r="R236" i="51"/>
  <c r="AB236" i="51"/>
  <c r="AL236" i="51"/>
  <c r="AV236" i="51"/>
  <c r="BF236" i="51"/>
  <c r="R237" i="51"/>
  <c r="AB237" i="51"/>
  <c r="AL237" i="51"/>
  <c r="AV237" i="51"/>
  <c r="BF237" i="51"/>
  <c r="R240" i="51"/>
  <c r="AB240" i="51"/>
  <c r="AL240" i="51"/>
  <c r="AV240" i="51"/>
  <c r="BF240" i="51"/>
  <c r="R241" i="51"/>
  <c r="AB241" i="51"/>
  <c r="AL241" i="51"/>
  <c r="AV241" i="51"/>
  <c r="BF241" i="51"/>
  <c r="R242" i="51"/>
  <c r="AB242" i="51"/>
  <c r="AL242" i="51"/>
  <c r="AV242" i="51"/>
  <c r="BF242" i="51"/>
  <c r="R239" i="51"/>
  <c r="AB239" i="51"/>
  <c r="AL239" i="51"/>
  <c r="AV239" i="51"/>
  <c r="BF239" i="51"/>
  <c r="M225" i="51"/>
  <c r="W225" i="51"/>
  <c r="AG225" i="51"/>
  <c r="BA225" i="51"/>
  <c r="M231" i="51"/>
  <c r="W231" i="51"/>
  <c r="AG231" i="51"/>
  <c r="AQ231" i="51"/>
  <c r="BA231" i="51"/>
  <c r="M226" i="51"/>
  <c r="W226" i="51"/>
  <c r="AG226" i="51"/>
  <c r="AQ226" i="51"/>
  <c r="BA226" i="51"/>
  <c r="M227" i="51"/>
  <c r="W227" i="51"/>
  <c r="AG227" i="51"/>
  <c r="AQ227" i="51"/>
  <c r="BA227" i="51"/>
  <c r="M228" i="51"/>
  <c r="W228" i="51"/>
  <c r="AG228" i="51"/>
  <c r="AQ228" i="51"/>
  <c r="BA228" i="51"/>
  <c r="BF219" i="51"/>
  <c r="R221" i="51"/>
  <c r="AB221" i="51"/>
  <c r="AL221" i="51"/>
  <c r="AV221" i="51"/>
  <c r="BF221" i="51"/>
  <c r="R220" i="51"/>
  <c r="AB220" i="51"/>
  <c r="AL220" i="51"/>
  <c r="AV220" i="51"/>
  <c r="BF220" i="51"/>
  <c r="R222" i="51"/>
  <c r="AB222" i="51"/>
  <c r="AL222" i="51"/>
  <c r="AV222" i="51"/>
  <c r="BF222" i="51"/>
  <c r="M219" i="51"/>
  <c r="W219" i="51"/>
  <c r="AG219" i="51"/>
  <c r="AQ219" i="51"/>
  <c r="R213" i="51"/>
  <c r="AB213" i="51"/>
  <c r="AL213" i="51"/>
  <c r="AV213" i="51"/>
  <c r="BF213" i="51"/>
  <c r="R216" i="51"/>
  <c r="AB216" i="51"/>
  <c r="AL216" i="51"/>
  <c r="AV216" i="51"/>
  <c r="BF216" i="51"/>
  <c r="R214" i="51"/>
  <c r="AB214" i="51"/>
  <c r="AL214" i="51"/>
  <c r="AV214" i="51"/>
  <c r="BF214" i="51"/>
  <c r="R207" i="51"/>
  <c r="AB207" i="51"/>
  <c r="AL207" i="51"/>
  <c r="AV207" i="51"/>
  <c r="BF207" i="51"/>
  <c r="R208" i="51"/>
  <c r="AB208" i="51"/>
  <c r="AL208" i="51"/>
  <c r="AV208" i="51"/>
  <c r="BF208" i="51"/>
  <c r="R209" i="51"/>
  <c r="AB209" i="51"/>
  <c r="AL209" i="51"/>
  <c r="AV209" i="51"/>
  <c r="BF209" i="51"/>
  <c r="R210" i="51"/>
  <c r="AB210" i="51"/>
  <c r="AL210" i="51"/>
  <c r="AV210" i="51"/>
  <c r="BF210" i="51"/>
  <c r="AV199" i="51"/>
  <c r="BF199" i="51"/>
  <c r="R201" i="51"/>
  <c r="AB201" i="51"/>
  <c r="AL201" i="51"/>
  <c r="AV201" i="51"/>
  <c r="BF201" i="51"/>
  <c r="R203" i="51"/>
  <c r="AB203" i="51"/>
  <c r="AL203" i="51"/>
  <c r="AV203" i="51"/>
  <c r="BF203" i="51"/>
  <c r="R200" i="51"/>
  <c r="AB200" i="51"/>
  <c r="AL200" i="51"/>
  <c r="AV200" i="51"/>
  <c r="BF200" i="51"/>
  <c r="R204" i="51"/>
  <c r="AB204" i="51"/>
  <c r="AL204" i="51"/>
  <c r="AV204" i="51"/>
  <c r="BF204" i="51"/>
  <c r="M199" i="51"/>
  <c r="W199" i="51"/>
  <c r="AG199" i="51"/>
  <c r="AV193" i="51"/>
  <c r="BF193" i="51"/>
  <c r="M192" i="51"/>
  <c r="W192" i="51"/>
  <c r="AG192" i="51"/>
  <c r="AQ192" i="51"/>
  <c r="BA192" i="51"/>
  <c r="M190" i="51"/>
  <c r="W190" i="51"/>
  <c r="AG190" i="51"/>
  <c r="BA190" i="51"/>
  <c r="M195" i="51"/>
  <c r="W195" i="51"/>
  <c r="AG195" i="51"/>
  <c r="AQ195" i="51"/>
  <c r="BA195" i="51"/>
  <c r="M191" i="51"/>
  <c r="W191" i="51"/>
  <c r="AG191" i="51"/>
  <c r="AQ191" i="51"/>
  <c r="M196" i="51"/>
  <c r="W196" i="51"/>
  <c r="AG196" i="51"/>
  <c r="AQ196" i="51"/>
  <c r="BA196" i="51"/>
  <c r="M193" i="51"/>
  <c r="R184" i="51"/>
  <c r="AB184" i="51"/>
  <c r="AL184" i="51"/>
  <c r="AV184" i="51"/>
  <c r="BF184" i="51"/>
  <c r="R185" i="51"/>
  <c r="AB185" i="51"/>
  <c r="AL185" i="51"/>
  <c r="AV185" i="51"/>
  <c r="BF185" i="51"/>
  <c r="R187" i="51"/>
  <c r="AB187" i="51"/>
  <c r="AL187" i="51"/>
  <c r="AV187" i="51"/>
  <c r="BF187" i="51"/>
  <c r="R186" i="51"/>
  <c r="AG186" i="51"/>
  <c r="AQ186" i="51"/>
  <c r="BA186" i="51"/>
  <c r="R175" i="51"/>
  <c r="AB175" i="51"/>
  <c r="AL175" i="51"/>
  <c r="BF175" i="51"/>
  <c r="R174" i="51"/>
  <c r="AB174" i="51"/>
  <c r="AL174" i="51"/>
  <c r="AV174" i="51"/>
  <c r="BF174" i="51"/>
  <c r="R176" i="51"/>
  <c r="AB176" i="51"/>
  <c r="AL176" i="51"/>
  <c r="AV176" i="51"/>
  <c r="BF176" i="51"/>
  <c r="R179" i="51"/>
  <c r="AB179" i="51"/>
  <c r="AL179" i="51"/>
  <c r="AV179" i="51"/>
  <c r="BF179" i="51"/>
  <c r="R180" i="51"/>
  <c r="AB180" i="51"/>
  <c r="AL180" i="51"/>
  <c r="BF180" i="51"/>
  <c r="R177" i="51"/>
  <c r="AB177" i="51"/>
  <c r="AL177" i="51"/>
  <c r="AV177" i="51"/>
  <c r="BF177" i="51"/>
  <c r="R178" i="51"/>
  <c r="AB178" i="51"/>
  <c r="AL178" i="51"/>
  <c r="AV178" i="51"/>
  <c r="BF178" i="51"/>
  <c r="M171" i="51"/>
  <c r="W171" i="51"/>
  <c r="AG171" i="51"/>
  <c r="R167" i="51"/>
  <c r="AB167" i="51"/>
  <c r="AL167" i="51"/>
  <c r="R168" i="51"/>
  <c r="AB168" i="51"/>
  <c r="AL168" i="51"/>
  <c r="AV168" i="51"/>
  <c r="BF168" i="51"/>
  <c r="R162" i="51"/>
  <c r="AB162" i="51"/>
  <c r="AL162" i="51"/>
  <c r="AV162" i="51"/>
  <c r="BF162" i="51"/>
  <c r="R163" i="51"/>
  <c r="AB163" i="51"/>
  <c r="AL163" i="51"/>
  <c r="AV163" i="51"/>
  <c r="R164" i="51"/>
  <c r="AB164" i="51"/>
  <c r="AL164" i="51"/>
  <c r="AV164" i="51"/>
  <c r="BF164" i="51"/>
  <c r="R157" i="51"/>
  <c r="AB157" i="51"/>
  <c r="AL157" i="51"/>
  <c r="AV157" i="51"/>
  <c r="R158" i="51"/>
  <c r="AB158" i="51"/>
  <c r="AL158" i="51"/>
  <c r="AV158" i="51"/>
  <c r="BF158" i="51"/>
  <c r="R159" i="51"/>
  <c r="AB159" i="51"/>
  <c r="AL159" i="51"/>
  <c r="AV159" i="51"/>
  <c r="BF159" i="51"/>
  <c r="R152" i="51"/>
  <c r="AB152" i="51"/>
  <c r="AL152" i="51"/>
  <c r="AV152" i="51"/>
  <c r="BF152" i="51"/>
  <c r="R153" i="51"/>
  <c r="AB153" i="51"/>
  <c r="AL153" i="51"/>
  <c r="AV153" i="51"/>
  <c r="BF154" i="51"/>
  <c r="W154" i="51"/>
  <c r="AG154" i="51"/>
  <c r="AR142" i="51"/>
  <c r="N146" i="51"/>
  <c r="AV149" i="51"/>
  <c r="BF149" i="51"/>
  <c r="AF142" i="51"/>
  <c r="AH142" i="51"/>
  <c r="AZ142" i="51"/>
  <c r="BB142" i="51"/>
  <c r="V146" i="51"/>
  <c r="X146" i="51"/>
  <c r="M142" i="51"/>
  <c r="W142" i="51"/>
  <c r="AG142" i="51"/>
  <c r="AQ142" i="51"/>
  <c r="BA142" i="51"/>
  <c r="M146" i="51"/>
  <c r="W146" i="51"/>
  <c r="AG146" i="51"/>
  <c r="BA146" i="51"/>
  <c r="M147" i="51"/>
  <c r="W147" i="51"/>
  <c r="AG147" i="51"/>
  <c r="BA147" i="51"/>
  <c r="M143" i="51"/>
  <c r="W143" i="51"/>
  <c r="AG143" i="51"/>
  <c r="AQ143" i="51"/>
  <c r="BA143" i="51"/>
  <c r="M144" i="51"/>
  <c r="W144" i="51"/>
  <c r="AG144" i="51"/>
  <c r="AQ144" i="51"/>
  <c r="BA144" i="51"/>
  <c r="M148" i="51"/>
  <c r="W148" i="51"/>
  <c r="AG148" i="51"/>
  <c r="AQ148" i="51"/>
  <c r="BA148" i="51"/>
  <c r="M149" i="51"/>
  <c r="W149" i="51"/>
  <c r="AV140" i="51"/>
  <c r="BF140" i="51"/>
  <c r="M138" i="51"/>
  <c r="W138" i="51"/>
  <c r="AG138" i="51"/>
  <c r="AQ138" i="51"/>
  <c r="BA138" i="51"/>
  <c r="M137" i="51"/>
  <c r="W137" i="51"/>
  <c r="AG137" i="51"/>
  <c r="AQ137" i="51"/>
  <c r="M140" i="51"/>
  <c r="W140" i="51"/>
  <c r="AK132" i="51"/>
  <c r="AM132" i="51"/>
  <c r="AU132" i="51"/>
  <c r="AW132" i="51"/>
  <c r="Q133" i="51"/>
  <c r="S133" i="51"/>
  <c r="R132" i="51"/>
  <c r="T132" i="51"/>
  <c r="AB132" i="51"/>
  <c r="AL132" i="51"/>
  <c r="AV132" i="51"/>
  <c r="BF132" i="51"/>
  <c r="BH132" i="51"/>
  <c r="R133" i="51"/>
  <c r="AB133" i="51"/>
  <c r="AD133" i="51"/>
  <c r="AL133" i="51"/>
  <c r="AV133" i="51"/>
  <c r="R134" i="51"/>
  <c r="AB134" i="51"/>
  <c r="AL134" i="51"/>
  <c r="AV134" i="51"/>
  <c r="BF134" i="51"/>
  <c r="Q132" i="51"/>
  <c r="AA133" i="51"/>
  <c r="R126" i="51"/>
  <c r="AB126" i="51"/>
  <c r="AL126" i="51"/>
  <c r="BF126" i="51"/>
  <c r="R128" i="51"/>
  <c r="AB128" i="51"/>
  <c r="AL128" i="51"/>
  <c r="AV128" i="51"/>
  <c r="BF128" i="51"/>
  <c r="R129" i="51"/>
  <c r="AB129" i="51"/>
  <c r="AL129" i="51"/>
  <c r="AV129" i="51"/>
  <c r="BF129" i="51"/>
  <c r="CP228" i="51"/>
  <c r="CR228" i="51"/>
  <c r="CU228" i="51"/>
  <c r="CW228" i="51"/>
  <c r="CO228" i="51"/>
  <c r="CQ228" i="51"/>
  <c r="CT228" i="51"/>
  <c r="CV228" i="51"/>
  <c r="AO625" i="41"/>
  <c r="AO618" i="41"/>
  <c r="AO617" i="41"/>
  <c r="AP617" i="41"/>
  <c r="AO615" i="41"/>
  <c r="AP625" i="41"/>
  <c r="AP618" i="41"/>
  <c r="AP615" i="41"/>
  <c r="AP559" i="41"/>
  <c r="AP557" i="41"/>
  <c r="AP554" i="41"/>
  <c r="AP553" i="41"/>
  <c r="AP90" i="40"/>
  <c r="AU91" i="40" s="1"/>
  <c r="AP75" i="40"/>
  <c r="AP68" i="40"/>
  <c r="AU69" i="40" s="1"/>
  <c r="AU54" i="40" s="1"/>
  <c r="AP63" i="40"/>
  <c r="AP65" i="40" s="1"/>
  <c r="AU66" i="40" s="1"/>
  <c r="AU53" i="40" s="1"/>
  <c r="AO177" i="39"/>
  <c r="AO170" i="39"/>
  <c r="AO169" i="39"/>
  <c r="AO167" i="39"/>
  <c r="AP177" i="39"/>
  <c r="AP170" i="39"/>
  <c r="AP169" i="39"/>
  <c r="AP167" i="39"/>
  <c r="BM152" i="41" l="1"/>
  <c r="BN266" i="41"/>
  <c r="BN165" i="41"/>
  <c r="BN130" i="41" s="1"/>
  <c r="BP152" i="41"/>
  <c r="BP606" i="41"/>
  <c r="BP120" i="4" s="1"/>
  <c r="BP331" i="41"/>
  <c r="BO152" i="41"/>
  <c r="BN152" i="41"/>
  <c r="BO93" i="41"/>
  <c r="BN81" i="41"/>
  <c r="BN203" i="41" s="1"/>
  <c r="BO232" i="41"/>
  <c r="BO233" i="41" s="1"/>
  <c r="BO138" i="4"/>
  <c r="EG54" i="3" s="1"/>
  <c r="EG56" i="3" s="1"/>
  <c r="BQ130" i="41"/>
  <c r="BO132" i="4"/>
  <c r="AP619" i="41"/>
  <c r="AP628" i="41" s="1"/>
  <c r="AP623" i="41" s="1"/>
  <c r="AP555" i="41"/>
  <c r="AQ563" i="41" s="1"/>
  <c r="Q258" i="51"/>
  <c r="BN92" i="41"/>
  <c r="BM92" i="41" s="1"/>
  <c r="BO95" i="41"/>
  <c r="BO311" i="41" s="1"/>
  <c r="AD258" i="51"/>
  <c r="AF258" i="51"/>
  <c r="AC258" i="51"/>
  <c r="R258" i="51"/>
  <c r="T258" i="51"/>
  <c r="AN258" i="51"/>
  <c r="X258" i="51"/>
  <c r="AG258" i="51"/>
  <c r="AH258" i="51"/>
  <c r="AL258" i="51"/>
  <c r="AK258" i="51"/>
  <c r="AI258" i="51"/>
  <c r="V258" i="51"/>
  <c r="Y258" i="51"/>
  <c r="AB258" i="51"/>
  <c r="S258" i="51"/>
  <c r="AM258" i="51"/>
  <c r="AP132" i="39" s="1"/>
  <c r="AP155" i="39" s="1"/>
  <c r="W258" i="51"/>
  <c r="BO132" i="39"/>
  <c r="BO155" i="39" s="1"/>
  <c r="BM258" i="51"/>
  <c r="BP132" i="39" s="1"/>
  <c r="BP155" i="39" s="1"/>
  <c r="AA258" i="51"/>
  <c r="BL11" i="51"/>
  <c r="BO91" i="4" s="1"/>
  <c r="BO141" i="4" s="1"/>
  <c r="DP75" i="51"/>
  <c r="DN75" i="51"/>
  <c r="DQ75" i="51"/>
  <c r="DO75" i="51"/>
  <c r="BM89" i="41"/>
  <c r="BM306" i="41" s="1"/>
  <c r="BM132" i="39"/>
  <c r="BM155" i="39" s="1"/>
  <c r="BP128" i="41"/>
  <c r="BJ11" i="51"/>
  <c r="BM91" i="4" s="1"/>
  <c r="BM141" i="4" s="1"/>
  <c r="BN580" i="41"/>
  <c r="BN603" i="41" s="1"/>
  <c r="BQ70" i="42"/>
  <c r="BN132" i="39"/>
  <c r="BN155" i="39" s="1"/>
  <c r="BO119" i="4"/>
  <c r="BP119" i="4"/>
  <c r="BM14" i="39"/>
  <c r="BN69" i="40"/>
  <c r="BM54" i="40"/>
  <c r="BM69" i="40" s="1"/>
  <c r="BN66" i="40"/>
  <c r="BM53" i="40"/>
  <c r="BM66" i="40" s="1"/>
  <c r="BM222" i="41"/>
  <c r="BN223" i="41"/>
  <c r="BP240" i="41"/>
  <c r="BP104" i="41" s="1"/>
  <c r="BO227" i="41"/>
  <c r="BN80" i="41"/>
  <c r="BK11" i="51"/>
  <c r="BN91" i="4" s="1"/>
  <c r="BN141" i="4" s="1"/>
  <c r="AO619" i="41"/>
  <c r="AO628" i="41" s="1"/>
  <c r="AP107" i="39"/>
  <c r="AP109" i="39" s="1"/>
  <c r="AP64" i="39"/>
  <c r="AP69" i="39"/>
  <c r="AP84" i="4"/>
  <c r="AP83" i="4"/>
  <c r="AP82" i="4"/>
  <c r="AP62" i="4"/>
  <c r="BM81" i="41" l="1"/>
  <c r="BM232" i="41" s="1"/>
  <c r="BM233" i="41" s="1"/>
  <c r="BN232" i="41"/>
  <c r="BN233" i="41" s="1"/>
  <c r="BQ138" i="4"/>
  <c r="EI54" i="3" s="1"/>
  <c r="BN95" i="41"/>
  <c r="BN331" i="41" s="1"/>
  <c r="BN132" i="4"/>
  <c r="BO331" i="41"/>
  <c r="BN93" i="41"/>
  <c r="BN94" i="41"/>
  <c r="BM11" i="51"/>
  <c r="BP91" i="4" s="1"/>
  <c r="BP141" i="4" s="1"/>
  <c r="BQ141" i="4" s="1"/>
  <c r="EI60" i="3" s="1"/>
  <c r="BQ89" i="41"/>
  <c r="BQ306" i="41" s="1"/>
  <c r="BQ311" i="41" s="1"/>
  <c r="BQ155" i="39"/>
  <c r="BQ603" i="41"/>
  <c r="BO228" i="41"/>
  <c r="BO240" i="41" s="1"/>
  <c r="BO104" i="41" s="1"/>
  <c r="BO128" i="41"/>
  <c r="BM95" i="41"/>
  <c r="BM93" i="41"/>
  <c r="BM94" i="41"/>
  <c r="BN227" i="41"/>
  <c r="BM80" i="41"/>
  <c r="BM227" i="41" s="1"/>
  <c r="BM228" i="41" s="1"/>
  <c r="BM223" i="41"/>
  <c r="BQ223" i="41" s="1"/>
  <c r="AO626" i="41"/>
  <c r="AO623" i="41"/>
  <c r="AO620" i="41"/>
  <c r="AO629" i="41"/>
  <c r="AP626" i="41"/>
  <c r="AP620" i="41"/>
  <c r="AP629" i="41"/>
  <c r="AP42" i="42"/>
  <c r="AP41" i="42"/>
  <c r="AP35" i="42"/>
  <c r="AP34" i="42"/>
  <c r="AP31" i="42"/>
  <c r="AP26" i="42"/>
  <c r="AP25" i="42"/>
  <c r="AP15" i="42"/>
  <c r="AP14" i="42"/>
  <c r="AP13" i="42"/>
  <c r="AP62" i="42" s="1"/>
  <c r="AP12" i="42"/>
  <c r="AP8" i="42"/>
  <c r="AP599" i="41"/>
  <c r="AP594" i="41"/>
  <c r="AP548" i="41"/>
  <c r="AP542" i="41"/>
  <c r="AP544" i="41" s="1"/>
  <c r="AP469" i="41"/>
  <c r="AP459" i="41"/>
  <c r="AP457" i="41"/>
  <c r="AP449" i="41"/>
  <c r="AP403" i="41"/>
  <c r="AP375" i="41"/>
  <c r="AP338" i="41"/>
  <c r="AP318" i="41"/>
  <c r="AP285" i="41"/>
  <c r="AP169" i="41"/>
  <c r="AP35" i="41"/>
  <c r="AP596" i="41" s="1"/>
  <c r="AP26" i="41"/>
  <c r="AP9" i="41"/>
  <c r="AP15" i="41" s="1"/>
  <c r="AP17" i="41" s="1"/>
  <c r="AP21" i="41" s="1"/>
  <c r="AP97" i="40"/>
  <c r="AP96" i="40"/>
  <c r="AP36" i="40"/>
  <c r="AP35" i="40"/>
  <c r="AP205" i="39"/>
  <c r="AP204" i="39"/>
  <c r="AP148" i="39"/>
  <c r="AP120" i="39"/>
  <c r="AP113" i="39"/>
  <c r="AP34" i="39"/>
  <c r="AP102" i="39"/>
  <c r="AP103" i="39" s="1"/>
  <c r="AP83" i="39"/>
  <c r="AP78" i="39"/>
  <c r="AP79" i="39" s="1"/>
  <c r="AP38" i="39"/>
  <c r="AP37" i="39"/>
  <c r="AP9" i="39"/>
  <c r="AP88" i="39" s="1"/>
  <c r="BN311" i="41" l="1"/>
  <c r="BQ233" i="41"/>
  <c r="BM203" i="41"/>
  <c r="AP38" i="42"/>
  <c r="BQ331" i="41"/>
  <c r="BM132" i="4"/>
  <c r="BM128" i="41"/>
  <c r="BM240" i="41"/>
  <c r="BM331" i="41"/>
  <c r="BM311" i="41"/>
  <c r="BN228" i="41"/>
  <c r="BN240" i="41" s="1"/>
  <c r="BN104" i="41" s="1"/>
  <c r="BN128" i="41"/>
  <c r="AP27" i="42"/>
  <c r="AP91" i="39"/>
  <c r="AP22" i="41"/>
  <c r="AP28" i="41"/>
  <c r="AP89" i="39"/>
  <c r="AP81" i="39"/>
  <c r="AP146" i="4"/>
  <c r="AP145" i="4"/>
  <c r="AP64" i="4" s="1"/>
  <c r="AP144" i="4"/>
  <c r="AP70" i="4" s="1"/>
  <c r="AP143" i="4"/>
  <c r="AP142" i="4"/>
  <c r="AP92" i="4" s="1"/>
  <c r="AP141" i="4"/>
  <c r="AP138" i="4"/>
  <c r="AP131" i="4"/>
  <c r="AP130" i="4"/>
  <c r="AP129" i="4"/>
  <c r="AP202" i="4"/>
  <c r="AP201" i="4"/>
  <c r="AP199" i="4"/>
  <c r="AP182" i="4"/>
  <c r="AP177" i="4"/>
  <c r="AP203" i="4" l="1"/>
  <c r="AP121" i="4"/>
  <c r="AP124" i="4"/>
  <c r="AP147" i="4"/>
  <c r="AP91" i="4"/>
  <c r="AP575" i="41"/>
  <c r="AP574" i="41"/>
  <c r="BQ128" i="41"/>
  <c r="BQ132" i="4"/>
  <c r="BQ228" i="41"/>
  <c r="BQ240" i="41"/>
  <c r="BM104" i="41"/>
  <c r="BQ104" i="41" s="1"/>
  <c r="AP168" i="4"/>
  <c r="AP160" i="4"/>
  <c r="AP158" i="4"/>
  <c r="DM136" i="4"/>
  <c r="DM137" i="4"/>
  <c r="DM133" i="4"/>
  <c r="DM132" i="4"/>
  <c r="DM147" i="4"/>
  <c r="AP9" i="4"/>
  <c r="AP9" i="42" s="1"/>
  <c r="AP16" i="42" s="1"/>
  <c r="AP18" i="42" s="1"/>
  <c r="AP16" i="4" l="1"/>
  <c r="AQ132" i="4"/>
  <c r="DN132" i="4"/>
  <c r="DM134" i="4"/>
  <c r="AQ133" i="4"/>
  <c r="DN133" i="4"/>
  <c r="DN136" i="4"/>
  <c r="AQ136" i="4"/>
  <c r="DM139" i="4"/>
  <c r="DN137" i="4"/>
  <c r="AQ137" i="4"/>
  <c r="AP10" i="42"/>
  <c r="BQ243" i="41"/>
  <c r="DN139" i="4" l="1"/>
  <c r="DM149" i="4"/>
  <c r="AQ134" i="4"/>
  <c r="AQ86" i="4"/>
  <c r="AQ139" i="4"/>
  <c r="DN134" i="4"/>
  <c r="DN149" i="4" l="1"/>
  <c r="AQ149" i="4"/>
  <c r="BG566" i="41"/>
  <c r="BL566" i="41" s="1"/>
  <c r="BQ566" i="41" s="1"/>
  <c r="BQ127" i="39"/>
  <c r="BQ58" i="39" l="1"/>
  <c r="BB58" i="39"/>
  <c r="BQ82" i="4"/>
  <c r="BM127" i="39"/>
  <c r="BN127" i="39" s="1"/>
  <c r="DG48" i="72"/>
  <c r="DG50" i="72" s="1"/>
  <c r="BQ570" i="41"/>
  <c r="BO127" i="39" l="1"/>
  <c r="BO82" i="4" s="1"/>
  <c r="BN82" i="4"/>
  <c r="BN204" i="39"/>
  <c r="BM82" i="4"/>
  <c r="BM204" i="39"/>
  <c r="BQ83" i="4"/>
  <c r="BM570" i="41"/>
  <c r="BN570" i="41" s="1"/>
  <c r="BO570" i="41" s="1"/>
  <c r="BP127" i="39" l="1"/>
  <c r="BP82" i="4" s="1"/>
  <c r="BO204" i="39"/>
  <c r="BO599" i="41"/>
  <c r="BO601" i="41" s="1"/>
  <c r="BO83" i="4"/>
  <c r="BP570" i="41"/>
  <c r="BM83" i="4"/>
  <c r="BM599" i="41"/>
  <c r="BN599" i="41"/>
  <c r="BN601" i="41" s="1"/>
  <c r="BN83" i="4"/>
  <c r="BP204" i="39" l="1"/>
  <c r="BQ204" i="39" s="1"/>
  <c r="BM601" i="41"/>
  <c r="BP599" i="41"/>
  <c r="BP601" i="41" s="1"/>
  <c r="BP83" i="4"/>
  <c r="BQ599" i="41" l="1"/>
  <c r="BQ601" i="41" s="1"/>
  <c r="BD117" i="41" l="1"/>
  <c r="BL115" i="41" l="1"/>
  <c r="BK115" i="41"/>
  <c r="BJ115" i="41"/>
  <c r="BI115" i="41"/>
  <c r="BH115" i="41"/>
  <c r="BG115" i="41"/>
  <c r="BF115" i="41"/>
  <c r="BE115" i="41"/>
  <c r="BD115" i="41"/>
  <c r="BC115" i="41"/>
  <c r="BB115" i="41"/>
  <c r="BA115" i="41"/>
  <c r="AZ115" i="41"/>
  <c r="AY115" i="41"/>
  <c r="AX115" i="41"/>
  <c r="BT137" i="41"/>
  <c r="BL127" i="41"/>
  <c r="BG127" i="41"/>
  <c r="BB127" i="41"/>
  <c r="BL117" i="41"/>
  <c r="BK117" i="41"/>
  <c r="BJ117" i="41"/>
  <c r="BI117" i="41"/>
  <c r="BH117" i="41"/>
  <c r="BG117" i="41"/>
  <c r="BF117" i="41"/>
  <c r="BE117" i="41"/>
  <c r="BC117" i="41"/>
  <c r="BB117" i="41"/>
  <c r="BA117" i="41"/>
  <c r="AZ117" i="41"/>
  <c r="AY117" i="41"/>
  <c r="AX117" i="41"/>
  <c r="BL116" i="41"/>
  <c r="BK116" i="41"/>
  <c r="BJ116" i="41"/>
  <c r="BI116" i="41"/>
  <c r="BH116" i="41"/>
  <c r="BG116" i="41"/>
  <c r="BF116" i="41"/>
  <c r="BE116" i="41"/>
  <c r="BD116" i="41"/>
  <c r="BC116" i="41"/>
  <c r="BB116" i="41"/>
  <c r="BA116" i="41"/>
  <c r="AZ116" i="41"/>
  <c r="AY116" i="41"/>
  <c r="AX116" i="41"/>
  <c r="BL114" i="41"/>
  <c r="BK114" i="41"/>
  <c r="BJ114" i="41"/>
  <c r="BI114" i="41"/>
  <c r="BH114" i="41"/>
  <c r="BG114" i="41"/>
  <c r="BF114" i="41"/>
  <c r="BE114" i="41"/>
  <c r="BD114" i="41"/>
  <c r="BC114" i="41"/>
  <c r="BB114" i="41"/>
  <c r="BA114" i="41"/>
  <c r="AZ114" i="41"/>
  <c r="AY114" i="41"/>
  <c r="AX114" i="41"/>
  <c r="BL140" i="41" l="1"/>
  <c r="BH140" i="41" s="1"/>
  <c r="BI140" i="41" s="1"/>
  <c r="BJ140" i="41" s="1"/>
  <c r="BK140" i="41" s="1"/>
  <c r="BB134" i="41"/>
  <c r="AX134" i="41" s="1"/>
  <c r="AY134" i="41" s="1"/>
  <c r="AZ134" i="41" s="1"/>
  <c r="BA134" i="41" s="1"/>
  <c r="BG140" i="41"/>
  <c r="BG134" i="41"/>
  <c r="BC134" i="41" s="1"/>
  <c r="BD134" i="41" s="1"/>
  <c r="BE134" i="41" s="1"/>
  <c r="BF134" i="41" s="1"/>
  <c r="BL134" i="41"/>
  <c r="BH134" i="41" s="1"/>
  <c r="BI134" i="41" s="1"/>
  <c r="BJ134" i="41" s="1"/>
  <c r="BK134" i="41" s="1"/>
  <c r="BB140" i="41"/>
  <c r="AQ596" i="41"/>
  <c r="AN596" i="41"/>
  <c r="AO599" i="41"/>
  <c r="AN617" i="41"/>
  <c r="AX140" i="41" l="1"/>
  <c r="AY140" i="41" s="1"/>
  <c r="AZ140" i="41" s="1"/>
  <c r="BA140" i="41" s="1"/>
  <c r="BC140" i="41"/>
  <c r="BD140" i="41" s="1"/>
  <c r="BE140" i="41" s="1"/>
  <c r="BF140" i="41" s="1"/>
  <c r="BA131" i="4" l="1"/>
  <c r="AX131" i="4" l="1"/>
  <c r="AY131" i="4"/>
  <c r="AZ131" i="4"/>
  <c r="AP89" i="41" l="1"/>
  <c r="AP86" i="41" l="1"/>
  <c r="AP306" i="41" s="1"/>
  <c r="AP85" i="41"/>
  <c r="AP331" i="41" l="1"/>
  <c r="AP311" i="41"/>
  <c r="DB47" i="72"/>
  <c r="DB48" i="72"/>
  <c r="AC57" i="72"/>
  <c r="C6" i="72" l="1"/>
  <c r="BT8" i="72"/>
  <c r="DO10" i="72"/>
  <c r="DO11" i="72"/>
  <c r="BB15" i="72"/>
  <c r="DO23" i="72"/>
  <c r="DO24" i="72"/>
  <c r="EA30" i="72"/>
  <c r="EB30" i="72" s="1"/>
  <c r="EC30" i="72" s="1"/>
  <c r="ED30" i="72" s="1"/>
  <c r="EE30" i="72" s="1"/>
  <c r="EF30" i="72" s="1"/>
  <c r="EG30" i="72" s="1"/>
  <c r="EH30" i="72" s="1"/>
  <c r="CH35" i="72"/>
  <c r="DN35" i="72"/>
  <c r="DL36" i="72"/>
  <c r="DL37" i="72" s="1"/>
  <c r="DL38" i="72" s="1"/>
  <c r="DL39" i="72" s="1"/>
  <c r="DL40" i="72" s="1"/>
  <c r="DL41" i="72" s="1"/>
  <c r="DL42" i="72" s="1"/>
  <c r="DL43" i="72" s="1"/>
  <c r="DL44" i="72" s="1"/>
  <c r="DL45" i="72" s="1"/>
  <c r="DL46" i="72" s="1"/>
  <c r="DL47" i="72" s="1"/>
  <c r="DL48" i="72" s="1"/>
  <c r="DL49" i="72" s="1"/>
  <c r="DL50" i="72" s="1"/>
  <c r="DL51" i="72" s="1"/>
  <c r="DL52" i="72" s="1"/>
  <c r="DL53" i="72" s="1"/>
  <c r="DL54" i="72" s="1"/>
  <c r="DL55" i="72" s="1"/>
  <c r="DL56" i="72" s="1"/>
  <c r="DL57" i="72" s="1"/>
  <c r="DL58" i="72" s="1"/>
  <c r="DL59" i="72" s="1"/>
  <c r="DL60" i="72" s="1"/>
  <c r="DL61" i="72" s="1"/>
  <c r="DL62" i="72" s="1"/>
  <c r="DL63" i="72" s="1"/>
  <c r="DL64" i="72" s="1"/>
  <c r="BT39" i="72"/>
  <c r="BX42" i="72"/>
  <c r="CC42" i="72"/>
  <c r="BX43" i="72"/>
  <c r="CC43" i="72"/>
  <c r="AC74" i="72"/>
  <c r="AC75" i="72" s="1"/>
  <c r="BX47" i="72"/>
  <c r="CC47" i="72"/>
  <c r="CM47" i="72"/>
  <c r="CR47" i="72"/>
  <c r="CW47" i="72"/>
  <c r="BX48" i="72"/>
  <c r="CC48" i="72"/>
  <c r="CW48" i="72"/>
  <c r="BX49" i="72"/>
  <c r="CC49" i="72"/>
  <c r="AC16" i="72" s="1"/>
  <c r="CH49" i="72"/>
  <c r="CR49" i="72"/>
  <c r="CW49" i="72"/>
  <c r="DB49" i="72"/>
  <c r="DB50" i="72" s="1"/>
  <c r="CM62" i="72"/>
  <c r="CM63" i="72" s="1"/>
  <c r="DN36" i="72" l="1"/>
  <c r="DN37" i="72" s="1"/>
  <c r="CC50" i="72"/>
  <c r="CW50" i="72"/>
  <c r="BX50" i="72"/>
  <c r="AC9" i="72"/>
  <c r="CW19" i="72"/>
  <c r="CM19" i="72"/>
  <c r="CH13" i="72"/>
  <c r="CH14" i="72" s="1"/>
  <c r="AH36" i="72"/>
  <c r="AC84" i="72" s="1"/>
  <c r="AW16" i="72"/>
  <c r="CC19" i="72"/>
  <c r="AM16" i="72"/>
  <c r="AW14" i="72"/>
  <c r="CC13" i="72"/>
  <c r="CC14" i="72" s="1"/>
  <c r="X9" i="72"/>
  <c r="AR15" i="72"/>
  <c r="DO17" i="72"/>
  <c r="CH25" i="72" s="1"/>
  <c r="DB19" i="72"/>
  <c r="BB14" i="72"/>
  <c r="CH19" i="72"/>
  <c r="CM13" i="72"/>
  <c r="CM14" i="72" s="1"/>
  <c r="X10" i="72"/>
  <c r="BB16" i="72"/>
  <c r="AH16" i="72"/>
  <c r="AW15" i="72"/>
  <c r="AC15" i="72"/>
  <c r="AC14" i="72"/>
  <c r="CR19" i="72"/>
  <c r="BX19" i="72"/>
  <c r="X14" i="72"/>
  <c r="X15" i="72"/>
  <c r="AR16" i="72"/>
  <c r="X16" i="72"/>
  <c r="AM15" i="72"/>
  <c r="CR13" i="72"/>
  <c r="CR14" i="72" s="1"/>
  <c r="BX13" i="72"/>
  <c r="BX14" i="72" s="1"/>
  <c r="AC10" i="72"/>
  <c r="AX111" i="39"/>
  <c r="CR25" i="72" l="1"/>
  <c r="CC56" i="72"/>
  <c r="CC25" i="72"/>
  <c r="DV8" i="72"/>
  <c r="AR23" i="72"/>
  <c r="CW56" i="72"/>
  <c r="BX25" i="72"/>
  <c r="DB25" i="72"/>
  <c r="DB56" i="72"/>
  <c r="CW25" i="72"/>
  <c r="AW23" i="72"/>
  <c r="CM56" i="72"/>
  <c r="CR56" i="72"/>
  <c r="DG56" i="72"/>
  <c r="AY111" i="39"/>
  <c r="AZ111" i="39" s="1"/>
  <c r="BA111" i="39" s="1"/>
  <c r="CH21" i="72"/>
  <c r="CH22" i="72" s="1"/>
  <c r="CH26" i="72" s="1"/>
  <c r="CC21" i="72"/>
  <c r="CC22" i="72" s="1"/>
  <c r="CH56" i="72"/>
  <c r="BB23" i="72"/>
  <c r="CM25" i="72"/>
  <c r="BX21" i="72"/>
  <c r="BX22" i="72" s="1"/>
  <c r="CM21" i="72"/>
  <c r="CM22" i="72" s="1"/>
  <c r="CR21" i="72"/>
  <c r="CR29" i="72" s="1"/>
  <c r="AC17" i="72"/>
  <c r="DO20" i="72"/>
  <c r="BX56" i="72"/>
  <c r="DN38" i="72"/>
  <c r="AW17" i="72"/>
  <c r="X17" i="72"/>
  <c r="BB17" i="72"/>
  <c r="BX26" i="72" l="1"/>
  <c r="CC26" i="72"/>
  <c r="CH29" i="72"/>
  <c r="CM26" i="72"/>
  <c r="CR22" i="72"/>
  <c r="CR26" i="72" s="1"/>
  <c r="CM29" i="72"/>
  <c r="DN39" i="72"/>
  <c r="AO19" i="41"/>
  <c r="AQ19" i="41" s="1"/>
  <c r="BY171" i="41"/>
  <c r="BY172" i="41" s="1"/>
  <c r="BY193" i="41" s="1"/>
  <c r="AR193" i="41" s="1"/>
  <c r="AO148" i="39"/>
  <c r="AN148" i="39"/>
  <c r="BH596" i="41"/>
  <c r="BI596" i="41" s="1"/>
  <c r="BC596" i="41"/>
  <c r="BD596" i="41" s="1"/>
  <c r="AX596" i="41"/>
  <c r="AY596" i="41" s="1"/>
  <c r="AT596" i="41"/>
  <c r="CM48" i="72"/>
  <c r="CH47" i="72"/>
  <c r="CH48" i="72"/>
  <c r="AH14" i="72" s="1"/>
  <c r="AO559" i="41"/>
  <c r="AO553" i="41"/>
  <c r="AO151" i="39"/>
  <c r="AO147" i="39"/>
  <c r="AO146" i="39"/>
  <c r="AN169" i="39"/>
  <c r="AN170" i="39"/>
  <c r="AT597" i="41" l="1"/>
  <c r="AR148" i="39"/>
  <c r="CH50" i="72"/>
  <c r="AH15" i="72"/>
  <c r="AH17" i="72" s="1"/>
  <c r="CM50" i="72"/>
  <c r="AM14" i="72"/>
  <c r="AM17" i="72" s="1"/>
  <c r="DN40" i="72"/>
  <c r="BJ596" i="41"/>
  <c r="BK596" i="41" s="1"/>
  <c r="BE596" i="41"/>
  <c r="BF596" i="41" s="1"/>
  <c r="AZ596" i="41"/>
  <c r="BA596" i="41" s="1"/>
  <c r="AU596" i="41"/>
  <c r="AV596" i="41" s="1"/>
  <c r="AV597" i="41" s="1"/>
  <c r="DN41" i="72" l="1"/>
  <c r="DN42" i="72" l="1"/>
  <c r="BQ68" i="4" l="1"/>
  <c r="BO68" i="4"/>
  <c r="BO70" i="4" s="1"/>
  <c r="BO144" i="4" s="1"/>
  <c r="BM68" i="4"/>
  <c r="BM70" i="4" s="1"/>
  <c r="BQ60" i="3"/>
  <c r="BP68" i="4"/>
  <c r="BP70" i="4" s="1"/>
  <c r="BP144" i="4" s="1"/>
  <c r="BN68" i="4"/>
  <c r="BN70" i="4" s="1"/>
  <c r="BN144" i="4" s="1"/>
  <c r="BV63" i="72"/>
  <c r="DN43" i="72"/>
  <c r="BP246" i="4" l="1"/>
  <c r="BP121" i="4"/>
  <c r="BM144" i="4"/>
  <c r="BQ70" i="4"/>
  <c r="BN246" i="4"/>
  <c r="BN121" i="4"/>
  <c r="BO121" i="4"/>
  <c r="BO246" i="4"/>
  <c r="DN44" i="72"/>
  <c r="BM246" i="4" l="1"/>
  <c r="BQ144" i="4"/>
  <c r="BM121" i="4"/>
  <c r="DN45" i="72"/>
  <c r="EI59" i="3" l="1"/>
  <c r="BQ121" i="4"/>
  <c r="BQ246" i="4"/>
  <c r="DN46" i="72"/>
  <c r="DN47" i="72" l="1"/>
  <c r="AC50" i="72" l="1"/>
  <c r="DN48" i="72"/>
  <c r="AO102" i="39"/>
  <c r="AO68" i="40"/>
  <c r="AT69" i="40" s="1"/>
  <c r="AT54" i="40" s="1"/>
  <c r="AO63" i="40"/>
  <c r="AO65" i="40" s="1"/>
  <c r="AT66" i="40" s="1"/>
  <c r="AT53" i="40" s="1"/>
  <c r="AO64" i="39"/>
  <c r="AO69" i="39"/>
  <c r="AC77" i="72" l="1"/>
  <c r="AC79" i="72" s="1"/>
  <c r="AC80" i="72" s="1"/>
  <c r="AC82" i="72" s="1"/>
  <c r="AC52" i="72"/>
  <c r="DN49" i="72"/>
  <c r="DN50" i="72" l="1"/>
  <c r="DN51" i="72" l="1"/>
  <c r="DN52" i="72" l="1"/>
  <c r="BI127" i="51"/>
  <c r="BD127" i="51"/>
  <c r="AY127" i="51"/>
  <c r="AT127" i="51"/>
  <c r="AO127" i="51"/>
  <c r="AJ127" i="51"/>
  <c r="AJ244" i="51" s="1"/>
  <c r="AE127" i="51"/>
  <c r="AE244" i="51" s="1"/>
  <c r="Z127" i="51"/>
  <c r="Z244" i="51" s="1"/>
  <c r="U127" i="51"/>
  <c r="U244" i="51" s="1"/>
  <c r="P127" i="51"/>
  <c r="P244" i="51" s="1"/>
  <c r="E210" i="51"/>
  <c r="E209" i="51"/>
  <c r="E208" i="51"/>
  <c r="E207" i="51"/>
  <c r="E239" i="51"/>
  <c r="E242" i="51"/>
  <c r="E241" i="51"/>
  <c r="E240" i="51"/>
  <c r="E237" i="51"/>
  <c r="E236" i="51"/>
  <c r="E235" i="51"/>
  <c r="E234" i="51"/>
  <c r="E227" i="51"/>
  <c r="E226" i="51"/>
  <c r="E231" i="51"/>
  <c r="E225" i="51"/>
  <c r="AT225" i="51" s="1"/>
  <c r="E222" i="51"/>
  <c r="E220" i="51"/>
  <c r="E221" i="51"/>
  <c r="E219" i="51"/>
  <c r="BD219" i="51" s="1"/>
  <c r="E214" i="51"/>
  <c r="E216" i="51"/>
  <c r="E213" i="51"/>
  <c r="E204" i="51"/>
  <c r="E200" i="51"/>
  <c r="E203" i="51"/>
  <c r="E201" i="51"/>
  <c r="E199" i="51"/>
  <c r="AT199" i="51" s="1"/>
  <c r="E193" i="51"/>
  <c r="E196" i="51"/>
  <c r="E191" i="51"/>
  <c r="BD191" i="51" s="1"/>
  <c r="E195" i="51"/>
  <c r="E190" i="51"/>
  <c r="AT190" i="51" s="1"/>
  <c r="E192" i="51"/>
  <c r="BI192" i="51" s="1"/>
  <c r="E186" i="51"/>
  <c r="E187" i="51"/>
  <c r="E185" i="51"/>
  <c r="E184" i="51"/>
  <c r="BD184" i="51" s="1"/>
  <c r="E178" i="51"/>
  <c r="E177" i="51"/>
  <c r="E180" i="51"/>
  <c r="BD180" i="51" s="1"/>
  <c r="E179" i="51"/>
  <c r="E176" i="51"/>
  <c r="E174" i="51"/>
  <c r="AT174" i="51" s="1"/>
  <c r="E175" i="51"/>
  <c r="AY175" i="51" s="1"/>
  <c r="E171" i="51"/>
  <c r="E168" i="51"/>
  <c r="BN168" i="51" s="1"/>
  <c r="E167" i="51"/>
  <c r="E164" i="51"/>
  <c r="E163" i="51"/>
  <c r="BI163" i="51" s="1"/>
  <c r="E162" i="51"/>
  <c r="AT162" i="51" s="1"/>
  <c r="E159" i="51"/>
  <c r="E158" i="51"/>
  <c r="E157" i="51"/>
  <c r="BI157" i="51" s="1"/>
  <c r="E154" i="51"/>
  <c r="E153" i="51"/>
  <c r="BI153" i="51" s="1"/>
  <c r="E152" i="51"/>
  <c r="AT152" i="51" s="1"/>
  <c r="E149" i="51"/>
  <c r="E148" i="51"/>
  <c r="E144" i="51"/>
  <c r="E143" i="51"/>
  <c r="AY143" i="51" s="1"/>
  <c r="E147" i="51"/>
  <c r="AT147" i="51" s="1"/>
  <c r="E146" i="51"/>
  <c r="E140" i="51"/>
  <c r="E137" i="51"/>
  <c r="BD137" i="51" s="1"/>
  <c r="E138" i="51"/>
  <c r="E134" i="51"/>
  <c r="E133" i="51"/>
  <c r="BI133" i="51" s="1"/>
  <c r="E132" i="51"/>
  <c r="AT132" i="51" s="1"/>
  <c r="AT146" i="51" l="1"/>
  <c r="AO244" i="51"/>
  <c r="AR133" i="39" s="1"/>
  <c r="BN207" i="51"/>
  <c r="BM207" i="51" s="1"/>
  <c r="BD207" i="51"/>
  <c r="BM168" i="51"/>
  <c r="BJ168" i="51"/>
  <c r="BL168" i="51"/>
  <c r="BK168" i="51"/>
  <c r="BD171" i="51"/>
  <c r="BB171" i="51" s="1"/>
  <c r="AT171" i="51"/>
  <c r="BI167" i="51"/>
  <c r="BI244" i="51" s="1"/>
  <c r="AY167" i="51"/>
  <c r="O127" i="51"/>
  <c r="O244" i="51" s="1"/>
  <c r="Y127" i="51"/>
  <c r="Y244" i="51" s="1"/>
  <c r="AF127" i="51"/>
  <c r="AF244" i="51" s="1"/>
  <c r="AZ127" i="51"/>
  <c r="T127" i="51"/>
  <c r="T244" i="51" s="1"/>
  <c r="BH133" i="51"/>
  <c r="BE133" i="51"/>
  <c r="BG133" i="51"/>
  <c r="BF133" i="51"/>
  <c r="AS162" i="51"/>
  <c r="AR162" i="51"/>
  <c r="AP162" i="51"/>
  <c r="AQ162" i="51"/>
  <c r="AS132" i="51"/>
  <c r="AP132" i="51"/>
  <c r="AR132" i="51"/>
  <c r="AQ132" i="51"/>
  <c r="BC137" i="51"/>
  <c r="BB137" i="51"/>
  <c r="BA137" i="51"/>
  <c r="AZ137" i="51"/>
  <c r="AS152" i="51"/>
  <c r="AP152" i="51"/>
  <c r="AR152" i="51"/>
  <c r="AQ152" i="51"/>
  <c r="BE153" i="51"/>
  <c r="BH153" i="51"/>
  <c r="BF153" i="51"/>
  <c r="BG153" i="51"/>
  <c r="BH157" i="51"/>
  <c r="BE157" i="51"/>
  <c r="BF157" i="51"/>
  <c r="BG157" i="51"/>
  <c r="BH163" i="51"/>
  <c r="BE163" i="51"/>
  <c r="BF163" i="51"/>
  <c r="BG163" i="51"/>
  <c r="BC219" i="51"/>
  <c r="AZ219" i="51"/>
  <c r="BA219" i="51"/>
  <c r="BB219" i="51"/>
  <c r="AP225" i="51"/>
  <c r="AR225" i="51"/>
  <c r="AQ225" i="51"/>
  <c r="AS225" i="51"/>
  <c r="AS147" i="51"/>
  <c r="AP147" i="51"/>
  <c r="AQ147" i="51"/>
  <c r="AR147" i="51"/>
  <c r="AW175" i="51"/>
  <c r="AU175" i="51"/>
  <c r="AX175" i="51"/>
  <c r="AV175" i="51"/>
  <c r="AS174" i="51"/>
  <c r="AP174" i="51"/>
  <c r="AR174" i="51"/>
  <c r="AQ174" i="51"/>
  <c r="BB184" i="51"/>
  <c r="AZ184" i="51"/>
  <c r="BC184" i="51"/>
  <c r="BA184" i="51"/>
  <c r="BE192" i="51"/>
  <c r="BH192" i="51"/>
  <c r="BG192" i="51"/>
  <c r="BF192" i="51"/>
  <c r="AS146" i="51"/>
  <c r="AR146" i="51"/>
  <c r="AX143" i="51"/>
  <c r="AU143" i="51"/>
  <c r="AW143" i="51"/>
  <c r="AV143" i="51"/>
  <c r="BB180" i="51"/>
  <c r="AZ180" i="51"/>
  <c r="BC180" i="51"/>
  <c r="BA180" i="51"/>
  <c r="AR190" i="51"/>
  <c r="AP190" i="51"/>
  <c r="AQ190" i="51"/>
  <c r="AS190" i="51"/>
  <c r="AZ191" i="51"/>
  <c r="BC191" i="51"/>
  <c r="BA191" i="51"/>
  <c r="BB191" i="51"/>
  <c r="AS199" i="51"/>
  <c r="AP199" i="51"/>
  <c r="AQ199" i="51"/>
  <c r="AR199" i="51"/>
  <c r="AN127" i="51"/>
  <c r="AX127" i="51"/>
  <c r="BC127" i="51"/>
  <c r="AD127" i="51"/>
  <c r="AD244" i="51" s="1"/>
  <c r="AI127" i="51"/>
  <c r="AI244" i="51" s="1"/>
  <c r="AS127" i="51"/>
  <c r="BH127" i="51"/>
  <c r="V127" i="51"/>
  <c r="V244" i="51" s="1"/>
  <c r="AQ127" i="51"/>
  <c r="BB127" i="51"/>
  <c r="L127" i="51"/>
  <c r="X127" i="51"/>
  <c r="X244" i="51" s="1"/>
  <c r="AH127" i="51"/>
  <c r="AH244" i="51" s="1"/>
  <c r="AP127" i="51"/>
  <c r="AR127" i="51"/>
  <c r="AU127" i="51"/>
  <c r="N127" i="51"/>
  <c r="W127" i="51"/>
  <c r="W244" i="51" s="1"/>
  <c r="AA127" i="51"/>
  <c r="AA244" i="51" s="1"/>
  <c r="M127" i="51"/>
  <c r="Q127" i="51"/>
  <c r="Q244" i="51" s="1"/>
  <c r="AG127" i="51"/>
  <c r="AG244" i="51" s="1"/>
  <c r="AK127" i="51"/>
  <c r="BA127" i="51"/>
  <c r="BE127" i="51"/>
  <c r="S127" i="51"/>
  <c r="S244" i="51" s="1"/>
  <c r="AC127" i="51"/>
  <c r="AC244" i="51" s="1"/>
  <c r="AM127" i="51"/>
  <c r="AW127" i="51"/>
  <c r="BG127" i="51"/>
  <c r="DN53" i="72"/>
  <c r="R127" i="51"/>
  <c r="R244" i="51" s="1"/>
  <c r="AB127" i="51"/>
  <c r="AB244" i="51" s="1"/>
  <c r="AL127" i="51"/>
  <c r="AV127" i="51"/>
  <c r="BF127" i="51"/>
  <c r="BD244" i="51" l="1"/>
  <c r="BE167" i="51"/>
  <c r="AM244" i="51"/>
  <c r="AP133" i="39" s="1"/>
  <c r="AP156" i="39" s="1"/>
  <c r="AP159" i="39" s="1"/>
  <c r="BM244" i="51"/>
  <c r="BM260" i="51" s="1"/>
  <c r="AT244" i="51"/>
  <c r="AW133" i="39" s="1"/>
  <c r="BN244" i="51"/>
  <c r="BN260" i="51" s="1"/>
  <c r="AL244" i="51"/>
  <c r="AO133" i="39" s="1"/>
  <c r="AO156" i="39" s="1"/>
  <c r="BE244" i="51"/>
  <c r="AK244" i="51"/>
  <c r="AN244" i="51"/>
  <c r="AQ133" i="39" s="1"/>
  <c r="AQ156" i="39" s="1"/>
  <c r="AQ146" i="51"/>
  <c r="AP146" i="51"/>
  <c r="BK207" i="51"/>
  <c r="BK244" i="51" s="1"/>
  <c r="BK260" i="51" s="1"/>
  <c r="BJ207" i="51"/>
  <c r="BL207" i="51"/>
  <c r="AZ171" i="51"/>
  <c r="BC171" i="51"/>
  <c r="BA171" i="51"/>
  <c r="BF167" i="51"/>
  <c r="BF244" i="51" s="1"/>
  <c r="BH167" i="51"/>
  <c r="BH244" i="51" s="1"/>
  <c r="BG167" i="51"/>
  <c r="BG244" i="51" s="1"/>
  <c r="BC207" i="51"/>
  <c r="BB207" i="51"/>
  <c r="BB244" i="51" s="1"/>
  <c r="BA207" i="51"/>
  <c r="AZ207" i="51"/>
  <c r="AP171" i="51"/>
  <c r="AS171" i="51"/>
  <c r="AS244" i="51" s="1"/>
  <c r="AV133" i="39" s="1"/>
  <c r="AV156" i="39" s="1"/>
  <c r="AR171" i="51"/>
  <c r="AR244" i="51" s="1"/>
  <c r="AQ171" i="51"/>
  <c r="AW167" i="51"/>
  <c r="AU167" i="51"/>
  <c r="AX167" i="51"/>
  <c r="AV167" i="51"/>
  <c r="U260" i="51"/>
  <c r="Y260" i="51"/>
  <c r="V260" i="51"/>
  <c r="AA260" i="51"/>
  <c r="Z260" i="51"/>
  <c r="DN54" i="72"/>
  <c r="AD260" i="51"/>
  <c r="AC260" i="51"/>
  <c r="AO42" i="42"/>
  <c r="AO41" i="42"/>
  <c r="AO35" i="42"/>
  <c r="AO34" i="42"/>
  <c r="AO31" i="42"/>
  <c r="AO26" i="42"/>
  <c r="AO25" i="42"/>
  <c r="AO15" i="42"/>
  <c r="AO14" i="42"/>
  <c r="AO13" i="42"/>
  <c r="AO62" i="42" s="1"/>
  <c r="AO12" i="42"/>
  <c r="AO8" i="42"/>
  <c r="AO595" i="41"/>
  <c r="AO606" i="41"/>
  <c r="AO594" i="41"/>
  <c r="AO548" i="41"/>
  <c r="AT549" i="41" s="1"/>
  <c r="AO542" i="41"/>
  <c r="AO544" i="41" s="1"/>
  <c r="AT545" i="41" s="1"/>
  <c r="AO39" i="41"/>
  <c r="AO38" i="41"/>
  <c r="AO35" i="41"/>
  <c r="AO9" i="41"/>
  <c r="AO26" i="41"/>
  <c r="AO109" i="40"/>
  <c r="AO58" i="40" s="1"/>
  <c r="AO97" i="40"/>
  <c r="AO96" i="40"/>
  <c r="AO90" i="40"/>
  <c r="AT91" i="40" s="1"/>
  <c r="AO75" i="40"/>
  <c r="AO36" i="40"/>
  <c r="AO35" i="40"/>
  <c r="AO25" i="40"/>
  <c r="AO14" i="40"/>
  <c r="AO16" i="40" s="1"/>
  <c r="AO20" i="40" s="1"/>
  <c r="AO205" i="39"/>
  <c r="AO204" i="39"/>
  <c r="AO120" i="39"/>
  <c r="BA244" i="51" l="1"/>
  <c r="BC244" i="51"/>
  <c r="AZ244" i="51"/>
  <c r="AQ244" i="51"/>
  <c r="AT133" i="39" s="1"/>
  <c r="AT156" i="39" s="1"/>
  <c r="AP244" i="51"/>
  <c r="AS133" i="39" s="1"/>
  <c r="AS156" i="39" s="1"/>
  <c r="AU133" i="39"/>
  <c r="AU156" i="39" s="1"/>
  <c r="BJ244" i="51"/>
  <c r="BJ260" i="51" s="1"/>
  <c r="BL244" i="51"/>
  <c r="BO133" i="39" s="1"/>
  <c r="BO156" i="39" s="1"/>
  <c r="BO159" i="39" s="1"/>
  <c r="BN133" i="39"/>
  <c r="BN156" i="39" s="1"/>
  <c r="BN159" i="39" s="1"/>
  <c r="BQ133" i="39"/>
  <c r="BP133" i="39"/>
  <c r="BP156" i="39" s="1"/>
  <c r="BP159" i="39" s="1"/>
  <c r="AQ35" i="41"/>
  <c r="AO596" i="41"/>
  <c r="AB260" i="51"/>
  <c r="X260" i="51"/>
  <c r="W260" i="51"/>
  <c r="AO15" i="41"/>
  <c r="AO17" i="41" s="1"/>
  <c r="AO19" i="4" s="1"/>
  <c r="DN55" i="72"/>
  <c r="AO27" i="42"/>
  <c r="AO10" i="41"/>
  <c r="AO27" i="40"/>
  <c r="AO21" i="40"/>
  <c r="AO113" i="39"/>
  <c r="AT114" i="39" s="1"/>
  <c r="AT65" i="39" s="1"/>
  <c r="AO107" i="39"/>
  <c r="AO109" i="39" s="1"/>
  <c r="AT110" i="39" s="1"/>
  <c r="AO78" i="39"/>
  <c r="AO79" i="39" s="1"/>
  <c r="AT55" i="39" s="1"/>
  <c r="AO83" i="39"/>
  <c r="AO38" i="39"/>
  <c r="AO37" i="39"/>
  <c r="AO34" i="39"/>
  <c r="AO9" i="39"/>
  <c r="AO10" i="39" s="1"/>
  <c r="AO27" i="39"/>
  <c r="AO248" i="4"/>
  <c r="AO202" i="4"/>
  <c r="AO201" i="4"/>
  <c r="AO199" i="4"/>
  <c r="AO182" i="4"/>
  <c r="AO177" i="4"/>
  <c r="AO178" i="4" s="1"/>
  <c r="AO160" i="4"/>
  <c r="AO158" i="4"/>
  <c r="AO191" i="4"/>
  <c r="AO209" i="4" s="1"/>
  <c r="AO166" i="4"/>
  <c r="DL137" i="4"/>
  <c r="DL136" i="4"/>
  <c r="AP136" i="4" s="1"/>
  <c r="AP86" i="4" s="1"/>
  <c r="AP85" i="4" s="1"/>
  <c r="AP66" i="42" s="1"/>
  <c r="DL133" i="4"/>
  <c r="AP133" i="4" s="1"/>
  <c r="DL132" i="4"/>
  <c r="DL147" i="4"/>
  <c r="AO146" i="4"/>
  <c r="AO145" i="4"/>
  <c r="AO247" i="4" s="1"/>
  <c r="AO144" i="4"/>
  <c r="AO246" i="4" s="1"/>
  <c r="AO143" i="4"/>
  <c r="AO142" i="4"/>
  <c r="AO92" i="4" s="1"/>
  <c r="AO141" i="4"/>
  <c r="AO91" i="4" s="1"/>
  <c r="AO131" i="4"/>
  <c r="AO130" i="4"/>
  <c r="AO129" i="4"/>
  <c r="AO120" i="4"/>
  <c r="AO84" i="4"/>
  <c r="AO83" i="4"/>
  <c r="AO82" i="4"/>
  <c r="AO62" i="4"/>
  <c r="AO20" i="4"/>
  <c r="AO32" i="4"/>
  <c r="AO25" i="4"/>
  <c r="AO9" i="4"/>
  <c r="AO10" i="4" s="1"/>
  <c r="AW156" i="39" l="1"/>
  <c r="BL260" i="51"/>
  <c r="BM133" i="39"/>
  <c r="BM156" i="39" s="1"/>
  <c r="BM159" i="39" s="1"/>
  <c r="AO161" i="4"/>
  <c r="AO172" i="4" s="1"/>
  <c r="DL134" i="4"/>
  <c r="AO203" i="4"/>
  <c r="AO212" i="4" s="1"/>
  <c r="AO207" i="4" s="1"/>
  <c r="AO16" i="4"/>
  <c r="AO22" i="4" s="1"/>
  <c r="AO27" i="4" s="1"/>
  <c r="AO34" i="4" s="1"/>
  <c r="AO21" i="41"/>
  <c r="AO28" i="41" s="1"/>
  <c r="AO574" i="41" s="1"/>
  <c r="AQ25" i="4"/>
  <c r="AO20" i="42"/>
  <c r="AP132" i="4"/>
  <c r="AP134" i="4" s="1"/>
  <c r="AP137" i="4"/>
  <c r="AP139" i="4" s="1"/>
  <c r="AO38" i="42"/>
  <c r="AQ34" i="39"/>
  <c r="AQ38" i="42" s="1"/>
  <c r="AO88" i="39"/>
  <c r="AO91" i="39" s="1"/>
  <c r="AT92" i="39" s="1"/>
  <c r="AO9" i="42"/>
  <c r="AO31" i="40"/>
  <c r="AO38" i="40" s="1"/>
  <c r="AO56" i="40"/>
  <c r="DN56" i="72"/>
  <c r="DO55" i="72"/>
  <c r="AO81" i="39"/>
  <c r="AO16" i="39"/>
  <c r="AO18" i="39" s="1"/>
  <c r="AO183" i="4"/>
  <c r="AO193" i="4" s="1"/>
  <c r="AO147" i="4"/>
  <c r="DL139" i="4"/>
  <c r="BQ156" i="39" l="1"/>
  <c r="BQ159" i="39" s="1"/>
  <c r="AO33" i="40"/>
  <c r="AO31" i="41"/>
  <c r="AO34" i="41" s="1"/>
  <c r="AO36" i="41" s="1"/>
  <c r="AO42" i="41" s="1"/>
  <c r="DL149" i="4"/>
  <c r="AO28" i="4"/>
  <c r="AO22" i="41"/>
  <c r="AO575" i="41"/>
  <c r="AO213" i="4"/>
  <c r="AO38" i="4"/>
  <c r="AO104" i="4"/>
  <c r="AO210" i="4"/>
  <c r="AP149" i="4"/>
  <c r="AO89" i="39"/>
  <c r="AO10" i="42"/>
  <c r="AO16" i="42"/>
  <c r="AO18" i="42" s="1"/>
  <c r="AO252" i="4" s="1"/>
  <c r="DO56" i="72"/>
  <c r="DN57" i="72"/>
  <c r="AO593" i="41"/>
  <c r="AO39" i="40"/>
  <c r="AO77" i="4" s="1"/>
  <c r="AO22" i="39"/>
  <c r="AO18" i="4"/>
  <c r="AO204" i="4"/>
  <c r="AO195" i="4"/>
  <c r="AO41" i="41" l="1"/>
  <c r="AO42" i="4"/>
  <c r="AO249" i="4"/>
  <c r="AO22" i="42"/>
  <c r="AO21" i="4"/>
  <c r="AO23" i="4" s="1"/>
  <c r="DO57" i="72"/>
  <c r="DN58" i="72"/>
  <c r="AO29" i="39"/>
  <c r="AO67" i="39" s="1"/>
  <c r="AO23" i="39"/>
  <c r="BK60" i="39"/>
  <c r="BJ60" i="39"/>
  <c r="BI60" i="39"/>
  <c r="BH60" i="39"/>
  <c r="BF60" i="39"/>
  <c r="BE60" i="39"/>
  <c r="BD60" i="39"/>
  <c r="BC60" i="39"/>
  <c r="BA60" i="39"/>
  <c r="AZ60" i="39"/>
  <c r="AY60" i="39"/>
  <c r="AO44" i="4" l="1"/>
  <c r="AO51" i="4" s="1"/>
  <c r="AO50" i="4"/>
  <c r="AO23" i="42"/>
  <c r="AO29" i="42"/>
  <c r="AO33" i="42" s="1"/>
  <c r="DO58" i="72"/>
  <c r="DN59" i="72"/>
  <c r="AO33" i="39"/>
  <c r="AO145" i="39" s="1"/>
  <c r="AO149" i="39" s="1"/>
  <c r="AO65" i="4" l="1"/>
  <c r="AT52" i="4"/>
  <c r="AO35" i="39"/>
  <c r="AO61" i="42"/>
  <c r="AO37" i="42"/>
  <c r="DO59" i="72"/>
  <c r="DN60" i="72"/>
  <c r="AO40" i="39"/>
  <c r="AO41" i="39" l="1"/>
  <c r="AO75" i="4" s="1"/>
  <c r="AO44" i="42"/>
  <c r="AO39" i="42"/>
  <c r="AO45" i="42" s="1"/>
  <c r="DO60" i="72"/>
  <c r="DN61" i="72"/>
  <c r="DN62" i="72" l="1"/>
  <c r="DO61" i="72"/>
  <c r="DO62" i="72" l="1"/>
  <c r="DN63" i="72"/>
  <c r="DO63" i="72" l="1"/>
  <c r="DN64" i="72"/>
  <c r="AN548" i="41"/>
  <c r="AS549" i="41" s="1"/>
  <c r="AN546" i="41"/>
  <c r="AN542" i="41"/>
  <c r="AN544" i="41" s="1"/>
  <c r="AS545" i="41" s="1"/>
  <c r="AN38" i="42"/>
  <c r="AM20" i="39"/>
  <c r="AN595" i="41"/>
  <c r="AP595" i="41" s="1"/>
  <c r="AN42" i="42"/>
  <c r="AN41" i="42"/>
  <c r="AN35" i="42"/>
  <c r="AN34" i="42"/>
  <c r="AN31" i="42"/>
  <c r="AN26" i="42"/>
  <c r="AN25" i="42"/>
  <c r="AN20" i="42"/>
  <c r="AN15" i="42"/>
  <c r="AN14" i="42"/>
  <c r="AN13" i="42"/>
  <c r="AN62" i="42" s="1"/>
  <c r="AR62" i="42" s="1"/>
  <c r="AN12" i="42"/>
  <c r="AN8" i="42"/>
  <c r="AN625" i="41"/>
  <c r="AN618" i="41"/>
  <c r="AN615" i="41"/>
  <c r="AO611" i="41" s="1"/>
  <c r="AN600" i="41"/>
  <c r="AN599" i="41"/>
  <c r="AN594" i="41"/>
  <c r="AR594" i="41" s="1"/>
  <c r="AN557" i="41"/>
  <c r="AN554" i="41"/>
  <c r="AO554" i="41" s="1"/>
  <c r="AO555" i="41" s="1"/>
  <c r="AP563" i="41" s="1"/>
  <c r="AN553" i="41"/>
  <c r="AN559" i="41"/>
  <c r="AN9" i="41"/>
  <c r="AQ9" i="41" s="1"/>
  <c r="AN39" i="41"/>
  <c r="AN38" i="41"/>
  <c r="AN26" i="41"/>
  <c r="AN90" i="40"/>
  <c r="AS91" i="40" s="1"/>
  <c r="AW91" i="40" s="1"/>
  <c r="AN75" i="40"/>
  <c r="AN68" i="40"/>
  <c r="AN63" i="40"/>
  <c r="AN58" i="40"/>
  <c r="AN36" i="40"/>
  <c r="AN35" i="40"/>
  <c r="AN25" i="40"/>
  <c r="AN14" i="40"/>
  <c r="AN16" i="40" s="1"/>
  <c r="AN177" i="39"/>
  <c r="AN171" i="39"/>
  <c r="AN167" i="39"/>
  <c r="AN158" i="39"/>
  <c r="AN151" i="39"/>
  <c r="AR151" i="39" s="1"/>
  <c r="AR153" i="39" s="1"/>
  <c r="AN147" i="39"/>
  <c r="AN146" i="39"/>
  <c r="AN120" i="39"/>
  <c r="AN113" i="39"/>
  <c r="AS114" i="39" s="1"/>
  <c r="AS65" i="39" s="1"/>
  <c r="AN111" i="39"/>
  <c r="AN107" i="39"/>
  <c r="AN109" i="39" s="1"/>
  <c r="AS110" i="39" s="1"/>
  <c r="AN102" i="39"/>
  <c r="AN103" i="39" s="1"/>
  <c r="AN78" i="39"/>
  <c r="AN83" i="39"/>
  <c r="AN69" i="39"/>
  <c r="AN64" i="39"/>
  <c r="AN9" i="39"/>
  <c r="AN38" i="39"/>
  <c r="AN37" i="39"/>
  <c r="AN27" i="39"/>
  <c r="AN10" i="39"/>
  <c r="AN202" i="4"/>
  <c r="AN201" i="4"/>
  <c r="AN199" i="4"/>
  <c r="AN182" i="4"/>
  <c r="AN177" i="4"/>
  <c r="AN178" i="4" s="1"/>
  <c r="AN160" i="4"/>
  <c r="AN158" i="4"/>
  <c r="AN191" i="4"/>
  <c r="AN209" i="4" s="1"/>
  <c r="AN166" i="4"/>
  <c r="AN146" i="4"/>
  <c r="AN145" i="4"/>
  <c r="AN144" i="4"/>
  <c r="AN143" i="4"/>
  <c r="AN142" i="4"/>
  <c r="AN141" i="4"/>
  <c r="AN131" i="4"/>
  <c r="AN130" i="4"/>
  <c r="AN129" i="4"/>
  <c r="DK138" i="4"/>
  <c r="DK137" i="4"/>
  <c r="AO137" i="4" s="1"/>
  <c r="DK136" i="4"/>
  <c r="AO136" i="4" s="1"/>
  <c r="DK133" i="4"/>
  <c r="AO133" i="4" s="1"/>
  <c r="DK132" i="4"/>
  <c r="AO132" i="4" s="1"/>
  <c r="DK147" i="4"/>
  <c r="AN84" i="4"/>
  <c r="AN83" i="4"/>
  <c r="AN82" i="4"/>
  <c r="AN62" i="4"/>
  <c r="AN9" i="4"/>
  <c r="AQ9" i="4" s="1"/>
  <c r="AN32" i="4"/>
  <c r="AN10" i="41" l="1"/>
  <c r="AN16" i="4"/>
  <c r="AN22" i="4" s="1"/>
  <c r="AN27" i="4" s="1"/>
  <c r="AN34" i="4" s="1"/>
  <c r="AN161" i="4"/>
  <c r="AN172" i="4" s="1"/>
  <c r="AN137" i="4"/>
  <c r="AN183" i="4"/>
  <c r="AN193" i="4" s="1"/>
  <c r="AS69" i="40"/>
  <c r="AS54" i="40" s="1"/>
  <c r="AR68" i="40"/>
  <c r="AW69" i="40" s="1"/>
  <c r="AW54" i="40" s="1"/>
  <c r="AQ16" i="4"/>
  <c r="AQ22" i="4" s="1"/>
  <c r="AQ10" i="4"/>
  <c r="AO134" i="4"/>
  <c r="DK139" i="4"/>
  <c r="AO138" i="4"/>
  <c r="AO139" i="4" s="1"/>
  <c r="AN132" i="4"/>
  <c r="AN138" i="4"/>
  <c r="AN203" i="4"/>
  <c r="AN212" i="4" s="1"/>
  <c r="AN207" i="4" s="1"/>
  <c r="AN133" i="4"/>
  <c r="AN10" i="4"/>
  <c r="DK134" i="4"/>
  <c r="AN136" i="4"/>
  <c r="AN65" i="40"/>
  <c r="AR63" i="40"/>
  <c r="AQ15" i="41"/>
  <c r="AQ17" i="41" s="1"/>
  <c r="AQ21" i="41" s="1"/>
  <c r="AQ10" i="41"/>
  <c r="AN88" i="39"/>
  <c r="AQ9" i="39"/>
  <c r="AN79" i="39"/>
  <c r="AS55" i="39" s="1"/>
  <c r="AQ78" i="39"/>
  <c r="AQ79" i="39" s="1"/>
  <c r="AQ81" i="39" s="1"/>
  <c r="AO600" i="41"/>
  <c r="AO546" i="41"/>
  <c r="AP546" i="41" s="1"/>
  <c r="AQ546" i="41" s="1"/>
  <c r="AN153" i="39"/>
  <c r="AO111" i="39"/>
  <c r="AO153" i="39"/>
  <c r="AN9" i="42"/>
  <c r="AN10" i="42" s="1"/>
  <c r="AO158" i="39"/>
  <c r="AN601" i="41"/>
  <c r="DO64" i="72"/>
  <c r="AN147" i="4"/>
  <c r="AN27" i="42"/>
  <c r="AN619" i="41"/>
  <c r="AN555" i="41"/>
  <c r="AN15" i="41"/>
  <c r="AN17" i="41" s="1"/>
  <c r="AN20" i="40"/>
  <c r="AN20" i="4"/>
  <c r="AN180" i="39"/>
  <c r="AN16" i="39"/>
  <c r="AN18" i="39" s="1"/>
  <c r="AN28" i="4" l="1"/>
  <c r="DK149" i="4"/>
  <c r="AN134" i="4"/>
  <c r="AN210" i="4"/>
  <c r="AN81" i="39"/>
  <c r="AN139" i="4"/>
  <c r="AQ27" i="4"/>
  <c r="AQ28" i="4"/>
  <c r="AN213" i="4"/>
  <c r="AN38" i="4"/>
  <c r="AN42" i="4" s="1"/>
  <c r="AN50" i="4" s="1"/>
  <c r="AN104" i="4"/>
  <c r="AN89" i="39"/>
  <c r="AS66" i="40"/>
  <c r="AS53" i="40" s="1"/>
  <c r="AR65" i="40"/>
  <c r="AW66" i="40" s="1"/>
  <c r="AW53" i="40" s="1"/>
  <c r="AO149" i="4"/>
  <c r="AQ22" i="41"/>
  <c r="AQ28" i="41"/>
  <c r="AN16" i="42"/>
  <c r="AN18" i="42" s="1"/>
  <c r="AN22" i="42" s="1"/>
  <c r="AN23" i="42" s="1"/>
  <c r="AN91" i="39"/>
  <c r="AS92" i="39" s="1"/>
  <c r="AQ9" i="42"/>
  <c r="AQ88" i="39"/>
  <c r="AQ10" i="39"/>
  <c r="AQ16" i="39"/>
  <c r="AQ18" i="39" s="1"/>
  <c r="AQ22" i="39" s="1"/>
  <c r="AO601" i="41"/>
  <c r="AO68" i="42" s="1"/>
  <c r="AP600" i="41"/>
  <c r="AP601" i="41" s="1"/>
  <c r="AN68" i="42"/>
  <c r="AP111" i="39"/>
  <c r="AQ111" i="39" s="1"/>
  <c r="AO119" i="4"/>
  <c r="AQ158" i="39"/>
  <c r="AQ153" i="39"/>
  <c r="AO563" i="41"/>
  <c r="AN628" i="41"/>
  <c r="AN623" i="41" s="1"/>
  <c r="AN19" i="4"/>
  <c r="AN21" i="41"/>
  <c r="AN27" i="40"/>
  <c r="AN21" i="40"/>
  <c r="AN178" i="39"/>
  <c r="AN175" i="39"/>
  <c r="AN181" i="39"/>
  <c r="AN172" i="39"/>
  <c r="AN18" i="4"/>
  <c r="AN22" i="39"/>
  <c r="AN204" i="4"/>
  <c r="AN195" i="4"/>
  <c r="AN44" i="4" l="1"/>
  <c r="AN51" i="4" s="1"/>
  <c r="AS52" i="4" s="1"/>
  <c r="AN149" i="4"/>
  <c r="AN29" i="42"/>
  <c r="AN33" i="42" s="1"/>
  <c r="AN61" i="42" s="1"/>
  <c r="AN626" i="41"/>
  <c r="AN620" i="41"/>
  <c r="AN629" i="41"/>
  <c r="AQ31" i="41"/>
  <c r="AQ34" i="41" s="1"/>
  <c r="AQ575" i="41"/>
  <c r="AQ574" i="41"/>
  <c r="AQ89" i="39"/>
  <c r="AQ91" i="39"/>
  <c r="AQ16" i="42"/>
  <c r="AQ18" i="42" s="1"/>
  <c r="AQ10" i="42"/>
  <c r="AN21" i="4"/>
  <c r="AN23" i="4" s="1"/>
  <c r="AQ29" i="39"/>
  <c r="AQ23" i="39"/>
  <c r="AQ600" i="41"/>
  <c r="AP68" i="42"/>
  <c r="AP67" i="42" s="1"/>
  <c r="AQ119" i="4"/>
  <c r="AP119" i="4"/>
  <c r="AN31" i="40"/>
  <c r="AN38" i="40" s="1"/>
  <c r="AN56" i="40"/>
  <c r="AN37" i="42"/>
  <c r="AN39" i="42" s="1"/>
  <c r="AN45" i="42" s="1"/>
  <c r="AN28" i="41"/>
  <c r="AN22" i="41"/>
  <c r="AN29" i="39"/>
  <c r="AN23" i="39"/>
  <c r="AN33" i="40" l="1"/>
  <c r="AN65" i="4"/>
  <c r="AQ593" i="41"/>
  <c r="AQ36" i="41"/>
  <c r="AQ42" i="41" s="1"/>
  <c r="AQ41" i="41"/>
  <c r="AQ33" i="39"/>
  <c r="AQ67" i="39"/>
  <c r="AQ21" i="4"/>
  <c r="AN33" i="39"/>
  <c r="AN145" i="39" s="1"/>
  <c r="AN67" i="39"/>
  <c r="AN44" i="42"/>
  <c r="AN31" i="41"/>
  <c r="AN34" i="41" s="1"/>
  <c r="AN593" i="41" s="1"/>
  <c r="AN575" i="41"/>
  <c r="AN574" i="41"/>
  <c r="AN39" i="40"/>
  <c r="AN77" i="4" s="1"/>
  <c r="AN149" i="39" l="1"/>
  <c r="AQ40" i="39"/>
  <c r="AQ35" i="39"/>
  <c r="AQ41" i="39" s="1"/>
  <c r="AN35" i="39"/>
  <c r="AN41" i="39" s="1"/>
  <c r="AN75" i="4" s="1"/>
  <c r="AN40" i="39"/>
  <c r="AN36" i="41"/>
  <c r="AN42" i="41" s="1"/>
  <c r="AN41" i="41"/>
  <c r="BX66" i="39"/>
  <c r="BW66" i="39"/>
  <c r="BV66" i="39"/>
  <c r="BU66" i="39"/>
  <c r="BT75" i="39"/>
  <c r="CB83" i="39"/>
  <c r="CB84" i="39" s="1"/>
  <c r="CB85" i="39" s="1"/>
  <c r="AH62" i="60"/>
  <c r="BT69" i="39" s="1"/>
  <c r="BT70" i="39" s="1"/>
  <c r="CB81" i="39"/>
  <c r="CB82" i="39" s="1"/>
  <c r="BY76" i="39" l="1"/>
  <c r="BT76" i="39"/>
  <c r="BT77" i="39" s="1"/>
  <c r="AN185" i="41"/>
  <c r="AN195" i="41" s="1"/>
  <c r="AO185" i="41"/>
  <c r="AO195" i="41" s="1"/>
  <c r="BV76" i="39" l="1"/>
  <c r="BT84" i="39"/>
  <c r="BW76" i="39"/>
  <c r="BU76" i="39"/>
  <c r="BX76" i="39"/>
  <c r="CR48" i="72" l="1"/>
  <c r="BB526" i="41"/>
  <c r="BB123" i="41" s="1"/>
  <c r="AW526" i="41"/>
  <c r="AR526" i="41"/>
  <c r="AM526" i="41"/>
  <c r="BL515" i="41"/>
  <c r="BL121" i="41" s="1"/>
  <c r="BG515" i="41"/>
  <c r="BG121" i="41" s="1"/>
  <c r="BB515" i="41"/>
  <c r="BB121" i="41" s="1"/>
  <c r="AW515" i="41"/>
  <c r="AR515" i="41"/>
  <c r="AM515" i="41"/>
  <c r="AH515" i="41"/>
  <c r="AC515" i="41"/>
  <c r="BX75" i="39"/>
  <c r="BY82" i="39"/>
  <c r="BY80" i="39"/>
  <c r="BY74" i="39"/>
  <c r="BY73" i="39"/>
  <c r="BY72" i="39"/>
  <c r="BW91" i="39"/>
  <c r="BT83" i="39"/>
  <c r="BX81" i="39"/>
  <c r="BX83" i="39" s="1"/>
  <c r="BW81" i="39"/>
  <c r="BV81" i="39"/>
  <c r="BV83" i="39" s="1"/>
  <c r="BU81" i="39"/>
  <c r="BU83" i="39" s="1"/>
  <c r="CR50" i="72" l="1"/>
  <c r="AR14" i="72"/>
  <c r="AR17" i="72" s="1"/>
  <c r="BX77" i="39"/>
  <c r="BY81" i="39"/>
  <c r="BW69" i="39"/>
  <c r="BW70" i="39" s="1"/>
  <c r="BW75" i="39"/>
  <c r="BY68" i="39"/>
  <c r="BU75" i="39"/>
  <c r="BY66" i="39"/>
  <c r="BY67" i="39"/>
  <c r="BV75" i="39"/>
  <c r="BW83" i="39"/>
  <c r="BY83" i="39" s="1"/>
  <c r="BK55" i="39"/>
  <c r="BJ55" i="39"/>
  <c r="BI55" i="39"/>
  <c r="BH55" i="39"/>
  <c r="BF55" i="39"/>
  <c r="BE55" i="39"/>
  <c r="BD55" i="39"/>
  <c r="BC55" i="39"/>
  <c r="BX84" i="39" l="1"/>
  <c r="BW77" i="39"/>
  <c r="BW84" i="39" s="1"/>
  <c r="BU77" i="39"/>
  <c r="BU84" i="39" s="1"/>
  <c r="BV77" i="39"/>
  <c r="BY75" i="39"/>
  <c r="BY77" i="39" s="1"/>
  <c r="BV84" i="39" l="1"/>
  <c r="BY84" i="39" s="1"/>
  <c r="BY85" i="39" l="1"/>
  <c r="AO123" i="40" l="1"/>
  <c r="AO122" i="40"/>
  <c r="BQ48" i="40" l="1"/>
  <c r="AO125" i="40"/>
  <c r="BZ195" i="41"/>
  <c r="BH546" i="41" l="1"/>
  <c r="BI546" i="41" s="1"/>
  <c r="BC546" i="41"/>
  <c r="BD546" i="41" s="1"/>
  <c r="AX546" i="41"/>
  <c r="AY546" i="41" s="1"/>
  <c r="AI546" i="41"/>
  <c r="AJ546" i="41" s="1"/>
  <c r="AI111" i="39"/>
  <c r="AJ111" i="39" s="1"/>
  <c r="BH111" i="39"/>
  <c r="BI111" i="39" s="1"/>
  <c r="BC111" i="39"/>
  <c r="BD111" i="39" s="1"/>
  <c r="AK546" i="41" l="1"/>
  <c r="AL546" i="41" s="1"/>
  <c r="BE546" i="41"/>
  <c r="BF546" i="41" s="1"/>
  <c r="BJ546" i="41"/>
  <c r="BK546" i="41" s="1"/>
  <c r="AZ546" i="41"/>
  <c r="BA546" i="41" s="1"/>
  <c r="BE111" i="39"/>
  <c r="BF111" i="39" s="1"/>
  <c r="BJ111" i="39"/>
  <c r="BK111" i="39" s="1"/>
  <c r="AK111" i="39"/>
  <c r="AL111" i="39" s="1"/>
  <c r="AC35" i="60" l="1"/>
  <c r="AH35" i="60"/>
  <c r="I92" i="60" l="1"/>
  <c r="I91" i="60"/>
  <c r="I19" i="60" s="1"/>
  <c r="I90" i="60"/>
  <c r="I18" i="60" s="1"/>
  <c r="I89" i="60"/>
  <c r="I17" i="60" s="1"/>
  <c r="AC68" i="60"/>
  <c r="AC67" i="60"/>
  <c r="AC66" i="60"/>
  <c r="AC65" i="60"/>
  <c r="AC64" i="60"/>
  <c r="AC63" i="60"/>
  <c r="AC62" i="60"/>
  <c r="AC61" i="60"/>
  <c r="AC60" i="60"/>
  <c r="AC59" i="60"/>
  <c r="AH67" i="60"/>
  <c r="BX69" i="39" s="1"/>
  <c r="BX70" i="39" s="1"/>
  <c r="AH66" i="60"/>
  <c r="AH65" i="60"/>
  <c r="AH64" i="60"/>
  <c r="BV69" i="39" s="1"/>
  <c r="BV70" i="39" s="1"/>
  <c r="AH63" i="60"/>
  <c r="BU69" i="39" s="1"/>
  <c r="AH61" i="60"/>
  <c r="BV98" i="39" s="1"/>
  <c r="AH60" i="60"/>
  <c r="BU98" i="39" s="1"/>
  <c r="AH59" i="60"/>
  <c r="BT98" i="39" s="1"/>
  <c r="X67" i="60"/>
  <c r="X66" i="60"/>
  <c r="X65" i="60"/>
  <c r="X64" i="60"/>
  <c r="X63" i="60"/>
  <c r="X62" i="60"/>
  <c r="X61" i="60"/>
  <c r="X60" i="60"/>
  <c r="X59" i="60"/>
  <c r="S67" i="60"/>
  <c r="S66" i="60"/>
  <c r="S65" i="60"/>
  <c r="S64" i="60"/>
  <c r="S63" i="60"/>
  <c r="S62" i="60"/>
  <c r="S61" i="60"/>
  <c r="S60" i="60"/>
  <c r="S59" i="60"/>
  <c r="N67" i="60"/>
  <c r="N66" i="60"/>
  <c r="N65" i="60"/>
  <c r="N64" i="60"/>
  <c r="N63" i="60"/>
  <c r="N62" i="60"/>
  <c r="N61" i="60"/>
  <c r="N60" i="60"/>
  <c r="N59" i="60"/>
  <c r="I67" i="60"/>
  <c r="I66" i="60"/>
  <c r="I65" i="60"/>
  <c r="I64" i="60"/>
  <c r="I63" i="60"/>
  <c r="I62" i="60"/>
  <c r="I61" i="60"/>
  <c r="I60" i="60"/>
  <c r="I59" i="60"/>
  <c r="AH56" i="60"/>
  <c r="AC44" i="60"/>
  <c r="AC56" i="60" s="1"/>
  <c r="AC43" i="60"/>
  <c r="AC55" i="60" s="1"/>
  <c r="AC42" i="60"/>
  <c r="AC54" i="60" s="1"/>
  <c r="AC41" i="60"/>
  <c r="AC53" i="60" s="1"/>
  <c r="AC40" i="60"/>
  <c r="AC52" i="60" s="1"/>
  <c r="AC39" i="60"/>
  <c r="AC51" i="60" s="1"/>
  <c r="AC38" i="60"/>
  <c r="AC50" i="60" s="1"/>
  <c r="AC37" i="60"/>
  <c r="AC49" i="60" s="1"/>
  <c r="AC36" i="60"/>
  <c r="AC48" i="60" s="1"/>
  <c r="AC47" i="60"/>
  <c r="X44" i="60"/>
  <c r="X56" i="60" s="1"/>
  <c r="X43" i="60"/>
  <c r="X55" i="60" s="1"/>
  <c r="X42" i="60"/>
  <c r="X54" i="60" s="1"/>
  <c r="X41" i="60"/>
  <c r="X53" i="60" s="1"/>
  <c r="X40" i="60"/>
  <c r="X52" i="60" s="1"/>
  <c r="X39" i="60"/>
  <c r="X51" i="60" s="1"/>
  <c r="X38" i="60"/>
  <c r="X50" i="60" s="1"/>
  <c r="X37" i="60"/>
  <c r="X49" i="60" s="1"/>
  <c r="X36" i="60"/>
  <c r="X48" i="60" s="1"/>
  <c r="X35" i="60"/>
  <c r="X47" i="60" s="1"/>
  <c r="S44" i="60"/>
  <c r="S56" i="60" s="1"/>
  <c r="S43" i="60"/>
  <c r="S55" i="60" s="1"/>
  <c r="S42" i="60"/>
  <c r="S54" i="60" s="1"/>
  <c r="S41" i="60"/>
  <c r="S53" i="60" s="1"/>
  <c r="S40" i="60"/>
  <c r="S52" i="60" s="1"/>
  <c r="S39" i="60"/>
  <c r="S51" i="60" s="1"/>
  <c r="S38" i="60"/>
  <c r="S50" i="60" s="1"/>
  <c r="S37" i="60"/>
  <c r="S49" i="60" s="1"/>
  <c r="S36" i="60"/>
  <c r="S48" i="60" s="1"/>
  <c r="S35" i="60"/>
  <c r="S47" i="60" s="1"/>
  <c r="AH43" i="60"/>
  <c r="AH55" i="60" s="1"/>
  <c r="AH42" i="60"/>
  <c r="AH54" i="60" s="1"/>
  <c r="AH41" i="60"/>
  <c r="AH53" i="60" s="1"/>
  <c r="AH40" i="60"/>
  <c r="AH52" i="60" s="1"/>
  <c r="AH39" i="60"/>
  <c r="AH51" i="60" s="1"/>
  <c r="AH38" i="60"/>
  <c r="AH50" i="60" s="1"/>
  <c r="AH37" i="60"/>
  <c r="AH49" i="60" s="1"/>
  <c r="AH36" i="60"/>
  <c r="AH48" i="60" s="1"/>
  <c r="AH47" i="60"/>
  <c r="N43" i="60"/>
  <c r="N42" i="60"/>
  <c r="N41" i="60"/>
  <c r="N40" i="60"/>
  <c r="N39" i="60"/>
  <c r="N38" i="60"/>
  <c r="N37" i="60"/>
  <c r="N36" i="60"/>
  <c r="N35" i="60"/>
  <c r="I43" i="60"/>
  <c r="I42" i="60"/>
  <c r="I41" i="60"/>
  <c r="I40" i="60"/>
  <c r="I39" i="60"/>
  <c r="I38" i="60"/>
  <c r="I37" i="60"/>
  <c r="I36" i="60"/>
  <c r="I35" i="60"/>
  <c r="N31" i="60"/>
  <c r="N30" i="60"/>
  <c r="N29" i="60"/>
  <c r="N28" i="60"/>
  <c r="N27" i="60"/>
  <c r="N26" i="60"/>
  <c r="N25" i="60"/>
  <c r="N24" i="60"/>
  <c r="N23" i="60"/>
  <c r="I31" i="60"/>
  <c r="I30" i="60"/>
  <c r="I29" i="60"/>
  <c r="I28" i="60"/>
  <c r="I27" i="60"/>
  <c r="I26" i="60"/>
  <c r="I25" i="60"/>
  <c r="I24" i="60"/>
  <c r="I23" i="60"/>
  <c r="AH20" i="60"/>
  <c r="AM80" i="60" s="1"/>
  <c r="AH19" i="60"/>
  <c r="AM79" i="60" s="1"/>
  <c r="AH18" i="60"/>
  <c r="AM78" i="60" s="1"/>
  <c r="AH17" i="60"/>
  <c r="AM77" i="60" s="1"/>
  <c r="AH16" i="60"/>
  <c r="AM76" i="60" s="1"/>
  <c r="AH15" i="60"/>
  <c r="AM75" i="60" s="1"/>
  <c r="AH14" i="60"/>
  <c r="AM74" i="60" s="1"/>
  <c r="AH13" i="60"/>
  <c r="AH12" i="60"/>
  <c r="AH11" i="60"/>
  <c r="AC20" i="60"/>
  <c r="AC19" i="60"/>
  <c r="AC18" i="60"/>
  <c r="AC17" i="60"/>
  <c r="AC16" i="60"/>
  <c r="AC15" i="60"/>
  <c r="AC14" i="60"/>
  <c r="AC13" i="60"/>
  <c r="AC12" i="60"/>
  <c r="AC11" i="60"/>
  <c r="X20" i="60"/>
  <c r="X19" i="60"/>
  <c r="X18" i="60"/>
  <c r="X17" i="60"/>
  <c r="X16" i="60"/>
  <c r="X15" i="60"/>
  <c r="X14" i="60"/>
  <c r="X13" i="60"/>
  <c r="X12" i="60"/>
  <c r="X11" i="60"/>
  <c r="S20" i="60"/>
  <c r="S19" i="60"/>
  <c r="S18" i="60"/>
  <c r="S17" i="60"/>
  <c r="S16" i="60"/>
  <c r="S15" i="60"/>
  <c r="S14" i="60"/>
  <c r="S13" i="60"/>
  <c r="S12" i="60"/>
  <c r="S11" i="60"/>
  <c r="N19" i="60"/>
  <c r="N18" i="60"/>
  <c r="N17" i="60"/>
  <c r="N16" i="60"/>
  <c r="N15" i="60"/>
  <c r="N14" i="60"/>
  <c r="N13" i="60"/>
  <c r="N12" i="60"/>
  <c r="N11" i="60"/>
  <c r="I16" i="60"/>
  <c r="I15" i="60"/>
  <c r="I14" i="60"/>
  <c r="I13" i="60"/>
  <c r="I12" i="60"/>
  <c r="I11" i="60"/>
  <c r="E255" i="51"/>
  <c r="BI255" i="51" s="1"/>
  <c r="BI258" i="51" s="1"/>
  <c r="E254" i="51"/>
  <c r="BD254" i="51" s="1"/>
  <c r="BD258" i="51" s="1"/>
  <c r="E253" i="51"/>
  <c r="AY253" i="51" s="1"/>
  <c r="AY258" i="51" s="1"/>
  <c r="DG255" i="51"/>
  <c r="DF255" i="51"/>
  <c r="DE255" i="51"/>
  <c r="DD255" i="51"/>
  <c r="DB255" i="51"/>
  <c r="DA255" i="51"/>
  <c r="CZ255" i="51"/>
  <c r="CY255" i="51"/>
  <c r="CW255" i="51"/>
  <c r="CV255" i="51"/>
  <c r="CU255" i="51"/>
  <c r="CT255" i="51"/>
  <c r="CR255" i="51"/>
  <c r="CQ255" i="51"/>
  <c r="CP255" i="51"/>
  <c r="CO255" i="51"/>
  <c r="CM255" i="51"/>
  <c r="CL255" i="51"/>
  <c r="CK255" i="51"/>
  <c r="CJ255" i="51"/>
  <c r="CH255" i="51"/>
  <c r="CG255" i="51"/>
  <c r="CF255" i="51"/>
  <c r="CE255" i="51"/>
  <c r="CC255" i="51"/>
  <c r="CB255" i="51"/>
  <c r="CA255" i="51"/>
  <c r="BZ255" i="51"/>
  <c r="BX255" i="51"/>
  <c r="BW255" i="51"/>
  <c r="BV255" i="51"/>
  <c r="BU255" i="51"/>
  <c r="BT255" i="51"/>
  <c r="BY255" i="51" s="1"/>
  <c r="CD255" i="51" s="1"/>
  <c r="CI255" i="51" s="1"/>
  <c r="CN255" i="51" s="1"/>
  <c r="CS255" i="51" s="1"/>
  <c r="CX255" i="51" s="1"/>
  <c r="DC255" i="51" s="1"/>
  <c r="DH255" i="51" s="1"/>
  <c r="BS255" i="51"/>
  <c r="BR255" i="51"/>
  <c r="BQ255" i="51"/>
  <c r="BP255" i="51"/>
  <c r="DB254" i="51"/>
  <c r="DA254" i="51"/>
  <c r="CZ254" i="51"/>
  <c r="CY254" i="51"/>
  <c r="CW254" i="51"/>
  <c r="CV254" i="51"/>
  <c r="CU254" i="51"/>
  <c r="CT254" i="51"/>
  <c r="CR254" i="51"/>
  <c r="CQ254" i="51"/>
  <c r="CP254" i="51"/>
  <c r="CO254" i="51"/>
  <c r="CM254" i="51"/>
  <c r="CL254" i="51"/>
  <c r="CK254" i="51"/>
  <c r="CJ254" i="51"/>
  <c r="CH254" i="51"/>
  <c r="CG254" i="51"/>
  <c r="CF254" i="51"/>
  <c r="CE254" i="51"/>
  <c r="CC254" i="51"/>
  <c r="CB254" i="51"/>
  <c r="CA254" i="51"/>
  <c r="BZ254" i="51"/>
  <c r="BX254" i="51"/>
  <c r="BW254" i="51"/>
  <c r="BV254" i="51"/>
  <c r="BU254" i="51"/>
  <c r="BT254" i="51"/>
  <c r="BY254" i="51" s="1"/>
  <c r="CD254" i="51" s="1"/>
  <c r="CI254" i="51" s="1"/>
  <c r="CN254" i="51" s="1"/>
  <c r="CS254" i="51" s="1"/>
  <c r="CX254" i="51" s="1"/>
  <c r="DC254" i="51" s="1"/>
  <c r="BS254" i="51"/>
  <c r="BR254" i="51"/>
  <c r="BQ254" i="51"/>
  <c r="BP254" i="51"/>
  <c r="DL253" i="51"/>
  <c r="DK253" i="51"/>
  <c r="DJ253" i="51"/>
  <c r="DI253" i="51"/>
  <c r="CW253" i="51"/>
  <c r="CV253" i="51"/>
  <c r="CU253" i="51"/>
  <c r="CT253" i="51"/>
  <c r="CR253" i="51"/>
  <c r="CQ253" i="51"/>
  <c r="CP253" i="51"/>
  <c r="CO253" i="51"/>
  <c r="CM253" i="51"/>
  <c r="CL253" i="51"/>
  <c r="CK253" i="51"/>
  <c r="CJ253" i="51"/>
  <c r="CH253" i="51"/>
  <c r="CG253" i="51"/>
  <c r="CF253" i="51"/>
  <c r="CE253" i="51"/>
  <c r="CC253" i="51"/>
  <c r="CB253" i="51"/>
  <c r="CA253" i="51"/>
  <c r="BZ253" i="51"/>
  <c r="BX253" i="51"/>
  <c r="BW253" i="51"/>
  <c r="BV253" i="51"/>
  <c r="BU253" i="51"/>
  <c r="BT253" i="51"/>
  <c r="BY253" i="51" s="1"/>
  <c r="CD253" i="51" s="1"/>
  <c r="CI253" i="51" s="1"/>
  <c r="CN253" i="51" s="1"/>
  <c r="CS253" i="51" s="1"/>
  <c r="CX253" i="51" s="1"/>
  <c r="BS253" i="51"/>
  <c r="BR253" i="51"/>
  <c r="BQ253" i="51"/>
  <c r="BP253" i="51"/>
  <c r="DL239" i="51"/>
  <c r="DK239" i="51"/>
  <c r="DJ239" i="51"/>
  <c r="DI239" i="51"/>
  <c r="DG239" i="51"/>
  <c r="DF239" i="51"/>
  <c r="DE239" i="51"/>
  <c r="DD239" i="51"/>
  <c r="DB239" i="51"/>
  <c r="DA239" i="51"/>
  <c r="CZ239" i="51"/>
  <c r="CY239" i="51"/>
  <c r="CW239" i="51"/>
  <c r="CV239" i="51"/>
  <c r="CU239" i="51"/>
  <c r="CT239" i="51"/>
  <c r="CR239" i="51"/>
  <c r="CQ239" i="51"/>
  <c r="CP239" i="51"/>
  <c r="CO239" i="51"/>
  <c r="CM239" i="51"/>
  <c r="CL239" i="51"/>
  <c r="CK239" i="51"/>
  <c r="CJ239" i="51"/>
  <c r="CH239" i="51"/>
  <c r="CG239" i="51"/>
  <c r="CF239" i="51"/>
  <c r="CE239" i="51"/>
  <c r="CC239" i="51"/>
  <c r="CB239" i="51"/>
  <c r="CA239" i="51"/>
  <c r="BZ239" i="51"/>
  <c r="BX239" i="51"/>
  <c r="BW239" i="51"/>
  <c r="BV239" i="51"/>
  <c r="BU239" i="51"/>
  <c r="BT239" i="51"/>
  <c r="BY239" i="51" s="1"/>
  <c r="CD239" i="51" s="1"/>
  <c r="CI239" i="51" s="1"/>
  <c r="CN239" i="51" s="1"/>
  <c r="CS239" i="51" s="1"/>
  <c r="CX239" i="51" s="1"/>
  <c r="DC239" i="51" s="1"/>
  <c r="DH239" i="51" s="1"/>
  <c r="DM239" i="51" s="1"/>
  <c r="DR239" i="51" s="1"/>
  <c r="BS239" i="51"/>
  <c r="BR239" i="51"/>
  <c r="BQ239" i="51"/>
  <c r="BP239" i="51"/>
  <c r="DL242" i="51"/>
  <c r="DK242" i="51"/>
  <c r="DJ242" i="51"/>
  <c r="DI242" i="51"/>
  <c r="DG242" i="51"/>
  <c r="DF242" i="51"/>
  <c r="DE242" i="51"/>
  <c r="DD242" i="51"/>
  <c r="DB242" i="51"/>
  <c r="DA242" i="51"/>
  <c r="CZ242" i="51"/>
  <c r="CY242" i="51"/>
  <c r="CW242" i="51"/>
  <c r="CV242" i="51"/>
  <c r="CU242" i="51"/>
  <c r="CT242" i="51"/>
  <c r="CR242" i="51"/>
  <c r="CQ242" i="51"/>
  <c r="CP242" i="51"/>
  <c r="CO242" i="51"/>
  <c r="CM242" i="51"/>
  <c r="CL242" i="51"/>
  <c r="CK242" i="51"/>
  <c r="CJ242" i="51"/>
  <c r="CH242" i="51"/>
  <c r="CG242" i="51"/>
  <c r="CF242" i="51"/>
  <c r="CE242" i="51"/>
  <c r="CC242" i="51"/>
  <c r="CB242" i="51"/>
  <c r="CA242" i="51"/>
  <c r="BZ242" i="51"/>
  <c r="BX242" i="51"/>
  <c r="BW242" i="51"/>
  <c r="BV242" i="51"/>
  <c r="BU242" i="51"/>
  <c r="BT242" i="51"/>
  <c r="BY242" i="51" s="1"/>
  <c r="CD242" i="51" s="1"/>
  <c r="CI242" i="51" s="1"/>
  <c r="CN242" i="51" s="1"/>
  <c r="CS242" i="51" s="1"/>
  <c r="CX242" i="51" s="1"/>
  <c r="DC242" i="51" s="1"/>
  <c r="DH242" i="51" s="1"/>
  <c r="DM242" i="51" s="1"/>
  <c r="DR242" i="51" s="1"/>
  <c r="BS242" i="51"/>
  <c r="BR242" i="51"/>
  <c r="BQ242" i="51"/>
  <c r="BP242" i="51"/>
  <c r="DL241" i="51"/>
  <c r="DK241" i="51"/>
  <c r="DJ241" i="51"/>
  <c r="DI241" i="51"/>
  <c r="DG241" i="51"/>
  <c r="DF241" i="51"/>
  <c r="DE241" i="51"/>
  <c r="DD241" i="51"/>
  <c r="DB241" i="51"/>
  <c r="DA241" i="51"/>
  <c r="CZ241" i="51"/>
  <c r="CY241" i="51"/>
  <c r="CW241" i="51"/>
  <c r="CV241" i="51"/>
  <c r="CU241" i="51"/>
  <c r="CT241" i="51"/>
  <c r="CR241" i="51"/>
  <c r="CQ241" i="51"/>
  <c r="CP241" i="51"/>
  <c r="CO241" i="51"/>
  <c r="CM241" i="51"/>
  <c r="CL241" i="51"/>
  <c r="CK241" i="51"/>
  <c r="CJ241" i="51"/>
  <c r="CH241" i="51"/>
  <c r="CG241" i="51"/>
  <c r="CF241" i="51"/>
  <c r="CE241" i="51"/>
  <c r="CC241" i="51"/>
  <c r="CB241" i="51"/>
  <c r="CA241" i="51"/>
  <c r="BZ241" i="51"/>
  <c r="BX241" i="51"/>
  <c r="BW241" i="51"/>
  <c r="BV241" i="51"/>
  <c r="BU241" i="51"/>
  <c r="BT241" i="51"/>
  <c r="BY241" i="51" s="1"/>
  <c r="CD241" i="51" s="1"/>
  <c r="CI241" i="51" s="1"/>
  <c r="CN241" i="51" s="1"/>
  <c r="CS241" i="51" s="1"/>
  <c r="CX241" i="51" s="1"/>
  <c r="DC241" i="51" s="1"/>
  <c r="DH241" i="51" s="1"/>
  <c r="DM241" i="51" s="1"/>
  <c r="DR241" i="51" s="1"/>
  <c r="BS241" i="51"/>
  <c r="BR241" i="51"/>
  <c r="BQ241" i="51"/>
  <c r="BP241" i="51"/>
  <c r="DL240" i="51"/>
  <c r="DK240" i="51"/>
  <c r="DJ240" i="51"/>
  <c r="DI240" i="51"/>
  <c r="DG240" i="51"/>
  <c r="DF240" i="51"/>
  <c r="DE240" i="51"/>
  <c r="DD240" i="51"/>
  <c r="DB240" i="51"/>
  <c r="DA240" i="51"/>
  <c r="CZ240" i="51"/>
  <c r="CY240" i="51"/>
  <c r="CW240" i="51"/>
  <c r="CV240" i="51"/>
  <c r="CU240" i="51"/>
  <c r="CT240" i="51"/>
  <c r="CR240" i="51"/>
  <c r="CQ240" i="51"/>
  <c r="CP240" i="51"/>
  <c r="CO240" i="51"/>
  <c r="CM240" i="51"/>
  <c r="CL240" i="51"/>
  <c r="CK240" i="51"/>
  <c r="CJ240" i="51"/>
  <c r="CH240" i="51"/>
  <c r="CG240" i="51"/>
  <c r="CF240" i="51"/>
  <c r="CE240" i="51"/>
  <c r="CC240" i="51"/>
  <c r="CB240" i="51"/>
  <c r="CA240" i="51"/>
  <c r="BZ240" i="51"/>
  <c r="BX240" i="51"/>
  <c r="BW240" i="51"/>
  <c r="BV240" i="51"/>
  <c r="BU240" i="51"/>
  <c r="BT240" i="51"/>
  <c r="BY240" i="51" s="1"/>
  <c r="CD240" i="51" s="1"/>
  <c r="CI240" i="51" s="1"/>
  <c r="CN240" i="51" s="1"/>
  <c r="CS240" i="51" s="1"/>
  <c r="CX240" i="51" s="1"/>
  <c r="DC240" i="51" s="1"/>
  <c r="DH240" i="51" s="1"/>
  <c r="DM240" i="51" s="1"/>
  <c r="DR240" i="51" s="1"/>
  <c r="BS240" i="51"/>
  <c r="BR240" i="51"/>
  <c r="BQ240" i="51"/>
  <c r="BP240" i="51"/>
  <c r="DL237" i="51"/>
  <c r="DK237" i="51"/>
  <c r="DJ237" i="51"/>
  <c r="DI237" i="51"/>
  <c r="DG237" i="51"/>
  <c r="DF237" i="51"/>
  <c r="DE237" i="51"/>
  <c r="DD237" i="51"/>
  <c r="DB237" i="51"/>
  <c r="DA237" i="51"/>
  <c r="CZ237" i="51"/>
  <c r="CY237" i="51"/>
  <c r="CM237" i="51"/>
  <c r="CL237" i="51"/>
  <c r="CK237" i="51"/>
  <c r="CJ237" i="51"/>
  <c r="CH237" i="51"/>
  <c r="CG237" i="51"/>
  <c r="CF237" i="51"/>
  <c r="CE237" i="51"/>
  <c r="CC237" i="51"/>
  <c r="CB237" i="51"/>
  <c r="CA237" i="51"/>
  <c r="BZ237" i="51"/>
  <c r="BX237" i="51"/>
  <c r="BW237" i="51"/>
  <c r="BV237" i="51"/>
  <c r="BU237" i="51"/>
  <c r="BT237" i="51"/>
  <c r="BY237" i="51" s="1"/>
  <c r="CD237" i="51" s="1"/>
  <c r="CI237" i="51" s="1"/>
  <c r="CN237" i="51" s="1"/>
  <c r="CS237" i="51" s="1"/>
  <c r="BS237" i="51"/>
  <c r="BR237" i="51"/>
  <c r="BQ237" i="51"/>
  <c r="BP237" i="51"/>
  <c r="DL236" i="51"/>
  <c r="DK236" i="51"/>
  <c r="DJ236" i="51"/>
  <c r="DI236" i="51"/>
  <c r="DG236" i="51"/>
  <c r="DF236" i="51"/>
  <c r="DE236" i="51"/>
  <c r="DD236" i="51"/>
  <c r="DB236" i="51"/>
  <c r="DA236" i="51"/>
  <c r="CZ236" i="51"/>
  <c r="CY236" i="51"/>
  <c r="CW236" i="51"/>
  <c r="CV236" i="51"/>
  <c r="CU236" i="51"/>
  <c r="CT236" i="51"/>
  <c r="CR236" i="51"/>
  <c r="CQ236" i="51"/>
  <c r="CP236" i="51"/>
  <c r="CO236" i="51"/>
  <c r="CM236" i="51"/>
  <c r="CL236" i="51"/>
  <c r="CK236" i="51"/>
  <c r="CJ236" i="51"/>
  <c r="CH236" i="51"/>
  <c r="CG236" i="51"/>
  <c r="CF236" i="51"/>
  <c r="CE236" i="51"/>
  <c r="CC236" i="51"/>
  <c r="CB236" i="51"/>
  <c r="CA236" i="51"/>
  <c r="BZ236" i="51"/>
  <c r="BX236" i="51"/>
  <c r="BW236" i="51"/>
  <c r="BV236" i="51"/>
  <c r="BU236" i="51"/>
  <c r="BT236" i="51"/>
  <c r="BY236" i="51" s="1"/>
  <c r="CD236" i="51" s="1"/>
  <c r="CI236" i="51" s="1"/>
  <c r="CN236" i="51" s="1"/>
  <c r="CS236" i="51" s="1"/>
  <c r="CX236" i="51" s="1"/>
  <c r="DC236" i="51" s="1"/>
  <c r="DH236" i="51" s="1"/>
  <c r="DM236" i="51" s="1"/>
  <c r="DR236" i="51" s="1"/>
  <c r="BS236" i="51"/>
  <c r="BR236" i="51"/>
  <c r="BQ236" i="51"/>
  <c r="BP236" i="51"/>
  <c r="DL235" i="51"/>
  <c r="DK235" i="51"/>
  <c r="DJ235" i="51"/>
  <c r="DI235" i="51"/>
  <c r="DG235" i="51"/>
  <c r="DF235" i="51"/>
  <c r="DE235" i="51"/>
  <c r="DD235" i="51"/>
  <c r="DB235" i="51"/>
  <c r="DA235" i="51"/>
  <c r="CZ235" i="51"/>
  <c r="CY235" i="51"/>
  <c r="CW235" i="51"/>
  <c r="CV235" i="51"/>
  <c r="CU235" i="51"/>
  <c r="CT235" i="51"/>
  <c r="CR235" i="51"/>
  <c r="CQ235" i="51"/>
  <c r="CP235" i="51"/>
  <c r="CO235" i="51"/>
  <c r="CM235" i="51"/>
  <c r="CL235" i="51"/>
  <c r="CK235" i="51"/>
  <c r="CJ235" i="51"/>
  <c r="CH235" i="51"/>
  <c r="CG235" i="51"/>
  <c r="CF235" i="51"/>
  <c r="CE235" i="51"/>
  <c r="CC235" i="51"/>
  <c r="CB235" i="51"/>
  <c r="CA235" i="51"/>
  <c r="BZ235" i="51"/>
  <c r="BX235" i="51"/>
  <c r="BW235" i="51"/>
  <c r="BV235" i="51"/>
  <c r="BU235" i="51"/>
  <c r="BT235" i="51"/>
  <c r="BY235" i="51" s="1"/>
  <c r="CD235" i="51" s="1"/>
  <c r="CI235" i="51" s="1"/>
  <c r="CN235" i="51" s="1"/>
  <c r="CS235" i="51" s="1"/>
  <c r="CX235" i="51" s="1"/>
  <c r="DC235" i="51" s="1"/>
  <c r="DH235" i="51" s="1"/>
  <c r="DM235" i="51" s="1"/>
  <c r="DR235" i="51" s="1"/>
  <c r="BS235" i="51"/>
  <c r="BR235" i="51"/>
  <c r="BQ235" i="51"/>
  <c r="BP235" i="51"/>
  <c r="DL234" i="51"/>
  <c r="DK234" i="51"/>
  <c r="DJ234" i="51"/>
  <c r="DI234" i="51"/>
  <c r="DG234" i="51"/>
  <c r="DF234" i="51"/>
  <c r="DE234" i="51"/>
  <c r="DD234" i="51"/>
  <c r="DB234" i="51"/>
  <c r="DA234" i="51"/>
  <c r="CZ234" i="51"/>
  <c r="CY234" i="51"/>
  <c r="CW234" i="51"/>
  <c r="CV234" i="51"/>
  <c r="CU234" i="51"/>
  <c r="CT234" i="51"/>
  <c r="CR234" i="51"/>
  <c r="CQ234" i="51"/>
  <c r="CP234" i="51"/>
  <c r="CO234" i="51"/>
  <c r="CM234" i="51"/>
  <c r="CL234" i="51"/>
  <c r="CK234" i="51"/>
  <c r="CJ234" i="51"/>
  <c r="CH234" i="51"/>
  <c r="CG234" i="51"/>
  <c r="CF234" i="51"/>
  <c r="CE234" i="51"/>
  <c r="CC234" i="51"/>
  <c r="CB234" i="51"/>
  <c r="CA234" i="51"/>
  <c r="BZ234" i="51"/>
  <c r="BX234" i="51"/>
  <c r="BW234" i="51"/>
  <c r="BV234" i="51"/>
  <c r="BU234" i="51"/>
  <c r="BT234" i="51"/>
  <c r="BY234" i="51" s="1"/>
  <c r="CD234" i="51" s="1"/>
  <c r="CI234" i="51" s="1"/>
  <c r="CN234" i="51" s="1"/>
  <c r="CS234" i="51" s="1"/>
  <c r="CX234" i="51" s="1"/>
  <c r="DC234" i="51" s="1"/>
  <c r="DH234" i="51" s="1"/>
  <c r="DM234" i="51" s="1"/>
  <c r="DR234" i="51" s="1"/>
  <c r="BS234" i="51"/>
  <c r="BR234" i="51"/>
  <c r="BQ234" i="51"/>
  <c r="BP234" i="51"/>
  <c r="DL227" i="51"/>
  <c r="DK227" i="51"/>
  <c r="DJ227" i="51"/>
  <c r="DI227" i="51"/>
  <c r="DG227" i="51"/>
  <c r="DF227" i="51"/>
  <c r="DE227" i="51"/>
  <c r="DD227" i="51"/>
  <c r="DB227" i="51"/>
  <c r="DA227" i="51"/>
  <c r="CZ227" i="51"/>
  <c r="CY227" i="51"/>
  <c r="CW227" i="51"/>
  <c r="CV227" i="51"/>
  <c r="CU227" i="51"/>
  <c r="CT227" i="51"/>
  <c r="CR227" i="51"/>
  <c r="CQ227" i="51"/>
  <c r="CP227" i="51"/>
  <c r="CO227" i="51"/>
  <c r="CM227" i="51"/>
  <c r="CL227" i="51"/>
  <c r="CK227" i="51"/>
  <c r="CJ227" i="51"/>
  <c r="CH227" i="51"/>
  <c r="CG227" i="51"/>
  <c r="CF227" i="51"/>
  <c r="CE227" i="51"/>
  <c r="CC227" i="51"/>
  <c r="CB227" i="51"/>
  <c r="CA227" i="51"/>
  <c r="BZ227" i="51"/>
  <c r="BX227" i="51"/>
  <c r="BW227" i="51"/>
  <c r="BV227" i="51"/>
  <c r="BU227" i="51"/>
  <c r="BT227" i="51"/>
  <c r="BY227" i="51" s="1"/>
  <c r="CD227" i="51" s="1"/>
  <c r="CI227" i="51" s="1"/>
  <c r="CN227" i="51" s="1"/>
  <c r="CS227" i="51" s="1"/>
  <c r="CX227" i="51" s="1"/>
  <c r="DC227" i="51" s="1"/>
  <c r="DH227" i="51" s="1"/>
  <c r="DM227" i="51" s="1"/>
  <c r="DR227" i="51" s="1"/>
  <c r="BS227" i="51"/>
  <c r="BR227" i="51"/>
  <c r="BQ227" i="51"/>
  <c r="BP227" i="51"/>
  <c r="DL226" i="51"/>
  <c r="DK226" i="51"/>
  <c r="DJ226" i="51"/>
  <c r="DI226" i="51"/>
  <c r="DG226" i="51"/>
  <c r="DF226" i="51"/>
  <c r="DE226" i="51"/>
  <c r="DD226" i="51"/>
  <c r="DB226" i="51"/>
  <c r="DA226" i="51"/>
  <c r="CZ226" i="51"/>
  <c r="CY226" i="51"/>
  <c r="CW226" i="51"/>
  <c r="CV226" i="51"/>
  <c r="CU226" i="51"/>
  <c r="CT226" i="51"/>
  <c r="CR226" i="51"/>
  <c r="CQ226" i="51"/>
  <c r="CP226" i="51"/>
  <c r="CO226" i="51"/>
  <c r="CM226" i="51"/>
  <c r="CL226" i="51"/>
  <c r="CK226" i="51"/>
  <c r="CJ226" i="51"/>
  <c r="CH226" i="51"/>
  <c r="CG226" i="51"/>
  <c r="CF226" i="51"/>
  <c r="CE226" i="51"/>
  <c r="CC226" i="51"/>
  <c r="CB226" i="51"/>
  <c r="CA226" i="51"/>
  <c r="BZ226" i="51"/>
  <c r="BX226" i="51"/>
  <c r="BW226" i="51"/>
  <c r="BV226" i="51"/>
  <c r="BU226" i="51"/>
  <c r="BT226" i="51"/>
  <c r="BY226" i="51" s="1"/>
  <c r="CD226" i="51" s="1"/>
  <c r="CI226" i="51" s="1"/>
  <c r="CN226" i="51" s="1"/>
  <c r="CS226" i="51" s="1"/>
  <c r="CX226" i="51" s="1"/>
  <c r="DC226" i="51" s="1"/>
  <c r="DH226" i="51" s="1"/>
  <c r="DM226" i="51" s="1"/>
  <c r="DR226" i="51" s="1"/>
  <c r="BS226" i="51"/>
  <c r="BR226" i="51"/>
  <c r="BQ226" i="51"/>
  <c r="BP226" i="51"/>
  <c r="DL231" i="51"/>
  <c r="DK231" i="51"/>
  <c r="DJ231" i="51"/>
  <c r="DI231" i="51"/>
  <c r="DG231" i="51"/>
  <c r="DF231" i="51"/>
  <c r="DE231" i="51"/>
  <c r="DD231" i="51"/>
  <c r="DB231" i="51"/>
  <c r="DA231" i="51"/>
  <c r="CZ231" i="51"/>
  <c r="CY231" i="51"/>
  <c r="CW231" i="51"/>
  <c r="CV231" i="51"/>
  <c r="CU231" i="51"/>
  <c r="CT231" i="51"/>
  <c r="CR231" i="51"/>
  <c r="CQ231" i="51"/>
  <c r="CP231" i="51"/>
  <c r="CO231" i="51"/>
  <c r="CM231" i="51"/>
  <c r="CL231" i="51"/>
  <c r="CK231" i="51"/>
  <c r="CJ231" i="51"/>
  <c r="CH231" i="51"/>
  <c r="CG231" i="51"/>
  <c r="CF231" i="51"/>
  <c r="CE231" i="51"/>
  <c r="CC231" i="51"/>
  <c r="CB231" i="51"/>
  <c r="CA231" i="51"/>
  <c r="BZ231" i="51"/>
  <c r="BX231" i="51"/>
  <c r="BW231" i="51"/>
  <c r="BV231" i="51"/>
  <c r="BU231" i="51"/>
  <c r="BT231" i="51"/>
  <c r="BY231" i="51" s="1"/>
  <c r="CD231" i="51" s="1"/>
  <c r="CI231" i="51" s="1"/>
  <c r="CN231" i="51" s="1"/>
  <c r="CS231" i="51" s="1"/>
  <c r="CX231" i="51" s="1"/>
  <c r="DC231" i="51" s="1"/>
  <c r="DH231" i="51" s="1"/>
  <c r="DM231" i="51" s="1"/>
  <c r="DR231" i="51" s="1"/>
  <c r="BS231" i="51"/>
  <c r="BR231" i="51"/>
  <c r="BQ231" i="51"/>
  <c r="BP231" i="51"/>
  <c r="DL225" i="51"/>
  <c r="DK225" i="51"/>
  <c r="DJ225" i="51"/>
  <c r="DI225" i="51"/>
  <c r="DG225" i="51"/>
  <c r="DF225" i="51"/>
  <c r="DE225" i="51"/>
  <c r="DD225" i="51"/>
  <c r="CR225" i="51"/>
  <c r="CQ225" i="51"/>
  <c r="CP225" i="51"/>
  <c r="CO225" i="51"/>
  <c r="CM225" i="51"/>
  <c r="CL225" i="51"/>
  <c r="CK225" i="51"/>
  <c r="CJ225" i="51"/>
  <c r="CH225" i="51"/>
  <c r="CG225" i="51"/>
  <c r="CF225" i="51"/>
  <c r="CE225" i="51"/>
  <c r="CC225" i="51"/>
  <c r="CB225" i="51"/>
  <c r="CA225" i="51"/>
  <c r="BZ225" i="51"/>
  <c r="BX225" i="51"/>
  <c r="BW225" i="51"/>
  <c r="BV225" i="51"/>
  <c r="BU225" i="51"/>
  <c r="BT225" i="51"/>
  <c r="BY225" i="51" s="1"/>
  <c r="CD225" i="51" s="1"/>
  <c r="CI225" i="51" s="1"/>
  <c r="CN225" i="51" s="1"/>
  <c r="CS225" i="51" s="1"/>
  <c r="BS225" i="51"/>
  <c r="BR225" i="51"/>
  <c r="BQ225" i="51"/>
  <c r="BP225" i="51"/>
  <c r="DL222" i="51"/>
  <c r="DK222" i="51"/>
  <c r="DJ222" i="51"/>
  <c r="DI222" i="51"/>
  <c r="DG222" i="51"/>
  <c r="DF222" i="51"/>
  <c r="DE222" i="51"/>
  <c r="DD222" i="51"/>
  <c r="DB222" i="51"/>
  <c r="DA222" i="51"/>
  <c r="CZ222" i="51"/>
  <c r="CY222" i="51"/>
  <c r="CW222" i="51"/>
  <c r="CV222" i="51"/>
  <c r="CU222" i="51"/>
  <c r="CT222" i="51"/>
  <c r="CR222" i="51"/>
  <c r="CQ222" i="51"/>
  <c r="CP222" i="51"/>
  <c r="CO222" i="51"/>
  <c r="CM222" i="51"/>
  <c r="CL222" i="51"/>
  <c r="CK222" i="51"/>
  <c r="CJ222" i="51"/>
  <c r="CH222" i="51"/>
  <c r="CG222" i="51"/>
  <c r="CF222" i="51"/>
  <c r="CE222" i="51"/>
  <c r="CC222" i="51"/>
  <c r="CB222" i="51"/>
  <c r="CA222" i="51"/>
  <c r="BZ222" i="51"/>
  <c r="BX222" i="51"/>
  <c r="BW222" i="51"/>
  <c r="BV222" i="51"/>
  <c r="BU222" i="51"/>
  <c r="BT222" i="51"/>
  <c r="BY222" i="51" s="1"/>
  <c r="CD222" i="51" s="1"/>
  <c r="CI222" i="51" s="1"/>
  <c r="CN222" i="51" s="1"/>
  <c r="CS222" i="51" s="1"/>
  <c r="CX222" i="51" s="1"/>
  <c r="DC222" i="51" s="1"/>
  <c r="DH222" i="51" s="1"/>
  <c r="DM222" i="51" s="1"/>
  <c r="DR222" i="51" s="1"/>
  <c r="BS222" i="51"/>
  <c r="BR222" i="51"/>
  <c r="BQ222" i="51"/>
  <c r="BP222" i="51"/>
  <c r="DL220" i="51"/>
  <c r="DK220" i="51"/>
  <c r="DJ220" i="51"/>
  <c r="DI220" i="51"/>
  <c r="DG220" i="51"/>
  <c r="DF220" i="51"/>
  <c r="DE220" i="51"/>
  <c r="DD220" i="51"/>
  <c r="DB220" i="51"/>
  <c r="DA220" i="51"/>
  <c r="CZ220" i="51"/>
  <c r="CY220" i="51"/>
  <c r="CW220" i="51"/>
  <c r="CV220" i="51"/>
  <c r="CU220" i="51"/>
  <c r="CT220" i="51"/>
  <c r="CR220" i="51"/>
  <c r="CQ220" i="51"/>
  <c r="CP220" i="51"/>
  <c r="CO220" i="51"/>
  <c r="CM220" i="51"/>
  <c r="CL220" i="51"/>
  <c r="CK220" i="51"/>
  <c r="CJ220" i="51"/>
  <c r="CH220" i="51"/>
  <c r="CG220" i="51"/>
  <c r="CF220" i="51"/>
  <c r="CE220" i="51"/>
  <c r="CC220" i="51"/>
  <c r="CB220" i="51"/>
  <c r="CA220" i="51"/>
  <c r="BZ220" i="51"/>
  <c r="BX220" i="51"/>
  <c r="BW220" i="51"/>
  <c r="BV220" i="51"/>
  <c r="BU220" i="51"/>
  <c r="BT220" i="51"/>
  <c r="BY220" i="51" s="1"/>
  <c r="CD220" i="51" s="1"/>
  <c r="CI220" i="51" s="1"/>
  <c r="CN220" i="51" s="1"/>
  <c r="CS220" i="51" s="1"/>
  <c r="CX220" i="51" s="1"/>
  <c r="DC220" i="51" s="1"/>
  <c r="DH220" i="51" s="1"/>
  <c r="DM220" i="51" s="1"/>
  <c r="DR220" i="51" s="1"/>
  <c r="BS220" i="51"/>
  <c r="BR220" i="51"/>
  <c r="BQ220" i="51"/>
  <c r="BP220" i="51"/>
  <c r="DL221" i="51"/>
  <c r="DK221" i="51"/>
  <c r="DJ221" i="51"/>
  <c r="DI221" i="51"/>
  <c r="DG221" i="51"/>
  <c r="DF221" i="51"/>
  <c r="DE221" i="51"/>
  <c r="DD221" i="51"/>
  <c r="DB221" i="51"/>
  <c r="DA221" i="51"/>
  <c r="CZ221" i="51"/>
  <c r="CY221" i="51"/>
  <c r="CW221" i="51"/>
  <c r="CV221" i="51"/>
  <c r="CU221" i="51"/>
  <c r="CT221" i="51"/>
  <c r="CR221" i="51"/>
  <c r="CQ221" i="51"/>
  <c r="CP221" i="51"/>
  <c r="CO221" i="51"/>
  <c r="CM221" i="51"/>
  <c r="CL221" i="51"/>
  <c r="CK221" i="51"/>
  <c r="CJ221" i="51"/>
  <c r="CH221" i="51"/>
  <c r="CG221" i="51"/>
  <c r="CF221" i="51"/>
  <c r="CE221" i="51"/>
  <c r="CC221" i="51"/>
  <c r="CB221" i="51"/>
  <c r="CA221" i="51"/>
  <c r="BZ221" i="51"/>
  <c r="BX221" i="51"/>
  <c r="BW221" i="51"/>
  <c r="BV221" i="51"/>
  <c r="BU221" i="51"/>
  <c r="BT221" i="51"/>
  <c r="BY221" i="51" s="1"/>
  <c r="CD221" i="51" s="1"/>
  <c r="CI221" i="51" s="1"/>
  <c r="CN221" i="51" s="1"/>
  <c r="CS221" i="51" s="1"/>
  <c r="CX221" i="51" s="1"/>
  <c r="DC221" i="51" s="1"/>
  <c r="DH221" i="51" s="1"/>
  <c r="DM221" i="51" s="1"/>
  <c r="DR221" i="51" s="1"/>
  <c r="BS221" i="51"/>
  <c r="BR221" i="51"/>
  <c r="BQ221" i="51"/>
  <c r="BP221" i="51"/>
  <c r="DB219" i="51"/>
  <c r="DA219" i="51"/>
  <c r="CZ219" i="51"/>
  <c r="CY219" i="51"/>
  <c r="CW219" i="51"/>
  <c r="CV219" i="51"/>
  <c r="CU219" i="51"/>
  <c r="CT219" i="51"/>
  <c r="CR219" i="51"/>
  <c r="CQ219" i="51"/>
  <c r="CP219" i="51"/>
  <c r="CO219" i="51"/>
  <c r="CM219" i="51"/>
  <c r="CL219" i="51"/>
  <c r="CK219" i="51"/>
  <c r="CJ219" i="51"/>
  <c r="CH219" i="51"/>
  <c r="CG219" i="51"/>
  <c r="CF219" i="51"/>
  <c r="CE219" i="51"/>
  <c r="CC219" i="51"/>
  <c r="CB219" i="51"/>
  <c r="CA219" i="51"/>
  <c r="BZ219" i="51"/>
  <c r="BX219" i="51"/>
  <c r="BW219" i="51"/>
  <c r="BV219" i="51"/>
  <c r="BU219" i="51"/>
  <c r="BT219" i="51"/>
  <c r="BY219" i="51" s="1"/>
  <c r="CD219" i="51" s="1"/>
  <c r="CI219" i="51" s="1"/>
  <c r="CN219" i="51" s="1"/>
  <c r="CS219" i="51" s="1"/>
  <c r="CX219" i="51" s="1"/>
  <c r="DC219" i="51" s="1"/>
  <c r="DH219" i="51" s="1"/>
  <c r="BS219" i="51"/>
  <c r="BR219" i="51"/>
  <c r="BQ219" i="51"/>
  <c r="BP219" i="51"/>
  <c r="DL214" i="51"/>
  <c r="DK214" i="51"/>
  <c r="DJ214" i="51"/>
  <c r="DI214" i="51"/>
  <c r="DG214" i="51"/>
  <c r="DF214" i="51"/>
  <c r="DE214" i="51"/>
  <c r="DD214" i="51"/>
  <c r="DB214" i="51"/>
  <c r="DA214" i="51"/>
  <c r="CZ214" i="51"/>
  <c r="CY214" i="51"/>
  <c r="CW214" i="51"/>
  <c r="CV214" i="51"/>
  <c r="CU214" i="51"/>
  <c r="CT214" i="51"/>
  <c r="CR214" i="51"/>
  <c r="CQ214" i="51"/>
  <c r="CP214" i="51"/>
  <c r="CO214" i="51"/>
  <c r="CM214" i="51"/>
  <c r="CL214" i="51"/>
  <c r="CK214" i="51"/>
  <c r="CJ214" i="51"/>
  <c r="CH214" i="51"/>
  <c r="CG214" i="51"/>
  <c r="CF214" i="51"/>
  <c r="CE214" i="51"/>
  <c r="CC214" i="51"/>
  <c r="CB214" i="51"/>
  <c r="CA214" i="51"/>
  <c r="BZ214" i="51"/>
  <c r="BX214" i="51"/>
  <c r="BW214" i="51"/>
  <c r="BV214" i="51"/>
  <c r="BU214" i="51"/>
  <c r="BT214" i="51"/>
  <c r="BY214" i="51" s="1"/>
  <c r="CD214" i="51" s="1"/>
  <c r="CI214" i="51" s="1"/>
  <c r="CN214" i="51" s="1"/>
  <c r="CS214" i="51" s="1"/>
  <c r="CX214" i="51" s="1"/>
  <c r="DC214" i="51" s="1"/>
  <c r="DH214" i="51" s="1"/>
  <c r="DM214" i="51" s="1"/>
  <c r="DR214" i="51" s="1"/>
  <c r="BS214" i="51"/>
  <c r="BR214" i="51"/>
  <c r="BQ214" i="51"/>
  <c r="BP214" i="51"/>
  <c r="DL216" i="51"/>
  <c r="DK216" i="51"/>
  <c r="DJ216" i="51"/>
  <c r="DI216" i="51"/>
  <c r="DG216" i="51"/>
  <c r="DF216" i="51"/>
  <c r="DE216" i="51"/>
  <c r="DD216" i="51"/>
  <c r="DB216" i="51"/>
  <c r="DA216" i="51"/>
  <c r="CZ216" i="51"/>
  <c r="CY216" i="51"/>
  <c r="CW216" i="51"/>
  <c r="CV216" i="51"/>
  <c r="CU216" i="51"/>
  <c r="CT216" i="51"/>
  <c r="CR216" i="51"/>
  <c r="CQ216" i="51"/>
  <c r="CP216" i="51"/>
  <c r="CO216" i="51"/>
  <c r="CM216" i="51"/>
  <c r="CL216" i="51"/>
  <c r="CK216" i="51"/>
  <c r="CJ216" i="51"/>
  <c r="CH216" i="51"/>
  <c r="CG216" i="51"/>
  <c r="CF216" i="51"/>
  <c r="CE216" i="51"/>
  <c r="CC216" i="51"/>
  <c r="CB216" i="51"/>
  <c r="CA216" i="51"/>
  <c r="BZ216" i="51"/>
  <c r="BX216" i="51"/>
  <c r="BW216" i="51"/>
  <c r="BV216" i="51"/>
  <c r="BU216" i="51"/>
  <c r="BT216" i="51"/>
  <c r="BY216" i="51" s="1"/>
  <c r="CD216" i="51" s="1"/>
  <c r="CI216" i="51" s="1"/>
  <c r="CN216" i="51" s="1"/>
  <c r="CS216" i="51" s="1"/>
  <c r="CX216" i="51" s="1"/>
  <c r="DC216" i="51" s="1"/>
  <c r="DH216" i="51" s="1"/>
  <c r="DM216" i="51" s="1"/>
  <c r="DR216" i="51" s="1"/>
  <c r="BS216" i="51"/>
  <c r="BR216" i="51"/>
  <c r="BQ216" i="51"/>
  <c r="BP216" i="51"/>
  <c r="DL213" i="51"/>
  <c r="DK213" i="51"/>
  <c r="DJ213" i="51"/>
  <c r="DI213" i="51"/>
  <c r="DG213" i="51"/>
  <c r="DF213" i="51"/>
  <c r="DE213" i="51"/>
  <c r="DD213" i="51"/>
  <c r="DB213" i="51"/>
  <c r="DA213" i="51"/>
  <c r="CZ213" i="51"/>
  <c r="CY213" i="51"/>
  <c r="CW213" i="51"/>
  <c r="CV213" i="51"/>
  <c r="CU213" i="51"/>
  <c r="CT213" i="51"/>
  <c r="CR213" i="51"/>
  <c r="CQ213" i="51"/>
  <c r="CP213" i="51"/>
  <c r="CO213" i="51"/>
  <c r="CM213" i="51"/>
  <c r="CL213" i="51"/>
  <c r="CK213" i="51"/>
  <c r="CJ213" i="51"/>
  <c r="CH213" i="51"/>
  <c r="CG213" i="51"/>
  <c r="CF213" i="51"/>
  <c r="CE213" i="51"/>
  <c r="CC213" i="51"/>
  <c r="CB213" i="51"/>
  <c r="CA213" i="51"/>
  <c r="BZ213" i="51"/>
  <c r="BX213" i="51"/>
  <c r="BW213" i="51"/>
  <c r="BV213" i="51"/>
  <c r="BU213" i="51"/>
  <c r="BT213" i="51"/>
  <c r="BY213" i="51" s="1"/>
  <c r="CD213" i="51" s="1"/>
  <c r="CI213" i="51" s="1"/>
  <c r="CN213" i="51" s="1"/>
  <c r="CS213" i="51" s="1"/>
  <c r="CX213" i="51" s="1"/>
  <c r="DC213" i="51" s="1"/>
  <c r="DH213" i="51" s="1"/>
  <c r="DM213" i="51" s="1"/>
  <c r="DR213" i="51" s="1"/>
  <c r="BS213" i="51"/>
  <c r="BR213" i="51"/>
  <c r="BQ213" i="51"/>
  <c r="BP213" i="51"/>
  <c r="DL210" i="51"/>
  <c r="DK210" i="51"/>
  <c r="DJ210" i="51"/>
  <c r="DI210" i="51"/>
  <c r="DG210" i="51"/>
  <c r="DF210" i="51"/>
  <c r="DE210" i="51"/>
  <c r="DD210" i="51"/>
  <c r="DB210" i="51"/>
  <c r="DA210" i="51"/>
  <c r="CZ210" i="51"/>
  <c r="CY210" i="51"/>
  <c r="CW210" i="51"/>
  <c r="CV210" i="51"/>
  <c r="CU210" i="51"/>
  <c r="CT210" i="51"/>
  <c r="CR210" i="51"/>
  <c r="CQ210" i="51"/>
  <c r="CP210" i="51"/>
  <c r="CO210" i="51"/>
  <c r="CM210" i="51"/>
  <c r="CL210" i="51"/>
  <c r="CK210" i="51"/>
  <c r="CJ210" i="51"/>
  <c r="CH210" i="51"/>
  <c r="CG210" i="51"/>
  <c r="CF210" i="51"/>
  <c r="CE210" i="51"/>
  <c r="CC210" i="51"/>
  <c r="CB210" i="51"/>
  <c r="CA210" i="51"/>
  <c r="BZ210" i="51"/>
  <c r="BX210" i="51"/>
  <c r="BW210" i="51"/>
  <c r="BV210" i="51"/>
  <c r="BU210" i="51"/>
  <c r="BT210" i="51"/>
  <c r="BY210" i="51" s="1"/>
  <c r="CD210" i="51" s="1"/>
  <c r="CI210" i="51" s="1"/>
  <c r="CN210" i="51" s="1"/>
  <c r="CS210" i="51" s="1"/>
  <c r="CX210" i="51" s="1"/>
  <c r="DC210" i="51" s="1"/>
  <c r="DH210" i="51" s="1"/>
  <c r="DM210" i="51" s="1"/>
  <c r="DR210" i="51" s="1"/>
  <c r="BS210" i="51"/>
  <c r="BR210" i="51"/>
  <c r="BQ210" i="51"/>
  <c r="BP210" i="51"/>
  <c r="DL209" i="51"/>
  <c r="DK209" i="51"/>
  <c r="DJ209" i="51"/>
  <c r="DI209" i="51"/>
  <c r="DG209" i="51"/>
  <c r="DF209" i="51"/>
  <c r="DE209" i="51"/>
  <c r="DD209" i="51"/>
  <c r="DB209" i="51"/>
  <c r="DA209" i="51"/>
  <c r="CZ209" i="51"/>
  <c r="CY209" i="51"/>
  <c r="CW209" i="51"/>
  <c r="CV209" i="51"/>
  <c r="CU209" i="51"/>
  <c r="CT209" i="51"/>
  <c r="CR209" i="51"/>
  <c r="CQ209" i="51"/>
  <c r="CP209" i="51"/>
  <c r="CO209" i="51"/>
  <c r="CM209" i="51"/>
  <c r="CL209" i="51"/>
  <c r="CK209" i="51"/>
  <c r="CJ209" i="51"/>
  <c r="CH209" i="51"/>
  <c r="CG209" i="51"/>
  <c r="CF209" i="51"/>
  <c r="CE209" i="51"/>
  <c r="CC209" i="51"/>
  <c r="CB209" i="51"/>
  <c r="CA209" i="51"/>
  <c r="BZ209" i="51"/>
  <c r="BX209" i="51"/>
  <c r="BW209" i="51"/>
  <c r="BV209" i="51"/>
  <c r="BU209" i="51"/>
  <c r="BT209" i="51"/>
  <c r="BY209" i="51" s="1"/>
  <c r="CD209" i="51" s="1"/>
  <c r="CI209" i="51" s="1"/>
  <c r="CN209" i="51" s="1"/>
  <c r="CS209" i="51" s="1"/>
  <c r="CX209" i="51" s="1"/>
  <c r="DC209" i="51" s="1"/>
  <c r="DH209" i="51" s="1"/>
  <c r="DM209" i="51" s="1"/>
  <c r="DR209" i="51" s="1"/>
  <c r="BS209" i="51"/>
  <c r="BR209" i="51"/>
  <c r="BQ209" i="51"/>
  <c r="BP209" i="51"/>
  <c r="DL208" i="51"/>
  <c r="DK208" i="51"/>
  <c r="DJ208" i="51"/>
  <c r="DI208" i="51"/>
  <c r="DG208" i="51"/>
  <c r="DF208" i="51"/>
  <c r="DE208" i="51"/>
  <c r="DD208" i="51"/>
  <c r="DB208" i="51"/>
  <c r="DA208" i="51"/>
  <c r="CZ208" i="51"/>
  <c r="CY208" i="51"/>
  <c r="CW208" i="51"/>
  <c r="CV208" i="51"/>
  <c r="CU208" i="51"/>
  <c r="CT208" i="51"/>
  <c r="CR208" i="51"/>
  <c r="CQ208" i="51"/>
  <c r="CP208" i="51"/>
  <c r="CO208" i="51"/>
  <c r="CM208" i="51"/>
  <c r="CL208" i="51"/>
  <c r="CK208" i="51"/>
  <c r="CJ208" i="51"/>
  <c r="CH208" i="51"/>
  <c r="CG208" i="51"/>
  <c r="CF208" i="51"/>
  <c r="CE208" i="51"/>
  <c r="CC208" i="51"/>
  <c r="CB208" i="51"/>
  <c r="CA208" i="51"/>
  <c r="BZ208" i="51"/>
  <c r="BX208" i="51"/>
  <c r="BW208" i="51"/>
  <c r="BV208" i="51"/>
  <c r="BU208" i="51"/>
  <c r="BT208" i="51"/>
  <c r="BY208" i="51" s="1"/>
  <c r="CD208" i="51" s="1"/>
  <c r="CI208" i="51" s="1"/>
  <c r="CN208" i="51" s="1"/>
  <c r="CS208" i="51" s="1"/>
  <c r="CX208" i="51" s="1"/>
  <c r="DC208" i="51" s="1"/>
  <c r="DH208" i="51" s="1"/>
  <c r="DM208" i="51" s="1"/>
  <c r="DR208" i="51" s="1"/>
  <c r="BS208" i="51"/>
  <c r="BR208" i="51"/>
  <c r="BQ208" i="51"/>
  <c r="BP208" i="51"/>
  <c r="DB207" i="51"/>
  <c r="DA207" i="51"/>
  <c r="CZ207" i="51"/>
  <c r="CY207" i="51"/>
  <c r="CW207" i="51"/>
  <c r="CV207" i="51"/>
  <c r="CU207" i="51"/>
  <c r="CT207" i="51"/>
  <c r="CR207" i="51"/>
  <c r="CQ207" i="51"/>
  <c r="CP207" i="51"/>
  <c r="CO207" i="51"/>
  <c r="CM207" i="51"/>
  <c r="CL207" i="51"/>
  <c r="CK207" i="51"/>
  <c r="CJ207" i="51"/>
  <c r="CH207" i="51"/>
  <c r="CG207" i="51"/>
  <c r="CF207" i="51"/>
  <c r="CE207" i="51"/>
  <c r="CC207" i="51"/>
  <c r="CB207" i="51"/>
  <c r="CA207" i="51"/>
  <c r="BZ207" i="51"/>
  <c r="BX207" i="51"/>
  <c r="BW207" i="51"/>
  <c r="BV207" i="51"/>
  <c r="BU207" i="51"/>
  <c r="BT207" i="51"/>
  <c r="BY207" i="51" s="1"/>
  <c r="CD207" i="51" s="1"/>
  <c r="CI207" i="51" s="1"/>
  <c r="CN207" i="51" s="1"/>
  <c r="CS207" i="51" s="1"/>
  <c r="CX207" i="51" s="1"/>
  <c r="DC207" i="51" s="1"/>
  <c r="DH207" i="51" s="1"/>
  <c r="DM207" i="51" s="1"/>
  <c r="DR207" i="51" s="1"/>
  <c r="BS207" i="51"/>
  <c r="BR207" i="51"/>
  <c r="BQ207" i="51"/>
  <c r="BP207" i="51"/>
  <c r="DL204" i="51"/>
  <c r="DK204" i="51"/>
  <c r="DJ204" i="51"/>
  <c r="DI204" i="51"/>
  <c r="DG204" i="51"/>
  <c r="DF204" i="51"/>
  <c r="DE204" i="51"/>
  <c r="DD204" i="51"/>
  <c r="DB204" i="51"/>
  <c r="DA204" i="51"/>
  <c r="CZ204" i="51"/>
  <c r="CY204" i="51"/>
  <c r="CW204" i="51"/>
  <c r="CV204" i="51"/>
  <c r="CU204" i="51"/>
  <c r="CT204" i="51"/>
  <c r="CR204" i="51"/>
  <c r="CQ204" i="51"/>
  <c r="CP204" i="51"/>
  <c r="CO204" i="51"/>
  <c r="CM204" i="51"/>
  <c r="CL204" i="51"/>
  <c r="CK204" i="51"/>
  <c r="CJ204" i="51"/>
  <c r="CH204" i="51"/>
  <c r="CG204" i="51"/>
  <c r="CF204" i="51"/>
  <c r="CE204" i="51"/>
  <c r="CC204" i="51"/>
  <c r="CB204" i="51"/>
  <c r="CA204" i="51"/>
  <c r="BZ204" i="51"/>
  <c r="BX204" i="51"/>
  <c r="BW204" i="51"/>
  <c r="BV204" i="51"/>
  <c r="BU204" i="51"/>
  <c r="BT204" i="51"/>
  <c r="BY204" i="51" s="1"/>
  <c r="CD204" i="51" s="1"/>
  <c r="CI204" i="51" s="1"/>
  <c r="CN204" i="51" s="1"/>
  <c r="CS204" i="51" s="1"/>
  <c r="CX204" i="51" s="1"/>
  <c r="DC204" i="51" s="1"/>
  <c r="DH204" i="51" s="1"/>
  <c r="DM204" i="51" s="1"/>
  <c r="DR204" i="51" s="1"/>
  <c r="BS204" i="51"/>
  <c r="BR204" i="51"/>
  <c r="BQ204" i="51"/>
  <c r="BP204" i="51"/>
  <c r="DL200" i="51"/>
  <c r="DK200" i="51"/>
  <c r="DJ200" i="51"/>
  <c r="DI200" i="51"/>
  <c r="DG200" i="51"/>
  <c r="DF200" i="51"/>
  <c r="DE200" i="51"/>
  <c r="DD200" i="51"/>
  <c r="DB200" i="51"/>
  <c r="DA200" i="51"/>
  <c r="CZ200" i="51"/>
  <c r="CY200" i="51"/>
  <c r="CW200" i="51"/>
  <c r="CV200" i="51"/>
  <c r="CU200" i="51"/>
  <c r="CT200" i="51"/>
  <c r="CR200" i="51"/>
  <c r="CQ200" i="51"/>
  <c r="CP200" i="51"/>
  <c r="CO200" i="51"/>
  <c r="CM200" i="51"/>
  <c r="CL200" i="51"/>
  <c r="CK200" i="51"/>
  <c r="CJ200" i="51"/>
  <c r="CH200" i="51"/>
  <c r="CG200" i="51"/>
  <c r="CF200" i="51"/>
  <c r="CE200" i="51"/>
  <c r="CC200" i="51"/>
  <c r="CB200" i="51"/>
  <c r="CA200" i="51"/>
  <c r="BZ200" i="51"/>
  <c r="BX200" i="51"/>
  <c r="BW200" i="51"/>
  <c r="BV200" i="51"/>
  <c r="BU200" i="51"/>
  <c r="BT200" i="51"/>
  <c r="BY200" i="51" s="1"/>
  <c r="CD200" i="51" s="1"/>
  <c r="CI200" i="51" s="1"/>
  <c r="CN200" i="51" s="1"/>
  <c r="CS200" i="51" s="1"/>
  <c r="CX200" i="51" s="1"/>
  <c r="DC200" i="51" s="1"/>
  <c r="DH200" i="51" s="1"/>
  <c r="DM200" i="51" s="1"/>
  <c r="DR200" i="51" s="1"/>
  <c r="BS200" i="51"/>
  <c r="BR200" i="51"/>
  <c r="BQ200" i="51"/>
  <c r="BP200" i="51"/>
  <c r="DL203" i="51"/>
  <c r="DK203" i="51"/>
  <c r="DJ203" i="51"/>
  <c r="DI203" i="51"/>
  <c r="DG203" i="51"/>
  <c r="DF203" i="51"/>
  <c r="DE203" i="51"/>
  <c r="DD203" i="51"/>
  <c r="DB203" i="51"/>
  <c r="DA203" i="51"/>
  <c r="CZ203" i="51"/>
  <c r="CY203" i="51"/>
  <c r="CW203" i="51"/>
  <c r="CV203" i="51"/>
  <c r="CU203" i="51"/>
  <c r="CT203" i="51"/>
  <c r="CR203" i="51"/>
  <c r="CQ203" i="51"/>
  <c r="CP203" i="51"/>
  <c r="CO203" i="51"/>
  <c r="CM203" i="51"/>
  <c r="CL203" i="51"/>
  <c r="CK203" i="51"/>
  <c r="CJ203" i="51"/>
  <c r="CH203" i="51"/>
  <c r="CG203" i="51"/>
  <c r="CF203" i="51"/>
  <c r="CE203" i="51"/>
  <c r="CC203" i="51"/>
  <c r="CB203" i="51"/>
  <c r="CA203" i="51"/>
  <c r="BZ203" i="51"/>
  <c r="BX203" i="51"/>
  <c r="BW203" i="51"/>
  <c r="BV203" i="51"/>
  <c r="BU203" i="51"/>
  <c r="BT203" i="51"/>
  <c r="BY203" i="51" s="1"/>
  <c r="CD203" i="51" s="1"/>
  <c r="CI203" i="51" s="1"/>
  <c r="CN203" i="51" s="1"/>
  <c r="CS203" i="51" s="1"/>
  <c r="CX203" i="51" s="1"/>
  <c r="DC203" i="51" s="1"/>
  <c r="DH203" i="51" s="1"/>
  <c r="DM203" i="51" s="1"/>
  <c r="DR203" i="51" s="1"/>
  <c r="BS203" i="51"/>
  <c r="BR203" i="51"/>
  <c r="BQ203" i="51"/>
  <c r="BP203" i="51"/>
  <c r="DL201" i="51"/>
  <c r="DK201" i="51"/>
  <c r="DJ201" i="51"/>
  <c r="DI201" i="51"/>
  <c r="DG201" i="51"/>
  <c r="DF201" i="51"/>
  <c r="DE201" i="51"/>
  <c r="DD201" i="51"/>
  <c r="DB201" i="51"/>
  <c r="DA201" i="51"/>
  <c r="CZ201" i="51"/>
  <c r="CY201" i="51"/>
  <c r="CW201" i="51"/>
  <c r="CV201" i="51"/>
  <c r="CU201" i="51"/>
  <c r="CT201" i="51"/>
  <c r="CR201" i="51"/>
  <c r="CQ201" i="51"/>
  <c r="CP201" i="51"/>
  <c r="CO201" i="51"/>
  <c r="CM201" i="51"/>
  <c r="CL201" i="51"/>
  <c r="CK201" i="51"/>
  <c r="CJ201" i="51"/>
  <c r="CH201" i="51"/>
  <c r="CG201" i="51"/>
  <c r="CF201" i="51"/>
  <c r="CE201" i="51"/>
  <c r="CC201" i="51"/>
  <c r="CB201" i="51"/>
  <c r="CA201" i="51"/>
  <c r="BZ201" i="51"/>
  <c r="BX201" i="51"/>
  <c r="BW201" i="51"/>
  <c r="BV201" i="51"/>
  <c r="BU201" i="51"/>
  <c r="BT201" i="51"/>
  <c r="BY201" i="51" s="1"/>
  <c r="CD201" i="51" s="1"/>
  <c r="CI201" i="51" s="1"/>
  <c r="CN201" i="51" s="1"/>
  <c r="CS201" i="51" s="1"/>
  <c r="CX201" i="51" s="1"/>
  <c r="DC201" i="51" s="1"/>
  <c r="DH201" i="51" s="1"/>
  <c r="DM201" i="51" s="1"/>
  <c r="DR201" i="51" s="1"/>
  <c r="BS201" i="51"/>
  <c r="BR201" i="51"/>
  <c r="BQ201" i="51"/>
  <c r="BP201" i="51"/>
  <c r="DL199" i="51"/>
  <c r="DK199" i="51"/>
  <c r="DJ199" i="51"/>
  <c r="DI199" i="51"/>
  <c r="DG199" i="51"/>
  <c r="DF199" i="51"/>
  <c r="DE199" i="51"/>
  <c r="DD199" i="51"/>
  <c r="CR199" i="51"/>
  <c r="CQ199" i="51"/>
  <c r="CP199" i="51"/>
  <c r="CO199" i="51"/>
  <c r="CM199" i="51"/>
  <c r="CL199" i="51"/>
  <c r="CK199" i="51"/>
  <c r="CJ199" i="51"/>
  <c r="CH199" i="51"/>
  <c r="CG199" i="51"/>
  <c r="CF199" i="51"/>
  <c r="CE199" i="51"/>
  <c r="CC199" i="51"/>
  <c r="CB199" i="51"/>
  <c r="CA199" i="51"/>
  <c r="BZ199" i="51"/>
  <c r="BX199" i="51"/>
  <c r="BW199" i="51"/>
  <c r="BV199" i="51"/>
  <c r="BU199" i="51"/>
  <c r="BT199" i="51"/>
  <c r="BY199" i="51" s="1"/>
  <c r="CD199" i="51" s="1"/>
  <c r="CI199" i="51" s="1"/>
  <c r="CN199" i="51" s="1"/>
  <c r="CS199" i="51" s="1"/>
  <c r="BS199" i="51"/>
  <c r="BR199" i="51"/>
  <c r="BQ199" i="51"/>
  <c r="BP199" i="51"/>
  <c r="DL193" i="51"/>
  <c r="DK193" i="51"/>
  <c r="DJ193" i="51"/>
  <c r="DI193" i="51"/>
  <c r="DG193" i="51"/>
  <c r="DF193" i="51"/>
  <c r="DE193" i="51"/>
  <c r="DD193" i="51"/>
  <c r="DB193" i="51"/>
  <c r="DA193" i="51"/>
  <c r="CZ193" i="51"/>
  <c r="CY193" i="51"/>
  <c r="CW193" i="51"/>
  <c r="CV193" i="51"/>
  <c r="CU193" i="51"/>
  <c r="CT193" i="51"/>
  <c r="CR193" i="51"/>
  <c r="CQ193" i="51"/>
  <c r="CP193" i="51"/>
  <c r="CO193" i="51"/>
  <c r="CM193" i="51"/>
  <c r="CL193" i="51"/>
  <c r="CK193" i="51"/>
  <c r="CJ193" i="51"/>
  <c r="CH193" i="51"/>
  <c r="CG193" i="51"/>
  <c r="CF193" i="51"/>
  <c r="CE193" i="51"/>
  <c r="CC193" i="51"/>
  <c r="CB193" i="51"/>
  <c r="CA193" i="51"/>
  <c r="BZ193" i="51"/>
  <c r="BX193" i="51"/>
  <c r="BW193" i="51"/>
  <c r="BV193" i="51"/>
  <c r="BU193" i="51"/>
  <c r="BT193" i="51"/>
  <c r="BY193" i="51" s="1"/>
  <c r="CD193" i="51" s="1"/>
  <c r="CI193" i="51" s="1"/>
  <c r="CN193" i="51" s="1"/>
  <c r="CS193" i="51" s="1"/>
  <c r="CX193" i="51" s="1"/>
  <c r="DC193" i="51" s="1"/>
  <c r="DH193" i="51" s="1"/>
  <c r="DM193" i="51" s="1"/>
  <c r="DR193" i="51" s="1"/>
  <c r="BS193" i="51"/>
  <c r="BR193" i="51"/>
  <c r="BQ193" i="51"/>
  <c r="BP193" i="51"/>
  <c r="DL196" i="51"/>
  <c r="DK196" i="51"/>
  <c r="DJ196" i="51"/>
  <c r="DI196" i="51"/>
  <c r="DG196" i="51"/>
  <c r="DF196" i="51"/>
  <c r="DE196" i="51"/>
  <c r="DD196" i="51"/>
  <c r="DB196" i="51"/>
  <c r="DA196" i="51"/>
  <c r="CZ196" i="51"/>
  <c r="CY196" i="51"/>
  <c r="CW196" i="51"/>
  <c r="CV196" i="51"/>
  <c r="CU196" i="51"/>
  <c r="CT196" i="51"/>
  <c r="CR196" i="51"/>
  <c r="CQ196" i="51"/>
  <c r="CP196" i="51"/>
  <c r="CO196" i="51"/>
  <c r="CM196" i="51"/>
  <c r="CL196" i="51"/>
  <c r="CK196" i="51"/>
  <c r="CJ196" i="51"/>
  <c r="CH196" i="51"/>
  <c r="CG196" i="51"/>
  <c r="CF196" i="51"/>
  <c r="CE196" i="51"/>
  <c r="CC196" i="51"/>
  <c r="CB196" i="51"/>
  <c r="CA196" i="51"/>
  <c r="BZ196" i="51"/>
  <c r="BX196" i="51"/>
  <c r="BW196" i="51"/>
  <c r="BV196" i="51"/>
  <c r="BU196" i="51"/>
  <c r="BT196" i="51"/>
  <c r="BY196" i="51" s="1"/>
  <c r="CD196" i="51" s="1"/>
  <c r="CI196" i="51" s="1"/>
  <c r="CN196" i="51" s="1"/>
  <c r="CS196" i="51" s="1"/>
  <c r="CX196" i="51" s="1"/>
  <c r="DC196" i="51" s="1"/>
  <c r="DH196" i="51" s="1"/>
  <c r="DM196" i="51" s="1"/>
  <c r="DR196" i="51" s="1"/>
  <c r="BS196" i="51"/>
  <c r="BR196" i="51"/>
  <c r="BQ196" i="51"/>
  <c r="BP196" i="51"/>
  <c r="DB191" i="51"/>
  <c r="DA191" i="51"/>
  <c r="CZ191" i="51"/>
  <c r="CY191" i="51"/>
  <c r="CW191" i="51"/>
  <c r="CV191" i="51"/>
  <c r="CU191" i="51"/>
  <c r="CT191" i="51"/>
  <c r="CR191" i="51"/>
  <c r="CQ191" i="51"/>
  <c r="CP191" i="51"/>
  <c r="CO191" i="51"/>
  <c r="CM191" i="51"/>
  <c r="CL191" i="51"/>
  <c r="CK191" i="51"/>
  <c r="CJ191" i="51"/>
  <c r="CH191" i="51"/>
  <c r="CG191" i="51"/>
  <c r="CF191" i="51"/>
  <c r="CE191" i="51"/>
  <c r="CC191" i="51"/>
  <c r="CB191" i="51"/>
  <c r="CA191" i="51"/>
  <c r="BZ191" i="51"/>
  <c r="BX191" i="51"/>
  <c r="BW191" i="51"/>
  <c r="BV191" i="51"/>
  <c r="BU191" i="51"/>
  <c r="BT191" i="51"/>
  <c r="BY191" i="51" s="1"/>
  <c r="CD191" i="51" s="1"/>
  <c r="CI191" i="51" s="1"/>
  <c r="CN191" i="51" s="1"/>
  <c r="CS191" i="51" s="1"/>
  <c r="CX191" i="51" s="1"/>
  <c r="DC191" i="51" s="1"/>
  <c r="BS191" i="51"/>
  <c r="BR191" i="51"/>
  <c r="BQ191" i="51"/>
  <c r="BP191" i="51"/>
  <c r="DL195" i="51"/>
  <c r="DK195" i="51"/>
  <c r="DJ195" i="51"/>
  <c r="DI195" i="51"/>
  <c r="DG195" i="51"/>
  <c r="DF195" i="51"/>
  <c r="DE195" i="51"/>
  <c r="DD195" i="51"/>
  <c r="DB195" i="51"/>
  <c r="DA195" i="51"/>
  <c r="CZ195" i="51"/>
  <c r="CY195" i="51"/>
  <c r="CW195" i="51"/>
  <c r="CV195" i="51"/>
  <c r="CU195" i="51"/>
  <c r="CT195" i="51"/>
  <c r="CR195" i="51"/>
  <c r="CQ195" i="51"/>
  <c r="CP195" i="51"/>
  <c r="CO195" i="51"/>
  <c r="CM195" i="51"/>
  <c r="CL195" i="51"/>
  <c r="CK195" i="51"/>
  <c r="CJ195" i="51"/>
  <c r="CH195" i="51"/>
  <c r="CG195" i="51"/>
  <c r="CF195" i="51"/>
  <c r="CE195" i="51"/>
  <c r="CC195" i="51"/>
  <c r="CB195" i="51"/>
  <c r="CA195" i="51"/>
  <c r="BZ195" i="51"/>
  <c r="BX195" i="51"/>
  <c r="BW195" i="51"/>
  <c r="BV195" i="51"/>
  <c r="BU195" i="51"/>
  <c r="BT195" i="51"/>
  <c r="BY195" i="51" s="1"/>
  <c r="CD195" i="51" s="1"/>
  <c r="CI195" i="51" s="1"/>
  <c r="CN195" i="51" s="1"/>
  <c r="CS195" i="51" s="1"/>
  <c r="CX195" i="51" s="1"/>
  <c r="DC195" i="51" s="1"/>
  <c r="DH195" i="51" s="1"/>
  <c r="DM195" i="51" s="1"/>
  <c r="DR195" i="51" s="1"/>
  <c r="BS195" i="51"/>
  <c r="BR195" i="51"/>
  <c r="BQ195" i="51"/>
  <c r="BP195" i="51"/>
  <c r="DL190" i="51"/>
  <c r="DK190" i="51"/>
  <c r="DJ190" i="51"/>
  <c r="DI190" i="51"/>
  <c r="DG190" i="51"/>
  <c r="DF190" i="51"/>
  <c r="DE190" i="51"/>
  <c r="DD190" i="51"/>
  <c r="CR190" i="51"/>
  <c r="CQ190" i="51"/>
  <c r="CP190" i="51"/>
  <c r="CO190" i="51"/>
  <c r="CM190" i="51"/>
  <c r="CL190" i="51"/>
  <c r="CK190" i="51"/>
  <c r="CJ190" i="51"/>
  <c r="CH190" i="51"/>
  <c r="CG190" i="51"/>
  <c r="CF190" i="51"/>
  <c r="CE190" i="51"/>
  <c r="CC190" i="51"/>
  <c r="CB190" i="51"/>
  <c r="CA190" i="51"/>
  <c r="BZ190" i="51"/>
  <c r="BX190" i="51"/>
  <c r="BW190" i="51"/>
  <c r="BV190" i="51"/>
  <c r="BU190" i="51"/>
  <c r="BT190" i="51"/>
  <c r="BY190" i="51" s="1"/>
  <c r="CD190" i="51" s="1"/>
  <c r="CI190" i="51" s="1"/>
  <c r="CN190" i="51" s="1"/>
  <c r="CS190" i="51" s="1"/>
  <c r="BS190" i="51"/>
  <c r="BR190" i="51"/>
  <c r="BQ190" i="51"/>
  <c r="BP190" i="51"/>
  <c r="DG192" i="51"/>
  <c r="DF192" i="51"/>
  <c r="DE192" i="51"/>
  <c r="DD192" i="51"/>
  <c r="DB192" i="51"/>
  <c r="DA192" i="51"/>
  <c r="CZ192" i="51"/>
  <c r="CY192" i="51"/>
  <c r="CW192" i="51"/>
  <c r="CV192" i="51"/>
  <c r="CU192" i="51"/>
  <c r="CT192" i="51"/>
  <c r="CR192" i="51"/>
  <c r="CQ192" i="51"/>
  <c r="CP192" i="51"/>
  <c r="CO192" i="51"/>
  <c r="CM192" i="51"/>
  <c r="CL192" i="51"/>
  <c r="CK192" i="51"/>
  <c r="CJ192" i="51"/>
  <c r="CH192" i="51"/>
  <c r="CG192" i="51"/>
  <c r="CF192" i="51"/>
  <c r="CE192" i="51"/>
  <c r="CC192" i="51"/>
  <c r="CB192" i="51"/>
  <c r="CA192" i="51"/>
  <c r="BZ192" i="51"/>
  <c r="BX192" i="51"/>
  <c r="BW192" i="51"/>
  <c r="BV192" i="51"/>
  <c r="BU192" i="51"/>
  <c r="BT192" i="51"/>
  <c r="BY192" i="51" s="1"/>
  <c r="CD192" i="51" s="1"/>
  <c r="CI192" i="51" s="1"/>
  <c r="CN192" i="51" s="1"/>
  <c r="CS192" i="51" s="1"/>
  <c r="CX192" i="51" s="1"/>
  <c r="DC192" i="51" s="1"/>
  <c r="DH192" i="51" s="1"/>
  <c r="BS192" i="51"/>
  <c r="BR192" i="51"/>
  <c r="BQ192" i="51"/>
  <c r="BP192" i="51"/>
  <c r="DL186" i="51"/>
  <c r="DK186" i="51"/>
  <c r="DJ186" i="51"/>
  <c r="DI186" i="51"/>
  <c r="DG186" i="51"/>
  <c r="DF186" i="51"/>
  <c r="DE186" i="51"/>
  <c r="DD186" i="51"/>
  <c r="DB186" i="51"/>
  <c r="DA186" i="51"/>
  <c r="CZ186" i="51"/>
  <c r="CY186" i="51"/>
  <c r="CW186" i="51"/>
  <c r="CV186" i="51"/>
  <c r="CU186" i="51"/>
  <c r="CT186" i="51"/>
  <c r="CR186" i="51"/>
  <c r="CQ186" i="51"/>
  <c r="CP186" i="51"/>
  <c r="CO186" i="51"/>
  <c r="CM186" i="51"/>
  <c r="CL186" i="51"/>
  <c r="CK186" i="51"/>
  <c r="CJ186" i="51"/>
  <c r="CH186" i="51"/>
  <c r="CG186" i="51"/>
  <c r="CF186" i="51"/>
  <c r="CE186" i="51"/>
  <c r="CC186" i="51"/>
  <c r="CB186" i="51"/>
  <c r="CA186" i="51"/>
  <c r="BZ186" i="51"/>
  <c r="BX186" i="51"/>
  <c r="BW186" i="51"/>
  <c r="BV186" i="51"/>
  <c r="BU186" i="51"/>
  <c r="BT186" i="51"/>
  <c r="BY186" i="51" s="1"/>
  <c r="CD186" i="51" s="1"/>
  <c r="CI186" i="51" s="1"/>
  <c r="CN186" i="51" s="1"/>
  <c r="CS186" i="51" s="1"/>
  <c r="CX186" i="51" s="1"/>
  <c r="DC186" i="51" s="1"/>
  <c r="DH186" i="51" s="1"/>
  <c r="DM186" i="51" s="1"/>
  <c r="DR186" i="51" s="1"/>
  <c r="BS186" i="51"/>
  <c r="BR186" i="51"/>
  <c r="BQ186" i="51"/>
  <c r="BP186" i="51"/>
  <c r="DL187" i="51"/>
  <c r="DK187" i="51"/>
  <c r="DJ187" i="51"/>
  <c r="DI187" i="51"/>
  <c r="DG187" i="51"/>
  <c r="DF187" i="51"/>
  <c r="DE187" i="51"/>
  <c r="DD187" i="51"/>
  <c r="DB187" i="51"/>
  <c r="DA187" i="51"/>
  <c r="CZ187" i="51"/>
  <c r="CY187" i="51"/>
  <c r="CW187" i="51"/>
  <c r="CV187" i="51"/>
  <c r="CU187" i="51"/>
  <c r="CT187" i="51"/>
  <c r="CR187" i="51"/>
  <c r="CQ187" i="51"/>
  <c r="CP187" i="51"/>
  <c r="CO187" i="51"/>
  <c r="CM187" i="51"/>
  <c r="CL187" i="51"/>
  <c r="CK187" i="51"/>
  <c r="CJ187" i="51"/>
  <c r="CH187" i="51"/>
  <c r="CG187" i="51"/>
  <c r="CF187" i="51"/>
  <c r="CE187" i="51"/>
  <c r="CC187" i="51"/>
  <c r="CB187" i="51"/>
  <c r="CA187" i="51"/>
  <c r="BZ187" i="51"/>
  <c r="BX187" i="51"/>
  <c r="BW187" i="51"/>
  <c r="BV187" i="51"/>
  <c r="BU187" i="51"/>
  <c r="BT187" i="51"/>
  <c r="BY187" i="51" s="1"/>
  <c r="CD187" i="51" s="1"/>
  <c r="CI187" i="51" s="1"/>
  <c r="CN187" i="51" s="1"/>
  <c r="CS187" i="51" s="1"/>
  <c r="CX187" i="51" s="1"/>
  <c r="DC187" i="51" s="1"/>
  <c r="DH187" i="51" s="1"/>
  <c r="DM187" i="51" s="1"/>
  <c r="DR187" i="51" s="1"/>
  <c r="BS187" i="51"/>
  <c r="BR187" i="51"/>
  <c r="BQ187" i="51"/>
  <c r="BP187" i="51"/>
  <c r="DL185" i="51"/>
  <c r="DK185" i="51"/>
  <c r="DJ185" i="51"/>
  <c r="DI185" i="51"/>
  <c r="DG185" i="51"/>
  <c r="DF185" i="51"/>
  <c r="DE185" i="51"/>
  <c r="DD185" i="51"/>
  <c r="DB185" i="51"/>
  <c r="DA185" i="51"/>
  <c r="CZ185" i="51"/>
  <c r="CY185" i="51"/>
  <c r="CW185" i="51"/>
  <c r="CV185" i="51"/>
  <c r="CU185" i="51"/>
  <c r="CT185" i="51"/>
  <c r="CR185" i="51"/>
  <c r="CQ185" i="51"/>
  <c r="CP185" i="51"/>
  <c r="CO185" i="51"/>
  <c r="CM185" i="51"/>
  <c r="CL185" i="51"/>
  <c r="CK185" i="51"/>
  <c r="CJ185" i="51"/>
  <c r="CH185" i="51"/>
  <c r="CG185" i="51"/>
  <c r="CF185" i="51"/>
  <c r="CE185" i="51"/>
  <c r="CC185" i="51"/>
  <c r="CB185" i="51"/>
  <c r="CA185" i="51"/>
  <c r="BZ185" i="51"/>
  <c r="BX185" i="51"/>
  <c r="BW185" i="51"/>
  <c r="BV185" i="51"/>
  <c r="BU185" i="51"/>
  <c r="BT185" i="51"/>
  <c r="BY185" i="51" s="1"/>
  <c r="CD185" i="51" s="1"/>
  <c r="CI185" i="51" s="1"/>
  <c r="CN185" i="51" s="1"/>
  <c r="CS185" i="51" s="1"/>
  <c r="CX185" i="51" s="1"/>
  <c r="DC185" i="51" s="1"/>
  <c r="DH185" i="51" s="1"/>
  <c r="DM185" i="51" s="1"/>
  <c r="DR185" i="51" s="1"/>
  <c r="BS185" i="51"/>
  <c r="BR185" i="51"/>
  <c r="BQ185" i="51"/>
  <c r="BP185" i="51"/>
  <c r="DB184" i="51"/>
  <c r="DA184" i="51"/>
  <c r="CZ184" i="51"/>
  <c r="CY184" i="51"/>
  <c r="CW184" i="51"/>
  <c r="CV184" i="51"/>
  <c r="CU184" i="51"/>
  <c r="CT184" i="51"/>
  <c r="CR184" i="51"/>
  <c r="CQ184" i="51"/>
  <c r="CP184" i="51"/>
  <c r="CO184" i="51"/>
  <c r="CM184" i="51"/>
  <c r="CL184" i="51"/>
  <c r="CK184" i="51"/>
  <c r="CJ184" i="51"/>
  <c r="CH184" i="51"/>
  <c r="CG184" i="51"/>
  <c r="CF184" i="51"/>
  <c r="CE184" i="51"/>
  <c r="CC184" i="51"/>
  <c r="CB184" i="51"/>
  <c r="CA184" i="51"/>
  <c r="BZ184" i="51"/>
  <c r="BX184" i="51"/>
  <c r="BW184" i="51"/>
  <c r="BV184" i="51"/>
  <c r="BU184" i="51"/>
  <c r="BT184" i="51"/>
  <c r="BY184" i="51" s="1"/>
  <c r="CD184" i="51" s="1"/>
  <c r="CI184" i="51" s="1"/>
  <c r="CN184" i="51" s="1"/>
  <c r="CS184" i="51" s="1"/>
  <c r="CX184" i="51" s="1"/>
  <c r="DC184" i="51" s="1"/>
  <c r="DH184" i="51" s="1"/>
  <c r="BS184" i="51"/>
  <c r="BR184" i="51"/>
  <c r="BQ184" i="51"/>
  <c r="BP184" i="51"/>
  <c r="DL178" i="51"/>
  <c r="DK178" i="51"/>
  <c r="DJ178" i="51"/>
  <c r="DI178" i="51"/>
  <c r="DG178" i="51"/>
  <c r="DF178" i="51"/>
  <c r="DE178" i="51"/>
  <c r="DD178" i="51"/>
  <c r="DB178" i="51"/>
  <c r="DA178" i="51"/>
  <c r="CZ178" i="51"/>
  <c r="CY178" i="51"/>
  <c r="CW178" i="51"/>
  <c r="CV178" i="51"/>
  <c r="CU178" i="51"/>
  <c r="CT178" i="51"/>
  <c r="CR178" i="51"/>
  <c r="CQ178" i="51"/>
  <c r="CP178" i="51"/>
  <c r="CO178" i="51"/>
  <c r="CM178" i="51"/>
  <c r="CL178" i="51"/>
  <c r="CK178" i="51"/>
  <c r="CJ178" i="51"/>
  <c r="CH178" i="51"/>
  <c r="CG178" i="51"/>
  <c r="CF178" i="51"/>
  <c r="CE178" i="51"/>
  <c r="CC178" i="51"/>
  <c r="CB178" i="51"/>
  <c r="CA178" i="51"/>
  <c r="BZ178" i="51"/>
  <c r="BX178" i="51"/>
  <c r="BW178" i="51"/>
  <c r="BV178" i="51"/>
  <c r="BU178" i="51"/>
  <c r="BT178" i="51"/>
  <c r="BY178" i="51" s="1"/>
  <c r="CD178" i="51" s="1"/>
  <c r="CI178" i="51" s="1"/>
  <c r="CN178" i="51" s="1"/>
  <c r="CS178" i="51" s="1"/>
  <c r="CX178" i="51" s="1"/>
  <c r="DC178" i="51" s="1"/>
  <c r="DH178" i="51" s="1"/>
  <c r="DM178" i="51" s="1"/>
  <c r="DR178" i="51" s="1"/>
  <c r="BS178" i="51"/>
  <c r="BR178" i="51"/>
  <c r="BQ178" i="51"/>
  <c r="BP178" i="51"/>
  <c r="DL177" i="51"/>
  <c r="DK177" i="51"/>
  <c r="DJ177" i="51"/>
  <c r="DI177" i="51"/>
  <c r="DG177" i="51"/>
  <c r="DF177" i="51"/>
  <c r="DE177" i="51"/>
  <c r="DD177" i="51"/>
  <c r="DB177" i="51"/>
  <c r="DA177" i="51"/>
  <c r="CZ177" i="51"/>
  <c r="CY177" i="51"/>
  <c r="CW177" i="51"/>
  <c r="CV177" i="51"/>
  <c r="CU177" i="51"/>
  <c r="CT177" i="51"/>
  <c r="CR177" i="51"/>
  <c r="CQ177" i="51"/>
  <c r="CP177" i="51"/>
  <c r="CO177" i="51"/>
  <c r="CM177" i="51"/>
  <c r="CL177" i="51"/>
  <c r="CK177" i="51"/>
  <c r="CJ177" i="51"/>
  <c r="CH177" i="51"/>
  <c r="CG177" i="51"/>
  <c r="CF177" i="51"/>
  <c r="CE177" i="51"/>
  <c r="CC177" i="51"/>
  <c r="CB177" i="51"/>
  <c r="CA177" i="51"/>
  <c r="BZ177" i="51"/>
  <c r="BX177" i="51"/>
  <c r="BW177" i="51"/>
  <c r="BV177" i="51"/>
  <c r="BU177" i="51"/>
  <c r="BT177" i="51"/>
  <c r="BY177" i="51" s="1"/>
  <c r="CD177" i="51" s="1"/>
  <c r="CI177" i="51" s="1"/>
  <c r="CN177" i="51" s="1"/>
  <c r="CS177" i="51" s="1"/>
  <c r="CX177" i="51" s="1"/>
  <c r="DC177" i="51" s="1"/>
  <c r="DH177" i="51" s="1"/>
  <c r="DM177" i="51" s="1"/>
  <c r="DR177" i="51" s="1"/>
  <c r="BS177" i="51"/>
  <c r="BR177" i="51"/>
  <c r="BQ177" i="51"/>
  <c r="BP177" i="51"/>
  <c r="DB180" i="51"/>
  <c r="DA180" i="51"/>
  <c r="CZ180" i="51"/>
  <c r="CY180" i="51"/>
  <c r="CW180" i="51"/>
  <c r="CV180" i="51"/>
  <c r="CU180" i="51"/>
  <c r="CT180" i="51"/>
  <c r="CR180" i="51"/>
  <c r="CQ180" i="51"/>
  <c r="CP180" i="51"/>
  <c r="CO180" i="51"/>
  <c r="CM180" i="51"/>
  <c r="CL180" i="51"/>
  <c r="CK180" i="51"/>
  <c r="CJ180" i="51"/>
  <c r="CH180" i="51"/>
  <c r="CG180" i="51"/>
  <c r="CF180" i="51"/>
  <c r="CE180" i="51"/>
  <c r="CC180" i="51"/>
  <c r="CB180" i="51"/>
  <c r="CA180" i="51"/>
  <c r="BZ180" i="51"/>
  <c r="BX180" i="51"/>
  <c r="BW180" i="51"/>
  <c r="BV180" i="51"/>
  <c r="BU180" i="51"/>
  <c r="BT180" i="51"/>
  <c r="BY180" i="51" s="1"/>
  <c r="CD180" i="51" s="1"/>
  <c r="CI180" i="51" s="1"/>
  <c r="CN180" i="51" s="1"/>
  <c r="CS180" i="51" s="1"/>
  <c r="CX180" i="51" s="1"/>
  <c r="DC180" i="51" s="1"/>
  <c r="DH180" i="51" s="1"/>
  <c r="BS180" i="51"/>
  <c r="BR180" i="51"/>
  <c r="BQ180" i="51"/>
  <c r="BP180" i="51"/>
  <c r="DL179" i="51"/>
  <c r="DK179" i="51"/>
  <c r="DJ179" i="51"/>
  <c r="DI179" i="51"/>
  <c r="DG179" i="51"/>
  <c r="DF179" i="51"/>
  <c r="DE179" i="51"/>
  <c r="DD179" i="51"/>
  <c r="DB179" i="51"/>
  <c r="DA179" i="51"/>
  <c r="CZ179" i="51"/>
  <c r="CY179" i="51"/>
  <c r="CW179" i="51"/>
  <c r="CV179" i="51"/>
  <c r="CU179" i="51"/>
  <c r="CT179" i="51"/>
  <c r="CR179" i="51"/>
  <c r="CQ179" i="51"/>
  <c r="CP179" i="51"/>
  <c r="CO179" i="51"/>
  <c r="CM179" i="51"/>
  <c r="CL179" i="51"/>
  <c r="CK179" i="51"/>
  <c r="CJ179" i="51"/>
  <c r="CH179" i="51"/>
  <c r="CG179" i="51"/>
  <c r="CF179" i="51"/>
  <c r="CE179" i="51"/>
  <c r="CC179" i="51"/>
  <c r="CB179" i="51"/>
  <c r="CA179" i="51"/>
  <c r="BZ179" i="51"/>
  <c r="BX179" i="51"/>
  <c r="BW179" i="51"/>
  <c r="BV179" i="51"/>
  <c r="BU179" i="51"/>
  <c r="BT179" i="51"/>
  <c r="BY179" i="51" s="1"/>
  <c r="CD179" i="51" s="1"/>
  <c r="CI179" i="51" s="1"/>
  <c r="CN179" i="51" s="1"/>
  <c r="CS179" i="51" s="1"/>
  <c r="CX179" i="51" s="1"/>
  <c r="DC179" i="51" s="1"/>
  <c r="DH179" i="51" s="1"/>
  <c r="DM179" i="51" s="1"/>
  <c r="DR179" i="51" s="1"/>
  <c r="BS179" i="51"/>
  <c r="BR179" i="51"/>
  <c r="BQ179" i="51"/>
  <c r="BP179" i="51"/>
  <c r="DL176" i="51"/>
  <c r="DK176" i="51"/>
  <c r="DJ176" i="51"/>
  <c r="DI176" i="51"/>
  <c r="DG176" i="51"/>
  <c r="DF176" i="51"/>
  <c r="DE176" i="51"/>
  <c r="DD176" i="51"/>
  <c r="DB176" i="51"/>
  <c r="DA176" i="51"/>
  <c r="CZ176" i="51"/>
  <c r="CY176" i="51"/>
  <c r="CW176" i="51"/>
  <c r="CV176" i="51"/>
  <c r="CU176" i="51"/>
  <c r="CT176" i="51"/>
  <c r="CR176" i="51"/>
  <c r="CQ176" i="51"/>
  <c r="CP176" i="51"/>
  <c r="CO176" i="51"/>
  <c r="CM176" i="51"/>
  <c r="CL176" i="51"/>
  <c r="CK176" i="51"/>
  <c r="CJ176" i="51"/>
  <c r="CH176" i="51"/>
  <c r="CG176" i="51"/>
  <c r="CF176" i="51"/>
  <c r="CE176" i="51"/>
  <c r="CC176" i="51"/>
  <c r="CB176" i="51"/>
  <c r="CA176" i="51"/>
  <c r="BZ176" i="51"/>
  <c r="BX176" i="51"/>
  <c r="BW176" i="51"/>
  <c r="BV176" i="51"/>
  <c r="BU176" i="51"/>
  <c r="BT176" i="51"/>
  <c r="BY176" i="51" s="1"/>
  <c r="CD176" i="51" s="1"/>
  <c r="CI176" i="51" s="1"/>
  <c r="CN176" i="51" s="1"/>
  <c r="CS176" i="51" s="1"/>
  <c r="CX176" i="51" s="1"/>
  <c r="DC176" i="51" s="1"/>
  <c r="DH176" i="51" s="1"/>
  <c r="DM176" i="51" s="1"/>
  <c r="DR176" i="51" s="1"/>
  <c r="BS176" i="51"/>
  <c r="BR176" i="51"/>
  <c r="BQ176" i="51"/>
  <c r="BP176" i="51"/>
  <c r="DL174" i="51"/>
  <c r="DK174" i="51"/>
  <c r="DJ174" i="51"/>
  <c r="DI174" i="51"/>
  <c r="DG174" i="51"/>
  <c r="DF174" i="51"/>
  <c r="DE174" i="51"/>
  <c r="DD174" i="51"/>
  <c r="CR174" i="51"/>
  <c r="CQ174" i="51"/>
  <c r="CP174" i="51"/>
  <c r="CO174" i="51"/>
  <c r="CM174" i="51"/>
  <c r="CL174" i="51"/>
  <c r="CK174" i="51"/>
  <c r="CJ174" i="51"/>
  <c r="CH174" i="51"/>
  <c r="CG174" i="51"/>
  <c r="CF174" i="51"/>
  <c r="CE174" i="51"/>
  <c r="CC174" i="51"/>
  <c r="CB174" i="51"/>
  <c r="CA174" i="51"/>
  <c r="BZ174" i="51"/>
  <c r="BX174" i="51"/>
  <c r="BW174" i="51"/>
  <c r="BV174" i="51"/>
  <c r="BU174" i="51"/>
  <c r="BT174" i="51"/>
  <c r="BY174" i="51" s="1"/>
  <c r="CD174" i="51" s="1"/>
  <c r="CI174" i="51" s="1"/>
  <c r="CN174" i="51" s="1"/>
  <c r="CS174" i="51" s="1"/>
  <c r="BS174" i="51"/>
  <c r="BR174" i="51"/>
  <c r="BQ174" i="51"/>
  <c r="BP174" i="51"/>
  <c r="DL175" i="51"/>
  <c r="DK175" i="51"/>
  <c r="DJ175" i="51"/>
  <c r="DI175" i="51"/>
  <c r="CW175" i="51"/>
  <c r="CV175" i="51"/>
  <c r="CU175" i="51"/>
  <c r="CT175" i="51"/>
  <c r="CR175" i="51"/>
  <c r="CQ175" i="51"/>
  <c r="CP175" i="51"/>
  <c r="CO175" i="51"/>
  <c r="CM175" i="51"/>
  <c r="CL175" i="51"/>
  <c r="CK175" i="51"/>
  <c r="CJ175" i="51"/>
  <c r="CH175" i="51"/>
  <c r="CG175" i="51"/>
  <c r="CF175" i="51"/>
  <c r="CE175" i="51"/>
  <c r="CC175" i="51"/>
  <c r="CB175" i="51"/>
  <c r="CA175" i="51"/>
  <c r="BZ175" i="51"/>
  <c r="BX175" i="51"/>
  <c r="BW175" i="51"/>
  <c r="BV175" i="51"/>
  <c r="BU175" i="51"/>
  <c r="BT175" i="51"/>
  <c r="BY175" i="51" s="1"/>
  <c r="CD175" i="51" s="1"/>
  <c r="CI175" i="51" s="1"/>
  <c r="CN175" i="51" s="1"/>
  <c r="CS175" i="51" s="1"/>
  <c r="CX175" i="51" s="1"/>
  <c r="DC175" i="51" s="1"/>
  <c r="BS175" i="51"/>
  <c r="BR175" i="51"/>
  <c r="BQ175" i="51"/>
  <c r="BP175" i="51"/>
  <c r="CR171" i="51"/>
  <c r="CQ171" i="51"/>
  <c r="CP171" i="51"/>
  <c r="CO171" i="51"/>
  <c r="CM171" i="51"/>
  <c r="CL171" i="51"/>
  <c r="CK171" i="51"/>
  <c r="CJ171" i="51"/>
  <c r="CH171" i="51"/>
  <c r="CG171" i="51"/>
  <c r="CF171" i="51"/>
  <c r="CE171" i="51"/>
  <c r="CC171" i="51"/>
  <c r="CB171" i="51"/>
  <c r="CA171" i="51"/>
  <c r="BZ171" i="51"/>
  <c r="BX171" i="51"/>
  <c r="BW171" i="51"/>
  <c r="BV171" i="51"/>
  <c r="BU171" i="51"/>
  <c r="BT171" i="51"/>
  <c r="BY171" i="51" s="1"/>
  <c r="CD171" i="51" s="1"/>
  <c r="CI171" i="51" s="1"/>
  <c r="CN171" i="51" s="1"/>
  <c r="CS171" i="51" s="1"/>
  <c r="CX171" i="51" s="1"/>
  <c r="DC171" i="51" s="1"/>
  <c r="BS171" i="51"/>
  <c r="BR171" i="51"/>
  <c r="BQ171" i="51"/>
  <c r="BP171" i="51"/>
  <c r="DL168" i="51"/>
  <c r="DK168" i="51"/>
  <c r="DJ168" i="51"/>
  <c r="DI168" i="51"/>
  <c r="DG168" i="51"/>
  <c r="DF168" i="51"/>
  <c r="DE168" i="51"/>
  <c r="DD168" i="51"/>
  <c r="DB168" i="51"/>
  <c r="DA168" i="51"/>
  <c r="CZ168" i="51"/>
  <c r="CY168" i="51"/>
  <c r="CW168" i="51"/>
  <c r="CV168" i="51"/>
  <c r="CU168" i="51"/>
  <c r="CT168" i="51"/>
  <c r="CR168" i="51"/>
  <c r="CQ168" i="51"/>
  <c r="CP168" i="51"/>
  <c r="CO168" i="51"/>
  <c r="CM168" i="51"/>
  <c r="CL168" i="51"/>
  <c r="CK168" i="51"/>
  <c r="CJ168" i="51"/>
  <c r="CH168" i="51"/>
  <c r="CG168" i="51"/>
  <c r="CF168" i="51"/>
  <c r="CE168" i="51"/>
  <c r="CC168" i="51"/>
  <c r="CB168" i="51"/>
  <c r="CA168" i="51"/>
  <c r="BZ168" i="51"/>
  <c r="BX168" i="51"/>
  <c r="BW168" i="51"/>
  <c r="BV168" i="51"/>
  <c r="BU168" i="51"/>
  <c r="BT168" i="51"/>
  <c r="BY168" i="51" s="1"/>
  <c r="CD168" i="51" s="1"/>
  <c r="CI168" i="51" s="1"/>
  <c r="CN168" i="51" s="1"/>
  <c r="CS168" i="51" s="1"/>
  <c r="CX168" i="51" s="1"/>
  <c r="DC168" i="51" s="1"/>
  <c r="DH168" i="51" s="1"/>
  <c r="DM168" i="51" s="1"/>
  <c r="DR168" i="51" s="1"/>
  <c r="BS168" i="51"/>
  <c r="BR168" i="51"/>
  <c r="BQ168" i="51"/>
  <c r="BP168" i="51"/>
  <c r="CW167" i="51"/>
  <c r="CV167" i="51"/>
  <c r="CU167" i="51"/>
  <c r="CT167" i="51"/>
  <c r="CR167" i="51"/>
  <c r="CQ167" i="51"/>
  <c r="CP167" i="51"/>
  <c r="CO167" i="51"/>
  <c r="CM167" i="51"/>
  <c r="CL167" i="51"/>
  <c r="CK167" i="51"/>
  <c r="CJ167" i="51"/>
  <c r="CH167" i="51"/>
  <c r="CG167" i="51"/>
  <c r="CF167" i="51"/>
  <c r="CE167" i="51"/>
  <c r="CC167" i="51"/>
  <c r="CB167" i="51"/>
  <c r="CA167" i="51"/>
  <c r="BZ167" i="51"/>
  <c r="BX167" i="51"/>
  <c r="BW167" i="51"/>
  <c r="BV167" i="51"/>
  <c r="BU167" i="51"/>
  <c r="BT167" i="51"/>
  <c r="BY167" i="51" s="1"/>
  <c r="CD167" i="51" s="1"/>
  <c r="CI167" i="51" s="1"/>
  <c r="CN167" i="51" s="1"/>
  <c r="CS167" i="51" s="1"/>
  <c r="CX167" i="51" s="1"/>
  <c r="DC167" i="51" s="1"/>
  <c r="DH167" i="51" s="1"/>
  <c r="BS167" i="51"/>
  <c r="BR167" i="51"/>
  <c r="BQ167" i="51"/>
  <c r="BP167" i="51"/>
  <c r="DL164" i="51"/>
  <c r="DK164" i="51"/>
  <c r="DJ164" i="51"/>
  <c r="DI164" i="51"/>
  <c r="DG164" i="51"/>
  <c r="DF164" i="51"/>
  <c r="DE164" i="51"/>
  <c r="DD164" i="51"/>
  <c r="DB164" i="51"/>
  <c r="DA164" i="51"/>
  <c r="CZ164" i="51"/>
  <c r="CY164" i="51"/>
  <c r="CW164" i="51"/>
  <c r="CV164" i="51"/>
  <c r="CU164" i="51"/>
  <c r="CT164" i="51"/>
  <c r="CR164" i="51"/>
  <c r="CQ164" i="51"/>
  <c r="CP164" i="51"/>
  <c r="CO164" i="51"/>
  <c r="CM164" i="51"/>
  <c r="CL164" i="51"/>
  <c r="CK164" i="51"/>
  <c r="CJ164" i="51"/>
  <c r="CH164" i="51"/>
  <c r="CG164" i="51"/>
  <c r="CF164" i="51"/>
  <c r="CE164" i="51"/>
  <c r="CC164" i="51"/>
  <c r="CB164" i="51"/>
  <c r="CA164" i="51"/>
  <c r="BZ164" i="51"/>
  <c r="BX164" i="51"/>
  <c r="BW164" i="51"/>
  <c r="BV164" i="51"/>
  <c r="BU164" i="51"/>
  <c r="BT164" i="51"/>
  <c r="BY164" i="51" s="1"/>
  <c r="CD164" i="51" s="1"/>
  <c r="CI164" i="51" s="1"/>
  <c r="CN164" i="51" s="1"/>
  <c r="CS164" i="51" s="1"/>
  <c r="CX164" i="51" s="1"/>
  <c r="DC164" i="51" s="1"/>
  <c r="DH164" i="51" s="1"/>
  <c r="DM164" i="51" s="1"/>
  <c r="DR164" i="51" s="1"/>
  <c r="BS164" i="51"/>
  <c r="BR164" i="51"/>
  <c r="BQ164" i="51"/>
  <c r="BP164" i="51"/>
  <c r="DG163" i="51"/>
  <c r="DF163" i="51"/>
  <c r="DE163" i="51"/>
  <c r="DD163" i="51"/>
  <c r="DB163" i="51"/>
  <c r="DA163" i="51"/>
  <c r="CZ163" i="51"/>
  <c r="CY163" i="51"/>
  <c r="CW163" i="51"/>
  <c r="CV163" i="51"/>
  <c r="CU163" i="51"/>
  <c r="CT163" i="51"/>
  <c r="CR163" i="51"/>
  <c r="CQ163" i="51"/>
  <c r="CP163" i="51"/>
  <c r="CO163" i="51"/>
  <c r="CM163" i="51"/>
  <c r="CL163" i="51"/>
  <c r="CK163" i="51"/>
  <c r="CJ163" i="51"/>
  <c r="CH163" i="51"/>
  <c r="CG163" i="51"/>
  <c r="CF163" i="51"/>
  <c r="CE163" i="51"/>
  <c r="CC163" i="51"/>
  <c r="CB163" i="51"/>
  <c r="CA163" i="51"/>
  <c r="BZ163" i="51"/>
  <c r="BX163" i="51"/>
  <c r="BW163" i="51"/>
  <c r="BV163" i="51"/>
  <c r="BU163" i="51"/>
  <c r="BT163" i="51"/>
  <c r="BY163" i="51" s="1"/>
  <c r="CD163" i="51" s="1"/>
  <c r="CI163" i="51" s="1"/>
  <c r="CN163" i="51" s="1"/>
  <c r="CS163" i="51" s="1"/>
  <c r="CX163" i="51" s="1"/>
  <c r="DC163" i="51" s="1"/>
  <c r="DH163" i="51" s="1"/>
  <c r="BS163" i="51"/>
  <c r="BR163" i="51"/>
  <c r="BQ163" i="51"/>
  <c r="BP163" i="51"/>
  <c r="DL162" i="51"/>
  <c r="DK162" i="51"/>
  <c r="DJ162" i="51"/>
  <c r="DI162" i="51"/>
  <c r="DG162" i="51"/>
  <c r="DF162" i="51"/>
  <c r="DE162" i="51"/>
  <c r="DD162" i="51"/>
  <c r="CR162" i="51"/>
  <c r="CQ162" i="51"/>
  <c r="CP162" i="51"/>
  <c r="CO162" i="51"/>
  <c r="CM162" i="51"/>
  <c r="CL162" i="51"/>
  <c r="CK162" i="51"/>
  <c r="CJ162" i="51"/>
  <c r="CH162" i="51"/>
  <c r="CG162" i="51"/>
  <c r="CF162" i="51"/>
  <c r="CE162" i="51"/>
  <c r="CC162" i="51"/>
  <c r="CB162" i="51"/>
  <c r="CA162" i="51"/>
  <c r="BZ162" i="51"/>
  <c r="BX162" i="51"/>
  <c r="BW162" i="51"/>
  <c r="BV162" i="51"/>
  <c r="BU162" i="51"/>
  <c r="BT162" i="51"/>
  <c r="BY162" i="51" s="1"/>
  <c r="CD162" i="51" s="1"/>
  <c r="CI162" i="51" s="1"/>
  <c r="CN162" i="51" s="1"/>
  <c r="CS162" i="51" s="1"/>
  <c r="BS162" i="51"/>
  <c r="BR162" i="51"/>
  <c r="BQ162" i="51"/>
  <c r="BP162" i="51"/>
  <c r="DL159" i="51"/>
  <c r="DK159" i="51"/>
  <c r="DJ159" i="51"/>
  <c r="DI159" i="51"/>
  <c r="DG159" i="51"/>
  <c r="DF159" i="51"/>
  <c r="DE159" i="51"/>
  <c r="DD159" i="51"/>
  <c r="DB159" i="51"/>
  <c r="DA159" i="51"/>
  <c r="CZ159" i="51"/>
  <c r="CY159" i="51"/>
  <c r="CW159" i="51"/>
  <c r="CV159" i="51"/>
  <c r="CU159" i="51"/>
  <c r="CT159" i="51"/>
  <c r="CR159" i="51"/>
  <c r="CQ159" i="51"/>
  <c r="CP159" i="51"/>
  <c r="CO159" i="51"/>
  <c r="CM159" i="51"/>
  <c r="CL159" i="51"/>
  <c r="CK159" i="51"/>
  <c r="CJ159" i="51"/>
  <c r="CH159" i="51"/>
  <c r="CG159" i="51"/>
  <c r="CF159" i="51"/>
  <c r="CE159" i="51"/>
  <c r="CC159" i="51"/>
  <c r="CB159" i="51"/>
  <c r="CA159" i="51"/>
  <c r="BZ159" i="51"/>
  <c r="BX159" i="51"/>
  <c r="BW159" i="51"/>
  <c r="BV159" i="51"/>
  <c r="BU159" i="51"/>
  <c r="BT159" i="51"/>
  <c r="BY159" i="51" s="1"/>
  <c r="CD159" i="51" s="1"/>
  <c r="CI159" i="51" s="1"/>
  <c r="CN159" i="51" s="1"/>
  <c r="CS159" i="51" s="1"/>
  <c r="CX159" i="51" s="1"/>
  <c r="DC159" i="51" s="1"/>
  <c r="DH159" i="51" s="1"/>
  <c r="DM159" i="51" s="1"/>
  <c r="DR159" i="51" s="1"/>
  <c r="BS159" i="51"/>
  <c r="BR159" i="51"/>
  <c r="BQ159" i="51"/>
  <c r="BP159" i="51"/>
  <c r="DL158" i="51"/>
  <c r="DK158" i="51"/>
  <c r="DJ158" i="51"/>
  <c r="DI158" i="51"/>
  <c r="DG158" i="51"/>
  <c r="DF158" i="51"/>
  <c r="DE158" i="51"/>
  <c r="DD158" i="51"/>
  <c r="DB158" i="51"/>
  <c r="DA158" i="51"/>
  <c r="CZ158" i="51"/>
  <c r="CY158" i="51"/>
  <c r="CW158" i="51"/>
  <c r="CV158" i="51"/>
  <c r="CU158" i="51"/>
  <c r="CT158" i="51"/>
  <c r="CR158" i="51"/>
  <c r="CQ158" i="51"/>
  <c r="CP158" i="51"/>
  <c r="CO158" i="51"/>
  <c r="CM158" i="51"/>
  <c r="CL158" i="51"/>
  <c r="CK158" i="51"/>
  <c r="CJ158" i="51"/>
  <c r="CH158" i="51"/>
  <c r="CG158" i="51"/>
  <c r="CF158" i="51"/>
  <c r="CE158" i="51"/>
  <c r="CC158" i="51"/>
  <c r="CB158" i="51"/>
  <c r="CA158" i="51"/>
  <c r="BZ158" i="51"/>
  <c r="BX158" i="51"/>
  <c r="BW158" i="51"/>
  <c r="BV158" i="51"/>
  <c r="BU158" i="51"/>
  <c r="BT158" i="51"/>
  <c r="BY158" i="51" s="1"/>
  <c r="CD158" i="51" s="1"/>
  <c r="CI158" i="51" s="1"/>
  <c r="CN158" i="51" s="1"/>
  <c r="CS158" i="51" s="1"/>
  <c r="CX158" i="51" s="1"/>
  <c r="DC158" i="51" s="1"/>
  <c r="DH158" i="51" s="1"/>
  <c r="DM158" i="51" s="1"/>
  <c r="DR158" i="51" s="1"/>
  <c r="BS158" i="51"/>
  <c r="BR158" i="51"/>
  <c r="BQ158" i="51"/>
  <c r="BP158" i="51"/>
  <c r="DG157" i="51"/>
  <c r="DF157" i="51"/>
  <c r="DE157" i="51"/>
  <c r="DD157" i="51"/>
  <c r="DB157" i="51"/>
  <c r="DA157" i="51"/>
  <c r="CZ157" i="51"/>
  <c r="CY157" i="51"/>
  <c r="CW157" i="51"/>
  <c r="CV157" i="51"/>
  <c r="CU157" i="51"/>
  <c r="CT157" i="51"/>
  <c r="CR157" i="51"/>
  <c r="CQ157" i="51"/>
  <c r="CP157" i="51"/>
  <c r="CO157" i="51"/>
  <c r="CM157" i="51"/>
  <c r="CL157" i="51"/>
  <c r="CK157" i="51"/>
  <c r="CJ157" i="51"/>
  <c r="CH157" i="51"/>
  <c r="CG157" i="51"/>
  <c r="CF157" i="51"/>
  <c r="CE157" i="51"/>
  <c r="CC157" i="51"/>
  <c r="CB157" i="51"/>
  <c r="CA157" i="51"/>
  <c r="BZ157" i="51"/>
  <c r="BX157" i="51"/>
  <c r="BW157" i="51"/>
  <c r="BV157" i="51"/>
  <c r="BU157" i="51"/>
  <c r="BT157" i="51"/>
  <c r="BY157" i="51" s="1"/>
  <c r="CD157" i="51" s="1"/>
  <c r="CI157" i="51" s="1"/>
  <c r="CN157" i="51" s="1"/>
  <c r="CS157" i="51" s="1"/>
  <c r="CX157" i="51" s="1"/>
  <c r="DC157" i="51" s="1"/>
  <c r="DH157" i="51" s="1"/>
  <c r="BS157" i="51"/>
  <c r="BR157" i="51"/>
  <c r="BQ157" i="51"/>
  <c r="BP157" i="51"/>
  <c r="DL154" i="51"/>
  <c r="DK154" i="51"/>
  <c r="DJ154" i="51"/>
  <c r="DI154" i="51"/>
  <c r="DG154" i="51"/>
  <c r="DF154" i="51"/>
  <c r="DE154" i="51"/>
  <c r="DD154" i="51"/>
  <c r="DB154" i="51"/>
  <c r="DA154" i="51"/>
  <c r="CZ154" i="51"/>
  <c r="CY154" i="51"/>
  <c r="CW154" i="51"/>
  <c r="CV154" i="51"/>
  <c r="CU154" i="51"/>
  <c r="CT154" i="51"/>
  <c r="CR154" i="51"/>
  <c r="CQ154" i="51"/>
  <c r="CP154" i="51"/>
  <c r="CO154" i="51"/>
  <c r="CM154" i="51"/>
  <c r="CL154" i="51"/>
  <c r="CK154" i="51"/>
  <c r="CJ154" i="51"/>
  <c r="CH154" i="51"/>
  <c r="CG154" i="51"/>
  <c r="CF154" i="51"/>
  <c r="CE154" i="51"/>
  <c r="CC154" i="51"/>
  <c r="CB154" i="51"/>
  <c r="CA154" i="51"/>
  <c r="BZ154" i="51"/>
  <c r="BX154" i="51"/>
  <c r="BW154" i="51"/>
  <c r="BV154" i="51"/>
  <c r="BU154" i="51"/>
  <c r="BT154" i="51"/>
  <c r="BY154" i="51" s="1"/>
  <c r="CD154" i="51" s="1"/>
  <c r="CI154" i="51" s="1"/>
  <c r="CN154" i="51" s="1"/>
  <c r="CS154" i="51" s="1"/>
  <c r="CX154" i="51" s="1"/>
  <c r="DC154" i="51" s="1"/>
  <c r="DH154" i="51" s="1"/>
  <c r="DM154" i="51" s="1"/>
  <c r="DR154" i="51" s="1"/>
  <c r="BS154" i="51"/>
  <c r="BR154" i="51"/>
  <c r="BQ154" i="51"/>
  <c r="BP154" i="51"/>
  <c r="DG153" i="51"/>
  <c r="DF153" i="51"/>
  <c r="DE153" i="51"/>
  <c r="DD153" i="51"/>
  <c r="DB153" i="51"/>
  <c r="DA153" i="51"/>
  <c r="CZ153" i="51"/>
  <c r="CY153" i="51"/>
  <c r="CW153" i="51"/>
  <c r="CV153" i="51"/>
  <c r="CU153" i="51"/>
  <c r="CT153" i="51"/>
  <c r="CR153" i="51"/>
  <c r="CQ153" i="51"/>
  <c r="CP153" i="51"/>
  <c r="CO153" i="51"/>
  <c r="CM153" i="51"/>
  <c r="CL153" i="51"/>
  <c r="CK153" i="51"/>
  <c r="CJ153" i="51"/>
  <c r="CH153" i="51"/>
  <c r="CG153" i="51"/>
  <c r="CF153" i="51"/>
  <c r="CE153" i="51"/>
  <c r="CC153" i="51"/>
  <c r="CB153" i="51"/>
  <c r="CA153" i="51"/>
  <c r="BZ153" i="51"/>
  <c r="BX153" i="51"/>
  <c r="BW153" i="51"/>
  <c r="BV153" i="51"/>
  <c r="BU153" i="51"/>
  <c r="BT153" i="51"/>
  <c r="BY153" i="51" s="1"/>
  <c r="CD153" i="51" s="1"/>
  <c r="CI153" i="51" s="1"/>
  <c r="CN153" i="51" s="1"/>
  <c r="CS153" i="51" s="1"/>
  <c r="CX153" i="51" s="1"/>
  <c r="DC153" i="51" s="1"/>
  <c r="DH153" i="51" s="1"/>
  <c r="DM153" i="51" s="1"/>
  <c r="BS153" i="51"/>
  <c r="BR153" i="51"/>
  <c r="BQ153" i="51"/>
  <c r="BP153" i="51"/>
  <c r="DL152" i="51"/>
  <c r="DK152" i="51"/>
  <c r="DJ152" i="51"/>
  <c r="DI152" i="51"/>
  <c r="DG152" i="51"/>
  <c r="DF152" i="51"/>
  <c r="DE152" i="51"/>
  <c r="DD152" i="51"/>
  <c r="CR152" i="51"/>
  <c r="CQ152" i="51"/>
  <c r="CP152" i="51"/>
  <c r="CO152" i="51"/>
  <c r="CM152" i="51"/>
  <c r="CL152" i="51"/>
  <c r="CK152" i="51"/>
  <c r="CJ152" i="51"/>
  <c r="CH152" i="51"/>
  <c r="CG152" i="51"/>
  <c r="CF152" i="51"/>
  <c r="CE152" i="51"/>
  <c r="CC152" i="51"/>
  <c r="CB152" i="51"/>
  <c r="CA152" i="51"/>
  <c r="BZ152" i="51"/>
  <c r="BX152" i="51"/>
  <c r="BW152" i="51"/>
  <c r="BV152" i="51"/>
  <c r="BU152" i="51"/>
  <c r="BT152" i="51"/>
  <c r="BY152" i="51" s="1"/>
  <c r="CD152" i="51" s="1"/>
  <c r="CI152" i="51" s="1"/>
  <c r="CN152" i="51" s="1"/>
  <c r="CS152" i="51" s="1"/>
  <c r="BS152" i="51"/>
  <c r="BR152" i="51"/>
  <c r="BQ152" i="51"/>
  <c r="BP152" i="51"/>
  <c r="DL149" i="51"/>
  <c r="DK149" i="51"/>
  <c r="DJ149" i="51"/>
  <c r="DI149" i="51"/>
  <c r="DG149" i="51"/>
  <c r="DF149" i="51"/>
  <c r="DE149" i="51"/>
  <c r="DD149" i="51"/>
  <c r="DB149" i="51"/>
  <c r="DA149" i="51"/>
  <c r="CZ149" i="51"/>
  <c r="CY149" i="51"/>
  <c r="CW149" i="51"/>
  <c r="CV149" i="51"/>
  <c r="CU149" i="51"/>
  <c r="CT149" i="51"/>
  <c r="CR149" i="51"/>
  <c r="CQ149" i="51"/>
  <c r="CP149" i="51"/>
  <c r="CO149" i="51"/>
  <c r="CM149" i="51"/>
  <c r="CL149" i="51"/>
  <c r="CK149" i="51"/>
  <c r="CJ149" i="51"/>
  <c r="CH149" i="51"/>
  <c r="CG149" i="51"/>
  <c r="CF149" i="51"/>
  <c r="CE149" i="51"/>
  <c r="CC149" i="51"/>
  <c r="CB149" i="51"/>
  <c r="CA149" i="51"/>
  <c r="BZ149" i="51"/>
  <c r="BX149" i="51"/>
  <c r="BW149" i="51"/>
  <c r="BV149" i="51"/>
  <c r="BU149" i="51"/>
  <c r="BT149" i="51"/>
  <c r="BY149" i="51" s="1"/>
  <c r="CD149" i="51" s="1"/>
  <c r="CI149" i="51" s="1"/>
  <c r="CN149" i="51" s="1"/>
  <c r="CS149" i="51" s="1"/>
  <c r="CX149" i="51" s="1"/>
  <c r="DC149" i="51" s="1"/>
  <c r="DH149" i="51" s="1"/>
  <c r="DM149" i="51" s="1"/>
  <c r="DR149" i="51" s="1"/>
  <c r="BS149" i="51"/>
  <c r="BR149" i="51"/>
  <c r="BQ149" i="51"/>
  <c r="BP149" i="51"/>
  <c r="DL148" i="51"/>
  <c r="DK148" i="51"/>
  <c r="DJ148" i="51"/>
  <c r="DI148" i="51"/>
  <c r="DG148" i="51"/>
  <c r="DF148" i="51"/>
  <c r="DE148" i="51"/>
  <c r="DD148" i="51"/>
  <c r="DB148" i="51"/>
  <c r="DA148" i="51"/>
  <c r="CZ148" i="51"/>
  <c r="CY148" i="51"/>
  <c r="CW148" i="51"/>
  <c r="CV148" i="51"/>
  <c r="CU148" i="51"/>
  <c r="CT148" i="51"/>
  <c r="CR148" i="51"/>
  <c r="CQ148" i="51"/>
  <c r="CP148" i="51"/>
  <c r="CO148" i="51"/>
  <c r="CM148" i="51"/>
  <c r="CL148" i="51"/>
  <c r="CK148" i="51"/>
  <c r="CJ148" i="51"/>
  <c r="CH148" i="51"/>
  <c r="CG148" i="51"/>
  <c r="CF148" i="51"/>
  <c r="CE148" i="51"/>
  <c r="CC148" i="51"/>
  <c r="CB148" i="51"/>
  <c r="CA148" i="51"/>
  <c r="BZ148" i="51"/>
  <c r="BX148" i="51"/>
  <c r="BW148" i="51"/>
  <c r="BV148" i="51"/>
  <c r="BU148" i="51"/>
  <c r="BT148" i="51"/>
  <c r="BY148" i="51" s="1"/>
  <c r="CD148" i="51" s="1"/>
  <c r="CI148" i="51" s="1"/>
  <c r="CN148" i="51" s="1"/>
  <c r="CS148" i="51" s="1"/>
  <c r="CX148" i="51" s="1"/>
  <c r="DC148" i="51" s="1"/>
  <c r="DH148" i="51" s="1"/>
  <c r="DM148" i="51" s="1"/>
  <c r="DR148" i="51" s="1"/>
  <c r="BS148" i="51"/>
  <c r="BR148" i="51"/>
  <c r="BQ148" i="51"/>
  <c r="BP148" i="51"/>
  <c r="DL144" i="51"/>
  <c r="DK144" i="51"/>
  <c r="DJ144" i="51"/>
  <c r="DI144" i="51"/>
  <c r="DG144" i="51"/>
  <c r="DF144" i="51"/>
  <c r="DE144" i="51"/>
  <c r="DD144" i="51"/>
  <c r="DB144" i="51"/>
  <c r="DA144" i="51"/>
  <c r="CZ144" i="51"/>
  <c r="CY144" i="51"/>
  <c r="CW144" i="51"/>
  <c r="CV144" i="51"/>
  <c r="CU144" i="51"/>
  <c r="CT144" i="51"/>
  <c r="CR144" i="51"/>
  <c r="CQ144" i="51"/>
  <c r="CP144" i="51"/>
  <c r="CO144" i="51"/>
  <c r="CM144" i="51"/>
  <c r="CL144" i="51"/>
  <c r="CK144" i="51"/>
  <c r="CJ144" i="51"/>
  <c r="CH144" i="51"/>
  <c r="CG144" i="51"/>
  <c r="CF144" i="51"/>
  <c r="CE144" i="51"/>
  <c r="CC144" i="51"/>
  <c r="CB144" i="51"/>
  <c r="CA144" i="51"/>
  <c r="BZ144" i="51"/>
  <c r="BX144" i="51"/>
  <c r="BW144" i="51"/>
  <c r="BV144" i="51"/>
  <c r="BU144" i="51"/>
  <c r="BT144" i="51"/>
  <c r="BY144" i="51" s="1"/>
  <c r="CD144" i="51" s="1"/>
  <c r="CI144" i="51" s="1"/>
  <c r="CN144" i="51" s="1"/>
  <c r="CS144" i="51" s="1"/>
  <c r="CX144" i="51" s="1"/>
  <c r="DC144" i="51" s="1"/>
  <c r="DH144" i="51" s="1"/>
  <c r="DM144" i="51" s="1"/>
  <c r="DR144" i="51" s="1"/>
  <c r="BS144" i="51"/>
  <c r="BR144" i="51"/>
  <c r="BQ144" i="51"/>
  <c r="BP144" i="51"/>
  <c r="DL143" i="51"/>
  <c r="DK143" i="51"/>
  <c r="DJ143" i="51"/>
  <c r="DI143" i="51"/>
  <c r="CW143" i="51"/>
  <c r="CV143" i="51"/>
  <c r="CU143" i="51"/>
  <c r="CT143" i="51"/>
  <c r="CR143" i="51"/>
  <c r="CQ143" i="51"/>
  <c r="CP143" i="51"/>
  <c r="CO143" i="51"/>
  <c r="CM143" i="51"/>
  <c r="CL143" i="51"/>
  <c r="CK143" i="51"/>
  <c r="CJ143" i="51"/>
  <c r="CH143" i="51"/>
  <c r="CG143" i="51"/>
  <c r="CF143" i="51"/>
  <c r="CE143" i="51"/>
  <c r="CC143" i="51"/>
  <c r="CB143" i="51"/>
  <c r="CA143" i="51"/>
  <c r="BZ143" i="51"/>
  <c r="BX143" i="51"/>
  <c r="BW143" i="51"/>
  <c r="BV143" i="51"/>
  <c r="BU143" i="51"/>
  <c r="BT143" i="51"/>
  <c r="BY143" i="51" s="1"/>
  <c r="CD143" i="51" s="1"/>
  <c r="CI143" i="51" s="1"/>
  <c r="CN143" i="51" s="1"/>
  <c r="CS143" i="51" s="1"/>
  <c r="CX143" i="51" s="1"/>
  <c r="BS143" i="51"/>
  <c r="BR143" i="51"/>
  <c r="BQ143" i="51"/>
  <c r="BP143" i="51"/>
  <c r="DL147" i="51"/>
  <c r="DK147" i="51"/>
  <c r="DJ147" i="51"/>
  <c r="DI147" i="51"/>
  <c r="DG147" i="51"/>
  <c r="DF147" i="51"/>
  <c r="DE147" i="51"/>
  <c r="DD147" i="51"/>
  <c r="CR147" i="51"/>
  <c r="CQ147" i="51"/>
  <c r="CP147" i="51"/>
  <c r="CO147" i="51"/>
  <c r="CM147" i="51"/>
  <c r="CL147" i="51"/>
  <c r="CK147" i="51"/>
  <c r="CJ147" i="51"/>
  <c r="CH147" i="51"/>
  <c r="CG147" i="51"/>
  <c r="CF147" i="51"/>
  <c r="CE147" i="51"/>
  <c r="CC147" i="51"/>
  <c r="CB147" i="51"/>
  <c r="CA147" i="51"/>
  <c r="BZ147" i="51"/>
  <c r="BX147" i="51"/>
  <c r="BW147" i="51"/>
  <c r="BV147" i="51"/>
  <c r="BU147" i="51"/>
  <c r="BT147" i="51"/>
  <c r="BY147" i="51" s="1"/>
  <c r="CD147" i="51" s="1"/>
  <c r="CI147" i="51" s="1"/>
  <c r="CN147" i="51" s="1"/>
  <c r="CS147" i="51" s="1"/>
  <c r="BS147" i="51"/>
  <c r="BR147" i="51"/>
  <c r="BQ147" i="51"/>
  <c r="BP147" i="51"/>
  <c r="DL146" i="51"/>
  <c r="DK146" i="51"/>
  <c r="DJ146" i="51"/>
  <c r="DI146" i="51"/>
  <c r="DG146" i="51"/>
  <c r="DF146" i="51"/>
  <c r="DE146" i="51"/>
  <c r="DD146" i="51"/>
  <c r="CR146" i="51"/>
  <c r="CQ146" i="51"/>
  <c r="CP146" i="51"/>
  <c r="CO146" i="51"/>
  <c r="CM146" i="51"/>
  <c r="CL146" i="51"/>
  <c r="CK146" i="51"/>
  <c r="CJ146" i="51"/>
  <c r="CH146" i="51"/>
  <c r="CG146" i="51"/>
  <c r="CF146" i="51"/>
  <c r="CE146" i="51"/>
  <c r="CC146" i="51"/>
  <c r="CB146" i="51"/>
  <c r="CA146" i="51"/>
  <c r="BZ146" i="51"/>
  <c r="BX146" i="51"/>
  <c r="BW146" i="51"/>
  <c r="BV146" i="51"/>
  <c r="BU146" i="51"/>
  <c r="BT146" i="51"/>
  <c r="BY146" i="51" s="1"/>
  <c r="CD146" i="51" s="1"/>
  <c r="CI146" i="51" s="1"/>
  <c r="CN146" i="51" s="1"/>
  <c r="CS146" i="51" s="1"/>
  <c r="BS146" i="51"/>
  <c r="BR146" i="51"/>
  <c r="BQ146" i="51"/>
  <c r="BP146" i="51"/>
  <c r="DL140" i="51"/>
  <c r="DK140" i="51"/>
  <c r="DJ140" i="51"/>
  <c r="DI140" i="51"/>
  <c r="DG140" i="51"/>
  <c r="DF140" i="51"/>
  <c r="DE140" i="51"/>
  <c r="DD140" i="51"/>
  <c r="DB140" i="51"/>
  <c r="DA140" i="51"/>
  <c r="CZ140" i="51"/>
  <c r="CY140" i="51"/>
  <c r="CW140" i="51"/>
  <c r="CV140" i="51"/>
  <c r="CU140" i="51"/>
  <c r="CT140" i="51"/>
  <c r="CR140" i="51"/>
  <c r="CQ140" i="51"/>
  <c r="CP140" i="51"/>
  <c r="CO140" i="51"/>
  <c r="CM140" i="51"/>
  <c r="CL140" i="51"/>
  <c r="CK140" i="51"/>
  <c r="CJ140" i="51"/>
  <c r="CH140" i="51"/>
  <c r="CG140" i="51"/>
  <c r="CF140" i="51"/>
  <c r="CE140" i="51"/>
  <c r="CC140" i="51"/>
  <c r="CB140" i="51"/>
  <c r="CA140" i="51"/>
  <c r="BZ140" i="51"/>
  <c r="BX140" i="51"/>
  <c r="BW140" i="51"/>
  <c r="BV140" i="51"/>
  <c r="BU140" i="51"/>
  <c r="BT140" i="51"/>
  <c r="BY140" i="51" s="1"/>
  <c r="CD140" i="51" s="1"/>
  <c r="CI140" i="51" s="1"/>
  <c r="CN140" i="51" s="1"/>
  <c r="CS140" i="51" s="1"/>
  <c r="CX140" i="51" s="1"/>
  <c r="DC140" i="51" s="1"/>
  <c r="DH140" i="51" s="1"/>
  <c r="DM140" i="51" s="1"/>
  <c r="DR140" i="51" s="1"/>
  <c r="BS140" i="51"/>
  <c r="BR140" i="51"/>
  <c r="BQ140" i="51"/>
  <c r="BP140" i="51"/>
  <c r="DB137" i="51"/>
  <c r="DA137" i="51"/>
  <c r="CZ137" i="51"/>
  <c r="CY137" i="51"/>
  <c r="CW137" i="51"/>
  <c r="CV137" i="51"/>
  <c r="CU137" i="51"/>
  <c r="CT137" i="51"/>
  <c r="CR137" i="51"/>
  <c r="CQ137" i="51"/>
  <c r="CP137" i="51"/>
  <c r="CO137" i="51"/>
  <c r="CM137" i="51"/>
  <c r="CL137" i="51"/>
  <c r="CK137" i="51"/>
  <c r="CJ137" i="51"/>
  <c r="CH137" i="51"/>
  <c r="CG137" i="51"/>
  <c r="CF137" i="51"/>
  <c r="CE137" i="51"/>
  <c r="CC137" i="51"/>
  <c r="CB137" i="51"/>
  <c r="CA137" i="51"/>
  <c r="BZ137" i="51"/>
  <c r="BX137" i="51"/>
  <c r="BW137" i="51"/>
  <c r="BV137" i="51"/>
  <c r="BU137" i="51"/>
  <c r="BT137" i="51"/>
  <c r="BY137" i="51" s="1"/>
  <c r="CD137" i="51" s="1"/>
  <c r="CI137" i="51" s="1"/>
  <c r="CN137" i="51" s="1"/>
  <c r="CS137" i="51" s="1"/>
  <c r="CX137" i="51" s="1"/>
  <c r="DC137" i="51" s="1"/>
  <c r="BS137" i="51"/>
  <c r="BR137" i="51"/>
  <c r="BQ137" i="51"/>
  <c r="BP137" i="51"/>
  <c r="DL138" i="51"/>
  <c r="DK138" i="51"/>
  <c r="DJ138" i="51"/>
  <c r="DI138" i="51"/>
  <c r="DG138" i="51"/>
  <c r="DF138" i="51"/>
  <c r="DE138" i="51"/>
  <c r="DD138" i="51"/>
  <c r="DB138" i="51"/>
  <c r="DA138" i="51"/>
  <c r="CZ138" i="51"/>
  <c r="CY138" i="51"/>
  <c r="CW138" i="51"/>
  <c r="CV138" i="51"/>
  <c r="CU138" i="51"/>
  <c r="CT138" i="51"/>
  <c r="CR138" i="51"/>
  <c r="CQ138" i="51"/>
  <c r="CP138" i="51"/>
  <c r="CO138" i="51"/>
  <c r="CM138" i="51"/>
  <c r="CL138" i="51"/>
  <c r="CK138" i="51"/>
  <c r="CJ138" i="51"/>
  <c r="CH138" i="51"/>
  <c r="CG138" i="51"/>
  <c r="CF138" i="51"/>
  <c r="CE138" i="51"/>
  <c r="CC138" i="51"/>
  <c r="CB138" i="51"/>
  <c r="CA138" i="51"/>
  <c r="BZ138" i="51"/>
  <c r="BX138" i="51"/>
  <c r="BW138" i="51"/>
  <c r="BV138" i="51"/>
  <c r="BU138" i="51"/>
  <c r="BT138" i="51"/>
  <c r="BY138" i="51" s="1"/>
  <c r="CD138" i="51" s="1"/>
  <c r="CI138" i="51" s="1"/>
  <c r="CN138" i="51" s="1"/>
  <c r="CS138" i="51" s="1"/>
  <c r="CX138" i="51" s="1"/>
  <c r="DC138" i="51" s="1"/>
  <c r="DH138" i="51" s="1"/>
  <c r="DM138" i="51" s="1"/>
  <c r="DR138" i="51" s="1"/>
  <c r="BS138" i="51"/>
  <c r="BR138" i="51"/>
  <c r="BQ138" i="51"/>
  <c r="BP138" i="51"/>
  <c r="DL134" i="51"/>
  <c r="DK134" i="51"/>
  <c r="DJ134" i="51"/>
  <c r="DI134" i="51"/>
  <c r="DG134" i="51"/>
  <c r="DF134" i="51"/>
  <c r="DE134" i="51"/>
  <c r="DD134" i="51"/>
  <c r="DB134" i="51"/>
  <c r="DA134" i="51"/>
  <c r="CZ134" i="51"/>
  <c r="CY134" i="51"/>
  <c r="CW134" i="51"/>
  <c r="CV134" i="51"/>
  <c r="CU134" i="51"/>
  <c r="CT134" i="51"/>
  <c r="CR134" i="51"/>
  <c r="CQ134" i="51"/>
  <c r="CP134" i="51"/>
  <c r="CO134" i="51"/>
  <c r="CM134" i="51"/>
  <c r="CL134" i="51"/>
  <c r="CK134" i="51"/>
  <c r="CJ134" i="51"/>
  <c r="CH134" i="51"/>
  <c r="CG134" i="51"/>
  <c r="CF134" i="51"/>
  <c r="CE134" i="51"/>
  <c r="CC134" i="51"/>
  <c r="CB134" i="51"/>
  <c r="CA134" i="51"/>
  <c r="BZ134" i="51"/>
  <c r="BX134" i="51"/>
  <c r="BW134" i="51"/>
  <c r="BV134" i="51"/>
  <c r="BU134" i="51"/>
  <c r="BT134" i="51"/>
  <c r="BY134" i="51" s="1"/>
  <c r="CD134" i="51" s="1"/>
  <c r="CI134" i="51" s="1"/>
  <c r="CN134" i="51" s="1"/>
  <c r="CS134" i="51" s="1"/>
  <c r="CX134" i="51" s="1"/>
  <c r="DC134" i="51" s="1"/>
  <c r="DH134" i="51" s="1"/>
  <c r="DM134" i="51" s="1"/>
  <c r="DR134" i="51" s="1"/>
  <c r="BS134" i="51"/>
  <c r="BR134" i="51"/>
  <c r="BQ134" i="51"/>
  <c r="BP134" i="51"/>
  <c r="DG133" i="51"/>
  <c r="DF133" i="51"/>
  <c r="DE133" i="51"/>
  <c r="DD133" i="51"/>
  <c r="DB133" i="51"/>
  <c r="DA133" i="51"/>
  <c r="CZ133" i="51"/>
  <c r="CY133" i="51"/>
  <c r="CW133" i="51"/>
  <c r="CV133" i="51"/>
  <c r="CU133" i="51"/>
  <c r="CT133" i="51"/>
  <c r="CR133" i="51"/>
  <c r="CQ133" i="51"/>
  <c r="CP133" i="51"/>
  <c r="CO133" i="51"/>
  <c r="CM133" i="51"/>
  <c r="CL133" i="51"/>
  <c r="CK133" i="51"/>
  <c r="CJ133" i="51"/>
  <c r="CH133" i="51"/>
  <c r="CG133" i="51"/>
  <c r="CF133" i="51"/>
  <c r="CE133" i="51"/>
  <c r="CC133" i="51"/>
  <c r="CB133" i="51"/>
  <c r="CA133" i="51"/>
  <c r="BZ133" i="51"/>
  <c r="BX133" i="51"/>
  <c r="BW133" i="51"/>
  <c r="BV133" i="51"/>
  <c r="BU133" i="51"/>
  <c r="BT133" i="51"/>
  <c r="BY133" i="51" s="1"/>
  <c r="CD133" i="51" s="1"/>
  <c r="CI133" i="51" s="1"/>
  <c r="CN133" i="51" s="1"/>
  <c r="CS133" i="51" s="1"/>
  <c r="CX133" i="51" s="1"/>
  <c r="DC133" i="51" s="1"/>
  <c r="DH133" i="51" s="1"/>
  <c r="BS133" i="51"/>
  <c r="BR133" i="51"/>
  <c r="BQ133" i="51"/>
  <c r="BP133" i="51"/>
  <c r="DL132" i="51"/>
  <c r="DK132" i="51"/>
  <c r="DJ132" i="51"/>
  <c r="DI132" i="51"/>
  <c r="DG132" i="51"/>
  <c r="DF132" i="51"/>
  <c r="DE132" i="51"/>
  <c r="DD132" i="51"/>
  <c r="CR132" i="51"/>
  <c r="CQ132" i="51"/>
  <c r="CP132" i="51"/>
  <c r="CO132" i="51"/>
  <c r="CM132" i="51"/>
  <c r="CL132" i="51"/>
  <c r="CK132" i="51"/>
  <c r="CJ132" i="51"/>
  <c r="CH132" i="51"/>
  <c r="CG132" i="51"/>
  <c r="CF132" i="51"/>
  <c r="CE132" i="51"/>
  <c r="CC132" i="51"/>
  <c r="CB132" i="51"/>
  <c r="CA132" i="51"/>
  <c r="BZ132" i="51"/>
  <c r="BX132" i="51"/>
  <c r="BW132" i="51"/>
  <c r="BV132" i="51"/>
  <c r="BU132" i="51"/>
  <c r="BT132" i="51"/>
  <c r="BY132" i="51" s="1"/>
  <c r="CD132" i="51" s="1"/>
  <c r="CI132" i="51" s="1"/>
  <c r="CN132" i="51" s="1"/>
  <c r="CS132" i="51" s="1"/>
  <c r="BS132" i="51"/>
  <c r="BR132" i="51"/>
  <c r="BQ132" i="51"/>
  <c r="BP132" i="51"/>
  <c r="E129" i="51"/>
  <c r="E126" i="51"/>
  <c r="E127" i="51"/>
  <c r="F128" i="51"/>
  <c r="F244" i="51" s="1"/>
  <c r="DL129" i="51"/>
  <c r="DK129" i="51"/>
  <c r="DJ129" i="51"/>
  <c r="DI129" i="51"/>
  <c r="DG129" i="51"/>
  <c r="DF129" i="51"/>
  <c r="DE129" i="51"/>
  <c r="DD129" i="51"/>
  <c r="DB129" i="51"/>
  <c r="DA129" i="51"/>
  <c r="CZ129" i="51"/>
  <c r="CY129" i="51"/>
  <c r="CW129" i="51"/>
  <c r="CV129" i="51"/>
  <c r="CU129" i="51"/>
  <c r="CT129" i="51"/>
  <c r="CR129" i="51"/>
  <c r="CQ129" i="51"/>
  <c r="CP129" i="51"/>
  <c r="CO129" i="51"/>
  <c r="CM129" i="51"/>
  <c r="CL129" i="51"/>
  <c r="CK129" i="51"/>
  <c r="CJ129" i="51"/>
  <c r="CH129" i="51"/>
  <c r="CG129" i="51"/>
  <c r="CF129" i="51"/>
  <c r="CE129" i="51"/>
  <c r="CC129" i="51"/>
  <c r="CB129" i="51"/>
  <c r="CA129" i="51"/>
  <c r="BZ129" i="51"/>
  <c r="BX129" i="51"/>
  <c r="BW129" i="51"/>
  <c r="BV129" i="51"/>
  <c r="BU129" i="51"/>
  <c r="BT129" i="51"/>
  <c r="BY129" i="51" s="1"/>
  <c r="CD129" i="51" s="1"/>
  <c r="CI129" i="51" s="1"/>
  <c r="CN129" i="51" s="1"/>
  <c r="CS129" i="51" s="1"/>
  <c r="CX129" i="51" s="1"/>
  <c r="DC129" i="51" s="1"/>
  <c r="DH129" i="51" s="1"/>
  <c r="DM129" i="51" s="1"/>
  <c r="DR129" i="51" s="1"/>
  <c r="BS129" i="51"/>
  <c r="BR129" i="51"/>
  <c r="BQ129" i="51"/>
  <c r="BP129" i="51"/>
  <c r="DL128" i="51"/>
  <c r="DK128" i="51"/>
  <c r="DJ128" i="51"/>
  <c r="DI128" i="51"/>
  <c r="DG128" i="51"/>
  <c r="DF128" i="51"/>
  <c r="DE128" i="51"/>
  <c r="DD128" i="51"/>
  <c r="DB128" i="51"/>
  <c r="DA128" i="51"/>
  <c r="CZ128" i="51"/>
  <c r="CY128" i="51"/>
  <c r="CW128" i="51"/>
  <c r="CV128" i="51"/>
  <c r="CU128" i="51"/>
  <c r="CT128" i="51"/>
  <c r="CR128" i="51"/>
  <c r="CQ128" i="51"/>
  <c r="CP128" i="51"/>
  <c r="CO128" i="51"/>
  <c r="CM128" i="51"/>
  <c r="CL128" i="51"/>
  <c r="CK128" i="51"/>
  <c r="CJ128" i="51"/>
  <c r="CH128" i="51"/>
  <c r="CG128" i="51"/>
  <c r="CF128" i="51"/>
  <c r="CE128" i="51"/>
  <c r="CC128" i="51"/>
  <c r="CB128" i="51"/>
  <c r="CA128" i="51"/>
  <c r="BZ128" i="51"/>
  <c r="BX128" i="51"/>
  <c r="BW128" i="51"/>
  <c r="BV128" i="51"/>
  <c r="BU128" i="51"/>
  <c r="BT128" i="51"/>
  <c r="BY128" i="51" s="1"/>
  <c r="CD128" i="51" s="1"/>
  <c r="CI128" i="51" s="1"/>
  <c r="CN128" i="51" s="1"/>
  <c r="CS128" i="51" s="1"/>
  <c r="CX128" i="51" s="1"/>
  <c r="DC128" i="51" s="1"/>
  <c r="DH128" i="51" s="1"/>
  <c r="DM128" i="51" s="1"/>
  <c r="DR128" i="51" s="1"/>
  <c r="BS128" i="51"/>
  <c r="BR128" i="51"/>
  <c r="BQ128" i="51"/>
  <c r="BP128" i="51"/>
  <c r="DL126" i="51"/>
  <c r="DK126" i="51"/>
  <c r="DJ126" i="51"/>
  <c r="DI126" i="51"/>
  <c r="CW126" i="51"/>
  <c r="CV126" i="51"/>
  <c r="CU126" i="51"/>
  <c r="CT126" i="51"/>
  <c r="CR126" i="51"/>
  <c r="CQ126" i="51"/>
  <c r="CP126" i="51"/>
  <c r="CO126" i="51"/>
  <c r="CM126" i="51"/>
  <c r="CL126" i="51"/>
  <c r="CK126" i="51"/>
  <c r="CJ126" i="51"/>
  <c r="CH126" i="51"/>
  <c r="CG126" i="51"/>
  <c r="CF126" i="51"/>
  <c r="CE126" i="51"/>
  <c r="CC126" i="51"/>
  <c r="CB126" i="51"/>
  <c r="CA126" i="51"/>
  <c r="BZ126" i="51"/>
  <c r="BX126" i="51"/>
  <c r="BW126" i="51"/>
  <c r="BV126" i="51"/>
  <c r="BU126" i="51"/>
  <c r="BT126" i="51"/>
  <c r="BS126" i="51"/>
  <c r="BR126" i="51"/>
  <c r="BQ126" i="51"/>
  <c r="BP126" i="51"/>
  <c r="DL127" i="51"/>
  <c r="DK127" i="51"/>
  <c r="DJ127" i="51"/>
  <c r="DI127" i="51"/>
  <c r="DG127" i="51"/>
  <c r="DF127" i="51"/>
  <c r="DE127" i="51"/>
  <c r="DD127" i="51"/>
  <c r="DB127" i="51"/>
  <c r="DA127" i="51"/>
  <c r="CZ127" i="51"/>
  <c r="CY127" i="51"/>
  <c r="CW127" i="51"/>
  <c r="CV127" i="51"/>
  <c r="CU127" i="51"/>
  <c r="CT127" i="51"/>
  <c r="CR127" i="51"/>
  <c r="CQ127" i="51"/>
  <c r="CP127" i="51"/>
  <c r="CO127" i="51"/>
  <c r="CM127" i="51"/>
  <c r="CL127" i="51"/>
  <c r="CK127" i="51"/>
  <c r="CJ127" i="51"/>
  <c r="CH127" i="51"/>
  <c r="CG127" i="51"/>
  <c r="CF127" i="51"/>
  <c r="CE127" i="51"/>
  <c r="CC127" i="51"/>
  <c r="CB127" i="51"/>
  <c r="CA127" i="51"/>
  <c r="BZ127" i="51"/>
  <c r="BX127" i="51"/>
  <c r="BW127" i="51"/>
  <c r="BV127" i="51"/>
  <c r="BU127" i="51"/>
  <c r="BT127" i="51"/>
  <c r="BS127" i="51"/>
  <c r="BR127" i="51"/>
  <c r="BQ127" i="51"/>
  <c r="BP127" i="51"/>
  <c r="E113" i="51"/>
  <c r="BI113" i="51" s="1"/>
  <c r="E112" i="51"/>
  <c r="BD112" i="51" s="1"/>
  <c r="E111" i="51"/>
  <c r="AY111" i="51" s="1"/>
  <c r="DG113" i="51"/>
  <c r="DF113" i="51"/>
  <c r="DE113" i="51"/>
  <c r="DD113" i="51"/>
  <c r="DB113" i="51"/>
  <c r="DA113" i="51"/>
  <c r="CZ113" i="51"/>
  <c r="CY113" i="51"/>
  <c r="CW113" i="51"/>
  <c r="CV113" i="51"/>
  <c r="CU113" i="51"/>
  <c r="CT113" i="51"/>
  <c r="CR113" i="51"/>
  <c r="CQ113" i="51"/>
  <c r="CP113" i="51"/>
  <c r="CO113" i="51"/>
  <c r="CM113" i="51"/>
  <c r="CL113" i="51"/>
  <c r="CK113" i="51"/>
  <c r="CJ113" i="51"/>
  <c r="CH113" i="51"/>
  <c r="CG113" i="51"/>
  <c r="CF113" i="51"/>
  <c r="CE113" i="51"/>
  <c r="CC113" i="51"/>
  <c r="CB113" i="51"/>
  <c r="CA113" i="51"/>
  <c r="BZ113" i="51"/>
  <c r="BX113" i="51"/>
  <c r="BW113" i="51"/>
  <c r="BV113" i="51"/>
  <c r="BU113" i="51"/>
  <c r="BT113" i="51"/>
  <c r="BY113" i="51" s="1"/>
  <c r="CD113" i="51" s="1"/>
  <c r="CI113" i="51" s="1"/>
  <c r="CN113" i="51" s="1"/>
  <c r="CS113" i="51" s="1"/>
  <c r="CX113" i="51" s="1"/>
  <c r="DC113" i="51" s="1"/>
  <c r="DH113" i="51" s="1"/>
  <c r="BS113" i="51"/>
  <c r="BR113" i="51"/>
  <c r="BQ113" i="51"/>
  <c r="BP113" i="51"/>
  <c r="DB112" i="51"/>
  <c r="DA112" i="51"/>
  <c r="CZ112" i="51"/>
  <c r="CY112" i="51"/>
  <c r="CW112" i="51"/>
  <c r="CV112" i="51"/>
  <c r="CU112" i="51"/>
  <c r="CT112" i="51"/>
  <c r="CR112" i="51"/>
  <c r="CQ112" i="51"/>
  <c r="CP112" i="51"/>
  <c r="CO112" i="51"/>
  <c r="CM112" i="51"/>
  <c r="CL112" i="51"/>
  <c r="CK112" i="51"/>
  <c r="CJ112" i="51"/>
  <c r="CH112" i="51"/>
  <c r="CG112" i="51"/>
  <c r="CF112" i="51"/>
  <c r="CE112" i="51"/>
  <c r="CC112" i="51"/>
  <c r="CB112" i="51"/>
  <c r="CA112" i="51"/>
  <c r="BZ112" i="51"/>
  <c r="BX112" i="51"/>
  <c r="BW112" i="51"/>
  <c r="BV112" i="51"/>
  <c r="BU112" i="51"/>
  <c r="BT112" i="51"/>
  <c r="BY112" i="51" s="1"/>
  <c r="CD112" i="51" s="1"/>
  <c r="CI112" i="51" s="1"/>
  <c r="CN112" i="51" s="1"/>
  <c r="CS112" i="51" s="1"/>
  <c r="CX112" i="51" s="1"/>
  <c r="DC112" i="51" s="1"/>
  <c r="BS112" i="51"/>
  <c r="BR112" i="51"/>
  <c r="BQ112" i="51"/>
  <c r="BP112" i="51"/>
  <c r="DL111" i="51"/>
  <c r="DK111" i="51"/>
  <c r="DJ111" i="51"/>
  <c r="DI111" i="51"/>
  <c r="CW111" i="51"/>
  <c r="CV111" i="51"/>
  <c r="CU111" i="51"/>
  <c r="CT111" i="51"/>
  <c r="CR111" i="51"/>
  <c r="CQ111" i="51"/>
  <c r="CP111" i="51"/>
  <c r="CO111" i="51"/>
  <c r="CM111" i="51"/>
  <c r="CL111" i="51"/>
  <c r="CK111" i="51"/>
  <c r="CJ111" i="51"/>
  <c r="CH111" i="51"/>
  <c r="CG111" i="51"/>
  <c r="CF111" i="51"/>
  <c r="CE111" i="51"/>
  <c r="CC111" i="51"/>
  <c r="CB111" i="51"/>
  <c r="CA111" i="51"/>
  <c r="BZ111" i="51"/>
  <c r="BX111" i="51"/>
  <c r="BW111" i="51"/>
  <c r="BV111" i="51"/>
  <c r="BU111" i="51"/>
  <c r="BT111" i="51"/>
  <c r="BY111" i="51" s="1"/>
  <c r="CD111" i="51" s="1"/>
  <c r="CI111" i="51" s="1"/>
  <c r="CN111" i="51" s="1"/>
  <c r="CS111" i="51" s="1"/>
  <c r="CX111" i="51" s="1"/>
  <c r="BS111" i="51"/>
  <c r="BR111" i="51"/>
  <c r="BQ111" i="51"/>
  <c r="BP111" i="51"/>
  <c r="BD113" i="51"/>
  <c r="BC113" i="51" s="1"/>
  <c r="AY113" i="51"/>
  <c r="AT113" i="51"/>
  <c r="AS113" i="51" s="1"/>
  <c r="AO113" i="51"/>
  <c r="AM113" i="51" s="1"/>
  <c r="AJ113" i="51"/>
  <c r="AI113" i="51" s="1"/>
  <c r="AE113" i="51"/>
  <c r="AC113" i="51" s="1"/>
  <c r="Z113" i="51"/>
  <c r="Y113" i="51" s="1"/>
  <c r="U113" i="51"/>
  <c r="S113" i="51" s="1"/>
  <c r="P113" i="51"/>
  <c r="O113" i="51" s="1"/>
  <c r="BI112" i="51"/>
  <c r="BG112" i="51" s="1"/>
  <c r="AY112" i="51"/>
  <c r="AW112" i="51" s="1"/>
  <c r="AT112" i="51"/>
  <c r="AS112" i="51" s="1"/>
  <c r="AO112" i="51"/>
  <c r="AM112" i="51" s="1"/>
  <c r="AJ112" i="51"/>
  <c r="AI112" i="51" s="1"/>
  <c r="AE112" i="51"/>
  <c r="Z112" i="51"/>
  <c r="Y112" i="51" s="1"/>
  <c r="U112" i="51"/>
  <c r="S112" i="51" s="1"/>
  <c r="P112" i="51"/>
  <c r="O112" i="51" s="1"/>
  <c r="BI111" i="51"/>
  <c r="BG111" i="51" s="1"/>
  <c r="BD111" i="51"/>
  <c r="BC111" i="51" s="1"/>
  <c r="AT111" i="51"/>
  <c r="AS111" i="51" s="1"/>
  <c r="AO111" i="51"/>
  <c r="AM111" i="51" s="1"/>
  <c r="AJ111" i="51"/>
  <c r="AI111" i="51" s="1"/>
  <c r="AE111" i="51"/>
  <c r="AC111" i="51" s="1"/>
  <c r="Z111" i="51"/>
  <c r="Y111" i="51" s="1"/>
  <c r="U111" i="51"/>
  <c r="S111" i="51" s="1"/>
  <c r="P111" i="51"/>
  <c r="O111" i="51" s="1"/>
  <c r="E106" i="51"/>
  <c r="E105" i="51"/>
  <c r="BN105" i="51" s="1"/>
  <c r="DL106" i="51"/>
  <c r="DK106" i="51"/>
  <c r="DJ106" i="51"/>
  <c r="DI106" i="51"/>
  <c r="DG106" i="51"/>
  <c r="DF106" i="51"/>
  <c r="DE106" i="51"/>
  <c r="DD106" i="51"/>
  <c r="DB106" i="51"/>
  <c r="DA106" i="51"/>
  <c r="CZ106" i="51"/>
  <c r="CY106" i="51"/>
  <c r="CW106" i="51"/>
  <c r="CV106" i="51"/>
  <c r="CU106" i="51"/>
  <c r="CT106" i="51"/>
  <c r="CR106" i="51"/>
  <c r="CQ106" i="51"/>
  <c r="CP106" i="51"/>
  <c r="CO106" i="51"/>
  <c r="CM106" i="51"/>
  <c r="CL106" i="51"/>
  <c r="CK106" i="51"/>
  <c r="CJ106" i="51"/>
  <c r="CH106" i="51"/>
  <c r="CG106" i="51"/>
  <c r="CF106" i="51"/>
  <c r="CE106" i="51"/>
  <c r="CC106" i="51"/>
  <c r="CB106" i="51"/>
  <c r="CA106" i="51"/>
  <c r="BZ106" i="51"/>
  <c r="BX106" i="51"/>
  <c r="BW106" i="51"/>
  <c r="BV106" i="51"/>
  <c r="BU106" i="51"/>
  <c r="BT106" i="51"/>
  <c r="BY106" i="51" s="1"/>
  <c r="CD106" i="51" s="1"/>
  <c r="CI106" i="51" s="1"/>
  <c r="CN106" i="51" s="1"/>
  <c r="CS106" i="51" s="1"/>
  <c r="CX106" i="51" s="1"/>
  <c r="DC106" i="51" s="1"/>
  <c r="DH106" i="51" s="1"/>
  <c r="DM106" i="51" s="1"/>
  <c r="DR106" i="51" s="1"/>
  <c r="BS106" i="51"/>
  <c r="BR106" i="51"/>
  <c r="BQ106" i="51"/>
  <c r="BP106" i="51"/>
  <c r="DL105" i="51"/>
  <c r="DK105" i="51"/>
  <c r="DJ105" i="51"/>
  <c r="DI105" i="51"/>
  <c r="DG105" i="51"/>
  <c r="DF105" i="51"/>
  <c r="DE105" i="51"/>
  <c r="DD105" i="51"/>
  <c r="DB105" i="51"/>
  <c r="DA105" i="51"/>
  <c r="CZ105" i="51"/>
  <c r="CY105" i="51"/>
  <c r="CW105" i="51"/>
  <c r="CV105" i="51"/>
  <c r="CU105" i="51"/>
  <c r="CT105" i="51"/>
  <c r="CR105" i="51"/>
  <c r="CQ105" i="51"/>
  <c r="CP105" i="51"/>
  <c r="CO105" i="51"/>
  <c r="CM105" i="51"/>
  <c r="CL105" i="51"/>
  <c r="CK105" i="51"/>
  <c r="CJ105" i="51"/>
  <c r="CH105" i="51"/>
  <c r="CG105" i="51"/>
  <c r="CF105" i="51"/>
  <c r="CE105" i="51"/>
  <c r="CC105" i="51"/>
  <c r="CB105" i="51"/>
  <c r="CA105" i="51"/>
  <c r="BZ105" i="51"/>
  <c r="BX105" i="51"/>
  <c r="BW105" i="51"/>
  <c r="BV105" i="51"/>
  <c r="BU105" i="51"/>
  <c r="BT105" i="51"/>
  <c r="BY105" i="51" s="1"/>
  <c r="CD105" i="51" s="1"/>
  <c r="CI105" i="51" s="1"/>
  <c r="CN105" i="51" s="1"/>
  <c r="CS105" i="51" s="1"/>
  <c r="CX105" i="51" s="1"/>
  <c r="DC105" i="51" s="1"/>
  <c r="DH105" i="51" s="1"/>
  <c r="DM105" i="51" s="1"/>
  <c r="BS105" i="51"/>
  <c r="BR105" i="51"/>
  <c r="BQ105" i="51"/>
  <c r="BP105" i="51"/>
  <c r="BI106" i="51"/>
  <c r="BH106" i="51" s="1"/>
  <c r="BD106" i="51"/>
  <c r="BA106" i="51" s="1"/>
  <c r="AY106" i="51"/>
  <c r="AT106" i="51"/>
  <c r="AQ106" i="51" s="1"/>
  <c r="AO106" i="51"/>
  <c r="AN106" i="51" s="1"/>
  <c r="AJ106" i="51"/>
  <c r="AI106" i="51" s="1"/>
  <c r="AE106" i="51"/>
  <c r="AD106" i="51" s="1"/>
  <c r="Z106" i="51"/>
  <c r="V106" i="51" s="1"/>
  <c r="U106" i="51"/>
  <c r="T106" i="51" s="1"/>
  <c r="P106" i="51"/>
  <c r="M106" i="51" s="1"/>
  <c r="BI105" i="51"/>
  <c r="BD105" i="51"/>
  <c r="AY105" i="51"/>
  <c r="AX105" i="51" s="1"/>
  <c r="AT105" i="51"/>
  <c r="AP105" i="51" s="1"/>
  <c r="AO105" i="51"/>
  <c r="AN105" i="51" s="1"/>
  <c r="AJ105" i="51"/>
  <c r="AG105" i="51" s="1"/>
  <c r="AE105" i="51"/>
  <c r="Z105" i="51"/>
  <c r="Y105" i="51" s="1"/>
  <c r="U105" i="51"/>
  <c r="T105" i="51" s="1"/>
  <c r="P105" i="51"/>
  <c r="E101" i="51"/>
  <c r="AT101" i="51" s="1"/>
  <c r="E100" i="51"/>
  <c r="AT100" i="51" s="1"/>
  <c r="AQ100" i="51" s="1"/>
  <c r="E102" i="51"/>
  <c r="AT102" i="51" s="1"/>
  <c r="DL102" i="51"/>
  <c r="DK102" i="51"/>
  <c r="DJ102" i="51"/>
  <c r="DI102" i="51"/>
  <c r="DG102" i="51"/>
  <c r="DF102" i="51"/>
  <c r="DE102" i="51"/>
  <c r="DD102" i="51"/>
  <c r="CR102" i="51"/>
  <c r="CQ102" i="51"/>
  <c r="CP102" i="51"/>
  <c r="CO102" i="51"/>
  <c r="CM102" i="51"/>
  <c r="CL102" i="51"/>
  <c r="CK102" i="51"/>
  <c r="CJ102" i="51"/>
  <c r="CH102" i="51"/>
  <c r="CG102" i="51"/>
  <c r="CF102" i="51"/>
  <c r="CE102" i="51"/>
  <c r="CC102" i="51"/>
  <c r="CB102" i="51"/>
  <c r="CA102" i="51"/>
  <c r="BZ102" i="51"/>
  <c r="BX102" i="51"/>
  <c r="BW102" i="51"/>
  <c r="BV102" i="51"/>
  <c r="BU102" i="51"/>
  <c r="BT102" i="51"/>
  <c r="BY102" i="51" s="1"/>
  <c r="CD102" i="51" s="1"/>
  <c r="CI102" i="51" s="1"/>
  <c r="CN102" i="51" s="1"/>
  <c r="CS102" i="51" s="1"/>
  <c r="BS102" i="51"/>
  <c r="BR102" i="51"/>
  <c r="BQ102" i="51"/>
  <c r="BP102" i="51"/>
  <c r="DL101" i="51"/>
  <c r="DK101" i="51"/>
  <c r="DJ101" i="51"/>
  <c r="DI101" i="51"/>
  <c r="DG101" i="51"/>
  <c r="DF101" i="51"/>
  <c r="DE101" i="51"/>
  <c r="DD101" i="51"/>
  <c r="CR101" i="51"/>
  <c r="CQ101" i="51"/>
  <c r="CP101" i="51"/>
  <c r="CO101" i="51"/>
  <c r="CM101" i="51"/>
  <c r="CL101" i="51"/>
  <c r="CK101" i="51"/>
  <c r="CJ101" i="51"/>
  <c r="CH101" i="51"/>
  <c r="CG101" i="51"/>
  <c r="CF101" i="51"/>
  <c r="CE101" i="51"/>
  <c r="CC101" i="51"/>
  <c r="CB101" i="51"/>
  <c r="CA101" i="51"/>
  <c r="BZ101" i="51"/>
  <c r="BX101" i="51"/>
  <c r="BW101" i="51"/>
  <c r="BV101" i="51"/>
  <c r="BU101" i="51"/>
  <c r="BT101" i="51"/>
  <c r="BY101" i="51" s="1"/>
  <c r="CD101" i="51" s="1"/>
  <c r="CI101" i="51" s="1"/>
  <c r="CN101" i="51" s="1"/>
  <c r="CS101" i="51" s="1"/>
  <c r="BS101" i="51"/>
  <c r="BR101" i="51"/>
  <c r="BQ101" i="51"/>
  <c r="BP101" i="51"/>
  <c r="DL100" i="51"/>
  <c r="DK100" i="51"/>
  <c r="DJ100" i="51"/>
  <c r="DI100" i="51"/>
  <c r="DG100" i="51"/>
  <c r="DF100" i="51"/>
  <c r="DE100" i="51"/>
  <c r="DD100" i="51"/>
  <c r="CR100" i="51"/>
  <c r="CQ100" i="51"/>
  <c r="CP100" i="51"/>
  <c r="CO100" i="51"/>
  <c r="CM100" i="51"/>
  <c r="CL100" i="51"/>
  <c r="CK100" i="51"/>
  <c r="CJ100" i="51"/>
  <c r="CH100" i="51"/>
  <c r="CG100" i="51"/>
  <c r="CF100" i="51"/>
  <c r="CE100" i="51"/>
  <c r="CC100" i="51"/>
  <c r="CB100" i="51"/>
  <c r="CA100" i="51"/>
  <c r="BZ100" i="51"/>
  <c r="BX100" i="51"/>
  <c r="BW100" i="51"/>
  <c r="BV100" i="51"/>
  <c r="BU100" i="51"/>
  <c r="BT100" i="51"/>
  <c r="BY100" i="51" s="1"/>
  <c r="CD100" i="51" s="1"/>
  <c r="CI100" i="51" s="1"/>
  <c r="CN100" i="51" s="1"/>
  <c r="CS100" i="51" s="1"/>
  <c r="BS100" i="51"/>
  <c r="BR100" i="51"/>
  <c r="BQ100" i="51"/>
  <c r="BP100" i="51"/>
  <c r="BI102" i="51"/>
  <c r="BH102" i="51" s="1"/>
  <c r="BD102" i="51"/>
  <c r="BC102" i="51" s="1"/>
  <c r="AY102" i="51"/>
  <c r="AX102" i="51" s="1"/>
  <c r="AO102" i="51"/>
  <c r="AJ102" i="51"/>
  <c r="AH102" i="51" s="1"/>
  <c r="AE102" i="51"/>
  <c r="AD102" i="51" s="1"/>
  <c r="Z102" i="51"/>
  <c r="X102" i="51" s="1"/>
  <c r="U102" i="51"/>
  <c r="T102" i="51" s="1"/>
  <c r="P102" i="51"/>
  <c r="N102" i="51" s="1"/>
  <c r="BI101" i="51"/>
  <c r="BH101" i="51" s="1"/>
  <c r="BD101" i="51"/>
  <c r="BB101" i="51" s="1"/>
  <c r="AY101" i="51"/>
  <c r="AX101" i="51" s="1"/>
  <c r="AO101" i="51"/>
  <c r="AN101" i="51" s="1"/>
  <c r="AJ101" i="51"/>
  <c r="AE101" i="51"/>
  <c r="AD101" i="51" s="1"/>
  <c r="Z101" i="51"/>
  <c r="X101" i="51" s="1"/>
  <c r="U101" i="51"/>
  <c r="P101" i="51"/>
  <c r="N101" i="51" s="1"/>
  <c r="BI100" i="51"/>
  <c r="BH100" i="51" s="1"/>
  <c r="BD100" i="51"/>
  <c r="BA100" i="51" s="1"/>
  <c r="AY100" i="51"/>
  <c r="AX100" i="51" s="1"/>
  <c r="AO100" i="51"/>
  <c r="AN100" i="51" s="1"/>
  <c r="AJ100" i="51"/>
  <c r="AG100" i="51" s="1"/>
  <c r="AE100" i="51"/>
  <c r="AD100" i="51" s="1"/>
  <c r="Z100" i="51"/>
  <c r="W100" i="51" s="1"/>
  <c r="U100" i="51"/>
  <c r="T100" i="51" s="1"/>
  <c r="P100" i="51"/>
  <c r="M100" i="51" s="1"/>
  <c r="E81" i="51"/>
  <c r="E92" i="51"/>
  <c r="E94" i="51"/>
  <c r="E82" i="51"/>
  <c r="E93" i="51"/>
  <c r="E91" i="51"/>
  <c r="E89" i="51"/>
  <c r="E80" i="51"/>
  <c r="E98" i="51"/>
  <c r="E97" i="51"/>
  <c r="E83" i="51"/>
  <c r="E88" i="51"/>
  <c r="E90" i="51"/>
  <c r="E87" i="51"/>
  <c r="E84" i="51"/>
  <c r="E96" i="51"/>
  <c r="AO96" i="51" s="1"/>
  <c r="AM96" i="51" s="1"/>
  <c r="E86" i="51"/>
  <c r="E85" i="51"/>
  <c r="AO85" i="51" s="1"/>
  <c r="AN85" i="51" s="1"/>
  <c r="DL81" i="51"/>
  <c r="DK81" i="51"/>
  <c r="DJ81" i="51"/>
  <c r="DI81" i="51"/>
  <c r="DG81" i="51"/>
  <c r="DF81" i="51"/>
  <c r="DE81" i="51"/>
  <c r="DD81" i="51"/>
  <c r="DB81" i="51"/>
  <c r="DA81" i="51"/>
  <c r="CZ81" i="51"/>
  <c r="CY81" i="51"/>
  <c r="CW81" i="51"/>
  <c r="CV81" i="51"/>
  <c r="CU81" i="51"/>
  <c r="CT81" i="51"/>
  <c r="CR81" i="51"/>
  <c r="CQ81" i="51"/>
  <c r="CP81" i="51"/>
  <c r="CO81" i="51"/>
  <c r="CM81" i="51"/>
  <c r="CL81" i="51"/>
  <c r="CK81" i="51"/>
  <c r="CJ81" i="51"/>
  <c r="CH81" i="51"/>
  <c r="CG81" i="51"/>
  <c r="CF81" i="51"/>
  <c r="CE81" i="51"/>
  <c r="CC81" i="51"/>
  <c r="CB81" i="51"/>
  <c r="CA81" i="51"/>
  <c r="BZ81" i="51"/>
  <c r="BX81" i="51"/>
  <c r="BW81" i="51"/>
  <c r="BV81" i="51"/>
  <c r="BU81" i="51"/>
  <c r="BT81" i="51"/>
  <c r="BY81" i="51" s="1"/>
  <c r="CD81" i="51" s="1"/>
  <c r="CI81" i="51" s="1"/>
  <c r="CN81" i="51" s="1"/>
  <c r="CS81" i="51" s="1"/>
  <c r="CX81" i="51" s="1"/>
  <c r="DC81" i="51" s="1"/>
  <c r="DH81" i="51" s="1"/>
  <c r="DM81" i="51" s="1"/>
  <c r="DR81" i="51" s="1"/>
  <c r="BS81" i="51"/>
  <c r="BR81" i="51"/>
  <c r="BQ81" i="51"/>
  <c r="BP81" i="51"/>
  <c r="DL92" i="51"/>
  <c r="DK92" i="51"/>
  <c r="DJ92" i="51"/>
  <c r="DI92" i="51"/>
  <c r="DG92" i="51"/>
  <c r="DF92" i="51"/>
  <c r="DE92" i="51"/>
  <c r="DD92" i="51"/>
  <c r="DB92" i="51"/>
  <c r="DA92" i="51"/>
  <c r="CZ92" i="51"/>
  <c r="CY92" i="51"/>
  <c r="CW92" i="51"/>
  <c r="CV92" i="51"/>
  <c r="CU92" i="51"/>
  <c r="CT92" i="51"/>
  <c r="CR92" i="51"/>
  <c r="CQ92" i="51"/>
  <c r="CP92" i="51"/>
  <c r="CO92" i="51"/>
  <c r="CM92" i="51"/>
  <c r="CL92" i="51"/>
  <c r="CK92" i="51"/>
  <c r="CJ92" i="51"/>
  <c r="CH92" i="51"/>
  <c r="CG92" i="51"/>
  <c r="CF92" i="51"/>
  <c r="CE92" i="51"/>
  <c r="CC92" i="51"/>
  <c r="CB92" i="51"/>
  <c r="CA92" i="51"/>
  <c r="BZ92" i="51"/>
  <c r="BX92" i="51"/>
  <c r="BW92" i="51"/>
  <c r="BV92" i="51"/>
  <c r="BU92" i="51"/>
  <c r="BT92" i="51"/>
  <c r="BY92" i="51" s="1"/>
  <c r="CD92" i="51" s="1"/>
  <c r="CI92" i="51" s="1"/>
  <c r="CN92" i="51" s="1"/>
  <c r="CS92" i="51" s="1"/>
  <c r="CX92" i="51" s="1"/>
  <c r="DC92" i="51" s="1"/>
  <c r="DH92" i="51" s="1"/>
  <c r="DM92" i="51" s="1"/>
  <c r="DR92" i="51" s="1"/>
  <c r="BS92" i="51"/>
  <c r="BR92" i="51"/>
  <c r="BQ92" i="51"/>
  <c r="BP92" i="51"/>
  <c r="DL94" i="51"/>
  <c r="DK94" i="51"/>
  <c r="DJ94" i="51"/>
  <c r="DI94" i="51"/>
  <c r="DG94" i="51"/>
  <c r="DF94" i="51"/>
  <c r="DE94" i="51"/>
  <c r="DD94" i="51"/>
  <c r="DB94" i="51"/>
  <c r="DA94" i="51"/>
  <c r="CZ94" i="51"/>
  <c r="CY94" i="51"/>
  <c r="CW94" i="51"/>
  <c r="CV94" i="51"/>
  <c r="CU94" i="51"/>
  <c r="CT94" i="51"/>
  <c r="CR94" i="51"/>
  <c r="CQ94" i="51"/>
  <c r="CP94" i="51"/>
  <c r="CO94" i="51"/>
  <c r="CM94" i="51"/>
  <c r="CL94" i="51"/>
  <c r="CK94" i="51"/>
  <c r="CJ94" i="51"/>
  <c r="CH94" i="51"/>
  <c r="CG94" i="51"/>
  <c r="CF94" i="51"/>
  <c r="CE94" i="51"/>
  <c r="CC94" i="51"/>
  <c r="CB94" i="51"/>
  <c r="CA94" i="51"/>
  <c r="BZ94" i="51"/>
  <c r="BX94" i="51"/>
  <c r="BW94" i="51"/>
  <c r="BV94" i="51"/>
  <c r="BU94" i="51"/>
  <c r="BT94" i="51"/>
  <c r="BY94" i="51" s="1"/>
  <c r="CD94" i="51" s="1"/>
  <c r="CI94" i="51" s="1"/>
  <c r="CN94" i="51" s="1"/>
  <c r="CS94" i="51" s="1"/>
  <c r="CX94" i="51" s="1"/>
  <c r="DC94" i="51" s="1"/>
  <c r="DH94" i="51" s="1"/>
  <c r="DM94" i="51" s="1"/>
  <c r="DR94" i="51" s="1"/>
  <c r="BS94" i="51"/>
  <c r="BR94" i="51"/>
  <c r="BQ94" i="51"/>
  <c r="BP94" i="51"/>
  <c r="DL82" i="51"/>
  <c r="DK82" i="51"/>
  <c r="DJ82" i="51"/>
  <c r="DI82" i="51"/>
  <c r="DG82" i="51"/>
  <c r="DF82" i="51"/>
  <c r="DE82" i="51"/>
  <c r="DD82" i="51"/>
  <c r="DB82" i="51"/>
  <c r="DA82" i="51"/>
  <c r="CZ82" i="51"/>
  <c r="CY82" i="51"/>
  <c r="CW82" i="51"/>
  <c r="CV82" i="51"/>
  <c r="CU82" i="51"/>
  <c r="CT82" i="51"/>
  <c r="CR82" i="51"/>
  <c r="CQ82" i="51"/>
  <c r="CP82" i="51"/>
  <c r="CO82" i="51"/>
  <c r="CM82" i="51"/>
  <c r="CL82" i="51"/>
  <c r="CK82" i="51"/>
  <c r="CJ82" i="51"/>
  <c r="CH82" i="51"/>
  <c r="CG82" i="51"/>
  <c r="CF82" i="51"/>
  <c r="CE82" i="51"/>
  <c r="CC82" i="51"/>
  <c r="CB82" i="51"/>
  <c r="CA82" i="51"/>
  <c r="BZ82" i="51"/>
  <c r="BX82" i="51"/>
  <c r="BW82" i="51"/>
  <c r="BV82" i="51"/>
  <c r="BU82" i="51"/>
  <c r="BT82" i="51"/>
  <c r="BY82" i="51" s="1"/>
  <c r="CD82" i="51" s="1"/>
  <c r="CI82" i="51" s="1"/>
  <c r="CN82" i="51" s="1"/>
  <c r="CS82" i="51" s="1"/>
  <c r="CX82" i="51" s="1"/>
  <c r="DC82" i="51" s="1"/>
  <c r="DH82" i="51" s="1"/>
  <c r="DM82" i="51" s="1"/>
  <c r="DR82" i="51" s="1"/>
  <c r="BS82" i="51"/>
  <c r="BR82" i="51"/>
  <c r="BQ82" i="51"/>
  <c r="BP82" i="51"/>
  <c r="DL93" i="51"/>
  <c r="DK93" i="51"/>
  <c r="DJ93" i="51"/>
  <c r="DI93" i="51"/>
  <c r="DG93" i="51"/>
  <c r="DF93" i="51"/>
  <c r="DE93" i="51"/>
  <c r="DD93" i="51"/>
  <c r="DB93" i="51"/>
  <c r="DA93" i="51"/>
  <c r="CZ93" i="51"/>
  <c r="CY93" i="51"/>
  <c r="CW93" i="51"/>
  <c r="CV93" i="51"/>
  <c r="CU93" i="51"/>
  <c r="CT93" i="51"/>
  <c r="CR93" i="51"/>
  <c r="CQ93" i="51"/>
  <c r="CP93" i="51"/>
  <c r="CO93" i="51"/>
  <c r="CM93" i="51"/>
  <c r="CL93" i="51"/>
  <c r="CK93" i="51"/>
  <c r="CJ93" i="51"/>
  <c r="CH93" i="51"/>
  <c r="CG93" i="51"/>
  <c r="CF93" i="51"/>
  <c r="CE93" i="51"/>
  <c r="CC93" i="51"/>
  <c r="CB93" i="51"/>
  <c r="CA93" i="51"/>
  <c r="BZ93" i="51"/>
  <c r="BX93" i="51"/>
  <c r="BW93" i="51"/>
  <c r="BV93" i="51"/>
  <c r="BU93" i="51"/>
  <c r="BT93" i="51"/>
  <c r="BY93" i="51" s="1"/>
  <c r="CD93" i="51" s="1"/>
  <c r="CI93" i="51" s="1"/>
  <c r="CN93" i="51" s="1"/>
  <c r="CS93" i="51" s="1"/>
  <c r="CX93" i="51" s="1"/>
  <c r="DC93" i="51" s="1"/>
  <c r="DH93" i="51" s="1"/>
  <c r="DM93" i="51" s="1"/>
  <c r="DR93" i="51" s="1"/>
  <c r="BS93" i="51"/>
  <c r="BR93" i="51"/>
  <c r="BQ93" i="51"/>
  <c r="BP93" i="51"/>
  <c r="DL91" i="51"/>
  <c r="DK91" i="51"/>
  <c r="DJ91" i="51"/>
  <c r="DI91" i="51"/>
  <c r="DG91" i="51"/>
  <c r="DF91" i="51"/>
  <c r="DE91" i="51"/>
  <c r="DD91" i="51"/>
  <c r="DB91" i="51"/>
  <c r="DA91" i="51"/>
  <c r="CZ91" i="51"/>
  <c r="CY91" i="51"/>
  <c r="CW91" i="51"/>
  <c r="CV91" i="51"/>
  <c r="CU91" i="51"/>
  <c r="CT91" i="51"/>
  <c r="CR91" i="51"/>
  <c r="CQ91" i="51"/>
  <c r="CP91" i="51"/>
  <c r="CO91" i="51"/>
  <c r="CM91" i="51"/>
  <c r="CL91" i="51"/>
  <c r="CK91" i="51"/>
  <c r="CJ91" i="51"/>
  <c r="CH91" i="51"/>
  <c r="CG91" i="51"/>
  <c r="CF91" i="51"/>
  <c r="CE91" i="51"/>
  <c r="CC91" i="51"/>
  <c r="CB91" i="51"/>
  <c r="CA91" i="51"/>
  <c r="BZ91" i="51"/>
  <c r="BX91" i="51"/>
  <c r="BW91" i="51"/>
  <c r="BV91" i="51"/>
  <c r="BU91" i="51"/>
  <c r="BT91" i="51"/>
  <c r="BY91" i="51" s="1"/>
  <c r="CD91" i="51" s="1"/>
  <c r="CI91" i="51" s="1"/>
  <c r="CN91" i="51" s="1"/>
  <c r="CS91" i="51" s="1"/>
  <c r="CX91" i="51" s="1"/>
  <c r="DC91" i="51" s="1"/>
  <c r="DH91" i="51" s="1"/>
  <c r="DM91" i="51" s="1"/>
  <c r="DR91" i="51" s="1"/>
  <c r="BS91" i="51"/>
  <c r="BR91" i="51"/>
  <c r="BQ91" i="51"/>
  <c r="BP91" i="51"/>
  <c r="DL89" i="51"/>
  <c r="DK89" i="51"/>
  <c r="DJ89" i="51"/>
  <c r="DI89" i="51"/>
  <c r="DG89" i="51"/>
  <c r="DF89" i="51"/>
  <c r="DE89" i="51"/>
  <c r="DD89" i="51"/>
  <c r="DB89" i="51"/>
  <c r="DA89" i="51"/>
  <c r="CZ89" i="51"/>
  <c r="CY89" i="51"/>
  <c r="CW89" i="51"/>
  <c r="CV89" i="51"/>
  <c r="CU89" i="51"/>
  <c r="CT89" i="51"/>
  <c r="CR89" i="51"/>
  <c r="CQ89" i="51"/>
  <c r="CP89" i="51"/>
  <c r="CO89" i="51"/>
  <c r="CM89" i="51"/>
  <c r="CL89" i="51"/>
  <c r="CK89" i="51"/>
  <c r="CJ89" i="51"/>
  <c r="CH89" i="51"/>
  <c r="CG89" i="51"/>
  <c r="CF89" i="51"/>
  <c r="CE89" i="51"/>
  <c r="CC89" i="51"/>
  <c r="CB89" i="51"/>
  <c r="CA89" i="51"/>
  <c r="BZ89" i="51"/>
  <c r="BX89" i="51"/>
  <c r="BW89" i="51"/>
  <c r="BV89" i="51"/>
  <c r="BU89" i="51"/>
  <c r="BT89" i="51"/>
  <c r="BY89" i="51" s="1"/>
  <c r="CD89" i="51" s="1"/>
  <c r="CI89" i="51" s="1"/>
  <c r="CN89" i="51" s="1"/>
  <c r="CS89" i="51" s="1"/>
  <c r="CX89" i="51" s="1"/>
  <c r="DC89" i="51" s="1"/>
  <c r="DH89" i="51" s="1"/>
  <c r="DM89" i="51" s="1"/>
  <c r="DR89" i="51" s="1"/>
  <c r="BS89" i="51"/>
  <c r="BR89" i="51"/>
  <c r="BQ89" i="51"/>
  <c r="BP89" i="51"/>
  <c r="DL80" i="51"/>
  <c r="DK80" i="51"/>
  <c r="DJ80" i="51"/>
  <c r="DI80" i="51"/>
  <c r="DG80" i="51"/>
  <c r="DF80" i="51"/>
  <c r="DE80" i="51"/>
  <c r="DD80" i="51"/>
  <c r="DB80" i="51"/>
  <c r="DA80" i="51"/>
  <c r="CZ80" i="51"/>
  <c r="CY80" i="51"/>
  <c r="CW80" i="51"/>
  <c r="CV80" i="51"/>
  <c r="CU80" i="51"/>
  <c r="CT80" i="51"/>
  <c r="CR80" i="51"/>
  <c r="CQ80" i="51"/>
  <c r="CP80" i="51"/>
  <c r="CO80" i="51"/>
  <c r="CM80" i="51"/>
  <c r="CL80" i="51"/>
  <c r="CK80" i="51"/>
  <c r="CJ80" i="51"/>
  <c r="CH80" i="51"/>
  <c r="CG80" i="51"/>
  <c r="CF80" i="51"/>
  <c r="CE80" i="51"/>
  <c r="CC80" i="51"/>
  <c r="CB80" i="51"/>
  <c r="CA80" i="51"/>
  <c r="BZ80" i="51"/>
  <c r="BX80" i="51"/>
  <c r="BW80" i="51"/>
  <c r="BV80" i="51"/>
  <c r="BU80" i="51"/>
  <c r="BT80" i="51"/>
  <c r="BY80" i="51" s="1"/>
  <c r="CD80" i="51" s="1"/>
  <c r="CI80" i="51" s="1"/>
  <c r="CN80" i="51" s="1"/>
  <c r="CS80" i="51" s="1"/>
  <c r="CX80" i="51" s="1"/>
  <c r="DC80" i="51" s="1"/>
  <c r="DH80" i="51" s="1"/>
  <c r="DM80" i="51" s="1"/>
  <c r="DR80" i="51" s="1"/>
  <c r="BS80" i="51"/>
  <c r="BR80" i="51"/>
  <c r="BQ80" i="51"/>
  <c r="BP80" i="51"/>
  <c r="DL98" i="51"/>
  <c r="DK98" i="51"/>
  <c r="DJ98" i="51"/>
  <c r="DI98" i="51"/>
  <c r="DG98" i="51"/>
  <c r="DF98" i="51"/>
  <c r="DE98" i="51"/>
  <c r="DD98" i="51"/>
  <c r="DB98" i="51"/>
  <c r="DA98" i="51"/>
  <c r="CZ98" i="51"/>
  <c r="CY98" i="51"/>
  <c r="CM98" i="51"/>
  <c r="CL98" i="51"/>
  <c r="CK98" i="51"/>
  <c r="CJ98" i="51"/>
  <c r="CH98" i="51"/>
  <c r="CG98" i="51"/>
  <c r="CF98" i="51"/>
  <c r="CE98" i="51"/>
  <c r="CC98" i="51"/>
  <c r="CB98" i="51"/>
  <c r="CA98" i="51"/>
  <c r="BZ98" i="51"/>
  <c r="BX98" i="51"/>
  <c r="BW98" i="51"/>
  <c r="BV98" i="51"/>
  <c r="BU98" i="51"/>
  <c r="BT98" i="51"/>
  <c r="BY98" i="51" s="1"/>
  <c r="CD98" i="51" s="1"/>
  <c r="CI98" i="51" s="1"/>
  <c r="CN98" i="51" s="1"/>
  <c r="BS98" i="51"/>
  <c r="BR98" i="51"/>
  <c r="BQ98" i="51"/>
  <c r="BP98" i="51"/>
  <c r="DL97" i="51"/>
  <c r="DK97" i="51"/>
  <c r="DJ97" i="51"/>
  <c r="DI97" i="51"/>
  <c r="DG97" i="51"/>
  <c r="DF97" i="51"/>
  <c r="DE97" i="51"/>
  <c r="DD97" i="51"/>
  <c r="DB97" i="51"/>
  <c r="DA97" i="51"/>
  <c r="CZ97" i="51"/>
  <c r="CY97" i="51"/>
  <c r="CW97" i="51"/>
  <c r="CV97" i="51"/>
  <c r="CU97" i="51"/>
  <c r="CT97" i="51"/>
  <c r="CR97" i="51"/>
  <c r="CQ97" i="51"/>
  <c r="CP97" i="51"/>
  <c r="CO97" i="51"/>
  <c r="CM97" i="51"/>
  <c r="CL97" i="51"/>
  <c r="CK97" i="51"/>
  <c r="CJ97" i="51"/>
  <c r="CH97" i="51"/>
  <c r="CG97" i="51"/>
  <c r="CF97" i="51"/>
  <c r="CE97" i="51"/>
  <c r="CC97" i="51"/>
  <c r="CB97" i="51"/>
  <c r="CA97" i="51"/>
  <c r="BZ97" i="51"/>
  <c r="BX97" i="51"/>
  <c r="BW97" i="51"/>
  <c r="BV97" i="51"/>
  <c r="BU97" i="51"/>
  <c r="BT97" i="51"/>
  <c r="BY97" i="51" s="1"/>
  <c r="CD97" i="51" s="1"/>
  <c r="CI97" i="51" s="1"/>
  <c r="CN97" i="51" s="1"/>
  <c r="CS97" i="51" s="1"/>
  <c r="CX97" i="51" s="1"/>
  <c r="DC97" i="51" s="1"/>
  <c r="DH97" i="51" s="1"/>
  <c r="DM97" i="51" s="1"/>
  <c r="DR97" i="51" s="1"/>
  <c r="BS97" i="51"/>
  <c r="BR97" i="51"/>
  <c r="BQ97" i="51"/>
  <c r="BP97" i="51"/>
  <c r="DL83" i="51"/>
  <c r="DK83" i="51"/>
  <c r="DJ83" i="51"/>
  <c r="DI83" i="51"/>
  <c r="DG83" i="51"/>
  <c r="DF83" i="51"/>
  <c r="DE83" i="51"/>
  <c r="DD83" i="51"/>
  <c r="DB83" i="51"/>
  <c r="DA83" i="51"/>
  <c r="CZ83" i="51"/>
  <c r="CY83" i="51"/>
  <c r="CW83" i="51"/>
  <c r="CV83" i="51"/>
  <c r="CU83" i="51"/>
  <c r="CT83" i="51"/>
  <c r="CR83" i="51"/>
  <c r="CQ83" i="51"/>
  <c r="CP83" i="51"/>
  <c r="CO83" i="51"/>
  <c r="CM83" i="51"/>
  <c r="CL83" i="51"/>
  <c r="CK83" i="51"/>
  <c r="CJ83" i="51"/>
  <c r="CH83" i="51"/>
  <c r="CG83" i="51"/>
  <c r="CF83" i="51"/>
  <c r="CE83" i="51"/>
  <c r="CC83" i="51"/>
  <c r="CB83" i="51"/>
  <c r="CA83" i="51"/>
  <c r="BZ83" i="51"/>
  <c r="BX83" i="51"/>
  <c r="BW83" i="51"/>
  <c r="BV83" i="51"/>
  <c r="BU83" i="51"/>
  <c r="BT83" i="51"/>
  <c r="BY83" i="51" s="1"/>
  <c r="CD83" i="51" s="1"/>
  <c r="CI83" i="51" s="1"/>
  <c r="CN83" i="51" s="1"/>
  <c r="CS83" i="51" s="1"/>
  <c r="CX83" i="51" s="1"/>
  <c r="DC83" i="51" s="1"/>
  <c r="DH83" i="51" s="1"/>
  <c r="DM83" i="51" s="1"/>
  <c r="DR83" i="51" s="1"/>
  <c r="BS83" i="51"/>
  <c r="BR83" i="51"/>
  <c r="BQ83" i="51"/>
  <c r="BP83" i="51"/>
  <c r="DL88" i="51"/>
  <c r="DK88" i="51"/>
  <c r="DJ88" i="51"/>
  <c r="DI88" i="51"/>
  <c r="DG88" i="51"/>
  <c r="DF88" i="51"/>
  <c r="DE88" i="51"/>
  <c r="DD88" i="51"/>
  <c r="DB88" i="51"/>
  <c r="DA88" i="51"/>
  <c r="CZ88" i="51"/>
  <c r="CY88" i="51"/>
  <c r="CW88" i="51"/>
  <c r="CV88" i="51"/>
  <c r="CU88" i="51"/>
  <c r="CT88" i="51"/>
  <c r="CR88" i="51"/>
  <c r="CQ88" i="51"/>
  <c r="CP88" i="51"/>
  <c r="CO88" i="51"/>
  <c r="CM88" i="51"/>
  <c r="CL88" i="51"/>
  <c r="CK88" i="51"/>
  <c r="CJ88" i="51"/>
  <c r="CH88" i="51"/>
  <c r="CG88" i="51"/>
  <c r="CF88" i="51"/>
  <c r="CE88" i="51"/>
  <c r="CC88" i="51"/>
  <c r="CB88" i="51"/>
  <c r="CA88" i="51"/>
  <c r="BZ88" i="51"/>
  <c r="BX88" i="51"/>
  <c r="BW88" i="51"/>
  <c r="BV88" i="51"/>
  <c r="BU88" i="51"/>
  <c r="BT88" i="51"/>
  <c r="BY88" i="51" s="1"/>
  <c r="CD88" i="51" s="1"/>
  <c r="CI88" i="51" s="1"/>
  <c r="CN88" i="51" s="1"/>
  <c r="CS88" i="51" s="1"/>
  <c r="CX88" i="51" s="1"/>
  <c r="DC88" i="51" s="1"/>
  <c r="DH88" i="51" s="1"/>
  <c r="DM88" i="51" s="1"/>
  <c r="DR88" i="51" s="1"/>
  <c r="BS88" i="51"/>
  <c r="BR88" i="51"/>
  <c r="BQ88" i="51"/>
  <c r="BP88" i="51"/>
  <c r="DL90" i="51"/>
  <c r="DK90" i="51"/>
  <c r="DJ90" i="51"/>
  <c r="DI90" i="51"/>
  <c r="DG90" i="51"/>
  <c r="DF90" i="51"/>
  <c r="DE90" i="51"/>
  <c r="DD90" i="51"/>
  <c r="DB90" i="51"/>
  <c r="DA90" i="51"/>
  <c r="CZ90" i="51"/>
  <c r="CY90" i="51"/>
  <c r="CW90" i="51"/>
  <c r="CV90" i="51"/>
  <c r="CU90" i="51"/>
  <c r="CT90" i="51"/>
  <c r="CR90" i="51"/>
  <c r="CQ90" i="51"/>
  <c r="CP90" i="51"/>
  <c r="CO90" i="51"/>
  <c r="CM90" i="51"/>
  <c r="CL90" i="51"/>
  <c r="CK90" i="51"/>
  <c r="CJ90" i="51"/>
  <c r="CH90" i="51"/>
  <c r="CG90" i="51"/>
  <c r="CF90" i="51"/>
  <c r="CE90" i="51"/>
  <c r="CC90" i="51"/>
  <c r="CB90" i="51"/>
  <c r="CA90" i="51"/>
  <c r="BZ90" i="51"/>
  <c r="BX90" i="51"/>
  <c r="BW90" i="51"/>
  <c r="BV90" i="51"/>
  <c r="BU90" i="51"/>
  <c r="BT90" i="51"/>
  <c r="BY90" i="51" s="1"/>
  <c r="CD90" i="51" s="1"/>
  <c r="CI90" i="51" s="1"/>
  <c r="CN90" i="51" s="1"/>
  <c r="CS90" i="51" s="1"/>
  <c r="CX90" i="51" s="1"/>
  <c r="DC90" i="51" s="1"/>
  <c r="DH90" i="51" s="1"/>
  <c r="DM90" i="51" s="1"/>
  <c r="DR90" i="51" s="1"/>
  <c r="BS90" i="51"/>
  <c r="BR90" i="51"/>
  <c r="BQ90" i="51"/>
  <c r="BP90" i="51"/>
  <c r="DL87" i="51"/>
  <c r="DK87" i="51"/>
  <c r="DJ87" i="51"/>
  <c r="DI87" i="51"/>
  <c r="DG87" i="51"/>
  <c r="DF87" i="51"/>
  <c r="DE87" i="51"/>
  <c r="DD87" i="51"/>
  <c r="DB87" i="51"/>
  <c r="DA87" i="51"/>
  <c r="CZ87" i="51"/>
  <c r="CY87" i="51"/>
  <c r="CW87" i="51"/>
  <c r="CV87" i="51"/>
  <c r="CU87" i="51"/>
  <c r="CT87" i="51"/>
  <c r="CR87" i="51"/>
  <c r="CQ87" i="51"/>
  <c r="CP87" i="51"/>
  <c r="CO87" i="51"/>
  <c r="CM87" i="51"/>
  <c r="CL87" i="51"/>
  <c r="CK87" i="51"/>
  <c r="CJ87" i="51"/>
  <c r="CH87" i="51"/>
  <c r="CG87" i="51"/>
  <c r="CF87" i="51"/>
  <c r="CE87" i="51"/>
  <c r="CC87" i="51"/>
  <c r="CB87" i="51"/>
  <c r="CA87" i="51"/>
  <c r="BZ87" i="51"/>
  <c r="BX87" i="51"/>
  <c r="BW87" i="51"/>
  <c r="BV87" i="51"/>
  <c r="BU87" i="51"/>
  <c r="BT87" i="51"/>
  <c r="BY87" i="51" s="1"/>
  <c r="CD87" i="51" s="1"/>
  <c r="CI87" i="51" s="1"/>
  <c r="CN87" i="51" s="1"/>
  <c r="CS87" i="51" s="1"/>
  <c r="CX87" i="51" s="1"/>
  <c r="DC87" i="51" s="1"/>
  <c r="DH87" i="51" s="1"/>
  <c r="DM87" i="51" s="1"/>
  <c r="DR87" i="51" s="1"/>
  <c r="BS87" i="51"/>
  <c r="BR87" i="51"/>
  <c r="BQ87" i="51"/>
  <c r="BP87" i="51"/>
  <c r="DL84" i="51"/>
  <c r="DK84" i="51"/>
  <c r="DJ84" i="51"/>
  <c r="DI84" i="51"/>
  <c r="DG84" i="51"/>
  <c r="DF84" i="51"/>
  <c r="DE84" i="51"/>
  <c r="DD84" i="51"/>
  <c r="DB84" i="51"/>
  <c r="DA84" i="51"/>
  <c r="CZ84" i="51"/>
  <c r="CY84" i="51"/>
  <c r="CM84" i="51"/>
  <c r="CL84" i="51"/>
  <c r="CK84" i="51"/>
  <c r="CJ84" i="51"/>
  <c r="CH84" i="51"/>
  <c r="CG84" i="51"/>
  <c r="CF84" i="51"/>
  <c r="CE84" i="51"/>
  <c r="CC84" i="51"/>
  <c r="CB84" i="51"/>
  <c r="CA84" i="51"/>
  <c r="BZ84" i="51"/>
  <c r="BX84" i="51"/>
  <c r="BW84" i="51"/>
  <c r="BV84" i="51"/>
  <c r="BU84" i="51"/>
  <c r="BT84" i="51"/>
  <c r="BY84" i="51" s="1"/>
  <c r="CD84" i="51" s="1"/>
  <c r="CI84" i="51" s="1"/>
  <c r="CN84" i="51" s="1"/>
  <c r="BS84" i="51"/>
  <c r="BR84" i="51"/>
  <c r="BQ84" i="51"/>
  <c r="BP84" i="51"/>
  <c r="DL96" i="51"/>
  <c r="DK96" i="51"/>
  <c r="DJ96" i="51"/>
  <c r="DI96" i="51"/>
  <c r="DG96" i="51"/>
  <c r="DF96" i="51"/>
  <c r="DE96" i="51"/>
  <c r="DD96" i="51"/>
  <c r="DB96" i="51"/>
  <c r="DA96" i="51"/>
  <c r="CZ96" i="51"/>
  <c r="CY96" i="51"/>
  <c r="CM96" i="51"/>
  <c r="CL96" i="51"/>
  <c r="CK96" i="51"/>
  <c r="CJ96" i="51"/>
  <c r="CH96" i="51"/>
  <c r="CG96" i="51"/>
  <c r="CF96" i="51"/>
  <c r="CE96" i="51"/>
  <c r="CC96" i="51"/>
  <c r="CB96" i="51"/>
  <c r="CA96" i="51"/>
  <c r="BZ96" i="51"/>
  <c r="BX96" i="51"/>
  <c r="BW96" i="51"/>
  <c r="BV96" i="51"/>
  <c r="BU96" i="51"/>
  <c r="BT96" i="51"/>
  <c r="BY96" i="51" s="1"/>
  <c r="CD96" i="51" s="1"/>
  <c r="CI96" i="51" s="1"/>
  <c r="CN96" i="51" s="1"/>
  <c r="BS96" i="51"/>
  <c r="BR96" i="51"/>
  <c r="BQ96" i="51"/>
  <c r="BP96" i="51"/>
  <c r="DL86" i="51"/>
  <c r="DK86" i="51"/>
  <c r="DJ86" i="51"/>
  <c r="DI86" i="51"/>
  <c r="DG86" i="51"/>
  <c r="DF86" i="51"/>
  <c r="DE86" i="51"/>
  <c r="DD86" i="51"/>
  <c r="DB86" i="51"/>
  <c r="DA86" i="51"/>
  <c r="CZ86" i="51"/>
  <c r="CY86" i="51"/>
  <c r="CW86" i="51"/>
  <c r="CV86" i="51"/>
  <c r="CU86" i="51"/>
  <c r="CT86" i="51"/>
  <c r="CR86" i="51"/>
  <c r="CQ86" i="51"/>
  <c r="CP86" i="51"/>
  <c r="CO86" i="51"/>
  <c r="CM86" i="51"/>
  <c r="CL86" i="51"/>
  <c r="CK86" i="51"/>
  <c r="CJ86" i="51"/>
  <c r="CH86" i="51"/>
  <c r="CG86" i="51"/>
  <c r="CF86" i="51"/>
  <c r="CE86" i="51"/>
  <c r="CC86" i="51"/>
  <c r="CB86" i="51"/>
  <c r="CA86" i="51"/>
  <c r="BZ86" i="51"/>
  <c r="BX86" i="51"/>
  <c r="BW86" i="51"/>
  <c r="BV86" i="51"/>
  <c r="BU86" i="51"/>
  <c r="BT86" i="51"/>
  <c r="BY86" i="51" s="1"/>
  <c r="CD86" i="51" s="1"/>
  <c r="CI86" i="51" s="1"/>
  <c r="CN86" i="51" s="1"/>
  <c r="CS86" i="51" s="1"/>
  <c r="CX86" i="51" s="1"/>
  <c r="DC86" i="51" s="1"/>
  <c r="DH86" i="51" s="1"/>
  <c r="DM86" i="51" s="1"/>
  <c r="DR86" i="51" s="1"/>
  <c r="BS86" i="51"/>
  <c r="BR86" i="51"/>
  <c r="BQ86" i="51"/>
  <c r="BP86" i="51"/>
  <c r="DL85" i="51"/>
  <c r="DK85" i="51"/>
  <c r="DJ85" i="51"/>
  <c r="DI85" i="51"/>
  <c r="DG85" i="51"/>
  <c r="DF85" i="51"/>
  <c r="DE85" i="51"/>
  <c r="DD85" i="51"/>
  <c r="DB85" i="51"/>
  <c r="DA85" i="51"/>
  <c r="CZ85" i="51"/>
  <c r="CY85" i="51"/>
  <c r="CM85" i="51"/>
  <c r="CL85" i="51"/>
  <c r="CK85" i="51"/>
  <c r="CJ85" i="51"/>
  <c r="CH85" i="51"/>
  <c r="CG85" i="51"/>
  <c r="CF85" i="51"/>
  <c r="CE85" i="51"/>
  <c r="CC85" i="51"/>
  <c r="CB85" i="51"/>
  <c r="CA85" i="51"/>
  <c r="BZ85" i="51"/>
  <c r="BX85" i="51"/>
  <c r="BW85" i="51"/>
  <c r="BV85" i="51"/>
  <c r="BU85" i="51"/>
  <c r="BT85" i="51"/>
  <c r="BY85" i="51" s="1"/>
  <c r="CD85" i="51" s="1"/>
  <c r="CI85" i="51" s="1"/>
  <c r="CN85" i="51" s="1"/>
  <c r="BS85" i="51"/>
  <c r="BR85" i="51"/>
  <c r="BQ85" i="51"/>
  <c r="BP85" i="51"/>
  <c r="BI81" i="51"/>
  <c r="BD81" i="51"/>
  <c r="BC81" i="51" s="1"/>
  <c r="AY81" i="51"/>
  <c r="AW81" i="51" s="1"/>
  <c r="AT81" i="51"/>
  <c r="AS81" i="51" s="1"/>
  <c r="AO81" i="51"/>
  <c r="AM81" i="51" s="1"/>
  <c r="AJ81" i="51"/>
  <c r="AI81" i="51" s="1"/>
  <c r="AE81" i="51"/>
  <c r="AC81" i="51" s="1"/>
  <c r="Z81" i="51"/>
  <c r="Y81" i="51" s="1"/>
  <c r="U81" i="51"/>
  <c r="S81" i="51" s="1"/>
  <c r="P81" i="51"/>
  <c r="O81" i="51" s="1"/>
  <c r="BI92" i="51"/>
  <c r="BG92" i="51" s="1"/>
  <c r="BD92" i="51"/>
  <c r="BC92" i="51" s="1"/>
  <c r="AY92" i="51"/>
  <c r="AW92" i="51" s="1"/>
  <c r="AT92" i="51"/>
  <c r="AS92" i="51" s="1"/>
  <c r="AO92" i="51"/>
  <c r="AM92" i="51" s="1"/>
  <c r="AJ92" i="51"/>
  <c r="AI92" i="51" s="1"/>
  <c r="AE92" i="51"/>
  <c r="AC92" i="51" s="1"/>
  <c r="Z92" i="51"/>
  <c r="Y92" i="51" s="1"/>
  <c r="U92" i="51"/>
  <c r="S92" i="51" s="1"/>
  <c r="P92" i="51"/>
  <c r="O92" i="51" s="1"/>
  <c r="BI94" i="51"/>
  <c r="BG94" i="51" s="1"/>
  <c r="BD94" i="51"/>
  <c r="BC94" i="51" s="1"/>
  <c r="AY94" i="51"/>
  <c r="AW94" i="51" s="1"/>
  <c r="AT94" i="51"/>
  <c r="AS94" i="51" s="1"/>
  <c r="AO94" i="51"/>
  <c r="AM94" i="51" s="1"/>
  <c r="AJ94" i="51"/>
  <c r="AI94" i="51" s="1"/>
  <c r="AE94" i="51"/>
  <c r="AC94" i="51" s="1"/>
  <c r="Z94" i="51"/>
  <c r="Y94" i="51" s="1"/>
  <c r="U94" i="51"/>
  <c r="S94" i="51" s="1"/>
  <c r="P94" i="51"/>
  <c r="O94" i="51" s="1"/>
  <c r="BI82" i="51"/>
  <c r="BG82" i="51" s="1"/>
  <c r="BD82" i="51"/>
  <c r="BC82" i="51" s="1"/>
  <c r="AY82" i="51"/>
  <c r="AT82" i="51"/>
  <c r="AS82" i="51" s="1"/>
  <c r="AO82" i="51"/>
  <c r="AM82" i="51" s="1"/>
  <c r="AJ82" i="51"/>
  <c r="AI82" i="51" s="1"/>
  <c r="AE82" i="51"/>
  <c r="AC82" i="51" s="1"/>
  <c r="Z82" i="51"/>
  <c r="Y82" i="51" s="1"/>
  <c r="U82" i="51"/>
  <c r="Q82" i="51" s="1"/>
  <c r="P82" i="51"/>
  <c r="O82" i="51" s="1"/>
  <c r="BI93" i="51"/>
  <c r="BE93" i="51" s="1"/>
  <c r="BD93" i="51"/>
  <c r="BC93" i="51" s="1"/>
  <c r="AY93" i="51"/>
  <c r="AU93" i="51" s="1"/>
  <c r="AT93" i="51"/>
  <c r="AS93" i="51" s="1"/>
  <c r="AO93" i="51"/>
  <c r="AK93" i="51" s="1"/>
  <c r="AJ93" i="51"/>
  <c r="AI93" i="51" s="1"/>
  <c r="AE93" i="51"/>
  <c r="AA93" i="51" s="1"/>
  <c r="Z93" i="51"/>
  <c r="Y93" i="51" s="1"/>
  <c r="U93" i="51"/>
  <c r="Q93" i="51" s="1"/>
  <c r="P93" i="51"/>
  <c r="O93" i="51" s="1"/>
  <c r="BI91" i="51"/>
  <c r="BE91" i="51" s="1"/>
  <c r="BD91" i="51"/>
  <c r="BC91" i="51" s="1"/>
  <c r="AY91" i="51"/>
  <c r="AU91" i="51" s="1"/>
  <c r="AT91" i="51"/>
  <c r="AS91" i="51" s="1"/>
  <c r="AO91" i="51"/>
  <c r="AK91" i="51" s="1"/>
  <c r="AJ91" i="51"/>
  <c r="AI91" i="51" s="1"/>
  <c r="AE91" i="51"/>
  <c r="AA91" i="51" s="1"/>
  <c r="Z91" i="51"/>
  <c r="Y91" i="51" s="1"/>
  <c r="U91" i="51"/>
  <c r="Q91" i="51" s="1"/>
  <c r="P91" i="51"/>
  <c r="O91" i="51" s="1"/>
  <c r="BI89" i="51"/>
  <c r="BE89" i="51" s="1"/>
  <c r="BD89" i="51"/>
  <c r="BC89" i="51" s="1"/>
  <c r="AY89" i="51"/>
  <c r="AU89" i="51" s="1"/>
  <c r="AT89" i="51"/>
  <c r="AS89" i="51" s="1"/>
  <c r="AO89" i="51"/>
  <c r="AK89" i="51" s="1"/>
  <c r="AJ89" i="51"/>
  <c r="AI89" i="51" s="1"/>
  <c r="AE89" i="51"/>
  <c r="AA89" i="51" s="1"/>
  <c r="Z89" i="51"/>
  <c r="Y89" i="51" s="1"/>
  <c r="U89" i="51"/>
  <c r="Q89" i="51" s="1"/>
  <c r="P89" i="51"/>
  <c r="O89" i="51" s="1"/>
  <c r="BI80" i="51"/>
  <c r="BE80" i="51" s="1"/>
  <c r="BD80" i="51"/>
  <c r="BC80" i="51" s="1"/>
  <c r="AY80" i="51"/>
  <c r="AU80" i="51" s="1"/>
  <c r="AT80" i="51"/>
  <c r="AS80" i="51" s="1"/>
  <c r="AO80" i="51"/>
  <c r="AN80" i="51" s="1"/>
  <c r="AJ80" i="51"/>
  <c r="AE80" i="51"/>
  <c r="AD80" i="51" s="1"/>
  <c r="Z80" i="51"/>
  <c r="U80" i="51"/>
  <c r="T80" i="51" s="1"/>
  <c r="P80" i="51"/>
  <c r="BI98" i="51"/>
  <c r="BH98" i="51" s="1"/>
  <c r="BD98" i="51"/>
  <c r="AY98" i="51"/>
  <c r="AX98" i="51" s="1"/>
  <c r="AT98" i="51"/>
  <c r="AO98" i="51"/>
  <c r="AN98" i="51" s="1"/>
  <c r="AJ98" i="51"/>
  <c r="AE98" i="51"/>
  <c r="AD98" i="51" s="1"/>
  <c r="Z98" i="51"/>
  <c r="U98" i="51"/>
  <c r="T98" i="51" s="1"/>
  <c r="P98" i="51"/>
  <c r="BI97" i="51"/>
  <c r="BH97" i="51" s="1"/>
  <c r="BD97" i="51"/>
  <c r="AY97" i="51"/>
  <c r="AX97" i="51" s="1"/>
  <c r="AT97" i="51"/>
  <c r="AO97" i="51"/>
  <c r="AN97" i="51" s="1"/>
  <c r="AJ97" i="51"/>
  <c r="AE97" i="51"/>
  <c r="AD97" i="51" s="1"/>
  <c r="Z97" i="51"/>
  <c r="U97" i="51"/>
  <c r="T97" i="51" s="1"/>
  <c r="P97" i="51"/>
  <c r="BI83" i="51"/>
  <c r="BH83" i="51" s="1"/>
  <c r="BD83" i="51"/>
  <c r="AY83" i="51"/>
  <c r="AX83" i="51" s="1"/>
  <c r="AT83" i="51"/>
  <c r="AO83" i="51"/>
  <c r="AN83" i="51" s="1"/>
  <c r="AJ83" i="51"/>
  <c r="AE83" i="51"/>
  <c r="AD83" i="51" s="1"/>
  <c r="Z83" i="51"/>
  <c r="U83" i="51"/>
  <c r="T83" i="51" s="1"/>
  <c r="P83" i="51"/>
  <c r="BI88" i="51"/>
  <c r="BH88" i="51" s="1"/>
  <c r="BD88" i="51"/>
  <c r="AY88" i="51"/>
  <c r="AX88" i="51" s="1"/>
  <c r="AT88" i="51"/>
  <c r="AO88" i="51"/>
  <c r="AN88" i="51" s="1"/>
  <c r="AJ88" i="51"/>
  <c r="AE88" i="51"/>
  <c r="AD88" i="51" s="1"/>
  <c r="Z88" i="51"/>
  <c r="U88" i="51"/>
  <c r="T88" i="51" s="1"/>
  <c r="P88" i="51"/>
  <c r="BI90" i="51"/>
  <c r="BH90" i="51" s="1"/>
  <c r="BD90" i="51"/>
  <c r="AY90" i="51"/>
  <c r="AX90" i="51" s="1"/>
  <c r="AT90" i="51"/>
  <c r="AO90" i="51"/>
  <c r="AN90" i="51" s="1"/>
  <c r="AJ90" i="51"/>
  <c r="AE90" i="51"/>
  <c r="AD90" i="51" s="1"/>
  <c r="Z90" i="51"/>
  <c r="U90" i="51"/>
  <c r="T90" i="51" s="1"/>
  <c r="P90" i="51"/>
  <c r="BI87" i="51"/>
  <c r="BH87" i="51" s="1"/>
  <c r="BD87" i="51"/>
  <c r="AY87" i="51"/>
  <c r="AX87" i="51" s="1"/>
  <c r="AT87" i="51"/>
  <c r="AO87" i="51"/>
  <c r="AN87" i="51" s="1"/>
  <c r="AJ87" i="51"/>
  <c r="AE87" i="51"/>
  <c r="AD87" i="51" s="1"/>
  <c r="Z87" i="51"/>
  <c r="U87" i="51"/>
  <c r="T87" i="51" s="1"/>
  <c r="P87" i="51"/>
  <c r="BI84" i="51"/>
  <c r="BH84" i="51" s="1"/>
  <c r="BD84" i="51"/>
  <c r="AZ84" i="51" s="1"/>
  <c r="AY84" i="51"/>
  <c r="AW84" i="51" s="1"/>
  <c r="AT84" i="51"/>
  <c r="AP84" i="51" s="1"/>
  <c r="AO84" i="51"/>
  <c r="AM84" i="51" s="1"/>
  <c r="AJ84" i="51"/>
  <c r="AF84" i="51" s="1"/>
  <c r="AE84" i="51"/>
  <c r="AC84" i="51" s="1"/>
  <c r="Z84" i="51"/>
  <c r="V84" i="51" s="1"/>
  <c r="U84" i="51"/>
  <c r="S84" i="51" s="1"/>
  <c r="P84" i="51"/>
  <c r="L84" i="51" s="1"/>
  <c r="BI96" i="51"/>
  <c r="BG96" i="51" s="1"/>
  <c r="BD96" i="51"/>
  <c r="AZ96" i="51" s="1"/>
  <c r="AY96" i="51"/>
  <c r="AW96" i="51" s="1"/>
  <c r="AT96" i="51"/>
  <c r="AP96" i="51" s="1"/>
  <c r="AJ96" i="51"/>
  <c r="AF96" i="51" s="1"/>
  <c r="AE96" i="51"/>
  <c r="AC96" i="51" s="1"/>
  <c r="Z96" i="51"/>
  <c r="V96" i="51" s="1"/>
  <c r="U96" i="51"/>
  <c r="S96" i="51" s="1"/>
  <c r="P96" i="51"/>
  <c r="L96" i="51" s="1"/>
  <c r="BI86" i="51"/>
  <c r="BG86" i="51" s="1"/>
  <c r="BD86" i="51"/>
  <c r="AZ86" i="51" s="1"/>
  <c r="AY86" i="51"/>
  <c r="AW86" i="51" s="1"/>
  <c r="AT86" i="51"/>
  <c r="AP86" i="51" s="1"/>
  <c r="AO86" i="51"/>
  <c r="AM86" i="51" s="1"/>
  <c r="AJ86" i="51"/>
  <c r="AF86" i="51" s="1"/>
  <c r="AE86" i="51"/>
  <c r="Z86" i="51"/>
  <c r="V86" i="51" s="1"/>
  <c r="U86" i="51"/>
  <c r="S86" i="51" s="1"/>
  <c r="P86" i="51"/>
  <c r="L86" i="51" s="1"/>
  <c r="BI85" i="51"/>
  <c r="BG85" i="51" s="1"/>
  <c r="BD85" i="51"/>
  <c r="BC85" i="51" s="1"/>
  <c r="AY85" i="51"/>
  <c r="AX85" i="51" s="1"/>
  <c r="AT85" i="51"/>
  <c r="AS85" i="51" s="1"/>
  <c r="AJ85" i="51"/>
  <c r="AI85" i="51" s="1"/>
  <c r="AE85" i="51"/>
  <c r="AD85" i="51" s="1"/>
  <c r="Z85" i="51"/>
  <c r="Y85" i="51" s="1"/>
  <c r="U85" i="51"/>
  <c r="S85" i="51" s="1"/>
  <c r="P85" i="51"/>
  <c r="O85" i="51" s="1"/>
  <c r="E69" i="51"/>
  <c r="AY69" i="51" s="1"/>
  <c r="AV69" i="51" s="1"/>
  <c r="E77" i="51"/>
  <c r="E65" i="51"/>
  <c r="BD65" i="51" s="1"/>
  <c r="BC65" i="51" s="1"/>
  <c r="E73" i="51"/>
  <c r="E74" i="51"/>
  <c r="E66" i="51"/>
  <c r="E67" i="51"/>
  <c r="BD67" i="51" s="1"/>
  <c r="BC67" i="51" s="1"/>
  <c r="E68" i="51"/>
  <c r="E72" i="51"/>
  <c r="E63" i="51"/>
  <c r="AT63" i="51" s="1"/>
  <c r="E62" i="51"/>
  <c r="AT62" i="51" s="1"/>
  <c r="AS62" i="51" s="1"/>
  <c r="E70" i="51"/>
  <c r="BI70" i="51" s="1"/>
  <c r="BF70" i="51" s="1"/>
  <c r="E71" i="51"/>
  <c r="AY71" i="51" s="1"/>
  <c r="E76" i="51"/>
  <c r="DL69" i="51"/>
  <c r="DK69" i="51"/>
  <c r="DJ69" i="51"/>
  <c r="DI69" i="51"/>
  <c r="CW69" i="51"/>
  <c r="CV69" i="51"/>
  <c r="CU69" i="51"/>
  <c r="CT69" i="51"/>
  <c r="CR69" i="51"/>
  <c r="CQ69" i="51"/>
  <c r="CP69" i="51"/>
  <c r="CO69" i="51"/>
  <c r="CM69" i="51"/>
  <c r="CL69" i="51"/>
  <c r="CK69" i="51"/>
  <c r="CJ69" i="51"/>
  <c r="CH69" i="51"/>
  <c r="CG69" i="51"/>
  <c r="CF69" i="51"/>
  <c r="CE69" i="51"/>
  <c r="CC69" i="51"/>
  <c r="CB69" i="51"/>
  <c r="CA69" i="51"/>
  <c r="BZ69" i="51"/>
  <c r="BX69" i="51"/>
  <c r="BW69" i="51"/>
  <c r="BV69" i="51"/>
  <c r="BU69" i="51"/>
  <c r="BT69" i="51"/>
  <c r="BY69" i="51" s="1"/>
  <c r="CD69" i="51" s="1"/>
  <c r="CI69" i="51" s="1"/>
  <c r="CN69" i="51" s="1"/>
  <c r="CS69" i="51" s="1"/>
  <c r="CX69" i="51" s="1"/>
  <c r="BS69" i="51"/>
  <c r="BR69" i="51"/>
  <c r="BQ69" i="51"/>
  <c r="BP69" i="51"/>
  <c r="DL77" i="51"/>
  <c r="DK77" i="51"/>
  <c r="DJ77" i="51"/>
  <c r="DI77" i="51"/>
  <c r="DG77" i="51"/>
  <c r="DF77" i="51"/>
  <c r="DE77" i="51"/>
  <c r="DD77" i="51"/>
  <c r="DB77" i="51"/>
  <c r="DA77" i="51"/>
  <c r="CZ77" i="51"/>
  <c r="CY77" i="51"/>
  <c r="CW77" i="51"/>
  <c r="CV77" i="51"/>
  <c r="CU77" i="51"/>
  <c r="CT77" i="51"/>
  <c r="CR77" i="51"/>
  <c r="CQ77" i="51"/>
  <c r="CP77" i="51"/>
  <c r="CO77" i="51"/>
  <c r="CM77" i="51"/>
  <c r="CL77" i="51"/>
  <c r="CK77" i="51"/>
  <c r="CJ77" i="51"/>
  <c r="CH77" i="51"/>
  <c r="CG77" i="51"/>
  <c r="CF77" i="51"/>
  <c r="CE77" i="51"/>
  <c r="CC77" i="51"/>
  <c r="CB77" i="51"/>
  <c r="CA77" i="51"/>
  <c r="BZ77" i="51"/>
  <c r="BX77" i="51"/>
  <c r="BW77" i="51"/>
  <c r="BV77" i="51"/>
  <c r="BU77" i="51"/>
  <c r="BT77" i="51"/>
  <c r="BY77" i="51" s="1"/>
  <c r="CD77" i="51" s="1"/>
  <c r="CI77" i="51" s="1"/>
  <c r="CN77" i="51" s="1"/>
  <c r="CS77" i="51" s="1"/>
  <c r="CX77" i="51" s="1"/>
  <c r="DC77" i="51" s="1"/>
  <c r="DH77" i="51" s="1"/>
  <c r="DM77" i="51" s="1"/>
  <c r="DR77" i="51" s="1"/>
  <c r="BS77" i="51"/>
  <c r="BR77" i="51"/>
  <c r="BQ77" i="51"/>
  <c r="BP77" i="51"/>
  <c r="DB65" i="51"/>
  <c r="DA65" i="51"/>
  <c r="CZ65" i="51"/>
  <c r="CY65" i="51"/>
  <c r="CW65" i="51"/>
  <c r="CV65" i="51"/>
  <c r="CU65" i="51"/>
  <c r="CT65" i="51"/>
  <c r="CR65" i="51"/>
  <c r="CQ65" i="51"/>
  <c r="CP65" i="51"/>
  <c r="CO65" i="51"/>
  <c r="CM65" i="51"/>
  <c r="CL65" i="51"/>
  <c r="CK65" i="51"/>
  <c r="CJ65" i="51"/>
  <c r="CH65" i="51"/>
  <c r="CG65" i="51"/>
  <c r="CF65" i="51"/>
  <c r="CE65" i="51"/>
  <c r="CC65" i="51"/>
  <c r="CB65" i="51"/>
  <c r="CA65" i="51"/>
  <c r="BZ65" i="51"/>
  <c r="BX65" i="51"/>
  <c r="BW65" i="51"/>
  <c r="BV65" i="51"/>
  <c r="BU65" i="51"/>
  <c r="BT65" i="51"/>
  <c r="BY65" i="51" s="1"/>
  <c r="CD65" i="51" s="1"/>
  <c r="CI65" i="51" s="1"/>
  <c r="CN65" i="51" s="1"/>
  <c r="CS65" i="51" s="1"/>
  <c r="CX65" i="51" s="1"/>
  <c r="DC65" i="51" s="1"/>
  <c r="DH65" i="51" s="1"/>
  <c r="BS65" i="51"/>
  <c r="BR65" i="51"/>
  <c r="BQ65" i="51"/>
  <c r="BP65" i="51"/>
  <c r="DL73" i="51"/>
  <c r="DK73" i="51"/>
  <c r="DJ73" i="51"/>
  <c r="DI73" i="51"/>
  <c r="DG73" i="51"/>
  <c r="DF73" i="51"/>
  <c r="DE73" i="51"/>
  <c r="DD73" i="51"/>
  <c r="DB73" i="51"/>
  <c r="DA73" i="51"/>
  <c r="CZ73" i="51"/>
  <c r="CY73" i="51"/>
  <c r="CW73" i="51"/>
  <c r="CV73" i="51"/>
  <c r="CU73" i="51"/>
  <c r="CT73" i="51"/>
  <c r="CR73" i="51"/>
  <c r="CQ73" i="51"/>
  <c r="CP73" i="51"/>
  <c r="CO73" i="51"/>
  <c r="CM73" i="51"/>
  <c r="CL73" i="51"/>
  <c r="CK73" i="51"/>
  <c r="CJ73" i="51"/>
  <c r="CH73" i="51"/>
  <c r="CG73" i="51"/>
  <c r="CF73" i="51"/>
  <c r="CE73" i="51"/>
  <c r="CC73" i="51"/>
  <c r="CB73" i="51"/>
  <c r="CA73" i="51"/>
  <c r="BZ73" i="51"/>
  <c r="BX73" i="51"/>
  <c r="BW73" i="51"/>
  <c r="BV73" i="51"/>
  <c r="BU73" i="51"/>
  <c r="BT73" i="51"/>
  <c r="BY73" i="51" s="1"/>
  <c r="CD73" i="51" s="1"/>
  <c r="CI73" i="51" s="1"/>
  <c r="CN73" i="51" s="1"/>
  <c r="CS73" i="51" s="1"/>
  <c r="CX73" i="51" s="1"/>
  <c r="DC73" i="51" s="1"/>
  <c r="DH73" i="51" s="1"/>
  <c r="DM73" i="51" s="1"/>
  <c r="DR73" i="51" s="1"/>
  <c r="BS73" i="51"/>
  <c r="BR73" i="51"/>
  <c r="BQ73" i="51"/>
  <c r="BP73" i="51"/>
  <c r="DL74" i="51"/>
  <c r="DK74" i="51"/>
  <c r="DJ74" i="51"/>
  <c r="DI74" i="51"/>
  <c r="DG74" i="51"/>
  <c r="DF74" i="51"/>
  <c r="DE74" i="51"/>
  <c r="DD74" i="51"/>
  <c r="DB74" i="51"/>
  <c r="DA74" i="51"/>
  <c r="CZ74" i="51"/>
  <c r="CY74" i="51"/>
  <c r="CW74" i="51"/>
  <c r="CV74" i="51"/>
  <c r="CU74" i="51"/>
  <c r="CT74" i="51"/>
  <c r="CR74" i="51"/>
  <c r="CQ74" i="51"/>
  <c r="CP74" i="51"/>
  <c r="CO74" i="51"/>
  <c r="CM74" i="51"/>
  <c r="CL74" i="51"/>
  <c r="CK74" i="51"/>
  <c r="CJ74" i="51"/>
  <c r="CH74" i="51"/>
  <c r="CG74" i="51"/>
  <c r="CF74" i="51"/>
  <c r="CE74" i="51"/>
  <c r="CC74" i="51"/>
  <c r="CB74" i="51"/>
  <c r="CA74" i="51"/>
  <c r="BZ74" i="51"/>
  <c r="BX74" i="51"/>
  <c r="BW74" i="51"/>
  <c r="BV74" i="51"/>
  <c r="BU74" i="51"/>
  <c r="BT74" i="51"/>
  <c r="BY74" i="51" s="1"/>
  <c r="CD74" i="51" s="1"/>
  <c r="CI74" i="51" s="1"/>
  <c r="CN74" i="51" s="1"/>
  <c r="CS74" i="51" s="1"/>
  <c r="CX74" i="51" s="1"/>
  <c r="DC74" i="51" s="1"/>
  <c r="DH74" i="51" s="1"/>
  <c r="DM74" i="51" s="1"/>
  <c r="DR74" i="51" s="1"/>
  <c r="BS74" i="51"/>
  <c r="BR74" i="51"/>
  <c r="BQ74" i="51"/>
  <c r="BP74" i="51"/>
  <c r="DL66" i="51"/>
  <c r="DK66" i="51"/>
  <c r="DJ66" i="51"/>
  <c r="DI66" i="51"/>
  <c r="DG66" i="51"/>
  <c r="DF66" i="51"/>
  <c r="DE66" i="51"/>
  <c r="DD66" i="51"/>
  <c r="DB66" i="51"/>
  <c r="DA66" i="51"/>
  <c r="CZ66" i="51"/>
  <c r="CY66" i="51"/>
  <c r="CW66" i="51"/>
  <c r="CV66" i="51"/>
  <c r="CU66" i="51"/>
  <c r="CT66" i="51"/>
  <c r="CR66" i="51"/>
  <c r="CQ66" i="51"/>
  <c r="CP66" i="51"/>
  <c r="CO66" i="51"/>
  <c r="CM66" i="51"/>
  <c r="CL66" i="51"/>
  <c r="CK66" i="51"/>
  <c r="CJ66" i="51"/>
  <c r="CH66" i="51"/>
  <c r="CG66" i="51"/>
  <c r="CF66" i="51"/>
  <c r="CE66" i="51"/>
  <c r="CC66" i="51"/>
  <c r="CB66" i="51"/>
  <c r="CA66" i="51"/>
  <c r="BZ66" i="51"/>
  <c r="BX66" i="51"/>
  <c r="BW66" i="51"/>
  <c r="BV66" i="51"/>
  <c r="BU66" i="51"/>
  <c r="BT66" i="51"/>
  <c r="BY66" i="51" s="1"/>
  <c r="CD66" i="51" s="1"/>
  <c r="CI66" i="51" s="1"/>
  <c r="CN66" i="51" s="1"/>
  <c r="CS66" i="51" s="1"/>
  <c r="CX66" i="51" s="1"/>
  <c r="DC66" i="51" s="1"/>
  <c r="DH66" i="51" s="1"/>
  <c r="DM66" i="51" s="1"/>
  <c r="DR66" i="51" s="1"/>
  <c r="BS66" i="51"/>
  <c r="BR66" i="51"/>
  <c r="BQ66" i="51"/>
  <c r="BP66" i="51"/>
  <c r="DB67" i="51"/>
  <c r="DA67" i="51"/>
  <c r="CZ67" i="51"/>
  <c r="CY67" i="51"/>
  <c r="CW67" i="51"/>
  <c r="CV67" i="51"/>
  <c r="CU67" i="51"/>
  <c r="CT67" i="51"/>
  <c r="CR67" i="51"/>
  <c r="CQ67" i="51"/>
  <c r="CP67" i="51"/>
  <c r="CO67" i="51"/>
  <c r="CM67" i="51"/>
  <c r="CL67" i="51"/>
  <c r="CK67" i="51"/>
  <c r="CJ67" i="51"/>
  <c r="CH67" i="51"/>
  <c r="CG67" i="51"/>
  <c r="CF67" i="51"/>
  <c r="CE67" i="51"/>
  <c r="CC67" i="51"/>
  <c r="CB67" i="51"/>
  <c r="CA67" i="51"/>
  <c r="BZ67" i="51"/>
  <c r="BX67" i="51"/>
  <c r="BW67" i="51"/>
  <c r="BV67" i="51"/>
  <c r="BU67" i="51"/>
  <c r="BT67" i="51"/>
  <c r="BY67" i="51" s="1"/>
  <c r="CD67" i="51" s="1"/>
  <c r="CI67" i="51" s="1"/>
  <c r="CN67" i="51" s="1"/>
  <c r="CS67" i="51" s="1"/>
  <c r="CX67" i="51" s="1"/>
  <c r="DC67" i="51" s="1"/>
  <c r="BS67" i="51"/>
  <c r="BR67" i="51"/>
  <c r="BQ67" i="51"/>
  <c r="BP67" i="51"/>
  <c r="DL68" i="51"/>
  <c r="DK68" i="51"/>
  <c r="DJ68" i="51"/>
  <c r="DI68" i="51"/>
  <c r="DG68" i="51"/>
  <c r="DF68" i="51"/>
  <c r="DE68" i="51"/>
  <c r="DD68" i="51"/>
  <c r="DB68" i="51"/>
  <c r="DA68" i="51"/>
  <c r="CZ68" i="51"/>
  <c r="CY68" i="51"/>
  <c r="CW68" i="51"/>
  <c r="CV68" i="51"/>
  <c r="CU68" i="51"/>
  <c r="CT68" i="51"/>
  <c r="CR68" i="51"/>
  <c r="CQ68" i="51"/>
  <c r="CP68" i="51"/>
  <c r="CO68" i="51"/>
  <c r="CM68" i="51"/>
  <c r="CL68" i="51"/>
  <c r="CK68" i="51"/>
  <c r="CJ68" i="51"/>
  <c r="CH68" i="51"/>
  <c r="CG68" i="51"/>
  <c r="CF68" i="51"/>
  <c r="CE68" i="51"/>
  <c r="CC68" i="51"/>
  <c r="CB68" i="51"/>
  <c r="CA68" i="51"/>
  <c r="BZ68" i="51"/>
  <c r="BX68" i="51"/>
  <c r="BW68" i="51"/>
  <c r="BV68" i="51"/>
  <c r="BU68" i="51"/>
  <c r="BT68" i="51"/>
  <c r="BY68" i="51" s="1"/>
  <c r="CD68" i="51" s="1"/>
  <c r="CI68" i="51" s="1"/>
  <c r="CN68" i="51" s="1"/>
  <c r="CS68" i="51" s="1"/>
  <c r="CX68" i="51" s="1"/>
  <c r="DC68" i="51" s="1"/>
  <c r="DH68" i="51" s="1"/>
  <c r="DM68" i="51" s="1"/>
  <c r="DR68" i="51" s="1"/>
  <c r="BS68" i="51"/>
  <c r="BR68" i="51"/>
  <c r="BQ68" i="51"/>
  <c r="BP68" i="51"/>
  <c r="DL72" i="51"/>
  <c r="DK72" i="51"/>
  <c r="DJ72" i="51"/>
  <c r="DI72" i="51"/>
  <c r="DG72" i="51"/>
  <c r="DF72" i="51"/>
  <c r="DE72" i="51"/>
  <c r="DD72" i="51"/>
  <c r="DB72" i="51"/>
  <c r="DA72" i="51"/>
  <c r="CZ72" i="51"/>
  <c r="CY72" i="51"/>
  <c r="CW72" i="51"/>
  <c r="CV72" i="51"/>
  <c r="CU72" i="51"/>
  <c r="CT72" i="51"/>
  <c r="CR72" i="51"/>
  <c r="CQ72" i="51"/>
  <c r="CP72" i="51"/>
  <c r="CO72" i="51"/>
  <c r="CM72" i="51"/>
  <c r="CL72" i="51"/>
  <c r="CK72" i="51"/>
  <c r="CJ72" i="51"/>
  <c r="CH72" i="51"/>
  <c r="CG72" i="51"/>
  <c r="CF72" i="51"/>
  <c r="CE72" i="51"/>
  <c r="CC72" i="51"/>
  <c r="CB72" i="51"/>
  <c r="CA72" i="51"/>
  <c r="BZ72" i="51"/>
  <c r="BX72" i="51"/>
  <c r="BW72" i="51"/>
  <c r="BV72" i="51"/>
  <c r="BU72" i="51"/>
  <c r="BT72" i="51"/>
  <c r="BY72" i="51" s="1"/>
  <c r="CD72" i="51" s="1"/>
  <c r="CI72" i="51" s="1"/>
  <c r="CN72" i="51" s="1"/>
  <c r="CS72" i="51" s="1"/>
  <c r="CX72" i="51" s="1"/>
  <c r="DC72" i="51" s="1"/>
  <c r="DH72" i="51" s="1"/>
  <c r="DM72" i="51" s="1"/>
  <c r="DR72" i="51" s="1"/>
  <c r="BS72" i="51"/>
  <c r="BR72" i="51"/>
  <c r="BQ72" i="51"/>
  <c r="BP72" i="51"/>
  <c r="DL63" i="51"/>
  <c r="DK63" i="51"/>
  <c r="DJ63" i="51"/>
  <c r="DI63" i="51"/>
  <c r="DG63" i="51"/>
  <c r="DF63" i="51"/>
  <c r="DE63" i="51"/>
  <c r="DD63" i="51"/>
  <c r="CR63" i="51"/>
  <c r="CQ63" i="51"/>
  <c r="CP63" i="51"/>
  <c r="CO63" i="51"/>
  <c r="CM63" i="51"/>
  <c r="CL63" i="51"/>
  <c r="CK63" i="51"/>
  <c r="CJ63" i="51"/>
  <c r="CH63" i="51"/>
  <c r="CG63" i="51"/>
  <c r="CF63" i="51"/>
  <c r="CE63" i="51"/>
  <c r="CC63" i="51"/>
  <c r="CB63" i="51"/>
  <c r="CA63" i="51"/>
  <c r="BZ63" i="51"/>
  <c r="BX63" i="51"/>
  <c r="BW63" i="51"/>
  <c r="BV63" i="51"/>
  <c r="BU63" i="51"/>
  <c r="BT63" i="51"/>
  <c r="BY63" i="51" s="1"/>
  <c r="CD63" i="51" s="1"/>
  <c r="CI63" i="51" s="1"/>
  <c r="CN63" i="51" s="1"/>
  <c r="CS63" i="51" s="1"/>
  <c r="BS63" i="51"/>
  <c r="BR63" i="51"/>
  <c r="BQ63" i="51"/>
  <c r="BP63" i="51"/>
  <c r="DL62" i="51"/>
  <c r="DK62" i="51"/>
  <c r="DJ62" i="51"/>
  <c r="DI62" i="51"/>
  <c r="DG62" i="51"/>
  <c r="DF62" i="51"/>
  <c r="DE62" i="51"/>
  <c r="DD62" i="51"/>
  <c r="CR62" i="51"/>
  <c r="CQ62" i="51"/>
  <c r="CP62" i="51"/>
  <c r="CO62" i="51"/>
  <c r="CM62" i="51"/>
  <c r="CL62" i="51"/>
  <c r="CK62" i="51"/>
  <c r="CJ62" i="51"/>
  <c r="CH62" i="51"/>
  <c r="CG62" i="51"/>
  <c r="CF62" i="51"/>
  <c r="CE62" i="51"/>
  <c r="CC62" i="51"/>
  <c r="CB62" i="51"/>
  <c r="CA62" i="51"/>
  <c r="BZ62" i="51"/>
  <c r="BX62" i="51"/>
  <c r="BW62" i="51"/>
  <c r="BV62" i="51"/>
  <c r="BU62" i="51"/>
  <c r="BT62" i="51"/>
  <c r="BY62" i="51" s="1"/>
  <c r="CD62" i="51" s="1"/>
  <c r="CI62" i="51" s="1"/>
  <c r="CN62" i="51" s="1"/>
  <c r="CS62" i="51" s="1"/>
  <c r="BS62" i="51"/>
  <c r="BR62" i="51"/>
  <c r="BQ62" i="51"/>
  <c r="BP62" i="51"/>
  <c r="DG70" i="51"/>
  <c r="DF70" i="51"/>
  <c r="DE70" i="51"/>
  <c r="DD70" i="51"/>
  <c r="DB70" i="51"/>
  <c r="DA70" i="51"/>
  <c r="CZ70" i="51"/>
  <c r="CY70" i="51"/>
  <c r="CW70" i="51"/>
  <c r="CV70" i="51"/>
  <c r="CU70" i="51"/>
  <c r="CT70" i="51"/>
  <c r="CR70" i="51"/>
  <c r="CQ70" i="51"/>
  <c r="CP70" i="51"/>
  <c r="CO70" i="51"/>
  <c r="CM70" i="51"/>
  <c r="CL70" i="51"/>
  <c r="CK70" i="51"/>
  <c r="CJ70" i="51"/>
  <c r="CH70" i="51"/>
  <c r="CG70" i="51"/>
  <c r="CF70" i="51"/>
  <c r="CE70" i="51"/>
  <c r="CC70" i="51"/>
  <c r="CB70" i="51"/>
  <c r="CA70" i="51"/>
  <c r="BZ70" i="51"/>
  <c r="BX70" i="51"/>
  <c r="BW70" i="51"/>
  <c r="BV70" i="51"/>
  <c r="BU70" i="51"/>
  <c r="BT70" i="51"/>
  <c r="BY70" i="51" s="1"/>
  <c r="CD70" i="51" s="1"/>
  <c r="CI70" i="51" s="1"/>
  <c r="CN70" i="51" s="1"/>
  <c r="CS70" i="51" s="1"/>
  <c r="CX70" i="51" s="1"/>
  <c r="DC70" i="51" s="1"/>
  <c r="DH70" i="51" s="1"/>
  <c r="BS70" i="51"/>
  <c r="BR70" i="51"/>
  <c r="BQ70" i="51"/>
  <c r="BP70" i="51"/>
  <c r="DL71" i="51"/>
  <c r="DK71" i="51"/>
  <c r="DJ71" i="51"/>
  <c r="DI71" i="51"/>
  <c r="CW71" i="51"/>
  <c r="CV71" i="51"/>
  <c r="CU71" i="51"/>
  <c r="CT71" i="51"/>
  <c r="CR71" i="51"/>
  <c r="CQ71" i="51"/>
  <c r="CP71" i="51"/>
  <c r="CO71" i="51"/>
  <c r="CM71" i="51"/>
  <c r="CL71" i="51"/>
  <c r="CK71" i="51"/>
  <c r="CJ71" i="51"/>
  <c r="CH71" i="51"/>
  <c r="CG71" i="51"/>
  <c r="CF71" i="51"/>
  <c r="CE71" i="51"/>
  <c r="CC71" i="51"/>
  <c r="CB71" i="51"/>
  <c r="CA71" i="51"/>
  <c r="BZ71" i="51"/>
  <c r="BX71" i="51"/>
  <c r="BW71" i="51"/>
  <c r="BV71" i="51"/>
  <c r="BU71" i="51"/>
  <c r="BT71" i="51"/>
  <c r="BY71" i="51" s="1"/>
  <c r="CD71" i="51" s="1"/>
  <c r="CI71" i="51" s="1"/>
  <c r="CN71" i="51" s="1"/>
  <c r="CS71" i="51" s="1"/>
  <c r="CX71" i="51" s="1"/>
  <c r="BS71" i="51"/>
  <c r="BR71" i="51"/>
  <c r="BQ71" i="51"/>
  <c r="BP71" i="51"/>
  <c r="DL76" i="51"/>
  <c r="DK76" i="51"/>
  <c r="DJ76" i="51"/>
  <c r="DI76" i="51"/>
  <c r="DG76" i="51"/>
  <c r="DF76" i="51"/>
  <c r="DE76" i="51"/>
  <c r="DD76" i="51"/>
  <c r="DB76" i="51"/>
  <c r="DA76" i="51"/>
  <c r="CZ76" i="51"/>
  <c r="CY76" i="51"/>
  <c r="CW76" i="51"/>
  <c r="CV76" i="51"/>
  <c r="CU76" i="51"/>
  <c r="CT76" i="51"/>
  <c r="CR76" i="51"/>
  <c r="CQ76" i="51"/>
  <c r="CP76" i="51"/>
  <c r="CO76" i="51"/>
  <c r="CM76" i="51"/>
  <c r="CL76" i="51"/>
  <c r="CK76" i="51"/>
  <c r="CJ76" i="51"/>
  <c r="CH76" i="51"/>
  <c r="CG76" i="51"/>
  <c r="CF76" i="51"/>
  <c r="CE76" i="51"/>
  <c r="CC76" i="51"/>
  <c r="CB76" i="51"/>
  <c r="CA76" i="51"/>
  <c r="BZ76" i="51"/>
  <c r="BX76" i="51"/>
  <c r="BW76" i="51"/>
  <c r="BV76" i="51"/>
  <c r="BU76" i="51"/>
  <c r="BT76" i="51"/>
  <c r="BY76" i="51" s="1"/>
  <c r="CD76" i="51" s="1"/>
  <c r="CI76" i="51" s="1"/>
  <c r="CN76" i="51" s="1"/>
  <c r="CS76" i="51" s="1"/>
  <c r="CX76" i="51" s="1"/>
  <c r="DC76" i="51" s="1"/>
  <c r="DH76" i="51" s="1"/>
  <c r="DM76" i="51" s="1"/>
  <c r="DR76" i="51" s="1"/>
  <c r="BS76" i="51"/>
  <c r="BR76" i="51"/>
  <c r="BQ76" i="51"/>
  <c r="BP76" i="51"/>
  <c r="BI69" i="51"/>
  <c r="BG69" i="51" s="1"/>
  <c r="BD69" i="51"/>
  <c r="AT69" i="51"/>
  <c r="AS69" i="51" s="1"/>
  <c r="AO69" i="51"/>
  <c r="AN69" i="51" s="1"/>
  <c r="AJ69" i="51"/>
  <c r="AI69" i="51" s="1"/>
  <c r="AE69" i="51"/>
  <c r="Z69" i="51"/>
  <c r="Y69" i="51" s="1"/>
  <c r="U69" i="51"/>
  <c r="S69" i="51" s="1"/>
  <c r="P69" i="51"/>
  <c r="BI77" i="51"/>
  <c r="BH77" i="51" s="1"/>
  <c r="BD77" i="51"/>
  <c r="BC77" i="51" s="1"/>
  <c r="AY77" i="51"/>
  <c r="AV77" i="51" s="1"/>
  <c r="AT77" i="51"/>
  <c r="AS77" i="51" s="1"/>
  <c r="AO77" i="51"/>
  <c r="AN77" i="51" s="1"/>
  <c r="AJ77" i="51"/>
  <c r="AI77" i="51" s="1"/>
  <c r="AE77" i="51"/>
  <c r="AB77" i="51" s="1"/>
  <c r="Z77" i="51"/>
  <c r="Y77" i="51" s="1"/>
  <c r="U77" i="51"/>
  <c r="T77" i="51" s="1"/>
  <c r="P77" i="51"/>
  <c r="O77" i="51" s="1"/>
  <c r="BI65" i="51"/>
  <c r="BF65" i="51" s="1"/>
  <c r="AY65" i="51"/>
  <c r="AX65" i="51" s="1"/>
  <c r="AT65" i="51"/>
  <c r="AS65" i="51" s="1"/>
  <c r="AO65" i="51"/>
  <c r="AJ65" i="51"/>
  <c r="AI65" i="51" s="1"/>
  <c r="AE65" i="51"/>
  <c r="Z65" i="51"/>
  <c r="Y65" i="51" s="1"/>
  <c r="U65" i="51"/>
  <c r="R65" i="51" s="1"/>
  <c r="P65" i="51"/>
  <c r="O65" i="51" s="1"/>
  <c r="BI73" i="51"/>
  <c r="BH73" i="51" s="1"/>
  <c r="BD73" i="51"/>
  <c r="BC73" i="51" s="1"/>
  <c r="AY73" i="51"/>
  <c r="AV73" i="51" s="1"/>
  <c r="AT73" i="51"/>
  <c r="AS73" i="51" s="1"/>
  <c r="AO73" i="51"/>
  <c r="AN73" i="51" s="1"/>
  <c r="AJ73" i="51"/>
  <c r="AI73" i="51" s="1"/>
  <c r="AE73" i="51"/>
  <c r="AB73" i="51" s="1"/>
  <c r="Z73" i="51"/>
  <c r="Y73" i="51" s="1"/>
  <c r="U73" i="51"/>
  <c r="T73" i="51" s="1"/>
  <c r="P73" i="51"/>
  <c r="O73" i="51" s="1"/>
  <c r="BI74" i="51"/>
  <c r="BD74" i="51"/>
  <c r="BC74" i="51" s="1"/>
  <c r="AY74" i="51"/>
  <c r="AX74" i="51" s="1"/>
  <c r="AT74" i="51"/>
  <c r="AS74" i="51" s="1"/>
  <c r="AO74" i="51"/>
  <c r="AL74" i="51" s="1"/>
  <c r="AJ74" i="51"/>
  <c r="AI74" i="51" s="1"/>
  <c r="AE74" i="51"/>
  <c r="AD74" i="51" s="1"/>
  <c r="Z74" i="51"/>
  <c r="Y74" i="51" s="1"/>
  <c r="U74" i="51"/>
  <c r="R74" i="51" s="1"/>
  <c r="P74" i="51"/>
  <c r="O74" i="51" s="1"/>
  <c r="BI66" i="51"/>
  <c r="BH66" i="51" s="1"/>
  <c r="BD66" i="51"/>
  <c r="BC66" i="51" s="1"/>
  <c r="AY66" i="51"/>
  <c r="AV66" i="51" s="1"/>
  <c r="AT66" i="51"/>
  <c r="AS66" i="51" s="1"/>
  <c r="AO66" i="51"/>
  <c r="AN66" i="51" s="1"/>
  <c r="AJ66" i="51"/>
  <c r="AI66" i="51" s="1"/>
  <c r="AE66" i="51"/>
  <c r="Z66" i="51"/>
  <c r="Y66" i="51" s="1"/>
  <c r="U66" i="51"/>
  <c r="T66" i="51" s="1"/>
  <c r="P66" i="51"/>
  <c r="O66" i="51" s="1"/>
  <c r="BI67" i="51"/>
  <c r="BF67" i="51" s="1"/>
  <c r="AY67" i="51"/>
  <c r="AX67" i="51" s="1"/>
  <c r="AT67" i="51"/>
  <c r="AO67" i="51"/>
  <c r="AL67" i="51" s="1"/>
  <c r="AJ67" i="51"/>
  <c r="AE67" i="51"/>
  <c r="AD67" i="51" s="1"/>
  <c r="Z67" i="51"/>
  <c r="U67" i="51"/>
  <c r="R67" i="51" s="1"/>
  <c r="P67" i="51"/>
  <c r="BI68" i="51"/>
  <c r="BH68" i="51" s="1"/>
  <c r="BD68" i="51"/>
  <c r="AY68" i="51"/>
  <c r="AT68" i="51"/>
  <c r="AO68" i="51"/>
  <c r="AN68" i="51" s="1"/>
  <c r="AJ68" i="51"/>
  <c r="AE68" i="51"/>
  <c r="AB68" i="51" s="1"/>
  <c r="Z68" i="51"/>
  <c r="U68" i="51"/>
  <c r="T68" i="51" s="1"/>
  <c r="P68" i="51"/>
  <c r="BI72" i="51"/>
  <c r="BG72" i="51" s="1"/>
  <c r="BD72" i="51"/>
  <c r="BC72" i="51" s="1"/>
  <c r="AY72" i="51"/>
  <c r="AU72" i="51" s="1"/>
  <c r="AT72" i="51"/>
  <c r="AS72" i="51" s="1"/>
  <c r="AO72" i="51"/>
  <c r="AN72" i="51" s="1"/>
  <c r="AJ72" i="51"/>
  <c r="AE72" i="51"/>
  <c r="AD72" i="51" s="1"/>
  <c r="Z72" i="51"/>
  <c r="Y72" i="51" s="1"/>
  <c r="U72" i="51"/>
  <c r="T72" i="51" s="1"/>
  <c r="P72" i="51"/>
  <c r="O72" i="51" s="1"/>
  <c r="BI63" i="51"/>
  <c r="BD63" i="51"/>
  <c r="AY63" i="51"/>
  <c r="AX63" i="51" s="1"/>
  <c r="AO63" i="51"/>
  <c r="AL63" i="51" s="1"/>
  <c r="AJ63" i="51"/>
  <c r="AI63" i="51" s="1"/>
  <c r="AE63" i="51"/>
  <c r="Z63" i="51"/>
  <c r="Y63" i="51" s="1"/>
  <c r="U63" i="51"/>
  <c r="P63" i="51"/>
  <c r="BI62" i="51"/>
  <c r="BD62" i="51"/>
  <c r="BC62" i="51" s="1"/>
  <c r="AY62" i="51"/>
  <c r="AO62" i="51"/>
  <c r="AL62" i="51" s="1"/>
  <c r="AJ62" i="51"/>
  <c r="AI62" i="51" s="1"/>
  <c r="AE62" i="51"/>
  <c r="Z62" i="51"/>
  <c r="U62" i="51"/>
  <c r="R62" i="51" s="1"/>
  <c r="P62" i="51"/>
  <c r="O62" i="51" s="1"/>
  <c r="BD70" i="51"/>
  <c r="BC70" i="51" s="1"/>
  <c r="AY70" i="51"/>
  <c r="AV70" i="51" s="1"/>
  <c r="AT70" i="51"/>
  <c r="AO70" i="51"/>
  <c r="AL70" i="51" s="1"/>
  <c r="AJ70" i="51"/>
  <c r="AI70" i="51" s="1"/>
  <c r="AE70" i="51"/>
  <c r="Z70" i="51"/>
  <c r="Y70" i="51" s="1"/>
  <c r="U70" i="51"/>
  <c r="R70" i="51" s="1"/>
  <c r="P70" i="51"/>
  <c r="O70" i="51" s="1"/>
  <c r="BI71" i="51"/>
  <c r="BF71" i="51" s="1"/>
  <c r="BD71" i="51"/>
  <c r="BC71" i="51" s="1"/>
  <c r="AT71" i="51"/>
  <c r="AO71" i="51"/>
  <c r="AL71" i="51" s="1"/>
  <c r="AJ71" i="51"/>
  <c r="AI71" i="51" s="1"/>
  <c r="AE71" i="51"/>
  <c r="AB71" i="51" s="1"/>
  <c r="Z71" i="51"/>
  <c r="Y71" i="51" s="1"/>
  <c r="U71" i="51"/>
  <c r="P71" i="51"/>
  <c r="O71" i="51" s="1"/>
  <c r="BI76" i="51"/>
  <c r="BF76" i="51" s="1"/>
  <c r="BD76" i="51"/>
  <c r="BC76" i="51" s="1"/>
  <c r="AY76" i="51"/>
  <c r="AV76" i="51" s="1"/>
  <c r="AT76" i="51"/>
  <c r="AS76" i="51" s="1"/>
  <c r="AO76" i="51"/>
  <c r="AJ76" i="51"/>
  <c r="AI76" i="51" s="1"/>
  <c r="AE76" i="51"/>
  <c r="AB76" i="51" s="1"/>
  <c r="Z76" i="51"/>
  <c r="Y76" i="51" s="1"/>
  <c r="U76" i="51"/>
  <c r="P76" i="51"/>
  <c r="O76" i="51" s="1"/>
  <c r="DL59" i="51"/>
  <c r="DK59" i="51"/>
  <c r="DJ59" i="51"/>
  <c r="DI59" i="51"/>
  <c r="DG59" i="51"/>
  <c r="DF59" i="51"/>
  <c r="DE59" i="51"/>
  <c r="DD59" i="51"/>
  <c r="DB59" i="51"/>
  <c r="DA59" i="51"/>
  <c r="CZ59" i="51"/>
  <c r="CY59" i="51"/>
  <c r="CW59" i="51"/>
  <c r="CV59" i="51"/>
  <c r="CU59" i="51"/>
  <c r="CT59" i="51"/>
  <c r="CR59" i="51"/>
  <c r="CQ59" i="51"/>
  <c r="CP59" i="51"/>
  <c r="CO59" i="51"/>
  <c r="CM59" i="51"/>
  <c r="CL59" i="51"/>
  <c r="CK59" i="51"/>
  <c r="CJ59" i="51"/>
  <c r="CH59" i="51"/>
  <c r="CG59" i="51"/>
  <c r="CF59" i="51"/>
  <c r="CE59" i="51"/>
  <c r="CC59" i="51"/>
  <c r="CB59" i="51"/>
  <c r="CA59" i="51"/>
  <c r="BZ59" i="51"/>
  <c r="BX59" i="51"/>
  <c r="BW59" i="51"/>
  <c r="BV59" i="51"/>
  <c r="BU59" i="51"/>
  <c r="BT59" i="51"/>
  <c r="BY59" i="51" s="1"/>
  <c r="CD59" i="51" s="1"/>
  <c r="CI59" i="51" s="1"/>
  <c r="CN59" i="51" s="1"/>
  <c r="CS59" i="51" s="1"/>
  <c r="CX59" i="51" s="1"/>
  <c r="DC59" i="51" s="1"/>
  <c r="DH59" i="51" s="1"/>
  <c r="DM59" i="51" s="1"/>
  <c r="BS59" i="51"/>
  <c r="BR59" i="51"/>
  <c r="BQ59" i="51"/>
  <c r="BP59" i="51"/>
  <c r="E59" i="51"/>
  <c r="E55" i="51"/>
  <c r="E56" i="51"/>
  <c r="F54" i="51"/>
  <c r="E54" i="51" s="1"/>
  <c r="DL54" i="51"/>
  <c r="DK54" i="51"/>
  <c r="DJ54" i="51"/>
  <c r="DI54" i="51"/>
  <c r="DG54" i="51"/>
  <c r="DF54" i="51"/>
  <c r="DE54" i="51"/>
  <c r="DD54" i="51"/>
  <c r="DB54" i="51"/>
  <c r="DA54" i="51"/>
  <c r="CZ54" i="51"/>
  <c r="CY54" i="51"/>
  <c r="CW54" i="51"/>
  <c r="CV54" i="51"/>
  <c r="CU54" i="51"/>
  <c r="CT54" i="51"/>
  <c r="CR54" i="51"/>
  <c r="CQ54" i="51"/>
  <c r="CP54" i="51"/>
  <c r="CO54" i="51"/>
  <c r="CM54" i="51"/>
  <c r="CL54" i="51"/>
  <c r="CK54" i="51"/>
  <c r="CJ54" i="51"/>
  <c r="CH54" i="51"/>
  <c r="CG54" i="51"/>
  <c r="CF54" i="51"/>
  <c r="CE54" i="51"/>
  <c r="CC54" i="51"/>
  <c r="CB54" i="51"/>
  <c r="CA54" i="51"/>
  <c r="BZ54" i="51"/>
  <c r="BX54" i="51"/>
  <c r="BW54" i="51"/>
  <c r="BV54" i="51"/>
  <c r="BU54" i="51"/>
  <c r="BT54" i="51"/>
  <c r="BY54" i="51" s="1"/>
  <c r="CD54" i="51" s="1"/>
  <c r="CI54" i="51" s="1"/>
  <c r="CN54" i="51" s="1"/>
  <c r="CS54" i="51" s="1"/>
  <c r="CX54" i="51" s="1"/>
  <c r="DC54" i="51" s="1"/>
  <c r="DH54" i="51" s="1"/>
  <c r="DM54" i="51" s="1"/>
  <c r="DR54" i="51" s="1"/>
  <c r="BS54" i="51"/>
  <c r="BR54" i="51"/>
  <c r="BQ54" i="51"/>
  <c r="BP54" i="51"/>
  <c r="DL55" i="51"/>
  <c r="DK55" i="51"/>
  <c r="DJ55" i="51"/>
  <c r="DI55" i="51"/>
  <c r="DG55" i="51"/>
  <c r="DF55" i="51"/>
  <c r="DE55" i="51"/>
  <c r="DD55" i="51"/>
  <c r="DB55" i="51"/>
  <c r="DA55" i="51"/>
  <c r="CZ55" i="51"/>
  <c r="CY55" i="51"/>
  <c r="CW55" i="51"/>
  <c r="CV55" i="51"/>
  <c r="CU55" i="51"/>
  <c r="CT55" i="51"/>
  <c r="CR55" i="51"/>
  <c r="CQ55" i="51"/>
  <c r="CP55" i="51"/>
  <c r="CO55" i="51"/>
  <c r="CM55" i="51"/>
  <c r="CL55" i="51"/>
  <c r="CK55" i="51"/>
  <c r="CJ55" i="51"/>
  <c r="CH55" i="51"/>
  <c r="CG55" i="51"/>
  <c r="CF55" i="51"/>
  <c r="CE55" i="51"/>
  <c r="CC55" i="51"/>
  <c r="CB55" i="51"/>
  <c r="CA55" i="51"/>
  <c r="BZ55" i="51"/>
  <c r="BX55" i="51"/>
  <c r="BW55" i="51"/>
  <c r="BV55" i="51"/>
  <c r="BU55" i="51"/>
  <c r="BT55" i="51"/>
  <c r="BY55" i="51" s="1"/>
  <c r="CD55" i="51" s="1"/>
  <c r="CI55" i="51" s="1"/>
  <c r="CN55" i="51" s="1"/>
  <c r="CS55" i="51" s="1"/>
  <c r="CX55" i="51" s="1"/>
  <c r="DC55" i="51" s="1"/>
  <c r="DH55" i="51" s="1"/>
  <c r="DM55" i="51" s="1"/>
  <c r="DR55" i="51" s="1"/>
  <c r="BS55" i="51"/>
  <c r="BR55" i="51"/>
  <c r="BQ55" i="51"/>
  <c r="BP55" i="51"/>
  <c r="DL56" i="51"/>
  <c r="DK56" i="51"/>
  <c r="DJ56" i="51"/>
  <c r="DI56" i="51"/>
  <c r="DG56" i="51"/>
  <c r="DF56" i="51"/>
  <c r="DE56" i="51"/>
  <c r="DD56" i="51"/>
  <c r="DB56" i="51"/>
  <c r="DA56" i="51"/>
  <c r="CZ56" i="51"/>
  <c r="CY56" i="51"/>
  <c r="CW56" i="51"/>
  <c r="CV56" i="51"/>
  <c r="CU56" i="51"/>
  <c r="CT56" i="51"/>
  <c r="CR56" i="51"/>
  <c r="CQ56" i="51"/>
  <c r="CP56" i="51"/>
  <c r="CO56" i="51"/>
  <c r="CM56" i="51"/>
  <c r="CL56" i="51"/>
  <c r="CK56" i="51"/>
  <c r="CJ56" i="51"/>
  <c r="CH56" i="51"/>
  <c r="CG56" i="51"/>
  <c r="CF56" i="51"/>
  <c r="CE56" i="51"/>
  <c r="CC56" i="51"/>
  <c r="CB56" i="51"/>
  <c r="CA56" i="51"/>
  <c r="BZ56" i="51"/>
  <c r="BX56" i="51"/>
  <c r="BW56" i="51"/>
  <c r="BV56" i="51"/>
  <c r="BU56" i="51"/>
  <c r="BT56" i="51"/>
  <c r="BY56" i="51" s="1"/>
  <c r="CD56" i="51" s="1"/>
  <c r="CI56" i="51" s="1"/>
  <c r="CN56" i="51" s="1"/>
  <c r="CS56" i="51" s="1"/>
  <c r="CX56" i="51" s="1"/>
  <c r="DC56" i="51" s="1"/>
  <c r="DH56" i="51" s="1"/>
  <c r="DM56" i="51" s="1"/>
  <c r="DR56" i="51" s="1"/>
  <c r="BS56" i="51"/>
  <c r="BR56" i="51"/>
  <c r="BQ56" i="51"/>
  <c r="BP56" i="51"/>
  <c r="DB53" i="51"/>
  <c r="DA53" i="51"/>
  <c r="CZ53" i="51"/>
  <c r="CY53" i="51"/>
  <c r="CW53" i="51"/>
  <c r="CV53" i="51"/>
  <c r="CU53" i="51"/>
  <c r="CT53" i="51"/>
  <c r="CR53" i="51"/>
  <c r="CQ53" i="51"/>
  <c r="CP53" i="51"/>
  <c r="CO53" i="51"/>
  <c r="CM53" i="51"/>
  <c r="CL53" i="51"/>
  <c r="CK53" i="51"/>
  <c r="CJ53" i="51"/>
  <c r="CH53" i="51"/>
  <c r="CG53" i="51"/>
  <c r="CF53" i="51"/>
  <c r="CE53" i="51"/>
  <c r="CC53" i="51"/>
  <c r="CB53" i="51"/>
  <c r="CA53" i="51"/>
  <c r="BZ53" i="51"/>
  <c r="BX53" i="51"/>
  <c r="BW53" i="51"/>
  <c r="BV53" i="51"/>
  <c r="BU53" i="51"/>
  <c r="BT53" i="51"/>
  <c r="BY53" i="51" s="1"/>
  <c r="BS53" i="51"/>
  <c r="BR53" i="51"/>
  <c r="BQ53" i="51"/>
  <c r="BP53" i="51"/>
  <c r="BI54" i="51"/>
  <c r="BH54" i="51" s="1"/>
  <c r="BD54" i="51"/>
  <c r="AZ54" i="51" s="1"/>
  <c r="AY54" i="51"/>
  <c r="AX54" i="51" s="1"/>
  <c r="AT54" i="51"/>
  <c r="AP54" i="51" s="1"/>
  <c r="AO54" i="51"/>
  <c r="AM54" i="51" s="1"/>
  <c r="AJ54" i="51"/>
  <c r="AF54" i="51" s="1"/>
  <c r="AE54" i="51"/>
  <c r="AB54" i="51" s="1"/>
  <c r="Z54" i="51"/>
  <c r="V54" i="51" s="1"/>
  <c r="U54" i="51"/>
  <c r="P54" i="51"/>
  <c r="L54" i="51" s="1"/>
  <c r="BI55" i="51"/>
  <c r="BD55" i="51"/>
  <c r="AZ55" i="51" s="1"/>
  <c r="AY55" i="51"/>
  <c r="AT55" i="51"/>
  <c r="AP55" i="51" s="1"/>
  <c r="AO55" i="51"/>
  <c r="AL55" i="51" s="1"/>
  <c r="AJ55" i="51"/>
  <c r="AF55" i="51" s="1"/>
  <c r="AE55" i="51"/>
  <c r="AB55" i="51" s="1"/>
  <c r="Z55" i="51"/>
  <c r="V55" i="51" s="1"/>
  <c r="U55" i="51"/>
  <c r="T55" i="51" s="1"/>
  <c r="P55" i="51"/>
  <c r="L55" i="51" s="1"/>
  <c r="BI56" i="51"/>
  <c r="BG56" i="51" s="1"/>
  <c r="BD56" i="51"/>
  <c r="AZ56" i="51" s="1"/>
  <c r="AY56" i="51"/>
  <c r="AV56" i="51" s="1"/>
  <c r="AT56" i="51"/>
  <c r="AP56" i="51" s="1"/>
  <c r="AO56" i="51"/>
  <c r="AJ56" i="51"/>
  <c r="AF56" i="51" s="1"/>
  <c r="AE56" i="51"/>
  <c r="AD56" i="51" s="1"/>
  <c r="Z56" i="51"/>
  <c r="V56" i="51" s="1"/>
  <c r="U56" i="51"/>
  <c r="S56" i="51" s="1"/>
  <c r="P56" i="51"/>
  <c r="L56" i="51" s="1"/>
  <c r="BI53" i="51"/>
  <c r="AY53" i="51"/>
  <c r="AX53" i="51" s="1"/>
  <c r="AT53" i="51"/>
  <c r="AP53" i="51" s="1"/>
  <c r="AO53" i="51"/>
  <c r="AK53" i="51" s="1"/>
  <c r="AJ53" i="51"/>
  <c r="AF53" i="51" s="1"/>
  <c r="AE53" i="51"/>
  <c r="AD53" i="51" s="1"/>
  <c r="Z53" i="51"/>
  <c r="V53" i="51" s="1"/>
  <c r="U53" i="51"/>
  <c r="P53" i="51"/>
  <c r="L53" i="51" s="1"/>
  <c r="F53" i="51"/>
  <c r="E41" i="51"/>
  <c r="BI41" i="51" s="1"/>
  <c r="E40" i="51"/>
  <c r="BD40" i="51" s="1"/>
  <c r="BC40" i="51" s="1"/>
  <c r="E39" i="51"/>
  <c r="AY39" i="51" s="1"/>
  <c r="AW39" i="51" s="1"/>
  <c r="DG41" i="51"/>
  <c r="DF41" i="51"/>
  <c r="DE41" i="51"/>
  <c r="DD41" i="51"/>
  <c r="DB41" i="51"/>
  <c r="DA41" i="51"/>
  <c r="CZ41" i="51"/>
  <c r="CY41" i="51"/>
  <c r="CW41" i="51"/>
  <c r="CV41" i="51"/>
  <c r="CU41" i="51"/>
  <c r="CT41" i="51"/>
  <c r="CR41" i="51"/>
  <c r="CQ41" i="51"/>
  <c r="CP41" i="51"/>
  <c r="CO41" i="51"/>
  <c r="CM41" i="51"/>
  <c r="CL41" i="51"/>
  <c r="CK41" i="51"/>
  <c r="CJ41" i="51"/>
  <c r="CH41" i="51"/>
  <c r="CG41" i="51"/>
  <c r="CF41" i="51"/>
  <c r="CE41" i="51"/>
  <c r="CC41" i="51"/>
  <c r="CB41" i="51"/>
  <c r="CA41" i="51"/>
  <c r="BZ41" i="51"/>
  <c r="BX41" i="51"/>
  <c r="BW41" i="51"/>
  <c r="BV41" i="51"/>
  <c r="BU41" i="51"/>
  <c r="BT41" i="51"/>
  <c r="BY41" i="51" s="1"/>
  <c r="CD41" i="51" s="1"/>
  <c r="CI41" i="51" s="1"/>
  <c r="CN41" i="51" s="1"/>
  <c r="CS41" i="51" s="1"/>
  <c r="CX41" i="51" s="1"/>
  <c r="DC41" i="51" s="1"/>
  <c r="DH41" i="51" s="1"/>
  <c r="BS41" i="51"/>
  <c r="BR41" i="51"/>
  <c r="BQ41" i="51"/>
  <c r="BP41" i="51"/>
  <c r="DB40" i="51"/>
  <c r="DA40" i="51"/>
  <c r="CZ40" i="51"/>
  <c r="CY40" i="51"/>
  <c r="CW40" i="51"/>
  <c r="CV40" i="51"/>
  <c r="CU40" i="51"/>
  <c r="CT40" i="51"/>
  <c r="CR40" i="51"/>
  <c r="CQ40" i="51"/>
  <c r="CP40" i="51"/>
  <c r="CO40" i="51"/>
  <c r="CM40" i="51"/>
  <c r="CL40" i="51"/>
  <c r="CK40" i="51"/>
  <c r="CJ40" i="51"/>
  <c r="CH40" i="51"/>
  <c r="CG40" i="51"/>
  <c r="CF40" i="51"/>
  <c r="CE40" i="51"/>
  <c r="CC40" i="51"/>
  <c r="CB40" i="51"/>
  <c r="CA40" i="51"/>
  <c r="BZ40" i="51"/>
  <c r="BX40" i="51"/>
  <c r="BW40" i="51"/>
  <c r="BV40" i="51"/>
  <c r="BU40" i="51"/>
  <c r="BT40" i="51"/>
  <c r="BY40" i="51" s="1"/>
  <c r="CD40" i="51" s="1"/>
  <c r="CI40" i="51" s="1"/>
  <c r="CN40" i="51" s="1"/>
  <c r="CS40" i="51" s="1"/>
  <c r="CX40" i="51" s="1"/>
  <c r="DC40" i="51" s="1"/>
  <c r="BS40" i="51"/>
  <c r="BR40" i="51"/>
  <c r="BQ40" i="51"/>
  <c r="BP40" i="51"/>
  <c r="DL39" i="51"/>
  <c r="DK39" i="51"/>
  <c r="DJ39" i="51"/>
  <c r="DI39" i="51"/>
  <c r="CW39" i="51"/>
  <c r="CV39" i="51"/>
  <c r="CU39" i="51"/>
  <c r="CT39" i="51"/>
  <c r="CR39" i="51"/>
  <c r="CQ39" i="51"/>
  <c r="CP39" i="51"/>
  <c r="CO39" i="51"/>
  <c r="CM39" i="51"/>
  <c r="CL39" i="51"/>
  <c r="CK39" i="51"/>
  <c r="CJ39" i="51"/>
  <c r="CH39" i="51"/>
  <c r="CG39" i="51"/>
  <c r="CF39" i="51"/>
  <c r="CE39" i="51"/>
  <c r="CC39" i="51"/>
  <c r="CB39" i="51"/>
  <c r="CA39" i="51"/>
  <c r="BZ39" i="51"/>
  <c r="BX39" i="51"/>
  <c r="BW39" i="51"/>
  <c r="BV39" i="51"/>
  <c r="BU39" i="51"/>
  <c r="BT39" i="51"/>
  <c r="BY39" i="51" s="1"/>
  <c r="CD39" i="51" s="1"/>
  <c r="CI39" i="51" s="1"/>
  <c r="CN39" i="51" s="1"/>
  <c r="CS39" i="51" s="1"/>
  <c r="CX39" i="51" s="1"/>
  <c r="BS39" i="51"/>
  <c r="BR39" i="51"/>
  <c r="BQ39" i="51"/>
  <c r="BP39" i="51"/>
  <c r="BD41" i="51"/>
  <c r="BC41" i="51" s="1"/>
  <c r="AY41" i="51"/>
  <c r="AW41" i="51" s="1"/>
  <c r="AT41" i="51"/>
  <c r="AS41" i="51" s="1"/>
  <c r="AO41" i="51"/>
  <c r="AL41" i="51" s="1"/>
  <c r="AJ41" i="51"/>
  <c r="AI41" i="51" s="1"/>
  <c r="AE41" i="51"/>
  <c r="AD41" i="51" s="1"/>
  <c r="Z41" i="51"/>
  <c r="Y41" i="51" s="1"/>
  <c r="U41" i="51"/>
  <c r="T41" i="51" s="1"/>
  <c r="P41" i="51"/>
  <c r="O41" i="51" s="1"/>
  <c r="BI40" i="51"/>
  <c r="BF40" i="51" s="1"/>
  <c r="AY40" i="51"/>
  <c r="AV40" i="51" s="1"/>
  <c r="AT40" i="51"/>
  <c r="AS40" i="51" s="1"/>
  <c r="AO40" i="51"/>
  <c r="AM40" i="51" s="1"/>
  <c r="AJ40" i="51"/>
  <c r="AI40" i="51" s="1"/>
  <c r="AE40" i="51"/>
  <c r="AD40" i="51" s="1"/>
  <c r="Z40" i="51"/>
  <c r="Y40" i="51" s="1"/>
  <c r="U40" i="51"/>
  <c r="S40" i="51" s="1"/>
  <c r="P40" i="51"/>
  <c r="O40" i="51" s="1"/>
  <c r="BI39" i="51"/>
  <c r="BF39" i="51" s="1"/>
  <c r="BD39" i="51"/>
  <c r="BC39" i="51" s="1"/>
  <c r="AT39" i="51"/>
  <c r="AS39" i="51" s="1"/>
  <c r="AO39" i="51"/>
  <c r="AN39" i="51" s="1"/>
  <c r="AJ39" i="51"/>
  <c r="AE39" i="51"/>
  <c r="AC39" i="51" s="1"/>
  <c r="Z39" i="51"/>
  <c r="Y39" i="51" s="1"/>
  <c r="U39" i="51"/>
  <c r="R39" i="51" s="1"/>
  <c r="P39" i="51"/>
  <c r="O39" i="51" s="1"/>
  <c r="E22" i="51"/>
  <c r="E24" i="51"/>
  <c r="E26" i="51"/>
  <c r="AY26" i="51" s="1"/>
  <c r="AX26" i="51" s="1"/>
  <c r="DG22" i="51"/>
  <c r="DF22" i="51"/>
  <c r="DE22" i="51"/>
  <c r="DD22" i="51"/>
  <c r="CH22" i="51"/>
  <c r="CG22" i="51"/>
  <c r="CF22" i="51"/>
  <c r="CE22" i="51"/>
  <c r="CC22" i="51"/>
  <c r="CB22" i="51"/>
  <c r="CA22" i="51"/>
  <c r="BZ22" i="51"/>
  <c r="BX22" i="51"/>
  <c r="BW22" i="51"/>
  <c r="BV22" i="51"/>
  <c r="BU22" i="51"/>
  <c r="BT22" i="51"/>
  <c r="BY22" i="51" s="1"/>
  <c r="CD22" i="51" s="1"/>
  <c r="CI22" i="51" s="1"/>
  <c r="CN22" i="51" s="1"/>
  <c r="CL22" i="51" s="1"/>
  <c r="BS22" i="51"/>
  <c r="BR22" i="51"/>
  <c r="BQ22" i="51"/>
  <c r="BP22" i="51"/>
  <c r="DL24" i="51"/>
  <c r="DK24" i="51"/>
  <c r="DJ24" i="51"/>
  <c r="DI24" i="51"/>
  <c r="DG24" i="51"/>
  <c r="DF24" i="51"/>
  <c r="DE24" i="51"/>
  <c r="DD24" i="51"/>
  <c r="CM24" i="51"/>
  <c r="CL24" i="51"/>
  <c r="CK24" i="51"/>
  <c r="CJ24" i="51"/>
  <c r="CH24" i="51"/>
  <c r="CG24" i="51"/>
  <c r="CF24" i="51"/>
  <c r="CE24" i="51"/>
  <c r="CC24" i="51"/>
  <c r="CB24" i="51"/>
  <c r="CA24" i="51"/>
  <c r="BZ24" i="51"/>
  <c r="BX24" i="51"/>
  <c r="BW24" i="51"/>
  <c r="BV24" i="51"/>
  <c r="BU24" i="51"/>
  <c r="BT24" i="51"/>
  <c r="BY24" i="51" s="1"/>
  <c r="CD24" i="51" s="1"/>
  <c r="CI24" i="51" s="1"/>
  <c r="CN24" i="51" s="1"/>
  <c r="CS24" i="51" s="1"/>
  <c r="CX24" i="51" s="1"/>
  <c r="DC24" i="51" s="1"/>
  <c r="DH24" i="51" s="1"/>
  <c r="DM24" i="51" s="1"/>
  <c r="DR24" i="51" s="1"/>
  <c r="BS24" i="51"/>
  <c r="BR24" i="51"/>
  <c r="BQ24" i="51"/>
  <c r="BP24" i="51"/>
  <c r="DL26" i="51"/>
  <c r="DK26" i="51"/>
  <c r="DJ26" i="51"/>
  <c r="DI26" i="51"/>
  <c r="CR26" i="51"/>
  <c r="CQ26" i="51"/>
  <c r="CP26" i="51"/>
  <c r="CO26" i="51"/>
  <c r="CM26" i="51"/>
  <c r="CL26" i="51"/>
  <c r="CK26" i="51"/>
  <c r="CJ26" i="51"/>
  <c r="CH26" i="51"/>
  <c r="CG26" i="51"/>
  <c r="CF26" i="51"/>
  <c r="CE26" i="51"/>
  <c r="CC26" i="51"/>
  <c r="CB26" i="51"/>
  <c r="CA26" i="51"/>
  <c r="BZ26" i="51"/>
  <c r="BX26" i="51"/>
  <c r="BW26" i="51"/>
  <c r="BV26" i="51"/>
  <c r="BU26" i="51"/>
  <c r="BT26" i="51"/>
  <c r="BY26" i="51" s="1"/>
  <c r="CD26" i="51" s="1"/>
  <c r="CI26" i="51" s="1"/>
  <c r="CN26" i="51" s="1"/>
  <c r="CS26" i="51" s="1"/>
  <c r="BS26" i="51"/>
  <c r="BR26" i="51"/>
  <c r="BQ26" i="51"/>
  <c r="BP26" i="51"/>
  <c r="DL28" i="51"/>
  <c r="DK28" i="51"/>
  <c r="DJ28" i="51"/>
  <c r="DI28" i="51"/>
  <c r="DG28" i="51"/>
  <c r="DF28" i="51"/>
  <c r="DE28" i="51"/>
  <c r="DD28" i="51"/>
  <c r="DB28" i="51"/>
  <c r="DA28" i="51"/>
  <c r="CZ28" i="51"/>
  <c r="CY28" i="51"/>
  <c r="CW28" i="51"/>
  <c r="CV28" i="51"/>
  <c r="CU28" i="51"/>
  <c r="CT28" i="51"/>
  <c r="CR28" i="51"/>
  <c r="CQ28" i="51"/>
  <c r="CP28" i="51"/>
  <c r="CO28" i="51"/>
  <c r="CM28" i="51"/>
  <c r="CL28" i="51"/>
  <c r="CK28" i="51"/>
  <c r="CJ28" i="51"/>
  <c r="CH28" i="51"/>
  <c r="CG28" i="51"/>
  <c r="CF28" i="51"/>
  <c r="CE28" i="51"/>
  <c r="CC28" i="51"/>
  <c r="CB28" i="51"/>
  <c r="CA28" i="51"/>
  <c r="BZ28" i="51"/>
  <c r="BX28" i="51"/>
  <c r="BW28" i="51"/>
  <c r="BV28" i="51"/>
  <c r="BU28" i="51"/>
  <c r="BT28" i="51"/>
  <c r="BS28" i="51"/>
  <c r="BR28" i="51"/>
  <c r="BQ28" i="51"/>
  <c r="BP28" i="51"/>
  <c r="BI22" i="51"/>
  <c r="BF22" i="51" s="1"/>
  <c r="BD22" i="51"/>
  <c r="BC22" i="51" s="1"/>
  <c r="AY22" i="51"/>
  <c r="AX22" i="51" s="1"/>
  <c r="AT22" i="51"/>
  <c r="AQ22" i="51" s="1"/>
  <c r="AJ22" i="51"/>
  <c r="AG22" i="51" s="1"/>
  <c r="AE22" i="51"/>
  <c r="AD22" i="51" s="1"/>
  <c r="Z22" i="51"/>
  <c r="W22" i="51" s="1"/>
  <c r="U22" i="51"/>
  <c r="T22" i="51" s="1"/>
  <c r="P22" i="51"/>
  <c r="M22" i="51" s="1"/>
  <c r="BI24" i="51"/>
  <c r="BH24" i="51" s="1"/>
  <c r="BD24" i="51"/>
  <c r="BA24" i="51" s="1"/>
  <c r="AY24" i="51"/>
  <c r="AX24" i="51" s="1"/>
  <c r="AT24" i="51"/>
  <c r="AO24" i="51"/>
  <c r="AN24" i="51" s="1"/>
  <c r="AJ24" i="51"/>
  <c r="AG24" i="51" s="1"/>
  <c r="AE24" i="51"/>
  <c r="AD24" i="51" s="1"/>
  <c r="Z24" i="51"/>
  <c r="W24" i="51" s="1"/>
  <c r="U24" i="51"/>
  <c r="T24" i="51" s="1"/>
  <c r="P24" i="51"/>
  <c r="M24" i="51" s="1"/>
  <c r="BI26" i="51"/>
  <c r="BH26" i="51" s="1"/>
  <c r="BD26" i="51"/>
  <c r="BA26" i="51" s="1"/>
  <c r="AO26" i="51"/>
  <c r="AN26" i="51" s="1"/>
  <c r="AJ26" i="51"/>
  <c r="AG26" i="51" s="1"/>
  <c r="AE26" i="51"/>
  <c r="AD26" i="51" s="1"/>
  <c r="Z26" i="51"/>
  <c r="W26" i="51" s="1"/>
  <c r="U26" i="51"/>
  <c r="T26" i="51" s="1"/>
  <c r="P26" i="51"/>
  <c r="M26" i="51" s="1"/>
  <c r="BI28" i="51"/>
  <c r="BD28" i="51"/>
  <c r="AY28" i="51"/>
  <c r="AT28" i="51"/>
  <c r="AP28" i="51" s="1"/>
  <c r="AO28" i="51"/>
  <c r="AJ28" i="51"/>
  <c r="AF28" i="51" s="1"/>
  <c r="AE28" i="51"/>
  <c r="Z28" i="51"/>
  <c r="V28" i="51" s="1"/>
  <c r="U28" i="51"/>
  <c r="P28" i="51"/>
  <c r="BO281" i="64"/>
  <c r="BN281" i="64"/>
  <c r="BM281" i="64"/>
  <c r="BL281" i="64"/>
  <c r="BK281" i="64"/>
  <c r="BJ281" i="64"/>
  <c r="BI281" i="64"/>
  <c r="BH281" i="64"/>
  <c r="BO280" i="64"/>
  <c r="BN280" i="64"/>
  <c r="BM280" i="64"/>
  <c r="BL280" i="64"/>
  <c r="BK280" i="64"/>
  <c r="BJ280" i="64"/>
  <c r="BI280" i="64"/>
  <c r="BH280" i="64"/>
  <c r="BO279" i="64"/>
  <c r="BN279" i="64"/>
  <c r="BM279" i="64"/>
  <c r="BL279" i="64"/>
  <c r="BK279" i="64"/>
  <c r="BJ279" i="64"/>
  <c r="BI279" i="64"/>
  <c r="BH279" i="64"/>
  <c r="BO278" i="64"/>
  <c r="BN278" i="64"/>
  <c r="BM278" i="64"/>
  <c r="BL278" i="64"/>
  <c r="BK278" i="64"/>
  <c r="BJ278" i="64"/>
  <c r="BI278" i="64"/>
  <c r="BH278" i="64"/>
  <c r="BO277" i="64"/>
  <c r="BN277" i="64"/>
  <c r="BM277" i="64"/>
  <c r="BL277" i="64"/>
  <c r="BK277" i="64"/>
  <c r="BJ277" i="64"/>
  <c r="BI277" i="64"/>
  <c r="BH277" i="64"/>
  <c r="BO276" i="64"/>
  <c r="BN276" i="64"/>
  <c r="BM276" i="64"/>
  <c r="BL276" i="64"/>
  <c r="BK276" i="64"/>
  <c r="BJ276" i="64"/>
  <c r="BI276" i="64"/>
  <c r="BH276" i="64"/>
  <c r="BO275" i="64"/>
  <c r="BN275" i="64"/>
  <c r="BM275" i="64"/>
  <c r="BL275" i="64"/>
  <c r="BK275" i="64"/>
  <c r="BJ275" i="64"/>
  <c r="BI275" i="64"/>
  <c r="BH275" i="64"/>
  <c r="BO271" i="64"/>
  <c r="BN271" i="64"/>
  <c r="BM271" i="64"/>
  <c r="BL271" i="64"/>
  <c r="BK271" i="64"/>
  <c r="BJ271" i="64"/>
  <c r="BI271" i="64"/>
  <c r="BH271" i="64"/>
  <c r="BG271" i="64"/>
  <c r="BO270" i="64"/>
  <c r="BN270" i="64"/>
  <c r="BM270" i="64"/>
  <c r="BL270" i="64"/>
  <c r="BK270" i="64"/>
  <c r="BJ270" i="64"/>
  <c r="BI270" i="64"/>
  <c r="BH270" i="64"/>
  <c r="BG270" i="64"/>
  <c r="BO269" i="64"/>
  <c r="BN269" i="64"/>
  <c r="BM269" i="64"/>
  <c r="BL269" i="64"/>
  <c r="BK269" i="64"/>
  <c r="BJ269" i="64"/>
  <c r="BI269" i="64"/>
  <c r="BH269" i="64"/>
  <c r="BG269" i="64"/>
  <c r="BO268" i="64"/>
  <c r="BN268" i="64"/>
  <c r="BM268" i="64"/>
  <c r="BL268" i="64"/>
  <c r="BK268" i="64"/>
  <c r="BJ268" i="64"/>
  <c r="BI268" i="64"/>
  <c r="BH268" i="64"/>
  <c r="BG268" i="64"/>
  <c r="BO267" i="64"/>
  <c r="BN267" i="64"/>
  <c r="BM267" i="64"/>
  <c r="BL267" i="64"/>
  <c r="BK267" i="64"/>
  <c r="BJ267" i="64"/>
  <c r="BI267" i="64"/>
  <c r="BH267" i="64"/>
  <c r="BG267" i="64"/>
  <c r="BO266" i="64"/>
  <c r="BN266" i="64"/>
  <c r="BM266" i="64"/>
  <c r="BL266" i="64"/>
  <c r="BK266" i="64"/>
  <c r="BJ266" i="64"/>
  <c r="BI266" i="64"/>
  <c r="BH266" i="64"/>
  <c r="BG266" i="64"/>
  <c r="BO265" i="64"/>
  <c r="BN265" i="64"/>
  <c r="BM265" i="64"/>
  <c r="BL265" i="64"/>
  <c r="BK265" i="64"/>
  <c r="BJ265" i="64"/>
  <c r="BI265" i="64"/>
  <c r="BH265" i="64"/>
  <c r="BG265" i="64"/>
  <c r="BO264" i="64"/>
  <c r="BN264" i="64"/>
  <c r="BM264" i="64"/>
  <c r="BL264" i="64"/>
  <c r="BK264" i="64"/>
  <c r="BJ264" i="64"/>
  <c r="BI264" i="64"/>
  <c r="BH264" i="64"/>
  <c r="BG264" i="64"/>
  <c r="BO263" i="64"/>
  <c r="BN263" i="64"/>
  <c r="BM263" i="64"/>
  <c r="BL263" i="64"/>
  <c r="BK263" i="64"/>
  <c r="BJ263" i="64"/>
  <c r="BI263" i="64"/>
  <c r="BH263" i="64"/>
  <c r="BG263" i="64"/>
  <c r="BO262" i="64"/>
  <c r="BN262" i="64"/>
  <c r="BM262" i="64"/>
  <c r="BL262" i="64"/>
  <c r="BK262" i="64"/>
  <c r="BJ262" i="64"/>
  <c r="BI262" i="64"/>
  <c r="BH262" i="64"/>
  <c r="BG262" i="64"/>
  <c r="BO261" i="64"/>
  <c r="BN261" i="64"/>
  <c r="BM261" i="64"/>
  <c r="BL261" i="64"/>
  <c r="BK261" i="64"/>
  <c r="BJ261" i="64"/>
  <c r="BI261" i="64"/>
  <c r="BH261" i="64"/>
  <c r="BG261" i="64"/>
  <c r="BO260" i="64"/>
  <c r="BN260" i="64"/>
  <c r="BM260" i="64"/>
  <c r="BL260" i="64"/>
  <c r="BK260" i="64"/>
  <c r="BJ260" i="64"/>
  <c r="BI260" i="64"/>
  <c r="BH260" i="64"/>
  <c r="BG260" i="64"/>
  <c r="BO259" i="64"/>
  <c r="BN259" i="64"/>
  <c r="BM259" i="64"/>
  <c r="BL259" i="64"/>
  <c r="BK259" i="64"/>
  <c r="BJ259" i="64"/>
  <c r="BI259" i="64"/>
  <c r="BH259" i="64"/>
  <c r="BG259" i="64"/>
  <c r="BO258" i="64"/>
  <c r="BN258" i="64"/>
  <c r="BM258" i="64"/>
  <c r="BL258" i="64"/>
  <c r="BK258" i="64"/>
  <c r="BJ258" i="64"/>
  <c r="BI258" i="64"/>
  <c r="BH258" i="64"/>
  <c r="BG258" i="64"/>
  <c r="BO257" i="64"/>
  <c r="BN257" i="64"/>
  <c r="BM257" i="64"/>
  <c r="BL257" i="64"/>
  <c r="BK257" i="64"/>
  <c r="BJ257" i="64"/>
  <c r="BI257" i="64"/>
  <c r="BH257" i="64"/>
  <c r="BG257" i="64"/>
  <c r="BO254" i="64"/>
  <c r="BN254" i="64"/>
  <c r="BM254" i="64"/>
  <c r="BL254" i="64"/>
  <c r="BK254" i="64"/>
  <c r="BJ254" i="64"/>
  <c r="BI254" i="64"/>
  <c r="BH254" i="64"/>
  <c r="BG254" i="64"/>
  <c r="BF254" i="64"/>
  <c r="BE254" i="64"/>
  <c r="BO253" i="64"/>
  <c r="BN253" i="64"/>
  <c r="BM253" i="64"/>
  <c r="BL253" i="64"/>
  <c r="BK253" i="64"/>
  <c r="BJ253" i="64"/>
  <c r="BI253" i="64"/>
  <c r="BH253" i="64"/>
  <c r="BG253" i="64"/>
  <c r="BF253" i="64"/>
  <c r="BE253" i="64"/>
  <c r="BO252" i="64"/>
  <c r="BN252" i="64"/>
  <c r="BM252" i="64"/>
  <c r="BL252" i="64"/>
  <c r="BK252" i="64"/>
  <c r="BJ252" i="64"/>
  <c r="BI252" i="64"/>
  <c r="BH252" i="64"/>
  <c r="BG252" i="64"/>
  <c r="BF252" i="64"/>
  <c r="BE252" i="64"/>
  <c r="BO251" i="64"/>
  <c r="BN251" i="64"/>
  <c r="BM251" i="64"/>
  <c r="BL251" i="64"/>
  <c r="BK251" i="64"/>
  <c r="BJ251" i="64"/>
  <c r="BI251" i="64"/>
  <c r="BH251" i="64"/>
  <c r="BG251" i="64"/>
  <c r="BF251" i="64"/>
  <c r="BE251" i="64"/>
  <c r="BO250" i="64"/>
  <c r="BN250" i="64"/>
  <c r="BM250" i="64"/>
  <c r="BL250" i="64"/>
  <c r="BK250" i="64"/>
  <c r="BJ250" i="64"/>
  <c r="BI250" i="64"/>
  <c r="BH250" i="64"/>
  <c r="BG250" i="64"/>
  <c r="BF250" i="64"/>
  <c r="BE250" i="64"/>
  <c r="BO249" i="64"/>
  <c r="BN249" i="64"/>
  <c r="BM249" i="64"/>
  <c r="BL249" i="64"/>
  <c r="BK249" i="64"/>
  <c r="BJ249" i="64"/>
  <c r="BI249" i="64"/>
  <c r="BH249" i="64"/>
  <c r="BG249" i="64"/>
  <c r="BF249" i="64"/>
  <c r="BE249" i="64"/>
  <c r="BO248" i="64"/>
  <c r="BN248" i="64"/>
  <c r="BM248" i="64"/>
  <c r="BL248" i="64"/>
  <c r="BK248" i="64"/>
  <c r="BJ248" i="64"/>
  <c r="BI248" i="64"/>
  <c r="BH248" i="64"/>
  <c r="BG248" i="64"/>
  <c r="BF248" i="64"/>
  <c r="BE248" i="64"/>
  <c r="BO247" i="64"/>
  <c r="BN247" i="64"/>
  <c r="BM247" i="64"/>
  <c r="BL247" i="64"/>
  <c r="BK247" i="64"/>
  <c r="BJ247" i="64"/>
  <c r="BI247" i="64"/>
  <c r="BH247" i="64"/>
  <c r="BG247" i="64"/>
  <c r="BF247" i="64"/>
  <c r="BE247" i="64"/>
  <c r="BO246" i="64"/>
  <c r="BN246" i="64"/>
  <c r="BM246" i="64"/>
  <c r="BL246" i="64"/>
  <c r="BK246" i="64"/>
  <c r="BJ246" i="64"/>
  <c r="BI246" i="64"/>
  <c r="BH246" i="64"/>
  <c r="BG246" i="64"/>
  <c r="BF246" i="64"/>
  <c r="BE246" i="64"/>
  <c r="BO245" i="64"/>
  <c r="BN245" i="64"/>
  <c r="BM245" i="64"/>
  <c r="BL245" i="64"/>
  <c r="BK245" i="64"/>
  <c r="BJ245" i="64"/>
  <c r="BI245" i="64"/>
  <c r="BH245" i="64"/>
  <c r="BG245" i="64"/>
  <c r="BF245" i="64"/>
  <c r="BE245" i="64"/>
  <c r="BO244" i="64"/>
  <c r="BN244" i="64"/>
  <c r="BM244" i="64"/>
  <c r="BL244" i="64"/>
  <c r="BK244" i="64"/>
  <c r="BJ244" i="64"/>
  <c r="BI244" i="64"/>
  <c r="BH244" i="64"/>
  <c r="BG244" i="64"/>
  <c r="BF244" i="64"/>
  <c r="BE244" i="64"/>
  <c r="BO243" i="64"/>
  <c r="BN243" i="64"/>
  <c r="BM243" i="64"/>
  <c r="BL243" i="64"/>
  <c r="BK243" i="64"/>
  <c r="BJ243" i="64"/>
  <c r="BI243" i="64"/>
  <c r="BH243" i="64"/>
  <c r="BG243" i="64"/>
  <c r="BF243" i="64"/>
  <c r="BE243" i="64"/>
  <c r="BO242" i="64"/>
  <c r="BN242" i="64"/>
  <c r="BM242" i="64"/>
  <c r="BL242" i="64"/>
  <c r="BK242" i="64"/>
  <c r="BJ242" i="64"/>
  <c r="BI242" i="64"/>
  <c r="BH242" i="64"/>
  <c r="BG242" i="64"/>
  <c r="BF242" i="64"/>
  <c r="BE242" i="64"/>
  <c r="BO241" i="64"/>
  <c r="BN241" i="64"/>
  <c r="BM241" i="64"/>
  <c r="BL241" i="64"/>
  <c r="BK241" i="64"/>
  <c r="BJ241" i="64"/>
  <c r="BI241" i="64"/>
  <c r="BH241" i="64"/>
  <c r="BG241" i="64"/>
  <c r="BF241" i="64"/>
  <c r="BE241" i="64"/>
  <c r="BO240" i="64"/>
  <c r="BN240" i="64"/>
  <c r="BM240" i="64"/>
  <c r="BL240" i="64"/>
  <c r="BK240" i="64"/>
  <c r="BJ240" i="64"/>
  <c r="BI240" i="64"/>
  <c r="BH240" i="64"/>
  <c r="BG240" i="64"/>
  <c r="BF240" i="64"/>
  <c r="BE240" i="64"/>
  <c r="BO239" i="64"/>
  <c r="BN239" i="64"/>
  <c r="BM239" i="64"/>
  <c r="BL239" i="64"/>
  <c r="BK239" i="64"/>
  <c r="BJ239" i="64"/>
  <c r="BI239" i="64"/>
  <c r="BH239" i="64"/>
  <c r="BG239" i="64"/>
  <c r="BF239" i="64"/>
  <c r="BE239" i="64"/>
  <c r="BO236" i="64"/>
  <c r="BN236" i="64"/>
  <c r="BM236" i="64"/>
  <c r="BL236" i="64"/>
  <c r="BK236" i="64"/>
  <c r="BJ236" i="64"/>
  <c r="BI236" i="64"/>
  <c r="BH236" i="64"/>
  <c r="BG236" i="64"/>
  <c r="BF236" i="64"/>
  <c r="BE236" i="64"/>
  <c r="BO235" i="64"/>
  <c r="BN235" i="64"/>
  <c r="BM235" i="64"/>
  <c r="BL235" i="64"/>
  <c r="BK235" i="64"/>
  <c r="BJ235" i="64"/>
  <c r="BI235" i="64"/>
  <c r="BH235" i="64"/>
  <c r="BG235" i="64"/>
  <c r="BF235" i="64"/>
  <c r="BE235" i="64"/>
  <c r="BO234" i="64"/>
  <c r="BN234" i="64"/>
  <c r="BM234" i="64"/>
  <c r="BL234" i="64"/>
  <c r="BK234" i="64"/>
  <c r="BJ234" i="64"/>
  <c r="BI234" i="64"/>
  <c r="BH234" i="64"/>
  <c r="BG234" i="64"/>
  <c r="BF234" i="64"/>
  <c r="BE234" i="64"/>
  <c r="BO233" i="64"/>
  <c r="BN233" i="64"/>
  <c r="BM233" i="64"/>
  <c r="BL233" i="64"/>
  <c r="BK233" i="64"/>
  <c r="BJ233" i="64"/>
  <c r="BI233" i="64"/>
  <c r="BH233" i="64"/>
  <c r="BG233" i="64"/>
  <c r="BF233" i="64"/>
  <c r="BE233" i="64"/>
  <c r="BO232" i="64"/>
  <c r="BN232" i="64"/>
  <c r="BM232" i="64"/>
  <c r="BL232" i="64"/>
  <c r="BK232" i="64"/>
  <c r="BJ232" i="64"/>
  <c r="BI232" i="64"/>
  <c r="BH232" i="64"/>
  <c r="BG232" i="64"/>
  <c r="BF232" i="64"/>
  <c r="BE232" i="64"/>
  <c r="BO231" i="64"/>
  <c r="BN231" i="64"/>
  <c r="BM231" i="64"/>
  <c r="BL231" i="64"/>
  <c r="BK231" i="64"/>
  <c r="BJ231" i="64"/>
  <c r="BI231" i="64"/>
  <c r="BH231" i="64"/>
  <c r="BG231" i="64"/>
  <c r="BF231" i="64"/>
  <c r="BE231" i="64"/>
  <c r="BO230" i="64"/>
  <c r="BN230" i="64"/>
  <c r="BM230" i="64"/>
  <c r="BL230" i="64"/>
  <c r="BK230" i="64"/>
  <c r="BJ230" i="64"/>
  <c r="BI230" i="64"/>
  <c r="BH230" i="64"/>
  <c r="BG230" i="64"/>
  <c r="BF230" i="64"/>
  <c r="BE230" i="64"/>
  <c r="BO229" i="64"/>
  <c r="BN229" i="64"/>
  <c r="BM229" i="64"/>
  <c r="BL229" i="64"/>
  <c r="BK229" i="64"/>
  <c r="BJ229" i="64"/>
  <c r="BI229" i="64"/>
  <c r="BH229" i="64"/>
  <c r="BG229" i="64"/>
  <c r="BF229" i="64"/>
  <c r="BE229" i="64"/>
  <c r="BO228" i="64"/>
  <c r="BN228" i="64"/>
  <c r="BM228" i="64"/>
  <c r="BL228" i="64"/>
  <c r="BK228" i="64"/>
  <c r="BJ228" i="64"/>
  <c r="BI228" i="64"/>
  <c r="BH228" i="64"/>
  <c r="BG228" i="64"/>
  <c r="BF228" i="64"/>
  <c r="BE228" i="64"/>
  <c r="BO227" i="64"/>
  <c r="BN227" i="64"/>
  <c r="BM227" i="64"/>
  <c r="BL227" i="64"/>
  <c r="BK227" i="64"/>
  <c r="BJ227" i="64"/>
  <c r="BI227" i="64"/>
  <c r="BH227" i="64"/>
  <c r="BG227" i="64"/>
  <c r="BF227" i="64"/>
  <c r="BE227" i="64"/>
  <c r="BO226" i="64"/>
  <c r="BN226" i="64"/>
  <c r="BM226" i="64"/>
  <c r="BL226" i="64"/>
  <c r="BK226" i="64"/>
  <c r="BJ226" i="64"/>
  <c r="BI226" i="64"/>
  <c r="BH226" i="64"/>
  <c r="BG226" i="64"/>
  <c r="BF226" i="64"/>
  <c r="BE226" i="64"/>
  <c r="BO225" i="64"/>
  <c r="BN225" i="64"/>
  <c r="BM225" i="64"/>
  <c r="BL225" i="64"/>
  <c r="BK225" i="64"/>
  <c r="BJ225" i="64"/>
  <c r="BI225" i="64"/>
  <c r="BH225" i="64"/>
  <c r="BG225" i="64"/>
  <c r="BF225" i="64"/>
  <c r="BE225" i="64"/>
  <c r="BO224" i="64"/>
  <c r="BN224" i="64"/>
  <c r="BM224" i="64"/>
  <c r="BL224" i="64"/>
  <c r="BK224" i="64"/>
  <c r="BJ224" i="64"/>
  <c r="BI224" i="64"/>
  <c r="BH224" i="64"/>
  <c r="BG224" i="64"/>
  <c r="BF224" i="64"/>
  <c r="BE224" i="64"/>
  <c r="BO223" i="64"/>
  <c r="BN223" i="64"/>
  <c r="BM223" i="64"/>
  <c r="BL223" i="64"/>
  <c r="BK223" i="64"/>
  <c r="BJ223" i="64"/>
  <c r="BI223" i="64"/>
  <c r="BH223" i="64"/>
  <c r="BG223" i="64"/>
  <c r="BF223" i="64"/>
  <c r="BE223" i="64"/>
  <c r="BO222" i="64"/>
  <c r="BN222" i="64"/>
  <c r="BM222" i="64"/>
  <c r="BL222" i="64"/>
  <c r="BK222" i="64"/>
  <c r="BJ222" i="64"/>
  <c r="BI222" i="64"/>
  <c r="BH222" i="64"/>
  <c r="BG222" i="64"/>
  <c r="BF222" i="64"/>
  <c r="BE222" i="64"/>
  <c r="BO221" i="64"/>
  <c r="BN221" i="64"/>
  <c r="BM221" i="64"/>
  <c r="BL221" i="64"/>
  <c r="BK221" i="64"/>
  <c r="BJ221" i="64"/>
  <c r="BI221" i="64"/>
  <c r="BH221" i="64"/>
  <c r="BG221" i="64"/>
  <c r="BF221" i="64"/>
  <c r="BE221" i="64"/>
  <c r="BO217" i="64"/>
  <c r="BN217" i="64"/>
  <c r="BM217" i="64"/>
  <c r="BL217" i="64"/>
  <c r="BK217" i="64"/>
  <c r="BJ217" i="64"/>
  <c r="BI217" i="64"/>
  <c r="BH217" i="64"/>
  <c r="BG217" i="64"/>
  <c r="BF217" i="64"/>
  <c r="BE217" i="64"/>
  <c r="BO216" i="64"/>
  <c r="BN216" i="64"/>
  <c r="BM216" i="64"/>
  <c r="BL216" i="64"/>
  <c r="BK216" i="64"/>
  <c r="BJ216" i="64"/>
  <c r="BI216" i="64"/>
  <c r="BH216" i="64"/>
  <c r="BG216" i="64"/>
  <c r="BF216" i="64"/>
  <c r="BE216" i="64"/>
  <c r="BO215" i="64"/>
  <c r="BN215" i="64"/>
  <c r="BM215" i="64"/>
  <c r="BL215" i="64"/>
  <c r="BK215" i="64"/>
  <c r="BJ215" i="64"/>
  <c r="BI215" i="64"/>
  <c r="BH215" i="64"/>
  <c r="BG215" i="64"/>
  <c r="BF215" i="64"/>
  <c r="BE215" i="64"/>
  <c r="BO211" i="64"/>
  <c r="BN211" i="64"/>
  <c r="BM211" i="64"/>
  <c r="BL211" i="64"/>
  <c r="BK211" i="64"/>
  <c r="BJ211" i="64"/>
  <c r="BI211" i="64"/>
  <c r="BH211" i="64"/>
  <c r="BG211" i="64"/>
  <c r="BF211" i="64"/>
  <c r="BE211" i="64"/>
  <c r="BO210" i="64"/>
  <c r="BN210" i="64"/>
  <c r="BM210" i="64"/>
  <c r="BL210" i="64"/>
  <c r="BK210" i="64"/>
  <c r="BJ210" i="64"/>
  <c r="BI210" i="64"/>
  <c r="BH210" i="64"/>
  <c r="BG210" i="64"/>
  <c r="BF210" i="64"/>
  <c r="BE210" i="64"/>
  <c r="BO209" i="64"/>
  <c r="BN209" i="64"/>
  <c r="BM209" i="64"/>
  <c r="BL209" i="64"/>
  <c r="BK209" i="64"/>
  <c r="BJ209" i="64"/>
  <c r="BI209" i="64"/>
  <c r="BH209" i="64"/>
  <c r="BG209" i="64"/>
  <c r="BF209" i="64"/>
  <c r="BE209" i="64"/>
  <c r="BO208" i="64"/>
  <c r="BN208" i="64"/>
  <c r="BM208" i="64"/>
  <c r="BL208" i="64"/>
  <c r="BK208" i="64"/>
  <c r="BJ208" i="64"/>
  <c r="BI208" i="64"/>
  <c r="BH208" i="64"/>
  <c r="BG208" i="64"/>
  <c r="BF208" i="64"/>
  <c r="BE208" i="64"/>
  <c r="BO207" i="64"/>
  <c r="BN207" i="64"/>
  <c r="BM207" i="64"/>
  <c r="BL207" i="64"/>
  <c r="BK207" i="64"/>
  <c r="BJ207" i="64"/>
  <c r="BI207" i="64"/>
  <c r="BH207" i="64"/>
  <c r="BG207" i="64"/>
  <c r="BF207" i="64"/>
  <c r="BE207" i="64"/>
  <c r="BO206" i="64"/>
  <c r="BN206" i="64"/>
  <c r="BM206" i="64"/>
  <c r="BL206" i="64"/>
  <c r="BK206" i="64"/>
  <c r="BJ206" i="64"/>
  <c r="BI206" i="64"/>
  <c r="BH206" i="64"/>
  <c r="BG206" i="64"/>
  <c r="BF206" i="64"/>
  <c r="BE206" i="64"/>
  <c r="BO205" i="64"/>
  <c r="BN205" i="64"/>
  <c r="BM205" i="64"/>
  <c r="BL205" i="64"/>
  <c r="BK205" i="64"/>
  <c r="BJ205" i="64"/>
  <c r="BI205" i="64"/>
  <c r="BH205" i="64"/>
  <c r="BG205" i="64"/>
  <c r="BF205" i="64"/>
  <c r="BE205" i="64"/>
  <c r="BO204" i="64"/>
  <c r="BN204" i="64"/>
  <c r="BM204" i="64"/>
  <c r="BL204" i="64"/>
  <c r="BK204" i="64"/>
  <c r="BJ204" i="64"/>
  <c r="BI204" i="64"/>
  <c r="BH204" i="64"/>
  <c r="BG204" i="64"/>
  <c r="BF204" i="64"/>
  <c r="BE204" i="64"/>
  <c r="BO203" i="64"/>
  <c r="BN203" i="64"/>
  <c r="BM203" i="64"/>
  <c r="BL203" i="64"/>
  <c r="BK203" i="64"/>
  <c r="BJ203" i="64"/>
  <c r="BI203" i="64"/>
  <c r="BH203" i="64"/>
  <c r="BG203" i="64"/>
  <c r="BF203" i="64"/>
  <c r="BE203" i="64"/>
  <c r="BO202" i="64"/>
  <c r="BN202" i="64"/>
  <c r="BM202" i="64"/>
  <c r="BL202" i="64"/>
  <c r="BK202" i="64"/>
  <c r="BJ202" i="64"/>
  <c r="BI202" i="64"/>
  <c r="BH202" i="64"/>
  <c r="BG202" i="64"/>
  <c r="BF202" i="64"/>
  <c r="BE202" i="64"/>
  <c r="BO201" i="64"/>
  <c r="BN201" i="64"/>
  <c r="BM201" i="64"/>
  <c r="BL201" i="64"/>
  <c r="BK201" i="64"/>
  <c r="BJ201" i="64"/>
  <c r="BI201" i="64"/>
  <c r="BH201" i="64"/>
  <c r="BG201" i="64"/>
  <c r="BF201" i="64"/>
  <c r="BE201" i="64"/>
  <c r="BO200" i="64"/>
  <c r="BN200" i="64"/>
  <c r="BM200" i="64"/>
  <c r="BL200" i="64"/>
  <c r="BK200" i="64"/>
  <c r="BJ200" i="64"/>
  <c r="BI200" i="64"/>
  <c r="BH200" i="64"/>
  <c r="BG200" i="64"/>
  <c r="BF200" i="64"/>
  <c r="BE200" i="64"/>
  <c r="BO199" i="64"/>
  <c r="BN199" i="64"/>
  <c r="BM199" i="64"/>
  <c r="BL199" i="64"/>
  <c r="BK199" i="64"/>
  <c r="BJ199" i="64"/>
  <c r="BI199" i="64"/>
  <c r="BH199" i="64"/>
  <c r="BG199" i="64"/>
  <c r="BF199" i="64"/>
  <c r="BE199" i="64"/>
  <c r="BO198" i="64"/>
  <c r="BN198" i="64"/>
  <c r="BM198" i="64"/>
  <c r="BL198" i="64"/>
  <c r="BK198" i="64"/>
  <c r="BJ198" i="64"/>
  <c r="BI198" i="64"/>
  <c r="BH198" i="64"/>
  <c r="BG198" i="64"/>
  <c r="BF198" i="64"/>
  <c r="BE198" i="64"/>
  <c r="BO197" i="64"/>
  <c r="BN197" i="64"/>
  <c r="BM197" i="64"/>
  <c r="BL197" i="64"/>
  <c r="BK197" i="64"/>
  <c r="BJ197" i="64"/>
  <c r="BI197" i="64"/>
  <c r="BH197" i="64"/>
  <c r="BG197" i="64"/>
  <c r="BF197" i="64"/>
  <c r="BE197" i="64"/>
  <c r="BO196" i="64"/>
  <c r="BN196" i="64"/>
  <c r="BM196" i="64"/>
  <c r="BL196" i="64"/>
  <c r="BK196" i="64"/>
  <c r="BJ196" i="64"/>
  <c r="BI196" i="64"/>
  <c r="BH196" i="64"/>
  <c r="BG196" i="64"/>
  <c r="BF196" i="64"/>
  <c r="BE196" i="64"/>
  <c r="BO192" i="64"/>
  <c r="BN192" i="64"/>
  <c r="BM192" i="64"/>
  <c r="BL192" i="64"/>
  <c r="BK192" i="64"/>
  <c r="BJ192" i="64"/>
  <c r="BI192" i="64"/>
  <c r="BH192" i="64"/>
  <c r="BG192" i="64"/>
  <c r="BF192" i="64"/>
  <c r="BE192" i="64"/>
  <c r="BO191" i="64"/>
  <c r="BN191" i="64"/>
  <c r="BM191" i="64"/>
  <c r="BL191" i="64"/>
  <c r="BK191" i="64"/>
  <c r="BJ191" i="64"/>
  <c r="BI191" i="64"/>
  <c r="BH191" i="64"/>
  <c r="BG191" i="64"/>
  <c r="BF191" i="64"/>
  <c r="BE191" i="64"/>
  <c r="BO190" i="64"/>
  <c r="BN190" i="64"/>
  <c r="BM190" i="64"/>
  <c r="BL190" i="64"/>
  <c r="BK190" i="64"/>
  <c r="BJ190" i="64"/>
  <c r="BI190" i="64"/>
  <c r="BH190" i="64"/>
  <c r="BG190" i="64"/>
  <c r="BF190" i="64"/>
  <c r="BE190" i="64"/>
  <c r="BO189" i="64"/>
  <c r="BN189" i="64"/>
  <c r="BM189" i="64"/>
  <c r="BL189" i="64"/>
  <c r="BK189" i="64"/>
  <c r="BJ189" i="64"/>
  <c r="BI189" i="64"/>
  <c r="BH189" i="64"/>
  <c r="BG189" i="64"/>
  <c r="BF189" i="64"/>
  <c r="BE189" i="64"/>
  <c r="BO188" i="64"/>
  <c r="BN188" i="64"/>
  <c r="BM188" i="64"/>
  <c r="BL188" i="64"/>
  <c r="BK188" i="64"/>
  <c r="BJ188" i="64"/>
  <c r="BI188" i="64"/>
  <c r="BH188" i="64"/>
  <c r="BG188" i="64"/>
  <c r="BF188" i="64"/>
  <c r="BE188" i="64"/>
  <c r="BO187" i="64"/>
  <c r="BN187" i="64"/>
  <c r="BM187" i="64"/>
  <c r="BL187" i="64"/>
  <c r="BK187" i="64"/>
  <c r="BJ187" i="64"/>
  <c r="BI187" i="64"/>
  <c r="BH187" i="64"/>
  <c r="BG187" i="64"/>
  <c r="BF187" i="64"/>
  <c r="BE187" i="64"/>
  <c r="BO186" i="64"/>
  <c r="BN186" i="64"/>
  <c r="BM186" i="64"/>
  <c r="BL186" i="64"/>
  <c r="BK186" i="64"/>
  <c r="BJ186" i="64"/>
  <c r="BI186" i="64"/>
  <c r="BH186" i="64"/>
  <c r="BG186" i="64"/>
  <c r="BF186" i="64"/>
  <c r="BE186" i="64"/>
  <c r="BO185" i="64"/>
  <c r="BN185" i="64"/>
  <c r="BM185" i="64"/>
  <c r="BL185" i="64"/>
  <c r="BK185" i="64"/>
  <c r="BJ185" i="64"/>
  <c r="BI185" i="64"/>
  <c r="BH185" i="64"/>
  <c r="BG185" i="64"/>
  <c r="BF185" i="64"/>
  <c r="BE185" i="64"/>
  <c r="BO184" i="64"/>
  <c r="BN184" i="64"/>
  <c r="BM184" i="64"/>
  <c r="BL184" i="64"/>
  <c r="BK184" i="64"/>
  <c r="BJ184" i="64"/>
  <c r="BI184" i="64"/>
  <c r="BH184" i="64"/>
  <c r="BG184" i="64"/>
  <c r="BF184" i="64"/>
  <c r="BE184" i="64"/>
  <c r="BO183" i="64"/>
  <c r="BN183" i="64"/>
  <c r="BM183" i="64"/>
  <c r="BL183" i="64"/>
  <c r="BK183" i="64"/>
  <c r="BJ183" i="64"/>
  <c r="BI183" i="64"/>
  <c r="BH183" i="64"/>
  <c r="BG183" i="64"/>
  <c r="BF183" i="64"/>
  <c r="BE183" i="64"/>
  <c r="BO182" i="64"/>
  <c r="BN182" i="64"/>
  <c r="BM182" i="64"/>
  <c r="BL182" i="64"/>
  <c r="BK182" i="64"/>
  <c r="BJ182" i="64"/>
  <c r="BI182" i="64"/>
  <c r="BH182" i="64"/>
  <c r="BG182" i="64"/>
  <c r="BF182" i="64"/>
  <c r="BE182" i="64"/>
  <c r="BO181" i="64"/>
  <c r="BN181" i="64"/>
  <c r="BM181" i="64"/>
  <c r="BL181" i="64"/>
  <c r="BK181" i="64"/>
  <c r="BJ181" i="64"/>
  <c r="BI181" i="64"/>
  <c r="BH181" i="64"/>
  <c r="BG181" i="64"/>
  <c r="BF181" i="64"/>
  <c r="BE181" i="64"/>
  <c r="BO180" i="64"/>
  <c r="BN180" i="64"/>
  <c r="BM180" i="64"/>
  <c r="BL180" i="64"/>
  <c r="BK180" i="64"/>
  <c r="BJ180" i="64"/>
  <c r="BI180" i="64"/>
  <c r="BH180" i="64"/>
  <c r="BG180" i="64"/>
  <c r="BF180" i="64"/>
  <c r="BE180" i="64"/>
  <c r="BO179" i="64"/>
  <c r="BN179" i="64"/>
  <c r="BM179" i="64"/>
  <c r="BL179" i="64"/>
  <c r="BK179" i="64"/>
  <c r="BJ179" i="64"/>
  <c r="BI179" i="64"/>
  <c r="BH179" i="64"/>
  <c r="BG179" i="64"/>
  <c r="BF179" i="64"/>
  <c r="BE179" i="64"/>
  <c r="BO178" i="64"/>
  <c r="BN178" i="64"/>
  <c r="BM178" i="64"/>
  <c r="BL178" i="64"/>
  <c r="BK178" i="64"/>
  <c r="BJ178" i="64"/>
  <c r="BI178" i="64"/>
  <c r="BH178" i="64"/>
  <c r="BG178" i="64"/>
  <c r="BF178" i="64"/>
  <c r="BE178" i="64"/>
  <c r="BO177" i="64"/>
  <c r="BN177" i="64"/>
  <c r="BM177" i="64"/>
  <c r="BL177" i="64"/>
  <c r="BK177" i="64"/>
  <c r="BJ177" i="64"/>
  <c r="BI177" i="64"/>
  <c r="BH177" i="64"/>
  <c r="BG177" i="64"/>
  <c r="BF177" i="64"/>
  <c r="BE177" i="64"/>
  <c r="BO174" i="64"/>
  <c r="BN174" i="64"/>
  <c r="BM174" i="64"/>
  <c r="BL174" i="64"/>
  <c r="BK174" i="64"/>
  <c r="BJ174" i="64"/>
  <c r="BI174" i="64"/>
  <c r="BH174" i="64"/>
  <c r="BG174" i="64"/>
  <c r="BF174" i="64"/>
  <c r="BE174" i="64"/>
  <c r="BO173" i="64"/>
  <c r="BN173" i="64"/>
  <c r="BM173" i="64"/>
  <c r="BL173" i="64"/>
  <c r="BK173" i="64"/>
  <c r="BJ173" i="64"/>
  <c r="BI173" i="64"/>
  <c r="BH173" i="64"/>
  <c r="BG173" i="64"/>
  <c r="BF173" i="64"/>
  <c r="BE173" i="64"/>
  <c r="BO172" i="64"/>
  <c r="BN172" i="64"/>
  <c r="BM172" i="64"/>
  <c r="BL172" i="64"/>
  <c r="BK172" i="64"/>
  <c r="BJ172" i="64"/>
  <c r="BI172" i="64"/>
  <c r="BH172" i="64"/>
  <c r="BG172" i="64"/>
  <c r="BF172" i="64"/>
  <c r="BE172" i="64"/>
  <c r="BO171" i="64"/>
  <c r="BN171" i="64"/>
  <c r="BM171" i="64"/>
  <c r="BL171" i="64"/>
  <c r="BK171" i="64"/>
  <c r="BJ171" i="64"/>
  <c r="BI171" i="64"/>
  <c r="BH171" i="64"/>
  <c r="BG171" i="64"/>
  <c r="BF171" i="64"/>
  <c r="BE171" i="64"/>
  <c r="BO170" i="64"/>
  <c r="BN170" i="64"/>
  <c r="BM170" i="64"/>
  <c r="BL170" i="64"/>
  <c r="BK170" i="64"/>
  <c r="BJ170" i="64"/>
  <c r="BI170" i="64"/>
  <c r="BH170" i="64"/>
  <c r="BG170" i="64"/>
  <c r="BF170" i="64"/>
  <c r="BE170" i="64"/>
  <c r="BO169" i="64"/>
  <c r="BN169" i="64"/>
  <c r="BM169" i="64"/>
  <c r="BL169" i="64"/>
  <c r="BK169" i="64"/>
  <c r="BJ169" i="64"/>
  <c r="BI169" i="64"/>
  <c r="BH169" i="64"/>
  <c r="BG169" i="64"/>
  <c r="BF169" i="64"/>
  <c r="BE169" i="64"/>
  <c r="BO168" i="64"/>
  <c r="BN168" i="64"/>
  <c r="BM168" i="64"/>
  <c r="BL168" i="64"/>
  <c r="BK168" i="64"/>
  <c r="BJ168" i="64"/>
  <c r="BI168" i="64"/>
  <c r="BH168" i="64"/>
  <c r="BG168" i="64"/>
  <c r="BF168" i="64"/>
  <c r="BE168" i="64"/>
  <c r="BO167" i="64"/>
  <c r="BN167" i="64"/>
  <c r="BM167" i="64"/>
  <c r="BL167" i="64"/>
  <c r="BK167" i="64"/>
  <c r="BJ167" i="64"/>
  <c r="BI167" i="64"/>
  <c r="BH167" i="64"/>
  <c r="BG167" i="64"/>
  <c r="BF167" i="64"/>
  <c r="BE167" i="64"/>
  <c r="BO166" i="64"/>
  <c r="BN166" i="64"/>
  <c r="BM166" i="64"/>
  <c r="BL166" i="64"/>
  <c r="BK166" i="64"/>
  <c r="BJ166" i="64"/>
  <c r="BI166" i="64"/>
  <c r="BH166" i="64"/>
  <c r="BG166" i="64"/>
  <c r="BF166" i="64"/>
  <c r="BE166" i="64"/>
  <c r="BO165" i="64"/>
  <c r="BN165" i="64"/>
  <c r="BM165" i="64"/>
  <c r="BL165" i="64"/>
  <c r="BK165" i="64"/>
  <c r="BJ165" i="64"/>
  <c r="BI165" i="64"/>
  <c r="BH165" i="64"/>
  <c r="BG165" i="64"/>
  <c r="BF165" i="64"/>
  <c r="BE165" i="64"/>
  <c r="BO164" i="64"/>
  <c r="BN164" i="64"/>
  <c r="BM164" i="64"/>
  <c r="BL164" i="64"/>
  <c r="BK164" i="64"/>
  <c r="BJ164" i="64"/>
  <c r="BI164" i="64"/>
  <c r="BH164" i="64"/>
  <c r="BG164" i="64"/>
  <c r="BF164" i="64"/>
  <c r="BE164" i="64"/>
  <c r="BO163" i="64"/>
  <c r="BN163" i="64"/>
  <c r="BM163" i="64"/>
  <c r="BL163" i="64"/>
  <c r="BK163" i="64"/>
  <c r="BJ163" i="64"/>
  <c r="BI163" i="64"/>
  <c r="BH163" i="64"/>
  <c r="BG163" i="64"/>
  <c r="BF163" i="64"/>
  <c r="BE163" i="64"/>
  <c r="BO162" i="64"/>
  <c r="BN162" i="64"/>
  <c r="BM162" i="64"/>
  <c r="BL162" i="64"/>
  <c r="BK162" i="64"/>
  <c r="BJ162" i="64"/>
  <c r="BI162" i="64"/>
  <c r="BH162" i="64"/>
  <c r="BG162" i="64"/>
  <c r="BF162" i="64"/>
  <c r="BE162" i="64"/>
  <c r="BO161" i="64"/>
  <c r="BN161" i="64"/>
  <c r="BM161" i="64"/>
  <c r="BL161" i="64"/>
  <c r="BK161" i="64"/>
  <c r="BJ161" i="64"/>
  <c r="BI161" i="64"/>
  <c r="BH161" i="64"/>
  <c r="BG161" i="64"/>
  <c r="BF161" i="64"/>
  <c r="BE161" i="64"/>
  <c r="BO160" i="64"/>
  <c r="BN160" i="64"/>
  <c r="BM160" i="64"/>
  <c r="BL160" i="64"/>
  <c r="BK160" i="64"/>
  <c r="BJ160" i="64"/>
  <c r="BI160" i="64"/>
  <c r="BH160" i="64"/>
  <c r="BG160" i="64"/>
  <c r="BF160" i="64"/>
  <c r="BE160" i="64"/>
  <c r="BO159" i="64"/>
  <c r="BN159" i="64"/>
  <c r="BM159" i="64"/>
  <c r="BL159" i="64"/>
  <c r="BK159" i="64"/>
  <c r="BJ159" i="64"/>
  <c r="BI159" i="64"/>
  <c r="BH159" i="64"/>
  <c r="BG159" i="64"/>
  <c r="BF159" i="64"/>
  <c r="BE159" i="64"/>
  <c r="BO155" i="64"/>
  <c r="BN155" i="64"/>
  <c r="BM155" i="64"/>
  <c r="BL155" i="64"/>
  <c r="BK155" i="64"/>
  <c r="BJ155" i="64"/>
  <c r="BI155" i="64"/>
  <c r="BH155" i="64"/>
  <c r="BG155" i="64"/>
  <c r="BF155" i="64"/>
  <c r="BE155" i="64"/>
  <c r="BO154" i="64"/>
  <c r="BN154" i="64"/>
  <c r="BM154" i="64"/>
  <c r="BL154" i="64"/>
  <c r="BK154" i="64"/>
  <c r="BJ154" i="64"/>
  <c r="BI154" i="64"/>
  <c r="BH154" i="64"/>
  <c r="BG154" i="64"/>
  <c r="BF154" i="64"/>
  <c r="BE154" i="64"/>
  <c r="BO153" i="64"/>
  <c r="BN153" i="64"/>
  <c r="BM153" i="64"/>
  <c r="BL153" i="64"/>
  <c r="BK153" i="64"/>
  <c r="BJ153" i="64"/>
  <c r="BI153" i="64"/>
  <c r="BH153" i="64"/>
  <c r="BG153" i="64"/>
  <c r="BF153" i="64"/>
  <c r="BE153" i="64"/>
  <c r="BO152" i="64"/>
  <c r="BN152" i="64"/>
  <c r="BM152" i="64"/>
  <c r="BL152" i="64"/>
  <c r="BK152" i="64"/>
  <c r="BJ152" i="64"/>
  <c r="BI152" i="64"/>
  <c r="BH152" i="64"/>
  <c r="BG152" i="64"/>
  <c r="BF152" i="64"/>
  <c r="BE152" i="64"/>
  <c r="BO151" i="64"/>
  <c r="BN151" i="64"/>
  <c r="BM151" i="64"/>
  <c r="BL151" i="64"/>
  <c r="BK151" i="64"/>
  <c r="BJ151" i="64"/>
  <c r="BI151" i="64"/>
  <c r="BH151" i="64"/>
  <c r="BG151" i="64"/>
  <c r="BF151" i="64"/>
  <c r="BE151" i="64"/>
  <c r="E142" i="64"/>
  <c r="D142" i="64"/>
  <c r="C142" i="64"/>
  <c r="E141" i="64"/>
  <c r="D141" i="64"/>
  <c r="C141" i="64"/>
  <c r="E140" i="64"/>
  <c r="D140" i="64"/>
  <c r="C140" i="64"/>
  <c r="E139" i="64"/>
  <c r="D139" i="64"/>
  <c r="C139" i="64"/>
  <c r="CH92" i="64"/>
  <c r="CI92" i="64" s="1"/>
  <c r="CJ92" i="64" s="1"/>
  <c r="CK92" i="64" s="1"/>
  <c r="CL92" i="64" s="1"/>
  <c r="CM92" i="64" s="1"/>
  <c r="CN92" i="64" s="1"/>
  <c r="CO92" i="64" s="1"/>
  <c r="CP92" i="64" s="1"/>
  <c r="CQ92" i="64" s="1"/>
  <c r="CR92" i="64" s="1"/>
  <c r="CS92" i="64" s="1"/>
  <c r="CT92" i="64" s="1"/>
  <c r="CU92" i="64" s="1"/>
  <c r="CV92" i="64" s="1"/>
  <c r="CW92" i="64" s="1"/>
  <c r="CF92" i="64"/>
  <c r="CE92" i="64" s="1"/>
  <c r="CD92" i="64" s="1"/>
  <c r="CC92" i="64" s="1"/>
  <c r="CB92" i="64" s="1"/>
  <c r="CA92" i="64" s="1"/>
  <c r="BZ92" i="64" s="1"/>
  <c r="BY92" i="64" s="1"/>
  <c r="CW89" i="64"/>
  <c r="CV89" i="64"/>
  <c r="CU89" i="64"/>
  <c r="CT89" i="64"/>
  <c r="CS89" i="64"/>
  <c r="CR89" i="64"/>
  <c r="CQ89" i="64"/>
  <c r="CP89" i="64"/>
  <c r="CO89" i="64"/>
  <c r="CN89" i="64"/>
  <c r="CM89" i="64"/>
  <c r="CL89" i="64"/>
  <c r="CK89" i="64"/>
  <c r="CJ89" i="64"/>
  <c r="CI89" i="64"/>
  <c r="CH89" i="64"/>
  <c r="CG89" i="64"/>
  <c r="CF89" i="64"/>
  <c r="CE89" i="64"/>
  <c r="CD89" i="64"/>
  <c r="CC89" i="64"/>
  <c r="CB89" i="64"/>
  <c r="CA89" i="64"/>
  <c r="BZ89" i="64"/>
  <c r="BY89" i="64"/>
  <c r="CH85" i="64"/>
  <c r="CI85" i="64" s="1"/>
  <c r="CJ85" i="64" s="1"/>
  <c r="CK85" i="64" s="1"/>
  <c r="CL85" i="64" s="1"/>
  <c r="CM85" i="64" s="1"/>
  <c r="CN85" i="64" s="1"/>
  <c r="CO85" i="64" s="1"/>
  <c r="CP85" i="64" s="1"/>
  <c r="CQ85" i="64" s="1"/>
  <c r="CR85" i="64" s="1"/>
  <c r="CS85" i="64" s="1"/>
  <c r="CT85" i="64" s="1"/>
  <c r="CU85" i="64" s="1"/>
  <c r="CV85" i="64" s="1"/>
  <c r="CW85" i="64" s="1"/>
  <c r="CF85" i="64"/>
  <c r="CE85" i="64" s="1"/>
  <c r="CD85" i="64" s="1"/>
  <c r="CC85" i="64" s="1"/>
  <c r="CB85" i="64" s="1"/>
  <c r="CA85" i="64" s="1"/>
  <c r="BZ85" i="64" s="1"/>
  <c r="BY85" i="64" s="1"/>
  <c r="BY82" i="64"/>
  <c r="BZ84" i="64" s="1"/>
  <c r="BW78" i="64"/>
  <c r="BW77" i="64"/>
  <c r="BW76" i="64"/>
  <c r="BW74" i="64"/>
  <c r="BW73" i="64"/>
  <c r="BW72" i="64"/>
  <c r="BW71" i="64"/>
  <c r="BW70" i="64"/>
  <c r="BW69" i="64"/>
  <c r="BW68" i="64"/>
  <c r="BW67" i="64"/>
  <c r="BY58" i="64"/>
  <c r="BY78" i="64" s="1"/>
  <c r="DA58" i="64"/>
  <c r="CZ58" i="64"/>
  <c r="CY58" i="64"/>
  <c r="CX58" i="64"/>
  <c r="CW58" i="64"/>
  <c r="CV58" i="64"/>
  <c r="CU58" i="64"/>
  <c r="CT58" i="64"/>
  <c r="CS58" i="64"/>
  <c r="CR58" i="64"/>
  <c r="CQ58" i="64"/>
  <c r="CP58" i="64"/>
  <c r="CO58" i="64"/>
  <c r="CN58" i="64"/>
  <c r="CM58" i="64"/>
  <c r="CL58" i="64"/>
  <c r="CK58" i="64"/>
  <c r="CJ58" i="64"/>
  <c r="CI58" i="64"/>
  <c r="CH58" i="64"/>
  <c r="CG58" i="64"/>
  <c r="CF58" i="64"/>
  <c r="CE58" i="64"/>
  <c r="CD58" i="64"/>
  <c r="CC58" i="64"/>
  <c r="DA57" i="64"/>
  <c r="CZ57" i="64"/>
  <c r="CY57" i="64"/>
  <c r="CX57" i="64"/>
  <c r="CW57" i="64"/>
  <c r="CV57" i="64"/>
  <c r="CU57" i="64"/>
  <c r="CT57" i="64"/>
  <c r="CS57" i="64"/>
  <c r="CR57" i="64"/>
  <c r="CQ57" i="64"/>
  <c r="CP57" i="64"/>
  <c r="CO57" i="64"/>
  <c r="CN57" i="64"/>
  <c r="CM57" i="64"/>
  <c r="CL57" i="64"/>
  <c r="CK57" i="64"/>
  <c r="CJ57" i="64"/>
  <c r="CI57" i="64"/>
  <c r="CH57" i="64"/>
  <c r="CG57" i="64"/>
  <c r="CF57" i="64"/>
  <c r="CE57" i="64"/>
  <c r="CD57" i="64"/>
  <c r="CC57" i="64"/>
  <c r="DA56" i="64"/>
  <c r="CZ56" i="64"/>
  <c r="CY56" i="64"/>
  <c r="CX56" i="64"/>
  <c r="CW56" i="64"/>
  <c r="CV56" i="64"/>
  <c r="CU56" i="64"/>
  <c r="CT56" i="64"/>
  <c r="CS56" i="64"/>
  <c r="CR56" i="64"/>
  <c r="CQ56" i="64"/>
  <c r="CP56" i="64"/>
  <c r="CO56" i="64"/>
  <c r="CN56" i="64"/>
  <c r="CM56" i="64"/>
  <c r="CL56" i="64"/>
  <c r="CK56" i="64"/>
  <c r="CJ56" i="64"/>
  <c r="CI56" i="64"/>
  <c r="CH56" i="64"/>
  <c r="CG56" i="64"/>
  <c r="CF56" i="64"/>
  <c r="CE56" i="64"/>
  <c r="CD56" i="64"/>
  <c r="CC56" i="64"/>
  <c r="DA55" i="64"/>
  <c r="CZ55" i="64"/>
  <c r="CY55" i="64"/>
  <c r="CX55" i="64"/>
  <c r="CW55" i="64"/>
  <c r="CV55" i="64"/>
  <c r="CU55" i="64"/>
  <c r="CT55" i="64"/>
  <c r="CS55" i="64"/>
  <c r="CR55" i="64"/>
  <c r="CQ55" i="64"/>
  <c r="CP55" i="64"/>
  <c r="CO55" i="64"/>
  <c r="CN55" i="64"/>
  <c r="CM55" i="64"/>
  <c r="CL55" i="64"/>
  <c r="CK55" i="64"/>
  <c r="CJ55" i="64"/>
  <c r="CI55" i="64"/>
  <c r="CH55" i="64"/>
  <c r="CG55" i="64"/>
  <c r="CF55" i="64"/>
  <c r="CE55" i="64"/>
  <c r="CD55" i="64"/>
  <c r="CC55" i="64"/>
  <c r="DA54" i="64"/>
  <c r="CZ54" i="64"/>
  <c r="CY54" i="64"/>
  <c r="CX54" i="64"/>
  <c r="CW54" i="64"/>
  <c r="CV54" i="64"/>
  <c r="CU54" i="64"/>
  <c r="CT54" i="64"/>
  <c r="CS54" i="64"/>
  <c r="CR54" i="64"/>
  <c r="CQ54" i="64"/>
  <c r="CP54" i="64"/>
  <c r="CO54" i="64"/>
  <c r="CN54" i="64"/>
  <c r="CM54" i="64"/>
  <c r="CL54" i="64"/>
  <c r="CK54" i="64"/>
  <c r="CJ54" i="64"/>
  <c r="CI54" i="64"/>
  <c r="CH54" i="64"/>
  <c r="CG54" i="64"/>
  <c r="CF54" i="64"/>
  <c r="CE54" i="64"/>
  <c r="CD54" i="64"/>
  <c r="CC54" i="64"/>
  <c r="CL53" i="64"/>
  <c r="CM53" i="64" s="1"/>
  <c r="CN53" i="64" s="1"/>
  <c r="CO53" i="64" s="1"/>
  <c r="CP53" i="64" s="1"/>
  <c r="CQ53" i="64" s="1"/>
  <c r="CR53" i="64" s="1"/>
  <c r="CS53" i="64" s="1"/>
  <c r="CT53" i="64" s="1"/>
  <c r="CU53" i="64" s="1"/>
  <c r="CV53" i="64" s="1"/>
  <c r="CW53" i="64" s="1"/>
  <c r="CX53" i="64" s="1"/>
  <c r="CY53" i="64" s="1"/>
  <c r="CZ53" i="64" s="1"/>
  <c r="DA53" i="64" s="1"/>
  <c r="CJ53" i="64"/>
  <c r="CI53" i="64" s="1"/>
  <c r="CH53" i="64" s="1"/>
  <c r="CG53" i="64" s="1"/>
  <c r="CF53" i="64" s="1"/>
  <c r="CE53" i="64" s="1"/>
  <c r="CD53" i="64" s="1"/>
  <c r="CC53" i="64" s="1"/>
  <c r="AT142" i="64"/>
  <c r="AS142" i="64"/>
  <c r="AR142" i="64"/>
  <c r="AQ142" i="64"/>
  <c r="AP142" i="64"/>
  <c r="AO142" i="64"/>
  <c r="AN142" i="64"/>
  <c r="AM142" i="64"/>
  <c r="AL142" i="64"/>
  <c r="AK142" i="64"/>
  <c r="AJ142" i="64"/>
  <c r="AI142" i="64"/>
  <c r="AH142" i="64"/>
  <c r="AG142" i="64"/>
  <c r="AF142" i="64"/>
  <c r="AE142" i="64"/>
  <c r="AD142" i="64"/>
  <c r="AC142" i="64"/>
  <c r="AB142" i="64"/>
  <c r="AA142" i="64"/>
  <c r="Z142" i="64"/>
  <c r="Y142" i="64"/>
  <c r="X142" i="64"/>
  <c r="W142" i="64"/>
  <c r="V142" i="64"/>
  <c r="U142" i="64"/>
  <c r="T142" i="64"/>
  <c r="S142" i="64"/>
  <c r="R142" i="64"/>
  <c r="Q142" i="64"/>
  <c r="P142" i="64"/>
  <c r="O142" i="64"/>
  <c r="N142" i="64"/>
  <c r="M142" i="64"/>
  <c r="L142" i="64"/>
  <c r="K142" i="64"/>
  <c r="J142" i="64"/>
  <c r="I142" i="64"/>
  <c r="H142" i="64"/>
  <c r="G142" i="64"/>
  <c r="AT141" i="64"/>
  <c r="AS141" i="64"/>
  <c r="AR141" i="64"/>
  <c r="AQ141" i="64"/>
  <c r="AP141" i="64"/>
  <c r="AO141" i="64"/>
  <c r="AN141" i="64"/>
  <c r="AM141" i="64"/>
  <c r="AL141" i="64"/>
  <c r="AK141" i="64"/>
  <c r="AJ141" i="64"/>
  <c r="AI141" i="64"/>
  <c r="AH141" i="64"/>
  <c r="AG141" i="64"/>
  <c r="AF141" i="64"/>
  <c r="AE141" i="64"/>
  <c r="AD141" i="64"/>
  <c r="AC141" i="64"/>
  <c r="AB141" i="64"/>
  <c r="AA141" i="64"/>
  <c r="Z141" i="64"/>
  <c r="Y141" i="64"/>
  <c r="X141" i="64"/>
  <c r="W141" i="64"/>
  <c r="V141" i="64"/>
  <c r="U141" i="64"/>
  <c r="T141" i="64"/>
  <c r="S141" i="64"/>
  <c r="R141" i="64"/>
  <c r="Q141" i="64"/>
  <c r="P141" i="64"/>
  <c r="O141" i="64"/>
  <c r="N141" i="64"/>
  <c r="M141" i="64"/>
  <c r="L141" i="64"/>
  <c r="K141" i="64"/>
  <c r="J141" i="64"/>
  <c r="I141" i="64"/>
  <c r="H141" i="64"/>
  <c r="G141" i="64"/>
  <c r="AT140" i="64"/>
  <c r="AS140" i="64"/>
  <c r="AR140" i="64"/>
  <c r="AQ140" i="64"/>
  <c r="AP140" i="64"/>
  <c r="AO140" i="64"/>
  <c r="AN140" i="64"/>
  <c r="AM140" i="64"/>
  <c r="AL140" i="64"/>
  <c r="AK140" i="64"/>
  <c r="AJ140" i="64"/>
  <c r="AI140" i="64"/>
  <c r="AH140" i="64"/>
  <c r="AG140" i="64"/>
  <c r="AF140" i="64"/>
  <c r="AE140" i="64"/>
  <c r="AD140" i="64"/>
  <c r="AC140" i="64"/>
  <c r="AB140" i="64"/>
  <c r="AA140" i="64"/>
  <c r="Z140" i="64"/>
  <c r="Y140" i="64"/>
  <c r="X140" i="64"/>
  <c r="W140" i="64"/>
  <c r="V140" i="64"/>
  <c r="U140" i="64"/>
  <c r="T140" i="64"/>
  <c r="S140" i="64"/>
  <c r="R140" i="64"/>
  <c r="Q140" i="64"/>
  <c r="P140" i="64"/>
  <c r="O140" i="64"/>
  <c r="N140" i="64"/>
  <c r="M140" i="64"/>
  <c r="L140" i="64"/>
  <c r="K140" i="64"/>
  <c r="J140" i="64"/>
  <c r="I140" i="64"/>
  <c r="H140" i="64"/>
  <c r="G140" i="64"/>
  <c r="BF81" i="41"/>
  <c r="BF232" i="41" s="1"/>
  <c r="BF233" i="41" s="1"/>
  <c r="BE81" i="41"/>
  <c r="BE232" i="41" s="1"/>
  <c r="BE233" i="41" s="1"/>
  <c r="BC81" i="41"/>
  <c r="BC232" i="41" s="1"/>
  <c r="BC233" i="41" s="1"/>
  <c r="BA81" i="41"/>
  <c r="BA232" i="41" s="1"/>
  <c r="BA233" i="41" s="1"/>
  <c r="AZ81" i="41"/>
  <c r="AZ232" i="41" s="1"/>
  <c r="AZ233" i="41" s="1"/>
  <c r="AY81" i="41"/>
  <c r="AY232" i="41" s="1"/>
  <c r="AX81" i="41"/>
  <c r="AX232" i="41" s="1"/>
  <c r="AV232" i="41"/>
  <c r="AU232" i="41"/>
  <c r="AT81" i="41"/>
  <c r="AS232" i="41"/>
  <c r="AQ81" i="41"/>
  <c r="AQ232" i="41" s="1"/>
  <c r="AP232" i="41"/>
  <c r="AL81" i="41"/>
  <c r="AL232" i="41" s="1"/>
  <c r="AL233" i="41" s="1"/>
  <c r="AK81" i="41"/>
  <c r="AK232" i="41" s="1"/>
  <c r="AK233" i="41" s="1"/>
  <c r="BF80" i="41"/>
  <c r="BF227" i="41" s="1"/>
  <c r="BF228" i="41" s="1"/>
  <c r="BE80" i="41"/>
  <c r="BE227" i="41" s="1"/>
  <c r="BE228" i="41" s="1"/>
  <c r="BA80" i="41"/>
  <c r="BA227" i="41" s="1"/>
  <c r="BA228" i="41" s="1"/>
  <c r="AZ80" i="41"/>
  <c r="AZ227" i="41" s="1"/>
  <c r="AZ228" i="41" s="1"/>
  <c r="AY80" i="41"/>
  <c r="AY227" i="41" s="1"/>
  <c r="AX80" i="41"/>
  <c r="AX227" i="41" s="1"/>
  <c r="AV227" i="41"/>
  <c r="AU227" i="41"/>
  <c r="AS227" i="41"/>
  <c r="AQ80" i="41"/>
  <c r="AQ227" i="41" s="1"/>
  <c r="AP227" i="41"/>
  <c r="AO80" i="41"/>
  <c r="AO227" i="41" s="1"/>
  <c r="AN80" i="41"/>
  <c r="AN227" i="41" s="1"/>
  <c r="AL80" i="41"/>
  <c r="AL227" i="41" s="1"/>
  <c r="AK80" i="41"/>
  <c r="AK227" i="41" s="1"/>
  <c r="AI80" i="41"/>
  <c r="AI227" i="41" s="1"/>
  <c r="AG80" i="41"/>
  <c r="AG227" i="41" s="1"/>
  <c r="AF80" i="41"/>
  <c r="AF227" i="41" s="1"/>
  <c r="AE80" i="41"/>
  <c r="AE227" i="41" s="1"/>
  <c r="AB80" i="41"/>
  <c r="AB227" i="41" s="1"/>
  <c r="AA80" i="41"/>
  <c r="AA227" i="41" s="1"/>
  <c r="Z80" i="41"/>
  <c r="Z227" i="41" s="1"/>
  <c r="Y80" i="41"/>
  <c r="Y227" i="41" s="1"/>
  <c r="W80" i="41"/>
  <c r="V80" i="41"/>
  <c r="U80" i="41"/>
  <c r="T80" i="41"/>
  <c r="BF79" i="41"/>
  <c r="BE79" i="41"/>
  <c r="BD79" i="41"/>
  <c r="BC79" i="41"/>
  <c r="BA79" i="41"/>
  <c r="AZ79" i="41"/>
  <c r="AY79" i="41"/>
  <c r="AX79" i="41"/>
  <c r="AT79" i="41"/>
  <c r="AW79" i="41" s="1"/>
  <c r="AQ79" i="41"/>
  <c r="AO79" i="41"/>
  <c r="AN79" i="41"/>
  <c r="AL79" i="41"/>
  <c r="AK79" i="41"/>
  <c r="AJ79" i="41"/>
  <c r="AI79" i="41"/>
  <c r="AG79" i="41"/>
  <c r="AF79" i="41"/>
  <c r="AE79" i="41"/>
  <c r="AB79" i="41"/>
  <c r="AB222" i="41" s="1"/>
  <c r="AA79" i="41"/>
  <c r="AA222" i="41" s="1"/>
  <c r="Z79" i="41"/>
  <c r="Z222" i="41" s="1"/>
  <c r="Y79" i="41"/>
  <c r="Y222" i="41" s="1"/>
  <c r="W79" i="41"/>
  <c r="V79" i="41"/>
  <c r="U79" i="41"/>
  <c r="T79" i="41"/>
  <c r="BA73" i="41"/>
  <c r="AZ73" i="41"/>
  <c r="AY73" i="41"/>
  <c r="AX73" i="41"/>
  <c r="AT73" i="41"/>
  <c r="AW73" i="41" s="1"/>
  <c r="AQ73" i="41"/>
  <c r="AO73" i="41"/>
  <c r="AN73" i="41"/>
  <c r="AL73" i="41"/>
  <c r="AK73" i="41"/>
  <c r="AJ73" i="41"/>
  <c r="AI73" i="41"/>
  <c r="AG73" i="41"/>
  <c r="AF73" i="41"/>
  <c r="AE73" i="41"/>
  <c r="AD73" i="41"/>
  <c r="AB73" i="41"/>
  <c r="AA73" i="41"/>
  <c r="Z73" i="41"/>
  <c r="Y73" i="41"/>
  <c r="W73" i="41"/>
  <c r="V73" i="41"/>
  <c r="U73" i="41"/>
  <c r="T73" i="41"/>
  <c r="BA76" i="41"/>
  <c r="AZ76" i="41"/>
  <c r="AY76" i="41"/>
  <c r="AX76" i="41"/>
  <c r="AT76" i="41"/>
  <c r="AW76" i="41" s="1"/>
  <c r="AQ76" i="41"/>
  <c r="AO76" i="41"/>
  <c r="AN76" i="41"/>
  <c r="AL76" i="41"/>
  <c r="AK76" i="41"/>
  <c r="AJ76" i="41"/>
  <c r="AI76" i="41"/>
  <c r="AG76" i="41"/>
  <c r="AF76" i="41"/>
  <c r="AE76" i="41"/>
  <c r="AD76" i="41"/>
  <c r="AB76" i="41"/>
  <c r="AA76" i="41"/>
  <c r="Z76" i="41"/>
  <c r="Y76" i="41"/>
  <c r="W76" i="41"/>
  <c r="V76" i="41"/>
  <c r="U76" i="41"/>
  <c r="T76" i="41"/>
  <c r="BA72" i="41"/>
  <c r="AZ72" i="41"/>
  <c r="AX72" i="41"/>
  <c r="AT72" i="41"/>
  <c r="AW72" i="41" s="1"/>
  <c r="AQ72" i="41"/>
  <c r="AO72" i="41"/>
  <c r="AN72" i="41"/>
  <c r="AL72" i="41"/>
  <c r="AK72" i="41"/>
  <c r="AJ72" i="41"/>
  <c r="AI72" i="41"/>
  <c r="AG72" i="41"/>
  <c r="AF72" i="41"/>
  <c r="AE72" i="41"/>
  <c r="AD72" i="41"/>
  <c r="AB72" i="41"/>
  <c r="AA72" i="41"/>
  <c r="Z72" i="41"/>
  <c r="Y72" i="41"/>
  <c r="W72" i="41"/>
  <c r="V72" i="41"/>
  <c r="U72" i="41"/>
  <c r="T72" i="41"/>
  <c r="BA75" i="41"/>
  <c r="AZ75" i="41"/>
  <c r="AY75" i="41"/>
  <c r="AX75" i="41"/>
  <c r="AT75" i="41"/>
  <c r="AW75" i="41" s="1"/>
  <c r="AQ75" i="41"/>
  <c r="AO75" i="41"/>
  <c r="AN75" i="41"/>
  <c r="AL75" i="41"/>
  <c r="AK75" i="41"/>
  <c r="AJ75" i="41"/>
  <c r="AI75" i="41"/>
  <c r="AG75" i="41"/>
  <c r="AF75" i="41"/>
  <c r="AE75" i="41"/>
  <c r="AD75" i="41"/>
  <c r="AB75" i="41"/>
  <c r="AA75" i="41"/>
  <c r="Z75" i="41"/>
  <c r="Y75" i="41"/>
  <c r="W75" i="41"/>
  <c r="V75" i="41"/>
  <c r="U75" i="41"/>
  <c r="T75" i="41"/>
  <c r="BA60" i="41"/>
  <c r="AZ60" i="41"/>
  <c r="AY60" i="41"/>
  <c r="AQ60" i="41"/>
  <c r="AO60" i="41"/>
  <c r="AL60" i="41"/>
  <c r="AK60" i="41"/>
  <c r="AJ60" i="41"/>
  <c r="AG60" i="41"/>
  <c r="AF60" i="41"/>
  <c r="AE60" i="41"/>
  <c r="AD60" i="41"/>
  <c r="AB60" i="41"/>
  <c r="AA60" i="41"/>
  <c r="Z60" i="41"/>
  <c r="Y60" i="41"/>
  <c r="W60" i="41"/>
  <c r="V60" i="41"/>
  <c r="U60" i="41"/>
  <c r="T60" i="41"/>
  <c r="BA59" i="41"/>
  <c r="AZ59" i="41"/>
  <c r="AY59" i="41"/>
  <c r="AT59" i="41"/>
  <c r="AW59" i="41" s="1"/>
  <c r="AQ59" i="41"/>
  <c r="AO59" i="41"/>
  <c r="AL59" i="41"/>
  <c r="AK59" i="41"/>
  <c r="AJ59" i="41"/>
  <c r="AG59" i="41"/>
  <c r="AF59" i="41"/>
  <c r="AE59" i="41"/>
  <c r="AD59" i="41"/>
  <c r="AB59" i="41"/>
  <c r="AA59" i="41"/>
  <c r="Z59" i="41"/>
  <c r="Y59" i="41"/>
  <c r="W59" i="41"/>
  <c r="V59" i="41"/>
  <c r="U59" i="41"/>
  <c r="T59" i="41"/>
  <c r="BK88" i="41"/>
  <c r="BK89" i="41" s="1"/>
  <c r="BK84" i="41"/>
  <c r="BK86" i="41" s="1"/>
  <c r="BF88" i="41"/>
  <c r="BF89" i="41" s="1"/>
  <c r="BF84" i="41"/>
  <c r="BF86" i="41" s="1"/>
  <c r="AT7" i="64"/>
  <c r="AT6" i="64"/>
  <c r="BA88" i="41"/>
  <c r="BA89" i="41" s="1"/>
  <c r="BA84" i="41"/>
  <c r="BA86" i="41" s="1"/>
  <c r="AP7" i="64"/>
  <c r="AP6" i="64"/>
  <c r="AL7" i="64"/>
  <c r="AL6" i="64"/>
  <c r="G7" i="64"/>
  <c r="G6" i="64"/>
  <c r="CL45" i="64"/>
  <c r="CM45" i="64" s="1"/>
  <c r="CN45" i="64" s="1"/>
  <c r="CO45" i="64" s="1"/>
  <c r="CP45" i="64" s="1"/>
  <c r="CQ45" i="64" s="1"/>
  <c r="CR45" i="64" s="1"/>
  <c r="CS45" i="64" s="1"/>
  <c r="CT45" i="64" s="1"/>
  <c r="CU45" i="64" s="1"/>
  <c r="CV45" i="64" s="1"/>
  <c r="CW45" i="64" s="1"/>
  <c r="CX45" i="64" s="1"/>
  <c r="CY45" i="64" s="1"/>
  <c r="CZ45" i="64" s="1"/>
  <c r="DA45" i="64" s="1"/>
  <c r="CJ45" i="64"/>
  <c r="CI45" i="64" s="1"/>
  <c r="CH45" i="64" s="1"/>
  <c r="CG45" i="64" s="1"/>
  <c r="CF45" i="64" s="1"/>
  <c r="CE45" i="64" s="1"/>
  <c r="CD45" i="64" s="1"/>
  <c r="CC45" i="64" s="1"/>
  <c r="BX8" i="64"/>
  <c r="E7" i="64"/>
  <c r="D7" i="64"/>
  <c r="C7" i="64"/>
  <c r="BJ88" i="41"/>
  <c r="BJ89" i="41" s="1"/>
  <c r="BI88" i="41"/>
  <c r="BI89" i="41" s="1"/>
  <c r="BH88" i="41"/>
  <c r="BJ84" i="41"/>
  <c r="BJ86" i="41" s="1"/>
  <c r="BI84" i="41"/>
  <c r="BI86" i="41" s="1"/>
  <c r="BH84" i="41"/>
  <c r="BH86" i="41" s="1"/>
  <c r="BE88" i="41"/>
  <c r="BE89" i="41" s="1"/>
  <c r="BD88" i="41"/>
  <c r="BD89" i="41" s="1"/>
  <c r="BC88" i="41"/>
  <c r="BE84" i="41"/>
  <c r="BE86" i="41" s="1"/>
  <c r="BD84" i="41"/>
  <c r="BD86" i="41" s="1"/>
  <c r="BC84" i="41"/>
  <c r="BC86" i="41" s="1"/>
  <c r="AS7" i="64"/>
  <c r="AR7" i="64"/>
  <c r="AQ7" i="64"/>
  <c r="AS6" i="64"/>
  <c r="AR6" i="64"/>
  <c r="AQ6" i="64"/>
  <c r="AZ88" i="41"/>
  <c r="AZ89" i="41" s="1"/>
  <c r="AY88" i="41"/>
  <c r="AY89" i="41" s="1"/>
  <c r="AX88" i="41"/>
  <c r="AZ84" i="41"/>
  <c r="AZ86" i="41" s="1"/>
  <c r="AY84" i="41"/>
  <c r="AY86" i="41" s="1"/>
  <c r="AO7" i="64"/>
  <c r="AN7" i="64"/>
  <c r="AM7" i="64"/>
  <c r="AO6" i="64"/>
  <c r="AN6" i="64"/>
  <c r="AM6" i="64"/>
  <c r="AT88" i="41"/>
  <c r="AQ88" i="41"/>
  <c r="AQ89" i="41" s="1"/>
  <c r="AO88" i="41"/>
  <c r="AO89" i="41" s="1"/>
  <c r="AN88" i="41"/>
  <c r="AT84" i="41"/>
  <c r="AQ84" i="41"/>
  <c r="AQ86" i="41" s="1"/>
  <c r="AO84" i="41"/>
  <c r="AO86" i="41" s="1"/>
  <c r="AN84" i="41"/>
  <c r="AN86" i="41" s="1"/>
  <c r="AK7" i="64"/>
  <c r="AJ7" i="64"/>
  <c r="AI7" i="64"/>
  <c r="AH7" i="64"/>
  <c r="AG7" i="64"/>
  <c r="AF7" i="64"/>
  <c r="AE7" i="64"/>
  <c r="AK6" i="64"/>
  <c r="AJ6" i="64"/>
  <c r="AI6" i="64"/>
  <c r="AH6" i="64"/>
  <c r="AG6" i="64"/>
  <c r="AF6" i="64"/>
  <c r="AE6" i="64"/>
  <c r="AL88" i="41"/>
  <c r="AL89" i="41" s="1"/>
  <c r="AK88" i="41"/>
  <c r="AK89" i="41" s="1"/>
  <c r="AJ88" i="41"/>
  <c r="AJ89" i="41" s="1"/>
  <c r="AG88" i="41"/>
  <c r="AG89" i="41" s="1"/>
  <c r="AF88" i="41"/>
  <c r="AF89" i="41" s="1"/>
  <c r="AE88" i="41"/>
  <c r="AE89" i="41" s="1"/>
  <c r="AB88" i="41"/>
  <c r="AB89" i="41" s="1"/>
  <c r="AA88" i="41"/>
  <c r="AA89" i="41" s="1"/>
  <c r="Z88" i="41"/>
  <c r="Z89" i="41" s="1"/>
  <c r="W88" i="41"/>
  <c r="W89" i="41" s="1"/>
  <c r="V88" i="41"/>
  <c r="V89" i="41" s="1"/>
  <c r="U88" i="41"/>
  <c r="U89" i="41" s="1"/>
  <c r="AL84" i="41"/>
  <c r="AL86" i="41" s="1"/>
  <c r="AK84" i="41"/>
  <c r="AK86" i="41" s="1"/>
  <c r="AJ84" i="41"/>
  <c r="AJ86" i="41" s="1"/>
  <c r="AI84" i="41"/>
  <c r="AI86" i="41" s="1"/>
  <c r="AG84" i="41"/>
  <c r="AG86" i="41" s="1"/>
  <c r="AF84" i="41"/>
  <c r="AF86" i="41" s="1"/>
  <c r="AD84" i="41"/>
  <c r="AD86" i="41" s="1"/>
  <c r="AB84" i="41"/>
  <c r="AB86" i="41" s="1"/>
  <c r="AA84" i="41"/>
  <c r="AA86" i="41" s="1"/>
  <c r="Z84" i="41"/>
  <c r="Z86" i="41" s="1"/>
  <c r="Y84" i="41"/>
  <c r="Y86" i="41" s="1"/>
  <c r="W84" i="41"/>
  <c r="W86" i="41" s="1"/>
  <c r="V84" i="41"/>
  <c r="V86" i="41" s="1"/>
  <c r="U84" i="41"/>
  <c r="U86" i="41" s="1"/>
  <c r="T84" i="41"/>
  <c r="T86" i="41" s="1"/>
  <c r="AD7" i="64"/>
  <c r="AC7" i="64"/>
  <c r="AB7" i="64"/>
  <c r="AA7" i="64"/>
  <c r="Z7" i="64"/>
  <c r="Y7" i="64"/>
  <c r="X7" i="64"/>
  <c r="W7" i="64"/>
  <c r="V7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AD6" i="64"/>
  <c r="AC6" i="64"/>
  <c r="AB6" i="64"/>
  <c r="AA6" i="64"/>
  <c r="Z6" i="64"/>
  <c r="Y6" i="64"/>
  <c r="X6" i="64"/>
  <c r="W6" i="64"/>
  <c r="V6" i="64"/>
  <c r="U6" i="64"/>
  <c r="T6" i="64"/>
  <c r="S6" i="64"/>
  <c r="R6" i="64"/>
  <c r="Q6" i="64"/>
  <c r="P6" i="64"/>
  <c r="O6" i="64"/>
  <c r="N6" i="64"/>
  <c r="M6" i="64"/>
  <c r="L6" i="64"/>
  <c r="K6" i="64"/>
  <c r="J6" i="64"/>
  <c r="I6" i="64"/>
  <c r="H6" i="64"/>
  <c r="F6" i="64"/>
  <c r="E6" i="64"/>
  <c r="D6" i="64"/>
  <c r="C6" i="64"/>
  <c r="BG4" i="64"/>
  <c r="BH4" i="64" s="1"/>
  <c r="BI4" i="64" s="1"/>
  <c r="BJ4" i="64" s="1"/>
  <c r="BK4" i="64" s="1"/>
  <c r="BL4" i="64" s="1"/>
  <c r="BM4" i="64" s="1"/>
  <c r="BN4" i="64" s="1"/>
  <c r="BO4" i="64" s="1"/>
  <c r="BP4" i="64" s="1"/>
  <c r="D4" i="64"/>
  <c r="AM42" i="42"/>
  <c r="AL42" i="42"/>
  <c r="AK42" i="42"/>
  <c r="AJ42" i="42"/>
  <c r="AI42" i="42"/>
  <c r="AH42" i="42"/>
  <c r="AG42" i="42"/>
  <c r="AF42" i="42"/>
  <c r="AE42" i="42"/>
  <c r="AD42" i="42"/>
  <c r="AC42" i="42"/>
  <c r="AB42" i="42"/>
  <c r="AA42" i="42"/>
  <c r="Z42" i="42"/>
  <c r="Y42" i="42"/>
  <c r="X42" i="42"/>
  <c r="W42" i="42"/>
  <c r="V42" i="42"/>
  <c r="U42" i="42"/>
  <c r="T42" i="42"/>
  <c r="S42" i="42"/>
  <c r="R42" i="42"/>
  <c r="Q42" i="42"/>
  <c r="P42" i="42"/>
  <c r="O42" i="42"/>
  <c r="N42" i="42"/>
  <c r="M42" i="42"/>
  <c r="L42" i="42"/>
  <c r="K42" i="42"/>
  <c r="J42" i="42"/>
  <c r="I42" i="42"/>
  <c r="AM41" i="42"/>
  <c r="AL41" i="42"/>
  <c r="AK41" i="42"/>
  <c r="AJ41" i="42"/>
  <c r="AI41" i="42"/>
  <c r="AH41" i="42"/>
  <c r="AG41" i="42"/>
  <c r="AF41" i="42"/>
  <c r="AE41" i="42"/>
  <c r="AD41" i="42"/>
  <c r="AC41" i="42"/>
  <c r="AB41" i="42"/>
  <c r="AA41" i="42"/>
  <c r="Z41" i="42"/>
  <c r="Y41" i="42"/>
  <c r="X41" i="42"/>
  <c r="W41" i="42"/>
  <c r="V41" i="42"/>
  <c r="U41" i="42"/>
  <c r="T41" i="42"/>
  <c r="S41" i="42"/>
  <c r="R41" i="42"/>
  <c r="Q41" i="42"/>
  <c r="P41" i="42"/>
  <c r="O41" i="42"/>
  <c r="N41" i="42"/>
  <c r="M41" i="42"/>
  <c r="L41" i="42"/>
  <c r="K41" i="42"/>
  <c r="J41" i="42"/>
  <c r="I41" i="42"/>
  <c r="BL38" i="42"/>
  <c r="BG38" i="42"/>
  <c r="BB38" i="42"/>
  <c r="AM38" i="42"/>
  <c r="AK38" i="42"/>
  <c r="AJ38" i="42"/>
  <c r="AI38" i="42"/>
  <c r="AH38" i="42"/>
  <c r="AF38" i="42"/>
  <c r="AE38" i="42"/>
  <c r="AD38" i="42"/>
  <c r="AA38" i="42"/>
  <c r="Z38" i="42"/>
  <c r="Y38" i="42"/>
  <c r="T38" i="42"/>
  <c r="AM35" i="42"/>
  <c r="AK35" i="42"/>
  <c r="AZ35" i="42" s="1"/>
  <c r="BE35" i="42" s="1"/>
  <c r="BJ35" i="42" s="1"/>
  <c r="AJ35" i="42"/>
  <c r="AI35" i="42"/>
  <c r="AH35" i="42"/>
  <c r="AF35" i="42"/>
  <c r="AE35" i="42"/>
  <c r="AD35" i="42"/>
  <c r="AC35" i="42"/>
  <c r="AA35" i="42"/>
  <c r="Z35" i="42"/>
  <c r="Y35" i="42"/>
  <c r="X35" i="42"/>
  <c r="V35" i="42"/>
  <c r="U35" i="42"/>
  <c r="T35" i="42"/>
  <c r="S35" i="42"/>
  <c r="Q35" i="42"/>
  <c r="P35" i="42"/>
  <c r="O35" i="42"/>
  <c r="N35" i="42"/>
  <c r="L35" i="42"/>
  <c r="K35" i="42"/>
  <c r="J35" i="42"/>
  <c r="I35" i="42"/>
  <c r="AM34" i="42"/>
  <c r="AK34" i="42"/>
  <c r="AZ34" i="42" s="1"/>
  <c r="BE34" i="42" s="1"/>
  <c r="BJ34" i="42" s="1"/>
  <c r="BO34" i="42" s="1"/>
  <c r="BO39" i="4" s="1"/>
  <c r="AJ34" i="42"/>
  <c r="AY34" i="42" s="1"/>
  <c r="BD34" i="42" s="1"/>
  <c r="BI34" i="42" s="1"/>
  <c r="AI34" i="42"/>
  <c r="AH34" i="42"/>
  <c r="AF34" i="42"/>
  <c r="AE34" i="42"/>
  <c r="AD34" i="42"/>
  <c r="AC34" i="42"/>
  <c r="AA34" i="42"/>
  <c r="Z34" i="42"/>
  <c r="Y34" i="42"/>
  <c r="X34" i="42"/>
  <c r="V34" i="42"/>
  <c r="U34" i="42"/>
  <c r="S34" i="42"/>
  <c r="Q34" i="42"/>
  <c r="P34" i="42"/>
  <c r="N34" i="42"/>
  <c r="L34" i="42"/>
  <c r="K34" i="42"/>
  <c r="J34" i="42"/>
  <c r="I34" i="42"/>
  <c r="AM31" i="42"/>
  <c r="AK31" i="42"/>
  <c r="AJ31" i="42"/>
  <c r="AI31" i="42"/>
  <c r="AH31" i="42"/>
  <c r="AF31" i="42"/>
  <c r="AE31" i="42"/>
  <c r="AD31" i="42"/>
  <c r="AC31" i="42"/>
  <c r="AA31" i="42"/>
  <c r="Z31" i="42"/>
  <c r="X31" i="42"/>
  <c r="V31" i="42"/>
  <c r="U31" i="42"/>
  <c r="S31" i="42"/>
  <c r="Q31" i="42"/>
  <c r="P31" i="42"/>
  <c r="L31" i="42"/>
  <c r="K31" i="42"/>
  <c r="J31" i="42"/>
  <c r="AM26" i="42"/>
  <c r="AK26" i="42"/>
  <c r="AZ26" i="42" s="1"/>
  <c r="BE26" i="42" s="1"/>
  <c r="BJ26" i="42" s="1"/>
  <c r="BO26" i="42" s="1"/>
  <c r="AJ26" i="42"/>
  <c r="AY26" i="42" s="1"/>
  <c r="BD26" i="42" s="1"/>
  <c r="BI26" i="42" s="1"/>
  <c r="BN26" i="42" s="1"/>
  <c r="AI26" i="42"/>
  <c r="AH26" i="42"/>
  <c r="AF26" i="42"/>
  <c r="AE26" i="42"/>
  <c r="AD26" i="42"/>
  <c r="AC26" i="42"/>
  <c r="AA26" i="42"/>
  <c r="Z26" i="42"/>
  <c r="Y26" i="42"/>
  <c r="X26" i="42"/>
  <c r="V26" i="42"/>
  <c r="U26" i="42"/>
  <c r="T26" i="42"/>
  <c r="S26" i="42"/>
  <c r="Q26" i="42"/>
  <c r="P26" i="42"/>
  <c r="N26" i="42"/>
  <c r="L26" i="42"/>
  <c r="K26" i="42"/>
  <c r="J26" i="42"/>
  <c r="AM25" i="42"/>
  <c r="AK25" i="42"/>
  <c r="AJ25" i="42"/>
  <c r="AI25" i="42"/>
  <c r="AH25" i="42"/>
  <c r="AF25" i="42"/>
  <c r="AE25" i="42"/>
  <c r="AD25" i="42"/>
  <c r="AC25" i="42"/>
  <c r="AA25" i="42"/>
  <c r="Z25" i="42"/>
  <c r="Y25" i="42"/>
  <c r="X25" i="42"/>
  <c r="V25" i="42"/>
  <c r="U25" i="42"/>
  <c r="T25" i="42"/>
  <c r="S25" i="42"/>
  <c r="Q25" i="42"/>
  <c r="P25" i="42"/>
  <c r="N25" i="42"/>
  <c r="L25" i="42"/>
  <c r="K25" i="42"/>
  <c r="J25" i="42"/>
  <c r="I25" i="42"/>
  <c r="AK20" i="42"/>
  <c r="AJ20" i="42"/>
  <c r="AI20" i="42"/>
  <c r="AF20" i="42"/>
  <c r="V20" i="42"/>
  <c r="U20" i="42"/>
  <c r="T20" i="42"/>
  <c r="Q20" i="42"/>
  <c r="P20" i="42"/>
  <c r="L20" i="42"/>
  <c r="K20" i="42"/>
  <c r="J20" i="42"/>
  <c r="I20" i="42"/>
  <c r="AM15" i="42"/>
  <c r="AK15" i="42"/>
  <c r="AZ15" i="42" s="1"/>
  <c r="BE15" i="42" s="1"/>
  <c r="BJ15" i="42" s="1"/>
  <c r="BO15" i="42" s="1"/>
  <c r="AJ15" i="42"/>
  <c r="AY15" i="42" s="1"/>
  <c r="BD15" i="42" s="1"/>
  <c r="BI15" i="42" s="1"/>
  <c r="BN15" i="42" s="1"/>
  <c r="AI15" i="42"/>
  <c r="AH15" i="42"/>
  <c r="AF15" i="42"/>
  <c r="AE15" i="42"/>
  <c r="AD15" i="42"/>
  <c r="AC15" i="42"/>
  <c r="AA15" i="42"/>
  <c r="Z15" i="42"/>
  <c r="Y15" i="42"/>
  <c r="X15" i="42"/>
  <c r="V15" i="42"/>
  <c r="U15" i="42"/>
  <c r="T15" i="42"/>
  <c r="S15" i="42"/>
  <c r="Q15" i="42"/>
  <c r="P15" i="42"/>
  <c r="N15" i="42"/>
  <c r="L15" i="42"/>
  <c r="K15" i="42"/>
  <c r="J15" i="42"/>
  <c r="I15" i="42"/>
  <c r="AM14" i="42"/>
  <c r="AK14" i="42"/>
  <c r="AJ14" i="42"/>
  <c r="AI14" i="42"/>
  <c r="AH14" i="42"/>
  <c r="AF14" i="42"/>
  <c r="AE14" i="42"/>
  <c r="AD14" i="42"/>
  <c r="AC14" i="42"/>
  <c r="Z14" i="42"/>
  <c r="Y14" i="42"/>
  <c r="X14" i="42"/>
  <c r="V14" i="42"/>
  <c r="U14" i="42"/>
  <c r="T14" i="42"/>
  <c r="S14" i="42"/>
  <c r="Q14" i="42"/>
  <c r="P14" i="42"/>
  <c r="N14" i="42"/>
  <c r="L14" i="42"/>
  <c r="K14" i="42"/>
  <c r="J14" i="42"/>
  <c r="BF12" i="42"/>
  <c r="BK12" i="42" s="1"/>
  <c r="BP12" i="42" s="1"/>
  <c r="BE12" i="42"/>
  <c r="BJ12" i="42" s="1"/>
  <c r="BO12" i="42" s="1"/>
  <c r="BD12" i="42"/>
  <c r="BI12" i="42" s="1"/>
  <c r="BN12" i="42" s="1"/>
  <c r="AM13" i="42"/>
  <c r="AK13" i="42"/>
  <c r="AK62" i="42" s="1"/>
  <c r="AJ13" i="42"/>
  <c r="AJ62" i="42" s="1"/>
  <c r="AI13" i="42"/>
  <c r="AI62" i="42" s="1"/>
  <c r="AH13" i="42"/>
  <c r="AF13" i="42"/>
  <c r="AF62" i="42" s="1"/>
  <c r="AE13" i="42"/>
  <c r="AE62" i="42" s="1"/>
  <c r="AD13" i="42"/>
  <c r="AD62" i="42" s="1"/>
  <c r="AC13" i="42"/>
  <c r="AA13" i="42"/>
  <c r="Z13" i="42"/>
  <c r="Y13" i="42"/>
  <c r="X13" i="42"/>
  <c r="V13" i="42"/>
  <c r="U13" i="42"/>
  <c r="T13" i="42"/>
  <c r="S13" i="42"/>
  <c r="Q13" i="42"/>
  <c r="P13" i="42"/>
  <c r="L13" i="42"/>
  <c r="K13" i="42"/>
  <c r="J13" i="42"/>
  <c r="AM12" i="42"/>
  <c r="AK12" i="42"/>
  <c r="AJ12" i="42"/>
  <c r="AI12" i="42"/>
  <c r="AH12" i="42"/>
  <c r="AF12" i="42"/>
  <c r="AE12" i="42"/>
  <c r="AD12" i="42"/>
  <c r="AC12" i="42"/>
  <c r="AA12" i="42"/>
  <c r="Z12" i="42"/>
  <c r="Y12" i="42"/>
  <c r="X12" i="42"/>
  <c r="V12" i="42"/>
  <c r="U12" i="42"/>
  <c r="T12" i="42"/>
  <c r="S12" i="42"/>
  <c r="Q12" i="42"/>
  <c r="P12" i="42"/>
  <c r="L12" i="42"/>
  <c r="K12" i="42"/>
  <c r="J12" i="42"/>
  <c r="AZ9" i="42"/>
  <c r="AX9" i="42"/>
  <c r="BA8" i="42"/>
  <c r="AY8" i="42"/>
  <c r="N9" i="42"/>
  <c r="L9" i="42"/>
  <c r="K9" i="42"/>
  <c r="J9" i="42"/>
  <c r="I9" i="42"/>
  <c r="AM8" i="42"/>
  <c r="AK8" i="42"/>
  <c r="AJ8" i="42"/>
  <c r="AI8" i="42"/>
  <c r="AH8" i="42"/>
  <c r="AF8" i="42"/>
  <c r="AE8" i="42"/>
  <c r="AD8" i="42"/>
  <c r="AC8" i="42"/>
  <c r="AA8" i="42"/>
  <c r="Z8" i="42"/>
  <c r="Y8" i="42"/>
  <c r="X8" i="42"/>
  <c r="V8" i="42"/>
  <c r="U8" i="42"/>
  <c r="T8" i="42"/>
  <c r="S8" i="42"/>
  <c r="Q8" i="42"/>
  <c r="P8" i="42"/>
  <c r="N8" i="42"/>
  <c r="L8" i="42"/>
  <c r="K8" i="42"/>
  <c r="J8" i="42"/>
  <c r="I8" i="42"/>
  <c r="AM636" i="41"/>
  <c r="AH636" i="41"/>
  <c r="AC636" i="41"/>
  <c r="X636" i="41"/>
  <c r="S636" i="41"/>
  <c r="AM625" i="41"/>
  <c r="AK625" i="41"/>
  <c r="AJ625" i="41"/>
  <c r="AI625" i="41"/>
  <c r="AH625" i="41"/>
  <c r="AG625" i="41" s="1"/>
  <c r="AF625" i="41"/>
  <c r="AE625" i="41"/>
  <c r="AD625" i="41"/>
  <c r="AC625" i="41"/>
  <c r="AB625" i="41" s="1"/>
  <c r="AA625" i="41"/>
  <c r="Z625" i="41"/>
  <c r="Y625" i="41"/>
  <c r="X625" i="41"/>
  <c r="W625" i="41" s="1"/>
  <c r="V625" i="41"/>
  <c r="U625" i="41"/>
  <c r="T625" i="41"/>
  <c r="S625" i="41"/>
  <c r="R625" i="41" s="1"/>
  <c r="Q625" i="41"/>
  <c r="P625" i="41"/>
  <c r="O625" i="41"/>
  <c r="N625" i="41"/>
  <c r="M625" i="41" s="1"/>
  <c r="AH622" i="41"/>
  <c r="AC622" i="41"/>
  <c r="AA622" i="41"/>
  <c r="Y622" i="41"/>
  <c r="X622" i="41"/>
  <c r="AM618" i="41"/>
  <c r="AL618" i="41" s="1"/>
  <c r="AK618" i="41"/>
  <c r="AJ618" i="41"/>
  <c r="AI618" i="41"/>
  <c r="AH618" i="41"/>
  <c r="AF618" i="41"/>
  <c r="AF619" i="41" s="1"/>
  <c r="AE618" i="41"/>
  <c r="AD618" i="41"/>
  <c r="AC618" i="41"/>
  <c r="AB618" i="41" s="1"/>
  <c r="AA618" i="41"/>
  <c r="Z618" i="41"/>
  <c r="Y618" i="41"/>
  <c r="X618" i="41"/>
  <c r="V618" i="41"/>
  <c r="V619" i="41" s="1"/>
  <c r="U618" i="41"/>
  <c r="U619" i="41" s="1"/>
  <c r="T618" i="41"/>
  <c r="T619" i="41" s="1"/>
  <c r="S618" i="41"/>
  <c r="R618" i="41" s="1"/>
  <c r="Q618" i="41"/>
  <c r="P618" i="41"/>
  <c r="O618" i="41"/>
  <c r="N618" i="41"/>
  <c r="M618" i="41" s="1"/>
  <c r="AM617" i="41"/>
  <c r="AL617" i="41" s="1"/>
  <c r="AK617" i="41"/>
  <c r="AJ617" i="41"/>
  <c r="AI617" i="41"/>
  <c r="AH617" i="41"/>
  <c r="AE617" i="41"/>
  <c r="AE619" i="41" s="1"/>
  <c r="AD617" i="41"/>
  <c r="AC617" i="41"/>
  <c r="AA617" i="41"/>
  <c r="Z617" i="41"/>
  <c r="Z619" i="41" s="1"/>
  <c r="Y617" i="41"/>
  <c r="W617" i="41"/>
  <c r="R617" i="41"/>
  <c r="Q617" i="41"/>
  <c r="P617" i="41"/>
  <c r="O617" i="41"/>
  <c r="M617" i="41"/>
  <c r="AM615" i="41"/>
  <c r="AL615" i="41" s="1"/>
  <c r="AK615" i="41"/>
  <c r="AJ615" i="41"/>
  <c r="AJ611" i="41" s="1"/>
  <c r="AI615" i="41"/>
  <c r="AI611" i="41" s="1"/>
  <c r="AH615" i="41"/>
  <c r="AG615" i="41" s="1"/>
  <c r="AG611" i="41" s="1"/>
  <c r="AH611" i="41" s="1"/>
  <c r="AF615" i="41"/>
  <c r="AF611" i="41" s="1"/>
  <c r="AE615" i="41"/>
  <c r="AE611" i="41" s="1"/>
  <c r="AD615" i="41"/>
  <c r="AD611" i="41" s="1"/>
  <c r="AC615" i="41"/>
  <c r="AB615" i="41" s="1"/>
  <c r="AB611" i="41" s="1"/>
  <c r="AC611" i="41" s="1"/>
  <c r="AA615" i="41"/>
  <c r="AA611" i="41" s="1"/>
  <c r="Z615" i="41"/>
  <c r="Z611" i="41" s="1"/>
  <c r="Y615" i="41"/>
  <c r="Y611" i="41" s="1"/>
  <c r="X615" i="41"/>
  <c r="W615" i="41" s="1"/>
  <c r="W611" i="41" s="1"/>
  <c r="V615" i="41"/>
  <c r="V611" i="41" s="1"/>
  <c r="U615" i="41"/>
  <c r="U611" i="41" s="1"/>
  <c r="T615" i="41"/>
  <c r="T611" i="41" s="1"/>
  <c r="S615" i="41"/>
  <c r="R615" i="41" s="1"/>
  <c r="Q615" i="41"/>
  <c r="P615" i="41"/>
  <c r="O615" i="41"/>
  <c r="N615" i="41"/>
  <c r="M615" i="41" s="1"/>
  <c r="AK611" i="41"/>
  <c r="BH606" i="41"/>
  <c r="BI606" i="41" s="1"/>
  <c r="BI120" i="4" s="1"/>
  <c r="BC606" i="41"/>
  <c r="BC120" i="4" s="1"/>
  <c r="AX606" i="41"/>
  <c r="AY606" i="41" s="1"/>
  <c r="AY120" i="4" s="1"/>
  <c r="AJ606" i="41"/>
  <c r="AJ120" i="4" s="1"/>
  <c r="AE606" i="41"/>
  <c r="AE120" i="4" s="1"/>
  <c r="Z606" i="41"/>
  <c r="Z120" i="4" s="1"/>
  <c r="BL605" i="41"/>
  <c r="BG605" i="41"/>
  <c r="BB605" i="41"/>
  <c r="AM605" i="41"/>
  <c r="AH605" i="41"/>
  <c r="AC605" i="41"/>
  <c r="BH600" i="41"/>
  <c r="BC600" i="41"/>
  <c r="AX600" i="41"/>
  <c r="AI600" i="41"/>
  <c r="AD600" i="41"/>
  <c r="Y600" i="41"/>
  <c r="AK599" i="41"/>
  <c r="AJ599" i="41"/>
  <c r="AI599" i="41"/>
  <c r="AF599" i="41"/>
  <c r="AE599" i="41"/>
  <c r="AD599" i="41"/>
  <c r="AA599" i="41"/>
  <c r="Z599" i="41"/>
  <c r="Y599" i="41"/>
  <c r="AM596" i="41"/>
  <c r="AI596" i="41" s="1"/>
  <c r="AD596" i="41"/>
  <c r="Y596" i="41"/>
  <c r="BL595" i="41"/>
  <c r="BG595" i="41"/>
  <c r="BB595" i="41"/>
  <c r="AL595" i="41"/>
  <c r="AK595" i="41"/>
  <c r="AJ595" i="41"/>
  <c r="AI595" i="41"/>
  <c r="AH595" i="41"/>
  <c r="AG595" i="41" s="1"/>
  <c r="AC595" i="41"/>
  <c r="AB595" i="41" s="1"/>
  <c r="AK594" i="41"/>
  <c r="AJ594" i="41"/>
  <c r="AI594" i="41"/>
  <c r="AF594" i="41"/>
  <c r="AE594" i="41"/>
  <c r="AD594" i="41"/>
  <c r="AA594" i="41"/>
  <c r="Z594" i="41"/>
  <c r="Y594" i="41"/>
  <c r="BL588" i="41"/>
  <c r="BG588" i="41"/>
  <c r="BB588" i="41"/>
  <c r="BK574" i="41"/>
  <c r="BJ574" i="41" s="1"/>
  <c r="BI574" i="41" s="1"/>
  <c r="BH574" i="41" s="1"/>
  <c r="BF574" i="41"/>
  <c r="BE574" i="41" s="1"/>
  <c r="BD574" i="41" s="1"/>
  <c r="BC574" i="41" s="1"/>
  <c r="BA574" i="41"/>
  <c r="AZ574" i="41" s="1"/>
  <c r="AY574" i="41" s="1"/>
  <c r="AX574" i="41" s="1"/>
  <c r="AL570" i="41"/>
  <c r="AL599" i="41" s="1"/>
  <c r="AG570" i="41"/>
  <c r="AG599" i="41" s="1"/>
  <c r="AB570" i="41"/>
  <c r="AB599" i="41" s="1"/>
  <c r="W570" i="41"/>
  <c r="W83" i="4" s="1"/>
  <c r="R570" i="41"/>
  <c r="R83" i="4" s="1"/>
  <c r="BL570" i="41"/>
  <c r="BL83" i="4" s="1"/>
  <c r="BG570" i="41"/>
  <c r="BG83" i="4" s="1"/>
  <c r="BB570" i="41"/>
  <c r="BB83" i="4" s="1"/>
  <c r="BA560" i="41"/>
  <c r="BF560" i="41" s="1"/>
  <c r="BK560" i="41" s="1"/>
  <c r="BP560" i="41" s="1"/>
  <c r="AZ560" i="41"/>
  <c r="BE560" i="41" s="1"/>
  <c r="BJ560" i="41" s="1"/>
  <c r="BO560" i="41" s="1"/>
  <c r="AY560" i="41"/>
  <c r="BD560" i="41" s="1"/>
  <c r="BI560" i="41" s="1"/>
  <c r="BN560" i="41" s="1"/>
  <c r="AM559" i="41"/>
  <c r="AK559" i="41"/>
  <c r="AJ559" i="41"/>
  <c r="AI559" i="41"/>
  <c r="AH559" i="41"/>
  <c r="AF559" i="41"/>
  <c r="AE559" i="41"/>
  <c r="AD559" i="41"/>
  <c r="AC559" i="41"/>
  <c r="AA559" i="41"/>
  <c r="Z559" i="41"/>
  <c r="Y559" i="41"/>
  <c r="V559" i="41"/>
  <c r="U559" i="41"/>
  <c r="T559" i="41"/>
  <c r="S559" i="41"/>
  <c r="Q559" i="41"/>
  <c r="P559" i="41"/>
  <c r="AM557" i="41"/>
  <c r="AL557" i="41" s="1"/>
  <c r="AL564" i="41" s="1"/>
  <c r="AK557" i="41"/>
  <c r="AK564" i="41" s="1"/>
  <c r="AJ557" i="41"/>
  <c r="AJ564" i="41" s="1"/>
  <c r="AI557" i="41"/>
  <c r="AI564" i="41" s="1"/>
  <c r="AH557" i="41"/>
  <c r="AF557" i="41"/>
  <c r="AF564" i="41" s="1"/>
  <c r="AE557" i="41"/>
  <c r="AE564" i="41" s="1"/>
  <c r="AD557" i="41"/>
  <c r="AD564" i="41" s="1"/>
  <c r="AC557" i="41"/>
  <c r="AC564" i="41" s="1"/>
  <c r="AA557" i="41"/>
  <c r="AA564" i="41" s="1"/>
  <c r="Z557" i="41"/>
  <c r="Z564" i="41" s="1"/>
  <c r="Y557" i="41"/>
  <c r="Y564" i="41" s="1"/>
  <c r="X557" i="41"/>
  <c r="V557" i="41"/>
  <c r="V564" i="41" s="1"/>
  <c r="U557" i="41"/>
  <c r="U564" i="41" s="1"/>
  <c r="T557" i="41"/>
  <c r="T564" i="41" s="1"/>
  <c r="S557" i="41"/>
  <c r="Q557" i="41"/>
  <c r="Q564" i="41" s="1"/>
  <c r="P557" i="41"/>
  <c r="P564" i="41" s="1"/>
  <c r="O557" i="41"/>
  <c r="O564" i="41" s="1"/>
  <c r="N557" i="41"/>
  <c r="M557" i="41" s="1"/>
  <c r="AM554" i="41"/>
  <c r="AL554" i="41" s="1"/>
  <c r="AK554" i="41"/>
  <c r="AJ554" i="41"/>
  <c r="AI554" i="41"/>
  <c r="AH554" i="41"/>
  <c r="AG554" i="41" s="1"/>
  <c r="AF554" i="41"/>
  <c r="AE554" i="41"/>
  <c r="AD554" i="41"/>
  <c r="AC554" i="41"/>
  <c r="AB554" i="41" s="1"/>
  <c r="AA554" i="41"/>
  <c r="Z554" i="41"/>
  <c r="Y554" i="41"/>
  <c r="X554" i="41"/>
  <c r="W554" i="41" s="1"/>
  <c r="V554" i="41"/>
  <c r="U554" i="41"/>
  <c r="T554" i="41"/>
  <c r="S554" i="41"/>
  <c r="R554" i="41" s="1"/>
  <c r="Q554" i="41"/>
  <c r="P554" i="41"/>
  <c r="O554" i="41"/>
  <c r="N554" i="41"/>
  <c r="M554" i="41" s="1"/>
  <c r="AM553" i="41"/>
  <c r="AK553" i="41"/>
  <c r="AJ553" i="41"/>
  <c r="AI553" i="41"/>
  <c r="AH553" i="41"/>
  <c r="AF553" i="41"/>
  <c r="AE553" i="41"/>
  <c r="AD553" i="41"/>
  <c r="AC553" i="41"/>
  <c r="AA553" i="41"/>
  <c r="Z553" i="41"/>
  <c r="Y553" i="41"/>
  <c r="X553" i="41"/>
  <c r="V553" i="41"/>
  <c r="U553" i="41"/>
  <c r="T553" i="41"/>
  <c r="S553" i="41"/>
  <c r="Q553" i="41"/>
  <c r="P553" i="41"/>
  <c r="O553" i="41"/>
  <c r="N553" i="41"/>
  <c r="BA549" i="41"/>
  <c r="AZ549" i="41" s="1"/>
  <c r="AY549" i="41" s="1"/>
  <c r="AX549" i="41" s="1"/>
  <c r="BF549" i="41"/>
  <c r="BE549" i="41" s="1"/>
  <c r="BD549" i="41" s="1"/>
  <c r="BC549" i="41" s="1"/>
  <c r="AM548" i="41"/>
  <c r="AK548" i="41"/>
  <c r="AP549" i="41" s="1"/>
  <c r="AJ548" i="41"/>
  <c r="AO549" i="41" s="1"/>
  <c r="AI548" i="41"/>
  <c r="AN549" i="41" s="1"/>
  <c r="AH548" i="41"/>
  <c r="AF548" i="41"/>
  <c r="AE548" i="41"/>
  <c r="AD548" i="41"/>
  <c r="AC548" i="41"/>
  <c r="AA548" i="41"/>
  <c r="Z548" i="41"/>
  <c r="Y548" i="41"/>
  <c r="X548" i="41"/>
  <c r="V548" i="41"/>
  <c r="U548" i="41"/>
  <c r="T548" i="41"/>
  <c r="S548" i="41"/>
  <c r="Q548" i="41"/>
  <c r="P548" i="41"/>
  <c r="N548" i="41"/>
  <c r="L548" i="41"/>
  <c r="K548" i="41"/>
  <c r="J548" i="41"/>
  <c r="I548" i="41"/>
  <c r="BA545" i="41"/>
  <c r="AZ545" i="41" s="1"/>
  <c r="AY545" i="41" s="1"/>
  <c r="AX545" i="41" s="1"/>
  <c r="BK545" i="41"/>
  <c r="BJ545" i="41" s="1"/>
  <c r="BI545" i="41" s="1"/>
  <c r="BH545" i="41" s="1"/>
  <c r="BL543" i="41"/>
  <c r="BG543" i="41"/>
  <c r="BB543" i="41"/>
  <c r="AK543" i="41"/>
  <c r="AJ543" i="41"/>
  <c r="AH543" i="41"/>
  <c r="AG543" i="41" s="1"/>
  <c r="AC543" i="41"/>
  <c r="AA543" i="41"/>
  <c r="Z543" i="41"/>
  <c r="Y543" i="41"/>
  <c r="X543" i="41"/>
  <c r="V543" i="41"/>
  <c r="T543" i="41"/>
  <c r="S543" i="41"/>
  <c r="Q543" i="41"/>
  <c r="P543" i="41"/>
  <c r="O543" i="41"/>
  <c r="K543" i="41"/>
  <c r="K542" i="41"/>
  <c r="AM542" i="41"/>
  <c r="AM544" i="41" s="1"/>
  <c r="AK542" i="41"/>
  <c r="AJ542" i="41"/>
  <c r="AI542" i="41"/>
  <c r="AI544" i="41" s="1"/>
  <c r="AN545" i="41" s="1"/>
  <c r="AH542" i="41"/>
  <c r="AF542" i="41"/>
  <c r="AF544" i="41" s="1"/>
  <c r="AE542" i="41"/>
  <c r="AE544" i="41" s="1"/>
  <c r="AD542" i="41"/>
  <c r="AD544" i="41" s="1"/>
  <c r="AC542" i="41"/>
  <c r="AA542" i="41"/>
  <c r="Z542" i="41"/>
  <c r="Y542" i="41"/>
  <c r="X542" i="41"/>
  <c r="V542" i="41"/>
  <c r="U542" i="41"/>
  <c r="U544" i="41" s="1"/>
  <c r="T542" i="41"/>
  <c r="S542" i="41"/>
  <c r="Q542" i="41"/>
  <c r="P542" i="41"/>
  <c r="N542" i="41"/>
  <c r="L542" i="41"/>
  <c r="L544" i="41" s="1"/>
  <c r="J542" i="41"/>
  <c r="J544" i="41" s="1"/>
  <c r="I542" i="41"/>
  <c r="I544" i="41" s="1"/>
  <c r="BL535" i="41"/>
  <c r="BK535" i="41"/>
  <c r="BK471" i="41" s="1"/>
  <c r="BJ535" i="41"/>
  <c r="BJ471" i="41" s="1"/>
  <c r="BI535" i="41"/>
  <c r="BI471" i="41" s="1"/>
  <c r="BH535" i="41"/>
  <c r="BH471" i="41" s="1"/>
  <c r="BG535" i="41"/>
  <c r="BG471" i="41" s="1"/>
  <c r="BF535" i="41"/>
  <c r="BF471" i="41" s="1"/>
  <c r="BE535" i="41"/>
  <c r="BE471" i="41" s="1"/>
  <c r="BD535" i="41"/>
  <c r="BD471" i="41" s="1"/>
  <c r="BC535" i="41"/>
  <c r="BC471" i="41" s="1"/>
  <c r="BB535" i="41"/>
  <c r="BB471" i="41" s="1"/>
  <c r="BA535" i="41"/>
  <c r="BA471" i="41" s="1"/>
  <c r="AZ535" i="41"/>
  <c r="AZ471" i="41" s="1"/>
  <c r="AY535" i="41"/>
  <c r="AY471" i="41" s="1"/>
  <c r="AX535" i="41"/>
  <c r="AX471" i="41" s="1"/>
  <c r="AW535" i="41"/>
  <c r="AW471" i="41" s="1"/>
  <c r="AV535" i="41"/>
  <c r="AV471" i="41" s="1"/>
  <c r="AU535" i="41"/>
  <c r="AT535" i="41"/>
  <c r="AT471" i="41" s="1"/>
  <c r="AS535" i="41"/>
  <c r="AS471" i="41" s="1"/>
  <c r="AR535" i="41"/>
  <c r="AR471" i="41" s="1"/>
  <c r="AQ535" i="41"/>
  <c r="AQ471" i="41" s="1"/>
  <c r="AP535" i="41"/>
  <c r="AP471" i="41" s="1"/>
  <c r="AO535" i="41"/>
  <c r="AO471" i="41" s="1"/>
  <c r="AN535" i="41"/>
  <c r="AN471" i="41" s="1"/>
  <c r="AM535" i="41"/>
  <c r="AM471" i="41" s="1"/>
  <c r="AL535" i="41"/>
  <c r="AL471" i="41" s="1"/>
  <c r="AK535" i="41"/>
  <c r="AK471" i="41" s="1"/>
  <c r="AJ535" i="41"/>
  <c r="AJ471" i="41" s="1"/>
  <c r="AI535" i="41"/>
  <c r="AI471" i="41" s="1"/>
  <c r="AH535" i="41"/>
  <c r="AH471" i="41" s="1"/>
  <c r="AG535" i="41"/>
  <c r="AG471" i="41" s="1"/>
  <c r="AF535" i="41"/>
  <c r="AF471" i="41" s="1"/>
  <c r="AE535" i="41"/>
  <c r="AE471" i="41" s="1"/>
  <c r="AD535" i="41"/>
  <c r="AD471" i="41" s="1"/>
  <c r="AC535" i="41"/>
  <c r="AC471" i="41" s="1"/>
  <c r="AB535" i="41"/>
  <c r="AB471" i="41" s="1"/>
  <c r="AA535" i="41"/>
  <c r="AA471" i="41" s="1"/>
  <c r="Z535" i="41"/>
  <c r="Z471" i="41" s="1"/>
  <c r="Y535" i="41"/>
  <c r="Y471" i="41" s="1"/>
  <c r="BL533" i="41"/>
  <c r="BL435" i="41" s="1"/>
  <c r="BK533" i="41"/>
  <c r="BK435" i="41" s="1"/>
  <c r="BJ533" i="41"/>
  <c r="BJ435" i="41" s="1"/>
  <c r="BI533" i="41"/>
  <c r="BI435" i="41" s="1"/>
  <c r="BH533" i="41"/>
  <c r="BH435" i="41" s="1"/>
  <c r="BG533" i="41"/>
  <c r="BG435" i="41" s="1"/>
  <c r="BF533" i="41"/>
  <c r="BF435" i="41" s="1"/>
  <c r="BE533" i="41"/>
  <c r="BE435" i="41" s="1"/>
  <c r="BD533" i="41"/>
  <c r="BD435" i="41" s="1"/>
  <c r="BC533" i="41"/>
  <c r="BC435" i="41" s="1"/>
  <c r="BB533" i="41"/>
  <c r="BB435" i="41" s="1"/>
  <c r="BA533" i="41"/>
  <c r="BA435" i="41" s="1"/>
  <c r="AZ533" i="41"/>
  <c r="AZ435" i="41" s="1"/>
  <c r="AY533" i="41"/>
  <c r="AY435" i="41" s="1"/>
  <c r="AX533" i="41"/>
  <c r="AX435" i="41" s="1"/>
  <c r="AW533" i="41"/>
  <c r="AW435" i="41" s="1"/>
  <c r="AV533" i="41"/>
  <c r="AV435" i="41" s="1"/>
  <c r="AU533" i="41"/>
  <c r="AT533" i="41"/>
  <c r="AT435" i="41" s="1"/>
  <c r="AS533" i="41"/>
  <c r="AS435" i="41" s="1"/>
  <c r="AR533" i="41"/>
  <c r="AR435" i="41" s="1"/>
  <c r="AQ533" i="41"/>
  <c r="AQ435" i="41" s="1"/>
  <c r="AP533" i="41"/>
  <c r="AP435" i="41" s="1"/>
  <c r="AO533" i="41"/>
  <c r="AO435" i="41" s="1"/>
  <c r="AN533" i="41"/>
  <c r="AN435" i="41" s="1"/>
  <c r="AM533" i="41"/>
  <c r="AM435" i="41" s="1"/>
  <c r="AL533" i="41"/>
  <c r="AL435" i="41" s="1"/>
  <c r="AK533" i="41"/>
  <c r="AK435" i="41" s="1"/>
  <c r="AJ533" i="41"/>
  <c r="AJ435" i="41" s="1"/>
  <c r="AI533" i="41"/>
  <c r="AI435" i="41" s="1"/>
  <c r="AH533" i="41"/>
  <c r="AH435" i="41" s="1"/>
  <c r="AG533" i="41"/>
  <c r="AG435" i="41" s="1"/>
  <c r="AF533" i="41"/>
  <c r="AF435" i="41" s="1"/>
  <c r="AE533" i="41"/>
  <c r="AE435" i="41" s="1"/>
  <c r="AD533" i="41"/>
  <c r="AD435" i="41" s="1"/>
  <c r="AC533" i="41"/>
  <c r="AC435" i="41" s="1"/>
  <c r="AB533" i="41"/>
  <c r="AB435" i="41" s="1"/>
  <c r="AA533" i="41"/>
  <c r="AA435" i="41" s="1"/>
  <c r="Z533" i="41"/>
  <c r="Z435" i="41" s="1"/>
  <c r="Y533" i="41"/>
  <c r="Y435" i="41" s="1"/>
  <c r="X533" i="41"/>
  <c r="BL526" i="41"/>
  <c r="BK526" i="41"/>
  <c r="BJ526" i="41"/>
  <c r="BI526" i="41"/>
  <c r="BH526" i="41"/>
  <c r="BG526" i="41"/>
  <c r="BF526" i="41"/>
  <c r="BE526" i="41"/>
  <c r="BD526" i="41"/>
  <c r="BC526" i="41"/>
  <c r="BB422" i="41"/>
  <c r="BA526" i="41"/>
  <c r="AZ526" i="41"/>
  <c r="AY526" i="41"/>
  <c r="AX526" i="41"/>
  <c r="AW422" i="41"/>
  <c r="AV526" i="41"/>
  <c r="AU526" i="41"/>
  <c r="AT526" i="41"/>
  <c r="AS526" i="41"/>
  <c r="AR422" i="41"/>
  <c r="AQ526" i="41"/>
  <c r="AQ422" i="41" s="1"/>
  <c r="AP526" i="41"/>
  <c r="AP422" i="41" s="1"/>
  <c r="AO526" i="41"/>
  <c r="AO422" i="41" s="1"/>
  <c r="AN526" i="41"/>
  <c r="AN422" i="41" s="1"/>
  <c r="AM422" i="41"/>
  <c r="AL526" i="41"/>
  <c r="AL422" i="41" s="1"/>
  <c r="AK526" i="41"/>
  <c r="AK422" i="41" s="1"/>
  <c r="AJ526" i="41"/>
  <c r="AJ422" i="41" s="1"/>
  <c r="AI526" i="41"/>
  <c r="AI422" i="41" s="1"/>
  <c r="AH526" i="41"/>
  <c r="AH422" i="41" s="1"/>
  <c r="AG526" i="41"/>
  <c r="AG422" i="41" s="1"/>
  <c r="AF526" i="41"/>
  <c r="AF422" i="41" s="1"/>
  <c r="AE526" i="41"/>
  <c r="AE422" i="41" s="1"/>
  <c r="AD526" i="41"/>
  <c r="AD422" i="41" s="1"/>
  <c r="AC526" i="41"/>
  <c r="AC422" i="41" s="1"/>
  <c r="AB526" i="41"/>
  <c r="AB422" i="41" s="1"/>
  <c r="AA526" i="41"/>
  <c r="AA422" i="41" s="1"/>
  <c r="Z526" i="41"/>
  <c r="Z422" i="41" s="1"/>
  <c r="Y526" i="41"/>
  <c r="Y422" i="41" s="1"/>
  <c r="X526" i="41"/>
  <c r="BK515" i="41"/>
  <c r="BJ515" i="41"/>
  <c r="BI515" i="41"/>
  <c r="BH515" i="41"/>
  <c r="BF515" i="41"/>
  <c r="BE515" i="41"/>
  <c r="BD515" i="41"/>
  <c r="BC515" i="41"/>
  <c r="BB333" i="41"/>
  <c r="BA515" i="41"/>
  <c r="AZ515" i="41"/>
  <c r="AY515" i="41"/>
  <c r="AX515" i="41"/>
  <c r="AW333" i="41"/>
  <c r="AV515" i="41"/>
  <c r="AU515" i="41"/>
  <c r="AT515" i="41"/>
  <c r="AS515" i="41"/>
  <c r="AQ515" i="41"/>
  <c r="AP515" i="41"/>
  <c r="AP333" i="41" s="1"/>
  <c r="AP339" i="41" s="1"/>
  <c r="AO515" i="41"/>
  <c r="AO333" i="41" s="1"/>
  <c r="AN515" i="41"/>
  <c r="AL515" i="41"/>
  <c r="AL333" i="41" s="1"/>
  <c r="AK515" i="41"/>
  <c r="AK333" i="41" s="1"/>
  <c r="AJ515" i="41"/>
  <c r="AJ333" i="41" s="1"/>
  <c r="AI515" i="41"/>
  <c r="AH333" i="41"/>
  <c r="AG515" i="41"/>
  <c r="AG333" i="41" s="1"/>
  <c r="AF515" i="41"/>
  <c r="AE515" i="41"/>
  <c r="AD515" i="41"/>
  <c r="AD333" i="41" s="1"/>
  <c r="AC333" i="41"/>
  <c r="AA515" i="41"/>
  <c r="Z515" i="41"/>
  <c r="Y515" i="41"/>
  <c r="Y333" i="41" s="1"/>
  <c r="X515" i="41"/>
  <c r="AB511" i="41"/>
  <c r="AB515" i="41" s="1"/>
  <c r="BL506" i="41"/>
  <c r="BK506" i="41"/>
  <c r="BK313" i="41" s="1"/>
  <c r="BJ506" i="41"/>
  <c r="BJ313" i="41" s="1"/>
  <c r="BI506" i="41"/>
  <c r="BI313" i="41" s="1"/>
  <c r="BH506" i="41"/>
  <c r="BG506" i="41"/>
  <c r="BG313" i="41" s="1"/>
  <c r="BF506" i="41"/>
  <c r="BF313" i="41" s="1"/>
  <c r="BE506" i="41"/>
  <c r="BE313" i="41" s="1"/>
  <c r="BD506" i="41"/>
  <c r="BC506" i="41"/>
  <c r="BC313" i="41" s="1"/>
  <c r="BB506" i="41"/>
  <c r="BB313" i="41" s="1"/>
  <c r="BA506" i="41"/>
  <c r="BA313" i="41" s="1"/>
  <c r="AZ506" i="41"/>
  <c r="AY506" i="41"/>
  <c r="AY313" i="41" s="1"/>
  <c r="AX506" i="41"/>
  <c r="AX313" i="41" s="1"/>
  <c r="AW506" i="41"/>
  <c r="AW313" i="41" s="1"/>
  <c r="AV506" i="41"/>
  <c r="AU506" i="41"/>
  <c r="AT506" i="41"/>
  <c r="AT313" i="41" s="1"/>
  <c r="AS506" i="41"/>
  <c r="AS313" i="41" s="1"/>
  <c r="AR506" i="41"/>
  <c r="AQ506" i="41"/>
  <c r="AQ313" i="41" s="1"/>
  <c r="AP506" i="41"/>
  <c r="AP313" i="41" s="1"/>
  <c r="AO506" i="41"/>
  <c r="AO313" i="41" s="1"/>
  <c r="AN506" i="41"/>
  <c r="AM506" i="41"/>
  <c r="AM313" i="41" s="1"/>
  <c r="AL506" i="41"/>
  <c r="AL313" i="41" s="1"/>
  <c r="AK506" i="41"/>
  <c r="AJ506" i="41"/>
  <c r="AI506" i="41"/>
  <c r="AI313" i="41" s="1"/>
  <c r="AH506" i="41"/>
  <c r="AH313" i="41" s="1"/>
  <c r="AG506" i="41"/>
  <c r="AG313" i="41" s="1"/>
  <c r="AF506" i="41"/>
  <c r="AE506" i="41"/>
  <c r="AE313" i="41" s="1"/>
  <c r="AD506" i="41"/>
  <c r="AD313" i="41" s="1"/>
  <c r="AC506" i="41"/>
  <c r="AC313" i="41" s="1"/>
  <c r="AB506" i="41"/>
  <c r="AA506" i="41"/>
  <c r="AA313" i="41" s="1"/>
  <c r="Z506" i="41"/>
  <c r="Z313" i="41" s="1"/>
  <c r="Y506" i="41"/>
  <c r="Y313" i="41" s="1"/>
  <c r="X506" i="41"/>
  <c r="BL494" i="41"/>
  <c r="BL377" i="41" s="1"/>
  <c r="BK494" i="41"/>
  <c r="BK377" i="41" s="1"/>
  <c r="BJ494" i="41"/>
  <c r="BJ377" i="41" s="1"/>
  <c r="BI494" i="41"/>
  <c r="BI377" i="41" s="1"/>
  <c r="BH494" i="41"/>
  <c r="BH377" i="41" s="1"/>
  <c r="BG494" i="41"/>
  <c r="BG377" i="41" s="1"/>
  <c r="BF494" i="41"/>
  <c r="BE494" i="41"/>
  <c r="BE377" i="41" s="1"/>
  <c r="BD494" i="41"/>
  <c r="BD377" i="41" s="1"/>
  <c r="BC494" i="41"/>
  <c r="BC377" i="41" s="1"/>
  <c r="BB494" i="41"/>
  <c r="BA494" i="41"/>
  <c r="BA377" i="41" s="1"/>
  <c r="AZ494" i="41"/>
  <c r="AZ377" i="41" s="1"/>
  <c r="AY494" i="41"/>
  <c r="AY377" i="41" s="1"/>
  <c r="AX494" i="41"/>
  <c r="AW494" i="41"/>
  <c r="AW377" i="41" s="1"/>
  <c r="AV494" i="41"/>
  <c r="AV377" i="41" s="1"/>
  <c r="AU494" i="41"/>
  <c r="AT494" i="41"/>
  <c r="AT377" i="41" s="1"/>
  <c r="AS494" i="41"/>
  <c r="AR494" i="41"/>
  <c r="AR377" i="41" s="1"/>
  <c r="AQ494" i="41"/>
  <c r="AQ377" i="41" s="1"/>
  <c r="AP494" i="41"/>
  <c r="AO494" i="41"/>
  <c r="AO377" i="41" s="1"/>
  <c r="AN494" i="41"/>
  <c r="AN377" i="41" s="1"/>
  <c r="AM494" i="41"/>
  <c r="AM377" i="41" s="1"/>
  <c r="AL494" i="41"/>
  <c r="AK494" i="41"/>
  <c r="AK377" i="41" s="1"/>
  <c r="AJ494" i="41"/>
  <c r="AJ377" i="41" s="1"/>
  <c r="AI494" i="41"/>
  <c r="AI377" i="41" s="1"/>
  <c r="AH494" i="41"/>
  <c r="AG494" i="41"/>
  <c r="AG377" i="41" s="1"/>
  <c r="AF494" i="41"/>
  <c r="AF377" i="41" s="1"/>
  <c r="AE494" i="41"/>
  <c r="AE377" i="41" s="1"/>
  <c r="AD494" i="41"/>
  <c r="AD377" i="41" s="1"/>
  <c r="AC494" i="41"/>
  <c r="AC377" i="41" s="1"/>
  <c r="AB494" i="41"/>
  <c r="AB377" i="41" s="1"/>
  <c r="AA494" i="41"/>
  <c r="AA377" i="41" s="1"/>
  <c r="Z494" i="41"/>
  <c r="Z377" i="41" s="1"/>
  <c r="Y494" i="41"/>
  <c r="Y377" i="41" s="1"/>
  <c r="X494" i="41"/>
  <c r="BL490" i="41"/>
  <c r="BL120" i="41" s="1"/>
  <c r="BK490" i="41"/>
  <c r="BK120" i="41" s="1"/>
  <c r="BJ490" i="41"/>
  <c r="BJ120" i="41" s="1"/>
  <c r="BI490" i="41"/>
  <c r="BI120" i="41" s="1"/>
  <c r="BH490" i="41"/>
  <c r="BH120" i="41" s="1"/>
  <c r="BG490" i="41"/>
  <c r="BG120" i="41" s="1"/>
  <c r="BF490" i="41"/>
  <c r="BF120" i="41" s="1"/>
  <c r="BE490" i="41"/>
  <c r="BE120" i="41" s="1"/>
  <c r="BD490" i="41"/>
  <c r="BD120" i="41" s="1"/>
  <c r="BC490" i="41"/>
  <c r="BC120" i="41" s="1"/>
  <c r="BB490" i="41"/>
  <c r="BB120" i="41" s="1"/>
  <c r="BA490" i="41"/>
  <c r="BA120" i="41" s="1"/>
  <c r="AZ490" i="41"/>
  <c r="AZ120" i="41" s="1"/>
  <c r="AY490" i="41"/>
  <c r="AY120" i="41" s="1"/>
  <c r="AX490" i="41"/>
  <c r="AX120" i="41" s="1"/>
  <c r="AW490" i="41"/>
  <c r="AV490" i="41"/>
  <c r="AU490" i="41"/>
  <c r="AT490" i="41"/>
  <c r="AS490" i="41"/>
  <c r="AR490" i="41"/>
  <c r="AR364" i="41" s="1"/>
  <c r="AQ490" i="41"/>
  <c r="AQ364" i="41" s="1"/>
  <c r="AQ367" i="41" s="1"/>
  <c r="AP490" i="41"/>
  <c r="AP364" i="41" s="1"/>
  <c r="AO490" i="41"/>
  <c r="AO364" i="41" s="1"/>
  <c r="AO367" i="41" s="1"/>
  <c r="AN490" i="41"/>
  <c r="AN364" i="41" s="1"/>
  <c r="AM490" i="41"/>
  <c r="AM364" i="41" s="1"/>
  <c r="AL490" i="41"/>
  <c r="AL364" i="41" s="1"/>
  <c r="AK490" i="41"/>
  <c r="AK364" i="41" s="1"/>
  <c r="AK367" i="41" s="1"/>
  <c r="AJ490" i="41"/>
  <c r="AJ364" i="41" s="1"/>
  <c r="AI490" i="41"/>
  <c r="AI364" i="41" s="1"/>
  <c r="AI367" i="41" s="1"/>
  <c r="AH490" i="41"/>
  <c r="AH364" i="41" s="1"/>
  <c r="AG490" i="41"/>
  <c r="AG364" i="41" s="1"/>
  <c r="AG367" i="41" s="1"/>
  <c r="AF490" i="41"/>
  <c r="AF364" i="41" s="1"/>
  <c r="AE490" i="41"/>
  <c r="AE364" i="41" s="1"/>
  <c r="AE367" i="41" s="1"/>
  <c r="AD490" i="41"/>
  <c r="AD364" i="41" s="1"/>
  <c r="AC490" i="41"/>
  <c r="AC364" i="41" s="1"/>
  <c r="AB490" i="41"/>
  <c r="AB364" i="41" s="1"/>
  <c r="AA490" i="41"/>
  <c r="AA364" i="41" s="1"/>
  <c r="AA367" i="41" s="1"/>
  <c r="Z490" i="41"/>
  <c r="Z364" i="41" s="1"/>
  <c r="Y490" i="41"/>
  <c r="Y364" i="41" s="1"/>
  <c r="Y367" i="41" s="1"/>
  <c r="X490" i="41"/>
  <c r="BL484" i="41"/>
  <c r="BL272" i="41" s="1"/>
  <c r="BK484" i="41"/>
  <c r="BJ484" i="41"/>
  <c r="BJ272" i="41" s="1"/>
  <c r="BI484" i="41"/>
  <c r="BI272" i="41" s="1"/>
  <c r="BH484" i="41"/>
  <c r="BH272" i="41" s="1"/>
  <c r="BG484" i="41"/>
  <c r="BF484" i="41"/>
  <c r="BF272" i="41" s="1"/>
  <c r="BE484" i="41"/>
  <c r="BE272" i="41" s="1"/>
  <c r="BD484" i="41"/>
  <c r="BD272" i="41" s="1"/>
  <c r="BC484" i="41"/>
  <c r="BB484" i="41"/>
  <c r="BB272" i="41" s="1"/>
  <c r="BA484" i="41"/>
  <c r="BA272" i="41" s="1"/>
  <c r="AZ484" i="41"/>
  <c r="AZ272" i="41" s="1"/>
  <c r="AY484" i="41"/>
  <c r="AX484" i="41"/>
  <c r="AX272" i="41" s="1"/>
  <c r="AW484" i="41"/>
  <c r="AW272" i="41" s="1"/>
  <c r="AV484" i="41"/>
  <c r="AV272" i="41" s="1"/>
  <c r="AU484" i="41"/>
  <c r="AT484" i="41"/>
  <c r="AT272" i="41" s="1"/>
  <c r="AS484" i="41"/>
  <c r="AR484" i="41"/>
  <c r="AR272" i="41" s="1"/>
  <c r="AQ484" i="41"/>
  <c r="AP484" i="41"/>
  <c r="AO484" i="41"/>
  <c r="AO272" i="41" s="1"/>
  <c r="AN484" i="41"/>
  <c r="AN272" i="41" s="1"/>
  <c r="AM484" i="41"/>
  <c r="AL484" i="41"/>
  <c r="AL272" i="41" s="1"/>
  <c r="AK484" i="41"/>
  <c r="AK272" i="41" s="1"/>
  <c r="AJ484" i="41"/>
  <c r="AJ272" i="41" s="1"/>
  <c r="AI484" i="41"/>
  <c r="AH484" i="41"/>
  <c r="AH272" i="41" s="1"/>
  <c r="AG484" i="41"/>
  <c r="AG272" i="41" s="1"/>
  <c r="AF484" i="41"/>
  <c r="AF272" i="41" s="1"/>
  <c r="AE484" i="41"/>
  <c r="AD484" i="41"/>
  <c r="AD272" i="41" s="1"/>
  <c r="AC484" i="41"/>
  <c r="AC272" i="41" s="1"/>
  <c r="AB484" i="41"/>
  <c r="AB272" i="41" s="1"/>
  <c r="AA484" i="41"/>
  <c r="AA272" i="41" s="1"/>
  <c r="Z484" i="41"/>
  <c r="Z272" i="41" s="1"/>
  <c r="Y484" i="41"/>
  <c r="Y272" i="41" s="1"/>
  <c r="X484" i="41"/>
  <c r="Y473" i="41"/>
  <c r="Z473" i="41" s="1"/>
  <c r="AA473" i="41" s="1"/>
  <c r="AB473" i="41" s="1"/>
  <c r="BL471" i="41"/>
  <c r="BL469" i="41"/>
  <c r="BK469" i="41"/>
  <c r="BJ469" i="41"/>
  <c r="BI469" i="41"/>
  <c r="BH469" i="41"/>
  <c r="BG469" i="41"/>
  <c r="BF469" i="41"/>
  <c r="BE469" i="41"/>
  <c r="BD469" i="41"/>
  <c r="BC469" i="41"/>
  <c r="BB469" i="41"/>
  <c r="BA469" i="41"/>
  <c r="AZ469" i="41"/>
  <c r="AY469" i="41"/>
  <c r="AX469" i="41"/>
  <c r="AW469" i="41"/>
  <c r="AV469" i="41"/>
  <c r="AT469" i="41"/>
  <c r="AR469" i="41"/>
  <c r="AQ469" i="41"/>
  <c r="AO469" i="41"/>
  <c r="AN469" i="41"/>
  <c r="AM469" i="41"/>
  <c r="AL469" i="41"/>
  <c r="AK469" i="41"/>
  <c r="AJ469" i="41"/>
  <c r="AI469" i="41"/>
  <c r="AH469" i="41"/>
  <c r="AG469" i="41"/>
  <c r="AF469" i="41"/>
  <c r="AE469" i="41"/>
  <c r="AD469" i="41"/>
  <c r="AC469" i="41"/>
  <c r="AB469" i="41"/>
  <c r="AA469" i="41"/>
  <c r="Z469" i="41"/>
  <c r="Y469" i="41"/>
  <c r="Y461" i="41"/>
  <c r="Z461" i="41" s="1"/>
  <c r="AA461" i="41" s="1"/>
  <c r="AB461" i="41" s="1"/>
  <c r="AC461" i="41" s="1"/>
  <c r="AD461" i="41" s="1"/>
  <c r="AE461" i="41" s="1"/>
  <c r="AF461" i="41" s="1"/>
  <c r="AG461" i="41" s="1"/>
  <c r="AH461" i="41" s="1"/>
  <c r="AI461" i="41" s="1"/>
  <c r="AJ461" i="41" s="1"/>
  <c r="AK461" i="41" s="1"/>
  <c r="AL461" i="41" s="1"/>
  <c r="AM461" i="41" s="1"/>
  <c r="AN461" i="41" s="1"/>
  <c r="AO461" i="41" s="1"/>
  <c r="BL459" i="41"/>
  <c r="BK459" i="41"/>
  <c r="BJ459" i="41"/>
  <c r="BI459" i="41"/>
  <c r="BH459" i="41"/>
  <c r="BG459" i="41"/>
  <c r="BF459" i="41"/>
  <c r="BE459" i="41"/>
  <c r="BD459" i="41"/>
  <c r="BC459" i="41"/>
  <c r="BB459" i="41"/>
  <c r="BA459" i="41"/>
  <c r="AZ459" i="41"/>
  <c r="AY459" i="41"/>
  <c r="AX459" i="41"/>
  <c r="AW459" i="41"/>
  <c r="AV459" i="41"/>
  <c r="AT459" i="41"/>
  <c r="AR459" i="41"/>
  <c r="AQ459" i="41"/>
  <c r="AO459" i="41"/>
  <c r="AN459" i="41"/>
  <c r="AM459" i="41"/>
  <c r="AL459" i="41"/>
  <c r="AK459" i="41"/>
  <c r="AJ459" i="41"/>
  <c r="AI459" i="41"/>
  <c r="AH459" i="41"/>
  <c r="AG459" i="41"/>
  <c r="AF459" i="41"/>
  <c r="AE459" i="41"/>
  <c r="AD459" i="41"/>
  <c r="AC459" i="41"/>
  <c r="AB459" i="41"/>
  <c r="AA459" i="41"/>
  <c r="Z459" i="41"/>
  <c r="Y459" i="41"/>
  <c r="BL457" i="41"/>
  <c r="BK457" i="41"/>
  <c r="BJ457" i="41"/>
  <c r="BI457" i="41"/>
  <c r="BH457" i="41"/>
  <c r="BG457" i="41"/>
  <c r="BF457" i="41"/>
  <c r="BE457" i="41"/>
  <c r="BD457" i="41"/>
  <c r="BC457" i="41"/>
  <c r="BB457" i="41"/>
  <c r="BA457" i="41"/>
  <c r="AZ457" i="41"/>
  <c r="AY457" i="41"/>
  <c r="AX457" i="41"/>
  <c r="AW457" i="41"/>
  <c r="AV457" i="41"/>
  <c r="AT457" i="41"/>
  <c r="AR457" i="41"/>
  <c r="AQ457" i="41"/>
  <c r="AO457" i="41"/>
  <c r="AN457" i="41"/>
  <c r="AM457" i="41"/>
  <c r="AL457" i="41"/>
  <c r="AK457" i="41"/>
  <c r="AJ457" i="41"/>
  <c r="AI457" i="41"/>
  <c r="AH457" i="41"/>
  <c r="AG457" i="41"/>
  <c r="AF457" i="41"/>
  <c r="AE457" i="41"/>
  <c r="AD457" i="41"/>
  <c r="AC457" i="41"/>
  <c r="AB457" i="41"/>
  <c r="AA457" i="41"/>
  <c r="Z457" i="41"/>
  <c r="Y457" i="41"/>
  <c r="BL449" i="41"/>
  <c r="BK449" i="41"/>
  <c r="BJ449" i="41"/>
  <c r="BI449" i="41"/>
  <c r="BH449" i="41"/>
  <c r="BG449" i="41"/>
  <c r="BF449" i="41"/>
  <c r="BE449" i="41"/>
  <c r="BD449" i="41"/>
  <c r="BC449" i="41"/>
  <c r="BB449" i="41"/>
  <c r="BA449" i="41"/>
  <c r="AZ449" i="41"/>
  <c r="AY449" i="41"/>
  <c r="AX449" i="41"/>
  <c r="AW449" i="41"/>
  <c r="AV449" i="41"/>
  <c r="AT449" i="41"/>
  <c r="AR449" i="41"/>
  <c r="AQ449" i="41"/>
  <c r="AO449" i="41"/>
  <c r="AN449" i="41"/>
  <c r="AM449" i="41"/>
  <c r="AL449" i="41"/>
  <c r="AK449" i="41"/>
  <c r="AJ449" i="41"/>
  <c r="AI449" i="41"/>
  <c r="AH449" i="41"/>
  <c r="AG449" i="41"/>
  <c r="AF449" i="41"/>
  <c r="AE449" i="41"/>
  <c r="AD449" i="41"/>
  <c r="AC449" i="41"/>
  <c r="AB449" i="41"/>
  <c r="AA449" i="41"/>
  <c r="Z449" i="41"/>
  <c r="Y449" i="41"/>
  <c r="Y437" i="41"/>
  <c r="Z437" i="41" s="1"/>
  <c r="AA437" i="41" s="1"/>
  <c r="AB437" i="41" s="1"/>
  <c r="I433" i="41"/>
  <c r="AS433" i="41" s="1"/>
  <c r="Y405" i="41"/>
  <c r="BL403" i="41"/>
  <c r="BK403" i="41"/>
  <c r="BJ403" i="41"/>
  <c r="BI403" i="41"/>
  <c r="BH403" i="41"/>
  <c r="BG403" i="41"/>
  <c r="BF403" i="41"/>
  <c r="BE403" i="41"/>
  <c r="BD403" i="41"/>
  <c r="BC403" i="41"/>
  <c r="BB403" i="41"/>
  <c r="BA403" i="41"/>
  <c r="AZ403" i="41"/>
  <c r="AY403" i="41"/>
  <c r="AX403" i="41"/>
  <c r="AW403" i="41"/>
  <c r="AV403" i="41"/>
  <c r="AT403" i="41"/>
  <c r="AR403" i="41"/>
  <c r="AQ403" i="41"/>
  <c r="AO403" i="41"/>
  <c r="AN403" i="41"/>
  <c r="AM403" i="41"/>
  <c r="AL403" i="41"/>
  <c r="AK403" i="41"/>
  <c r="AJ403" i="41"/>
  <c r="AI403" i="41"/>
  <c r="AH403" i="41"/>
  <c r="AG403" i="41"/>
  <c r="AF403" i="41"/>
  <c r="AE403" i="41"/>
  <c r="AD403" i="41"/>
  <c r="AC403" i="41"/>
  <c r="AB403" i="41"/>
  <c r="AA403" i="41"/>
  <c r="Z403" i="41"/>
  <c r="Y403" i="41"/>
  <c r="Y379" i="41"/>
  <c r="Z379" i="41" s="1"/>
  <c r="BL375" i="41"/>
  <c r="BK375" i="41"/>
  <c r="BJ375" i="41"/>
  <c r="BI375" i="41"/>
  <c r="BH375" i="41"/>
  <c r="BG375" i="41"/>
  <c r="BF375" i="41"/>
  <c r="BE375" i="41"/>
  <c r="BD375" i="41"/>
  <c r="BC375" i="41"/>
  <c r="BB375" i="41"/>
  <c r="BA375" i="41"/>
  <c r="AZ375" i="41"/>
  <c r="AY375" i="41"/>
  <c r="AX375" i="41"/>
  <c r="AW375" i="41"/>
  <c r="AV375" i="41"/>
  <c r="AT375" i="41"/>
  <c r="AR375" i="41"/>
  <c r="AQ375" i="41"/>
  <c r="AO375" i="41"/>
  <c r="AN375" i="41"/>
  <c r="AM375" i="41"/>
  <c r="AL375" i="41"/>
  <c r="AK375" i="41"/>
  <c r="AJ375" i="41"/>
  <c r="AI375" i="41"/>
  <c r="AH375" i="41"/>
  <c r="AG375" i="41"/>
  <c r="AF375" i="41"/>
  <c r="AE375" i="41"/>
  <c r="AD375" i="41"/>
  <c r="AC375" i="41"/>
  <c r="AB375" i="41"/>
  <c r="AA375" i="41"/>
  <c r="Z375" i="41"/>
  <c r="Y375" i="41"/>
  <c r="AL338" i="41"/>
  <c r="AK338" i="41"/>
  <c r="AJ338" i="41"/>
  <c r="AI338" i="41"/>
  <c r="AG338" i="41"/>
  <c r="AF338" i="41"/>
  <c r="AE338" i="41"/>
  <c r="AD338" i="41"/>
  <c r="AL318" i="41"/>
  <c r="AK318" i="41"/>
  <c r="AJ318" i="41"/>
  <c r="AI318" i="41"/>
  <c r="AH318" i="41"/>
  <c r="AG318" i="41"/>
  <c r="AF318" i="41"/>
  <c r="AE318" i="41"/>
  <c r="AD318" i="41"/>
  <c r="BK287" i="41"/>
  <c r="BJ287" i="41"/>
  <c r="BI287" i="41"/>
  <c r="BH287" i="41"/>
  <c r="BF287" i="41"/>
  <c r="BE287" i="41"/>
  <c r="BD287" i="41"/>
  <c r="BC287" i="41"/>
  <c r="AV287" i="41"/>
  <c r="AT287" i="41"/>
  <c r="AQ287" i="41"/>
  <c r="AP287" i="41" s="1"/>
  <c r="AP288" i="41" s="1"/>
  <c r="AO287" i="41"/>
  <c r="AN287" i="41"/>
  <c r="AL287" i="41"/>
  <c r="AK287" i="41" s="1"/>
  <c r="AJ287" i="41" s="1"/>
  <c r="AI287" i="41" s="1"/>
  <c r="AG287" i="41"/>
  <c r="AF287" i="41"/>
  <c r="AE287" i="41"/>
  <c r="AB287" i="41"/>
  <c r="AA287" i="41"/>
  <c r="Z287" i="41"/>
  <c r="Y287" i="41"/>
  <c r="BL285" i="41"/>
  <c r="BK285" i="41"/>
  <c r="BJ285" i="41"/>
  <c r="BI285" i="41"/>
  <c r="BH285" i="41"/>
  <c r="BG285" i="41"/>
  <c r="BF285" i="41"/>
  <c r="BE285" i="41"/>
  <c r="BD285" i="41"/>
  <c r="BC285" i="41"/>
  <c r="BB285" i="41"/>
  <c r="BA285" i="41"/>
  <c r="AZ285" i="41"/>
  <c r="AY285" i="41"/>
  <c r="AX285" i="41"/>
  <c r="AW285" i="41"/>
  <c r="AV285" i="41"/>
  <c r="AT285" i="41"/>
  <c r="AR285" i="41"/>
  <c r="AQ285" i="41"/>
  <c r="AO285" i="41"/>
  <c r="AN285" i="41"/>
  <c r="AM285" i="41"/>
  <c r="AL285" i="41"/>
  <c r="AK285" i="41"/>
  <c r="AJ285" i="41"/>
  <c r="AI285" i="41"/>
  <c r="AH285" i="41"/>
  <c r="AG285" i="41"/>
  <c r="AF285" i="41"/>
  <c r="AE285" i="41"/>
  <c r="AD285" i="41"/>
  <c r="AD288" i="41" s="1"/>
  <c r="AC285" i="41"/>
  <c r="AB285" i="41"/>
  <c r="AA285" i="41"/>
  <c r="Z285" i="41"/>
  <c r="Y285" i="41"/>
  <c r="I283" i="41"/>
  <c r="AC283" i="41" s="1"/>
  <c r="BK274" i="41"/>
  <c r="BJ274" i="41"/>
  <c r="BI274" i="41"/>
  <c r="BH274" i="41"/>
  <c r="BF274" i="41"/>
  <c r="BE274" i="41"/>
  <c r="BD274" i="41"/>
  <c r="BC274" i="41"/>
  <c r="AV274" i="41"/>
  <c r="AT274" i="41"/>
  <c r="AQ274" i="41"/>
  <c r="AP274" i="41" s="1"/>
  <c r="AO274" i="41"/>
  <c r="AN274" i="41"/>
  <c r="AL274" i="41"/>
  <c r="AK274" i="41" s="1"/>
  <c r="AJ274" i="41" s="1"/>
  <c r="AG274" i="41"/>
  <c r="AF274" i="41"/>
  <c r="AE274" i="41"/>
  <c r="AD274" i="41"/>
  <c r="AB274" i="41"/>
  <c r="AA274" i="41"/>
  <c r="Z274" i="41"/>
  <c r="Y274" i="41"/>
  <c r="AC270" i="41"/>
  <c r="AH270" i="41" s="1"/>
  <c r="BK249" i="41"/>
  <c r="BJ249" i="41" s="1"/>
  <c r="BI249" i="41" s="1"/>
  <c r="BH249" i="41" s="1"/>
  <c r="BF249" i="41"/>
  <c r="BE249" i="41" s="1"/>
  <c r="BD249" i="41" s="1"/>
  <c r="BC249" i="41" s="1"/>
  <c r="BA249" i="41"/>
  <c r="AZ249" i="41" s="1"/>
  <c r="AY249" i="41" s="1"/>
  <c r="AX249" i="41" s="1"/>
  <c r="AV249" i="41"/>
  <c r="AU249" i="41" s="1"/>
  <c r="AT249" i="41" s="1"/>
  <c r="AS249" i="41" s="1"/>
  <c r="BB248" i="41"/>
  <c r="AQ249" i="41"/>
  <c r="AQ248" i="41"/>
  <c r="AL249" i="41"/>
  <c r="AK249" i="41" s="1"/>
  <c r="AJ249" i="41" s="1"/>
  <c r="AI249" i="41" s="1"/>
  <c r="AL248" i="41"/>
  <c r="AK248" i="41" s="1"/>
  <c r="AJ248" i="41" s="1"/>
  <c r="AI248" i="41" s="1"/>
  <c r="AG249" i="41"/>
  <c r="AF249" i="41" s="1"/>
  <c r="AE249" i="41" s="1"/>
  <c r="AD249" i="41" s="1"/>
  <c r="AG248" i="41"/>
  <c r="AF248" i="41" s="1"/>
  <c r="AE248" i="41" s="1"/>
  <c r="AD248" i="41" s="1"/>
  <c r="AB249" i="41"/>
  <c r="AA249" i="41" s="1"/>
  <c r="Z249" i="41" s="1"/>
  <c r="Y249" i="41" s="1"/>
  <c r="AB248" i="41"/>
  <c r="AA248" i="41" s="1"/>
  <c r="Z248" i="41" s="1"/>
  <c r="Y248" i="41" s="1"/>
  <c r="AS236" i="41"/>
  <c r="AT236" i="41" s="1"/>
  <c r="AQ236" i="41"/>
  <c r="AP236" i="41"/>
  <c r="AO236" i="41"/>
  <c r="BL231" i="41"/>
  <c r="BG231" i="41"/>
  <c r="AX231" i="41"/>
  <c r="AV231" i="41"/>
  <c r="AU231" i="41"/>
  <c r="AS231" i="41"/>
  <c r="AQ231" i="41"/>
  <c r="AP231" i="41"/>
  <c r="AJ231" i="41"/>
  <c r="AM231" i="41" s="1"/>
  <c r="AE231" i="41"/>
  <c r="AH231" i="41" s="1"/>
  <c r="BL226" i="41"/>
  <c r="BG226" i="41"/>
  <c r="AY226" i="41"/>
  <c r="AS226" i="41"/>
  <c r="AT226" i="41" s="1"/>
  <c r="AQ226" i="41"/>
  <c r="AP226" i="41"/>
  <c r="AN226" i="41"/>
  <c r="AL226" i="41"/>
  <c r="AK226" i="41"/>
  <c r="AI226" i="41"/>
  <c r="BL221" i="41"/>
  <c r="BG221" i="41"/>
  <c r="AY221" i="41"/>
  <c r="AS221" i="41"/>
  <c r="AT221" i="41" s="1"/>
  <c r="AQ221" i="41"/>
  <c r="AP221" i="41"/>
  <c r="AJ221" i="41"/>
  <c r="AM221" i="41" s="1"/>
  <c r="AE221" i="41"/>
  <c r="AH221" i="41" s="1"/>
  <c r="AG206" i="41"/>
  <c r="AF206" i="41" s="1"/>
  <c r="AE206" i="41" s="1"/>
  <c r="AD206" i="41" s="1"/>
  <c r="BX202" i="41"/>
  <c r="BF201" i="41"/>
  <c r="BE201" i="41" s="1"/>
  <c r="BD201" i="41" s="1"/>
  <c r="BC201" i="41" s="1"/>
  <c r="BA201" i="41"/>
  <c r="AZ201" i="41" s="1"/>
  <c r="AY201" i="41" s="1"/>
  <c r="AX201" i="41" s="1"/>
  <c r="AV201" i="41"/>
  <c r="AU201" i="41" s="1"/>
  <c r="AT201" i="41" s="1"/>
  <c r="AS201" i="41" s="1"/>
  <c r="AS213" i="41" s="1"/>
  <c r="AQ201" i="41"/>
  <c r="AP201" i="41" s="1"/>
  <c r="AO201" i="41" s="1"/>
  <c r="AN201" i="41" s="1"/>
  <c r="AL201" i="41"/>
  <c r="AK201" i="41" s="1"/>
  <c r="AJ201" i="41" s="1"/>
  <c r="AI201" i="41" s="1"/>
  <c r="BK199" i="41"/>
  <c r="BJ199" i="41"/>
  <c r="BI199" i="41"/>
  <c r="BH199" i="41"/>
  <c r="BF199" i="41"/>
  <c r="BE199" i="41"/>
  <c r="BD199" i="41"/>
  <c r="BC199" i="41"/>
  <c r="BA199" i="41"/>
  <c r="BA213" i="41" s="1"/>
  <c r="AZ199" i="41"/>
  <c r="AY199" i="41"/>
  <c r="AX199" i="41"/>
  <c r="AV199" i="41"/>
  <c r="AU199" i="41"/>
  <c r="AT199" i="41"/>
  <c r="AQ199" i="41"/>
  <c r="AP199" i="41"/>
  <c r="AO199" i="41"/>
  <c r="AN199" i="41"/>
  <c r="AL199" i="41"/>
  <c r="AK199" i="41"/>
  <c r="AJ199" i="41"/>
  <c r="AI199" i="41"/>
  <c r="BW195" i="41"/>
  <c r="AH182" i="41" s="1"/>
  <c r="BK185" i="41"/>
  <c r="BJ185" i="41"/>
  <c r="BI185" i="41"/>
  <c r="BH185" i="41"/>
  <c r="BF185" i="41"/>
  <c r="BE185" i="41"/>
  <c r="BD185" i="41"/>
  <c r="BC185" i="41"/>
  <c r="AQ185" i="41"/>
  <c r="AP185" i="41"/>
  <c r="AM185" i="41"/>
  <c r="AJ185" i="41" s="1"/>
  <c r="AG185" i="41"/>
  <c r="AF185" i="41"/>
  <c r="AE185" i="41"/>
  <c r="AD185" i="41"/>
  <c r="AR182" i="41"/>
  <c r="AM182" i="41"/>
  <c r="BL180" i="41"/>
  <c r="BG180" i="41"/>
  <c r="BB180" i="41"/>
  <c r="AW180" i="41"/>
  <c r="AR180" i="41"/>
  <c r="AM180" i="41"/>
  <c r="AH180" i="41"/>
  <c r="AH179" i="41"/>
  <c r="CC185" i="41"/>
  <c r="CB185" i="41"/>
  <c r="CA185" i="41"/>
  <c r="BZ185" i="41"/>
  <c r="BZ196" i="41" s="1"/>
  <c r="BW184" i="41"/>
  <c r="BY178" i="41"/>
  <c r="BW178" i="41"/>
  <c r="AM176" i="41"/>
  <c r="AI176" i="41" s="1"/>
  <c r="AG176" i="41"/>
  <c r="AF176" i="41"/>
  <c r="AE176" i="41"/>
  <c r="AD176" i="41"/>
  <c r="AB176" i="41"/>
  <c r="AA176" i="41"/>
  <c r="Z176" i="41"/>
  <c r="Y176" i="41"/>
  <c r="S176" i="41"/>
  <c r="BL169" i="41"/>
  <c r="BK169" i="41"/>
  <c r="BJ169" i="41"/>
  <c r="BI169" i="41"/>
  <c r="BH169" i="41"/>
  <c r="BG169" i="41"/>
  <c r="BF169" i="41"/>
  <c r="BE169" i="41"/>
  <c r="BD169" i="41"/>
  <c r="BC169" i="41"/>
  <c r="BB169" i="41"/>
  <c r="BA169" i="41"/>
  <c r="AZ169" i="41"/>
  <c r="AY169" i="41"/>
  <c r="AX169" i="41"/>
  <c r="AT169" i="41"/>
  <c r="AR169" i="41"/>
  <c r="AQ169" i="41"/>
  <c r="AO169" i="41"/>
  <c r="AN169" i="41"/>
  <c r="AM169" i="41"/>
  <c r="AL169" i="41"/>
  <c r="AK169" i="41"/>
  <c r="AJ169" i="41"/>
  <c r="AI169" i="41"/>
  <c r="AH169" i="41"/>
  <c r="AG169" i="41"/>
  <c r="AG226" i="41" s="1"/>
  <c r="AF169" i="41"/>
  <c r="AF226" i="41" s="1"/>
  <c r="AE169" i="41"/>
  <c r="AE226" i="41" s="1"/>
  <c r="AD169" i="41"/>
  <c r="AD226" i="41" s="1"/>
  <c r="AC169" i="41"/>
  <c r="AB169" i="41"/>
  <c r="AB226" i="41" s="1"/>
  <c r="AA169" i="41"/>
  <c r="AA226" i="41" s="1"/>
  <c r="Z169" i="41"/>
  <c r="Z226" i="41" s="1"/>
  <c r="Y169" i="41"/>
  <c r="Y226" i="41" s="1"/>
  <c r="AB105" i="41"/>
  <c r="AA105" i="41"/>
  <c r="Z105" i="41"/>
  <c r="Y105" i="41"/>
  <c r="BL92" i="41"/>
  <c r="BL94" i="41" s="1"/>
  <c r="AE84" i="41"/>
  <c r="AE86" i="41" s="1"/>
  <c r="U81" i="41"/>
  <c r="R81" i="41"/>
  <c r="Q81" i="41"/>
  <c r="P81" i="41" s="1"/>
  <c r="P80" i="41"/>
  <c r="S80" i="41" s="1"/>
  <c r="P79" i="41"/>
  <c r="S79" i="41" s="1"/>
  <c r="BL232" i="41"/>
  <c r="BD81" i="41"/>
  <c r="BD232" i="41" s="1"/>
  <c r="BD233" i="41" s="1"/>
  <c r="AO81" i="41"/>
  <c r="AO232" i="41" s="1"/>
  <c r="AN81" i="41"/>
  <c r="AN232" i="41" s="1"/>
  <c r="AN233" i="41" s="1"/>
  <c r="W81" i="41"/>
  <c r="Y81" i="41" s="1"/>
  <c r="BL227" i="41"/>
  <c r="BD80" i="41"/>
  <c r="BD227" i="41" s="1"/>
  <c r="BD228" i="41" s="1"/>
  <c r="BC80" i="41"/>
  <c r="BC227" i="41" s="1"/>
  <c r="BC228" i="41" s="1"/>
  <c r="AT80" i="41"/>
  <c r="AJ80" i="41"/>
  <c r="AJ227" i="41" s="1"/>
  <c r="AD80" i="41"/>
  <c r="AD227" i="41" s="1"/>
  <c r="BL222" i="41"/>
  <c r="AD79" i="41"/>
  <c r="AY72" i="41"/>
  <c r="AT60" i="41"/>
  <c r="AW60" i="41" s="1"/>
  <c r="BU55" i="41"/>
  <c r="BQ53" i="41" s="1"/>
  <c r="BP53" i="41" s="1"/>
  <c r="BO53" i="41" s="1"/>
  <c r="BN53" i="41" s="1"/>
  <c r="BM53" i="41" s="1"/>
  <c r="BG56" i="41"/>
  <c r="BL56" i="41" s="1"/>
  <c r="BB56" i="41"/>
  <c r="BA56" i="41" s="1"/>
  <c r="AZ56" i="41" s="1"/>
  <c r="AY56" i="41" s="1"/>
  <c r="AX56" i="41" s="1"/>
  <c r="AR56" i="41"/>
  <c r="AQ56" i="41" s="1"/>
  <c r="AM56" i="41"/>
  <c r="AL56" i="41" s="1"/>
  <c r="AK56" i="41" s="1"/>
  <c r="AJ56" i="41" s="1"/>
  <c r="AI56" i="41" s="1"/>
  <c r="AH56" i="41"/>
  <c r="AG56" i="41" s="1"/>
  <c r="AF56" i="41" s="1"/>
  <c r="AE56" i="41" s="1"/>
  <c r="AD56" i="41" s="1"/>
  <c r="AC56" i="41"/>
  <c r="AB56" i="41" s="1"/>
  <c r="AA56" i="41" s="1"/>
  <c r="Z56" i="41" s="1"/>
  <c r="Y56" i="41" s="1"/>
  <c r="X56" i="41"/>
  <c r="W56" i="41" s="1"/>
  <c r="V56" i="41" s="1"/>
  <c r="U56" i="41" s="1"/>
  <c r="T56" i="41" s="1"/>
  <c r="BG55" i="41"/>
  <c r="BL55" i="41" s="1"/>
  <c r="BB55" i="41"/>
  <c r="BA55" i="41" s="1"/>
  <c r="AU55" i="41"/>
  <c r="AU53" i="41" s="1"/>
  <c r="AR55" i="41"/>
  <c r="AQ55" i="41" s="1"/>
  <c r="AP55" i="41" s="1"/>
  <c r="AP53" i="41" s="1"/>
  <c r="AM55" i="41"/>
  <c r="AL55" i="41" s="1"/>
  <c r="AK55" i="41" s="1"/>
  <c r="AH55" i="41"/>
  <c r="AG55" i="41" s="1"/>
  <c r="AC55" i="41"/>
  <c r="AB55" i="41" s="1"/>
  <c r="AA55" i="41" s="1"/>
  <c r="X55" i="41"/>
  <c r="W55" i="41" s="1"/>
  <c r="AM39" i="41"/>
  <c r="AL39" i="41"/>
  <c r="AK39" i="41"/>
  <c r="AJ39" i="41"/>
  <c r="AI39" i="41"/>
  <c r="AH39" i="41"/>
  <c r="AG39" i="41"/>
  <c r="AF39" i="41"/>
  <c r="AE39" i="41"/>
  <c r="AD39" i="41"/>
  <c r="AC39" i="41"/>
  <c r="AB39" i="41"/>
  <c r="AA39" i="41"/>
  <c r="Z39" i="41"/>
  <c r="Y39" i="41"/>
  <c r="X39" i="41"/>
  <c r="W39" i="41"/>
  <c r="V39" i="41"/>
  <c r="U39" i="41"/>
  <c r="T39" i="41"/>
  <c r="S39" i="41"/>
  <c r="R39" i="41"/>
  <c r="Q39" i="41"/>
  <c r="P39" i="41"/>
  <c r="O39" i="41"/>
  <c r="N39" i="41"/>
  <c r="M39" i="41"/>
  <c r="L39" i="41"/>
  <c r="K39" i="41"/>
  <c r="J39" i="41"/>
  <c r="I39" i="41"/>
  <c r="AM38" i="41"/>
  <c r="AL38" i="41"/>
  <c r="AK38" i="41"/>
  <c r="AJ38" i="41"/>
  <c r="AI38" i="41"/>
  <c r="AH38" i="41"/>
  <c r="AG38" i="41"/>
  <c r="AF38" i="41"/>
  <c r="AE38" i="41"/>
  <c r="AD38" i="41"/>
  <c r="AC38" i="41"/>
  <c r="AB38" i="41"/>
  <c r="AA38" i="41"/>
  <c r="Z38" i="41"/>
  <c r="Y38" i="41"/>
  <c r="X38" i="41"/>
  <c r="W38" i="41"/>
  <c r="V38" i="41"/>
  <c r="U38" i="41"/>
  <c r="T38" i="41"/>
  <c r="S38" i="41"/>
  <c r="R38" i="41"/>
  <c r="Q38" i="41"/>
  <c r="P38" i="41"/>
  <c r="O38" i="41"/>
  <c r="N38" i="41"/>
  <c r="M38" i="41"/>
  <c r="L38" i="41"/>
  <c r="K38" i="41"/>
  <c r="J38" i="41"/>
  <c r="I38" i="41"/>
  <c r="BK35" i="41"/>
  <c r="BJ35" i="41"/>
  <c r="BI35" i="41"/>
  <c r="BH35" i="41"/>
  <c r="BF35" i="41"/>
  <c r="BE35" i="41"/>
  <c r="BD35" i="41"/>
  <c r="BC35" i="41"/>
  <c r="BA35" i="41"/>
  <c r="AZ35" i="41"/>
  <c r="AY35" i="41"/>
  <c r="AX35" i="41"/>
  <c r="AL35" i="41"/>
  <c r="AL33" i="41"/>
  <c r="AG35" i="41"/>
  <c r="AG33" i="41"/>
  <c r="AC35" i="41"/>
  <c r="AB35" i="41" s="1"/>
  <c r="X35" i="41"/>
  <c r="V35" i="41"/>
  <c r="U35" i="41"/>
  <c r="S35" i="41"/>
  <c r="Q35" i="41"/>
  <c r="P35" i="41"/>
  <c r="O35" i="41" s="1"/>
  <c r="N35" i="41"/>
  <c r="L35" i="41"/>
  <c r="K35" i="41"/>
  <c r="J35" i="41" s="1"/>
  <c r="BL33" i="41"/>
  <c r="BG33" i="41"/>
  <c r="BB33" i="41"/>
  <c r="AB33" i="41"/>
  <c r="W33" i="41"/>
  <c r="R33" i="41"/>
  <c r="M33" i="41"/>
  <c r="AL30" i="41"/>
  <c r="AG30" i="41"/>
  <c r="Y30" i="41"/>
  <c r="Y31" i="42" s="1"/>
  <c r="W30" i="41"/>
  <c r="O30" i="41"/>
  <c r="M30" i="41"/>
  <c r="AM26" i="41"/>
  <c r="AK26" i="41"/>
  <c r="AJ26" i="41"/>
  <c r="AI26" i="41"/>
  <c r="AH26" i="41"/>
  <c r="AF26" i="41"/>
  <c r="AE26" i="41"/>
  <c r="AD26" i="41"/>
  <c r="AC26" i="41"/>
  <c r="AA26" i="41"/>
  <c r="Z26" i="41"/>
  <c r="Y26" i="41"/>
  <c r="X26" i="41"/>
  <c r="V26" i="41"/>
  <c r="U26" i="41"/>
  <c r="T26" i="41"/>
  <c r="S26" i="41"/>
  <c r="Q26" i="41"/>
  <c r="P26" i="41"/>
  <c r="N26" i="41"/>
  <c r="L26" i="41"/>
  <c r="K26" i="41"/>
  <c r="J26" i="41"/>
  <c r="I26" i="41"/>
  <c r="AL25" i="41"/>
  <c r="AL24" i="41"/>
  <c r="AG25" i="41"/>
  <c r="AG24" i="41"/>
  <c r="AB25" i="41"/>
  <c r="AB24" i="41"/>
  <c r="W25" i="41"/>
  <c r="W24" i="41"/>
  <c r="O25" i="41"/>
  <c r="R25" i="41" s="1"/>
  <c r="O24" i="41"/>
  <c r="M25" i="41"/>
  <c r="M24" i="41"/>
  <c r="BD25" i="41"/>
  <c r="BI25" i="41" s="1"/>
  <c r="BN25" i="41" s="1"/>
  <c r="BF19" i="41"/>
  <c r="BE19" i="41"/>
  <c r="BD19" i="41"/>
  <c r="BC19" i="41"/>
  <c r="BA19" i="41"/>
  <c r="AZ19" i="41"/>
  <c r="AY19" i="41"/>
  <c r="AX19" i="41"/>
  <c r="AM19" i="41"/>
  <c r="AL19" i="41" s="1"/>
  <c r="AH19" i="41"/>
  <c r="AE19" i="41"/>
  <c r="AD19" i="41"/>
  <c r="AC19" i="41"/>
  <c r="Z19" i="41"/>
  <c r="Y19" i="41"/>
  <c r="X19" i="41"/>
  <c r="W19" i="41" s="1"/>
  <c r="S19" i="41"/>
  <c r="O19" i="41"/>
  <c r="N19" i="41"/>
  <c r="N15" i="41"/>
  <c r="N17" i="41" s="1"/>
  <c r="L15" i="41"/>
  <c r="L17" i="41" s="1"/>
  <c r="K15" i="41"/>
  <c r="K17" i="41" s="1"/>
  <c r="J15" i="41"/>
  <c r="J17" i="41" s="1"/>
  <c r="I15" i="41"/>
  <c r="I17" i="41" s="1"/>
  <c r="AL14" i="41"/>
  <c r="AL548" i="41" s="1"/>
  <c r="AL13" i="41"/>
  <c r="AL12" i="41"/>
  <c r="AL542" i="41" s="1"/>
  <c r="AG14" i="41"/>
  <c r="AG548" i="41" s="1"/>
  <c r="AG13" i="41"/>
  <c r="AG12" i="41"/>
  <c r="AG542" i="41" s="1"/>
  <c r="AB14" i="41"/>
  <c r="AB548" i="41" s="1"/>
  <c r="AB13" i="41"/>
  <c r="AB12" i="41"/>
  <c r="AB542" i="41" s="1"/>
  <c r="W14" i="41"/>
  <c r="W548" i="41" s="1"/>
  <c r="W13" i="41"/>
  <c r="W559" i="41" s="1"/>
  <c r="W12" i="41"/>
  <c r="W542" i="41" s="1"/>
  <c r="O14" i="41"/>
  <c r="O13" i="41"/>
  <c r="O559" i="41" s="1"/>
  <c r="O12" i="41"/>
  <c r="O542" i="41" s="1"/>
  <c r="M14" i="41"/>
  <c r="M548" i="41" s="1"/>
  <c r="M13" i="41"/>
  <c r="M12" i="41"/>
  <c r="M542" i="41" s="1"/>
  <c r="N10" i="41"/>
  <c r="L10" i="41"/>
  <c r="K10" i="41"/>
  <c r="J10" i="41"/>
  <c r="I10" i="41"/>
  <c r="AM9" i="41"/>
  <c r="AM15" i="41" s="1"/>
  <c r="AM17" i="41" s="1"/>
  <c r="AK9" i="41"/>
  <c r="AK15" i="41" s="1"/>
  <c r="AK17" i="41" s="1"/>
  <c r="AJ9" i="41"/>
  <c r="AJ15" i="41" s="1"/>
  <c r="AJ17" i="41" s="1"/>
  <c r="AI9" i="41"/>
  <c r="AI15" i="41" s="1"/>
  <c r="AI17" i="41" s="1"/>
  <c r="AH9" i="41"/>
  <c r="AF9" i="41"/>
  <c r="AF15" i="41" s="1"/>
  <c r="AF17" i="41" s="1"/>
  <c r="AE9" i="41"/>
  <c r="AE15" i="41" s="1"/>
  <c r="AE17" i="41" s="1"/>
  <c r="AD9" i="41"/>
  <c r="AD15" i="41" s="1"/>
  <c r="AD17" i="41" s="1"/>
  <c r="AC9" i="41"/>
  <c r="AC15" i="41" s="1"/>
  <c r="AC17" i="41" s="1"/>
  <c r="AA9" i="41"/>
  <c r="AA15" i="41" s="1"/>
  <c r="AA17" i="41" s="1"/>
  <c r="Z9" i="41"/>
  <c r="Z15" i="41" s="1"/>
  <c r="Z17" i="41" s="1"/>
  <c r="Y9" i="41"/>
  <c r="Y15" i="41" s="1"/>
  <c r="Y17" i="41" s="1"/>
  <c r="X9" i="41"/>
  <c r="V9" i="41"/>
  <c r="V15" i="41" s="1"/>
  <c r="V17" i="41" s="1"/>
  <c r="U9" i="41"/>
  <c r="T9" i="41"/>
  <c r="T15" i="41" s="1"/>
  <c r="T17" i="41" s="1"/>
  <c r="S9" i="41"/>
  <c r="S15" i="41" s="1"/>
  <c r="S17" i="41" s="1"/>
  <c r="Q9" i="41"/>
  <c r="Q15" i="41" s="1"/>
  <c r="Q17" i="41" s="1"/>
  <c r="P9" i="41"/>
  <c r="O9" i="41" s="1"/>
  <c r="M9" i="41"/>
  <c r="M8" i="41"/>
  <c r="AL8" i="41"/>
  <c r="AG8" i="41"/>
  <c r="AB8" i="41"/>
  <c r="W8" i="41"/>
  <c r="O8" i="41"/>
  <c r="AP109" i="40"/>
  <c r="AP58" i="40" s="1"/>
  <c r="AL109" i="40"/>
  <c r="AL58" i="40" s="1"/>
  <c r="T109" i="40"/>
  <c r="U109" i="40" s="1"/>
  <c r="V109" i="40" s="1"/>
  <c r="W109" i="40" s="1"/>
  <c r="X109" i="40" s="1"/>
  <c r="X45" i="61" s="1"/>
  <c r="T106" i="40"/>
  <c r="U106" i="40" s="1"/>
  <c r="V106" i="40" s="1"/>
  <c r="W106" i="40" s="1"/>
  <c r="X106" i="40" s="1"/>
  <c r="X46" i="61" s="1"/>
  <c r="S102" i="40"/>
  <c r="BL99" i="40"/>
  <c r="BL98" i="40"/>
  <c r="BG99" i="40"/>
  <c r="BG98" i="40"/>
  <c r="BB99" i="40"/>
  <c r="BB98" i="40"/>
  <c r="AR99" i="40"/>
  <c r="AR98" i="40"/>
  <c r="AM99" i="40"/>
  <c r="AM98" i="40"/>
  <c r="AH99" i="40"/>
  <c r="AH98" i="40"/>
  <c r="AC99" i="40"/>
  <c r="AC98" i="40"/>
  <c r="X99" i="40"/>
  <c r="X98" i="40"/>
  <c r="AK97" i="40"/>
  <c r="AJ97" i="40"/>
  <c r="AI97" i="40"/>
  <c r="AK96" i="40"/>
  <c r="AJ96" i="40"/>
  <c r="AI96" i="40"/>
  <c r="AF97" i="40"/>
  <c r="AE97" i="40"/>
  <c r="AD97" i="40"/>
  <c r="AF96" i="40"/>
  <c r="AE96" i="40"/>
  <c r="AD96" i="40"/>
  <c r="AA97" i="40"/>
  <c r="Z97" i="40"/>
  <c r="Y97" i="40"/>
  <c r="AA96" i="40"/>
  <c r="Z96" i="40"/>
  <c r="Y96" i="40"/>
  <c r="V97" i="40"/>
  <c r="U97" i="40"/>
  <c r="T97" i="40"/>
  <c r="V96" i="40"/>
  <c r="U96" i="40"/>
  <c r="T96" i="40"/>
  <c r="T95" i="40"/>
  <c r="AM90" i="40"/>
  <c r="AK90" i="40"/>
  <c r="AP91" i="40" s="1"/>
  <c r="AJ90" i="40"/>
  <c r="AO91" i="40" s="1"/>
  <c r="AI90" i="40"/>
  <c r="AN91" i="40" s="1"/>
  <c r="AH90" i="40"/>
  <c r="AF90" i="40"/>
  <c r="AE90" i="40"/>
  <c r="AD90" i="40"/>
  <c r="AA90" i="40"/>
  <c r="Z90" i="40"/>
  <c r="Y90" i="40"/>
  <c r="V90" i="40"/>
  <c r="U90" i="40"/>
  <c r="T90" i="40"/>
  <c r="Q90" i="40"/>
  <c r="P90" i="40"/>
  <c r="AL83" i="40"/>
  <c r="AL96" i="40" s="1"/>
  <c r="AG83" i="40"/>
  <c r="AG96" i="40" s="1"/>
  <c r="AB83" i="40"/>
  <c r="AB96" i="40" s="1"/>
  <c r="W83" i="40"/>
  <c r="W96" i="40" s="1"/>
  <c r="R83" i="40"/>
  <c r="R84" i="4" s="1"/>
  <c r="AH81" i="40"/>
  <c r="AH82" i="40" s="1"/>
  <c r="AC80" i="40"/>
  <c r="AC81" i="40" s="1"/>
  <c r="AC82" i="40" s="1"/>
  <c r="AM81" i="40"/>
  <c r="Y77" i="40"/>
  <c r="Z77" i="40" s="1"/>
  <c r="AA77" i="40" s="1"/>
  <c r="AB77" i="40" s="1"/>
  <c r="AD77" i="40" s="1"/>
  <c r="AM75" i="40"/>
  <c r="AK75" i="40"/>
  <c r="AJ75" i="40"/>
  <c r="AI75" i="40"/>
  <c r="AH75" i="40"/>
  <c r="AF75" i="40"/>
  <c r="AE75" i="40"/>
  <c r="AD75" i="40"/>
  <c r="AC75" i="40"/>
  <c r="AA75" i="40"/>
  <c r="Z75" i="40"/>
  <c r="Y75" i="40"/>
  <c r="Y76" i="40" s="1"/>
  <c r="AK68" i="40"/>
  <c r="AP69" i="40" s="1"/>
  <c r="AP54" i="40" s="1"/>
  <c r="AJ68" i="40"/>
  <c r="AO69" i="40" s="1"/>
  <c r="AO54" i="40" s="1"/>
  <c r="AI68" i="40"/>
  <c r="AN69" i="40" s="1"/>
  <c r="AF68" i="40"/>
  <c r="AE68" i="40"/>
  <c r="AD68" i="40"/>
  <c r="AA68" i="40"/>
  <c r="Z68" i="40"/>
  <c r="Y68" i="40"/>
  <c r="V68" i="40"/>
  <c r="U68" i="40"/>
  <c r="T68" i="40"/>
  <c r="S68" i="40"/>
  <c r="Q68" i="40"/>
  <c r="P68" i="40"/>
  <c r="N68" i="40"/>
  <c r="L68" i="40"/>
  <c r="K68" i="40"/>
  <c r="J68" i="40"/>
  <c r="BL64" i="40"/>
  <c r="BG64" i="40"/>
  <c r="BB64" i="40"/>
  <c r="AM64" i="40"/>
  <c r="AH64" i="40"/>
  <c r="AC64" i="40"/>
  <c r="X64" i="40"/>
  <c r="S64" i="40"/>
  <c r="Q64" i="40"/>
  <c r="O64" i="40"/>
  <c r="M64" i="40"/>
  <c r="AK63" i="40"/>
  <c r="AK65" i="40" s="1"/>
  <c r="AP66" i="40" s="1"/>
  <c r="AP53" i="40" s="1"/>
  <c r="AJ63" i="40"/>
  <c r="AJ65" i="40" s="1"/>
  <c r="AO66" i="40" s="1"/>
  <c r="AO53" i="40" s="1"/>
  <c r="AI63" i="40"/>
  <c r="AI65" i="40" s="1"/>
  <c r="AN66" i="40" s="1"/>
  <c r="AF63" i="40"/>
  <c r="AF65" i="40" s="1"/>
  <c r="AE63" i="40"/>
  <c r="AE65" i="40" s="1"/>
  <c r="AD63" i="40"/>
  <c r="AD65" i="40" s="1"/>
  <c r="AA63" i="40"/>
  <c r="AA65" i="40" s="1"/>
  <c r="Z63" i="40"/>
  <c r="Z65" i="40" s="1"/>
  <c r="Y63" i="40"/>
  <c r="Y65" i="40" s="1"/>
  <c r="V63" i="40"/>
  <c r="V65" i="40" s="1"/>
  <c r="U63" i="40"/>
  <c r="U65" i="40" s="1"/>
  <c r="T63" i="40"/>
  <c r="T65" i="40" s="1"/>
  <c r="S63" i="40"/>
  <c r="S65" i="40" s="1"/>
  <c r="Q63" i="40"/>
  <c r="P63" i="40"/>
  <c r="P65" i="40" s="1"/>
  <c r="N63" i="40"/>
  <c r="N65" i="40" s="1"/>
  <c r="L63" i="40"/>
  <c r="L65" i="40" s="1"/>
  <c r="K63" i="40"/>
  <c r="K65" i="40" s="1"/>
  <c r="J63" i="40"/>
  <c r="J65" i="40" s="1"/>
  <c r="AK58" i="40"/>
  <c r="BK56" i="40"/>
  <c r="BJ56" i="40"/>
  <c r="BI56" i="40"/>
  <c r="BH56" i="40"/>
  <c r="BF56" i="40"/>
  <c r="BE56" i="40"/>
  <c r="BD56" i="40"/>
  <c r="BC56" i="40"/>
  <c r="BA56" i="40"/>
  <c r="AZ56" i="40"/>
  <c r="AY56" i="40"/>
  <c r="AX56" i="40"/>
  <c r="BK54" i="40"/>
  <c r="BK69" i="40" s="1"/>
  <c r="BK53" i="40"/>
  <c r="BK66" i="40" s="1"/>
  <c r="BF54" i="40"/>
  <c r="BF69" i="40" s="1"/>
  <c r="BF53" i="40"/>
  <c r="BF66" i="40" s="1"/>
  <c r="BA54" i="40"/>
  <c r="AZ54" i="40" s="1"/>
  <c r="BA53" i="40"/>
  <c r="BA66" i="40" s="1"/>
  <c r="BK51" i="40"/>
  <c r="BJ51" i="40" s="1"/>
  <c r="BI51" i="40" s="1"/>
  <c r="BH51" i="40" s="1"/>
  <c r="BF51" i="40"/>
  <c r="BE51" i="40" s="1"/>
  <c r="BD51" i="40" s="1"/>
  <c r="BC51" i="40" s="1"/>
  <c r="BA51" i="40"/>
  <c r="AZ51" i="40" s="1"/>
  <c r="AY51" i="40" s="1"/>
  <c r="AX51" i="40" s="1"/>
  <c r="AM36" i="40"/>
  <c r="AL36" i="40"/>
  <c r="AK36" i="40"/>
  <c r="AJ36" i="40"/>
  <c r="AI36" i="40"/>
  <c r="AH36" i="40"/>
  <c r="AG36" i="40"/>
  <c r="AF36" i="40"/>
  <c r="AE36" i="40"/>
  <c r="AD36" i="40"/>
  <c r="AC36" i="40"/>
  <c r="AB36" i="40"/>
  <c r="AA36" i="40"/>
  <c r="Z36" i="40"/>
  <c r="Y36" i="40"/>
  <c r="X36" i="40"/>
  <c r="W36" i="40"/>
  <c r="V36" i="40"/>
  <c r="U36" i="40"/>
  <c r="T36" i="40"/>
  <c r="S36" i="40"/>
  <c r="R36" i="40"/>
  <c r="Q36" i="40"/>
  <c r="P36" i="40"/>
  <c r="O36" i="40"/>
  <c r="N36" i="40"/>
  <c r="M36" i="40"/>
  <c r="L36" i="40"/>
  <c r="K36" i="40"/>
  <c r="J36" i="40"/>
  <c r="I36" i="40"/>
  <c r="AM35" i="40"/>
  <c r="AL35" i="40"/>
  <c r="AK35" i="40"/>
  <c r="AJ35" i="40"/>
  <c r="AI35" i="40"/>
  <c r="AH35" i="40"/>
  <c r="AG35" i="40"/>
  <c r="AF35" i="40"/>
  <c r="AE35" i="40"/>
  <c r="AD35" i="40"/>
  <c r="AC35" i="40"/>
  <c r="AB35" i="40"/>
  <c r="AA35" i="40"/>
  <c r="Z35" i="40"/>
  <c r="Y35" i="40"/>
  <c r="X35" i="40"/>
  <c r="W35" i="40"/>
  <c r="V35" i="40"/>
  <c r="U35" i="40"/>
  <c r="T35" i="40"/>
  <c r="S35" i="40"/>
  <c r="R35" i="40"/>
  <c r="Q35" i="40"/>
  <c r="P35" i="40"/>
  <c r="O35" i="40"/>
  <c r="N35" i="40"/>
  <c r="M35" i="40"/>
  <c r="L35" i="40"/>
  <c r="K35" i="40"/>
  <c r="J35" i="40"/>
  <c r="I35" i="40"/>
  <c r="BK32" i="40"/>
  <c r="BK43" i="4" s="1"/>
  <c r="BJ32" i="40"/>
  <c r="BI32" i="40"/>
  <c r="BI43" i="4" s="1"/>
  <c r="BH32" i="40"/>
  <c r="BH43" i="4" s="1"/>
  <c r="BF32" i="40"/>
  <c r="BF43" i="4" s="1"/>
  <c r="BE32" i="40"/>
  <c r="BD32" i="40"/>
  <c r="BD43" i="4" s="1"/>
  <c r="BC32" i="40"/>
  <c r="BC43" i="4" s="1"/>
  <c r="BA32" i="40"/>
  <c r="BA43" i="4" s="1"/>
  <c r="AZ32" i="40"/>
  <c r="AY32" i="40"/>
  <c r="AY43" i="4" s="1"/>
  <c r="AX32" i="40"/>
  <c r="AX43" i="4" s="1"/>
  <c r="AL32" i="40"/>
  <c r="AG32" i="40"/>
  <c r="AB32" i="40"/>
  <c r="X32" i="40"/>
  <c r="W32" i="40" s="1"/>
  <c r="S32" i="40"/>
  <c r="O32" i="40"/>
  <c r="N32" i="40"/>
  <c r="J32" i="40"/>
  <c r="AL29" i="40"/>
  <c r="AG29" i="40"/>
  <c r="AB29" i="40"/>
  <c r="W29" i="40"/>
  <c r="O29" i="40"/>
  <c r="R29" i="40" s="1"/>
  <c r="M29" i="40"/>
  <c r="AM25" i="40"/>
  <c r="AK25" i="40"/>
  <c r="AJ25" i="40"/>
  <c r="AI25" i="40"/>
  <c r="AH25" i="40"/>
  <c r="AF25" i="40"/>
  <c r="AE25" i="40"/>
  <c r="AD25" i="40"/>
  <c r="AC25" i="40"/>
  <c r="AA25" i="40"/>
  <c r="Z25" i="40"/>
  <c r="Y25" i="40"/>
  <c r="X25" i="40"/>
  <c r="V25" i="40"/>
  <c r="U25" i="40"/>
  <c r="T25" i="40"/>
  <c r="S25" i="40"/>
  <c r="Q25" i="40"/>
  <c r="P25" i="40"/>
  <c r="N25" i="40"/>
  <c r="L25" i="40"/>
  <c r="K25" i="40"/>
  <c r="J25" i="40"/>
  <c r="I25" i="40"/>
  <c r="AL24" i="40"/>
  <c r="AL23" i="40"/>
  <c r="AG24" i="40"/>
  <c r="AG23" i="40"/>
  <c r="AG90" i="40" s="1"/>
  <c r="AB24" i="40"/>
  <c r="AB23" i="40"/>
  <c r="W24" i="40"/>
  <c r="W23" i="40"/>
  <c r="W90" i="40" s="1"/>
  <c r="O24" i="40"/>
  <c r="R24" i="40" s="1"/>
  <c r="O23" i="40"/>
  <c r="O90" i="40" s="1"/>
  <c r="M24" i="40"/>
  <c r="M23" i="40"/>
  <c r="BA24" i="40"/>
  <c r="BF24" i="40" s="1"/>
  <c r="BK24" i="40" s="1"/>
  <c r="BP24" i="40" s="1"/>
  <c r="AZ24" i="40"/>
  <c r="BE24" i="40" s="1"/>
  <c r="AX24" i="40"/>
  <c r="BC24" i="40" s="1"/>
  <c r="BH24" i="40" s="1"/>
  <c r="BM24" i="40" s="1"/>
  <c r="AP18" i="40"/>
  <c r="AX18" i="40"/>
  <c r="AL18" i="40"/>
  <c r="AG18" i="40"/>
  <c r="AB18" i="40"/>
  <c r="X18" i="40"/>
  <c r="W18" i="40" s="1"/>
  <c r="S18" i="40"/>
  <c r="R18" i="40" s="1"/>
  <c r="M18" i="40"/>
  <c r="AM14" i="40"/>
  <c r="AM16" i="40" s="1"/>
  <c r="AM20" i="40" s="1"/>
  <c r="AK14" i="40"/>
  <c r="AK16" i="40" s="1"/>
  <c r="AK20" i="4" s="1"/>
  <c r="AJ14" i="40"/>
  <c r="AJ16" i="40" s="1"/>
  <c r="AI14" i="40"/>
  <c r="AI16" i="40" s="1"/>
  <c r="AI20" i="4" s="1"/>
  <c r="AH14" i="40"/>
  <c r="AH16" i="40" s="1"/>
  <c r="AH20" i="40" s="1"/>
  <c r="AF14" i="40"/>
  <c r="AF16" i="40" s="1"/>
  <c r="AE14" i="40"/>
  <c r="AE16" i="40" s="1"/>
  <c r="AE20" i="40" s="1"/>
  <c r="AD14" i="40"/>
  <c r="AD16" i="40" s="1"/>
  <c r="AC14" i="40"/>
  <c r="AC16" i="40" s="1"/>
  <c r="AC20" i="40" s="1"/>
  <c r="AA14" i="40"/>
  <c r="AA16" i="40" s="1"/>
  <c r="AA20" i="4" s="1"/>
  <c r="Z14" i="40"/>
  <c r="Z16" i="40" s="1"/>
  <c r="Y14" i="40"/>
  <c r="Y16" i="40" s="1"/>
  <c r="Y20" i="4" s="1"/>
  <c r="X14" i="40"/>
  <c r="X16" i="40" s="1"/>
  <c r="V14" i="40"/>
  <c r="V16" i="40" s="1"/>
  <c r="U14" i="40"/>
  <c r="U16" i="40" s="1"/>
  <c r="U20" i="4" s="1"/>
  <c r="T14" i="40"/>
  <c r="T16" i="40" s="1"/>
  <c r="S14" i="40"/>
  <c r="S16" i="40" s="1"/>
  <c r="Q14" i="40"/>
  <c r="Q16" i="40" s="1"/>
  <c r="Q20" i="4" s="1"/>
  <c r="P14" i="40"/>
  <c r="P16" i="40" s="1"/>
  <c r="N14" i="40"/>
  <c r="N16" i="40" s="1"/>
  <c r="L14" i="40"/>
  <c r="L16" i="40" s="1"/>
  <c r="K14" i="40"/>
  <c r="K16" i="40" s="1"/>
  <c r="K20" i="4" s="1"/>
  <c r="J14" i="40"/>
  <c r="J16" i="40" s="1"/>
  <c r="I14" i="40"/>
  <c r="I16" i="40" s="1"/>
  <c r="I20" i="4" s="1"/>
  <c r="AL13" i="40"/>
  <c r="AL68" i="40" s="1"/>
  <c r="AQ69" i="40" s="1"/>
  <c r="AL12" i="40"/>
  <c r="BA12" i="40" s="1"/>
  <c r="BF12" i="40" s="1"/>
  <c r="BK12" i="40" s="1"/>
  <c r="BP12" i="40" s="1"/>
  <c r="AL11" i="40"/>
  <c r="AL10" i="40"/>
  <c r="AL63" i="40" s="1"/>
  <c r="AL65" i="40" s="1"/>
  <c r="AQ66" i="40" s="1"/>
  <c r="AG13" i="40"/>
  <c r="AG68" i="40" s="1"/>
  <c r="AG12" i="40"/>
  <c r="AG11" i="40"/>
  <c r="AG10" i="40"/>
  <c r="AG63" i="40" s="1"/>
  <c r="AG65" i="40" s="1"/>
  <c r="AB13" i="40"/>
  <c r="AB68" i="40" s="1"/>
  <c r="AB12" i="40"/>
  <c r="AB11" i="40"/>
  <c r="AB10" i="40"/>
  <c r="AB63" i="40" s="1"/>
  <c r="AB65" i="40" s="1"/>
  <c r="W13" i="40"/>
  <c r="W68" i="40" s="1"/>
  <c r="W12" i="40"/>
  <c r="W11" i="40"/>
  <c r="W97" i="40" s="1"/>
  <c r="W10" i="40"/>
  <c r="W63" i="40" s="1"/>
  <c r="W65" i="40" s="1"/>
  <c r="O13" i="40"/>
  <c r="O68" i="40" s="1"/>
  <c r="O12" i="40"/>
  <c r="R12" i="40" s="1"/>
  <c r="O11" i="40"/>
  <c r="R11" i="40" s="1"/>
  <c r="O10" i="40"/>
  <c r="O63" i="40" s="1"/>
  <c r="M13" i="40"/>
  <c r="M68" i="40" s="1"/>
  <c r="M12" i="40"/>
  <c r="M11" i="40"/>
  <c r="M10" i="40"/>
  <c r="M63" i="40" s="1"/>
  <c r="AY12" i="40"/>
  <c r="BD12" i="40" s="1"/>
  <c r="BI12" i="40" s="1"/>
  <c r="BN12" i="40" s="1"/>
  <c r="AX12" i="40"/>
  <c r="BC12" i="40" s="1"/>
  <c r="BH12" i="40" s="1"/>
  <c r="BM12" i="40" s="1"/>
  <c r="AL8" i="40"/>
  <c r="AG8" i="40"/>
  <c r="AB8" i="40"/>
  <c r="W8" i="40"/>
  <c r="O8" i="40"/>
  <c r="M8" i="40"/>
  <c r="W214" i="39"/>
  <c r="V214" i="39"/>
  <c r="U214" i="39"/>
  <c r="T214" i="39"/>
  <c r="T213" i="39"/>
  <c r="U213" i="39" s="1"/>
  <c r="V213" i="39" s="1"/>
  <c r="W213" i="39" s="1"/>
  <c r="X213" i="39" s="1"/>
  <c r="S210" i="39"/>
  <c r="BL207" i="39"/>
  <c r="BG207" i="39"/>
  <c r="BB207" i="39"/>
  <c r="AW207" i="39"/>
  <c r="AR207" i="39"/>
  <c r="AR206" i="39"/>
  <c r="AM207" i="39"/>
  <c r="AM206" i="39"/>
  <c r="AH207" i="39"/>
  <c r="AH206" i="39"/>
  <c r="AC207" i="39"/>
  <c r="X207" i="39"/>
  <c r="AK205" i="39"/>
  <c r="AJ205" i="39"/>
  <c r="AI205" i="39"/>
  <c r="AK204" i="39"/>
  <c r="AJ204" i="39"/>
  <c r="AI204" i="39"/>
  <c r="AF205" i="39"/>
  <c r="AE205" i="39"/>
  <c r="AD205" i="39"/>
  <c r="AF204" i="39"/>
  <c r="AE204" i="39"/>
  <c r="AD204" i="39"/>
  <c r="AA205" i="39"/>
  <c r="Z205" i="39"/>
  <c r="Y205" i="39"/>
  <c r="AA204" i="39"/>
  <c r="AA206" i="39" s="1"/>
  <c r="Z204" i="39"/>
  <c r="Z206" i="39" s="1"/>
  <c r="V205" i="39"/>
  <c r="U205" i="39"/>
  <c r="T205" i="39"/>
  <c r="V204" i="39"/>
  <c r="V206" i="39" s="1"/>
  <c r="U204" i="39"/>
  <c r="U206" i="39" s="1"/>
  <c r="T203" i="39"/>
  <c r="AM188" i="39"/>
  <c r="AH188" i="39"/>
  <c r="AC188" i="39"/>
  <c r="X188" i="39"/>
  <c r="AM177" i="39"/>
  <c r="AL177" i="39" s="1"/>
  <c r="AK177" i="39"/>
  <c r="AJ177" i="39"/>
  <c r="AI177" i="39"/>
  <c r="AH177" i="39"/>
  <c r="AF177" i="39"/>
  <c r="AE177" i="39"/>
  <c r="AD177" i="39"/>
  <c r="AC177" i="39"/>
  <c r="AB177" i="39" s="1"/>
  <c r="AA177" i="39"/>
  <c r="Z177" i="39"/>
  <c r="Y177" i="39"/>
  <c r="X177" i="39"/>
  <c r="AL174" i="39"/>
  <c r="AG174" i="39"/>
  <c r="AB174" i="39"/>
  <c r="AM170" i="39"/>
  <c r="AL170" i="39" s="1"/>
  <c r="AK170" i="39"/>
  <c r="AJ170" i="39"/>
  <c r="AI170" i="39"/>
  <c r="AH170" i="39"/>
  <c r="AF170" i="39"/>
  <c r="AE170" i="39"/>
  <c r="AD170" i="39"/>
  <c r="AC170" i="39"/>
  <c r="AB170" i="39" s="1"/>
  <c r="AA170" i="39"/>
  <c r="Z170" i="39"/>
  <c r="Y170" i="39"/>
  <c r="X170" i="39"/>
  <c r="AM169" i="39"/>
  <c r="AK169" i="39"/>
  <c r="AJ169" i="39"/>
  <c r="AI169" i="39"/>
  <c r="AH169" i="39"/>
  <c r="AF169" i="39"/>
  <c r="AE169" i="39"/>
  <c r="AD169" i="39"/>
  <c r="AC169" i="39"/>
  <c r="AA169" i="39"/>
  <c r="Z169" i="39"/>
  <c r="Y169" i="39"/>
  <c r="X169" i="39"/>
  <c r="AM167" i="39"/>
  <c r="AL167" i="39" s="1"/>
  <c r="AK167" i="39"/>
  <c r="AJ167" i="39"/>
  <c r="AJ163" i="39" s="1"/>
  <c r="AI167" i="39"/>
  <c r="AI163" i="39" s="1"/>
  <c r="AH167" i="39"/>
  <c r="AG167" i="39" s="1"/>
  <c r="AG163" i="39" s="1"/>
  <c r="AH163" i="39" s="1"/>
  <c r="AF167" i="39"/>
  <c r="AF163" i="39" s="1"/>
  <c r="AE167" i="39"/>
  <c r="AE163" i="39" s="1"/>
  <c r="AD167" i="39"/>
  <c r="AD163" i="39" s="1"/>
  <c r="AC167" i="39"/>
  <c r="AB167" i="39" s="1"/>
  <c r="AB163" i="39" s="1"/>
  <c r="AC163" i="39" s="1"/>
  <c r="AA167" i="39"/>
  <c r="AA163" i="39" s="1"/>
  <c r="Z167" i="39"/>
  <c r="Z163" i="39" s="1"/>
  <c r="Y167" i="39"/>
  <c r="Y163" i="39" s="1"/>
  <c r="X167" i="39"/>
  <c r="X163" i="39" s="1"/>
  <c r="AK163" i="39"/>
  <c r="W163" i="39"/>
  <c r="V163" i="39"/>
  <c r="U163" i="39"/>
  <c r="T163" i="39"/>
  <c r="S163" i="39"/>
  <c r="BH158" i="39"/>
  <c r="BH119" i="4" s="1"/>
  <c r="BC158" i="39"/>
  <c r="BC119" i="4" s="1"/>
  <c r="AX158" i="39"/>
  <c r="AX119" i="4" s="1"/>
  <c r="AI158" i="39"/>
  <c r="AI119" i="4" s="1"/>
  <c r="AD158" i="39"/>
  <c r="AD119" i="4" s="1"/>
  <c r="Y158" i="39"/>
  <c r="Y119" i="4" s="1"/>
  <c r="BL157" i="39"/>
  <c r="BG157" i="39"/>
  <c r="BB157" i="39"/>
  <c r="AM157" i="39"/>
  <c r="AH157" i="39"/>
  <c r="AC157" i="39"/>
  <c r="BH152" i="39"/>
  <c r="BC152" i="39"/>
  <c r="AX152" i="39"/>
  <c r="AI152" i="39"/>
  <c r="AD152" i="39"/>
  <c r="Y152" i="39"/>
  <c r="AK151" i="39"/>
  <c r="AJ151" i="39"/>
  <c r="AI151" i="39"/>
  <c r="AF151" i="39"/>
  <c r="AE151" i="39"/>
  <c r="AD151" i="39"/>
  <c r="AA151" i="39"/>
  <c r="Z151" i="39"/>
  <c r="AK148" i="39"/>
  <c r="AJ148" i="39"/>
  <c r="AI148" i="39"/>
  <c r="AF148" i="39"/>
  <c r="AE148" i="39"/>
  <c r="AD148" i="39"/>
  <c r="Z148" i="39"/>
  <c r="Y148" i="39"/>
  <c r="AK147" i="39"/>
  <c r="AJ147" i="39"/>
  <c r="AI147" i="39"/>
  <c r="AH147" i="39"/>
  <c r="AG147" i="39" s="1"/>
  <c r="AC147" i="39"/>
  <c r="AB147" i="39" s="1"/>
  <c r="AM146" i="39"/>
  <c r="AK146" i="39"/>
  <c r="AJ146" i="39"/>
  <c r="AI146" i="39"/>
  <c r="AH146" i="39"/>
  <c r="AF146" i="39"/>
  <c r="AE146" i="39"/>
  <c r="AD146" i="39"/>
  <c r="AC146" i="39"/>
  <c r="AA146" i="39"/>
  <c r="Z146" i="39"/>
  <c r="Y146" i="39"/>
  <c r="AL127" i="39"/>
  <c r="AL204" i="39" s="1"/>
  <c r="AG127" i="39"/>
  <c r="AG204" i="39" s="1"/>
  <c r="Y127" i="39"/>
  <c r="Y204" i="39" s="1"/>
  <c r="T127" i="39"/>
  <c r="T204" i="39" s="1"/>
  <c r="Y122" i="39"/>
  <c r="Z122" i="39" s="1"/>
  <c r="AA122" i="39" s="1"/>
  <c r="AB122" i="39" s="1"/>
  <c r="AC122" i="39" s="1"/>
  <c r="AD122" i="39" s="1"/>
  <c r="AE122" i="39" s="1"/>
  <c r="AF122" i="39" s="1"/>
  <c r="AG122" i="39" s="1"/>
  <c r="AH122" i="39" s="1"/>
  <c r="AI122" i="39" s="1"/>
  <c r="AJ122" i="39" s="1"/>
  <c r="AK122" i="39" s="1"/>
  <c r="AM122" i="39" s="1"/>
  <c r="AN122" i="39" s="1"/>
  <c r="AM120" i="39"/>
  <c r="AK120" i="39"/>
  <c r="AJ120" i="39"/>
  <c r="AI120" i="39"/>
  <c r="AH120" i="39"/>
  <c r="AF120" i="39"/>
  <c r="AE120" i="39"/>
  <c r="AD120" i="39"/>
  <c r="AC120" i="39"/>
  <c r="AA120" i="39"/>
  <c r="Z120" i="39"/>
  <c r="Y120" i="39"/>
  <c r="Y121" i="39" s="1"/>
  <c r="AM113" i="39"/>
  <c r="AR114" i="39" s="1"/>
  <c r="AK113" i="39"/>
  <c r="AP114" i="39" s="1"/>
  <c r="AP65" i="39" s="1"/>
  <c r="AJ113" i="39"/>
  <c r="AO114" i="39" s="1"/>
  <c r="AO65" i="39" s="1"/>
  <c r="AI113" i="39"/>
  <c r="AN114" i="39" s="1"/>
  <c r="AH113" i="39"/>
  <c r="AF113" i="39"/>
  <c r="AE113" i="39"/>
  <c r="AD113" i="39"/>
  <c r="AC113" i="39"/>
  <c r="AA113" i="39"/>
  <c r="Z113" i="39"/>
  <c r="Y113" i="39"/>
  <c r="X113" i="39"/>
  <c r="V113" i="39"/>
  <c r="U113" i="39"/>
  <c r="T113" i="39"/>
  <c r="S113" i="39"/>
  <c r="Q113" i="39"/>
  <c r="P113" i="39"/>
  <c r="N113" i="39"/>
  <c r="L113" i="39"/>
  <c r="K113" i="39"/>
  <c r="J113" i="39"/>
  <c r="BL108" i="39"/>
  <c r="BG108" i="39"/>
  <c r="BB108" i="39"/>
  <c r="AK108" i="39"/>
  <c r="AL108" i="39" s="1"/>
  <c r="AG108" i="39"/>
  <c r="AC108" i="39"/>
  <c r="AA108" i="39"/>
  <c r="Z108" i="39"/>
  <c r="X108" i="39"/>
  <c r="V108" i="39"/>
  <c r="U108" i="39"/>
  <c r="T108" i="39"/>
  <c r="S108" i="39"/>
  <c r="Q108" i="39"/>
  <c r="O108" i="39"/>
  <c r="N108" i="39"/>
  <c r="L108" i="39"/>
  <c r="K108" i="39"/>
  <c r="J108" i="39"/>
  <c r="AM107" i="39"/>
  <c r="AM109" i="39" s="1"/>
  <c r="AR110" i="39" s="1"/>
  <c r="AK107" i="39"/>
  <c r="AJ107" i="39"/>
  <c r="AJ109" i="39" s="1"/>
  <c r="AO110" i="39" s="1"/>
  <c r="AI107" i="39"/>
  <c r="AI109" i="39" s="1"/>
  <c r="AN110" i="39" s="1"/>
  <c r="AH107" i="39"/>
  <c r="AH109" i="39" s="1"/>
  <c r="AF107" i="39"/>
  <c r="AF109" i="39" s="1"/>
  <c r="AE107" i="39"/>
  <c r="AE109" i="39" s="1"/>
  <c r="AD107" i="39"/>
  <c r="AD109" i="39" s="1"/>
  <c r="AC107" i="39"/>
  <c r="AA107" i="39"/>
  <c r="Z107" i="39"/>
  <c r="Y107" i="39"/>
  <c r="Y109" i="39" s="1"/>
  <c r="V107" i="39"/>
  <c r="U107" i="39"/>
  <c r="T107" i="39"/>
  <c r="Q107" i="39"/>
  <c r="P107" i="39"/>
  <c r="P109" i="39" s="1"/>
  <c r="L107" i="39"/>
  <c r="K107" i="39"/>
  <c r="K109" i="39" s="1"/>
  <c r="J107" i="39"/>
  <c r="AM102" i="39"/>
  <c r="AM103" i="39" s="1"/>
  <c r="AL102" i="39"/>
  <c r="AK102" i="39"/>
  <c r="AJ102" i="39"/>
  <c r="AI102" i="39"/>
  <c r="AI103" i="39" s="1"/>
  <c r="AH102" i="39"/>
  <c r="AH103" i="39" s="1"/>
  <c r="AG102" i="39"/>
  <c r="AG103" i="39" s="1"/>
  <c r="AF102" i="39"/>
  <c r="AF103" i="39" s="1"/>
  <c r="AE102" i="39"/>
  <c r="AE103" i="39" s="1"/>
  <c r="AD102" i="39"/>
  <c r="AD103" i="39" s="1"/>
  <c r="AC102" i="39"/>
  <c r="AC103" i="39" s="1"/>
  <c r="AB102" i="39"/>
  <c r="AB103" i="39" s="1"/>
  <c r="AA102" i="39"/>
  <c r="AA103" i="39" s="1"/>
  <c r="Z102" i="39"/>
  <c r="Z103" i="39" s="1"/>
  <c r="Y102" i="39"/>
  <c r="Y103" i="39" s="1"/>
  <c r="X102" i="39"/>
  <c r="X103" i="39" s="1"/>
  <c r="W102" i="39"/>
  <c r="W103" i="39" s="1"/>
  <c r="V102" i="39"/>
  <c r="V103" i="39" s="1"/>
  <c r="U102" i="39"/>
  <c r="U103" i="39" s="1"/>
  <c r="S102" i="39"/>
  <c r="S103" i="39" s="1"/>
  <c r="R102" i="39"/>
  <c r="R103" i="39" s="1"/>
  <c r="Q102" i="39"/>
  <c r="Q103" i="39" s="1"/>
  <c r="P102" i="39"/>
  <c r="P103" i="39" s="1"/>
  <c r="T100" i="39"/>
  <c r="T99" i="39"/>
  <c r="T96" i="39"/>
  <c r="T95" i="39"/>
  <c r="O96" i="39"/>
  <c r="O95" i="39"/>
  <c r="U88" i="39"/>
  <c r="P88" i="39"/>
  <c r="N88" i="39"/>
  <c r="L88" i="39"/>
  <c r="K88" i="39"/>
  <c r="J88" i="39"/>
  <c r="AM83" i="39"/>
  <c r="AK83" i="39"/>
  <c r="AJ83" i="39"/>
  <c r="AI83" i="39"/>
  <c r="AH83" i="39"/>
  <c r="AF83" i="39"/>
  <c r="AE83" i="39"/>
  <c r="AD83" i="39"/>
  <c r="AC83" i="39"/>
  <c r="AA83" i="39"/>
  <c r="Z83" i="39"/>
  <c r="Y83" i="39"/>
  <c r="X83" i="39"/>
  <c r="V83" i="39"/>
  <c r="U83" i="39"/>
  <c r="U91" i="39" s="1"/>
  <c r="T83" i="39"/>
  <c r="S83" i="39"/>
  <c r="Q83" i="39"/>
  <c r="P83" i="39"/>
  <c r="N83" i="39"/>
  <c r="L83" i="39"/>
  <c r="K83" i="39"/>
  <c r="J83" i="39"/>
  <c r="AM78" i="39"/>
  <c r="AM79" i="39" s="1"/>
  <c r="AK78" i="39"/>
  <c r="AK79" i="39" s="1"/>
  <c r="AP55" i="39" s="1"/>
  <c r="AJ78" i="39"/>
  <c r="AJ79" i="39" s="1"/>
  <c r="AO55" i="39" s="1"/>
  <c r="AI78" i="39"/>
  <c r="AI79" i="39" s="1"/>
  <c r="AH78" i="39"/>
  <c r="AH79" i="39" s="1"/>
  <c r="AF78" i="39"/>
  <c r="AF79" i="39" s="1"/>
  <c r="AE78" i="39"/>
  <c r="AE79" i="39" s="1"/>
  <c r="AD78" i="39"/>
  <c r="AD79" i="39" s="1"/>
  <c r="AC78" i="39"/>
  <c r="AC79" i="39" s="1"/>
  <c r="AA78" i="39"/>
  <c r="AA79" i="39" s="1"/>
  <c r="Z78" i="39"/>
  <c r="Z79" i="39" s="1"/>
  <c r="Y78" i="39"/>
  <c r="Y79" i="39" s="1"/>
  <c r="X78" i="39"/>
  <c r="X79" i="39" s="1"/>
  <c r="V78" i="39"/>
  <c r="V79" i="39" s="1"/>
  <c r="U78" i="39"/>
  <c r="U79" i="39" s="1"/>
  <c r="T78" i="39"/>
  <c r="T79" i="39" s="1"/>
  <c r="S78" i="39"/>
  <c r="S79" i="39" s="1"/>
  <c r="Q78" i="39"/>
  <c r="Q79" i="39" s="1"/>
  <c r="P78" i="39"/>
  <c r="P79" i="39" s="1"/>
  <c r="N78" i="39"/>
  <c r="N79" i="39" s="1"/>
  <c r="L78" i="39"/>
  <c r="L79" i="39" s="1"/>
  <c r="K78" i="39"/>
  <c r="K79" i="39" s="1"/>
  <c r="J78" i="39"/>
  <c r="J79" i="39" s="1"/>
  <c r="AL77" i="39"/>
  <c r="AL76" i="39"/>
  <c r="AG77" i="39"/>
  <c r="AG76" i="39"/>
  <c r="AB77" i="39"/>
  <c r="AB76" i="39"/>
  <c r="W77" i="39"/>
  <c r="W76" i="39"/>
  <c r="O77" i="39"/>
  <c r="R77" i="39" s="1"/>
  <c r="O76" i="39"/>
  <c r="R76" i="39" s="1"/>
  <c r="M77" i="39"/>
  <c r="M76" i="39"/>
  <c r="BL69" i="39"/>
  <c r="BG69" i="39"/>
  <c r="BB69" i="39"/>
  <c r="AM69" i="39"/>
  <c r="AH69" i="39"/>
  <c r="AC69" i="39"/>
  <c r="X69" i="39"/>
  <c r="BK69" i="39"/>
  <c r="BJ69" i="39"/>
  <c r="BI69" i="39"/>
  <c r="BH69" i="39"/>
  <c r="BF69" i="39"/>
  <c r="BE69" i="39"/>
  <c r="BD69" i="39"/>
  <c r="BC69" i="39"/>
  <c r="BA69" i="39"/>
  <c r="AZ69" i="39"/>
  <c r="AY69" i="39"/>
  <c r="AX69" i="39"/>
  <c r="AL69" i="39"/>
  <c r="AK69" i="39"/>
  <c r="AJ69" i="39"/>
  <c r="AI69" i="39"/>
  <c r="AG69" i="39"/>
  <c r="AF69" i="39"/>
  <c r="AE69" i="39"/>
  <c r="AD69" i="39"/>
  <c r="AB69" i="39"/>
  <c r="AA69" i="39"/>
  <c r="Z69" i="39"/>
  <c r="Y69" i="39"/>
  <c r="W69" i="39"/>
  <c r="V69" i="39"/>
  <c r="U69" i="39"/>
  <c r="T69" i="39"/>
  <c r="M71" i="39"/>
  <c r="L71" i="39"/>
  <c r="K71" i="39"/>
  <c r="J71" i="39"/>
  <c r="M70" i="39"/>
  <c r="L70" i="39"/>
  <c r="K70" i="39"/>
  <c r="J70" i="39"/>
  <c r="M69" i="39"/>
  <c r="L69" i="39"/>
  <c r="K69" i="39"/>
  <c r="J69" i="39"/>
  <c r="BK67" i="39"/>
  <c r="BJ67" i="39"/>
  <c r="BI67" i="39"/>
  <c r="BH67" i="39"/>
  <c r="BF67" i="39"/>
  <c r="BK65" i="39"/>
  <c r="BK114" i="39" s="1"/>
  <c r="BK64" i="39"/>
  <c r="BK110" i="39" s="1"/>
  <c r="BF65" i="39"/>
  <c r="BF114" i="39" s="1"/>
  <c r="BF64" i="39"/>
  <c r="BF110" i="39" s="1"/>
  <c r="BA65" i="39"/>
  <c r="BA114" i="39" s="1"/>
  <c r="BA64" i="39"/>
  <c r="BA110" i="39" s="1"/>
  <c r="AM64" i="39"/>
  <c r="AK64" i="39"/>
  <c r="AJ64" i="39"/>
  <c r="AI64" i="39"/>
  <c r="AH64" i="39"/>
  <c r="AF64" i="39"/>
  <c r="AE64" i="39"/>
  <c r="AD64" i="39"/>
  <c r="AC64" i="39"/>
  <c r="AA64" i="39"/>
  <c r="Z64" i="39"/>
  <c r="Y64" i="39"/>
  <c r="X64" i="39"/>
  <c r="V64" i="39"/>
  <c r="U64" i="39"/>
  <c r="S64" i="39"/>
  <c r="Q64" i="39"/>
  <c r="P64" i="39"/>
  <c r="BK59" i="39"/>
  <c r="BJ59" i="39"/>
  <c r="BI59" i="39"/>
  <c r="BH59" i="39"/>
  <c r="BF59" i="39"/>
  <c r="BE59" i="39"/>
  <c r="BD59" i="39"/>
  <c r="BC59" i="39"/>
  <c r="BK57" i="39"/>
  <c r="BJ57" i="39"/>
  <c r="BI57" i="39"/>
  <c r="BH57" i="39"/>
  <c r="BF57" i="39"/>
  <c r="BE57" i="39"/>
  <c r="BD57" i="39"/>
  <c r="BC57" i="39"/>
  <c r="BA57" i="39"/>
  <c r="AZ57" i="39"/>
  <c r="AY57" i="39"/>
  <c r="AX57" i="39"/>
  <c r="AM38" i="39"/>
  <c r="AL38" i="39"/>
  <c r="AK38" i="39"/>
  <c r="AJ38" i="39"/>
  <c r="AI38" i="39"/>
  <c r="AH38" i="39"/>
  <c r="AG38" i="39"/>
  <c r="AF38" i="39"/>
  <c r="AE38" i="39"/>
  <c r="AD38" i="39"/>
  <c r="AC38" i="39"/>
  <c r="AB38" i="39"/>
  <c r="AA38" i="39"/>
  <c r="Z38" i="39"/>
  <c r="Y38" i="39"/>
  <c r="X38" i="39"/>
  <c r="W38" i="39"/>
  <c r="V38" i="39"/>
  <c r="U38" i="39"/>
  <c r="T38" i="39"/>
  <c r="S38" i="39"/>
  <c r="R38" i="39"/>
  <c r="Q38" i="39"/>
  <c r="P38" i="39"/>
  <c r="O38" i="39"/>
  <c r="N38" i="39"/>
  <c r="M38" i="39"/>
  <c r="L38" i="39"/>
  <c r="K38" i="39"/>
  <c r="J38" i="39"/>
  <c r="I38" i="39"/>
  <c r="AM37" i="39"/>
  <c r="AL37" i="39"/>
  <c r="AK37" i="39"/>
  <c r="AJ37" i="39"/>
  <c r="AI37" i="39"/>
  <c r="AH37" i="39"/>
  <c r="AG37" i="39"/>
  <c r="AF37" i="39"/>
  <c r="AE37" i="39"/>
  <c r="AD37" i="39"/>
  <c r="AC37" i="39"/>
  <c r="AB37" i="39"/>
  <c r="AA37" i="39"/>
  <c r="Z37" i="39"/>
  <c r="Y37" i="39"/>
  <c r="X37" i="39"/>
  <c r="W37" i="39"/>
  <c r="V37" i="39"/>
  <c r="U37" i="39"/>
  <c r="T37" i="39"/>
  <c r="S37" i="39"/>
  <c r="R37" i="39"/>
  <c r="Q37" i="39"/>
  <c r="P37" i="39"/>
  <c r="O37" i="39"/>
  <c r="N37" i="39"/>
  <c r="M37" i="39"/>
  <c r="L37" i="39"/>
  <c r="K37" i="39"/>
  <c r="J37" i="39"/>
  <c r="I37" i="39"/>
  <c r="BL34" i="39"/>
  <c r="BG34" i="39"/>
  <c r="BB34" i="39"/>
  <c r="AL34" i="39"/>
  <c r="AG34" i="39"/>
  <c r="AC34" i="39"/>
  <c r="X34" i="39"/>
  <c r="V34" i="39"/>
  <c r="U34" i="39"/>
  <c r="S34" i="39"/>
  <c r="Q34" i="39"/>
  <c r="P34" i="39"/>
  <c r="O34" i="39" s="1"/>
  <c r="N34" i="39"/>
  <c r="L34" i="39"/>
  <c r="K34" i="39"/>
  <c r="AL31" i="39"/>
  <c r="AG31" i="39"/>
  <c r="AB31" i="39"/>
  <c r="T31" i="39"/>
  <c r="T31" i="42" s="1"/>
  <c r="O31" i="39"/>
  <c r="M31" i="39"/>
  <c r="AM27" i="39"/>
  <c r="AK27" i="39"/>
  <c r="AJ27" i="39"/>
  <c r="AI27" i="39"/>
  <c r="AH27" i="39"/>
  <c r="AF27" i="39"/>
  <c r="AE27" i="39"/>
  <c r="AD27" i="39"/>
  <c r="AC27" i="39"/>
  <c r="AA27" i="39"/>
  <c r="Z27" i="39"/>
  <c r="Y27" i="39"/>
  <c r="X27" i="39"/>
  <c r="V27" i="39"/>
  <c r="U27" i="39"/>
  <c r="T27" i="39"/>
  <c r="S27" i="39"/>
  <c r="Q27" i="39"/>
  <c r="P27" i="39"/>
  <c r="N27" i="39"/>
  <c r="L27" i="39"/>
  <c r="K27" i="39"/>
  <c r="J27" i="39"/>
  <c r="I27" i="39"/>
  <c r="AL26" i="39"/>
  <c r="AL25" i="39"/>
  <c r="AG26" i="39"/>
  <c r="AG25" i="39"/>
  <c r="AB26" i="39"/>
  <c r="AB25" i="39"/>
  <c r="W26" i="39"/>
  <c r="W25" i="39"/>
  <c r="O26" i="39"/>
  <c r="R26" i="39" s="1"/>
  <c r="O25" i="39"/>
  <c r="M26" i="39"/>
  <c r="M25" i="39"/>
  <c r="M188" i="39" s="1"/>
  <c r="AZ26" i="39"/>
  <c r="BE26" i="39" s="1"/>
  <c r="BJ26" i="39" s="1"/>
  <c r="BO26" i="39" s="1"/>
  <c r="AY26" i="39"/>
  <c r="BD26" i="39" s="1"/>
  <c r="BI26" i="39" s="1"/>
  <c r="BN26" i="39" s="1"/>
  <c r="BD20" i="39"/>
  <c r="BI20" i="39" s="1"/>
  <c r="BN20" i="39" s="1"/>
  <c r="AL20" i="39"/>
  <c r="AH20" i="39"/>
  <c r="AG20" i="39" s="1"/>
  <c r="AC20" i="39"/>
  <c r="AA20" i="39"/>
  <c r="X20" i="39"/>
  <c r="W20" i="39" s="1"/>
  <c r="S20" i="39"/>
  <c r="O20" i="39"/>
  <c r="M20" i="39"/>
  <c r="U16" i="39"/>
  <c r="U18" i="39" s="1"/>
  <c r="U22" i="39" s="1"/>
  <c r="P16" i="39"/>
  <c r="P18" i="39" s="1"/>
  <c r="P22" i="39" s="1"/>
  <c r="N16" i="39"/>
  <c r="N18" i="39" s="1"/>
  <c r="N22" i="39" s="1"/>
  <c r="L16" i="39"/>
  <c r="L18" i="39" s="1"/>
  <c r="L22" i="39" s="1"/>
  <c r="K16" i="39"/>
  <c r="K18" i="39" s="1"/>
  <c r="K22" i="39" s="1"/>
  <c r="J16" i="39"/>
  <c r="J18" i="39" s="1"/>
  <c r="J18" i="4" s="1"/>
  <c r="I16" i="39"/>
  <c r="I18" i="39" s="1"/>
  <c r="I22" i="39" s="1"/>
  <c r="AL15" i="39"/>
  <c r="AL113" i="39" s="1"/>
  <c r="AQ114" i="39" s="1"/>
  <c r="AL14" i="39"/>
  <c r="AL148" i="39" s="1"/>
  <c r="AL13" i="39"/>
  <c r="AL12" i="39"/>
  <c r="AG15" i="39"/>
  <c r="AG113" i="39" s="1"/>
  <c r="AG14" i="39"/>
  <c r="AG148" i="39" s="1"/>
  <c r="AG13" i="39"/>
  <c r="AG12" i="39"/>
  <c r="AG107" i="39" s="1"/>
  <c r="AB15" i="39"/>
  <c r="AB113" i="39" s="1"/>
  <c r="AB13" i="39"/>
  <c r="AB12" i="39"/>
  <c r="AB107" i="39" s="1"/>
  <c r="W15" i="39"/>
  <c r="W113" i="39" s="1"/>
  <c r="W14" i="39"/>
  <c r="W13" i="39"/>
  <c r="W205" i="39" s="1"/>
  <c r="W12" i="39"/>
  <c r="W107" i="39" s="1"/>
  <c r="O15" i="39"/>
  <c r="O113" i="39" s="1"/>
  <c r="O14" i="39"/>
  <c r="R14" i="39" s="1"/>
  <c r="O13" i="39"/>
  <c r="R13" i="39" s="1"/>
  <c r="O12" i="39"/>
  <c r="O107" i="39" s="1"/>
  <c r="M15" i="39"/>
  <c r="M113" i="39" s="1"/>
  <c r="M14" i="39"/>
  <c r="M13" i="39"/>
  <c r="M12" i="39"/>
  <c r="M107" i="39" s="1"/>
  <c r="BK14" i="39"/>
  <c r="BF14" i="39"/>
  <c r="BA14" i="39"/>
  <c r="AA14" i="39"/>
  <c r="AA148" i="39" s="1"/>
  <c r="U10" i="39"/>
  <c r="P10" i="39"/>
  <c r="N10" i="39"/>
  <c r="L10" i="39"/>
  <c r="K10" i="39"/>
  <c r="J10" i="39"/>
  <c r="I10" i="39"/>
  <c r="AM9" i="39"/>
  <c r="AM88" i="39" s="1"/>
  <c r="AK9" i="39"/>
  <c r="AK88" i="39" s="1"/>
  <c r="AJ9" i="39"/>
  <c r="AJ88" i="39" s="1"/>
  <c r="AI9" i="39"/>
  <c r="AI88" i="39" s="1"/>
  <c r="AH9" i="39"/>
  <c r="AH16" i="39" s="1"/>
  <c r="AH18" i="39" s="1"/>
  <c r="AF9" i="39"/>
  <c r="AF88" i="39" s="1"/>
  <c r="AE9" i="39"/>
  <c r="AE88" i="39" s="1"/>
  <c r="AD9" i="39"/>
  <c r="AD16" i="39" s="1"/>
  <c r="AD18" i="39" s="1"/>
  <c r="AD18" i="4" s="1"/>
  <c r="AC9" i="39"/>
  <c r="AC88" i="39" s="1"/>
  <c r="AA9" i="39"/>
  <c r="AA88" i="39" s="1"/>
  <c r="Z9" i="39"/>
  <c r="Z16" i="39" s="1"/>
  <c r="Z18" i="39" s="1"/>
  <c r="Z22" i="39" s="1"/>
  <c r="Y9" i="39"/>
  <c r="Y88" i="39" s="1"/>
  <c r="X9" i="39"/>
  <c r="X88" i="39" s="1"/>
  <c r="V9" i="39"/>
  <c r="V16" i="39" s="1"/>
  <c r="V18" i="39" s="1"/>
  <c r="V18" i="4" s="1"/>
  <c r="T9" i="39"/>
  <c r="T16" i="39" s="1"/>
  <c r="T18" i="39" s="1"/>
  <c r="T18" i="4" s="1"/>
  <c r="S9" i="39"/>
  <c r="S88" i="39" s="1"/>
  <c r="Q9" i="39"/>
  <c r="Q88" i="39" s="1"/>
  <c r="O9" i="39"/>
  <c r="O88" i="39" s="1"/>
  <c r="O8" i="39"/>
  <c r="O83" i="39" s="1"/>
  <c r="M9" i="39"/>
  <c r="M88" i="39" s="1"/>
  <c r="M8" i="39"/>
  <c r="M83" i="39" s="1"/>
  <c r="AL8" i="39"/>
  <c r="AL83" i="39" s="1"/>
  <c r="AG8" i="39"/>
  <c r="AG83" i="39" s="1"/>
  <c r="AB8" i="39"/>
  <c r="W8" i="39"/>
  <c r="W83" i="39" s="1"/>
  <c r="AM248" i="4"/>
  <c r="AK248" i="4"/>
  <c r="AJ248" i="4"/>
  <c r="AI248" i="4"/>
  <c r="AH248" i="4"/>
  <c r="AF248" i="4"/>
  <c r="AE248" i="4"/>
  <c r="AD248" i="4"/>
  <c r="AC248" i="4"/>
  <c r="AA248" i="4"/>
  <c r="Z248" i="4"/>
  <c r="Y248" i="4"/>
  <c r="X248" i="4"/>
  <c r="V248" i="4"/>
  <c r="T248" i="4"/>
  <c r="Q248" i="4"/>
  <c r="AC244" i="4"/>
  <c r="AD244" i="4" s="1"/>
  <c r="AE244" i="4" s="1"/>
  <c r="AF244" i="4" s="1"/>
  <c r="AG244" i="4" s="1"/>
  <c r="AH244" i="4" s="1"/>
  <c r="AI244" i="4" s="1"/>
  <c r="AJ244" i="4" s="1"/>
  <c r="AK244" i="4" s="1"/>
  <c r="AL244" i="4" s="1"/>
  <c r="AM244" i="4" s="1"/>
  <c r="AN244" i="4" s="1"/>
  <c r="X244" i="4"/>
  <c r="V244" i="4" s="1"/>
  <c r="S244" i="4"/>
  <c r="R244" i="4" s="1"/>
  <c r="N244" i="4"/>
  <c r="L244" i="4" s="1"/>
  <c r="I244" i="4"/>
  <c r="H244" i="4" s="1"/>
  <c r="AM221" i="4"/>
  <c r="AH221" i="4"/>
  <c r="AC221" i="4"/>
  <c r="X221" i="4"/>
  <c r="S221" i="4"/>
  <c r="N221" i="4"/>
  <c r="I221" i="4"/>
  <c r="AL202" i="4"/>
  <c r="AM202" i="4" s="1"/>
  <c r="DE12" i="3" s="1"/>
  <c r="AK202" i="4"/>
  <c r="DC12" i="3" s="1"/>
  <c r="AJ202" i="4"/>
  <c r="DB12" i="3" s="1"/>
  <c r="AI202" i="4"/>
  <c r="DA12" i="3" s="1"/>
  <c r="AG202" i="4"/>
  <c r="AH202" i="4" s="1"/>
  <c r="CZ12" i="3" s="1"/>
  <c r="AF202" i="4"/>
  <c r="CX12" i="3" s="1"/>
  <c r="AE202" i="4"/>
  <c r="CW12" i="3" s="1"/>
  <c r="AD202" i="4"/>
  <c r="CV12" i="3" s="1"/>
  <c r="AB202" i="4"/>
  <c r="AC202" i="4" s="1"/>
  <c r="CU12" i="3" s="1"/>
  <c r="AA202" i="4"/>
  <c r="CS12" i="3" s="1"/>
  <c r="Z202" i="4"/>
  <c r="CR12" i="3" s="1"/>
  <c r="Y202" i="4"/>
  <c r="CQ12" i="3" s="1"/>
  <c r="W202" i="4"/>
  <c r="X202" i="4" s="1"/>
  <c r="CP12" i="3" s="1"/>
  <c r="V202" i="4"/>
  <c r="CN12" i="3" s="1"/>
  <c r="U202" i="4"/>
  <c r="CM12" i="3" s="1"/>
  <c r="T202" i="4"/>
  <c r="CL12" i="3" s="1"/>
  <c r="R202" i="4"/>
  <c r="CJ12" i="3" s="1"/>
  <c r="Q202" i="4"/>
  <c r="CI12" i="3" s="1"/>
  <c r="P202" i="4"/>
  <c r="CH12" i="3" s="1"/>
  <c r="O202" i="4"/>
  <c r="CG12" i="3" s="1"/>
  <c r="M202" i="4"/>
  <c r="CE12" i="3" s="1"/>
  <c r="L202" i="4"/>
  <c r="CD12" i="3" s="1"/>
  <c r="K202" i="4"/>
  <c r="CC12" i="3" s="1"/>
  <c r="J202" i="4"/>
  <c r="CB12" i="3" s="1"/>
  <c r="H202" i="4"/>
  <c r="G202" i="4"/>
  <c r="F202" i="4"/>
  <c r="E202" i="4"/>
  <c r="AL201" i="4"/>
  <c r="DD11" i="3" s="1"/>
  <c r="AK201" i="4"/>
  <c r="DC11" i="3" s="1"/>
  <c r="AJ201" i="4"/>
  <c r="DB11" i="3" s="1"/>
  <c r="AI201" i="4"/>
  <c r="DA11" i="3" s="1"/>
  <c r="AG201" i="4"/>
  <c r="AG203" i="4" s="1"/>
  <c r="AF201" i="4"/>
  <c r="AF203" i="4" s="1"/>
  <c r="AE201" i="4"/>
  <c r="AE203" i="4" s="1"/>
  <c r="AD201" i="4"/>
  <c r="AB201" i="4"/>
  <c r="AB203" i="4" s="1"/>
  <c r="AA201" i="4"/>
  <c r="AA203" i="4" s="1"/>
  <c r="Z201" i="4"/>
  <c r="Z203" i="4" s="1"/>
  <c r="Y201" i="4"/>
  <c r="Y203" i="4" s="1"/>
  <c r="W201" i="4"/>
  <c r="W203" i="4" s="1"/>
  <c r="V201" i="4"/>
  <c r="V203" i="4" s="1"/>
  <c r="U201" i="4"/>
  <c r="CM11" i="3" s="1"/>
  <c r="T201" i="4"/>
  <c r="T203" i="4" s="1"/>
  <c r="R201" i="4"/>
  <c r="R203" i="4" s="1"/>
  <c r="Q201" i="4"/>
  <c r="P201" i="4"/>
  <c r="CH11" i="3" s="1"/>
  <c r="O201" i="4"/>
  <c r="O203" i="4" s="1"/>
  <c r="M201" i="4"/>
  <c r="L201" i="4"/>
  <c r="L203" i="4" s="1"/>
  <c r="K201" i="4"/>
  <c r="CC11" i="3" s="1"/>
  <c r="J201" i="4"/>
  <c r="J203" i="4" s="1"/>
  <c r="H201" i="4"/>
  <c r="H203" i="4" s="1"/>
  <c r="G201" i="4"/>
  <c r="G203" i="4" s="1"/>
  <c r="F201" i="4"/>
  <c r="E201" i="4"/>
  <c r="E203" i="4" s="1"/>
  <c r="AL199" i="4"/>
  <c r="DD9" i="3" s="1"/>
  <c r="AK199" i="4"/>
  <c r="DC9" i="3" s="1"/>
  <c r="AJ199" i="4"/>
  <c r="DB9" i="3" s="1"/>
  <c r="AI199" i="4"/>
  <c r="DA9" i="3" s="1"/>
  <c r="AG199" i="4"/>
  <c r="CY9" i="3" s="1"/>
  <c r="AF199" i="4"/>
  <c r="CX9" i="3" s="1"/>
  <c r="AE199" i="4"/>
  <c r="CW9" i="3" s="1"/>
  <c r="AD199" i="4"/>
  <c r="CV9" i="3" s="1"/>
  <c r="AB199" i="4"/>
  <c r="CT9" i="3" s="1"/>
  <c r="AA199" i="4"/>
  <c r="CS9" i="3" s="1"/>
  <c r="Z199" i="4"/>
  <c r="CR9" i="3" s="1"/>
  <c r="Y199" i="4"/>
  <c r="CQ9" i="3" s="1"/>
  <c r="W199" i="4"/>
  <c r="CO9" i="3" s="1"/>
  <c r="V199" i="4"/>
  <c r="CN9" i="3" s="1"/>
  <c r="U199" i="4"/>
  <c r="CM9" i="3" s="1"/>
  <c r="R199" i="4"/>
  <c r="CJ9" i="3" s="1"/>
  <c r="Q199" i="4"/>
  <c r="CI9" i="3" s="1"/>
  <c r="P199" i="4"/>
  <c r="CH9" i="3" s="1"/>
  <c r="O199" i="4"/>
  <c r="CG9" i="3" s="1"/>
  <c r="M199" i="4"/>
  <c r="CE9" i="3" s="1"/>
  <c r="L199" i="4"/>
  <c r="CD9" i="3" s="1"/>
  <c r="K199" i="4"/>
  <c r="CC9" i="3" s="1"/>
  <c r="J199" i="4"/>
  <c r="CB9" i="3" s="1"/>
  <c r="H199" i="4"/>
  <c r="G199" i="4"/>
  <c r="F199" i="4"/>
  <c r="E199" i="4"/>
  <c r="AL191" i="4"/>
  <c r="AL209" i="4" s="1"/>
  <c r="DD16" i="3" s="1"/>
  <c r="AK191" i="4"/>
  <c r="AK209" i="4" s="1"/>
  <c r="DC16" i="3" s="1"/>
  <c r="AJ191" i="4"/>
  <c r="AJ209" i="4" s="1"/>
  <c r="DB16" i="3" s="1"/>
  <c r="AI191" i="4"/>
  <c r="AI209" i="4" s="1"/>
  <c r="DA16" i="3" s="1"/>
  <c r="AG191" i="4"/>
  <c r="AG209" i="4" s="1"/>
  <c r="CY16" i="3" s="1"/>
  <c r="AF191" i="4"/>
  <c r="AF209" i="4" s="1"/>
  <c r="CX16" i="3" s="1"/>
  <c r="AE191" i="4"/>
  <c r="AE209" i="4" s="1"/>
  <c r="CW16" i="3" s="1"/>
  <c r="AD191" i="4"/>
  <c r="AD209" i="4" s="1"/>
  <c r="CV16" i="3" s="1"/>
  <c r="AB191" i="4"/>
  <c r="AB209" i="4" s="1"/>
  <c r="CT16" i="3" s="1"/>
  <c r="AA191" i="4"/>
  <c r="AA209" i="4" s="1"/>
  <c r="CS16" i="3" s="1"/>
  <c r="Z191" i="4"/>
  <c r="Z209" i="4" s="1"/>
  <c r="CR16" i="3" s="1"/>
  <c r="Y191" i="4"/>
  <c r="Y209" i="4" s="1"/>
  <c r="CQ16" i="3" s="1"/>
  <c r="W191" i="4"/>
  <c r="W209" i="4" s="1"/>
  <c r="CO16" i="3" s="1"/>
  <c r="V191" i="4"/>
  <c r="V209" i="4" s="1"/>
  <c r="CN16" i="3" s="1"/>
  <c r="U191" i="4"/>
  <c r="U209" i="4" s="1"/>
  <c r="CM16" i="3" s="1"/>
  <c r="T191" i="4"/>
  <c r="T209" i="4" s="1"/>
  <c r="CL16" i="3" s="1"/>
  <c r="R191" i="4"/>
  <c r="R209" i="4" s="1"/>
  <c r="CJ16" i="3" s="1"/>
  <c r="Q191" i="4"/>
  <c r="Q209" i="4" s="1"/>
  <c r="CI16" i="3" s="1"/>
  <c r="P191" i="4"/>
  <c r="P209" i="4" s="1"/>
  <c r="CH16" i="3" s="1"/>
  <c r="O191" i="4"/>
  <c r="O209" i="4" s="1"/>
  <c r="CG16" i="3" s="1"/>
  <c r="M191" i="4"/>
  <c r="M209" i="4" s="1"/>
  <c r="CE16" i="3" s="1"/>
  <c r="L191" i="4"/>
  <c r="L209" i="4" s="1"/>
  <c r="CD16" i="3" s="1"/>
  <c r="K191" i="4"/>
  <c r="K209" i="4" s="1"/>
  <c r="CC16" i="3" s="1"/>
  <c r="J191" i="4"/>
  <c r="J209" i="4" s="1"/>
  <c r="CB16" i="3" s="1"/>
  <c r="H191" i="4"/>
  <c r="H209" i="4" s="1"/>
  <c r="G191" i="4"/>
  <c r="G209" i="4" s="1"/>
  <c r="F191" i="4"/>
  <c r="F209" i="4" s="1"/>
  <c r="E191" i="4"/>
  <c r="E209" i="4" s="1"/>
  <c r="AH190" i="4"/>
  <c r="AH189" i="4"/>
  <c r="AH188" i="4"/>
  <c r="AH187" i="4"/>
  <c r="AC190" i="4"/>
  <c r="AC189" i="4"/>
  <c r="AC188" i="4"/>
  <c r="AC187" i="4"/>
  <c r="X190" i="4"/>
  <c r="X189" i="4"/>
  <c r="X188" i="4"/>
  <c r="X187" i="4"/>
  <c r="S190" i="4"/>
  <c r="S189" i="4"/>
  <c r="S188" i="4"/>
  <c r="S187" i="4"/>
  <c r="N190" i="4"/>
  <c r="N189" i="4"/>
  <c r="N188" i="4"/>
  <c r="N187" i="4"/>
  <c r="I190" i="4"/>
  <c r="I189" i="4"/>
  <c r="I188" i="4"/>
  <c r="I187" i="4"/>
  <c r="AM190" i="4"/>
  <c r="AX190" i="4" s="1"/>
  <c r="AY190" i="4" s="1"/>
  <c r="AZ190" i="4" s="1"/>
  <c r="BA190" i="4" s="1"/>
  <c r="BB190" i="4" s="1"/>
  <c r="BC190" i="4" s="1"/>
  <c r="BD190" i="4" s="1"/>
  <c r="BE190" i="4" s="1"/>
  <c r="BF190" i="4" s="1"/>
  <c r="BG190" i="4" s="1"/>
  <c r="BH190" i="4" s="1"/>
  <c r="BI190" i="4" s="1"/>
  <c r="BJ190" i="4" s="1"/>
  <c r="BK190" i="4" s="1"/>
  <c r="BL190" i="4" s="1"/>
  <c r="BM190" i="4" s="1"/>
  <c r="BN190" i="4" s="1"/>
  <c r="BO190" i="4" s="1"/>
  <c r="BP190" i="4" s="1"/>
  <c r="BQ190" i="4" s="1"/>
  <c r="AM189" i="4"/>
  <c r="AM188" i="4"/>
  <c r="AM187" i="4"/>
  <c r="AM185" i="4"/>
  <c r="AH185" i="4"/>
  <c r="AC185" i="4"/>
  <c r="X185" i="4"/>
  <c r="S185" i="4"/>
  <c r="N185" i="4"/>
  <c r="I185" i="4"/>
  <c r="AL182" i="4"/>
  <c r="AM182" i="4" s="1"/>
  <c r="AK182" i="4"/>
  <c r="AJ182" i="4"/>
  <c r="AI182" i="4"/>
  <c r="AG182" i="4"/>
  <c r="AH182" i="4" s="1"/>
  <c r="AF182" i="4"/>
  <c r="AE182" i="4"/>
  <c r="AD182" i="4"/>
  <c r="AB182" i="4"/>
  <c r="AC182" i="4" s="1"/>
  <c r="AA182" i="4"/>
  <c r="Z182" i="4"/>
  <c r="Y182" i="4"/>
  <c r="W182" i="4"/>
  <c r="X182" i="4" s="1"/>
  <c r="V182" i="4"/>
  <c r="U182" i="4"/>
  <c r="T182" i="4"/>
  <c r="R182" i="4"/>
  <c r="S182" i="4" s="1"/>
  <c r="Q182" i="4"/>
  <c r="P182" i="4"/>
  <c r="O182" i="4"/>
  <c r="M182" i="4"/>
  <c r="N182" i="4" s="1"/>
  <c r="L182" i="4"/>
  <c r="K182" i="4"/>
  <c r="J182" i="4"/>
  <c r="H182" i="4"/>
  <c r="I182" i="4" s="1"/>
  <c r="G182" i="4"/>
  <c r="F182" i="4"/>
  <c r="E182" i="4"/>
  <c r="AH181" i="4"/>
  <c r="AH180" i="4"/>
  <c r="AC181" i="4"/>
  <c r="AC180" i="4"/>
  <c r="X181" i="4"/>
  <c r="X180" i="4"/>
  <c r="S181" i="4"/>
  <c r="S180" i="4"/>
  <c r="N181" i="4"/>
  <c r="N180" i="4"/>
  <c r="I181" i="4"/>
  <c r="I180" i="4"/>
  <c r="AM181" i="4"/>
  <c r="AM180" i="4"/>
  <c r="AL177" i="4"/>
  <c r="AL178" i="4" s="1"/>
  <c r="AK177" i="4"/>
  <c r="AK178" i="4" s="1"/>
  <c r="AJ177" i="4"/>
  <c r="AJ178" i="4" s="1"/>
  <c r="AI177" i="4"/>
  <c r="AI178" i="4" s="1"/>
  <c r="AG177" i="4"/>
  <c r="AG178" i="4" s="1"/>
  <c r="AF177" i="4"/>
  <c r="AF178" i="4" s="1"/>
  <c r="AE177" i="4"/>
  <c r="AE178" i="4" s="1"/>
  <c r="AD177" i="4"/>
  <c r="AD178" i="4" s="1"/>
  <c r="AB177" i="4"/>
  <c r="AC177" i="4" s="1"/>
  <c r="AA177" i="4"/>
  <c r="AA178" i="4" s="1"/>
  <c r="Z177" i="4"/>
  <c r="Z178" i="4" s="1"/>
  <c r="Y177" i="4"/>
  <c r="Y178" i="4" s="1"/>
  <c r="W177" i="4"/>
  <c r="W178" i="4" s="1"/>
  <c r="V177" i="4"/>
  <c r="V178" i="4" s="1"/>
  <c r="U177" i="4"/>
  <c r="U178" i="4" s="1"/>
  <c r="T177" i="4"/>
  <c r="T178" i="4" s="1"/>
  <c r="R177" i="4"/>
  <c r="R178" i="4" s="1"/>
  <c r="Q177" i="4"/>
  <c r="Q178" i="4" s="1"/>
  <c r="P177" i="4"/>
  <c r="P178" i="4" s="1"/>
  <c r="O177" i="4"/>
  <c r="O178" i="4" s="1"/>
  <c r="M177" i="4"/>
  <c r="M178" i="4" s="1"/>
  <c r="L177" i="4"/>
  <c r="L178" i="4" s="1"/>
  <c r="K177" i="4"/>
  <c r="K178" i="4" s="1"/>
  <c r="J177" i="4"/>
  <c r="J178" i="4" s="1"/>
  <c r="H177" i="4"/>
  <c r="H178" i="4" s="1"/>
  <c r="G177" i="4"/>
  <c r="G178" i="4" s="1"/>
  <c r="F177" i="4"/>
  <c r="F178" i="4" s="1"/>
  <c r="E177" i="4"/>
  <c r="E178" i="4" s="1"/>
  <c r="AM176" i="4"/>
  <c r="AX176" i="4" s="1"/>
  <c r="AY176" i="4" s="1"/>
  <c r="AZ176" i="4" s="1"/>
  <c r="BA176" i="4" s="1"/>
  <c r="BB176" i="4" s="1"/>
  <c r="BC176" i="4" s="1"/>
  <c r="BD176" i="4" s="1"/>
  <c r="BE176" i="4" s="1"/>
  <c r="BF176" i="4" s="1"/>
  <c r="BG176" i="4" s="1"/>
  <c r="BH176" i="4" s="1"/>
  <c r="BI176" i="4" s="1"/>
  <c r="BJ176" i="4" s="1"/>
  <c r="BK176" i="4" s="1"/>
  <c r="BL176" i="4" s="1"/>
  <c r="BM176" i="4" s="1"/>
  <c r="BN176" i="4" s="1"/>
  <c r="BO176" i="4" s="1"/>
  <c r="BP176" i="4" s="1"/>
  <c r="BQ176" i="4" s="1"/>
  <c r="AH176" i="4"/>
  <c r="AH175" i="4"/>
  <c r="AH174" i="4"/>
  <c r="AC176" i="4"/>
  <c r="AC175" i="4"/>
  <c r="AC174" i="4"/>
  <c r="X176" i="4"/>
  <c r="X175" i="4"/>
  <c r="X174" i="4"/>
  <c r="S176" i="4"/>
  <c r="S175" i="4"/>
  <c r="S174" i="4"/>
  <c r="N176" i="4"/>
  <c r="N175" i="4"/>
  <c r="N174" i="4"/>
  <c r="N201" i="4" s="1"/>
  <c r="CF11" i="3" s="1"/>
  <c r="I176" i="4"/>
  <c r="I175" i="4"/>
  <c r="I202" i="4" s="1"/>
  <c r="CA12" i="3" s="1"/>
  <c r="I174" i="4"/>
  <c r="I201" i="4" s="1"/>
  <c r="CA11" i="3" s="1"/>
  <c r="BL175" i="4"/>
  <c r="AM175" i="4"/>
  <c r="AM174" i="4"/>
  <c r="AH171" i="4"/>
  <c r="AH170" i="4"/>
  <c r="AH169" i="4"/>
  <c r="AH168" i="4"/>
  <c r="AB171" i="4"/>
  <c r="AC171" i="4" s="1"/>
  <c r="AA171" i="4"/>
  <c r="X171" i="4"/>
  <c r="X170" i="4"/>
  <c r="X169" i="4"/>
  <c r="X168" i="4"/>
  <c r="S171" i="4"/>
  <c r="S170" i="4"/>
  <c r="S169" i="4"/>
  <c r="S168" i="4"/>
  <c r="Q171" i="4"/>
  <c r="P171" i="4"/>
  <c r="O171" i="4"/>
  <c r="N171" i="4"/>
  <c r="L171" i="4"/>
  <c r="K171" i="4"/>
  <c r="J171" i="4"/>
  <c r="H171" i="4"/>
  <c r="I171" i="4" s="1"/>
  <c r="G171" i="4"/>
  <c r="F171" i="4"/>
  <c r="E171" i="4"/>
  <c r="AC170" i="4"/>
  <c r="AC169" i="4"/>
  <c r="AC168" i="4"/>
  <c r="N170" i="4"/>
  <c r="N169" i="4"/>
  <c r="I170" i="4"/>
  <c r="I169" i="4"/>
  <c r="AM171" i="4"/>
  <c r="AX171" i="4" s="1"/>
  <c r="AY171" i="4" s="1"/>
  <c r="AZ171" i="4" s="1"/>
  <c r="BA171" i="4" s="1"/>
  <c r="BB171" i="4" s="1"/>
  <c r="BC171" i="4" s="1"/>
  <c r="BD171" i="4" s="1"/>
  <c r="BE171" i="4" s="1"/>
  <c r="BF171" i="4" s="1"/>
  <c r="BG171" i="4" s="1"/>
  <c r="BH171" i="4" s="1"/>
  <c r="BI171" i="4" s="1"/>
  <c r="BJ171" i="4" s="1"/>
  <c r="BK171" i="4" s="1"/>
  <c r="BL171" i="4" s="1"/>
  <c r="BM171" i="4" s="1"/>
  <c r="BN171" i="4" s="1"/>
  <c r="BO171" i="4" s="1"/>
  <c r="BP171" i="4" s="1"/>
  <c r="BQ171" i="4" s="1"/>
  <c r="AM170" i="4"/>
  <c r="AX170" i="4" s="1"/>
  <c r="AY170" i="4" s="1"/>
  <c r="AZ170" i="4" s="1"/>
  <c r="BA170" i="4" s="1"/>
  <c r="BB170" i="4" s="1"/>
  <c r="BC170" i="4" s="1"/>
  <c r="BD170" i="4" s="1"/>
  <c r="BE170" i="4" s="1"/>
  <c r="BF170" i="4" s="1"/>
  <c r="BG170" i="4" s="1"/>
  <c r="BH170" i="4" s="1"/>
  <c r="BI170" i="4" s="1"/>
  <c r="BJ170" i="4" s="1"/>
  <c r="BK170" i="4" s="1"/>
  <c r="BL170" i="4" s="1"/>
  <c r="BM170" i="4" s="1"/>
  <c r="BN170" i="4" s="1"/>
  <c r="BO170" i="4" s="1"/>
  <c r="BP170" i="4" s="1"/>
  <c r="BQ170" i="4" s="1"/>
  <c r="AM169" i="4"/>
  <c r="AX169" i="4" s="1"/>
  <c r="AY169" i="4" s="1"/>
  <c r="AZ169" i="4" s="1"/>
  <c r="BA169" i="4" s="1"/>
  <c r="BB169" i="4" s="1"/>
  <c r="BC169" i="4" s="1"/>
  <c r="BD169" i="4" s="1"/>
  <c r="BE169" i="4" s="1"/>
  <c r="BF169" i="4" s="1"/>
  <c r="BG169" i="4" s="1"/>
  <c r="BH169" i="4" s="1"/>
  <c r="BI169" i="4" s="1"/>
  <c r="BJ169" i="4" s="1"/>
  <c r="BK169" i="4" s="1"/>
  <c r="BL169" i="4" s="1"/>
  <c r="BM169" i="4" s="1"/>
  <c r="BN169" i="4" s="1"/>
  <c r="BO169" i="4" s="1"/>
  <c r="BP169" i="4" s="1"/>
  <c r="BQ169" i="4" s="1"/>
  <c r="AM168" i="4"/>
  <c r="AX168" i="4" s="1"/>
  <c r="AY168" i="4" s="1"/>
  <c r="AZ168" i="4" s="1"/>
  <c r="BA168" i="4" s="1"/>
  <c r="BB168" i="4" s="1"/>
  <c r="BC168" i="4" s="1"/>
  <c r="BD168" i="4" s="1"/>
  <c r="BE168" i="4" s="1"/>
  <c r="BF168" i="4" s="1"/>
  <c r="BG168" i="4" s="1"/>
  <c r="BH168" i="4" s="1"/>
  <c r="BI168" i="4" s="1"/>
  <c r="BJ168" i="4" s="1"/>
  <c r="BK168" i="4" s="1"/>
  <c r="BL168" i="4" s="1"/>
  <c r="BM168" i="4" s="1"/>
  <c r="BN168" i="4" s="1"/>
  <c r="BO168" i="4" s="1"/>
  <c r="BP168" i="4" s="1"/>
  <c r="BQ168" i="4" s="1"/>
  <c r="P168" i="4"/>
  <c r="O168" i="4"/>
  <c r="M168" i="4"/>
  <c r="N168" i="4" s="1"/>
  <c r="L168" i="4"/>
  <c r="K168" i="4"/>
  <c r="J168" i="4"/>
  <c r="H168" i="4"/>
  <c r="I168" i="4" s="1"/>
  <c r="G168" i="4"/>
  <c r="F168" i="4"/>
  <c r="E168" i="4"/>
  <c r="AL166" i="4"/>
  <c r="AK166" i="4"/>
  <c r="AJ166" i="4"/>
  <c r="AI166" i="4"/>
  <c r="AG166" i="4"/>
  <c r="AF166" i="4"/>
  <c r="AE166" i="4"/>
  <c r="AD166" i="4"/>
  <c r="AB166" i="4"/>
  <c r="AA166" i="4"/>
  <c r="Z166" i="4"/>
  <c r="Y166" i="4"/>
  <c r="W166" i="4"/>
  <c r="V166" i="4"/>
  <c r="U166" i="4"/>
  <c r="T166" i="4"/>
  <c r="R166" i="4"/>
  <c r="Q166" i="4"/>
  <c r="M166" i="4"/>
  <c r="L166" i="4"/>
  <c r="K166" i="4"/>
  <c r="J166" i="4"/>
  <c r="H166" i="4"/>
  <c r="G166" i="4"/>
  <c r="F166" i="4"/>
  <c r="E166" i="4"/>
  <c r="AH165" i="4"/>
  <c r="AH164" i="4"/>
  <c r="AH163" i="4"/>
  <c r="AC165" i="4"/>
  <c r="AC164" i="4"/>
  <c r="AC163" i="4"/>
  <c r="X165" i="4"/>
  <c r="X164" i="4"/>
  <c r="X163" i="4"/>
  <c r="S165" i="4"/>
  <c r="S164" i="4"/>
  <c r="S163" i="4"/>
  <c r="N165" i="4"/>
  <c r="N164" i="4"/>
  <c r="N163" i="4"/>
  <c r="I165" i="4"/>
  <c r="I164" i="4"/>
  <c r="I163" i="4"/>
  <c r="P164" i="4"/>
  <c r="P166" i="4" s="1"/>
  <c r="O164" i="4"/>
  <c r="O166" i="4" s="1"/>
  <c r="AM165" i="4"/>
  <c r="AM164" i="4"/>
  <c r="AX164" i="4" s="1"/>
  <c r="AY164" i="4" s="1"/>
  <c r="AZ164" i="4" s="1"/>
  <c r="BA164" i="4" s="1"/>
  <c r="BB164" i="4" s="1"/>
  <c r="BC164" i="4" s="1"/>
  <c r="BD164" i="4" s="1"/>
  <c r="BE164" i="4" s="1"/>
  <c r="BF164" i="4" s="1"/>
  <c r="BG164" i="4" s="1"/>
  <c r="BH164" i="4" s="1"/>
  <c r="BI164" i="4" s="1"/>
  <c r="BJ164" i="4" s="1"/>
  <c r="BK164" i="4" s="1"/>
  <c r="BL164" i="4" s="1"/>
  <c r="BM164" i="4" s="1"/>
  <c r="BN164" i="4" s="1"/>
  <c r="BO164" i="4" s="1"/>
  <c r="BP164" i="4" s="1"/>
  <c r="BQ164" i="4" s="1"/>
  <c r="AM163" i="4"/>
  <c r="AL160" i="4"/>
  <c r="AM160" i="4" s="1"/>
  <c r="AX160" i="4" s="1"/>
  <c r="AY160" i="4" s="1"/>
  <c r="AZ160" i="4" s="1"/>
  <c r="BA160" i="4" s="1"/>
  <c r="BB160" i="4" s="1"/>
  <c r="BC160" i="4" s="1"/>
  <c r="BD160" i="4" s="1"/>
  <c r="BE160" i="4" s="1"/>
  <c r="BF160" i="4" s="1"/>
  <c r="BG160" i="4" s="1"/>
  <c r="BH160" i="4" s="1"/>
  <c r="BI160" i="4" s="1"/>
  <c r="BJ160" i="4" s="1"/>
  <c r="BK160" i="4" s="1"/>
  <c r="BL160" i="4" s="1"/>
  <c r="BM160" i="4" s="1"/>
  <c r="BN160" i="4" s="1"/>
  <c r="BO160" i="4" s="1"/>
  <c r="BP160" i="4" s="1"/>
  <c r="BQ160" i="4" s="1"/>
  <c r="AK160" i="4"/>
  <c r="AJ160" i="4"/>
  <c r="AI160" i="4"/>
  <c r="AG160" i="4"/>
  <c r="AH160" i="4" s="1"/>
  <c r="AF160" i="4"/>
  <c r="AE160" i="4"/>
  <c r="AD160" i="4"/>
  <c r="AB160" i="4"/>
  <c r="AC160" i="4" s="1"/>
  <c r="AA160" i="4"/>
  <c r="Z160" i="4"/>
  <c r="Y160" i="4"/>
  <c r="W160" i="4"/>
  <c r="X160" i="4" s="1"/>
  <c r="V160" i="4"/>
  <c r="U160" i="4"/>
  <c r="T160" i="4"/>
  <c r="R160" i="4"/>
  <c r="S160" i="4" s="1"/>
  <c r="Q160" i="4"/>
  <c r="P160" i="4"/>
  <c r="O160" i="4"/>
  <c r="M160" i="4"/>
  <c r="N160" i="4" s="1"/>
  <c r="L160" i="4"/>
  <c r="K160" i="4"/>
  <c r="J160" i="4"/>
  <c r="H160" i="4"/>
  <c r="I160" i="4" s="1"/>
  <c r="G160" i="4"/>
  <c r="F160" i="4"/>
  <c r="E160" i="4"/>
  <c r="AH159" i="4"/>
  <c r="AH157" i="4"/>
  <c r="AH199" i="4" s="1"/>
  <c r="CZ9" i="3" s="1"/>
  <c r="AC159" i="4"/>
  <c r="AC157" i="4"/>
  <c r="AC199" i="4" s="1"/>
  <c r="CU9" i="3" s="1"/>
  <c r="X159" i="4"/>
  <c r="X157" i="4"/>
  <c r="X199" i="4" s="1"/>
  <c r="CP9" i="3" s="1"/>
  <c r="S159" i="4"/>
  <c r="S157" i="4"/>
  <c r="S199" i="4" s="1"/>
  <c r="CK9" i="3" s="1"/>
  <c r="N159" i="4"/>
  <c r="N157" i="4"/>
  <c r="N199" i="4" s="1"/>
  <c r="CF9" i="3" s="1"/>
  <c r="I159" i="4"/>
  <c r="I157" i="4"/>
  <c r="I199" i="4" s="1"/>
  <c r="CA9" i="3" s="1"/>
  <c r="AL158" i="4"/>
  <c r="AK158" i="4"/>
  <c r="AJ158" i="4"/>
  <c r="AJ161" i="4" s="1"/>
  <c r="AI158" i="4"/>
  <c r="AG158" i="4"/>
  <c r="AG161" i="4" s="1"/>
  <c r="AF158" i="4"/>
  <c r="AE158" i="4"/>
  <c r="AD158" i="4"/>
  <c r="AB158" i="4"/>
  <c r="AB161" i="4" s="1"/>
  <c r="AA158" i="4"/>
  <c r="AA161" i="4" s="1"/>
  <c r="Z158" i="4"/>
  <c r="Y158" i="4"/>
  <c r="W158" i="4"/>
  <c r="W161" i="4" s="1"/>
  <c r="V158" i="4"/>
  <c r="U158" i="4"/>
  <c r="T158" i="4"/>
  <c r="R158" i="4"/>
  <c r="R161" i="4" s="1"/>
  <c r="Q158" i="4"/>
  <c r="Q161" i="4" s="1"/>
  <c r="P158" i="4"/>
  <c r="O158" i="4"/>
  <c r="O161" i="4" s="1"/>
  <c r="M158" i="4"/>
  <c r="M161" i="4" s="1"/>
  <c r="L158" i="4"/>
  <c r="K158" i="4"/>
  <c r="K161" i="4" s="1"/>
  <c r="J158" i="4"/>
  <c r="H158" i="4"/>
  <c r="H161" i="4" s="1"/>
  <c r="G158" i="4"/>
  <c r="G161" i="4" s="1"/>
  <c r="F158" i="4"/>
  <c r="F161" i="4" s="1"/>
  <c r="E158" i="4"/>
  <c r="E161" i="4" s="1"/>
  <c r="AM159" i="4"/>
  <c r="AX159" i="4" s="1"/>
  <c r="AY159" i="4" s="1"/>
  <c r="AZ159" i="4" s="1"/>
  <c r="BA159" i="4" s="1"/>
  <c r="BB159" i="4" s="1"/>
  <c r="BC159" i="4" s="1"/>
  <c r="BD159" i="4" s="1"/>
  <c r="BE159" i="4" s="1"/>
  <c r="BF159" i="4" s="1"/>
  <c r="BG159" i="4" s="1"/>
  <c r="BH159" i="4" s="1"/>
  <c r="BI159" i="4" s="1"/>
  <c r="BJ159" i="4" s="1"/>
  <c r="BK159" i="4" s="1"/>
  <c r="BL159" i="4" s="1"/>
  <c r="BM159" i="4" s="1"/>
  <c r="BN159" i="4" s="1"/>
  <c r="BO159" i="4" s="1"/>
  <c r="BP159" i="4" s="1"/>
  <c r="BQ159" i="4" s="1"/>
  <c r="AM157" i="4"/>
  <c r="AM199" i="4" s="1"/>
  <c r="DE9" i="3" s="1"/>
  <c r="CF150" i="4"/>
  <c r="CC150" i="4"/>
  <c r="CD150" i="4" s="1"/>
  <c r="E150" i="4"/>
  <c r="DJ147" i="4"/>
  <c r="AM147" i="4" s="1"/>
  <c r="DH147" i="4"/>
  <c r="DG147" i="4"/>
  <c r="DF147" i="4"/>
  <c r="DC147" i="4"/>
  <c r="DB147" i="4"/>
  <c r="DA147" i="4"/>
  <c r="CV147" i="4"/>
  <c r="CU147" i="4"/>
  <c r="X147" i="4" s="1"/>
  <c r="X256" i="4" s="1"/>
  <c r="CR147" i="4"/>
  <c r="CQ147" i="4"/>
  <c r="CP147" i="4"/>
  <c r="S147" i="4" s="1"/>
  <c r="S256" i="4" s="1"/>
  <c r="CN147" i="4"/>
  <c r="CM147" i="4"/>
  <c r="CL147" i="4"/>
  <c r="CK147" i="4"/>
  <c r="N147" i="4" s="1"/>
  <c r="N256" i="4" s="1"/>
  <c r="CI147" i="4"/>
  <c r="CH147" i="4"/>
  <c r="CG147" i="4"/>
  <c r="CF147" i="4"/>
  <c r="I147" i="4" s="1"/>
  <c r="I256" i="4" s="1"/>
  <c r="CD147" i="4"/>
  <c r="CC147" i="4"/>
  <c r="CB147" i="4"/>
  <c r="DI146" i="4"/>
  <c r="DI145" i="4"/>
  <c r="DI144" i="4"/>
  <c r="DI143" i="4"/>
  <c r="DI142" i="4"/>
  <c r="DI141" i="4"/>
  <c r="DD146" i="4"/>
  <c r="DD145" i="4"/>
  <c r="DD144" i="4"/>
  <c r="DD142" i="4"/>
  <c r="DD141" i="4"/>
  <c r="CZ146" i="4"/>
  <c r="CZ147" i="4" s="1"/>
  <c r="AC147" i="4" s="1"/>
  <c r="CX146" i="4"/>
  <c r="CX147" i="4" s="1"/>
  <c r="CW146" i="4"/>
  <c r="CW147" i="4" s="1"/>
  <c r="CT146" i="4"/>
  <c r="CT145" i="4"/>
  <c r="CT144" i="4"/>
  <c r="CT142" i="4"/>
  <c r="CT141" i="4"/>
  <c r="CO146" i="4"/>
  <c r="CO145" i="4"/>
  <c r="CO144" i="4"/>
  <c r="CO143" i="4"/>
  <c r="CO142" i="4"/>
  <c r="CO141" i="4"/>
  <c r="CJ146" i="4"/>
  <c r="CJ145" i="4"/>
  <c r="CJ144" i="4"/>
  <c r="CJ143" i="4"/>
  <c r="CJ142" i="4"/>
  <c r="CJ141" i="4"/>
  <c r="CE146" i="4"/>
  <c r="CE145" i="4"/>
  <c r="CE144" i="4"/>
  <c r="CE143" i="4"/>
  <c r="CE142" i="4"/>
  <c r="CE141" i="4"/>
  <c r="BL146" i="4"/>
  <c r="ED63" i="3" s="1"/>
  <c r="BL143" i="4"/>
  <c r="BG146" i="4"/>
  <c r="DY63" i="3" s="1"/>
  <c r="BG143" i="4"/>
  <c r="BB146" i="4"/>
  <c r="DT63" i="3" s="1"/>
  <c r="BB143" i="4"/>
  <c r="DO63" i="3"/>
  <c r="DJ63" i="3"/>
  <c r="AM146" i="4"/>
  <c r="AL146" i="4" s="1"/>
  <c r="AK146" i="4"/>
  <c r="DC59" i="3" s="1"/>
  <c r="AJ146" i="4"/>
  <c r="DB59" i="3" s="1"/>
  <c r="AI146" i="4"/>
  <c r="DA63" i="3" s="1"/>
  <c r="AH146" i="4"/>
  <c r="AG146" i="4" s="1"/>
  <c r="CY59" i="3" s="1"/>
  <c r="AF146" i="4"/>
  <c r="CX63" i="3" s="1"/>
  <c r="AE146" i="4"/>
  <c r="CW59" i="3" s="1"/>
  <c r="AD146" i="4"/>
  <c r="CV63" i="3" s="1"/>
  <c r="Y146" i="4"/>
  <c r="CQ63" i="3" s="1"/>
  <c r="X146" i="4"/>
  <c r="W146" i="4" s="1"/>
  <c r="CO63" i="3" s="1"/>
  <c r="V146" i="4"/>
  <c r="CN63" i="3" s="1"/>
  <c r="U146" i="4"/>
  <c r="CM63" i="3" s="1"/>
  <c r="T146" i="4"/>
  <c r="CL59" i="3" s="1"/>
  <c r="S146" i="4"/>
  <c r="R146" i="4" s="1"/>
  <c r="Q146" i="4"/>
  <c r="CI59" i="3" s="1"/>
  <c r="P146" i="4"/>
  <c r="CH63" i="3" s="1"/>
  <c r="O146" i="4"/>
  <c r="CG59" i="3" s="1"/>
  <c r="N146" i="4"/>
  <c r="M146" i="4" s="1"/>
  <c r="CE63" i="3" s="1"/>
  <c r="L146" i="4"/>
  <c r="CD63" i="3" s="1"/>
  <c r="K146" i="4"/>
  <c r="CC63" i="3" s="1"/>
  <c r="J146" i="4"/>
  <c r="CB63" i="3" s="1"/>
  <c r="I146" i="4"/>
  <c r="H146" i="4" s="1"/>
  <c r="G146" i="4"/>
  <c r="F146" i="4"/>
  <c r="E146" i="4"/>
  <c r="CY145" i="4"/>
  <c r="CY144" i="4"/>
  <c r="CY143" i="4"/>
  <c r="CY142" i="4"/>
  <c r="CY141" i="4"/>
  <c r="AM145" i="4"/>
  <c r="AM247" i="4" s="1"/>
  <c r="AK145" i="4"/>
  <c r="AK247" i="4" s="1"/>
  <c r="AJ145" i="4"/>
  <c r="AJ247" i="4" s="1"/>
  <c r="AI145" i="4"/>
  <c r="AI247" i="4" s="1"/>
  <c r="AH145" i="4"/>
  <c r="CZ55" i="3" s="1"/>
  <c r="AF145" i="4"/>
  <c r="AF247" i="4" s="1"/>
  <c r="AE145" i="4"/>
  <c r="AE247" i="4" s="1"/>
  <c r="AD145" i="4"/>
  <c r="AD247" i="4" s="1"/>
  <c r="AC145" i="4"/>
  <c r="AC247" i="4" s="1"/>
  <c r="AA145" i="4"/>
  <c r="AA247" i="4" s="1"/>
  <c r="Z145" i="4"/>
  <c r="Z247" i="4" s="1"/>
  <c r="Y145" i="4"/>
  <c r="Y247" i="4" s="1"/>
  <c r="X145" i="4"/>
  <c r="X247" i="4" s="1"/>
  <c r="V145" i="4"/>
  <c r="V247" i="4" s="1"/>
  <c r="U145" i="4"/>
  <c r="U247" i="4" s="1"/>
  <c r="T145" i="4"/>
  <c r="T247" i="4" s="1"/>
  <c r="S145" i="4"/>
  <c r="S64" i="4" s="1"/>
  <c r="Q145" i="4"/>
  <c r="Q247" i="4" s="1"/>
  <c r="P145" i="4"/>
  <c r="P247" i="4" s="1"/>
  <c r="O145" i="4"/>
  <c r="O247" i="4" s="1"/>
  <c r="N145" i="4"/>
  <c r="N247" i="4" s="1"/>
  <c r="L145" i="4"/>
  <c r="L247" i="4" s="1"/>
  <c r="K145" i="4"/>
  <c r="K247" i="4" s="1"/>
  <c r="J145" i="4"/>
  <c r="J247" i="4" s="1"/>
  <c r="I145" i="4"/>
  <c r="I247" i="4" s="1"/>
  <c r="G145" i="4"/>
  <c r="G247" i="4" s="1"/>
  <c r="F145" i="4"/>
  <c r="F247" i="4" s="1"/>
  <c r="E145" i="4"/>
  <c r="E247" i="4" s="1"/>
  <c r="AM144" i="4"/>
  <c r="AM246" i="4" s="1"/>
  <c r="AK144" i="4"/>
  <c r="AK246" i="4" s="1"/>
  <c r="AJ144" i="4"/>
  <c r="AJ246" i="4" s="1"/>
  <c r="AI144" i="4"/>
  <c r="AI246" i="4" s="1"/>
  <c r="AH144" i="4"/>
  <c r="AH246" i="4" s="1"/>
  <c r="AF144" i="4"/>
  <c r="AF246" i="4" s="1"/>
  <c r="AE144" i="4"/>
  <c r="AE246" i="4" s="1"/>
  <c r="AD144" i="4"/>
  <c r="AD246" i="4" s="1"/>
  <c r="AC144" i="4"/>
  <c r="AC246" i="4" s="1"/>
  <c r="AA144" i="4"/>
  <c r="AA246" i="4" s="1"/>
  <c r="Z144" i="4"/>
  <c r="Z246" i="4" s="1"/>
  <c r="Y144" i="4"/>
  <c r="Y246" i="4" s="1"/>
  <c r="X144" i="4"/>
  <c r="X246" i="4" s="1"/>
  <c r="V144" i="4"/>
  <c r="V246" i="4" s="1"/>
  <c r="U144" i="4"/>
  <c r="U246" i="4" s="1"/>
  <c r="T144" i="4"/>
  <c r="T246" i="4" s="1"/>
  <c r="S144" i="4"/>
  <c r="S246" i="4" s="1"/>
  <c r="Q144" i="4"/>
  <c r="Q246" i="4" s="1"/>
  <c r="P144" i="4"/>
  <c r="P246" i="4" s="1"/>
  <c r="O144" i="4"/>
  <c r="O246" i="4" s="1"/>
  <c r="N144" i="4"/>
  <c r="N246" i="4" s="1"/>
  <c r="L144" i="4"/>
  <c r="L246" i="4" s="1"/>
  <c r="K144" i="4"/>
  <c r="K246" i="4" s="1"/>
  <c r="J144" i="4"/>
  <c r="J246" i="4" s="1"/>
  <c r="I144" i="4"/>
  <c r="I246" i="4" s="1"/>
  <c r="G144" i="4"/>
  <c r="G246" i="4" s="1"/>
  <c r="F144" i="4"/>
  <c r="F246" i="4" s="1"/>
  <c r="E144" i="4"/>
  <c r="E246" i="4" s="1"/>
  <c r="DE143" i="4"/>
  <c r="DE147" i="4" s="1"/>
  <c r="AH147" i="4" s="1"/>
  <c r="CS143" i="4"/>
  <c r="CS147" i="4" s="1"/>
  <c r="AM143" i="4"/>
  <c r="AL143" i="4" s="1"/>
  <c r="AK143" i="4"/>
  <c r="DC61" i="3" s="1"/>
  <c r="AJ143" i="4"/>
  <c r="DB61" i="3" s="1"/>
  <c r="AI143" i="4"/>
  <c r="DA62" i="3" s="1"/>
  <c r="AF143" i="4"/>
  <c r="CX61" i="3" s="1"/>
  <c r="AE143" i="4"/>
  <c r="CW62" i="3" s="1"/>
  <c r="AD143" i="4"/>
  <c r="CV62" i="3" s="1"/>
  <c r="AC143" i="4"/>
  <c r="AB143" i="4" s="1"/>
  <c r="CT62" i="3" s="1"/>
  <c r="AA143" i="4"/>
  <c r="CS61" i="3" s="1"/>
  <c r="Z143" i="4"/>
  <c r="CR61" i="3" s="1"/>
  <c r="Y143" i="4"/>
  <c r="CQ61" i="3" s="1"/>
  <c r="X143" i="4"/>
  <c r="CP62" i="3" s="1"/>
  <c r="U143" i="4"/>
  <c r="CM62" i="3" s="1"/>
  <c r="T143" i="4"/>
  <c r="CL61" i="3" s="1"/>
  <c r="S143" i="4"/>
  <c r="R143" i="4" s="1"/>
  <c r="Q143" i="4"/>
  <c r="CI61" i="3" s="1"/>
  <c r="P143" i="4"/>
  <c r="CH61" i="3" s="1"/>
  <c r="O143" i="4"/>
  <c r="CG62" i="3" s="1"/>
  <c r="N143" i="4"/>
  <c r="M143" i="4" s="1"/>
  <c r="CE61" i="3" s="1"/>
  <c r="L143" i="4"/>
  <c r="CD61" i="3" s="1"/>
  <c r="K143" i="4"/>
  <c r="CC62" i="3" s="1"/>
  <c r="J143" i="4"/>
  <c r="CB62" i="3" s="1"/>
  <c r="I143" i="4"/>
  <c r="H143" i="4" s="1"/>
  <c r="G143" i="4"/>
  <c r="F143" i="4"/>
  <c r="E143" i="4"/>
  <c r="AM142" i="4"/>
  <c r="AL142" i="4" s="1"/>
  <c r="AL92" i="4" s="1"/>
  <c r="AK142" i="4"/>
  <c r="DC60" i="3" s="1"/>
  <c r="AJ142" i="4"/>
  <c r="AJ92" i="4" s="1"/>
  <c r="AI142" i="4"/>
  <c r="DA60" i="3" s="1"/>
  <c r="AH142" i="4"/>
  <c r="AG142" i="4" s="1"/>
  <c r="AF142" i="4"/>
  <c r="CX60" i="3" s="1"/>
  <c r="AE142" i="4"/>
  <c r="AE92" i="4" s="1"/>
  <c r="AD142" i="4"/>
  <c r="AD92" i="4" s="1"/>
  <c r="AC142" i="4"/>
  <c r="AB142" i="4" s="1"/>
  <c r="AB92" i="4" s="1"/>
  <c r="AA142" i="4"/>
  <c r="AA92" i="4" s="1"/>
  <c r="Z142" i="4"/>
  <c r="CR60" i="3" s="1"/>
  <c r="Y142" i="4"/>
  <c r="CQ60" i="3" s="1"/>
  <c r="X142" i="4"/>
  <c r="W142" i="4" s="1"/>
  <c r="W92" i="4" s="1"/>
  <c r="V142" i="4"/>
  <c r="V92" i="4" s="1"/>
  <c r="U142" i="4"/>
  <c r="U92" i="4" s="1"/>
  <c r="T142" i="4"/>
  <c r="T92" i="4" s="1"/>
  <c r="S142" i="4"/>
  <c r="R142" i="4" s="1"/>
  <c r="R92" i="4" s="1"/>
  <c r="Q142" i="4"/>
  <c r="Q92" i="4" s="1"/>
  <c r="P142" i="4"/>
  <c r="P92" i="4" s="1"/>
  <c r="O142" i="4"/>
  <c r="O92" i="4" s="1"/>
  <c r="N142" i="4"/>
  <c r="M142" i="4" s="1"/>
  <c r="CE60" i="3" s="1"/>
  <c r="L142" i="4"/>
  <c r="L92" i="4" s="1"/>
  <c r="K142" i="4"/>
  <c r="K92" i="4" s="1"/>
  <c r="J142" i="4"/>
  <c r="J92" i="4" s="1"/>
  <c r="I142" i="4"/>
  <c r="H142" i="4" s="1"/>
  <c r="H92" i="4" s="1"/>
  <c r="G142" i="4"/>
  <c r="G92" i="4" s="1"/>
  <c r="F142" i="4"/>
  <c r="F92" i="4" s="1"/>
  <c r="E142" i="4"/>
  <c r="E92" i="4" s="1"/>
  <c r="AM141" i="4"/>
  <c r="AL141" i="4" s="1"/>
  <c r="AL91" i="4" s="1"/>
  <c r="AK141" i="4"/>
  <c r="AK91" i="4" s="1"/>
  <c r="AJ141" i="4"/>
  <c r="AJ91" i="4" s="1"/>
  <c r="AI141" i="4"/>
  <c r="AI91" i="4" s="1"/>
  <c r="AH141" i="4"/>
  <c r="AG141" i="4" s="1"/>
  <c r="AF141" i="4"/>
  <c r="AF91" i="4" s="1"/>
  <c r="AE141" i="4"/>
  <c r="AE91" i="4" s="1"/>
  <c r="AD141" i="4"/>
  <c r="AD91" i="4" s="1"/>
  <c r="AC141" i="4"/>
  <c r="AB141" i="4" s="1"/>
  <c r="AB91" i="4" s="1"/>
  <c r="AA141" i="4"/>
  <c r="AA91" i="4" s="1"/>
  <c r="Z141" i="4"/>
  <c r="Z91" i="4" s="1"/>
  <c r="Y141" i="4"/>
  <c r="X141" i="4"/>
  <c r="W141" i="4" s="1"/>
  <c r="V141" i="4"/>
  <c r="V91" i="4" s="1"/>
  <c r="U141" i="4"/>
  <c r="U91" i="4" s="1"/>
  <c r="T141" i="4"/>
  <c r="S141" i="4"/>
  <c r="R141" i="4" s="1"/>
  <c r="R91" i="4" s="1"/>
  <c r="Q141" i="4"/>
  <c r="Q91" i="4" s="1"/>
  <c r="P141" i="4"/>
  <c r="P91" i="4" s="1"/>
  <c r="O141" i="4"/>
  <c r="O91" i="4" s="1"/>
  <c r="N141" i="4"/>
  <c r="M141" i="4" s="1"/>
  <c r="L141" i="4"/>
  <c r="L91" i="4" s="1"/>
  <c r="K141" i="4"/>
  <c r="K91" i="4" s="1"/>
  <c r="J141" i="4"/>
  <c r="J91" i="4" s="1"/>
  <c r="I141" i="4"/>
  <c r="H141" i="4" s="1"/>
  <c r="H91" i="4" s="1"/>
  <c r="G141" i="4"/>
  <c r="F141" i="4"/>
  <c r="F91" i="4" s="1"/>
  <c r="E141" i="4"/>
  <c r="E91" i="4" s="1"/>
  <c r="DE138" i="4"/>
  <c r="AH138" i="4" s="1"/>
  <c r="DC138" i="4"/>
  <c r="DB138" i="4"/>
  <c r="DA138" i="4"/>
  <c r="AD138" i="4" s="1"/>
  <c r="CZ138" i="4"/>
  <c r="CX138" i="4"/>
  <c r="CW138" i="4"/>
  <c r="CV138" i="4"/>
  <c r="Y138" i="4" s="1"/>
  <c r="CU138" i="4"/>
  <c r="CS138" i="4"/>
  <c r="CR138" i="4"/>
  <c r="CQ138" i="4"/>
  <c r="T138" i="4" s="1"/>
  <c r="CP138" i="4"/>
  <c r="S138" i="4" s="1"/>
  <c r="CN138" i="4"/>
  <c r="CM138" i="4"/>
  <c r="CL138" i="4"/>
  <c r="O138" i="4" s="1"/>
  <c r="CK138" i="4"/>
  <c r="CJ138" i="4" s="1"/>
  <c r="CH138" i="4"/>
  <c r="L138" i="4" s="1"/>
  <c r="CH137" i="4"/>
  <c r="CF138" i="4"/>
  <c r="CE138" i="4" s="1"/>
  <c r="AJ138" i="4"/>
  <c r="AI138" i="4"/>
  <c r="J138" i="4"/>
  <c r="G138" i="4"/>
  <c r="F138" i="4"/>
  <c r="E138" i="4"/>
  <c r="DG137" i="4"/>
  <c r="DF137" i="4"/>
  <c r="DE137" i="4"/>
  <c r="AH137" i="4" s="1"/>
  <c r="DC137" i="4"/>
  <c r="DB137" i="4"/>
  <c r="DA137" i="4"/>
  <c r="AD137" i="4" s="1"/>
  <c r="CZ137" i="4"/>
  <c r="CX137" i="4"/>
  <c r="CW137" i="4"/>
  <c r="CV137" i="4"/>
  <c r="CU137" i="4"/>
  <c r="CS137" i="4"/>
  <c r="CR137" i="4"/>
  <c r="CQ137" i="4"/>
  <c r="T137" i="4" s="1"/>
  <c r="CP137" i="4"/>
  <c r="S137" i="4" s="1"/>
  <c r="CN137" i="4"/>
  <c r="CM137" i="4"/>
  <c r="CL137" i="4"/>
  <c r="CK137" i="4"/>
  <c r="CI137" i="4"/>
  <c r="CI139" i="4" s="1"/>
  <c r="CG137" i="4"/>
  <c r="CG139" i="4" s="1"/>
  <c r="CF137" i="4"/>
  <c r="I137" i="4" s="1"/>
  <c r="CD137" i="4"/>
  <c r="CC137" i="4"/>
  <c r="CC139" i="4" s="1"/>
  <c r="CB137" i="4"/>
  <c r="CB139" i="4" s="1"/>
  <c r="BL137" i="4"/>
  <c r="BG137" i="4"/>
  <c r="BB137" i="4"/>
  <c r="DJ138" i="4"/>
  <c r="AM138" i="4" s="1"/>
  <c r="DH138" i="4"/>
  <c r="AK138" i="4" s="1"/>
  <c r="DJ137" i="4"/>
  <c r="AM137" i="4" s="1"/>
  <c r="DH137" i="4"/>
  <c r="DJ136" i="4"/>
  <c r="DH136" i="4"/>
  <c r="DG136" i="4"/>
  <c r="DF136" i="4"/>
  <c r="AI136" i="4" s="1"/>
  <c r="AI86" i="4" s="1"/>
  <c r="DE136" i="4"/>
  <c r="DC136" i="4"/>
  <c r="DB136" i="4"/>
  <c r="DA136" i="4"/>
  <c r="CZ136" i="4"/>
  <c r="CX136" i="4"/>
  <c r="CW136" i="4"/>
  <c r="CV136" i="4"/>
  <c r="Y136" i="4" s="1"/>
  <c r="Y86" i="4" s="1"/>
  <c r="CU136" i="4"/>
  <c r="CS136" i="4"/>
  <c r="CR136" i="4"/>
  <c r="CQ136" i="4"/>
  <c r="CP136" i="4"/>
  <c r="S136" i="4" s="1"/>
  <c r="CK47" i="3" s="1"/>
  <c r="CN136" i="4"/>
  <c r="CJ136" i="4"/>
  <c r="CE136" i="4"/>
  <c r="P136" i="4"/>
  <c r="O136" i="4"/>
  <c r="N136" i="4"/>
  <c r="M136" i="4" s="1"/>
  <c r="L136" i="4"/>
  <c r="K136" i="4"/>
  <c r="J136" i="4"/>
  <c r="I136" i="4"/>
  <c r="H136" i="4" s="1"/>
  <c r="G136" i="4"/>
  <c r="F136" i="4"/>
  <c r="E136" i="4"/>
  <c r="BL133" i="4"/>
  <c r="BG133" i="4"/>
  <c r="BB133" i="4"/>
  <c r="DJ133" i="4"/>
  <c r="AM133" i="4" s="1"/>
  <c r="DH133" i="4"/>
  <c r="DG133" i="4"/>
  <c r="DF133" i="4"/>
  <c r="AI133" i="4" s="1"/>
  <c r="DE133" i="4"/>
  <c r="DC133" i="4"/>
  <c r="DB133" i="4"/>
  <c r="DA133" i="4"/>
  <c r="AD133" i="4" s="1"/>
  <c r="CZ133" i="4"/>
  <c r="AC133" i="4" s="1"/>
  <c r="CX133" i="4"/>
  <c r="CW133" i="4"/>
  <c r="CV133" i="4"/>
  <c r="Y133" i="4" s="1"/>
  <c r="CU133" i="4"/>
  <c r="CS133" i="4"/>
  <c r="CR133" i="4"/>
  <c r="CQ133" i="4"/>
  <c r="T133" i="4" s="1"/>
  <c r="CP133" i="4"/>
  <c r="S133" i="4" s="1"/>
  <c r="CN133" i="4"/>
  <c r="CM133" i="4"/>
  <c r="CL133" i="4"/>
  <c r="O133" i="4" s="1"/>
  <c r="CK133" i="4"/>
  <c r="CI133" i="4"/>
  <c r="CH133" i="4"/>
  <c r="CG133" i="4"/>
  <c r="J133" i="4" s="1"/>
  <c r="CF133" i="4"/>
  <c r="I133" i="4" s="1"/>
  <c r="CD133" i="4"/>
  <c r="CC133" i="4"/>
  <c r="CB133" i="4"/>
  <c r="E133" i="4" s="1"/>
  <c r="DJ132" i="4"/>
  <c r="AM132" i="4" s="1"/>
  <c r="DH132" i="4"/>
  <c r="DG132" i="4"/>
  <c r="DF132" i="4"/>
  <c r="AI132" i="4" s="1"/>
  <c r="DE132" i="4"/>
  <c r="DC132" i="4"/>
  <c r="DC134" i="4" s="1"/>
  <c r="DB132" i="4"/>
  <c r="DA132" i="4"/>
  <c r="DA134" i="4" s="1"/>
  <c r="CZ132" i="4"/>
  <c r="AC132" i="4" s="1"/>
  <c r="CX132" i="4"/>
  <c r="CW132" i="4"/>
  <c r="CV132" i="4"/>
  <c r="CU132" i="4"/>
  <c r="X132" i="4" s="1"/>
  <c r="CS132" i="4"/>
  <c r="CS134" i="4" s="1"/>
  <c r="CR132" i="4"/>
  <c r="CQ132" i="4"/>
  <c r="CQ134" i="4" s="1"/>
  <c r="CP132" i="4"/>
  <c r="S132" i="4" s="1"/>
  <c r="CN132" i="4"/>
  <c r="CM132" i="4"/>
  <c r="CM134" i="4" s="1"/>
  <c r="CL132" i="4"/>
  <c r="O132" i="4" s="1"/>
  <c r="CK132" i="4"/>
  <c r="N132" i="4" s="1"/>
  <c r="CI132" i="4"/>
  <c r="CI134" i="4" s="1"/>
  <c r="CH132" i="4"/>
  <c r="CG132" i="4"/>
  <c r="CG134" i="4" s="1"/>
  <c r="CF132" i="4"/>
  <c r="I132" i="4" s="1"/>
  <c r="CD132" i="4"/>
  <c r="CD134" i="4" s="1"/>
  <c r="CC132" i="4"/>
  <c r="CB132" i="4"/>
  <c r="DI131" i="4"/>
  <c r="DI130" i="4"/>
  <c r="DI129" i="4"/>
  <c r="DD131" i="4"/>
  <c r="DD130" i="4"/>
  <c r="DD129" i="4"/>
  <c r="CY131" i="4"/>
  <c r="CY130" i="4"/>
  <c r="CY129" i="4"/>
  <c r="CT131" i="4"/>
  <c r="CT130" i="4"/>
  <c r="CT129" i="4"/>
  <c r="CO131" i="4"/>
  <c r="CO130" i="4"/>
  <c r="CO129" i="4"/>
  <c r="CJ131" i="4"/>
  <c r="CJ130" i="4"/>
  <c r="CJ129" i="4"/>
  <c r="CE131" i="4"/>
  <c r="CE130" i="4"/>
  <c r="CE129" i="4"/>
  <c r="AM131" i="4"/>
  <c r="AL131" i="4" s="1"/>
  <c r="AK131" i="4"/>
  <c r="AJ131" i="4"/>
  <c r="AI131" i="4"/>
  <c r="AH131" i="4"/>
  <c r="AG131" i="4" s="1"/>
  <c r="AF131" i="4"/>
  <c r="AE131" i="4"/>
  <c r="AD131" i="4"/>
  <c r="AC131" i="4"/>
  <c r="AB131" i="4" s="1"/>
  <c r="AA131" i="4"/>
  <c r="Z131" i="4"/>
  <c r="Y131" i="4"/>
  <c r="X131" i="4"/>
  <c r="W131" i="4" s="1"/>
  <c r="V131" i="4"/>
  <c r="U131" i="4"/>
  <c r="T131" i="4"/>
  <c r="S131" i="4"/>
  <c r="R131" i="4" s="1"/>
  <c r="Q131" i="4"/>
  <c r="P131" i="4"/>
  <c r="O131" i="4"/>
  <c r="N131" i="4"/>
  <c r="M131" i="4" s="1"/>
  <c r="L131" i="4"/>
  <c r="K131" i="4"/>
  <c r="J131" i="4"/>
  <c r="I131" i="4"/>
  <c r="H131" i="4" s="1"/>
  <c r="G131" i="4"/>
  <c r="F131" i="4"/>
  <c r="E131" i="4"/>
  <c r="AM130" i="4"/>
  <c r="AL130" i="4" s="1"/>
  <c r="AK130" i="4"/>
  <c r="AJ130" i="4"/>
  <c r="AI130" i="4"/>
  <c r="AH130" i="4"/>
  <c r="AG130" i="4" s="1"/>
  <c r="AF130" i="4"/>
  <c r="AE130" i="4"/>
  <c r="AD130" i="4"/>
  <c r="AC130" i="4"/>
  <c r="AB130" i="4" s="1"/>
  <c r="AA130" i="4"/>
  <c r="Z130" i="4"/>
  <c r="Y130" i="4"/>
  <c r="X130" i="4"/>
  <c r="W130" i="4" s="1"/>
  <c r="V130" i="4"/>
  <c r="U130" i="4"/>
  <c r="T130" i="4"/>
  <c r="S130" i="4"/>
  <c r="R130" i="4" s="1"/>
  <c r="Q130" i="4"/>
  <c r="P130" i="4"/>
  <c r="O130" i="4"/>
  <c r="N130" i="4"/>
  <c r="M130" i="4" s="1"/>
  <c r="L130" i="4"/>
  <c r="K130" i="4"/>
  <c r="J130" i="4"/>
  <c r="I130" i="4"/>
  <c r="H130" i="4" s="1"/>
  <c r="G130" i="4"/>
  <c r="F130" i="4"/>
  <c r="E130" i="4"/>
  <c r="AM129" i="4"/>
  <c r="AL129" i="4" s="1"/>
  <c r="AK129" i="4"/>
  <c r="AJ129" i="4"/>
  <c r="AI129" i="4"/>
  <c r="AH129" i="4"/>
  <c r="AG129" i="4" s="1"/>
  <c r="AF129" i="4"/>
  <c r="AE129" i="4"/>
  <c r="AD129" i="4"/>
  <c r="AC129" i="4"/>
  <c r="AB129" i="4" s="1"/>
  <c r="AA129" i="4"/>
  <c r="Z129" i="4"/>
  <c r="Y129" i="4"/>
  <c r="X129" i="4"/>
  <c r="W129" i="4" s="1"/>
  <c r="V129" i="4"/>
  <c r="U129" i="4"/>
  <c r="T129" i="4"/>
  <c r="S129" i="4"/>
  <c r="R129" i="4" s="1"/>
  <c r="Q129" i="4"/>
  <c r="P129" i="4"/>
  <c r="O129" i="4"/>
  <c r="N129" i="4"/>
  <c r="M129" i="4" s="1"/>
  <c r="L129" i="4"/>
  <c r="K129" i="4"/>
  <c r="J129" i="4"/>
  <c r="I129" i="4"/>
  <c r="H129" i="4" s="1"/>
  <c r="G129" i="4"/>
  <c r="F129" i="4"/>
  <c r="E129" i="4"/>
  <c r="AC124" i="4"/>
  <c r="AC123" i="4"/>
  <c r="AB123" i="4"/>
  <c r="AA123" i="4"/>
  <c r="Z123" i="4"/>
  <c r="Y123" i="4"/>
  <c r="BL120" i="4"/>
  <c r="BG120" i="4"/>
  <c r="BB120" i="4"/>
  <c r="AM120" i="4"/>
  <c r="AI120" i="4"/>
  <c r="AH120" i="4"/>
  <c r="AD120" i="4"/>
  <c r="AC120" i="4"/>
  <c r="Y120" i="4"/>
  <c r="BL119" i="4"/>
  <c r="BG119" i="4"/>
  <c r="BB119" i="4"/>
  <c r="AN119" i="4"/>
  <c r="AM119" i="4"/>
  <c r="AH119" i="4"/>
  <c r="AC119" i="4"/>
  <c r="BK103" i="4"/>
  <c r="BJ103" i="4"/>
  <c r="BI103" i="4"/>
  <c r="BH103" i="4"/>
  <c r="BF103" i="4"/>
  <c r="BE103" i="4"/>
  <c r="BD103" i="4"/>
  <c r="BC103" i="4"/>
  <c r="BA103" i="4"/>
  <c r="AZ103" i="4"/>
  <c r="AY103" i="4"/>
  <c r="AX103" i="4"/>
  <c r="BK100" i="4"/>
  <c r="BF100" i="4"/>
  <c r="BA100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AM84" i="4"/>
  <c r="AK84" i="4"/>
  <c r="AJ84" i="4"/>
  <c r="AI84" i="4"/>
  <c r="AH84" i="4"/>
  <c r="AF84" i="4"/>
  <c r="AE84" i="4"/>
  <c r="AD84" i="4"/>
  <c r="AC84" i="4"/>
  <c r="AA84" i="4"/>
  <c r="Z84" i="4"/>
  <c r="Y84" i="4"/>
  <c r="X84" i="4"/>
  <c r="V84" i="4"/>
  <c r="U84" i="4"/>
  <c r="T84" i="4"/>
  <c r="S84" i="4"/>
  <c r="Q84" i="4"/>
  <c r="P84" i="4"/>
  <c r="O84" i="4"/>
  <c r="N84" i="4"/>
  <c r="M84" i="4"/>
  <c r="L84" i="4"/>
  <c r="K84" i="4"/>
  <c r="J84" i="4"/>
  <c r="I84" i="4"/>
  <c r="AM83" i="4"/>
  <c r="AK83" i="4"/>
  <c r="AJ83" i="4"/>
  <c r="AI83" i="4"/>
  <c r="AH83" i="4"/>
  <c r="AF83" i="4"/>
  <c r="AE83" i="4"/>
  <c r="AD83" i="4"/>
  <c r="AC83" i="4"/>
  <c r="AA83" i="4"/>
  <c r="Z83" i="4"/>
  <c r="Y83" i="4"/>
  <c r="X83" i="4"/>
  <c r="V83" i="4"/>
  <c r="U83" i="4"/>
  <c r="T83" i="4"/>
  <c r="S83" i="4"/>
  <c r="Q83" i="4"/>
  <c r="P83" i="4"/>
  <c r="O83" i="4"/>
  <c r="N83" i="4"/>
  <c r="M83" i="4"/>
  <c r="L83" i="4"/>
  <c r="K83" i="4"/>
  <c r="J83" i="4"/>
  <c r="I83" i="4"/>
  <c r="AM82" i="4"/>
  <c r="AK82" i="4"/>
  <c r="AJ82" i="4"/>
  <c r="AI82" i="4"/>
  <c r="AH82" i="4"/>
  <c r="AF82" i="4"/>
  <c r="AE82" i="4"/>
  <c r="AD82" i="4"/>
  <c r="AC82" i="4"/>
  <c r="AA82" i="4"/>
  <c r="Z82" i="4"/>
  <c r="X82" i="4"/>
  <c r="V82" i="4"/>
  <c r="U82" i="4"/>
  <c r="S82" i="4"/>
  <c r="R82" i="4"/>
  <c r="Q82" i="4"/>
  <c r="P82" i="4"/>
  <c r="O82" i="4"/>
  <c r="N82" i="4"/>
  <c r="M82" i="4"/>
  <c r="L82" i="4"/>
  <c r="K82" i="4"/>
  <c r="J82" i="4"/>
  <c r="I82" i="4"/>
  <c r="BK62" i="4"/>
  <c r="BJ62" i="4" s="1"/>
  <c r="BI62" i="4" s="1"/>
  <c r="BH62" i="4" s="1"/>
  <c r="BF62" i="4"/>
  <c r="BE62" i="4" s="1"/>
  <c r="BD62" i="4" s="1"/>
  <c r="BC62" i="4" s="1"/>
  <c r="BA62" i="4"/>
  <c r="AZ62" i="4" s="1"/>
  <c r="AY62" i="4" s="1"/>
  <c r="AX62" i="4" s="1"/>
  <c r="AM62" i="4"/>
  <c r="AK62" i="4"/>
  <c r="AJ62" i="4"/>
  <c r="AI62" i="4"/>
  <c r="AH62" i="4"/>
  <c r="AF62" i="4"/>
  <c r="AE62" i="4"/>
  <c r="AD62" i="4"/>
  <c r="AC62" i="4"/>
  <c r="AA62" i="4"/>
  <c r="Z62" i="4"/>
  <c r="Y62" i="4" s="1"/>
  <c r="X62" i="4"/>
  <c r="V62" i="4"/>
  <c r="U62" i="4"/>
  <c r="T62" i="4" s="1"/>
  <c r="S62" i="4"/>
  <c r="Q62" i="4"/>
  <c r="P62" i="4"/>
  <c r="O62" i="4"/>
  <c r="N62" i="4"/>
  <c r="L62" i="4"/>
  <c r="K62" i="4"/>
  <c r="J62" i="4"/>
  <c r="AL61" i="4"/>
  <c r="AQ62" i="4" s="1"/>
  <c r="AG61" i="4"/>
  <c r="AB61" i="4"/>
  <c r="W61" i="4"/>
  <c r="R61" i="4"/>
  <c r="M61" i="4"/>
  <c r="H61" i="4"/>
  <c r="AM46" i="4"/>
  <c r="AH46" i="4"/>
  <c r="AC46" i="4"/>
  <c r="AC42" i="3" s="1"/>
  <c r="X46" i="4"/>
  <c r="S46" i="4"/>
  <c r="S42" i="3" s="1"/>
  <c r="N46" i="4"/>
  <c r="N42" i="3" s="1"/>
  <c r="I46" i="4"/>
  <c r="I42" i="3" s="1"/>
  <c r="AL43" i="4"/>
  <c r="AG43" i="4"/>
  <c r="AB43" i="4"/>
  <c r="U43" i="4"/>
  <c r="U248" i="4" s="1"/>
  <c r="S43" i="4"/>
  <c r="S248" i="4" s="1"/>
  <c r="P43" i="4"/>
  <c r="P248" i="4" s="1"/>
  <c r="N43" i="4"/>
  <c r="N248" i="4" s="1"/>
  <c r="L43" i="4"/>
  <c r="L248" i="4" s="1"/>
  <c r="K43" i="4"/>
  <c r="K248" i="4" s="1"/>
  <c r="J43" i="4"/>
  <c r="J248" i="4" s="1"/>
  <c r="I43" i="4"/>
  <c r="G43" i="4"/>
  <c r="G248" i="4" s="1"/>
  <c r="F43" i="4"/>
  <c r="F248" i="4" s="1"/>
  <c r="E43" i="4"/>
  <c r="E248" i="4" s="1"/>
  <c r="AL40" i="4"/>
  <c r="AL39" i="4"/>
  <c r="AL34" i="42" s="1"/>
  <c r="AG40" i="4"/>
  <c r="AG39" i="4"/>
  <c r="AG34" i="42" s="1"/>
  <c r="AB40" i="4"/>
  <c r="AB39" i="4"/>
  <c r="AB34" i="42" s="1"/>
  <c r="W40" i="4"/>
  <c r="R40" i="4"/>
  <c r="M40" i="4"/>
  <c r="M39" i="4"/>
  <c r="M34" i="42" s="1"/>
  <c r="H40" i="4"/>
  <c r="H39" i="4"/>
  <c r="T39" i="4"/>
  <c r="O39" i="4"/>
  <c r="AL36" i="4"/>
  <c r="AG36" i="4"/>
  <c r="AB36" i="4"/>
  <c r="W36" i="4"/>
  <c r="O36" i="4"/>
  <c r="R36" i="4" s="1"/>
  <c r="N36" i="4"/>
  <c r="N31" i="42" s="1"/>
  <c r="I36" i="4"/>
  <c r="I31" i="42" s="1"/>
  <c r="AM32" i="4"/>
  <c r="AK32" i="4"/>
  <c r="AJ32" i="4"/>
  <c r="AI32" i="4"/>
  <c r="AH32" i="4"/>
  <c r="AF32" i="4"/>
  <c r="AE32" i="4"/>
  <c r="AD32" i="4"/>
  <c r="AC32" i="4"/>
  <c r="AA32" i="4"/>
  <c r="Z32" i="4"/>
  <c r="Y32" i="4"/>
  <c r="X32" i="4"/>
  <c r="V32" i="4"/>
  <c r="U32" i="4"/>
  <c r="T32" i="4"/>
  <c r="S32" i="4"/>
  <c r="Q32" i="4"/>
  <c r="P32" i="4"/>
  <c r="N32" i="4"/>
  <c r="L32" i="4"/>
  <c r="K32" i="4"/>
  <c r="J32" i="4"/>
  <c r="G32" i="4"/>
  <c r="F32" i="4"/>
  <c r="E32" i="4"/>
  <c r="AL31" i="4"/>
  <c r="AL30" i="4"/>
  <c r="AG31" i="4"/>
  <c r="AG30" i="4"/>
  <c r="AB31" i="4"/>
  <c r="AB30" i="4"/>
  <c r="W31" i="4"/>
  <c r="W30" i="4"/>
  <c r="O31" i="4"/>
  <c r="R31" i="4" s="1"/>
  <c r="O30" i="4"/>
  <c r="M31" i="4"/>
  <c r="M30" i="4"/>
  <c r="I31" i="4"/>
  <c r="H30" i="4"/>
  <c r="AM25" i="4"/>
  <c r="AL25" i="4" s="1"/>
  <c r="AH25" i="4"/>
  <c r="AE25" i="4"/>
  <c r="AD25" i="4"/>
  <c r="AC25" i="4"/>
  <c r="AA25" i="4"/>
  <c r="Z25" i="4"/>
  <c r="Y25" i="4"/>
  <c r="X25" i="4"/>
  <c r="W25" i="4" s="1"/>
  <c r="S25" i="4"/>
  <c r="O25" i="4"/>
  <c r="M25" i="4"/>
  <c r="H25" i="4"/>
  <c r="U16" i="4"/>
  <c r="U22" i="4" s="1"/>
  <c r="L16" i="4"/>
  <c r="L22" i="4" s="1"/>
  <c r="K16" i="4"/>
  <c r="K22" i="4" s="1"/>
  <c r="J16" i="4"/>
  <c r="J22" i="4" s="1"/>
  <c r="G16" i="4"/>
  <c r="G22" i="4" s="1"/>
  <c r="AL15" i="4"/>
  <c r="AL14" i="4"/>
  <c r="AL13" i="4"/>
  <c r="AL12" i="4"/>
  <c r="AG15" i="4"/>
  <c r="AG14" i="4"/>
  <c r="AG13" i="4"/>
  <c r="AG12" i="4"/>
  <c r="AB15" i="4"/>
  <c r="AB13" i="4"/>
  <c r="AB12" i="4"/>
  <c r="W15" i="4"/>
  <c r="W14" i="4"/>
  <c r="W13" i="4"/>
  <c r="W12" i="4"/>
  <c r="O15" i="4"/>
  <c r="R15" i="4" s="1"/>
  <c r="O14" i="4"/>
  <c r="R14" i="4" s="1"/>
  <c r="O13" i="4"/>
  <c r="R13" i="4" s="1"/>
  <c r="O12" i="4"/>
  <c r="R12" i="4" s="1"/>
  <c r="M15" i="4"/>
  <c r="M14" i="4"/>
  <c r="H15" i="4"/>
  <c r="AA14" i="4"/>
  <c r="AB14" i="4" s="1"/>
  <c r="I14" i="4"/>
  <c r="I13" i="4"/>
  <c r="I12" i="4"/>
  <c r="F14" i="4"/>
  <c r="F16" i="4" s="1"/>
  <c r="F22" i="4" s="1"/>
  <c r="E14" i="4"/>
  <c r="E16" i="4" s="1"/>
  <c r="E22" i="4" s="1"/>
  <c r="N13" i="4"/>
  <c r="N12" i="4"/>
  <c r="U10" i="4"/>
  <c r="N10" i="4"/>
  <c r="L10" i="4"/>
  <c r="K10" i="4"/>
  <c r="J10" i="4"/>
  <c r="I10" i="4"/>
  <c r="G10" i="4"/>
  <c r="F10" i="4"/>
  <c r="E10" i="4"/>
  <c r="AM9" i="4"/>
  <c r="AM16" i="4" s="1"/>
  <c r="AM22" i="4" s="1"/>
  <c r="AK9" i="4"/>
  <c r="AK16" i="4" s="1"/>
  <c r="AK22" i="4" s="1"/>
  <c r="AJ9" i="4"/>
  <c r="AI9" i="4"/>
  <c r="AI16" i="4" s="1"/>
  <c r="AI22" i="4" s="1"/>
  <c r="AH9" i="4"/>
  <c r="AF9" i="4"/>
  <c r="AF16" i="4" s="1"/>
  <c r="AF22" i="4" s="1"/>
  <c r="AE9" i="4"/>
  <c r="AE16" i="4" s="1"/>
  <c r="AE22" i="4" s="1"/>
  <c r="AD9" i="4"/>
  <c r="AD16" i="4" s="1"/>
  <c r="AD22" i="4" s="1"/>
  <c r="AC9" i="4"/>
  <c r="AC16" i="4" s="1"/>
  <c r="AC22" i="4" s="1"/>
  <c r="AA9" i="4"/>
  <c r="Z9" i="4"/>
  <c r="Z16" i="4" s="1"/>
  <c r="Z22" i="4" s="1"/>
  <c r="Y9" i="4"/>
  <c r="Y16" i="4" s="1"/>
  <c r="Y22" i="4" s="1"/>
  <c r="X9" i="4"/>
  <c r="V9" i="4"/>
  <c r="V16" i="4" s="1"/>
  <c r="V22" i="4" s="1"/>
  <c r="T9" i="4"/>
  <c r="T16" i="4" s="1"/>
  <c r="T22" i="4" s="1"/>
  <c r="S9" i="4"/>
  <c r="S16" i="4" s="1"/>
  <c r="S22" i="4" s="1"/>
  <c r="Q9" i="4"/>
  <c r="Q16" i="4" s="1"/>
  <c r="Q22" i="4" s="1"/>
  <c r="P9" i="4"/>
  <c r="M9" i="4"/>
  <c r="M8" i="4"/>
  <c r="H9" i="4"/>
  <c r="H8" i="4"/>
  <c r="AL8" i="4"/>
  <c r="AG8" i="4"/>
  <c r="AB8" i="4"/>
  <c r="W8" i="4"/>
  <c r="O8" i="4"/>
  <c r="EC63" i="3"/>
  <c r="EB63" i="3"/>
  <c r="EA63" i="3"/>
  <c r="DZ63" i="3"/>
  <c r="EC61" i="3"/>
  <c r="EB61" i="3"/>
  <c r="EA61" i="3"/>
  <c r="DZ61" i="3"/>
  <c r="EC59" i="3"/>
  <c r="EB59" i="3"/>
  <c r="EA59" i="3"/>
  <c r="DZ59" i="3"/>
  <c r="DX63" i="3"/>
  <c r="DW63" i="3"/>
  <c r="DV63" i="3"/>
  <c r="DU63" i="3"/>
  <c r="DX61" i="3"/>
  <c r="DW61" i="3"/>
  <c r="DV61" i="3"/>
  <c r="DU61" i="3"/>
  <c r="DX59" i="3"/>
  <c r="DW59" i="3"/>
  <c r="DV59" i="3"/>
  <c r="DU59" i="3"/>
  <c r="DS63" i="3"/>
  <c r="DR63" i="3"/>
  <c r="DQ63" i="3"/>
  <c r="DP63" i="3"/>
  <c r="DS61" i="3"/>
  <c r="DR61" i="3"/>
  <c r="DQ61" i="3"/>
  <c r="DP61" i="3"/>
  <c r="DS59" i="3"/>
  <c r="DR59" i="3"/>
  <c r="DQ59" i="3"/>
  <c r="DP59" i="3"/>
  <c r="DN63" i="3"/>
  <c r="DM63" i="3"/>
  <c r="DL63" i="3"/>
  <c r="DK63" i="3"/>
  <c r="DN61" i="3"/>
  <c r="DM61" i="3"/>
  <c r="DL61" i="3"/>
  <c r="DK61" i="3"/>
  <c r="DN59" i="3"/>
  <c r="DM59" i="3"/>
  <c r="DL59" i="3"/>
  <c r="DK59" i="3"/>
  <c r="DI63" i="3"/>
  <c r="DH63" i="3"/>
  <c r="DG63" i="3"/>
  <c r="DF63" i="3"/>
  <c r="DI61" i="3"/>
  <c r="DH61" i="3"/>
  <c r="DG61" i="3"/>
  <c r="DF61" i="3"/>
  <c r="DI59" i="3"/>
  <c r="DH59" i="3"/>
  <c r="DG59" i="3"/>
  <c r="DF59" i="3"/>
  <c r="BZ56" i="3"/>
  <c r="BY56" i="3"/>
  <c r="BX56" i="3"/>
  <c r="BW56" i="3"/>
  <c r="ED52" i="3"/>
  <c r="DY52" i="3"/>
  <c r="DT52" i="3"/>
  <c r="DO52" i="3"/>
  <c r="DJ52" i="3"/>
  <c r="DE52" i="3"/>
  <c r="CZ52" i="3"/>
  <c r="CU52" i="3"/>
  <c r="CP52" i="3"/>
  <c r="CK52" i="3"/>
  <c r="CF52" i="3"/>
  <c r="CA52" i="3"/>
  <c r="EC53" i="3"/>
  <c r="EB53" i="3"/>
  <c r="EA53" i="3"/>
  <c r="DZ53" i="3"/>
  <c r="DX53" i="3"/>
  <c r="DW53" i="3"/>
  <c r="DV53" i="3"/>
  <c r="DU53" i="3"/>
  <c r="DS53" i="3"/>
  <c r="DR53" i="3"/>
  <c r="DQ53" i="3"/>
  <c r="DP53" i="3"/>
  <c r="DN53" i="3"/>
  <c r="DM53" i="3"/>
  <c r="DL53" i="3"/>
  <c r="DK53" i="3"/>
  <c r="DI53" i="3"/>
  <c r="DH53" i="3"/>
  <c r="DG53" i="3"/>
  <c r="DF53" i="3"/>
  <c r="DD53" i="3"/>
  <c r="DC53" i="3"/>
  <c r="DB53" i="3"/>
  <c r="DA53" i="3"/>
  <c r="CY53" i="3"/>
  <c r="CX53" i="3"/>
  <c r="CW53" i="3"/>
  <c r="CV53" i="3"/>
  <c r="CT53" i="3"/>
  <c r="CS53" i="3"/>
  <c r="CR53" i="3"/>
  <c r="CQ53" i="3"/>
  <c r="CO53" i="3"/>
  <c r="CN53" i="3"/>
  <c r="CM53" i="3"/>
  <c r="CL53" i="3"/>
  <c r="CJ53" i="3"/>
  <c r="CI53" i="3"/>
  <c r="CH53" i="3"/>
  <c r="CG53" i="3"/>
  <c r="CE53" i="3"/>
  <c r="CD53" i="3"/>
  <c r="CC53" i="3"/>
  <c r="CB53" i="3"/>
  <c r="AM44" i="3"/>
  <c r="AM43" i="3"/>
  <c r="AH44" i="3"/>
  <c r="AH43" i="3"/>
  <c r="AC44" i="3"/>
  <c r="AC43" i="3"/>
  <c r="X44" i="3"/>
  <c r="X43" i="3"/>
  <c r="S44" i="3"/>
  <c r="S43" i="3"/>
  <c r="N44" i="3"/>
  <c r="N43" i="3"/>
  <c r="I44" i="3"/>
  <c r="I43" i="3"/>
  <c r="AM37" i="3"/>
  <c r="AH37" i="3"/>
  <c r="AC37" i="3"/>
  <c r="X37" i="3"/>
  <c r="S37" i="3"/>
  <c r="N37" i="3"/>
  <c r="I37" i="3"/>
  <c r="CO39" i="3"/>
  <c r="CN39" i="3"/>
  <c r="CM39" i="3"/>
  <c r="CL39" i="3"/>
  <c r="CJ39" i="3"/>
  <c r="CI39" i="3"/>
  <c r="CH39" i="3"/>
  <c r="CG39" i="3"/>
  <c r="EC28" i="3"/>
  <c r="EB28" i="3"/>
  <c r="EA28" i="3"/>
  <c r="DZ28" i="3"/>
  <c r="DX28" i="3"/>
  <c r="DW28" i="3"/>
  <c r="DV28" i="3"/>
  <c r="DU28" i="3"/>
  <c r="DS28" i="3"/>
  <c r="DR28" i="3"/>
  <c r="DQ28" i="3"/>
  <c r="DP28" i="3"/>
  <c r="DN28" i="3"/>
  <c r="DM28" i="3"/>
  <c r="DL28" i="3"/>
  <c r="DK28" i="3"/>
  <c r="DI28" i="3"/>
  <c r="DH28" i="3"/>
  <c r="DG28" i="3"/>
  <c r="DF28" i="3"/>
  <c r="DD28" i="3"/>
  <c r="DC28" i="3"/>
  <c r="DB28" i="3"/>
  <c r="DA28" i="3"/>
  <c r="CY28" i="3"/>
  <c r="CX28" i="3"/>
  <c r="CW28" i="3"/>
  <c r="CV28" i="3"/>
  <c r="CT28" i="3"/>
  <c r="CS28" i="3"/>
  <c r="CR28" i="3"/>
  <c r="CQ28" i="3"/>
  <c r="CO28" i="3"/>
  <c r="CN28" i="3"/>
  <c r="CM28" i="3"/>
  <c r="CL28" i="3"/>
  <c r="CJ28" i="3"/>
  <c r="CI28" i="3"/>
  <c r="CH28" i="3"/>
  <c r="CG28" i="3"/>
  <c r="CE28" i="3"/>
  <c r="CD28" i="3"/>
  <c r="CC28" i="3"/>
  <c r="CB28" i="3"/>
  <c r="EC27" i="3"/>
  <c r="EB27" i="3"/>
  <c r="EA27" i="3"/>
  <c r="DZ27" i="3"/>
  <c r="DX27" i="3"/>
  <c r="DW27" i="3"/>
  <c r="DV27" i="3"/>
  <c r="DU27" i="3"/>
  <c r="DS27" i="3"/>
  <c r="DR27" i="3"/>
  <c r="DQ27" i="3"/>
  <c r="DP27" i="3"/>
  <c r="DN27" i="3"/>
  <c r="DM27" i="3"/>
  <c r="DL27" i="3"/>
  <c r="DK27" i="3"/>
  <c r="DI27" i="3"/>
  <c r="DH27" i="3"/>
  <c r="DG27" i="3"/>
  <c r="DF27" i="3"/>
  <c r="DD27" i="3"/>
  <c r="DC27" i="3"/>
  <c r="DB27" i="3"/>
  <c r="DA27" i="3"/>
  <c r="CY27" i="3"/>
  <c r="CX27" i="3"/>
  <c r="CW27" i="3"/>
  <c r="CV27" i="3"/>
  <c r="CT27" i="3"/>
  <c r="CS27" i="3"/>
  <c r="CR27" i="3"/>
  <c r="CQ27" i="3"/>
  <c r="CO27" i="3"/>
  <c r="CN27" i="3"/>
  <c r="CM27" i="3"/>
  <c r="CL27" i="3"/>
  <c r="CJ27" i="3"/>
  <c r="CI27" i="3"/>
  <c r="CH27" i="3"/>
  <c r="CG27" i="3"/>
  <c r="CE27" i="3"/>
  <c r="CD27" i="3"/>
  <c r="CC27" i="3"/>
  <c r="CB27" i="3"/>
  <c r="EC24" i="3"/>
  <c r="EB24" i="3"/>
  <c r="EA24" i="3"/>
  <c r="DZ24" i="3"/>
  <c r="DX24" i="3"/>
  <c r="DW24" i="3"/>
  <c r="DV24" i="3"/>
  <c r="DU24" i="3"/>
  <c r="DS24" i="3"/>
  <c r="DR24" i="3"/>
  <c r="DQ24" i="3"/>
  <c r="DP24" i="3"/>
  <c r="DN24" i="3"/>
  <c r="DM24" i="3"/>
  <c r="DL24" i="3"/>
  <c r="DK24" i="3"/>
  <c r="CO24" i="3"/>
  <c r="CN24" i="3"/>
  <c r="CM24" i="3"/>
  <c r="CL24" i="3"/>
  <c r="CJ24" i="3"/>
  <c r="CI24" i="3"/>
  <c r="CH24" i="3"/>
  <c r="CG24" i="3"/>
  <c r="CE24" i="3"/>
  <c r="CD24" i="3"/>
  <c r="CC24" i="3"/>
  <c r="CB24" i="3"/>
  <c r="EC23" i="3"/>
  <c r="EB23" i="3"/>
  <c r="EA23" i="3"/>
  <c r="DZ23" i="3"/>
  <c r="DX23" i="3"/>
  <c r="DW23" i="3"/>
  <c r="DV23" i="3"/>
  <c r="DU23" i="3"/>
  <c r="DS23" i="3"/>
  <c r="DR23" i="3"/>
  <c r="DQ23" i="3"/>
  <c r="DP23" i="3"/>
  <c r="DN23" i="3"/>
  <c r="DM23" i="3"/>
  <c r="DL23" i="3"/>
  <c r="DK23" i="3"/>
  <c r="DI23" i="3"/>
  <c r="DH23" i="3"/>
  <c r="DG23" i="3"/>
  <c r="DF23" i="3"/>
  <c r="DD23" i="3"/>
  <c r="DC23" i="3"/>
  <c r="DB23" i="3"/>
  <c r="DA23" i="3"/>
  <c r="CY23" i="3"/>
  <c r="CX23" i="3"/>
  <c r="CW23" i="3"/>
  <c r="CV23" i="3"/>
  <c r="CT23" i="3"/>
  <c r="CS23" i="3"/>
  <c r="CR23" i="3"/>
  <c r="CQ23" i="3"/>
  <c r="CO23" i="3"/>
  <c r="CN23" i="3"/>
  <c r="CM23" i="3"/>
  <c r="CL23" i="3"/>
  <c r="CJ23" i="3"/>
  <c r="CI23" i="3"/>
  <c r="CH23" i="3"/>
  <c r="CG23" i="3"/>
  <c r="CE23" i="3"/>
  <c r="CD23" i="3"/>
  <c r="CC23" i="3"/>
  <c r="CB23" i="3"/>
  <c r="EC22" i="3"/>
  <c r="EB22" i="3"/>
  <c r="EA22" i="3"/>
  <c r="DZ22" i="3"/>
  <c r="DX22" i="3"/>
  <c r="DW22" i="3"/>
  <c r="DV22" i="3"/>
  <c r="DU22" i="3"/>
  <c r="DS22" i="3"/>
  <c r="DR22" i="3"/>
  <c r="DQ22" i="3"/>
  <c r="DP22" i="3"/>
  <c r="DN22" i="3"/>
  <c r="DM22" i="3"/>
  <c r="DL22" i="3"/>
  <c r="DK22" i="3"/>
  <c r="DI22" i="3"/>
  <c r="DH22" i="3"/>
  <c r="DG22" i="3"/>
  <c r="DF22" i="3"/>
  <c r="DD22" i="3"/>
  <c r="DC22" i="3"/>
  <c r="DB22" i="3"/>
  <c r="DA22" i="3"/>
  <c r="CY22" i="3"/>
  <c r="CX22" i="3"/>
  <c r="CW22" i="3"/>
  <c r="CV22" i="3"/>
  <c r="CT22" i="3"/>
  <c r="CS22" i="3"/>
  <c r="CR22" i="3"/>
  <c r="CQ22" i="3"/>
  <c r="CO22" i="3"/>
  <c r="CN22" i="3"/>
  <c r="CM22" i="3"/>
  <c r="CL22" i="3"/>
  <c r="CJ22" i="3"/>
  <c r="CI22" i="3"/>
  <c r="CH22" i="3"/>
  <c r="CG22" i="3"/>
  <c r="CE22" i="3"/>
  <c r="CD22" i="3"/>
  <c r="CC22" i="3"/>
  <c r="CB22" i="3"/>
  <c r="EC21" i="3"/>
  <c r="EB21" i="3"/>
  <c r="EA21" i="3"/>
  <c r="DZ21" i="3"/>
  <c r="DX21" i="3"/>
  <c r="DW21" i="3"/>
  <c r="DV21" i="3"/>
  <c r="DU21" i="3"/>
  <c r="DS21" i="3"/>
  <c r="DR21" i="3"/>
  <c r="DQ21" i="3"/>
  <c r="DP21" i="3"/>
  <c r="DN21" i="3"/>
  <c r="DM21" i="3"/>
  <c r="DL21" i="3"/>
  <c r="DK21" i="3"/>
  <c r="DI21" i="3"/>
  <c r="DH21" i="3"/>
  <c r="DG21" i="3"/>
  <c r="DF21" i="3"/>
  <c r="DD21" i="3"/>
  <c r="DC21" i="3"/>
  <c r="DB21" i="3"/>
  <c r="DA21" i="3"/>
  <c r="CY21" i="3"/>
  <c r="CX21" i="3"/>
  <c r="CW21" i="3"/>
  <c r="CV21" i="3"/>
  <c r="CT21" i="3"/>
  <c r="CS21" i="3"/>
  <c r="CR21" i="3"/>
  <c r="CQ21" i="3"/>
  <c r="CO21" i="3"/>
  <c r="CN21" i="3"/>
  <c r="CM21" i="3"/>
  <c r="CL21" i="3"/>
  <c r="CJ21" i="3"/>
  <c r="CI21" i="3"/>
  <c r="CH21" i="3"/>
  <c r="CG21" i="3"/>
  <c r="CE21" i="3"/>
  <c r="CD21" i="3"/>
  <c r="CC21" i="3"/>
  <c r="CB21" i="3"/>
  <c r="ED15" i="3"/>
  <c r="EC15" i="3"/>
  <c r="EB15" i="3"/>
  <c r="EA15" i="3"/>
  <c r="DZ15" i="3"/>
  <c r="DY15" i="3"/>
  <c r="DX15" i="3"/>
  <c r="DW15" i="3"/>
  <c r="DV15" i="3"/>
  <c r="DU15" i="3"/>
  <c r="DT15" i="3"/>
  <c r="DS15" i="3"/>
  <c r="DR15" i="3"/>
  <c r="DQ15" i="3"/>
  <c r="DP15" i="3"/>
  <c r="DO15" i="3"/>
  <c r="DN15" i="3"/>
  <c r="DM15" i="3"/>
  <c r="DL15" i="3"/>
  <c r="DK15" i="3"/>
  <c r="DJ15" i="3"/>
  <c r="DI15" i="3"/>
  <c r="DH15" i="3"/>
  <c r="DG15" i="3"/>
  <c r="DF15" i="3"/>
  <c r="DE15" i="3"/>
  <c r="DD15" i="3"/>
  <c r="DC15" i="3"/>
  <c r="DB15" i="3"/>
  <c r="DA15" i="3"/>
  <c r="CZ15" i="3"/>
  <c r="CY15" i="3"/>
  <c r="CX15" i="3"/>
  <c r="CW15" i="3"/>
  <c r="CV15" i="3"/>
  <c r="CU15" i="3"/>
  <c r="CT15" i="3"/>
  <c r="CS15" i="3"/>
  <c r="CR15" i="3"/>
  <c r="CQ15" i="3"/>
  <c r="CP15" i="3"/>
  <c r="CO15" i="3"/>
  <c r="CN15" i="3"/>
  <c r="CM15" i="3"/>
  <c r="CL15" i="3"/>
  <c r="CK15" i="3"/>
  <c r="CJ15" i="3"/>
  <c r="CI15" i="3"/>
  <c r="CH15" i="3"/>
  <c r="CG15" i="3"/>
  <c r="CF15" i="3"/>
  <c r="CE15" i="3"/>
  <c r="CD15" i="3"/>
  <c r="CC15" i="3"/>
  <c r="CB15" i="3"/>
  <c r="CA15" i="3"/>
  <c r="CF5" i="3"/>
  <c r="CK5" i="3" s="1"/>
  <c r="CP5" i="3" s="1"/>
  <c r="CU5" i="3" s="1"/>
  <c r="CZ5" i="3" s="1"/>
  <c r="DE5" i="3" s="1"/>
  <c r="DJ5" i="3" s="1"/>
  <c r="DO5" i="3" s="1"/>
  <c r="DT5" i="3" s="1"/>
  <c r="DY5" i="3" s="1"/>
  <c r="ED5" i="3" s="1"/>
  <c r="EI5" i="3" s="1"/>
  <c r="N5" i="3"/>
  <c r="S5" i="3" s="1"/>
  <c r="X5" i="3" s="1"/>
  <c r="AC5" i="3" s="1"/>
  <c r="AH5" i="3" s="1"/>
  <c r="AM5" i="3" s="1"/>
  <c r="AR5" i="3" s="1"/>
  <c r="AW5" i="3" s="1"/>
  <c r="BB5" i="3" s="1"/>
  <c r="BG5" i="3" s="1"/>
  <c r="BL5" i="3" s="1"/>
  <c r="BQ5" i="3" s="1"/>
  <c r="B2" i="3"/>
  <c r="CX63" i="51" l="1"/>
  <c r="DC63" i="51" s="1"/>
  <c r="DH63" i="51" s="1"/>
  <c r="DM63" i="51" s="1"/>
  <c r="DR63" i="51" s="1"/>
  <c r="CT63" i="51"/>
  <c r="CZ63" i="51"/>
  <c r="CV63" i="51"/>
  <c r="DA63" i="51"/>
  <c r="CW63" i="51"/>
  <c r="DB63" i="51"/>
  <c r="AT26" i="51"/>
  <c r="AQ26" i="51" s="1"/>
  <c r="AT86" i="41"/>
  <c r="AW86" i="41" s="1"/>
  <c r="AW84" i="41"/>
  <c r="AT89" i="41"/>
  <c r="AW89" i="41" s="1"/>
  <c r="AW88" i="41"/>
  <c r="AT232" i="41"/>
  <c r="AW81" i="41"/>
  <c r="AT227" i="41"/>
  <c r="AW80" i="41"/>
  <c r="AU420" i="41"/>
  <c r="AU401" i="41"/>
  <c r="AU56" i="41"/>
  <c r="AU64" i="41" s="1"/>
  <c r="AU310" i="41" s="1"/>
  <c r="AU318" i="41" s="1"/>
  <c r="AU319" i="41" s="1"/>
  <c r="Q203" i="4"/>
  <c r="AI161" i="4"/>
  <c r="AI172" i="4" s="1"/>
  <c r="AD203" i="4"/>
  <c r="AD212" i="4" s="1"/>
  <c r="AD207" i="4" s="1"/>
  <c r="DC63" i="3"/>
  <c r="P18" i="4"/>
  <c r="L70" i="4"/>
  <c r="CD62" i="3"/>
  <c r="AF92" i="4"/>
  <c r="CK59" i="3"/>
  <c r="CG11" i="3"/>
  <c r="CG13" i="3" s="1"/>
  <c r="CG18" i="3" s="1"/>
  <c r="CO59" i="3"/>
  <c r="AX120" i="4"/>
  <c r="AZ39" i="4"/>
  <c r="BJ39" i="4"/>
  <c r="M203" i="4"/>
  <c r="M212" i="4" s="1"/>
  <c r="M207" i="4" s="1"/>
  <c r="CV61" i="3"/>
  <c r="DR105" i="51"/>
  <c r="DQ105" i="51" s="1"/>
  <c r="BF132" i="4"/>
  <c r="CK55" i="3"/>
  <c r="CR62" i="3"/>
  <c r="S70" i="4"/>
  <c r="DC71" i="51"/>
  <c r="DG71" i="51" s="1"/>
  <c r="DH67" i="51"/>
  <c r="DI67" i="51" s="1"/>
  <c r="CH62" i="3"/>
  <c r="Y288" i="41"/>
  <c r="AT288" i="41"/>
  <c r="S92" i="4"/>
  <c r="I49" i="60"/>
  <c r="I53" i="60"/>
  <c r="N48" i="60"/>
  <c r="N72" i="60" s="1"/>
  <c r="N52" i="60"/>
  <c r="N76" i="60" s="1"/>
  <c r="X64" i="4"/>
  <c r="AK92" i="4"/>
  <c r="AO244" i="4"/>
  <c r="AP244" i="4" s="1"/>
  <c r="V38" i="42"/>
  <c r="AM72" i="60"/>
  <c r="BU92" i="39"/>
  <c r="BU93" i="39" s="1"/>
  <c r="BU96" i="39" s="1"/>
  <c r="BU70" i="39"/>
  <c r="BY69" i="39"/>
  <c r="BY70" i="39" s="1"/>
  <c r="BW98" i="39"/>
  <c r="CI62" i="3"/>
  <c r="AF70" i="4"/>
  <c r="CL45" i="3"/>
  <c r="Y462" i="41"/>
  <c r="Y464" i="41" s="1"/>
  <c r="AM73" i="60"/>
  <c r="BV92" i="39"/>
  <c r="AM71" i="60"/>
  <c r="BT92" i="39"/>
  <c r="BT93" i="39" s="1"/>
  <c r="BT96" i="39" s="1"/>
  <c r="CD60" i="3"/>
  <c r="BE18" i="40"/>
  <c r="BJ18" i="40" s="1"/>
  <c r="BO18" i="40" s="1"/>
  <c r="AQ18" i="40"/>
  <c r="AP20" i="42"/>
  <c r="AP22" i="42" s="1"/>
  <c r="AS168" i="41"/>
  <c r="AS377" i="41"/>
  <c r="AW379" i="41" s="1"/>
  <c r="AS333" i="41"/>
  <c r="AS302" i="41" s="1"/>
  <c r="AS161" i="41" s="1"/>
  <c r="AP394" i="41"/>
  <c r="AP164" i="41" s="1"/>
  <c r="AS452" i="41"/>
  <c r="AS163" i="41" s="1"/>
  <c r="AV288" i="41"/>
  <c r="AS272" i="41"/>
  <c r="AS170" i="41"/>
  <c r="AW264" i="41"/>
  <c r="AA288" i="41"/>
  <c r="AS364" i="41"/>
  <c r="AS422" i="41"/>
  <c r="AS394" i="41" s="1"/>
  <c r="AS164" i="41" s="1"/>
  <c r="CX26" i="51"/>
  <c r="CU26" i="51" s="1"/>
  <c r="CX62" i="51"/>
  <c r="CW62" i="51" s="1"/>
  <c r="BU258" i="51"/>
  <c r="BZ258" i="51"/>
  <c r="CE258" i="51"/>
  <c r="BW258" i="51"/>
  <c r="CB258" i="51"/>
  <c r="CG258" i="51"/>
  <c r="BT258" i="51"/>
  <c r="BX258" i="51"/>
  <c r="CC258" i="51"/>
  <c r="CH258" i="51"/>
  <c r="BV258" i="51"/>
  <c r="CA258" i="51"/>
  <c r="CF258" i="51"/>
  <c r="AQ24" i="51"/>
  <c r="AP24" i="51"/>
  <c r="BJ19" i="41"/>
  <c r="AP461" i="41"/>
  <c r="AP462" i="41" s="1"/>
  <c r="AP272" i="41"/>
  <c r="AP170" i="41"/>
  <c r="AP248" i="41"/>
  <c r="AO248" i="41" s="1"/>
  <c r="AN248" i="41" s="1"/>
  <c r="AB288" i="41"/>
  <c r="AJ288" i="41"/>
  <c r="AK433" i="41"/>
  <c r="BP433" i="41"/>
  <c r="BO433" i="41"/>
  <c r="BQ433" i="41"/>
  <c r="BM433" i="41"/>
  <c r="BN433" i="41"/>
  <c r="AP433" i="41"/>
  <c r="AP367" i="41"/>
  <c r="AP606" i="41"/>
  <c r="AP249" i="41"/>
  <c r="AO249" i="41" s="1"/>
  <c r="AN249" i="41" s="1"/>
  <c r="AP377" i="41"/>
  <c r="AP356" i="41" s="1"/>
  <c r="AP162" i="41" s="1"/>
  <c r="AP168" i="41"/>
  <c r="AP452" i="41"/>
  <c r="AP163" i="41" s="1"/>
  <c r="Z288" i="41"/>
  <c r="AP319" i="41"/>
  <c r="AP302" i="41"/>
  <c r="AP161" i="41" s="1"/>
  <c r="AP564" i="41"/>
  <c r="AR564" i="41"/>
  <c r="AQ564" i="41"/>
  <c r="AR83" i="4"/>
  <c r="AR85" i="4" s="1"/>
  <c r="AR66" i="42" s="1"/>
  <c r="BP62" i="39"/>
  <c r="AL107" i="39"/>
  <c r="AL109" i="39" s="1"/>
  <c r="AQ110" i="39" s="1"/>
  <c r="AQ64" i="39"/>
  <c r="DE207" i="51"/>
  <c r="DG207" i="51"/>
  <c r="DJ207" i="51"/>
  <c r="DL207" i="51"/>
  <c r="DD207" i="51"/>
  <c r="DF207" i="51"/>
  <c r="DI207" i="51"/>
  <c r="DK207" i="51"/>
  <c r="CT171" i="51"/>
  <c r="CV171" i="51"/>
  <c r="CY171" i="51"/>
  <c r="DA171" i="51"/>
  <c r="CU171" i="51"/>
  <c r="CW171" i="51"/>
  <c r="CZ171" i="51"/>
  <c r="DB171" i="51"/>
  <c r="DP168" i="51"/>
  <c r="DN168" i="51"/>
  <c r="DQ168" i="51"/>
  <c r="DO168" i="51"/>
  <c r="CY167" i="51"/>
  <c r="DA167" i="51"/>
  <c r="DD167" i="51"/>
  <c r="DF167" i="51"/>
  <c r="CZ167" i="51"/>
  <c r="DB167" i="51"/>
  <c r="DE167" i="51"/>
  <c r="DG167" i="51"/>
  <c r="BU244" i="51"/>
  <c r="BW244" i="51"/>
  <c r="BZ244" i="51"/>
  <c r="CB244" i="51"/>
  <c r="CE244" i="51"/>
  <c r="CG244" i="51"/>
  <c r="BY126" i="51"/>
  <c r="BT244" i="51"/>
  <c r="BV244" i="51"/>
  <c r="BX244" i="51"/>
  <c r="CA244" i="51"/>
  <c r="CC244" i="51"/>
  <c r="CF244" i="51"/>
  <c r="CH244" i="51"/>
  <c r="AY126" i="51"/>
  <c r="F108" i="51"/>
  <c r="DM70" i="51"/>
  <c r="DQ70" i="51" s="1"/>
  <c r="DC69" i="51"/>
  <c r="DG69" i="51" s="1"/>
  <c r="AO22" i="51"/>
  <c r="AN22" i="51" s="1"/>
  <c r="BN22" i="51"/>
  <c r="CK22" i="51"/>
  <c r="CM22" i="51"/>
  <c r="CJ22" i="51"/>
  <c r="BM105" i="51"/>
  <c r="BM108" i="51" s="1"/>
  <c r="BK105" i="51"/>
  <c r="BK108" i="51" s="1"/>
  <c r="BL105" i="51"/>
  <c r="BL108" i="51" s="1"/>
  <c r="BJ105" i="51"/>
  <c r="BJ108" i="51" s="1"/>
  <c r="BN108" i="51"/>
  <c r="DR59" i="51"/>
  <c r="DN59" i="51" s="1"/>
  <c r="DR153" i="51"/>
  <c r="DP153" i="51"/>
  <c r="DN153" i="51"/>
  <c r="DQ153" i="51"/>
  <c r="DO153" i="51"/>
  <c r="DQ207" i="51"/>
  <c r="DN207" i="51"/>
  <c r="DP207" i="51"/>
  <c r="DO207" i="51"/>
  <c r="BI39" i="4"/>
  <c r="BN34" i="42"/>
  <c r="BN39" i="4" s="1"/>
  <c r="BJ40" i="4"/>
  <c r="BO35" i="42"/>
  <c r="BO40" i="4" s="1"/>
  <c r="BO248" i="4" s="1"/>
  <c r="BK55" i="41"/>
  <c r="BK53" i="41" s="1"/>
  <c r="BQ55" i="41"/>
  <c r="BP55" i="41" s="1"/>
  <c r="BO55" i="41" s="1"/>
  <c r="BN55" i="41" s="1"/>
  <c r="BM55" i="41" s="1"/>
  <c r="BK56" i="41"/>
  <c r="BJ56" i="41" s="1"/>
  <c r="BI56" i="41" s="1"/>
  <c r="BH56" i="41" s="1"/>
  <c r="BQ56" i="41"/>
  <c r="BP56" i="41" s="1"/>
  <c r="BO56" i="41" s="1"/>
  <c r="BN56" i="41" s="1"/>
  <c r="BM56" i="41" s="1"/>
  <c r="N18" i="4"/>
  <c r="Z18" i="4"/>
  <c r="CS44" i="3"/>
  <c r="AP420" i="41"/>
  <c r="AP401" i="41"/>
  <c r="AP56" i="41"/>
  <c r="AP63" i="41" s="1"/>
  <c r="CD45" i="3"/>
  <c r="CP45" i="3"/>
  <c r="AE116" i="51"/>
  <c r="AH580" i="41" s="1"/>
  <c r="BP116" i="51"/>
  <c r="BR116" i="51"/>
  <c r="BT116" i="51"/>
  <c r="BV116" i="51"/>
  <c r="BX116" i="51"/>
  <c r="CA116" i="51"/>
  <c r="CC116" i="51"/>
  <c r="CF116" i="51"/>
  <c r="CH116" i="51"/>
  <c r="BQ116" i="51"/>
  <c r="BS116" i="51"/>
  <c r="BU116" i="51"/>
  <c r="BW116" i="51"/>
  <c r="BZ116" i="51"/>
  <c r="CB116" i="51"/>
  <c r="CE116" i="51"/>
  <c r="CG116" i="51"/>
  <c r="U116" i="51"/>
  <c r="AY116" i="51"/>
  <c r="BI116" i="51"/>
  <c r="BD116" i="51"/>
  <c r="O116" i="51"/>
  <c r="P116" i="51"/>
  <c r="Z116" i="51"/>
  <c r="AC580" i="41" s="1"/>
  <c r="AJ116" i="51"/>
  <c r="AM580" i="41" s="1"/>
  <c r="AW253" i="51"/>
  <c r="AW258" i="51" s="1"/>
  <c r="AU253" i="51"/>
  <c r="AU258" i="51" s="1"/>
  <c r="AV253" i="51"/>
  <c r="AV258" i="51" s="1"/>
  <c r="AX253" i="51"/>
  <c r="AX258" i="51" s="1"/>
  <c r="BG255" i="51"/>
  <c r="BG258" i="51" s="1"/>
  <c r="BE255" i="51"/>
  <c r="BE258" i="51" s="1"/>
  <c r="BH255" i="51"/>
  <c r="BH258" i="51" s="1"/>
  <c r="BF255" i="51"/>
  <c r="BF258" i="51" s="1"/>
  <c r="BI260" i="51"/>
  <c r="AZ254" i="51"/>
  <c r="AZ258" i="51" s="1"/>
  <c r="BD260" i="51"/>
  <c r="BC254" i="51"/>
  <c r="BC258" i="51" s="1"/>
  <c r="BB254" i="51"/>
  <c r="BB258" i="51" s="1"/>
  <c r="BA254" i="51"/>
  <c r="BA258" i="51" s="1"/>
  <c r="CS85" i="51"/>
  <c r="CX85" i="51" s="1"/>
  <c r="DC85" i="51" s="1"/>
  <c r="DH85" i="51" s="1"/>
  <c r="DM85" i="51" s="1"/>
  <c r="DR85" i="51" s="1"/>
  <c r="CS96" i="51"/>
  <c r="CX96" i="51" s="1"/>
  <c r="DC96" i="51" s="1"/>
  <c r="DH96" i="51" s="1"/>
  <c r="DM96" i="51" s="1"/>
  <c r="DR96" i="51" s="1"/>
  <c r="CS98" i="51"/>
  <c r="CX98" i="51" s="1"/>
  <c r="DC98" i="51" s="1"/>
  <c r="DH98" i="51" s="1"/>
  <c r="DM98" i="51" s="1"/>
  <c r="DR98" i="51" s="1"/>
  <c r="AP188" i="39"/>
  <c r="AO188" i="39"/>
  <c r="AO122" i="39"/>
  <c r="AN121" i="39"/>
  <c r="Y213" i="39"/>
  <c r="Z213" i="39" s="1"/>
  <c r="AA213" i="39" s="1"/>
  <c r="AB213" i="39" s="1"/>
  <c r="AC213" i="39" s="1"/>
  <c r="AQ109" i="40"/>
  <c r="Y106" i="40"/>
  <c r="Z106" i="40" s="1"/>
  <c r="AA106" i="40" s="1"/>
  <c r="AB106" i="40" s="1"/>
  <c r="AC106" i="40" s="1"/>
  <c r="AC46" i="61" s="1"/>
  <c r="BJ43" i="4"/>
  <c r="BL43" i="4" s="1"/>
  <c r="AW364" i="41"/>
  <c r="AW356" i="41" s="1"/>
  <c r="BA364" i="41"/>
  <c r="BA367" i="41" s="1"/>
  <c r="BE364" i="41"/>
  <c r="BE367" i="41" s="1"/>
  <c r="BI364" i="41"/>
  <c r="BI367" i="41" s="1"/>
  <c r="AZ121" i="41"/>
  <c r="BD121" i="41"/>
  <c r="BI121" i="41"/>
  <c r="BA422" i="41"/>
  <c r="BA394" i="41" s="1"/>
  <c r="BA164" i="41" s="1"/>
  <c r="BA123" i="41"/>
  <c r="BE422" i="41"/>
  <c r="BE394" i="41" s="1"/>
  <c r="BE164" i="41" s="1"/>
  <c r="BE123" i="41"/>
  <c r="BI422" i="41"/>
  <c r="BI394" i="41" s="1"/>
  <c r="BI164" i="41" s="1"/>
  <c r="BI123" i="41"/>
  <c r="AT364" i="41"/>
  <c r="AT356" i="41" s="1"/>
  <c r="AT162" i="41" s="1"/>
  <c r="AX364" i="41"/>
  <c r="AX367" i="41" s="1"/>
  <c r="BB364" i="41"/>
  <c r="BF364" i="41"/>
  <c r="BF367" i="41" s="1"/>
  <c r="BJ364" i="41"/>
  <c r="BJ356" i="41" s="1"/>
  <c r="BJ162" i="41" s="1"/>
  <c r="BA333" i="41"/>
  <c r="BA302" i="41" s="1"/>
  <c r="BA161" i="41" s="1"/>
  <c r="BA121" i="41"/>
  <c r="BE121" i="41"/>
  <c r="BJ121" i="41"/>
  <c r="AT422" i="41"/>
  <c r="AT394" i="41" s="1"/>
  <c r="AT164" i="41" s="1"/>
  <c r="AX422" i="41"/>
  <c r="AX394" i="41" s="1"/>
  <c r="AX164" i="41" s="1"/>
  <c r="AX123" i="41"/>
  <c r="BF422" i="41"/>
  <c r="BF394" i="41" s="1"/>
  <c r="BF164" i="41" s="1"/>
  <c r="BF123" i="41"/>
  <c r="BJ422" i="41"/>
  <c r="BJ394" i="41" s="1"/>
  <c r="BJ164" i="41" s="1"/>
  <c r="BJ123" i="41"/>
  <c r="AU357" i="41"/>
  <c r="AY364" i="41"/>
  <c r="AY367" i="41" s="1"/>
  <c r="BC364" i="41"/>
  <c r="BC367" i="41" s="1"/>
  <c r="BG364" i="41"/>
  <c r="BG356" i="41" s="1"/>
  <c r="BG162" i="41" s="1"/>
  <c r="BK364" i="41"/>
  <c r="BK367" i="41" s="1"/>
  <c r="AX121" i="41"/>
  <c r="BF333" i="41"/>
  <c r="BF302" i="41" s="1"/>
  <c r="BF161" i="41" s="1"/>
  <c r="BF121" i="41"/>
  <c r="BK121" i="41"/>
  <c r="AY422" i="41"/>
  <c r="AY394" i="41" s="1"/>
  <c r="AY164" i="41" s="1"/>
  <c r="AY123" i="41"/>
  <c r="BC422" i="41"/>
  <c r="BC394" i="41" s="1"/>
  <c r="BC164" i="41" s="1"/>
  <c r="BC123" i="41"/>
  <c r="BG422" i="41"/>
  <c r="BG394" i="41" s="1"/>
  <c r="BG164" i="41" s="1"/>
  <c r="BG123" i="41"/>
  <c r="BK422" i="41"/>
  <c r="BK394" i="41" s="1"/>
  <c r="BK164" i="41" s="1"/>
  <c r="BK123" i="41"/>
  <c r="AV364" i="41"/>
  <c r="AV367" i="41" s="1"/>
  <c r="AZ364" i="41"/>
  <c r="AZ356" i="41" s="1"/>
  <c r="AZ162" i="41" s="1"/>
  <c r="BD364" i="41"/>
  <c r="BD356" i="41" s="1"/>
  <c r="BD162" i="41" s="1"/>
  <c r="BH364" i="41"/>
  <c r="BH356" i="41" s="1"/>
  <c r="BH162" i="41" s="1"/>
  <c r="BL364" i="41"/>
  <c r="BL356" i="41" s="1"/>
  <c r="BL162" i="41" s="1"/>
  <c r="AY121" i="41"/>
  <c r="BC121" i="41"/>
  <c r="BH121" i="41"/>
  <c r="AV422" i="41"/>
  <c r="AV394" i="41" s="1"/>
  <c r="AZ422" i="41"/>
  <c r="AZ394" i="41" s="1"/>
  <c r="AZ164" i="41" s="1"/>
  <c r="AZ123" i="41"/>
  <c r="BD422" i="41"/>
  <c r="BD394" i="41" s="1"/>
  <c r="BD164" i="41" s="1"/>
  <c r="BD123" i="41"/>
  <c r="BH422" i="41"/>
  <c r="BH394" i="41" s="1"/>
  <c r="BH164" i="41" s="1"/>
  <c r="BH123" i="41"/>
  <c r="BL422" i="41"/>
  <c r="BL394" i="41" s="1"/>
  <c r="BL164" i="41" s="1"/>
  <c r="BL123" i="41"/>
  <c r="BE333" i="41"/>
  <c r="BE302" i="41" s="1"/>
  <c r="BE161" i="41" s="1"/>
  <c r="AT333" i="41"/>
  <c r="AT302" i="41" s="1"/>
  <c r="AT161" i="41" s="1"/>
  <c r="AX333" i="41"/>
  <c r="AX302" i="41" s="1"/>
  <c r="AX161" i="41" s="1"/>
  <c r="AX138" i="4"/>
  <c r="DP54" i="3" s="1"/>
  <c r="DP56" i="3" s="1"/>
  <c r="AZ43" i="4"/>
  <c r="BB43" i="4" s="1"/>
  <c r="BJ333" i="41"/>
  <c r="BJ302" i="41" s="1"/>
  <c r="BJ161" i="41" s="1"/>
  <c r="AZ333" i="41"/>
  <c r="BI333" i="41"/>
  <c r="BI302" i="41" s="1"/>
  <c r="BI161" i="41" s="1"/>
  <c r="BB83" i="40"/>
  <c r="AO564" i="41"/>
  <c r="AN564" i="41"/>
  <c r="CS84" i="51"/>
  <c r="CX84" i="51" s="1"/>
  <c r="DC84" i="51" s="1"/>
  <c r="DH84" i="51" s="1"/>
  <c r="DM84" i="51" s="1"/>
  <c r="DR84" i="51" s="1"/>
  <c r="CP96" i="51"/>
  <c r="CU96" i="51"/>
  <c r="CO96" i="51"/>
  <c r="CT96" i="51"/>
  <c r="BT86" i="39"/>
  <c r="BU86" i="39"/>
  <c r="BW86" i="39"/>
  <c r="BX86" i="39"/>
  <c r="BV86" i="39"/>
  <c r="BT78" i="39"/>
  <c r="BX78" i="39"/>
  <c r="BV78" i="39"/>
  <c r="BW78" i="39"/>
  <c r="BU78" i="39"/>
  <c r="AJ103" i="39"/>
  <c r="BL58" i="39"/>
  <c r="AL103" i="39"/>
  <c r="DB24" i="51"/>
  <c r="CY24" i="51"/>
  <c r="CZ24" i="51"/>
  <c r="DA24" i="51"/>
  <c r="CR24" i="51"/>
  <c r="CW24" i="51"/>
  <c r="CO24" i="51"/>
  <c r="CT24" i="51"/>
  <c r="CP24" i="51"/>
  <c r="CU24" i="51"/>
  <c r="CQ24" i="51"/>
  <c r="CV24" i="51"/>
  <c r="DE54" i="3"/>
  <c r="BC138" i="4"/>
  <c r="DU54" i="3" s="1"/>
  <c r="DU56" i="3" s="1"/>
  <c r="CA55" i="3"/>
  <c r="CE62" i="3"/>
  <c r="CM61" i="3"/>
  <c r="DB63" i="3"/>
  <c r="CZ60" i="3"/>
  <c r="AY39" i="4"/>
  <c r="AZ40" i="4"/>
  <c r="AG82" i="4"/>
  <c r="AG83" i="4"/>
  <c r="AH555" i="41"/>
  <c r="AG555" i="41" s="1"/>
  <c r="AM555" i="41"/>
  <c r="AR563" i="41" s="1"/>
  <c r="AP22" i="51"/>
  <c r="CF47" i="3"/>
  <c r="CU55" i="3"/>
  <c r="CS62" i="3"/>
  <c r="CA60" i="3"/>
  <c r="AL35" i="42"/>
  <c r="DA44" i="3"/>
  <c r="CQ59" i="3"/>
  <c r="DE63" i="3"/>
  <c r="W84" i="4"/>
  <c r="Z121" i="4"/>
  <c r="CT12" i="3"/>
  <c r="CM59" i="3"/>
  <c r="CS60" i="3"/>
  <c r="DA61" i="3"/>
  <c r="BE39" i="4"/>
  <c r="Q70" i="4"/>
  <c r="AB83" i="4"/>
  <c r="CH45" i="3"/>
  <c r="AF121" i="4"/>
  <c r="CV11" i="3"/>
  <c r="CV13" i="3" s="1"/>
  <c r="CV18" i="3" s="1"/>
  <c r="CH59" i="3"/>
  <c r="P64" i="4"/>
  <c r="CB59" i="3"/>
  <c r="F64" i="4"/>
  <c r="CY11" i="3"/>
  <c r="CC61" i="3"/>
  <c r="CX62" i="3"/>
  <c r="AG35" i="42"/>
  <c r="CB11" i="3"/>
  <c r="CB13" i="3" s="1"/>
  <c r="CB18" i="3" s="1"/>
  <c r="CJ11" i="3"/>
  <c r="CJ13" i="3" s="1"/>
  <c r="CJ18" i="3" s="1"/>
  <c r="CQ11" i="3"/>
  <c r="CQ13" i="3" s="1"/>
  <c r="CQ18" i="3" s="1"/>
  <c r="CO12" i="3"/>
  <c r="AH42" i="3"/>
  <c r="CC59" i="3"/>
  <c r="CG63" i="3"/>
  <c r="CM60" i="3"/>
  <c r="CL63" i="3"/>
  <c r="CV59" i="3"/>
  <c r="CY63" i="3"/>
  <c r="CU62" i="3"/>
  <c r="U18" i="4"/>
  <c r="Y20" i="42"/>
  <c r="G64" i="4"/>
  <c r="AA64" i="4"/>
  <c r="AK70" i="4"/>
  <c r="AL83" i="4"/>
  <c r="CS22" i="51"/>
  <c r="CX22" i="51" s="1"/>
  <c r="CZ22" i="51" s="1"/>
  <c r="CO11" i="3"/>
  <c r="CO13" i="3" s="1"/>
  <c r="CO18" i="3" s="1"/>
  <c r="CH60" i="3"/>
  <c r="AJ70" i="4"/>
  <c r="CE11" i="3"/>
  <c r="CE13" i="3" s="1"/>
  <c r="CE18" i="3" s="1"/>
  <c r="CL11" i="3"/>
  <c r="CL13" i="3" s="1"/>
  <c r="CL18" i="3" s="1"/>
  <c r="CT11" i="3"/>
  <c r="CY12" i="3"/>
  <c r="CC60" i="3"/>
  <c r="CN60" i="3"/>
  <c r="L18" i="4"/>
  <c r="AE20" i="42"/>
  <c r="BD39" i="4"/>
  <c r="AB35" i="42"/>
  <c r="K64" i="4"/>
  <c r="AF64" i="4"/>
  <c r="U70" i="4"/>
  <c r="T82" i="4"/>
  <c r="CL44" i="3" s="1"/>
  <c r="Y82" i="4"/>
  <c r="CQ44" i="3" s="1"/>
  <c r="DF54" i="3"/>
  <c r="DF56" i="3" s="1"/>
  <c r="BH138" i="4"/>
  <c r="DZ54" i="3" s="1"/>
  <c r="DZ56" i="3" s="1"/>
  <c r="I48" i="60"/>
  <c r="I52" i="60"/>
  <c r="N47" i="60"/>
  <c r="N71" i="60" s="1"/>
  <c r="N51" i="60"/>
  <c r="N75" i="60" s="1"/>
  <c r="N55" i="60"/>
  <c r="N79" i="60" s="1"/>
  <c r="BJ170" i="41"/>
  <c r="P70" i="4"/>
  <c r="Z70" i="4"/>
  <c r="AE70" i="4"/>
  <c r="CD44" i="3"/>
  <c r="CH44" i="3"/>
  <c r="Y89" i="39"/>
  <c r="AI89" i="39"/>
  <c r="AX89" i="39" s="1"/>
  <c r="BC89" i="39" s="1"/>
  <c r="BH89" i="39" s="1"/>
  <c r="BM89" i="39" s="1"/>
  <c r="AG109" i="39"/>
  <c r="AO168" i="41"/>
  <c r="CA63" i="3"/>
  <c r="N64" i="4"/>
  <c r="O64" i="4"/>
  <c r="AD64" i="4"/>
  <c r="AC70" i="4"/>
  <c r="CC44" i="3"/>
  <c r="CG44" i="3"/>
  <c r="CK44" i="3"/>
  <c r="DC44" i="3"/>
  <c r="AU101" i="51"/>
  <c r="AD121" i="39"/>
  <c r="CR11" i="3"/>
  <c r="CR13" i="3" s="1"/>
  <c r="CR18" i="3" s="1"/>
  <c r="CT60" i="3"/>
  <c r="CW63" i="3"/>
  <c r="DD60" i="3"/>
  <c r="DB62" i="3"/>
  <c r="CA59" i="3"/>
  <c r="CF60" i="3"/>
  <c r="I70" i="4"/>
  <c r="CB44" i="3"/>
  <c r="AM91" i="4"/>
  <c r="AC92" i="4"/>
  <c r="G147" i="4"/>
  <c r="Q38" i="42"/>
  <c r="BB170" i="41"/>
  <c r="AI121" i="39"/>
  <c r="DE55" i="3"/>
  <c r="CJ60" i="3"/>
  <c r="CN59" i="3"/>
  <c r="CQ62" i="3"/>
  <c r="CP59" i="3"/>
  <c r="BE40" i="4"/>
  <c r="R35" i="42"/>
  <c r="AH64" i="4"/>
  <c r="N70" i="4"/>
  <c r="X91" i="4"/>
  <c r="X92" i="4"/>
  <c r="AC121" i="4"/>
  <c r="AM124" i="4"/>
  <c r="BI168" i="41"/>
  <c r="Z170" i="41"/>
  <c r="Z231" i="41" s="1"/>
  <c r="AL170" i="41"/>
  <c r="DC143" i="51"/>
  <c r="DG143" i="51" s="1"/>
  <c r="DM157" i="51"/>
  <c r="DI157" i="51" s="1"/>
  <c r="DM163" i="51"/>
  <c r="DK163" i="51" s="1"/>
  <c r="CW11" i="3"/>
  <c r="CW13" i="3" s="1"/>
  <c r="CW18" i="3" s="1"/>
  <c r="CF55" i="3"/>
  <c r="CP55" i="3"/>
  <c r="CF59" i="3"/>
  <c r="CU59" i="3"/>
  <c r="I18" i="4"/>
  <c r="I64" i="4"/>
  <c r="AC64" i="4"/>
  <c r="AM64" i="4"/>
  <c r="X70" i="4"/>
  <c r="S91" i="4"/>
  <c r="AT170" i="41"/>
  <c r="AZ106" i="51"/>
  <c r="CA45" i="3"/>
  <c r="CE45" i="3"/>
  <c r="CI45" i="3"/>
  <c r="AI124" i="4"/>
  <c r="X544" i="41"/>
  <c r="AC544" i="41"/>
  <c r="Q549" i="41"/>
  <c r="CX147" i="51"/>
  <c r="CY147" i="51" s="1"/>
  <c r="CC13" i="3"/>
  <c r="CC18" i="3" s="1"/>
  <c r="CM45" i="3"/>
  <c r="AI92" i="4"/>
  <c r="DD138" i="4"/>
  <c r="AA168" i="41"/>
  <c r="AA221" i="41" s="1"/>
  <c r="AA223" i="41" s="1"/>
  <c r="CE59" i="3"/>
  <c r="CB61" i="3"/>
  <c r="CG60" i="3"/>
  <c r="CL62" i="3"/>
  <c r="CX59" i="3"/>
  <c r="CW61" i="3"/>
  <c r="CK63" i="3"/>
  <c r="E64" i="4"/>
  <c r="J64" i="4"/>
  <c r="Y64" i="4"/>
  <c r="E70" i="4"/>
  <c r="Y124" i="4"/>
  <c r="BK549" i="41"/>
  <c r="BJ549" i="41" s="1"/>
  <c r="BI549" i="41" s="1"/>
  <c r="BH549" i="41" s="1"/>
  <c r="CD11" i="3"/>
  <c r="CD13" i="3" s="1"/>
  <c r="CD18" i="3" s="1"/>
  <c r="CB60" i="3"/>
  <c r="CV60" i="3"/>
  <c r="DC62" i="3"/>
  <c r="AL82" i="4"/>
  <c r="AL84" i="4"/>
  <c r="AN120" i="4"/>
  <c r="BH120" i="4"/>
  <c r="AG544" i="41"/>
  <c r="AC168" i="41"/>
  <c r="BA168" i="41"/>
  <c r="CI11" i="3"/>
  <c r="CI13" i="3" s="1"/>
  <c r="CI18" i="3" s="1"/>
  <c r="CN11" i="3"/>
  <c r="CN13" i="3" s="1"/>
  <c r="CN18" i="3" s="1"/>
  <c r="CS11" i="3"/>
  <c r="CS13" i="3" s="1"/>
  <c r="CS18" i="3" s="1"/>
  <c r="CX11" i="3"/>
  <c r="CX13" i="3" s="1"/>
  <c r="CX18" i="3" s="1"/>
  <c r="CA47" i="3"/>
  <c r="CF63" i="3"/>
  <c r="CP63" i="3"/>
  <c r="AD20" i="42"/>
  <c r="W35" i="42"/>
  <c r="T64" i="4"/>
  <c r="AI64" i="4"/>
  <c r="J70" i="4"/>
  <c r="AI70" i="4"/>
  <c r="Y92" i="4"/>
  <c r="AI121" i="4"/>
  <c r="AD124" i="4"/>
  <c r="O114" i="39"/>
  <c r="O65" i="39" s="1"/>
  <c r="AK168" i="41"/>
  <c r="BE168" i="41"/>
  <c r="AB39" i="51"/>
  <c r="AL40" i="51"/>
  <c r="H137" i="4"/>
  <c r="R172" i="4"/>
  <c r="W172" i="4"/>
  <c r="AK203" i="4"/>
  <c r="AK212" i="4" s="1"/>
  <c r="AK207" i="4" s="1"/>
  <c r="AC41" i="51"/>
  <c r="AM41" i="51"/>
  <c r="AU105" i="51"/>
  <c r="AG106" i="51"/>
  <c r="BC106" i="51"/>
  <c r="CB45" i="3"/>
  <c r="AB264" i="41"/>
  <c r="AB160" i="41" s="1"/>
  <c r="AJ264" i="41"/>
  <c r="AJ160" i="41" s="1"/>
  <c r="AR264" i="41"/>
  <c r="AR160" i="41" s="1"/>
  <c r="AZ264" i="41"/>
  <c r="AZ160" i="41" s="1"/>
  <c r="BH264" i="41"/>
  <c r="BH160" i="41" s="1"/>
  <c r="AK84" i="51"/>
  <c r="CH13" i="3"/>
  <c r="CM13" i="3"/>
  <c r="CM18" i="3" s="1"/>
  <c r="AJ121" i="4"/>
  <c r="CM139" i="4"/>
  <c r="CM149" i="4" s="1"/>
  <c r="AA138" i="4"/>
  <c r="AZ67" i="39"/>
  <c r="K91" i="39"/>
  <c r="CW44" i="3"/>
  <c r="AE121" i="4"/>
  <c r="F183" i="4"/>
  <c r="F193" i="4" s="1"/>
  <c r="K183" i="4"/>
  <c r="K193" i="4" s="1"/>
  <c r="P183" i="4"/>
  <c r="P193" i="4" s="1"/>
  <c r="U183" i="4"/>
  <c r="U193" i="4" s="1"/>
  <c r="Z183" i="4"/>
  <c r="Z193" i="4" s="1"/>
  <c r="AE183" i="4"/>
  <c r="AE193" i="4" s="1"/>
  <c r="AJ183" i="4"/>
  <c r="AJ193" i="4" s="1"/>
  <c r="BA67" i="39"/>
  <c r="AG168" i="41"/>
  <c r="AN40" i="51"/>
  <c r="AA41" i="51"/>
  <c r="AK41" i="51"/>
  <c r="AV41" i="51"/>
  <c r="AV65" i="51"/>
  <c r="AS106" i="51"/>
  <c r="BB106" i="51"/>
  <c r="CN45" i="3"/>
  <c r="AA121" i="4"/>
  <c r="AF124" i="4"/>
  <c r="AH377" i="41"/>
  <c r="AH356" i="41" s="1"/>
  <c r="AH162" i="41" s="1"/>
  <c r="AH168" i="41"/>
  <c r="AL168" i="41"/>
  <c r="AL377" i="41"/>
  <c r="AL356" i="41" s="1"/>
  <c r="AL162" i="41" s="1"/>
  <c r="AX377" i="41"/>
  <c r="AX168" i="41"/>
  <c r="BB377" i="41"/>
  <c r="BB168" i="41"/>
  <c r="BF377" i="41"/>
  <c r="BG379" i="41" s="1"/>
  <c r="BF168" i="41"/>
  <c r="AK313" i="41"/>
  <c r="AK319" i="41" s="1"/>
  <c r="AK170" i="41"/>
  <c r="AF333" i="41"/>
  <c r="AF339" i="41" s="1"/>
  <c r="AF168" i="41"/>
  <c r="AN333" i="41"/>
  <c r="AN168" i="41"/>
  <c r="AR333" i="41"/>
  <c r="AR168" i="41"/>
  <c r="AV333" i="41"/>
  <c r="BD333" i="41"/>
  <c r="BD168" i="41"/>
  <c r="BH333" i="41"/>
  <c r="BH168" i="41"/>
  <c r="BL333" i="41"/>
  <c r="BL168" i="41"/>
  <c r="AI39" i="51"/>
  <c r="AI44" i="51" s="1"/>
  <c r="AL53" i="42" s="1"/>
  <c r="AL70" i="42" s="1"/>
  <c r="AH39" i="51"/>
  <c r="DA13" i="3"/>
  <c r="DA18" i="3" s="1"/>
  <c r="CJ45" i="3"/>
  <c r="CH18" i="3"/>
  <c r="CO60" i="3"/>
  <c r="CF61" i="3"/>
  <c r="CZ61" i="3"/>
  <c r="Z20" i="42"/>
  <c r="N91" i="4"/>
  <c r="AA124" i="4"/>
  <c r="AJ168" i="41"/>
  <c r="AT168" i="41"/>
  <c r="AL56" i="51"/>
  <c r="AK56" i="51"/>
  <c r="CF45" i="3"/>
  <c r="G91" i="4"/>
  <c r="CA62" i="3"/>
  <c r="CK60" i="3"/>
  <c r="CP60" i="3"/>
  <c r="CU60" i="3"/>
  <c r="V64" i="4"/>
  <c r="G70" i="4"/>
  <c r="AA70" i="4"/>
  <c r="AH91" i="4"/>
  <c r="AM92" i="4"/>
  <c r="DD12" i="3"/>
  <c r="DD13" i="3" s="1"/>
  <c r="DD18" i="3" s="1"/>
  <c r="X42" i="3"/>
  <c r="CL60" i="3"/>
  <c r="DA59" i="3"/>
  <c r="CF62" i="3"/>
  <c r="CK61" i="3"/>
  <c r="CP61" i="3"/>
  <c r="CU61" i="3"/>
  <c r="DE61" i="3"/>
  <c r="P9" i="42"/>
  <c r="P16" i="42" s="1"/>
  <c r="P18" i="42" s="1"/>
  <c r="P22" i="42" s="1"/>
  <c r="P23" i="42" s="1"/>
  <c r="K18" i="4"/>
  <c r="M35" i="42"/>
  <c r="AK64" i="4"/>
  <c r="V70" i="4"/>
  <c r="AB84" i="4"/>
  <c r="I91" i="4"/>
  <c r="AC91" i="4"/>
  <c r="N92" i="4"/>
  <c r="AH92" i="4"/>
  <c r="AK121" i="4"/>
  <c r="AK124" i="4"/>
  <c r="BK433" i="41"/>
  <c r="AZ433" i="41"/>
  <c r="AR433" i="41"/>
  <c r="BF433" i="41"/>
  <c r="AD433" i="41"/>
  <c r="BC105" i="51"/>
  <c r="AZ105" i="51"/>
  <c r="AD168" i="41"/>
  <c r="AZ168" i="41"/>
  <c r="BJ168" i="41"/>
  <c r="AA333" i="41"/>
  <c r="AA302" i="41" s="1"/>
  <c r="AA161" i="41" s="1"/>
  <c r="AV62" i="51"/>
  <c r="AU62" i="51"/>
  <c r="AD65" i="51"/>
  <c r="AA65" i="51"/>
  <c r="DK54" i="3"/>
  <c r="DK56" i="3" s="1"/>
  <c r="O544" i="41"/>
  <c r="O545" i="41" s="1"/>
  <c r="AT231" i="41"/>
  <c r="AT233" i="41" s="1"/>
  <c r="AA275" i="41"/>
  <c r="AH394" i="41"/>
  <c r="AH164" i="41" s="1"/>
  <c r="Y438" i="41"/>
  <c r="P30" i="51"/>
  <c r="AK40" i="51"/>
  <c r="DC111" i="51"/>
  <c r="DG111" i="51" s="1"/>
  <c r="AC394" i="41"/>
  <c r="AC164" i="41" s="1"/>
  <c r="BQ108" i="51"/>
  <c r="BU108" i="51"/>
  <c r="BZ108" i="51"/>
  <c r="CE108" i="51"/>
  <c r="CX100" i="51"/>
  <c r="CZ100" i="51" s="1"/>
  <c r="DM133" i="51"/>
  <c r="DI133" i="51" s="1"/>
  <c r="L22" i="51"/>
  <c r="AU54" i="51"/>
  <c r="Q70" i="51"/>
  <c r="CX152" i="51"/>
  <c r="DA152" i="51" s="1"/>
  <c r="U244" i="4"/>
  <c r="Y171" i="39"/>
  <c r="Y180" i="39" s="1"/>
  <c r="BF55" i="41"/>
  <c r="AX264" i="41"/>
  <c r="AX160" i="41" s="1"/>
  <c r="AB433" i="41"/>
  <c r="AJ433" i="41"/>
  <c r="AW433" i="41"/>
  <c r="BE433" i="41"/>
  <c r="BL433" i="41"/>
  <c r="AW74" i="51"/>
  <c r="T86" i="51"/>
  <c r="AU40" i="51"/>
  <c r="DC253" i="51"/>
  <c r="DB253" i="51" s="1"/>
  <c r="AL132" i="4"/>
  <c r="AB172" i="4"/>
  <c r="AA89" i="39"/>
  <c r="AF89" i="39"/>
  <c r="AK89" i="39"/>
  <c r="AZ89" i="39" s="1"/>
  <c r="BE89" i="39" s="1"/>
  <c r="BJ89" i="39" s="1"/>
  <c r="BO89" i="39" s="1"/>
  <c r="Z121" i="39"/>
  <c r="Y433" i="41"/>
  <c r="AF433" i="41"/>
  <c r="AL433" i="41"/>
  <c r="AT433" i="41"/>
  <c r="BA433" i="41"/>
  <c r="BH433" i="41"/>
  <c r="AR452" i="41"/>
  <c r="AR163" i="41" s="1"/>
  <c r="AR356" i="41"/>
  <c r="AR162" i="41" s="1"/>
  <c r="L26" i="51"/>
  <c r="V24" i="51"/>
  <c r="AK62" i="51"/>
  <c r="AM68" i="51"/>
  <c r="AU85" i="51"/>
  <c r="AF106" i="51"/>
  <c r="AP106" i="51"/>
  <c r="AK137" i="4"/>
  <c r="DC54" i="3" s="1"/>
  <c r="DC56" i="3" s="1"/>
  <c r="E137" i="4"/>
  <c r="E139" i="4" s="1"/>
  <c r="H183" i="4"/>
  <c r="H193" i="4" s="1"/>
  <c r="M183" i="4"/>
  <c r="M193" i="4" s="1"/>
  <c r="R183" i="4"/>
  <c r="R193" i="4" s="1"/>
  <c r="W183" i="4"/>
  <c r="W193" i="4" s="1"/>
  <c r="AG183" i="4"/>
  <c r="AG193" i="4" s="1"/>
  <c r="AL183" i="4"/>
  <c r="AL193" i="4" s="1"/>
  <c r="T244" i="4"/>
  <c r="Q89" i="39"/>
  <c r="AX67" i="39"/>
  <c r="AA121" i="39"/>
  <c r="AG288" i="41"/>
  <c r="BE288" i="41"/>
  <c r="AL302" i="41"/>
  <c r="AL161" i="41" s="1"/>
  <c r="Z433" i="41"/>
  <c r="AG433" i="41"/>
  <c r="AO433" i="41"/>
  <c r="AV433" i="41"/>
  <c r="BB433" i="41"/>
  <c r="BJ433" i="41"/>
  <c r="AZ22" i="51"/>
  <c r="AK71" i="51"/>
  <c r="BH70" i="51"/>
  <c r="AN62" i="51"/>
  <c r="Q66" i="51"/>
  <c r="DI136" i="4"/>
  <c r="AL145" i="4"/>
  <c r="AL64" i="4" s="1"/>
  <c r="AL203" i="4"/>
  <c r="AL212" i="4" s="1"/>
  <c r="AL207" i="4" s="1"/>
  <c r="AO226" i="41"/>
  <c r="AO228" i="41" s="1"/>
  <c r="AL394" i="41"/>
  <c r="AL164" i="41" s="1"/>
  <c r="BB394" i="41"/>
  <c r="BB164" i="41" s="1"/>
  <c r="V22" i="51"/>
  <c r="Y394" i="41"/>
  <c r="Y164" i="41" s="1"/>
  <c r="AO394" i="41"/>
  <c r="AO164" i="41" s="1"/>
  <c r="AA39" i="51"/>
  <c r="BB39" i="51"/>
  <c r="T40" i="51"/>
  <c r="AA40" i="51"/>
  <c r="M137" i="4"/>
  <c r="W137" i="4"/>
  <c r="Z275" i="41"/>
  <c r="AF264" i="41"/>
  <c r="AF160" i="41" s="1"/>
  <c r="AN264" i="41"/>
  <c r="AN160" i="41" s="1"/>
  <c r="AV264" i="41"/>
  <c r="BD264" i="41"/>
  <c r="BD160" i="41" s="1"/>
  <c r="BL264" i="41"/>
  <c r="BL160" i="41" s="1"/>
  <c r="AL288" i="41"/>
  <c r="BB264" i="41"/>
  <c r="BB160" i="41" s="1"/>
  <c r="BF288" i="41"/>
  <c r="BJ264" i="41"/>
  <c r="BJ160" i="41" s="1"/>
  <c r="Y302" i="41"/>
  <c r="Y161" i="41" s="1"/>
  <c r="AD339" i="41"/>
  <c r="AO264" i="41"/>
  <c r="AO160" i="41" s="1"/>
  <c r="BA275" i="41"/>
  <c r="BI264" i="41"/>
  <c r="BI160" i="41" s="1"/>
  <c r="AA356" i="41"/>
  <c r="AA162" i="41" s="1"/>
  <c r="AI356" i="41"/>
  <c r="AI162" i="41" s="1"/>
  <c r="AM356" i="41"/>
  <c r="AM162" i="41" s="1"/>
  <c r="AQ356" i="41"/>
  <c r="AQ162" i="41" s="1"/>
  <c r="AH302" i="41"/>
  <c r="AH161" i="41" s="1"/>
  <c r="BB302" i="41"/>
  <c r="BB161" i="41" s="1"/>
  <c r="AC302" i="41"/>
  <c r="AC161" i="41" s="1"/>
  <c r="AO302" i="41"/>
  <c r="AO161" i="41" s="1"/>
  <c r="AW302" i="41"/>
  <c r="AI394" i="41"/>
  <c r="AI164" i="41" s="1"/>
  <c r="AA452" i="41"/>
  <c r="AA163" i="41" s="1"/>
  <c r="AE452" i="41"/>
  <c r="AE163" i="41" s="1"/>
  <c r="AI452" i="41"/>
  <c r="AI163" i="41" s="1"/>
  <c r="AM452" i="41"/>
  <c r="AM163" i="41" s="1"/>
  <c r="AQ452" i="41"/>
  <c r="AQ163" i="41" s="1"/>
  <c r="AY452" i="41"/>
  <c r="AY163" i="41" s="1"/>
  <c r="BC452" i="41"/>
  <c r="BC163" i="41" s="1"/>
  <c r="BG452" i="41"/>
  <c r="BG163" i="41" s="1"/>
  <c r="BK452" i="41"/>
  <c r="BK163" i="41" s="1"/>
  <c r="L27" i="42"/>
  <c r="S27" i="42"/>
  <c r="X27" i="42"/>
  <c r="AH27" i="42"/>
  <c r="AM27" i="42"/>
  <c r="Q39" i="51"/>
  <c r="K132" i="4"/>
  <c r="T147" i="4"/>
  <c r="T256" i="4" s="1"/>
  <c r="Y147" i="4"/>
  <c r="AG172" i="4"/>
  <c r="AA171" i="39"/>
  <c r="AA180" i="39" s="1"/>
  <c r="AA181" i="39" s="1"/>
  <c r="M26" i="41"/>
  <c r="W26" i="41"/>
  <c r="AG26" i="41"/>
  <c r="BF264" i="41"/>
  <c r="BF160" i="41" s="1"/>
  <c r="AC433" i="41"/>
  <c r="AH433" i="41"/>
  <c r="AN433" i="41"/>
  <c r="AX433" i="41"/>
  <c r="BD433" i="41"/>
  <c r="BI433" i="41"/>
  <c r="Z462" i="41"/>
  <c r="Z464" i="41" s="1"/>
  <c r="Z466" i="41" s="1"/>
  <c r="AD462" i="41"/>
  <c r="AD464" i="41" s="1"/>
  <c r="AD466" i="41" s="1"/>
  <c r="AL462" i="41"/>
  <c r="AL464" i="41" s="1"/>
  <c r="AL466" i="41" s="1"/>
  <c r="AF452" i="41"/>
  <c r="AF163" i="41" s="1"/>
  <c r="AV452" i="41"/>
  <c r="BL452" i="41"/>
  <c r="BL163" i="41" s="1"/>
  <c r="AF22" i="51"/>
  <c r="X40" i="51"/>
  <c r="AU41" i="51"/>
  <c r="AC53" i="51"/>
  <c r="AL54" i="51"/>
  <c r="AK66" i="51"/>
  <c r="BE73" i="51"/>
  <c r="AW65" i="51"/>
  <c r="AK77" i="51"/>
  <c r="V69" i="51"/>
  <c r="AK69" i="51"/>
  <c r="BA105" i="51"/>
  <c r="CX132" i="51"/>
  <c r="CY132" i="51" s="1"/>
  <c r="AL66" i="51"/>
  <c r="V105" i="51"/>
  <c r="BB105" i="51"/>
  <c r="L106" i="51"/>
  <c r="CX190" i="51"/>
  <c r="CY190" i="51" s="1"/>
  <c r="BE71" i="51"/>
  <c r="AM70" i="51"/>
  <c r="BB70" i="51"/>
  <c r="AU67" i="51"/>
  <c r="AM66" i="51"/>
  <c r="AU65" i="51"/>
  <c r="AA84" i="51"/>
  <c r="W105" i="51"/>
  <c r="AK105" i="51"/>
  <c r="N106" i="51"/>
  <c r="O9" i="4"/>
  <c r="O16" i="4" s="1"/>
  <c r="O22" i="4" s="1"/>
  <c r="O28" i="4" s="1"/>
  <c r="R25" i="4"/>
  <c r="CD139" i="4"/>
  <c r="CD149" i="4" s="1"/>
  <c r="CD152" i="4" s="1"/>
  <c r="CE150" i="4" s="1"/>
  <c r="G137" i="4"/>
  <c r="G139" i="4" s="1"/>
  <c r="DH134" i="4"/>
  <c r="AK132" i="4"/>
  <c r="AB25" i="4"/>
  <c r="W132" i="4"/>
  <c r="N137" i="4"/>
  <c r="S247" i="4"/>
  <c r="R145" i="4"/>
  <c r="AH247" i="4"/>
  <c r="AH124" i="4"/>
  <c r="O32" i="4"/>
  <c r="O43" i="4"/>
  <c r="O248" i="4" s="1"/>
  <c r="T91" i="4"/>
  <c r="Y91" i="4"/>
  <c r="AA132" i="4"/>
  <c r="DD137" i="4"/>
  <c r="CH139" i="4"/>
  <c r="AE89" i="39"/>
  <c r="AJ89" i="39"/>
  <c r="AY89" i="39" s="1"/>
  <c r="BD89" i="39" s="1"/>
  <c r="BI89" i="39" s="1"/>
  <c r="BN89" i="39" s="1"/>
  <c r="AF91" i="40"/>
  <c r="AH170" i="41"/>
  <c r="BA170" i="41"/>
  <c r="BI170" i="41"/>
  <c r="Z394" i="41"/>
  <c r="Z164" i="41" s="1"/>
  <c r="Q544" i="41"/>
  <c r="Q545" i="41" s="1"/>
  <c r="Q22" i="51"/>
  <c r="AA22" i="51"/>
  <c r="AU22" i="51"/>
  <c r="N39" i="51"/>
  <c r="AX39" i="51"/>
  <c r="BE39" i="51"/>
  <c r="R40" i="51"/>
  <c r="AR40" i="51"/>
  <c r="BE40" i="51"/>
  <c r="AU53" i="51"/>
  <c r="R56" i="51"/>
  <c r="BF56" i="51"/>
  <c r="Q55" i="51"/>
  <c r="AD55" i="51"/>
  <c r="BH76" i="51"/>
  <c r="X70" i="51"/>
  <c r="AK70" i="51"/>
  <c r="BG70" i="51"/>
  <c r="Q62" i="51"/>
  <c r="AM63" i="51"/>
  <c r="X72" i="51"/>
  <c r="AK68" i="51"/>
  <c r="BG68" i="51"/>
  <c r="AU74" i="51"/>
  <c r="S73" i="51"/>
  <c r="BG77" i="51"/>
  <c r="Q69" i="51"/>
  <c r="BE69" i="51"/>
  <c r="R86" i="51"/>
  <c r="AU86" i="51"/>
  <c r="BE101" i="51"/>
  <c r="V102" i="51"/>
  <c r="AM106" i="51"/>
  <c r="AR106" i="51"/>
  <c r="AE356" i="41"/>
  <c r="AE162" i="41" s="1"/>
  <c r="AB394" i="41"/>
  <c r="AB164" i="41" s="1"/>
  <c r="AF394" i="41"/>
  <c r="AF164" i="41" s="1"/>
  <c r="AJ394" i="41"/>
  <c r="AJ164" i="41" s="1"/>
  <c r="AN394" i="41"/>
  <c r="AN164" i="41" s="1"/>
  <c r="AR394" i="41"/>
  <c r="AR164" i="41" s="1"/>
  <c r="CT138" i="4"/>
  <c r="CY138" i="4"/>
  <c r="K147" i="4"/>
  <c r="K256" i="4" s="1"/>
  <c r="P147" i="4"/>
  <c r="P256" i="4" s="1"/>
  <c r="E172" i="4"/>
  <c r="AD153" i="39"/>
  <c r="BE43" i="4"/>
  <c r="BG43" i="4" s="1"/>
  <c r="Z76" i="40"/>
  <c r="AC170" i="41"/>
  <c r="BE170" i="41"/>
  <c r="AK394" i="41"/>
  <c r="AK164" i="41" s="1"/>
  <c r="AB438" i="41"/>
  <c r="J27" i="42"/>
  <c r="P27" i="42"/>
  <c r="Z27" i="42"/>
  <c r="AE27" i="42"/>
  <c r="AJ27" i="42"/>
  <c r="AE30" i="51"/>
  <c r="AH54" i="42" s="1"/>
  <c r="AU39" i="51"/>
  <c r="BE68" i="51"/>
  <c r="Q73" i="51"/>
  <c r="L137" i="4"/>
  <c r="L139" i="4" s="1"/>
  <c r="L255" i="4" s="1"/>
  <c r="V137" i="4"/>
  <c r="AF137" i="4"/>
  <c r="H145" i="4"/>
  <c r="H247" i="4" s="1"/>
  <c r="S202" i="4"/>
  <c r="CK12" i="3" s="1"/>
  <c r="E183" i="4"/>
  <c r="E193" i="4" s="1"/>
  <c r="J183" i="4"/>
  <c r="J193" i="4" s="1"/>
  <c r="O183" i="4"/>
  <c r="O193" i="4" s="1"/>
  <c r="T183" i="4"/>
  <c r="T193" i="4" s="1"/>
  <c r="Y183" i="4"/>
  <c r="Y193" i="4" s="1"/>
  <c r="AD183" i="4"/>
  <c r="AD193" i="4" s="1"/>
  <c r="AI183" i="4"/>
  <c r="AI193" i="4" s="1"/>
  <c r="AY67" i="39"/>
  <c r="T109" i="39"/>
  <c r="Y110" i="39" s="1"/>
  <c r="AD170" i="41"/>
  <c r="AX170" i="41"/>
  <c r="BF170" i="41"/>
  <c r="AK176" i="41"/>
  <c r="AD394" i="41"/>
  <c r="AD164" i="41" s="1"/>
  <c r="BD452" i="41"/>
  <c r="BD163" i="41" s="1"/>
  <c r="AC356" i="41"/>
  <c r="AC162" i="41" s="1"/>
  <c r="AG356" i="41"/>
  <c r="AG162" i="41" s="1"/>
  <c r="AK356" i="41"/>
  <c r="AK162" i="41" s="1"/>
  <c r="AO356" i="41"/>
  <c r="AO162" i="41" s="1"/>
  <c r="AB170" i="41"/>
  <c r="AB231" i="41" s="1"/>
  <c r="AF170" i="41"/>
  <c r="AJ170" i="41"/>
  <c r="AN170" i="41"/>
  <c r="AR170" i="41"/>
  <c r="AZ170" i="41"/>
  <c r="BD170" i="41"/>
  <c r="BH170" i="41"/>
  <c r="BL170" i="41"/>
  <c r="Z168" i="41"/>
  <c r="Z544" i="41"/>
  <c r="Z545" i="41" s="1"/>
  <c r="AJ544" i="41"/>
  <c r="AD39" i="51"/>
  <c r="AK39" i="51"/>
  <c r="AV39" i="51"/>
  <c r="Q40" i="51"/>
  <c r="AX41" i="51"/>
  <c r="AA56" i="51"/>
  <c r="AN56" i="51"/>
  <c r="AA55" i="51"/>
  <c r="BE76" i="51"/>
  <c r="BH71" i="51"/>
  <c r="BE70" i="51"/>
  <c r="BB62" i="51"/>
  <c r="AK63" i="51"/>
  <c r="Q68" i="51"/>
  <c r="BF68" i="51"/>
  <c r="S66" i="51"/>
  <c r="AA74" i="51"/>
  <c r="R73" i="51"/>
  <c r="AC65" i="51"/>
  <c r="BE77" i="51"/>
  <c r="AL69" i="51"/>
  <c r="AK85" i="51"/>
  <c r="AU96" i="51"/>
  <c r="AD84" i="51"/>
  <c r="AK94" i="51"/>
  <c r="AF102" i="51"/>
  <c r="Q105" i="51"/>
  <c r="O106" i="51"/>
  <c r="AC106" i="51"/>
  <c r="DM167" i="51"/>
  <c r="DJ167" i="51" s="1"/>
  <c r="DM192" i="51"/>
  <c r="DL192" i="51" s="1"/>
  <c r="DD63" i="3"/>
  <c r="DD59" i="3"/>
  <c r="AB367" i="41"/>
  <c r="AB356" i="41"/>
  <c r="AB162" i="41" s="1"/>
  <c r="AF367" i="41"/>
  <c r="AF356" i="41"/>
  <c r="AF162" i="41" s="1"/>
  <c r="AJ367" i="41"/>
  <c r="AJ356" i="41"/>
  <c r="AJ162" i="41" s="1"/>
  <c r="AN367" i="41"/>
  <c r="AN356" i="41"/>
  <c r="AN162" i="41" s="1"/>
  <c r="AD316" i="41"/>
  <c r="AD302" i="41"/>
  <c r="AD161" i="41" s="1"/>
  <c r="AG275" i="41"/>
  <c r="BE275" i="41"/>
  <c r="CR139" i="4"/>
  <c r="CW139" i="4"/>
  <c r="DB139" i="4"/>
  <c r="DG139" i="4"/>
  <c r="Q137" i="4"/>
  <c r="AA137" i="4"/>
  <c r="N138" i="4"/>
  <c r="O172" i="4"/>
  <c r="G183" i="4"/>
  <c r="G193" i="4" s="1"/>
  <c r="L183" i="4"/>
  <c r="L193" i="4" s="1"/>
  <c r="Q183" i="4"/>
  <c r="Q193" i="4" s="1"/>
  <c r="V183" i="4"/>
  <c r="V193" i="4" s="1"/>
  <c r="AA183" i="4"/>
  <c r="AA193" i="4" s="1"/>
  <c r="AF183" i="4"/>
  <c r="AF193" i="4" s="1"/>
  <c r="AK183" i="4"/>
  <c r="AK193" i="4" s="1"/>
  <c r="R8" i="39"/>
  <c r="R83" i="39" s="1"/>
  <c r="AH264" i="41"/>
  <c r="AH160" i="41" s="1"/>
  <c r="Z367" i="41"/>
  <c r="Z356" i="41"/>
  <c r="Z162" i="41" s="1"/>
  <c r="AD367" i="41"/>
  <c r="AD356" i="41"/>
  <c r="AD162" i="41" s="1"/>
  <c r="AL367" i="41"/>
  <c r="AG394" i="41"/>
  <c r="AG164" i="41" s="1"/>
  <c r="AW394" i="41"/>
  <c r="M132" i="4"/>
  <c r="H133" i="4"/>
  <c r="AL133" i="4"/>
  <c r="AA136" i="4"/>
  <c r="AA86" i="4" s="1"/>
  <c r="AA85" i="4" s="1"/>
  <c r="CS45" i="3" s="1"/>
  <c r="CN139" i="4"/>
  <c r="CS139" i="4"/>
  <c r="CS149" i="4" s="1"/>
  <c r="CX139" i="4"/>
  <c r="DC139" i="4"/>
  <c r="DC149" i="4" s="1"/>
  <c r="AI171" i="39"/>
  <c r="AI180" i="39" s="1"/>
  <c r="S20" i="40"/>
  <c r="S27" i="40" s="1"/>
  <c r="S31" i="40" s="1"/>
  <c r="M15" i="41"/>
  <c r="M17" i="41" s="1"/>
  <c r="X80" i="41"/>
  <c r="Y170" i="41"/>
  <c r="Y231" i="41" s="1"/>
  <c r="AG170" i="41"/>
  <c r="AO170" i="41"/>
  <c r="AD264" i="41"/>
  <c r="AD160" i="41" s="1"/>
  <c r="AB275" i="41"/>
  <c r="AB462" i="41"/>
  <c r="AB464" i="41" s="1"/>
  <c r="AB466" i="41" s="1"/>
  <c r="AB452" i="41"/>
  <c r="AB163" i="41" s="1"/>
  <c r="AF462" i="41"/>
  <c r="AF464" i="41" s="1"/>
  <c r="AF466" i="41" s="1"/>
  <c r="AJ462" i="41"/>
  <c r="AJ464" i="41" s="1"/>
  <c r="AJ466" i="41" s="1"/>
  <c r="AJ452" i="41"/>
  <c r="AJ163" i="41" s="1"/>
  <c r="AN462" i="41"/>
  <c r="AN464" i="41" s="1"/>
  <c r="AZ452" i="41"/>
  <c r="AZ163" i="41" s="1"/>
  <c r="BH452" i="41"/>
  <c r="BH163" i="41" s="1"/>
  <c r="AA538" i="41"/>
  <c r="AE538" i="41"/>
  <c r="AE272" i="41"/>
  <c r="AI538" i="41"/>
  <c r="AI272" i="41"/>
  <c r="AI264" i="41" s="1"/>
  <c r="AI160" i="41" s="1"/>
  <c r="AM538" i="41"/>
  <c r="AM272" i="41"/>
  <c r="AM264" i="41" s="1"/>
  <c r="AM160" i="41" s="1"/>
  <c r="AQ538" i="41"/>
  <c r="AQ272" i="41"/>
  <c r="AQ275" i="41" s="1"/>
  <c r="AU538" i="41"/>
  <c r="AY538" i="41"/>
  <c r="AY272" i="41"/>
  <c r="AY264" i="41" s="1"/>
  <c r="AY160" i="41" s="1"/>
  <c r="BC538" i="41"/>
  <c r="BC272" i="41"/>
  <c r="BG538" i="41"/>
  <c r="BG272" i="41"/>
  <c r="BG264" i="41" s="1"/>
  <c r="BG160" i="41" s="1"/>
  <c r="BK538" i="41"/>
  <c r="BK272" i="41"/>
  <c r="S564" i="41"/>
  <c r="R557" i="41"/>
  <c r="R564" i="41" s="1"/>
  <c r="CF44" i="3"/>
  <c r="CJ44" i="3"/>
  <c r="CN44" i="3"/>
  <c r="F132" i="4"/>
  <c r="Q136" i="4"/>
  <c r="AJ137" i="4"/>
  <c r="DB54" i="3" s="1"/>
  <c r="DB56" i="3" s="1"/>
  <c r="M144" i="4"/>
  <c r="AC146" i="4"/>
  <c r="AB146" i="4" s="1"/>
  <c r="CT59" i="3" s="1"/>
  <c r="AM166" i="4"/>
  <c r="N166" i="4"/>
  <c r="AH166" i="4"/>
  <c r="AM177" i="4"/>
  <c r="AX177" i="4" s="1"/>
  <c r="AY177" i="4" s="1"/>
  <c r="AZ177" i="4" s="1"/>
  <c r="BA177" i="4" s="1"/>
  <c r="BB177" i="4" s="1"/>
  <c r="BC177" i="4" s="1"/>
  <c r="BD177" i="4" s="1"/>
  <c r="BE177" i="4" s="1"/>
  <c r="BF177" i="4" s="1"/>
  <c r="BG177" i="4" s="1"/>
  <c r="BH177" i="4" s="1"/>
  <c r="BI177" i="4" s="1"/>
  <c r="BJ177" i="4" s="1"/>
  <c r="BK177" i="4" s="1"/>
  <c r="BL177" i="4" s="1"/>
  <c r="BM177" i="4" s="1"/>
  <c r="BN177" i="4" s="1"/>
  <c r="BO177" i="4" s="1"/>
  <c r="BP177" i="4" s="1"/>
  <c r="BQ177" i="4" s="1"/>
  <c r="AJ203" i="4"/>
  <c r="AJ212" i="4" s="1"/>
  <c r="AJ207" i="4" s="1"/>
  <c r="AE171" i="39"/>
  <c r="AE180" i="39" s="1"/>
  <c r="AE172" i="39" s="1"/>
  <c r="AJ171" i="39"/>
  <c r="AJ180" i="39" s="1"/>
  <c r="AJ175" i="39" s="1"/>
  <c r="O65" i="40"/>
  <c r="O66" i="40" s="1"/>
  <c r="AL213" i="41"/>
  <c r="AV213" i="41"/>
  <c r="BF213" i="41"/>
  <c r="AT264" i="41"/>
  <c r="AT160" i="41" s="1"/>
  <c r="AA394" i="41"/>
  <c r="AA164" i="41" s="1"/>
  <c r="AE394" i="41"/>
  <c r="AE164" i="41" s="1"/>
  <c r="AM394" i="41"/>
  <c r="AM164" i="41" s="1"/>
  <c r="AQ394" i="41"/>
  <c r="AQ164" i="41" s="1"/>
  <c r="AN452" i="41"/>
  <c r="AN163" i="41" s="1"/>
  <c r="AE168" i="41"/>
  <c r="AI168" i="41"/>
  <c r="AM168" i="41"/>
  <c r="AQ168" i="41"/>
  <c r="AY168" i="41"/>
  <c r="BC168" i="41"/>
  <c r="BG168" i="41"/>
  <c r="BK168" i="41"/>
  <c r="AC452" i="41"/>
  <c r="AC163" i="41" s="1"/>
  <c r="AG452" i="41"/>
  <c r="AG163" i="41" s="1"/>
  <c r="AK452" i="41"/>
  <c r="AK163" i="41" s="1"/>
  <c r="AO452" i="41"/>
  <c r="AO163" i="41" s="1"/>
  <c r="AW452" i="41"/>
  <c r="BA452" i="41"/>
  <c r="BA163" i="41" s="1"/>
  <c r="BE452" i="41"/>
  <c r="BE163" i="41" s="1"/>
  <c r="BI452" i="41"/>
  <c r="BI163" i="41" s="1"/>
  <c r="P544" i="41"/>
  <c r="U545" i="41" s="1"/>
  <c r="O44" i="51"/>
  <c r="AE44" i="51"/>
  <c r="AH53" i="42" s="1"/>
  <c r="BC44" i="51"/>
  <c r="BF53" i="42" s="1"/>
  <c r="BF70" i="42" s="1"/>
  <c r="BG40" i="51"/>
  <c r="S53" i="51"/>
  <c r="T53" i="51"/>
  <c r="R53" i="51"/>
  <c r="BH55" i="51"/>
  <c r="BE55" i="51"/>
  <c r="AB70" i="51"/>
  <c r="AA70" i="51"/>
  <c r="AD70" i="51"/>
  <c r="Y62" i="51"/>
  <c r="X62" i="51"/>
  <c r="O63" i="51"/>
  <c r="N63" i="51"/>
  <c r="AS63" i="51"/>
  <c r="AR63" i="51"/>
  <c r="AB66" i="51"/>
  <c r="AC66" i="51"/>
  <c r="AL65" i="51"/>
  <c r="AM65" i="51"/>
  <c r="O105" i="51"/>
  <c r="M105" i="51"/>
  <c r="L105" i="51"/>
  <c r="N105" i="51"/>
  <c r="AK288" i="41"/>
  <c r="AO288" i="41"/>
  <c r="BA288" i="41"/>
  <c r="BI288" i="41"/>
  <c r="AL339" i="41"/>
  <c r="AD452" i="41"/>
  <c r="AD163" i="41" s="1"/>
  <c r="AL452" i="41"/>
  <c r="AL163" i="41" s="1"/>
  <c r="AT452" i="41"/>
  <c r="AT163" i="41" s="1"/>
  <c r="BB452" i="41"/>
  <c r="BB163" i="41" s="1"/>
  <c r="BJ452" i="41"/>
  <c r="BJ163" i="41" s="1"/>
  <c r="Q555" i="41"/>
  <c r="V555" i="41"/>
  <c r="AA555" i="41"/>
  <c r="AF555" i="41"/>
  <c r="Q619" i="41"/>
  <c r="Q628" i="41" s="1"/>
  <c r="Q623" i="41" s="1"/>
  <c r="AK619" i="41"/>
  <c r="AK109" i="4" s="1"/>
  <c r="P619" i="41"/>
  <c r="P628" i="41" s="1"/>
  <c r="P623" i="41" s="1"/>
  <c r="BS30" i="51"/>
  <c r="BW30" i="51"/>
  <c r="CB30" i="51"/>
  <c r="CG30" i="51"/>
  <c r="BH40" i="51"/>
  <c r="Q41" i="51"/>
  <c r="AB41" i="51"/>
  <c r="AH41" i="51"/>
  <c r="DH40" i="51"/>
  <c r="DG40" i="51" s="1"/>
  <c r="AW55" i="51"/>
  <c r="AV55" i="51"/>
  <c r="R76" i="51"/>
  <c r="Q76" i="51"/>
  <c r="T76" i="51"/>
  <c r="AL76" i="51"/>
  <c r="AM76" i="51"/>
  <c r="AK76" i="51"/>
  <c r="AN76" i="51"/>
  <c r="AS71" i="51"/>
  <c r="AR71" i="51"/>
  <c r="AS70" i="51"/>
  <c r="AR70" i="51"/>
  <c r="AB62" i="51"/>
  <c r="AC62" i="51"/>
  <c r="AA62" i="51"/>
  <c r="AD62" i="51"/>
  <c r="R63" i="51"/>
  <c r="S63" i="51"/>
  <c r="Q63" i="51"/>
  <c r="T63" i="51"/>
  <c r="AW82" i="51"/>
  <c r="AU82" i="51"/>
  <c r="AH101" i="51"/>
  <c r="AF101" i="51"/>
  <c r="X106" i="51"/>
  <c r="W106" i="51"/>
  <c r="Y106" i="51"/>
  <c r="R54" i="51"/>
  <c r="T54" i="51"/>
  <c r="Q54" i="51"/>
  <c r="BF54" i="51"/>
  <c r="BE54" i="51"/>
  <c r="AV71" i="51"/>
  <c r="AW71" i="51"/>
  <c r="AU71" i="51"/>
  <c r="AX71" i="51"/>
  <c r="BC63" i="51"/>
  <c r="BB63" i="51"/>
  <c r="AV68" i="51"/>
  <c r="AW68" i="51"/>
  <c r="BF74" i="51"/>
  <c r="BG74" i="51"/>
  <c r="AD69" i="51"/>
  <c r="AA69" i="51"/>
  <c r="AC69" i="51"/>
  <c r="AC86" i="51"/>
  <c r="AA86" i="51"/>
  <c r="BG81" i="51"/>
  <c r="BE81" i="51"/>
  <c r="T101" i="51"/>
  <c r="Q101" i="51"/>
  <c r="S101" i="51"/>
  <c r="BH105" i="51"/>
  <c r="BE105" i="51"/>
  <c r="AX106" i="51"/>
  <c r="AW106" i="51"/>
  <c r="AW113" i="51"/>
  <c r="AU113" i="51"/>
  <c r="AW236" i="41"/>
  <c r="AI288" i="41"/>
  <c r="AQ288" i="41"/>
  <c r="AY288" i="41"/>
  <c r="BK288" i="41"/>
  <c r="AA433" i="41"/>
  <c r="AE433" i="41"/>
  <c r="AI433" i="41"/>
  <c r="AM433" i="41"/>
  <c r="AQ433" i="41"/>
  <c r="AY433" i="41"/>
  <c r="BC433" i="41"/>
  <c r="BG433" i="41"/>
  <c r="Z474" i="41"/>
  <c r="Z476" i="41" s="1"/>
  <c r="AH452" i="41"/>
  <c r="AH163" i="41" s="1"/>
  <c r="AX452" i="41"/>
  <c r="AX163" i="41" s="1"/>
  <c r="BF452" i="41"/>
  <c r="BF163" i="41" s="1"/>
  <c r="O555" i="41"/>
  <c r="T555" i="41"/>
  <c r="Y555" i="41"/>
  <c r="AI555" i="41"/>
  <c r="BF17" i="64"/>
  <c r="BG17" i="64"/>
  <c r="BH17" i="64"/>
  <c r="BI17" i="64"/>
  <c r="BJ17" i="64"/>
  <c r="BE18" i="64"/>
  <c r="BF21" i="64"/>
  <c r="BG21" i="64"/>
  <c r="BH21" i="64"/>
  <c r="BI21" i="64"/>
  <c r="BJ21" i="64"/>
  <c r="BE22" i="64"/>
  <c r="BF25" i="64"/>
  <c r="BG25" i="64"/>
  <c r="BH25" i="64"/>
  <c r="BI25" i="64"/>
  <c r="BJ25" i="64"/>
  <c r="BE26" i="64"/>
  <c r="BG29" i="64"/>
  <c r="BI29" i="64"/>
  <c r="BE114" i="64"/>
  <c r="AF26" i="51"/>
  <c r="AZ26" i="51"/>
  <c r="S39" i="51"/>
  <c r="BG39" i="51"/>
  <c r="AW40" i="51"/>
  <c r="N41" i="51"/>
  <c r="BR44" i="51"/>
  <c r="BV44" i="51"/>
  <c r="CA44" i="51"/>
  <c r="CF44" i="51"/>
  <c r="Q53" i="51"/>
  <c r="R71" i="51"/>
  <c r="S71" i="51"/>
  <c r="Q71" i="51"/>
  <c r="T71" i="51"/>
  <c r="AA63" i="51"/>
  <c r="AD63" i="51"/>
  <c r="BF63" i="51"/>
  <c r="BG63" i="51"/>
  <c r="BE63" i="51"/>
  <c r="BH63" i="51"/>
  <c r="AN102" i="51"/>
  <c r="AK102" i="51"/>
  <c r="AM102" i="51"/>
  <c r="AR101" i="51"/>
  <c r="AP101" i="51"/>
  <c r="AW111" i="51"/>
  <c r="AU111" i="51"/>
  <c r="CX102" i="51"/>
  <c r="DB102" i="51" s="1"/>
  <c r="AN71" i="51"/>
  <c r="BB71" i="51"/>
  <c r="S70" i="51"/>
  <c r="AH70" i="51"/>
  <c r="AN70" i="51"/>
  <c r="AU70" i="51"/>
  <c r="T62" i="51"/>
  <c r="AH62" i="51"/>
  <c r="AW62" i="51"/>
  <c r="AH63" i="51"/>
  <c r="AN63" i="51"/>
  <c r="AU63" i="51"/>
  <c r="AK72" i="51"/>
  <c r="R68" i="51"/>
  <c r="AA67" i="51"/>
  <c r="AM67" i="51"/>
  <c r="AV67" i="51"/>
  <c r="BE66" i="51"/>
  <c r="S74" i="51"/>
  <c r="AB74" i="51"/>
  <c r="AK73" i="51"/>
  <c r="AW73" i="51"/>
  <c r="BF73" i="51"/>
  <c r="Q77" i="51"/>
  <c r="AC77" i="51"/>
  <c r="AL77" i="51"/>
  <c r="R69" i="51"/>
  <c r="AF69" i="51"/>
  <c r="AM69" i="51"/>
  <c r="AW69" i="51"/>
  <c r="BF69" i="51"/>
  <c r="AB96" i="51"/>
  <c r="AV96" i="51"/>
  <c r="BE96" i="51"/>
  <c r="AA92" i="51"/>
  <c r="AW101" i="51"/>
  <c r="BG101" i="51"/>
  <c r="X105" i="51"/>
  <c r="AF105" i="51"/>
  <c r="AH106" i="51"/>
  <c r="BI108" i="51"/>
  <c r="AC76" i="51"/>
  <c r="N70" i="51"/>
  <c r="T70" i="51"/>
  <c r="AX70" i="51"/>
  <c r="N62" i="51"/>
  <c r="AR62" i="51"/>
  <c r="AX62" i="51"/>
  <c r="AA72" i="51"/>
  <c r="AM72" i="51"/>
  <c r="S68" i="51"/>
  <c r="AC67" i="51"/>
  <c r="AW67" i="51"/>
  <c r="BG66" i="51"/>
  <c r="AC74" i="51"/>
  <c r="AM73" i="51"/>
  <c r="BG73" i="51"/>
  <c r="S77" i="51"/>
  <c r="AM77" i="51"/>
  <c r="T69" i="51"/>
  <c r="BH69" i="51"/>
  <c r="Q86" i="51"/>
  <c r="AK86" i="51"/>
  <c r="AD96" i="51"/>
  <c r="AX96" i="51"/>
  <c r="BH96" i="51"/>
  <c r="Q81" i="51"/>
  <c r="AZ102" i="51"/>
  <c r="CX101" i="51"/>
  <c r="DB101" i="51" s="1"/>
  <c r="AI105" i="51"/>
  <c r="S106" i="51"/>
  <c r="BG106" i="51"/>
  <c r="DM113" i="51"/>
  <c r="DH137" i="51"/>
  <c r="DM137" i="51" s="1"/>
  <c r="DR137" i="51" s="1"/>
  <c r="CX162" i="51"/>
  <c r="DB162" i="51" s="1"/>
  <c r="BQ244" i="51"/>
  <c r="CX146" i="51"/>
  <c r="DA146" i="51" s="1"/>
  <c r="DH191" i="51"/>
  <c r="DK191" i="51" s="1"/>
  <c r="DM255" i="51"/>
  <c r="DL255" i="51" s="1"/>
  <c r="R138" i="4"/>
  <c r="CK54" i="3"/>
  <c r="Y380" i="41"/>
  <c r="Y383" i="41" s="1"/>
  <c r="Y356" i="41"/>
  <c r="Y162" i="41" s="1"/>
  <c r="Y474" i="41"/>
  <c r="Y476" i="41" s="1"/>
  <c r="Y478" i="41" s="1"/>
  <c r="Y452" i="41"/>
  <c r="Y163" i="41" s="1"/>
  <c r="CJ62" i="3"/>
  <c r="CJ61" i="3"/>
  <c r="AG339" i="41"/>
  <c r="AG302" i="41"/>
  <c r="AG161" i="41" s="1"/>
  <c r="AK339" i="41"/>
  <c r="CA13" i="3"/>
  <c r="CI60" i="3"/>
  <c r="CI63" i="3"/>
  <c r="CT61" i="3"/>
  <c r="CW60" i="3"/>
  <c r="CZ63" i="3"/>
  <c r="DE62" i="3"/>
  <c r="AL9" i="4"/>
  <c r="AL16" i="4" s="1"/>
  <c r="AL22" i="4" s="1"/>
  <c r="L64" i="4"/>
  <c r="Q64" i="4"/>
  <c r="U64" i="4"/>
  <c r="Z64" i="4"/>
  <c r="AE64" i="4"/>
  <c r="AJ64" i="4"/>
  <c r="CC45" i="3"/>
  <c r="CG45" i="3"/>
  <c r="CK45" i="3"/>
  <c r="CO45" i="3"/>
  <c r="I92" i="4"/>
  <c r="M92" i="4"/>
  <c r="Z92" i="4"/>
  <c r="Z124" i="4"/>
  <c r="AE124" i="4"/>
  <c r="AJ124" i="4"/>
  <c r="U132" i="4"/>
  <c r="AE132" i="4"/>
  <c r="I138" i="4"/>
  <c r="CV54" i="3"/>
  <c r="CV56" i="3" s="1"/>
  <c r="AD161" i="4"/>
  <c r="AD172" i="4" s="1"/>
  <c r="J244" i="4"/>
  <c r="O244" i="4"/>
  <c r="W244" i="4"/>
  <c r="M91" i="39"/>
  <c r="X89" i="39"/>
  <c r="AC89" i="39"/>
  <c r="AM89" i="39"/>
  <c r="AZ14" i="39"/>
  <c r="R20" i="39"/>
  <c r="N81" i="39"/>
  <c r="J91" i="39"/>
  <c r="P91" i="39"/>
  <c r="U92" i="39" s="1"/>
  <c r="AK109" i="39"/>
  <c r="AK110" i="39" s="1"/>
  <c r="AI153" i="39"/>
  <c r="O69" i="40"/>
  <c r="AM68" i="40"/>
  <c r="AR69" i="40" s="1"/>
  <c r="X20" i="40"/>
  <c r="X27" i="40" s="1"/>
  <c r="X31" i="40" s="1"/>
  <c r="AC27" i="40"/>
  <c r="AC31" i="40" s="1"/>
  <c r="AE306" i="41"/>
  <c r="AE331" i="41" s="1"/>
  <c r="AC105" i="41"/>
  <c r="Y168" i="41"/>
  <c r="Y221" i="41" s="1"/>
  <c r="Y223" i="41" s="1"/>
  <c r="AX213" i="41"/>
  <c r="BA264" i="41"/>
  <c r="BA160" i="41" s="1"/>
  <c r="BE264" i="41"/>
  <c r="BE160" i="41" s="1"/>
  <c r="AF275" i="41"/>
  <c r="AX288" i="41"/>
  <c r="BJ288" i="41"/>
  <c r="AE319" i="41"/>
  <c r="AI319" i="41"/>
  <c r="Z333" i="41"/>
  <c r="Z302" i="41" s="1"/>
  <c r="Z161" i="41" s="1"/>
  <c r="AE333" i="41"/>
  <c r="AE302" i="41" s="1"/>
  <c r="AE161" i="41" s="1"/>
  <c r="AI333" i="41"/>
  <c r="AM333" i="41"/>
  <c r="AM302" i="41" s="1"/>
  <c r="AM161" i="41" s="1"/>
  <c r="AQ333" i="41"/>
  <c r="AQ302" i="41" s="1"/>
  <c r="AQ161" i="41" s="1"/>
  <c r="AY333" i="41"/>
  <c r="AY302" i="41" s="1"/>
  <c r="AY161" i="41" s="1"/>
  <c r="BC333" i="41"/>
  <c r="BC302" i="41" s="1"/>
  <c r="BC161" i="41" s="1"/>
  <c r="BG333" i="41"/>
  <c r="BG302" i="41" s="1"/>
  <c r="BG161" i="41" s="1"/>
  <c r="BK333" i="41"/>
  <c r="BK302" i="41" s="1"/>
  <c r="BK161" i="41" s="1"/>
  <c r="X538" i="41"/>
  <c r="V544" i="41"/>
  <c r="P555" i="41"/>
  <c r="U555" i="41"/>
  <c r="AE555" i="41"/>
  <c r="AB557" i="41"/>
  <c r="AB564" i="41" s="1"/>
  <c r="AD595" i="41"/>
  <c r="S611" i="41"/>
  <c r="X611" i="41"/>
  <c r="AA619" i="41"/>
  <c r="AA628" i="41" s="1"/>
  <c r="AA629" i="41" s="1"/>
  <c r="K27" i="42"/>
  <c r="V27" i="42"/>
  <c r="AA27" i="42"/>
  <c r="AF27" i="42"/>
  <c r="BF8" i="64"/>
  <c r="BG8" i="64"/>
  <c r="BH8" i="64"/>
  <c r="BI8" i="64"/>
  <c r="BE9" i="64"/>
  <c r="BF12" i="64"/>
  <c r="BG12" i="64"/>
  <c r="BH12" i="64"/>
  <c r="BI12" i="64"/>
  <c r="BE17" i="64"/>
  <c r="BE21" i="64"/>
  <c r="BE25" i="64"/>
  <c r="BE29" i="64"/>
  <c r="BL11" i="64"/>
  <c r="BL19" i="64"/>
  <c r="BL23" i="64"/>
  <c r="BL27" i="64"/>
  <c r="BL31" i="64"/>
  <c r="BM8" i="64"/>
  <c r="BM12" i="64"/>
  <c r="BM16" i="64"/>
  <c r="BM20" i="64"/>
  <c r="BM24" i="64"/>
  <c r="BM28" i="64"/>
  <c r="BM36" i="64"/>
  <c r="BM40" i="64"/>
  <c r="BM44" i="64"/>
  <c r="BM48" i="64"/>
  <c r="BN11" i="64"/>
  <c r="BN19" i="64"/>
  <c r="BN28" i="64"/>
  <c r="S40" i="3"/>
  <c r="AM40" i="3"/>
  <c r="CD59" i="3"/>
  <c r="DB60" i="3"/>
  <c r="CK62" i="3"/>
  <c r="CZ59" i="3"/>
  <c r="DE59" i="3"/>
  <c r="AA16" i="4"/>
  <c r="AA22" i="4" s="1"/>
  <c r="AA28" i="4" s="1"/>
  <c r="F70" i="4"/>
  <c r="K70" i="4"/>
  <c r="O70" i="4"/>
  <c r="T70" i="4"/>
  <c r="Y70" i="4"/>
  <c r="AD70" i="4"/>
  <c r="AH70" i="4"/>
  <c r="AM70" i="4"/>
  <c r="X86" i="4"/>
  <c r="CX44" i="3"/>
  <c r="Y121" i="4"/>
  <c r="AD121" i="4"/>
  <c r="AH121" i="4"/>
  <c r="AM121" i="4"/>
  <c r="J132" i="4"/>
  <c r="J134" i="4" s="1"/>
  <c r="CI149" i="4"/>
  <c r="U133" i="4"/>
  <c r="Z133" i="4"/>
  <c r="AK136" i="4"/>
  <c r="AK86" i="4" s="1"/>
  <c r="AK85" i="4" s="1"/>
  <c r="CP139" i="4"/>
  <c r="S139" i="4" s="1"/>
  <c r="S255" i="4" s="1"/>
  <c r="CZ139" i="4"/>
  <c r="AC139" i="4" s="1"/>
  <c r="DE139" i="4"/>
  <c r="AH139" i="4" s="1"/>
  <c r="AI137" i="4"/>
  <c r="DA54" i="3" s="1"/>
  <c r="DA56" i="3" s="1"/>
  <c r="CK139" i="4"/>
  <c r="N139" i="4" s="1"/>
  <c r="N255" i="4" s="1"/>
  <c r="CT137" i="4"/>
  <c r="CY137" i="4"/>
  <c r="P138" i="4"/>
  <c r="U138" i="4"/>
  <c r="Z138" i="4"/>
  <c r="AE138" i="4"/>
  <c r="X201" i="4"/>
  <c r="K244" i="4"/>
  <c r="S89" i="39"/>
  <c r="V109" i="39"/>
  <c r="AC109" i="39"/>
  <c r="AH110" i="39" s="1"/>
  <c r="AA170" i="41"/>
  <c r="AA231" i="41" s="1"/>
  <c r="AE170" i="41"/>
  <c r="AI170" i="41"/>
  <c r="AM170" i="41"/>
  <c r="AQ170" i="41"/>
  <c r="AY170" i="41"/>
  <c r="BC170" i="41"/>
  <c r="BG170" i="41"/>
  <c r="BK170" i="41"/>
  <c r="CC196" i="41"/>
  <c r="AI185" i="41"/>
  <c r="CA196" i="41"/>
  <c r="AY213" i="41"/>
  <c r="AK264" i="41"/>
  <c r="AK160" i="41" s="1"/>
  <c r="Y264" i="41"/>
  <c r="Y160" i="41" s="1"/>
  <c r="AC264" i="41"/>
  <c r="AC160" i="41" s="1"/>
  <c r="AE288" i="41"/>
  <c r="BC288" i="41"/>
  <c r="AB313" i="41"/>
  <c r="AF313" i="41"/>
  <c r="AJ313" i="41"/>
  <c r="AJ302" i="41" s="1"/>
  <c r="AJ161" i="41" s="1"/>
  <c r="AN313" i="41"/>
  <c r="AR313" i="41"/>
  <c r="AV313" i="41"/>
  <c r="AZ313" i="41"/>
  <c r="BD313" i="41"/>
  <c r="BH313" i="41"/>
  <c r="BL313" i="41"/>
  <c r="Z452" i="41"/>
  <c r="Z163" i="41" s="1"/>
  <c r="Y538" i="41"/>
  <c r="AC538" i="41"/>
  <c r="AG538" i="41"/>
  <c r="AK538" i="41"/>
  <c r="AO538" i="41"/>
  <c r="AS538" i="41"/>
  <c r="AW538" i="41"/>
  <c r="BA538" i="41"/>
  <c r="BE538" i="41"/>
  <c r="BI538" i="41"/>
  <c r="S544" i="41"/>
  <c r="AH544" i="41"/>
  <c r="AM545" i="41" s="1"/>
  <c r="R543" i="41"/>
  <c r="AJ555" i="41"/>
  <c r="Y595" i="41"/>
  <c r="AI619" i="41"/>
  <c r="AI109" i="4" s="1"/>
  <c r="AM619" i="41"/>
  <c r="BE53" i="64"/>
  <c r="BF53" i="64"/>
  <c r="BG53" i="64"/>
  <c r="BH53" i="64"/>
  <c r="BI53" i="64"/>
  <c r="BJ53" i="64"/>
  <c r="BE54" i="64"/>
  <c r="BF54" i="64"/>
  <c r="BG54" i="64"/>
  <c r="BH54" i="64"/>
  <c r="BI54" i="64"/>
  <c r="BJ54" i="64"/>
  <c r="BE55" i="64"/>
  <c r="BF55" i="64"/>
  <c r="BG55" i="64"/>
  <c r="BH55" i="64"/>
  <c r="BI55" i="64"/>
  <c r="BJ55" i="64"/>
  <c r="BE56" i="64"/>
  <c r="BF56" i="64"/>
  <c r="BG56" i="64"/>
  <c r="BH56" i="64"/>
  <c r="BI56" i="64"/>
  <c r="BJ56" i="64"/>
  <c r="BE57" i="64"/>
  <c r="BF57" i="64"/>
  <c r="BG57" i="64"/>
  <c r="BH57" i="64"/>
  <c r="BI57" i="64"/>
  <c r="BJ57" i="64"/>
  <c r="BE58" i="64"/>
  <c r="BF58" i="64"/>
  <c r="BG58" i="64"/>
  <c r="BH58" i="64"/>
  <c r="BI58" i="64"/>
  <c r="BJ58" i="64"/>
  <c r="BE59" i="64"/>
  <c r="BF59" i="64"/>
  <c r="BG59" i="64"/>
  <c r="BH59" i="64"/>
  <c r="BI59" i="64"/>
  <c r="BJ59" i="64"/>
  <c r="BE60" i="64"/>
  <c r="BF60" i="64"/>
  <c r="BG60" i="64"/>
  <c r="BH60" i="64"/>
  <c r="BI60" i="64"/>
  <c r="BJ60" i="64"/>
  <c r="BE61" i="64"/>
  <c r="BF61" i="64"/>
  <c r="BG61" i="64"/>
  <c r="BH61" i="64"/>
  <c r="BI61" i="64"/>
  <c r="BJ61" i="64"/>
  <c r="BE62" i="64"/>
  <c r="BF62" i="64"/>
  <c r="BG62" i="64"/>
  <c r="BH62" i="64"/>
  <c r="BI62" i="64"/>
  <c r="BJ62" i="64"/>
  <c r="BE63" i="64"/>
  <c r="BF63" i="64"/>
  <c r="BG63" i="64"/>
  <c r="BH63" i="64"/>
  <c r="BI63" i="64"/>
  <c r="BJ63" i="64"/>
  <c r="BE64" i="64"/>
  <c r="BF64" i="64"/>
  <c r="BG64" i="64"/>
  <c r="BH64" i="64"/>
  <c r="BI64" i="64"/>
  <c r="BJ64" i="64"/>
  <c r="BE65" i="64"/>
  <c r="BF65" i="64"/>
  <c r="BG65" i="64"/>
  <c r="BH65" i="64"/>
  <c r="BI65" i="64"/>
  <c r="BJ65" i="64"/>
  <c r="BE66" i="64"/>
  <c r="BF66" i="64"/>
  <c r="BG66" i="64"/>
  <c r="BH66" i="64"/>
  <c r="BI66" i="64"/>
  <c r="BJ66" i="64"/>
  <c r="BE67" i="64"/>
  <c r="BF67" i="64"/>
  <c r="BG67" i="64"/>
  <c r="BH67" i="64"/>
  <c r="BI67" i="64"/>
  <c r="BJ67" i="64"/>
  <c r="BE68" i="64"/>
  <c r="BF68" i="64"/>
  <c r="CG61" i="3"/>
  <c r="CA61" i="3"/>
  <c r="DE60" i="3"/>
  <c r="P16" i="4"/>
  <c r="P22" i="4" s="1"/>
  <c r="P27" i="4" s="1"/>
  <c r="P34" i="4" s="1"/>
  <c r="CA44" i="3"/>
  <c r="CE44" i="3"/>
  <c r="CI44" i="3"/>
  <c r="CM44" i="3"/>
  <c r="T132" i="4"/>
  <c r="T134" i="4" s="1"/>
  <c r="CL38" i="3" s="1"/>
  <c r="DE134" i="4"/>
  <c r="AH134" i="4" s="1"/>
  <c r="AH223" i="4" s="1"/>
  <c r="CE133" i="4"/>
  <c r="L133" i="4"/>
  <c r="Q133" i="4"/>
  <c r="CY133" i="4"/>
  <c r="CQ139" i="4"/>
  <c r="CQ149" i="4" s="1"/>
  <c r="CV139" i="4"/>
  <c r="DA139" i="4"/>
  <c r="DA149" i="4" s="1"/>
  <c r="DF139" i="4"/>
  <c r="DJ139" i="4"/>
  <c r="AM139" i="4" s="1"/>
  <c r="AC137" i="4"/>
  <c r="CF139" i="4"/>
  <c r="I139" i="4" s="1"/>
  <c r="I255" i="4" s="1"/>
  <c r="CL139" i="4"/>
  <c r="CL54" i="3"/>
  <c r="CL56" i="3" s="1"/>
  <c r="Z137" i="4"/>
  <c r="AE137" i="4"/>
  <c r="AG137" i="4"/>
  <c r="K138" i="4"/>
  <c r="AF138" i="4"/>
  <c r="Q138" i="4"/>
  <c r="V138" i="4"/>
  <c r="V143" i="4"/>
  <c r="V147" i="4" s="1"/>
  <c r="V256" i="4" s="1"/>
  <c r="AG144" i="4"/>
  <c r="G172" i="4"/>
  <c r="Q172" i="4"/>
  <c r="AA172" i="4"/>
  <c r="AK161" i="4"/>
  <c r="AK172" i="4" s="1"/>
  <c r="I203" i="4"/>
  <c r="N202" i="4"/>
  <c r="CF12" i="3" s="1"/>
  <c r="CF13" i="3" s="1"/>
  <c r="AB178" i="4"/>
  <c r="AB183" i="4" s="1"/>
  <c r="AB193" i="4" s="1"/>
  <c r="I191" i="4"/>
  <c r="I209" i="4" s="1"/>
  <c r="CA16" i="3" s="1"/>
  <c r="S191" i="4"/>
  <c r="S209" i="4" s="1"/>
  <c r="CK16" i="3" s="1"/>
  <c r="AC191" i="4"/>
  <c r="F203" i="4"/>
  <c r="F212" i="4" s="1"/>
  <c r="F207" i="4" s="1"/>
  <c r="K203" i="4"/>
  <c r="K212" i="4" s="1"/>
  <c r="K207" i="4" s="1"/>
  <c r="P203" i="4"/>
  <c r="P212" i="4" s="1"/>
  <c r="P207" i="4" s="1"/>
  <c r="U203" i="4"/>
  <c r="U212" i="4" s="1"/>
  <c r="U207" i="4" s="1"/>
  <c r="AI203" i="4"/>
  <c r="AI212" i="4" s="1"/>
  <c r="AI207" i="4" s="1"/>
  <c r="E244" i="4"/>
  <c r="M244" i="4"/>
  <c r="BA58" i="39"/>
  <c r="L91" i="39"/>
  <c r="Q109" i="39"/>
  <c r="W108" i="39"/>
  <c r="W109" i="39" s="1"/>
  <c r="AC171" i="39"/>
  <c r="AC180" i="39" s="1"/>
  <c r="AC181" i="39" s="1"/>
  <c r="AH171" i="39"/>
  <c r="AH180" i="39" s="1"/>
  <c r="AH175" i="39" s="1"/>
  <c r="AM171" i="39"/>
  <c r="AM180" i="39" s="1"/>
  <c r="AM192" i="39" s="1"/>
  <c r="M25" i="40"/>
  <c r="X90" i="40"/>
  <c r="M32" i="40"/>
  <c r="R12" i="41"/>
  <c r="R542" i="41" s="1"/>
  <c r="R19" i="41"/>
  <c r="AB26" i="41"/>
  <c r="X76" i="41"/>
  <c r="AC76" i="41"/>
  <c r="AH76" i="41"/>
  <c r="S81" i="41"/>
  <c r="AL185" i="41"/>
  <c r="AZ213" i="41"/>
  <c r="Z264" i="41"/>
  <c r="Z160" i="41" s="1"/>
  <c r="AG264" i="41"/>
  <c r="AG160" i="41" s="1"/>
  <c r="AL264" i="41"/>
  <c r="AL160" i="41" s="1"/>
  <c r="AD275" i="41"/>
  <c r="AD265" i="41" s="1"/>
  <c r="AL275" i="41"/>
  <c r="AF288" i="41"/>
  <c r="AN288" i="41"/>
  <c r="AZ288" i="41"/>
  <c r="BD288" i="41"/>
  <c r="BH288" i="41"/>
  <c r="AG319" i="41"/>
  <c r="T544" i="41"/>
  <c r="Y544" i="41"/>
  <c r="AD545" i="41" s="1"/>
  <c r="S549" i="41"/>
  <c r="N555" i="41"/>
  <c r="S555" i="41"/>
  <c r="X555" i="41"/>
  <c r="AC555" i="41"/>
  <c r="AB555" i="41" s="1"/>
  <c r="AG553" i="41"/>
  <c r="AK555" i="41"/>
  <c r="Z595" i="41"/>
  <c r="AI601" i="41"/>
  <c r="AD619" i="41"/>
  <c r="AD628" i="41" s="1"/>
  <c r="AD623" i="41" s="1"/>
  <c r="N27" i="42"/>
  <c r="T27" i="42"/>
  <c r="AD27" i="42"/>
  <c r="AI27" i="42"/>
  <c r="BG41" i="51"/>
  <c r="BF41" i="51"/>
  <c r="BE41" i="51"/>
  <c r="BH41" i="51"/>
  <c r="BG68" i="64"/>
  <c r="BH68" i="64"/>
  <c r="BI68" i="64"/>
  <c r="BJ68" i="64"/>
  <c r="BE72" i="64"/>
  <c r="BF72" i="64"/>
  <c r="BG72" i="64"/>
  <c r="BH72" i="64"/>
  <c r="BI72" i="64"/>
  <c r="BJ72" i="64"/>
  <c r="BE73" i="64"/>
  <c r="BF73" i="64"/>
  <c r="BG73" i="64"/>
  <c r="BH73" i="64"/>
  <c r="BI73" i="64"/>
  <c r="BJ73" i="64"/>
  <c r="BE74" i="64"/>
  <c r="BF74" i="64"/>
  <c r="BG74" i="64"/>
  <c r="BH74" i="64"/>
  <c r="BI74" i="64"/>
  <c r="BJ74" i="64"/>
  <c r="BE78" i="64"/>
  <c r="BF78" i="64"/>
  <c r="BG78" i="64"/>
  <c r="BH78" i="64"/>
  <c r="BI78" i="64"/>
  <c r="BJ78" i="64"/>
  <c r="BE79" i="64"/>
  <c r="BF79" i="64"/>
  <c r="BG79" i="64"/>
  <c r="BH79" i="64"/>
  <c r="BI79" i="64"/>
  <c r="BJ79" i="64"/>
  <c r="BE80" i="64"/>
  <c r="BF80" i="64"/>
  <c r="BG80" i="64"/>
  <c r="BH80" i="64"/>
  <c r="BI80" i="64"/>
  <c r="BJ80" i="64"/>
  <c r="BE81" i="64"/>
  <c r="BF81" i="64"/>
  <c r="BG81" i="64"/>
  <c r="BH81" i="64"/>
  <c r="BI81" i="64"/>
  <c r="BJ81" i="64"/>
  <c r="BE82" i="64"/>
  <c r="BF82" i="64"/>
  <c r="BG82" i="64"/>
  <c r="BH82" i="64"/>
  <c r="BI82" i="64"/>
  <c r="BJ82" i="64"/>
  <c r="BE83" i="64"/>
  <c r="BF83" i="64"/>
  <c r="BG83" i="64"/>
  <c r="BH83" i="64"/>
  <c r="BI83" i="64"/>
  <c r="BJ83" i="64"/>
  <c r="BE84" i="64"/>
  <c r="BF84" i="64"/>
  <c r="BG84" i="64"/>
  <c r="BH84" i="64"/>
  <c r="BI84" i="64"/>
  <c r="BJ84" i="64"/>
  <c r="BE85" i="64"/>
  <c r="BF85" i="64"/>
  <c r="BG85" i="64"/>
  <c r="BH85" i="64"/>
  <c r="BI85" i="64"/>
  <c r="BJ85" i="64"/>
  <c r="BE86" i="64"/>
  <c r="BF86" i="64"/>
  <c r="BG86" i="64"/>
  <c r="BH86" i="64"/>
  <c r="BI86" i="64"/>
  <c r="BJ86" i="64"/>
  <c r="BE87" i="64"/>
  <c r="BF87" i="64"/>
  <c r="BG87" i="64"/>
  <c r="BH87" i="64"/>
  <c r="BI87" i="64"/>
  <c r="BJ87" i="64"/>
  <c r="BE88" i="64"/>
  <c r="BF88" i="64"/>
  <c r="BG88" i="64"/>
  <c r="BH88" i="64"/>
  <c r="BI88" i="64"/>
  <c r="BJ88" i="64"/>
  <c r="BE89" i="64"/>
  <c r="BF89" i="64"/>
  <c r="BG89" i="64"/>
  <c r="BH89" i="64"/>
  <c r="BI89" i="64"/>
  <c r="BJ89" i="64"/>
  <c r="BE90" i="64"/>
  <c r="BF90" i="64"/>
  <c r="BG90" i="64"/>
  <c r="BH90" i="64"/>
  <c r="BI90" i="64"/>
  <c r="BJ90" i="64"/>
  <c r="BE91" i="64"/>
  <c r="BF91" i="64"/>
  <c r="BG91" i="64"/>
  <c r="BH91" i="64"/>
  <c r="BI91" i="64"/>
  <c r="BJ91" i="64"/>
  <c r="BE92" i="64"/>
  <c r="BF92" i="64"/>
  <c r="BG92" i="64"/>
  <c r="BH92" i="64"/>
  <c r="BI92" i="64"/>
  <c r="BJ92" i="64"/>
  <c r="BE93" i="64"/>
  <c r="BF93" i="64"/>
  <c r="BG93" i="64"/>
  <c r="BH93" i="64"/>
  <c r="BI93" i="64"/>
  <c r="BJ93" i="64"/>
  <c r="BE96" i="64"/>
  <c r="BF96" i="64"/>
  <c r="BG96" i="64"/>
  <c r="BH96" i="64"/>
  <c r="BI96" i="64"/>
  <c r="BJ96" i="64"/>
  <c r="BE97" i="64"/>
  <c r="BF97" i="64"/>
  <c r="BG97" i="64"/>
  <c r="BH97" i="64"/>
  <c r="BI97" i="64"/>
  <c r="BJ97" i="64"/>
  <c r="BE98" i="64"/>
  <c r="BF98" i="64"/>
  <c r="BG98" i="64"/>
  <c r="BH98" i="64"/>
  <c r="BI98" i="64"/>
  <c r="BJ98" i="64"/>
  <c r="BE99" i="64"/>
  <c r="BF99" i="64"/>
  <c r="BG99" i="64"/>
  <c r="BH99" i="64"/>
  <c r="BI99" i="64"/>
  <c r="BJ99" i="64"/>
  <c r="BE100" i="64"/>
  <c r="BF100" i="64"/>
  <c r="BG100" i="64"/>
  <c r="BH100" i="64"/>
  <c r="BI100" i="64"/>
  <c r="BJ100" i="64"/>
  <c r="BE101" i="64"/>
  <c r="BF101" i="64"/>
  <c r="BG101" i="64"/>
  <c r="BH101" i="64"/>
  <c r="BI101" i="64"/>
  <c r="BJ101" i="64"/>
  <c r="BE102" i="64"/>
  <c r="BF102" i="64"/>
  <c r="BG102" i="64"/>
  <c r="BH102" i="64"/>
  <c r="BI102" i="64"/>
  <c r="BJ102" i="64"/>
  <c r="BE103" i="64"/>
  <c r="BF103" i="64"/>
  <c r="BG103" i="64"/>
  <c r="BH103" i="64"/>
  <c r="BI103" i="64"/>
  <c r="BJ103" i="64"/>
  <c r="BE104" i="64"/>
  <c r="BF104" i="64"/>
  <c r="BG104" i="64"/>
  <c r="BH104" i="64"/>
  <c r="BD30" i="51"/>
  <c r="BG54" i="42" s="1"/>
  <c r="BF62" i="51"/>
  <c r="BG62" i="51"/>
  <c r="BE115" i="64"/>
  <c r="BE116" i="64"/>
  <c r="BE117" i="64"/>
  <c r="BE118" i="64"/>
  <c r="BE119" i="64"/>
  <c r="BE120" i="64"/>
  <c r="BE121" i="64"/>
  <c r="BE122" i="64"/>
  <c r="BE123" i="64"/>
  <c r="BE124" i="64"/>
  <c r="BE125" i="64"/>
  <c r="BE126" i="64"/>
  <c r="BE127" i="64"/>
  <c r="BE128" i="64"/>
  <c r="BF132" i="64"/>
  <c r="BF133" i="64"/>
  <c r="BF134" i="64"/>
  <c r="BF135" i="64"/>
  <c r="BF136" i="64"/>
  <c r="BF137" i="64"/>
  <c r="BF138" i="64"/>
  <c r="U30" i="51"/>
  <c r="AT30" i="51"/>
  <c r="AW54" i="42" s="1"/>
  <c r="BI30" i="51"/>
  <c r="BL54" i="42" s="1"/>
  <c r="V26" i="51"/>
  <c r="L24" i="51"/>
  <c r="AZ24" i="51"/>
  <c r="BA22" i="51"/>
  <c r="BP30" i="51"/>
  <c r="BT30" i="51"/>
  <c r="BX30" i="51"/>
  <c r="CC30" i="51"/>
  <c r="CH30" i="51"/>
  <c r="U44" i="51"/>
  <c r="AT44" i="51"/>
  <c r="BI44" i="51"/>
  <c r="T39" i="51"/>
  <c r="AL39" i="51"/>
  <c r="AR39" i="51"/>
  <c r="BH39" i="51"/>
  <c r="AB40" i="51"/>
  <c r="AH40" i="51"/>
  <c r="AX40" i="51"/>
  <c r="R41" i="51"/>
  <c r="X41" i="51"/>
  <c r="AN41" i="51"/>
  <c r="AV53" i="51"/>
  <c r="AB56" i="51"/>
  <c r="R55" i="51"/>
  <c r="BF55" i="51"/>
  <c r="AV54" i="51"/>
  <c r="BR108" i="51"/>
  <c r="BV108" i="51"/>
  <c r="CA108" i="51"/>
  <c r="CF108" i="51"/>
  <c r="AD76" i="51"/>
  <c r="AU76" i="51"/>
  <c r="AA71" i="51"/>
  <c r="N72" i="51"/>
  <c r="R72" i="51"/>
  <c r="S72" i="51"/>
  <c r="AC72" i="51"/>
  <c r="AA68" i="51"/>
  <c r="AX68" i="51"/>
  <c r="Q67" i="51"/>
  <c r="AN67" i="51"/>
  <c r="BE67" i="51"/>
  <c r="AD66" i="51"/>
  <c r="AU66" i="51"/>
  <c r="T74" i="51"/>
  <c r="AK74" i="51"/>
  <c r="BH74" i="51"/>
  <c r="AA73" i="51"/>
  <c r="AX73" i="51"/>
  <c r="Q65" i="51"/>
  <c r="AN65" i="51"/>
  <c r="BE65" i="51"/>
  <c r="AD77" i="51"/>
  <c r="AU77" i="51"/>
  <c r="AP69" i="51"/>
  <c r="AX69" i="51"/>
  <c r="AJ30" i="51"/>
  <c r="AM54" i="42" s="1"/>
  <c r="AY30" i="51"/>
  <c r="AY44" i="51"/>
  <c r="AM39" i="51"/>
  <c r="AC40" i="51"/>
  <c r="S41" i="51"/>
  <c r="AZ41" i="51"/>
  <c r="AE108" i="51"/>
  <c r="AC56" i="51"/>
  <c r="S55" i="51"/>
  <c r="BG55" i="51"/>
  <c r="AW54" i="51"/>
  <c r="BS108" i="51"/>
  <c r="BW108" i="51"/>
  <c r="CB108" i="51"/>
  <c r="CG108" i="51"/>
  <c r="AW76" i="51"/>
  <c r="AC71" i="51"/>
  <c r="BE62" i="51"/>
  <c r="AV63" i="51"/>
  <c r="AW63" i="51"/>
  <c r="AX72" i="51"/>
  <c r="AW72" i="51"/>
  <c r="BH72" i="51"/>
  <c r="BE72" i="51"/>
  <c r="AC68" i="51"/>
  <c r="S67" i="51"/>
  <c r="BG67" i="51"/>
  <c r="AW66" i="51"/>
  <c r="AM74" i="51"/>
  <c r="AC73" i="51"/>
  <c r="S65" i="51"/>
  <c r="BG65" i="51"/>
  <c r="AW77" i="51"/>
  <c r="BI104" i="64"/>
  <c r="BJ104" i="64"/>
  <c r="BE105" i="64"/>
  <c r="BF105" i="64"/>
  <c r="BG105" i="64"/>
  <c r="BH105" i="64"/>
  <c r="BI105" i="64"/>
  <c r="BJ105" i="64"/>
  <c r="BE106" i="64"/>
  <c r="BF106" i="64"/>
  <c r="BG106" i="64"/>
  <c r="BH106" i="64"/>
  <c r="BI106" i="64"/>
  <c r="BJ106" i="64"/>
  <c r="BE107" i="64"/>
  <c r="BF107" i="64"/>
  <c r="BG107" i="64"/>
  <c r="BH107" i="64"/>
  <c r="BI107" i="64"/>
  <c r="BJ107" i="64"/>
  <c r="BE108" i="64"/>
  <c r="BF108" i="64"/>
  <c r="BG108" i="64"/>
  <c r="BH108" i="64"/>
  <c r="BI108" i="64"/>
  <c r="BJ108" i="64"/>
  <c r="BE109" i="64"/>
  <c r="L28" i="51"/>
  <c r="Z30" i="51"/>
  <c r="AZ28" i="51"/>
  <c r="AP26" i="51"/>
  <c r="AF24" i="51"/>
  <c r="BE22" i="51"/>
  <c r="Z44" i="51"/>
  <c r="AO44" i="51"/>
  <c r="X39" i="51"/>
  <c r="N40" i="51"/>
  <c r="BB40" i="51"/>
  <c r="AR41" i="51"/>
  <c r="BB41" i="51"/>
  <c r="BQ44" i="51"/>
  <c r="BU44" i="51"/>
  <c r="BZ44" i="51"/>
  <c r="CE44" i="51"/>
  <c r="DM41" i="51"/>
  <c r="AA53" i="51"/>
  <c r="BE53" i="51"/>
  <c r="Q56" i="51"/>
  <c r="AM56" i="51"/>
  <c r="AU56" i="51"/>
  <c r="BE56" i="51"/>
  <c r="AC55" i="51"/>
  <c r="AK55" i="51"/>
  <c r="AU55" i="51"/>
  <c r="S54" i="51"/>
  <c r="AA54" i="51"/>
  <c r="AK54" i="51"/>
  <c r="BG54" i="51"/>
  <c r="S76" i="51"/>
  <c r="AA76" i="51"/>
  <c r="AX76" i="51"/>
  <c r="BG76" i="51"/>
  <c r="AD71" i="51"/>
  <c r="AM71" i="51"/>
  <c r="BG71" i="51"/>
  <c r="AC70" i="51"/>
  <c r="AW70" i="51"/>
  <c r="S62" i="51"/>
  <c r="AM62" i="51"/>
  <c r="BH62" i="51"/>
  <c r="X63" i="51"/>
  <c r="AB63" i="51"/>
  <c r="AC63" i="51"/>
  <c r="Q72" i="51"/>
  <c r="AI72" i="51"/>
  <c r="AH72" i="51"/>
  <c r="AR72" i="51"/>
  <c r="BB72" i="51"/>
  <c r="AD68" i="51"/>
  <c r="AL68" i="51"/>
  <c r="AU68" i="51"/>
  <c r="T67" i="51"/>
  <c r="AB67" i="51"/>
  <c r="AK67" i="51"/>
  <c r="BH67" i="51"/>
  <c r="R66" i="51"/>
  <c r="AA66" i="51"/>
  <c r="AX66" i="51"/>
  <c r="BF66" i="51"/>
  <c r="Q74" i="51"/>
  <c r="AN74" i="51"/>
  <c r="AV74" i="51"/>
  <c r="BE74" i="51"/>
  <c r="AD73" i="51"/>
  <c r="AL73" i="51"/>
  <c r="AU73" i="51"/>
  <c r="T65" i="51"/>
  <c r="AB65" i="51"/>
  <c r="AK65" i="51"/>
  <c r="BH65" i="51"/>
  <c r="R77" i="51"/>
  <c r="AA77" i="51"/>
  <c r="AX77" i="51"/>
  <c r="BF77" i="51"/>
  <c r="O69" i="51"/>
  <c r="L69" i="51"/>
  <c r="AB69" i="51"/>
  <c r="AU69" i="51"/>
  <c r="BC69" i="51"/>
  <c r="AZ69" i="51"/>
  <c r="AL86" i="51"/>
  <c r="BE86" i="51"/>
  <c r="Q84" i="51"/>
  <c r="AL84" i="51"/>
  <c r="AK82" i="51"/>
  <c r="AA94" i="51"/>
  <c r="Q92" i="51"/>
  <c r="BE92" i="51"/>
  <c r="AU81" i="51"/>
  <c r="L100" i="51"/>
  <c r="V100" i="51"/>
  <c r="AF100" i="51"/>
  <c r="AP100" i="51"/>
  <c r="AZ100" i="51"/>
  <c r="AA101" i="51"/>
  <c r="Q102" i="51"/>
  <c r="BA102" i="51"/>
  <c r="BE102" i="51"/>
  <c r="AR105" i="51"/>
  <c r="AQ105" i="51"/>
  <c r="AS105" i="51"/>
  <c r="Q85" i="51"/>
  <c r="AA85" i="51"/>
  <c r="AN86" i="51"/>
  <c r="BF86" i="51"/>
  <c r="Q96" i="51"/>
  <c r="AA96" i="51"/>
  <c r="R84" i="51"/>
  <c r="AN84" i="51"/>
  <c r="AU84" i="51"/>
  <c r="AA82" i="51"/>
  <c r="Q94" i="51"/>
  <c r="BE94" i="51"/>
  <c r="AU92" i="51"/>
  <c r="AK81" i="51"/>
  <c r="O100" i="51"/>
  <c r="Y100" i="51"/>
  <c r="AI100" i="51"/>
  <c r="AS100" i="51"/>
  <c r="BC100" i="51"/>
  <c r="L101" i="51"/>
  <c r="AC101" i="51"/>
  <c r="AK101" i="51"/>
  <c r="AZ101" i="51"/>
  <c r="S102" i="51"/>
  <c r="AA102" i="51"/>
  <c r="AU102" i="51"/>
  <c r="BB102" i="51"/>
  <c r="BG102" i="51"/>
  <c r="AD105" i="51"/>
  <c r="AA105" i="51"/>
  <c r="T85" i="51"/>
  <c r="BE85" i="51"/>
  <c r="BH86" i="51"/>
  <c r="AK96" i="51"/>
  <c r="T84" i="51"/>
  <c r="AX84" i="51"/>
  <c r="BE82" i="51"/>
  <c r="AU94" i="51"/>
  <c r="AK92" i="51"/>
  <c r="AA81" i="51"/>
  <c r="V101" i="51"/>
  <c r="AM101" i="51"/>
  <c r="L102" i="51"/>
  <c r="AC102" i="51"/>
  <c r="BL133" i="39"/>
  <c r="AC112" i="51"/>
  <c r="AA112" i="51"/>
  <c r="BG113" i="51"/>
  <c r="BE113" i="51"/>
  <c r="AH105" i="51"/>
  <c r="Q106" i="51"/>
  <c r="AA106" i="51"/>
  <c r="AK106" i="51"/>
  <c r="AU106" i="51"/>
  <c r="BE106" i="51"/>
  <c r="AH133" i="39"/>
  <c r="BP244" i="51"/>
  <c r="AK111" i="51"/>
  <c r="Q113" i="51"/>
  <c r="AC133" i="39"/>
  <c r="BR244" i="51"/>
  <c r="AK112" i="51"/>
  <c r="BE112" i="51"/>
  <c r="BS244" i="51"/>
  <c r="DH171" i="51"/>
  <c r="DF171" i="51" s="1"/>
  <c r="BQ258" i="51"/>
  <c r="DD62" i="3"/>
  <c r="DD61" i="3"/>
  <c r="AG138" i="4"/>
  <c r="CZ54" i="3"/>
  <c r="CJ63" i="3"/>
  <c r="CJ59" i="3"/>
  <c r="CY60" i="3"/>
  <c r="AG92" i="4"/>
  <c r="T10" i="4"/>
  <c r="H14" i="4"/>
  <c r="I14" i="42"/>
  <c r="W39" i="4"/>
  <c r="W34" i="42" s="1"/>
  <c r="T34" i="42"/>
  <c r="I248" i="4"/>
  <c r="I38" i="42"/>
  <c r="CP44" i="3"/>
  <c r="AZ100" i="4"/>
  <c r="BA588" i="41"/>
  <c r="L161" i="4"/>
  <c r="L172" i="4" s="1"/>
  <c r="G244" i="4"/>
  <c r="Q244" i="4"/>
  <c r="BJ14" i="39"/>
  <c r="W14" i="42"/>
  <c r="AA20" i="42"/>
  <c r="M26" i="42"/>
  <c r="W26" i="42"/>
  <c r="AG26" i="42"/>
  <c r="O31" i="42"/>
  <c r="AL31" i="42"/>
  <c r="U38" i="42"/>
  <c r="AG38" i="42"/>
  <c r="BA109" i="39"/>
  <c r="BF109" i="39" s="1"/>
  <c r="BK109" i="39" s="1"/>
  <c r="BP109" i="39" s="1"/>
  <c r="BP107" i="39" s="1"/>
  <c r="BP12" i="39" s="1"/>
  <c r="BE67" i="39"/>
  <c r="AG169" i="39"/>
  <c r="AD66" i="40"/>
  <c r="AD53" i="40" s="1"/>
  <c r="W9" i="41"/>
  <c r="W15" i="41" s="1"/>
  <c r="W17" i="41" s="1"/>
  <c r="AG9" i="41"/>
  <c r="AG15" i="41" s="1"/>
  <c r="AG17" i="41" s="1"/>
  <c r="BK19" i="41"/>
  <c r="BH19" i="41"/>
  <c r="AB283" i="41"/>
  <c r="AH283" i="41"/>
  <c r="AM283" i="41" s="1"/>
  <c r="AL283" i="41" s="1"/>
  <c r="X40" i="3"/>
  <c r="R62" i="4"/>
  <c r="AL62" i="4"/>
  <c r="CU44" i="3"/>
  <c r="CZ44" i="3"/>
  <c r="BE100" i="4"/>
  <c r="BF588" i="41"/>
  <c r="AH132" i="4"/>
  <c r="AG132" i="4" s="1"/>
  <c r="CJ132" i="4"/>
  <c r="CN134" i="4"/>
  <c r="CO133" i="4"/>
  <c r="V133" i="4"/>
  <c r="AJ133" i="4"/>
  <c r="DI138" i="4"/>
  <c r="X137" i="4"/>
  <c r="X138" i="4"/>
  <c r="W138" i="4" s="1"/>
  <c r="AC138" i="4"/>
  <c r="L147" i="4"/>
  <c r="L256" i="4" s="1"/>
  <c r="Q147" i="4"/>
  <c r="Q256" i="4" s="1"/>
  <c r="U147" i="4"/>
  <c r="U256" i="4" s="1"/>
  <c r="AD147" i="4"/>
  <c r="AI147" i="4"/>
  <c r="CE147" i="4"/>
  <c r="CO147" i="4"/>
  <c r="DI147" i="4"/>
  <c r="H172" i="4"/>
  <c r="M172" i="4"/>
  <c r="AL161" i="4"/>
  <c r="AL172" i="4" s="1"/>
  <c r="V161" i="4"/>
  <c r="V172" i="4" s="1"/>
  <c r="I166" i="4"/>
  <c r="AC166" i="4"/>
  <c r="I177" i="4"/>
  <c r="I178" i="4" s="1"/>
  <c r="I183" i="4" s="1"/>
  <c r="AH201" i="4"/>
  <c r="O20" i="42"/>
  <c r="AC20" i="42"/>
  <c r="O25" i="42"/>
  <c r="AB25" i="42"/>
  <c r="AL25" i="42"/>
  <c r="K38" i="42"/>
  <c r="P38" i="42"/>
  <c r="AL38" i="42"/>
  <c r="DB13" i="3"/>
  <c r="DB18" i="3" s="1"/>
  <c r="AC40" i="3"/>
  <c r="W9" i="4"/>
  <c r="W16" i="4" s="1"/>
  <c r="W22" i="4" s="1"/>
  <c r="AG9" i="4"/>
  <c r="AG16" i="4" s="1"/>
  <c r="AG22" i="4" s="1"/>
  <c r="M12" i="4"/>
  <c r="M12" i="42" s="1"/>
  <c r="N12" i="42"/>
  <c r="I16" i="4"/>
  <c r="I22" i="4" s="1"/>
  <c r="I28" i="4" s="1"/>
  <c r="I220" i="4" s="1"/>
  <c r="I12" i="42"/>
  <c r="I32" i="4"/>
  <c r="I26" i="42"/>
  <c r="I27" i="42" s="1"/>
  <c r="AB32" i="4"/>
  <c r="AL32" i="4"/>
  <c r="CR44" i="3"/>
  <c r="CV44" i="3"/>
  <c r="DE44" i="3"/>
  <c r="BJ100" i="4"/>
  <c r="BK588" i="41"/>
  <c r="Q132" i="4"/>
  <c r="AD132" i="4"/>
  <c r="AD134" i="4" s="1"/>
  <c r="CG149" i="4"/>
  <c r="CK134" i="4"/>
  <c r="N134" i="4" s="1"/>
  <c r="CT132" i="4"/>
  <c r="CX134" i="4"/>
  <c r="DG134" i="4"/>
  <c r="F133" i="4"/>
  <c r="R133" i="4"/>
  <c r="AF133" i="4"/>
  <c r="AK133" i="4"/>
  <c r="R136" i="4"/>
  <c r="AC136" i="4"/>
  <c r="AM136" i="4"/>
  <c r="CO136" i="4"/>
  <c r="AL138" i="4"/>
  <c r="Y137" i="4"/>
  <c r="CQ54" i="3" s="1"/>
  <c r="CQ56" i="3" s="1"/>
  <c r="CE137" i="4"/>
  <c r="CE139" i="4" s="1"/>
  <c r="CJ137" i="4"/>
  <c r="CJ139" i="4" s="1"/>
  <c r="E147" i="4"/>
  <c r="AE147" i="4"/>
  <c r="AJ147" i="4"/>
  <c r="W143" i="4"/>
  <c r="Z146" i="4"/>
  <c r="CY146" i="4"/>
  <c r="CY147" i="4" s="1"/>
  <c r="Y161" i="4"/>
  <c r="Y172" i="4" s="1"/>
  <c r="J161" i="4"/>
  <c r="J172" i="4" s="1"/>
  <c r="AF161" i="4"/>
  <c r="AF172" i="4" s="1"/>
  <c r="X166" i="4"/>
  <c r="AC178" i="4"/>
  <c r="AC183" i="4" s="1"/>
  <c r="S177" i="4"/>
  <c r="S178" i="4" s="1"/>
  <c r="S183" i="4" s="1"/>
  <c r="S193" i="4" s="1"/>
  <c r="N191" i="4"/>
  <c r="N209" i="4" s="1"/>
  <c r="CF16" i="3" s="1"/>
  <c r="X191" i="4"/>
  <c r="AH191" i="4"/>
  <c r="AB8" i="42"/>
  <c r="R26" i="42"/>
  <c r="AB27" i="39"/>
  <c r="AL27" i="39"/>
  <c r="L38" i="42"/>
  <c r="BG58" i="39"/>
  <c r="S114" i="39"/>
  <c r="S65" i="39" s="1"/>
  <c r="Y69" i="40"/>
  <c r="Y54" i="40" s="1"/>
  <c r="U15" i="41"/>
  <c r="U17" i="41" s="1"/>
  <c r="U21" i="41" s="1"/>
  <c r="U9" i="42"/>
  <c r="U16" i="42" s="1"/>
  <c r="U18" i="42" s="1"/>
  <c r="U22" i="42" s="1"/>
  <c r="AB549" i="41"/>
  <c r="M19" i="41"/>
  <c r="M20" i="42" s="1"/>
  <c r="N20" i="42"/>
  <c r="AB333" i="41"/>
  <c r="AB168" i="41"/>
  <c r="AB221" i="41" s="1"/>
  <c r="AB223" i="41" s="1"/>
  <c r="DC13" i="3"/>
  <c r="DC18" i="3" s="1"/>
  <c r="N40" i="3"/>
  <c r="AH40" i="3"/>
  <c r="R8" i="4"/>
  <c r="P10" i="4"/>
  <c r="M13" i="4"/>
  <c r="M13" i="42" s="1"/>
  <c r="N13" i="42"/>
  <c r="H13" i="4"/>
  <c r="I13" i="42"/>
  <c r="AG25" i="4"/>
  <c r="M32" i="4"/>
  <c r="W32" i="4"/>
  <c r="AG32" i="4"/>
  <c r="R39" i="4"/>
  <c r="R34" i="42" s="1"/>
  <c r="O34" i="42"/>
  <c r="AB62" i="4"/>
  <c r="DB44" i="3"/>
  <c r="G132" i="4"/>
  <c r="R132" i="4"/>
  <c r="DD132" i="4"/>
  <c r="P133" i="4"/>
  <c r="AB133" i="4"/>
  <c r="DI133" i="4"/>
  <c r="U136" i="4"/>
  <c r="AE136" i="4"/>
  <c r="CU139" i="4"/>
  <c r="X139" i="4" s="1"/>
  <c r="X255" i="4" s="1"/>
  <c r="CY136" i="4"/>
  <c r="DH139" i="4"/>
  <c r="K137" i="4"/>
  <c r="O137" i="4"/>
  <c r="CG54" i="3" s="1"/>
  <c r="CG56" i="3" s="1"/>
  <c r="U137" i="4"/>
  <c r="CO137" i="4"/>
  <c r="CO138" i="4"/>
  <c r="F147" i="4"/>
  <c r="J147" i="4"/>
  <c r="J256" i="4" s="1"/>
  <c r="O147" i="4"/>
  <c r="O256" i="4" s="1"/>
  <c r="AF147" i="4"/>
  <c r="AK147" i="4"/>
  <c r="AH143" i="4"/>
  <c r="W144" i="4"/>
  <c r="AB145" i="4"/>
  <c r="AA146" i="4"/>
  <c r="CJ147" i="4"/>
  <c r="F172" i="4"/>
  <c r="K172" i="4"/>
  <c r="P161" i="4"/>
  <c r="P172" i="4" s="1"/>
  <c r="U161" i="4"/>
  <c r="U172" i="4" s="1"/>
  <c r="Z161" i="4"/>
  <c r="Z172" i="4" s="1"/>
  <c r="AE161" i="4"/>
  <c r="AE172" i="4" s="1"/>
  <c r="AJ172" i="4"/>
  <c r="S166" i="4"/>
  <c r="AM191" i="4"/>
  <c r="AB13" i="42"/>
  <c r="AH20" i="42"/>
  <c r="AG31" i="42"/>
  <c r="O548" i="41"/>
  <c r="O549" i="41" s="1"/>
  <c r="R14" i="41"/>
  <c r="R548" i="41" s="1"/>
  <c r="W549" i="41" s="1"/>
  <c r="O26" i="41"/>
  <c r="R35" i="41"/>
  <c r="X75" i="41"/>
  <c r="AC75" i="41"/>
  <c r="AH75" i="41"/>
  <c r="AK185" i="41"/>
  <c r="AK213" i="41"/>
  <c r="BE213" i="41"/>
  <c r="AA264" i="41"/>
  <c r="AA160" i="41" s="1"/>
  <c r="AV275" i="41"/>
  <c r="AV265" i="41" s="1"/>
  <c r="BF275" i="41"/>
  <c r="AM318" i="41"/>
  <c r="AH338" i="41"/>
  <c r="AM338" i="41"/>
  <c r="Z438" i="41"/>
  <c r="V549" i="41"/>
  <c r="AA549" i="41"/>
  <c r="AF549" i="41"/>
  <c r="AK549" i="41"/>
  <c r="BF16" i="64"/>
  <c r="BG16" i="64"/>
  <c r="BH16" i="64"/>
  <c r="BI16" i="64"/>
  <c r="BF20" i="64"/>
  <c r="BG20" i="64"/>
  <c r="BH20" i="64"/>
  <c r="BI20" i="64"/>
  <c r="BF24" i="64"/>
  <c r="BG24" i="64"/>
  <c r="BH24" i="64"/>
  <c r="BI24" i="64"/>
  <c r="BF28" i="64"/>
  <c r="BG28" i="64"/>
  <c r="BH28" i="64"/>
  <c r="BI28" i="64"/>
  <c r="BF29" i="64"/>
  <c r="BH29" i="64"/>
  <c r="BE30" i="64"/>
  <c r="BF35" i="64"/>
  <c r="BG35" i="64"/>
  <c r="BH35" i="64"/>
  <c r="BI35" i="64"/>
  <c r="BL35" i="64"/>
  <c r="BF37" i="64"/>
  <c r="BG37" i="64"/>
  <c r="BH37" i="64"/>
  <c r="BI37" i="64"/>
  <c r="BL37" i="64"/>
  <c r="BF39" i="64"/>
  <c r="BG39" i="64"/>
  <c r="BH39" i="64"/>
  <c r="BI39" i="64"/>
  <c r="BL39" i="64"/>
  <c r="BF41" i="64"/>
  <c r="BG41" i="64"/>
  <c r="BH41" i="64"/>
  <c r="BI41" i="64"/>
  <c r="BL41" i="64"/>
  <c r="BF43" i="64"/>
  <c r="BG43" i="64"/>
  <c r="BH43" i="64"/>
  <c r="BI43" i="64"/>
  <c r="BL43" i="64"/>
  <c r="BF45" i="64"/>
  <c r="BG45" i="64"/>
  <c r="BH45" i="64"/>
  <c r="BI45" i="64"/>
  <c r="BL45" i="64"/>
  <c r="BF47" i="64"/>
  <c r="BG47" i="64"/>
  <c r="BH47" i="64"/>
  <c r="BI47" i="64"/>
  <c r="BL47" i="64"/>
  <c r="BF49" i="64"/>
  <c r="BG49" i="64"/>
  <c r="BH49" i="64"/>
  <c r="BI49" i="64"/>
  <c r="BL49" i="64"/>
  <c r="N28" i="51"/>
  <c r="S28" i="51"/>
  <c r="X28" i="51"/>
  <c r="AC28" i="51"/>
  <c r="AH28" i="51"/>
  <c r="AM28" i="51"/>
  <c r="AR28" i="51"/>
  <c r="AW28" i="51"/>
  <c r="BB28" i="51"/>
  <c r="BG28" i="51"/>
  <c r="N26" i="51"/>
  <c r="S26" i="51"/>
  <c r="X26" i="51"/>
  <c r="AC26" i="51"/>
  <c r="AH26" i="51"/>
  <c r="AM26" i="51"/>
  <c r="AR26" i="51"/>
  <c r="AW26" i="51"/>
  <c r="BB26" i="51"/>
  <c r="BG26" i="51"/>
  <c r="N24" i="51"/>
  <c r="S24" i="51"/>
  <c r="X24" i="51"/>
  <c r="AC24" i="51"/>
  <c r="AH24" i="51"/>
  <c r="AM24" i="51"/>
  <c r="AR24" i="51"/>
  <c r="AW24" i="51"/>
  <c r="BB24" i="51"/>
  <c r="BG24" i="51"/>
  <c r="N22" i="51"/>
  <c r="S22" i="51"/>
  <c r="X22" i="51"/>
  <c r="AC22" i="51"/>
  <c r="AH22" i="51"/>
  <c r="AR22" i="51"/>
  <c r="AW22" i="51"/>
  <c r="BB22" i="51"/>
  <c r="BG22" i="51"/>
  <c r="BQ30" i="51"/>
  <c r="BU30" i="51"/>
  <c r="BZ30" i="51"/>
  <c r="CE30" i="51"/>
  <c r="BS44" i="51"/>
  <c r="BW44" i="51"/>
  <c r="CB44" i="51"/>
  <c r="CG44" i="51"/>
  <c r="DC39" i="51"/>
  <c r="DD39" i="51" s="1"/>
  <c r="U108" i="51"/>
  <c r="AB53" i="51"/>
  <c r="AM53" i="51"/>
  <c r="BG53" i="51"/>
  <c r="T56" i="51"/>
  <c r="AW56" i="51"/>
  <c r="BH56" i="51"/>
  <c r="AM55" i="51"/>
  <c r="AX55" i="51"/>
  <c r="AC54" i="51"/>
  <c r="AN54" i="51"/>
  <c r="BP108" i="51"/>
  <c r="BX108" i="51"/>
  <c r="CC108" i="51"/>
  <c r="CH108" i="51"/>
  <c r="L76" i="51"/>
  <c r="V76" i="51"/>
  <c r="AF76" i="51"/>
  <c r="AP76" i="51"/>
  <c r="AZ76" i="51"/>
  <c r="L71" i="51"/>
  <c r="V71" i="51"/>
  <c r="AF71" i="51"/>
  <c r="AP71" i="51"/>
  <c r="AZ71" i="51"/>
  <c r="L70" i="51"/>
  <c r="V70" i="51"/>
  <c r="AF70" i="51"/>
  <c r="AP70" i="51"/>
  <c r="AZ70" i="51"/>
  <c r="L62" i="51"/>
  <c r="V62" i="51"/>
  <c r="AF62" i="51"/>
  <c r="AP62" i="51"/>
  <c r="AZ62" i="51"/>
  <c r="L63" i="51"/>
  <c r="V63" i="51"/>
  <c r="AF63" i="51"/>
  <c r="AP63" i="51"/>
  <c r="AZ63" i="51"/>
  <c r="L72" i="51"/>
  <c r="V72" i="51"/>
  <c r="AB72" i="51"/>
  <c r="AF72" i="51"/>
  <c r="AL72" i="51"/>
  <c r="AP72" i="51"/>
  <c r="AV72" i="51"/>
  <c r="AZ72" i="51"/>
  <c r="BF72" i="51"/>
  <c r="AN275" i="41"/>
  <c r="AX275" i="41"/>
  <c r="BH275" i="41"/>
  <c r="AA438" i="41"/>
  <c r="AB538" i="41"/>
  <c r="AF538" i="41"/>
  <c r="AJ538" i="41"/>
  <c r="AN538" i="41"/>
  <c r="AR538" i="41"/>
  <c r="AV538" i="41"/>
  <c r="AZ538" i="41"/>
  <c r="BD538" i="41"/>
  <c r="BH538" i="41"/>
  <c r="BL538" i="41"/>
  <c r="AB543" i="41"/>
  <c r="AB544" i="41" s="1"/>
  <c r="X549" i="41"/>
  <c r="AC549" i="41"/>
  <c r="AH549" i="41"/>
  <c r="AM549" i="41"/>
  <c r="Z555" i="41"/>
  <c r="AD555" i="41"/>
  <c r="AM564" i="41"/>
  <c r="AA595" i="41"/>
  <c r="AF595" i="41"/>
  <c r="AD601" i="41"/>
  <c r="AF606" i="41"/>
  <c r="AF120" i="4" s="1"/>
  <c r="O619" i="41"/>
  <c r="O628" i="41" s="1"/>
  <c r="BE8" i="64"/>
  <c r="BF11" i="64"/>
  <c r="BG11" i="64"/>
  <c r="BH11" i="64"/>
  <c r="BI11" i="64"/>
  <c r="BE12" i="64"/>
  <c r="BE16" i="64"/>
  <c r="BF19" i="64"/>
  <c r="BG19" i="64"/>
  <c r="BH19" i="64"/>
  <c r="BI19" i="64"/>
  <c r="BE20" i="64"/>
  <c r="BF23" i="64"/>
  <c r="BG23" i="64"/>
  <c r="BH23" i="64"/>
  <c r="BI23" i="64"/>
  <c r="BE24" i="64"/>
  <c r="BG27" i="64"/>
  <c r="BI27" i="64"/>
  <c r="BG31" i="64"/>
  <c r="BI31" i="64"/>
  <c r="BE36" i="64"/>
  <c r="BE40" i="64"/>
  <c r="BE44" i="64"/>
  <c r="BE48" i="64"/>
  <c r="O28" i="51"/>
  <c r="Y28" i="51"/>
  <c r="AI28" i="51"/>
  <c r="AS28" i="51"/>
  <c r="BC28" i="51"/>
  <c r="O26" i="51"/>
  <c r="Y26" i="51"/>
  <c r="AI26" i="51"/>
  <c r="AS26" i="51"/>
  <c r="BC26" i="51"/>
  <c r="O24" i="51"/>
  <c r="Y24" i="51"/>
  <c r="AI24" i="51"/>
  <c r="AS24" i="51"/>
  <c r="BC24" i="51"/>
  <c r="O22" i="51"/>
  <c r="Y22" i="51"/>
  <c r="AI22" i="51"/>
  <c r="AS22" i="51"/>
  <c r="BH22" i="51"/>
  <c r="BR30" i="51"/>
  <c r="BV30" i="51"/>
  <c r="CA30" i="51"/>
  <c r="CF30" i="51"/>
  <c r="E30" i="51"/>
  <c r="L39" i="51"/>
  <c r="V39" i="51"/>
  <c r="AF39" i="51"/>
  <c r="AP39" i="51"/>
  <c r="AZ39" i="51"/>
  <c r="L40" i="51"/>
  <c r="V40" i="51"/>
  <c r="AF40" i="51"/>
  <c r="AP40" i="51"/>
  <c r="AZ40" i="51"/>
  <c r="L41" i="51"/>
  <c r="V41" i="51"/>
  <c r="AF41" i="51"/>
  <c r="AP41" i="51"/>
  <c r="BP44" i="51"/>
  <c r="BT44" i="51"/>
  <c r="BX44" i="51"/>
  <c r="CC44" i="51"/>
  <c r="CH44" i="51"/>
  <c r="AN53" i="51"/>
  <c r="AY108" i="51"/>
  <c r="BB581" i="41" s="1"/>
  <c r="BH53" i="51"/>
  <c r="AX56" i="51"/>
  <c r="AN55" i="51"/>
  <c r="AD54" i="51"/>
  <c r="N76" i="51"/>
  <c r="X76" i="51"/>
  <c r="AH76" i="51"/>
  <c r="AR76" i="51"/>
  <c r="BB76" i="51"/>
  <c r="N71" i="51"/>
  <c r="X71" i="51"/>
  <c r="AH71" i="51"/>
  <c r="Y68" i="51"/>
  <c r="X68" i="51"/>
  <c r="V68" i="51"/>
  <c r="AS68" i="51"/>
  <c r="AR68" i="51"/>
  <c r="AP68" i="51"/>
  <c r="O67" i="51"/>
  <c r="N67" i="51"/>
  <c r="L67" i="51"/>
  <c r="AI67" i="51"/>
  <c r="AH67" i="51"/>
  <c r="AF67" i="51"/>
  <c r="AG19" i="41"/>
  <c r="AB30" i="41"/>
  <c r="AB31" i="42" s="1"/>
  <c r="X72" i="41"/>
  <c r="AC72" i="41"/>
  <c r="AH72" i="41"/>
  <c r="X81" i="41"/>
  <c r="AG306" i="41"/>
  <c r="AG331" i="41" s="1"/>
  <c r="CB196" i="41"/>
  <c r="AI213" i="41"/>
  <c r="BC213" i="41"/>
  <c r="AT275" i="41"/>
  <c r="BD275" i="41"/>
  <c r="K544" i="41"/>
  <c r="Y549" i="41"/>
  <c r="AD549" i="41"/>
  <c r="AI549" i="41"/>
  <c r="M553" i="41"/>
  <c r="M555" i="41" s="1"/>
  <c r="BD606" i="41"/>
  <c r="BD120" i="4" s="1"/>
  <c r="Y619" i="41"/>
  <c r="Y628" i="41" s="1"/>
  <c r="Y620" i="41" s="1"/>
  <c r="BF10" i="64"/>
  <c r="BG10" i="64"/>
  <c r="BH10" i="64"/>
  <c r="BI10" i="64"/>
  <c r="BE11" i="64"/>
  <c r="BF18" i="64"/>
  <c r="BG18" i="64"/>
  <c r="BH18" i="64"/>
  <c r="BI18" i="64"/>
  <c r="BE19" i="64"/>
  <c r="BF22" i="64"/>
  <c r="BG22" i="64"/>
  <c r="BH22" i="64"/>
  <c r="BI22" i="64"/>
  <c r="BE23" i="64"/>
  <c r="BF26" i="64"/>
  <c r="BG26" i="64"/>
  <c r="BH26" i="64"/>
  <c r="BI26" i="64"/>
  <c r="BE27" i="64"/>
  <c r="BF27" i="64"/>
  <c r="BH27" i="64"/>
  <c r="BE28" i="64"/>
  <c r="BF30" i="64"/>
  <c r="BG30" i="64"/>
  <c r="BH30" i="64"/>
  <c r="BI30" i="64"/>
  <c r="BE31" i="64"/>
  <c r="BF31" i="64"/>
  <c r="BH31" i="64"/>
  <c r="BF34" i="64"/>
  <c r="BG34" i="64"/>
  <c r="BH34" i="64"/>
  <c r="BI34" i="64"/>
  <c r="BE35" i="64"/>
  <c r="BF36" i="64"/>
  <c r="BG36" i="64"/>
  <c r="BH36" i="64"/>
  <c r="BI36" i="64"/>
  <c r="BE37" i="64"/>
  <c r="BF38" i="64"/>
  <c r="BG38" i="64"/>
  <c r="BH38" i="64"/>
  <c r="BI38" i="64"/>
  <c r="BE39" i="64"/>
  <c r="BF40" i="64"/>
  <c r="BG40" i="64"/>
  <c r="BH40" i="64"/>
  <c r="BI40" i="64"/>
  <c r="BE41" i="64"/>
  <c r="BF42" i="64"/>
  <c r="BG42" i="64"/>
  <c r="BH42" i="64"/>
  <c r="BI42" i="64"/>
  <c r="BE43" i="64"/>
  <c r="BF44" i="64"/>
  <c r="BG44" i="64"/>
  <c r="BH44" i="64"/>
  <c r="BI44" i="64"/>
  <c r="BE45" i="64"/>
  <c r="BF46" i="64"/>
  <c r="BG46" i="64"/>
  <c r="BH46" i="64"/>
  <c r="BI46" i="64"/>
  <c r="BE47" i="64"/>
  <c r="BF48" i="64"/>
  <c r="BG48" i="64"/>
  <c r="BH48" i="64"/>
  <c r="BI48" i="64"/>
  <c r="AB19" i="41"/>
  <c r="W35" i="41"/>
  <c r="X73" i="41"/>
  <c r="AC73" i="41"/>
  <c r="AH73" i="41"/>
  <c r="AA85" i="41"/>
  <c r="AJ213" i="41"/>
  <c r="AT213" i="41"/>
  <c r="BD213" i="41"/>
  <c r="AW221" i="41"/>
  <c r="AK275" i="41"/>
  <c r="AZ275" i="41"/>
  <c r="BJ275" i="41"/>
  <c r="AD319" i="41"/>
  <c r="AL319" i="41"/>
  <c r="AJ339" i="41"/>
  <c r="AC437" i="41"/>
  <c r="AD437" i="41" s="1"/>
  <c r="AE437" i="41" s="1"/>
  <c r="AF437" i="41" s="1"/>
  <c r="AB474" i="41"/>
  <c r="Z538" i="41"/>
  <c r="AD538" i="41"/>
  <c r="AH538" i="41"/>
  <c r="AL538" i="41"/>
  <c r="AP538" i="41"/>
  <c r="AT538" i="41"/>
  <c r="AX538" i="41"/>
  <c r="BB538" i="41"/>
  <c r="BF538" i="41"/>
  <c r="BJ538" i="41"/>
  <c r="AA544" i="41"/>
  <c r="AF545" i="41" s="1"/>
  <c r="AK544" i="41"/>
  <c r="W543" i="41"/>
  <c r="W544" i="41" s="1"/>
  <c r="AL543" i="41"/>
  <c r="AL544" i="41" s="1"/>
  <c r="P549" i="41"/>
  <c r="U549" i="41"/>
  <c r="Z549" i="41"/>
  <c r="AE549" i="41"/>
  <c r="AJ549" i="41"/>
  <c r="W553" i="41"/>
  <c r="W555" i="41" s="1"/>
  <c r="AX560" i="41"/>
  <c r="BC560" i="41" s="1"/>
  <c r="BH560" i="41" s="1"/>
  <c r="AZ606" i="41"/>
  <c r="AZ120" i="4" s="1"/>
  <c r="BJ606" i="41"/>
  <c r="BJ120" i="4" s="1"/>
  <c r="BF9" i="64"/>
  <c r="BG9" i="64"/>
  <c r="BH9" i="64"/>
  <c r="BI9" i="64"/>
  <c r="BJ9" i="64"/>
  <c r="BE10" i="64"/>
  <c r="BE34" i="64"/>
  <c r="BE38" i="64"/>
  <c r="BE42" i="64"/>
  <c r="BE46" i="64"/>
  <c r="BF109" i="64"/>
  <c r="BG109" i="64"/>
  <c r="BH109" i="64"/>
  <c r="BI109" i="64"/>
  <c r="BJ109" i="64"/>
  <c r="BE110" i="64"/>
  <c r="BF110" i="64"/>
  <c r="BG110" i="64"/>
  <c r="BH110" i="64"/>
  <c r="BI110" i="64"/>
  <c r="BJ110" i="64"/>
  <c r="BE111" i="64"/>
  <c r="BF111" i="64"/>
  <c r="BG111" i="64"/>
  <c r="BH111" i="64"/>
  <c r="BI111" i="64"/>
  <c r="BJ111" i="64"/>
  <c r="BG114" i="64"/>
  <c r="BH114" i="64"/>
  <c r="BI114" i="64"/>
  <c r="BJ114" i="64"/>
  <c r="BG115" i="64"/>
  <c r="BH115" i="64"/>
  <c r="BI115" i="64"/>
  <c r="BJ115" i="64"/>
  <c r="BG116" i="64"/>
  <c r="BH116" i="64"/>
  <c r="BI116" i="64"/>
  <c r="BJ116" i="64"/>
  <c r="BG117" i="64"/>
  <c r="BH117" i="64"/>
  <c r="BI117" i="64"/>
  <c r="BJ117" i="64"/>
  <c r="BG118" i="64"/>
  <c r="BH118" i="64"/>
  <c r="BI118" i="64"/>
  <c r="BJ118" i="64"/>
  <c r="BG119" i="64"/>
  <c r="BH119" i="64"/>
  <c r="BI119" i="64"/>
  <c r="BJ119" i="64"/>
  <c r="BG120" i="64"/>
  <c r="BH120" i="64"/>
  <c r="BI120" i="64"/>
  <c r="BJ120" i="64"/>
  <c r="BG121" i="64"/>
  <c r="BH121" i="64"/>
  <c r="BI121" i="64"/>
  <c r="BJ121" i="64"/>
  <c r="BG122" i="64"/>
  <c r="BH122" i="64"/>
  <c r="BI122" i="64"/>
  <c r="BJ122" i="64"/>
  <c r="BG123" i="64"/>
  <c r="BH123" i="64"/>
  <c r="BI123" i="64"/>
  <c r="BJ123" i="64"/>
  <c r="BG124" i="64"/>
  <c r="BH124" i="64"/>
  <c r="BI124" i="64"/>
  <c r="BJ124" i="64"/>
  <c r="BG125" i="64"/>
  <c r="BH125" i="64"/>
  <c r="BI125" i="64"/>
  <c r="BJ125" i="64"/>
  <c r="BG126" i="64"/>
  <c r="BH126" i="64"/>
  <c r="BI126" i="64"/>
  <c r="BJ126" i="64"/>
  <c r="BG127" i="64"/>
  <c r="BH127" i="64"/>
  <c r="BI127" i="64"/>
  <c r="BJ127" i="64"/>
  <c r="BG128" i="64"/>
  <c r="BH128" i="64"/>
  <c r="BI128" i="64"/>
  <c r="BJ128" i="64"/>
  <c r="BH132" i="64"/>
  <c r="BI132" i="64"/>
  <c r="BJ132" i="64"/>
  <c r="BH133" i="64"/>
  <c r="BI133" i="64"/>
  <c r="BJ133" i="64"/>
  <c r="BH134" i="64"/>
  <c r="BI134" i="64"/>
  <c r="BJ134" i="64"/>
  <c r="BH135" i="64"/>
  <c r="BI135" i="64"/>
  <c r="BJ135" i="64"/>
  <c r="BH136" i="64"/>
  <c r="BI136" i="64"/>
  <c r="BJ136" i="64"/>
  <c r="BH137" i="64"/>
  <c r="BI137" i="64"/>
  <c r="BJ137" i="64"/>
  <c r="BH138" i="64"/>
  <c r="BI138" i="64"/>
  <c r="BJ138" i="64"/>
  <c r="M28" i="51"/>
  <c r="Q28" i="51"/>
  <c r="W28" i="51"/>
  <c r="AA28" i="51"/>
  <c r="AG28" i="51"/>
  <c r="AK28" i="51"/>
  <c r="AQ28" i="51"/>
  <c r="AU28" i="51"/>
  <c r="BA28" i="51"/>
  <c r="BE28" i="51"/>
  <c r="Q26" i="51"/>
  <c r="AA26" i="51"/>
  <c r="AK26" i="51"/>
  <c r="AU26" i="51"/>
  <c r="BE26" i="51"/>
  <c r="Q24" i="51"/>
  <c r="AA24" i="51"/>
  <c r="AK24" i="51"/>
  <c r="AU24" i="51"/>
  <c r="BE24" i="51"/>
  <c r="E44" i="51"/>
  <c r="AL53" i="51"/>
  <c r="AW53" i="51"/>
  <c r="BF53" i="51"/>
  <c r="O68" i="51"/>
  <c r="N68" i="51"/>
  <c r="L68" i="51"/>
  <c r="AI68" i="51"/>
  <c r="AH68" i="51"/>
  <c r="AF68" i="51"/>
  <c r="BC68" i="51"/>
  <c r="BB68" i="51"/>
  <c r="AZ68" i="51"/>
  <c r="Y67" i="51"/>
  <c r="X67" i="51"/>
  <c r="V67" i="51"/>
  <c r="AS67" i="51"/>
  <c r="AR67" i="51"/>
  <c r="AP67" i="51"/>
  <c r="AZ67" i="51"/>
  <c r="L66" i="51"/>
  <c r="V66" i="51"/>
  <c r="AF66" i="51"/>
  <c r="AP66" i="51"/>
  <c r="AZ66" i="51"/>
  <c r="L74" i="51"/>
  <c r="V74" i="51"/>
  <c r="AF74" i="51"/>
  <c r="AP74" i="51"/>
  <c r="AZ74" i="51"/>
  <c r="L73" i="51"/>
  <c r="V73" i="51"/>
  <c r="AF73" i="51"/>
  <c r="AP73" i="51"/>
  <c r="AZ73" i="51"/>
  <c r="L65" i="51"/>
  <c r="V65" i="51"/>
  <c r="AF65" i="51"/>
  <c r="AP65" i="51"/>
  <c r="AZ65" i="51"/>
  <c r="L77" i="51"/>
  <c r="V77" i="51"/>
  <c r="AF77" i="51"/>
  <c r="AP77" i="51"/>
  <c r="AZ77" i="51"/>
  <c r="L85" i="51"/>
  <c r="R85" i="51"/>
  <c r="V85" i="51"/>
  <c r="AB85" i="51"/>
  <c r="AF85" i="51"/>
  <c r="AL85" i="51"/>
  <c r="AP85" i="51"/>
  <c r="AV85" i="51"/>
  <c r="AZ85" i="51"/>
  <c r="BF85" i="51"/>
  <c r="O86" i="51"/>
  <c r="N86" i="51"/>
  <c r="AB86" i="51"/>
  <c r="AI86" i="51"/>
  <c r="AH86" i="51"/>
  <c r="AV86" i="51"/>
  <c r="BC86" i="51"/>
  <c r="BB86" i="51"/>
  <c r="R96" i="51"/>
  <c r="Y96" i="51"/>
  <c r="X96" i="51"/>
  <c r="AL96" i="51"/>
  <c r="AS96" i="51"/>
  <c r="AR96" i="51"/>
  <c r="BF96" i="51"/>
  <c r="O84" i="51"/>
  <c r="N84" i="51"/>
  <c r="AB84" i="51"/>
  <c r="AI84" i="51"/>
  <c r="AH84" i="51"/>
  <c r="AV84" i="51"/>
  <c r="BC84" i="51"/>
  <c r="BB84" i="51"/>
  <c r="O87" i="51"/>
  <c r="N87" i="51"/>
  <c r="L87" i="51"/>
  <c r="Y87" i="51"/>
  <c r="X87" i="51"/>
  <c r="V87" i="51"/>
  <c r="AI87" i="51"/>
  <c r="AH87" i="51"/>
  <c r="AF87" i="51"/>
  <c r="AS87" i="51"/>
  <c r="AR87" i="51"/>
  <c r="AP87" i="51"/>
  <c r="BC87" i="51"/>
  <c r="BB87" i="51"/>
  <c r="AZ87" i="51"/>
  <c r="O90" i="51"/>
  <c r="N90" i="51"/>
  <c r="L90" i="51"/>
  <c r="Y90" i="51"/>
  <c r="X90" i="51"/>
  <c r="V90" i="51"/>
  <c r="AI90" i="51"/>
  <c r="AH90" i="51"/>
  <c r="AF90" i="51"/>
  <c r="AS90" i="51"/>
  <c r="AR90" i="51"/>
  <c r="AP90" i="51"/>
  <c r="BC90" i="51"/>
  <c r="BB90" i="51"/>
  <c r="AZ90" i="51"/>
  <c r="O88" i="51"/>
  <c r="N88" i="51"/>
  <c r="L88" i="51"/>
  <c r="Y88" i="51"/>
  <c r="X88" i="51"/>
  <c r="V88" i="51"/>
  <c r="AI88" i="51"/>
  <c r="AH88" i="51"/>
  <c r="AF88" i="51"/>
  <c r="AS88" i="51"/>
  <c r="AR88" i="51"/>
  <c r="AP88" i="51"/>
  <c r="BC88" i="51"/>
  <c r="BB88" i="51"/>
  <c r="AZ88" i="51"/>
  <c r="O83" i="51"/>
  <c r="N83" i="51"/>
  <c r="L83" i="51"/>
  <c r="Y83" i="51"/>
  <c r="X83" i="51"/>
  <c r="V83" i="51"/>
  <c r="AI83" i="51"/>
  <c r="AH83" i="51"/>
  <c r="AF83" i="51"/>
  <c r="AS83" i="51"/>
  <c r="AR83" i="51"/>
  <c r="AP83" i="51"/>
  <c r="BC83" i="51"/>
  <c r="BB83" i="51"/>
  <c r="AZ83" i="51"/>
  <c r="O97" i="51"/>
  <c r="N97" i="51"/>
  <c r="L97" i="51"/>
  <c r="Y97" i="51"/>
  <c r="X97" i="51"/>
  <c r="V97" i="51"/>
  <c r="AI97" i="51"/>
  <c r="AH97" i="51"/>
  <c r="AF97" i="51"/>
  <c r="AS97" i="51"/>
  <c r="AR97" i="51"/>
  <c r="AP97" i="51"/>
  <c r="BC97" i="51"/>
  <c r="BB97" i="51"/>
  <c r="AZ97" i="51"/>
  <c r="O98" i="51"/>
  <c r="N98" i="51"/>
  <c r="L98" i="51"/>
  <c r="Y98" i="51"/>
  <c r="X98" i="51"/>
  <c r="V98" i="51"/>
  <c r="AI98" i="51"/>
  <c r="AH98" i="51"/>
  <c r="AF98" i="51"/>
  <c r="AS98" i="51"/>
  <c r="AR98" i="51"/>
  <c r="AP98" i="51"/>
  <c r="BC98" i="51"/>
  <c r="BB98" i="51"/>
  <c r="AZ98" i="51"/>
  <c r="O80" i="51"/>
  <c r="N80" i="51"/>
  <c r="L80" i="51"/>
  <c r="Y80" i="51"/>
  <c r="X80" i="51"/>
  <c r="V80" i="51"/>
  <c r="AI80" i="51"/>
  <c r="AH80" i="51"/>
  <c r="AF80" i="51"/>
  <c r="S89" i="51"/>
  <c r="R89" i="51"/>
  <c r="T89" i="51"/>
  <c r="BG89" i="51"/>
  <c r="BF89" i="51"/>
  <c r="BH89" i="51"/>
  <c r="AW91" i="51"/>
  <c r="AV91" i="51"/>
  <c r="AX91" i="51"/>
  <c r="AM93" i="51"/>
  <c r="AL93" i="51"/>
  <c r="AN93" i="51"/>
  <c r="BB67" i="51"/>
  <c r="N66" i="51"/>
  <c r="X66" i="51"/>
  <c r="AH66" i="51"/>
  <c r="AR66" i="51"/>
  <c r="BB66" i="51"/>
  <c r="N74" i="51"/>
  <c r="X74" i="51"/>
  <c r="AH74" i="51"/>
  <c r="AR74" i="51"/>
  <c r="BB74" i="51"/>
  <c r="N73" i="51"/>
  <c r="X73" i="51"/>
  <c r="AH73" i="51"/>
  <c r="AR73" i="51"/>
  <c r="BB73" i="51"/>
  <c r="N65" i="51"/>
  <c r="X65" i="51"/>
  <c r="AH65" i="51"/>
  <c r="AR65" i="51"/>
  <c r="BB65" i="51"/>
  <c r="N77" i="51"/>
  <c r="X77" i="51"/>
  <c r="AH77" i="51"/>
  <c r="AR77" i="51"/>
  <c r="BB77" i="51"/>
  <c r="N69" i="51"/>
  <c r="X69" i="51"/>
  <c r="AH69" i="51"/>
  <c r="AR69" i="51"/>
  <c r="BB69" i="51"/>
  <c r="N85" i="51"/>
  <c r="X85" i="51"/>
  <c r="AC85" i="51"/>
  <c r="AH85" i="51"/>
  <c r="AM85" i="51"/>
  <c r="AR85" i="51"/>
  <c r="AW85" i="51"/>
  <c r="BB85" i="51"/>
  <c r="BH85" i="51"/>
  <c r="AD86" i="51"/>
  <c r="AX86" i="51"/>
  <c r="T96" i="51"/>
  <c r="AN96" i="51"/>
  <c r="BE84" i="51"/>
  <c r="Q87" i="51"/>
  <c r="AA87" i="51"/>
  <c r="AK87" i="51"/>
  <c r="AU87" i="51"/>
  <c r="BE87" i="51"/>
  <c r="Q90" i="51"/>
  <c r="AA90" i="51"/>
  <c r="AK90" i="51"/>
  <c r="AU90" i="51"/>
  <c r="BE90" i="51"/>
  <c r="Q88" i="51"/>
  <c r="AA88" i="51"/>
  <c r="AK88" i="51"/>
  <c r="AU88" i="51"/>
  <c r="BE88" i="51"/>
  <c r="Q83" i="51"/>
  <c r="AA83" i="51"/>
  <c r="AK83" i="51"/>
  <c r="AU83" i="51"/>
  <c r="BE83" i="51"/>
  <c r="Q97" i="51"/>
  <c r="AA97" i="51"/>
  <c r="AK97" i="51"/>
  <c r="AU97" i="51"/>
  <c r="BE97" i="51"/>
  <c r="Q98" i="51"/>
  <c r="AA98" i="51"/>
  <c r="AK98" i="51"/>
  <c r="AU98" i="51"/>
  <c r="BE98" i="51"/>
  <c r="Q80" i="51"/>
  <c r="AA80" i="51"/>
  <c r="AK80" i="51"/>
  <c r="BG80" i="51"/>
  <c r="BF80" i="51"/>
  <c r="BH80" i="51"/>
  <c r="AW89" i="51"/>
  <c r="AV89" i="51"/>
  <c r="AX89" i="51"/>
  <c r="AM91" i="51"/>
  <c r="AL91" i="51"/>
  <c r="AN91" i="51"/>
  <c r="AC93" i="51"/>
  <c r="AB93" i="51"/>
  <c r="AD93" i="51"/>
  <c r="S82" i="51"/>
  <c r="R82" i="51"/>
  <c r="T82" i="51"/>
  <c r="Y86" i="51"/>
  <c r="X86" i="51"/>
  <c r="AS86" i="51"/>
  <c r="AR86" i="51"/>
  <c r="O96" i="51"/>
  <c r="N96" i="51"/>
  <c r="AI96" i="51"/>
  <c r="AH96" i="51"/>
  <c r="BC96" i="51"/>
  <c r="BB96" i="51"/>
  <c r="Y84" i="51"/>
  <c r="X84" i="51"/>
  <c r="AS84" i="51"/>
  <c r="AR84" i="51"/>
  <c r="AW80" i="51"/>
  <c r="AV80" i="51"/>
  <c r="AX80" i="51"/>
  <c r="AM89" i="51"/>
  <c r="AL89" i="51"/>
  <c r="AN89" i="51"/>
  <c r="AC91" i="51"/>
  <c r="AB91" i="51"/>
  <c r="AD91" i="51"/>
  <c r="S93" i="51"/>
  <c r="R93" i="51"/>
  <c r="T93" i="51"/>
  <c r="BG93" i="51"/>
  <c r="BF93" i="51"/>
  <c r="BH93" i="51"/>
  <c r="BG84" i="51"/>
  <c r="BF84" i="51"/>
  <c r="S87" i="51"/>
  <c r="R87" i="51"/>
  <c r="AC87" i="51"/>
  <c r="AB87" i="51"/>
  <c r="AM87" i="51"/>
  <c r="AL87" i="51"/>
  <c r="AW87" i="51"/>
  <c r="AV87" i="51"/>
  <c r="BG87" i="51"/>
  <c r="BF87" i="51"/>
  <c r="S90" i="51"/>
  <c r="R90" i="51"/>
  <c r="AC90" i="51"/>
  <c r="AB90" i="51"/>
  <c r="AM90" i="51"/>
  <c r="AL90" i="51"/>
  <c r="AW90" i="51"/>
  <c r="AV90" i="51"/>
  <c r="BG90" i="51"/>
  <c r="BF90" i="51"/>
  <c r="S88" i="51"/>
  <c r="R88" i="51"/>
  <c r="AC88" i="51"/>
  <c r="AB88" i="51"/>
  <c r="AM88" i="51"/>
  <c r="AL88" i="51"/>
  <c r="AW88" i="51"/>
  <c r="AV88" i="51"/>
  <c r="BG88" i="51"/>
  <c r="BF88" i="51"/>
  <c r="S83" i="51"/>
  <c r="R83" i="51"/>
  <c r="AC83" i="51"/>
  <c r="AB83" i="51"/>
  <c r="AM83" i="51"/>
  <c r="AL83" i="51"/>
  <c r="AW83" i="51"/>
  <c r="AV83" i="51"/>
  <c r="BG83" i="51"/>
  <c r="BF83" i="51"/>
  <c r="S97" i="51"/>
  <c r="R97" i="51"/>
  <c r="AC97" i="51"/>
  <c r="AB97" i="51"/>
  <c r="AM97" i="51"/>
  <c r="AL97" i="51"/>
  <c r="AW97" i="51"/>
  <c r="AV97" i="51"/>
  <c r="BG97" i="51"/>
  <c r="BF97" i="51"/>
  <c r="S98" i="51"/>
  <c r="R98" i="51"/>
  <c r="AC98" i="51"/>
  <c r="AB98" i="51"/>
  <c r="AM98" i="51"/>
  <c r="AL98" i="51"/>
  <c r="AW98" i="51"/>
  <c r="AV98" i="51"/>
  <c r="BG98" i="51"/>
  <c r="BF98" i="51"/>
  <c r="S80" i="51"/>
  <c r="R80" i="51"/>
  <c r="AC80" i="51"/>
  <c r="AB80" i="51"/>
  <c r="AM80" i="51"/>
  <c r="AL80" i="51"/>
  <c r="AC89" i="51"/>
  <c r="AB89" i="51"/>
  <c r="AD89" i="51"/>
  <c r="S91" i="51"/>
  <c r="R91" i="51"/>
  <c r="T91" i="51"/>
  <c r="BG91" i="51"/>
  <c r="BF91" i="51"/>
  <c r="BH91" i="51"/>
  <c r="AW93" i="51"/>
  <c r="AV93" i="51"/>
  <c r="AX93" i="51"/>
  <c r="AD82" i="51"/>
  <c r="AN82" i="51"/>
  <c r="AX82" i="51"/>
  <c r="BH82" i="51"/>
  <c r="T94" i="51"/>
  <c r="AD94" i="51"/>
  <c r="AN94" i="51"/>
  <c r="AX94" i="51"/>
  <c r="BH94" i="51"/>
  <c r="T92" i="51"/>
  <c r="AD92" i="51"/>
  <c r="AN92" i="51"/>
  <c r="AX92" i="51"/>
  <c r="BH92" i="51"/>
  <c r="T81" i="51"/>
  <c r="AD81" i="51"/>
  <c r="AN81" i="51"/>
  <c r="AX81" i="51"/>
  <c r="BH81" i="51"/>
  <c r="N100" i="51"/>
  <c r="S100" i="51"/>
  <c r="X100" i="51"/>
  <c r="AC100" i="51"/>
  <c r="AH100" i="51"/>
  <c r="AM100" i="51"/>
  <c r="AR100" i="51"/>
  <c r="AW100" i="51"/>
  <c r="BB100" i="51"/>
  <c r="BG100" i="51"/>
  <c r="O101" i="51"/>
  <c r="Y101" i="51"/>
  <c r="AI101" i="51"/>
  <c r="AS101" i="51"/>
  <c r="BC101" i="51"/>
  <c r="O102" i="51"/>
  <c r="Y102" i="51"/>
  <c r="AI102" i="51"/>
  <c r="AP80" i="51"/>
  <c r="AZ80" i="51"/>
  <c r="L89" i="51"/>
  <c r="V89" i="51"/>
  <c r="AF89" i="51"/>
  <c r="AP89" i="51"/>
  <c r="AZ89" i="51"/>
  <c r="L91" i="51"/>
  <c r="V91" i="51"/>
  <c r="AF91" i="51"/>
  <c r="AP91" i="51"/>
  <c r="AZ91" i="51"/>
  <c r="L93" i="51"/>
  <c r="V93" i="51"/>
  <c r="AF93" i="51"/>
  <c r="AP93" i="51"/>
  <c r="AZ93" i="51"/>
  <c r="L82" i="51"/>
  <c r="V82" i="51"/>
  <c r="AB82" i="51"/>
  <c r="AF82" i="51"/>
  <c r="AL82" i="51"/>
  <c r="AP82" i="51"/>
  <c r="AV82" i="51"/>
  <c r="AZ82" i="51"/>
  <c r="BF82" i="51"/>
  <c r="L94" i="51"/>
  <c r="R94" i="51"/>
  <c r="V94" i="51"/>
  <c r="AB94" i="51"/>
  <c r="AF94" i="51"/>
  <c r="AL94" i="51"/>
  <c r="AP94" i="51"/>
  <c r="AV94" i="51"/>
  <c r="AZ94" i="51"/>
  <c r="BF94" i="51"/>
  <c r="L92" i="51"/>
  <c r="R92" i="51"/>
  <c r="V92" i="51"/>
  <c r="AB92" i="51"/>
  <c r="AF92" i="51"/>
  <c r="AL92" i="51"/>
  <c r="AP92" i="51"/>
  <c r="AV92" i="51"/>
  <c r="AZ92" i="51"/>
  <c r="BF92" i="51"/>
  <c r="L81" i="51"/>
  <c r="R81" i="51"/>
  <c r="V81" i="51"/>
  <c r="AB81" i="51"/>
  <c r="AF81" i="51"/>
  <c r="AL81" i="51"/>
  <c r="AP81" i="51"/>
  <c r="AV81" i="51"/>
  <c r="AZ81" i="51"/>
  <c r="BF81" i="51"/>
  <c r="M101" i="51"/>
  <c r="W101" i="51"/>
  <c r="AG101" i="51"/>
  <c r="AQ101" i="51"/>
  <c r="BA101" i="51"/>
  <c r="M102" i="51"/>
  <c r="W102" i="51"/>
  <c r="AG102" i="51"/>
  <c r="AW102" i="51"/>
  <c r="S105" i="51"/>
  <c r="AC105" i="51"/>
  <c r="AM105" i="51"/>
  <c r="AW105" i="51"/>
  <c r="BG105" i="51"/>
  <c r="AR80" i="51"/>
  <c r="BB80" i="51"/>
  <c r="N89" i="51"/>
  <c r="X89" i="51"/>
  <c r="AH89" i="51"/>
  <c r="AR89" i="51"/>
  <c r="BB89" i="51"/>
  <c r="N91" i="51"/>
  <c r="X91" i="51"/>
  <c r="AH91" i="51"/>
  <c r="AR91" i="51"/>
  <c r="BB91" i="51"/>
  <c r="N93" i="51"/>
  <c r="X93" i="51"/>
  <c r="AH93" i="51"/>
  <c r="AR93" i="51"/>
  <c r="BB93" i="51"/>
  <c r="N82" i="51"/>
  <c r="X82" i="51"/>
  <c r="AH82" i="51"/>
  <c r="AR82" i="51"/>
  <c r="BB82" i="51"/>
  <c r="N94" i="51"/>
  <c r="X94" i="51"/>
  <c r="AH94" i="51"/>
  <c r="AR94" i="51"/>
  <c r="BB94" i="51"/>
  <c r="N92" i="51"/>
  <c r="X92" i="51"/>
  <c r="AH92" i="51"/>
  <c r="AR92" i="51"/>
  <c r="BB92" i="51"/>
  <c r="N81" i="51"/>
  <c r="X81" i="51"/>
  <c r="AH81" i="51"/>
  <c r="AR81" i="51"/>
  <c r="BB81" i="51"/>
  <c r="Q100" i="51"/>
  <c r="AA100" i="51"/>
  <c r="AK100" i="51"/>
  <c r="AU100" i="51"/>
  <c r="BE100" i="51"/>
  <c r="Q111" i="51"/>
  <c r="BE111" i="51"/>
  <c r="AU112" i="51"/>
  <c r="AA113" i="51"/>
  <c r="AA111" i="51"/>
  <c r="Q112" i="51"/>
  <c r="AK113" i="51"/>
  <c r="CX174" i="51"/>
  <c r="DA174" i="51" s="1"/>
  <c r="CX199" i="51"/>
  <c r="DA199" i="51" s="1"/>
  <c r="CX225" i="51"/>
  <c r="DA225" i="51" s="1"/>
  <c r="AC72" i="60"/>
  <c r="AC76" i="60"/>
  <c r="AC80" i="60"/>
  <c r="I50" i="60"/>
  <c r="I54" i="60"/>
  <c r="N49" i="60"/>
  <c r="N73" i="60" s="1"/>
  <c r="N53" i="60"/>
  <c r="N77" i="60" s="1"/>
  <c r="AH80" i="60"/>
  <c r="I47" i="60"/>
  <c r="I51" i="60"/>
  <c r="I55" i="60"/>
  <c r="N50" i="60"/>
  <c r="N74" i="60" s="1"/>
  <c r="N54" i="60"/>
  <c r="N78" i="60" s="1"/>
  <c r="AC74" i="60"/>
  <c r="AC78" i="60"/>
  <c r="BL93" i="41"/>
  <c r="CB37" i="64"/>
  <c r="BZ37" i="64" s="1"/>
  <c r="CC37" i="64" s="1"/>
  <c r="BY37" i="64" s="1"/>
  <c r="BZ83" i="64"/>
  <c r="BY96" i="64" s="1"/>
  <c r="BK306" i="41"/>
  <c r="BL8" i="64"/>
  <c r="BL12" i="64"/>
  <c r="BL16" i="64"/>
  <c r="BL20" i="64"/>
  <c r="BL24" i="64"/>
  <c r="BL28" i="64"/>
  <c r="BM9" i="64"/>
  <c r="BM17" i="64"/>
  <c r="BM21" i="64"/>
  <c r="BM25" i="64"/>
  <c r="BM29" i="64"/>
  <c r="BM37" i="64"/>
  <c r="BM41" i="64"/>
  <c r="BM45" i="64"/>
  <c r="BN8" i="64"/>
  <c r="BN12" i="64"/>
  <c r="BN16" i="64"/>
  <c r="BN25" i="64"/>
  <c r="BN29" i="64"/>
  <c r="BN34" i="64"/>
  <c r="BN37" i="64"/>
  <c r="BN38" i="64"/>
  <c r="BN41" i="64"/>
  <c r="BN42" i="64"/>
  <c r="BN45" i="64"/>
  <c r="BN46" i="64"/>
  <c r="BN49" i="64"/>
  <c r="BO8" i="64"/>
  <c r="BO12" i="64"/>
  <c r="BO16" i="64"/>
  <c r="BO25" i="64"/>
  <c r="BO29" i="64"/>
  <c r="BK53" i="64"/>
  <c r="BL53" i="64"/>
  <c r="BM53" i="64"/>
  <c r="BN53" i="64"/>
  <c r="BO53" i="64"/>
  <c r="BK54" i="64"/>
  <c r="BL54" i="64"/>
  <c r="BM54" i="64"/>
  <c r="BN54" i="64"/>
  <c r="BO54" i="64"/>
  <c r="BK55" i="64"/>
  <c r="BL55" i="64"/>
  <c r="BM55" i="64"/>
  <c r="BN55" i="64"/>
  <c r="BO55" i="64"/>
  <c r="BK56" i="64"/>
  <c r="BL56" i="64"/>
  <c r="BM56" i="64"/>
  <c r="BN56" i="64"/>
  <c r="BO56" i="64"/>
  <c r="BK57" i="64"/>
  <c r="BL57" i="64"/>
  <c r="BM57" i="64"/>
  <c r="BK58" i="64"/>
  <c r="BL58" i="64"/>
  <c r="BM58" i="64"/>
  <c r="BK59" i="64"/>
  <c r="BL59" i="64"/>
  <c r="BM59" i="64"/>
  <c r="BK60" i="64"/>
  <c r="BL60" i="64"/>
  <c r="BM60" i="64"/>
  <c r="BN60" i="64"/>
  <c r="BO60" i="64"/>
  <c r="BK61" i="64"/>
  <c r="BL61" i="64"/>
  <c r="BM61" i="64"/>
  <c r="BN61" i="64"/>
  <c r="BO61" i="64"/>
  <c r="BK62" i="64"/>
  <c r="BL62" i="64"/>
  <c r="BM62" i="64"/>
  <c r="BN62" i="64"/>
  <c r="BO62" i="64"/>
  <c r="BK63" i="64"/>
  <c r="BL63" i="64"/>
  <c r="BM63" i="64"/>
  <c r="BN63" i="64"/>
  <c r="BO63" i="64"/>
  <c r="BK64" i="64"/>
  <c r="BL64" i="64"/>
  <c r="BM64" i="64"/>
  <c r="BN64" i="64"/>
  <c r="BO64" i="64"/>
  <c r="BK65" i="64"/>
  <c r="BL65" i="64"/>
  <c r="BM65" i="64"/>
  <c r="BN65" i="64"/>
  <c r="BO65" i="64"/>
  <c r="BK66" i="64"/>
  <c r="BL66" i="64"/>
  <c r="BM66" i="64"/>
  <c r="BN66" i="64"/>
  <c r="BO66" i="64"/>
  <c r="BK67" i="64"/>
  <c r="BL67" i="64"/>
  <c r="BM67" i="64"/>
  <c r="BN67" i="64"/>
  <c r="BO67" i="64"/>
  <c r="BK68" i="64"/>
  <c r="BL68" i="64"/>
  <c r="BM68" i="64"/>
  <c r="BN68" i="64"/>
  <c r="BO68" i="64"/>
  <c r="BK72" i="64"/>
  <c r="BL72" i="64"/>
  <c r="BM72" i="64"/>
  <c r="BN72" i="64"/>
  <c r="BO72" i="64"/>
  <c r="BK73" i="64"/>
  <c r="BL73" i="64"/>
  <c r="BM73" i="64"/>
  <c r="BN73" i="64"/>
  <c r="BO73" i="64"/>
  <c r="AQ306" i="41"/>
  <c r="AQ331" i="41" s="1"/>
  <c r="BK74" i="64"/>
  <c r="BL74" i="64"/>
  <c r="BM74" i="64"/>
  <c r="BN74" i="64"/>
  <c r="BO74" i="64"/>
  <c r="BK78" i="64"/>
  <c r="BL78" i="64"/>
  <c r="BM78" i="64"/>
  <c r="BN78" i="64"/>
  <c r="BO78" i="64"/>
  <c r="BK79" i="64"/>
  <c r="BL79" i="64"/>
  <c r="BM79" i="64"/>
  <c r="BN79" i="64"/>
  <c r="BO79" i="64"/>
  <c r="BK80" i="64"/>
  <c r="BL80" i="64"/>
  <c r="BM80" i="64"/>
  <c r="BN80" i="64"/>
  <c r="BO80" i="64"/>
  <c r="BK81" i="64"/>
  <c r="BL81" i="64"/>
  <c r="BM81" i="64"/>
  <c r="BN81" i="64"/>
  <c r="BO81" i="64"/>
  <c r="BK82" i="64"/>
  <c r="BL82" i="64"/>
  <c r="BM82" i="64"/>
  <c r="BK83" i="64"/>
  <c r="BL83" i="64"/>
  <c r="BM83" i="64"/>
  <c r="BK84" i="64"/>
  <c r="BL84" i="64"/>
  <c r="BM84" i="64"/>
  <c r="BK85" i="64"/>
  <c r="BL85" i="64"/>
  <c r="BM85" i="64"/>
  <c r="BK86" i="64"/>
  <c r="BL86" i="64"/>
  <c r="BM86" i="64"/>
  <c r="BK87" i="64"/>
  <c r="BL87" i="64"/>
  <c r="BM87" i="64"/>
  <c r="BN87" i="64"/>
  <c r="BO87" i="64"/>
  <c r="BK88" i="64"/>
  <c r="BL88" i="64"/>
  <c r="BM88" i="64"/>
  <c r="BN88" i="64"/>
  <c r="BO88" i="64"/>
  <c r="BK89" i="64"/>
  <c r="BL89" i="64"/>
  <c r="BM89" i="64"/>
  <c r="BN89" i="64"/>
  <c r="BO89" i="64"/>
  <c r="BK90" i="64"/>
  <c r="BL90" i="64"/>
  <c r="BM90" i="64"/>
  <c r="BN90" i="64"/>
  <c r="BO90" i="64"/>
  <c r="BK91" i="64"/>
  <c r="BL91" i="64"/>
  <c r="BM91" i="64"/>
  <c r="BN91" i="64"/>
  <c r="BO91" i="64"/>
  <c r="BK92" i="64"/>
  <c r="BL92" i="64"/>
  <c r="BM92" i="64"/>
  <c r="BN92" i="64"/>
  <c r="BO92" i="64"/>
  <c r="BK93" i="64"/>
  <c r="BL93" i="64"/>
  <c r="BM93" i="64"/>
  <c r="BN93" i="64"/>
  <c r="BO93" i="64"/>
  <c r="BK96" i="64"/>
  <c r="BL96" i="64"/>
  <c r="BM96" i="64"/>
  <c r="BN96" i="64"/>
  <c r="BO96" i="64"/>
  <c r="BK97" i="64"/>
  <c r="BL97" i="64"/>
  <c r="BM97" i="64"/>
  <c r="BN97" i="64"/>
  <c r="BO97" i="64"/>
  <c r="BK98" i="64"/>
  <c r="BL98" i="64"/>
  <c r="BM98" i="64"/>
  <c r="BN98" i="64"/>
  <c r="BO98" i="64"/>
  <c r="BK99" i="64"/>
  <c r="BL99" i="64"/>
  <c r="BM99" i="64"/>
  <c r="BN99" i="64"/>
  <c r="BO99" i="64"/>
  <c r="BK100" i="64"/>
  <c r="BL100" i="64"/>
  <c r="BM100" i="64"/>
  <c r="BK101" i="64"/>
  <c r="BL101" i="64"/>
  <c r="BM101" i="64"/>
  <c r="BK102" i="64"/>
  <c r="BL102" i="64"/>
  <c r="BM102" i="64"/>
  <c r="BK103" i="64"/>
  <c r="BL103" i="64"/>
  <c r="BM103" i="64"/>
  <c r="BK104" i="64"/>
  <c r="BL104" i="64"/>
  <c r="BM104" i="64"/>
  <c r="BK105" i="64"/>
  <c r="BL105" i="64"/>
  <c r="BM105" i="64"/>
  <c r="BN105" i="64"/>
  <c r="BO105" i="64"/>
  <c r="BK106" i="64"/>
  <c r="BL106" i="64"/>
  <c r="BM106" i="64"/>
  <c r="BN106" i="64"/>
  <c r="BO106" i="64"/>
  <c r="BK107" i="64"/>
  <c r="BL107" i="64"/>
  <c r="BM107" i="64"/>
  <c r="BN107" i="64"/>
  <c r="BO107" i="64"/>
  <c r="BK108" i="64"/>
  <c r="BL108" i="64"/>
  <c r="BM108" i="64"/>
  <c r="BN108" i="64"/>
  <c r="BO108" i="64"/>
  <c r="BK109" i="64"/>
  <c r="BL109" i="64"/>
  <c r="BM109" i="64"/>
  <c r="BN109" i="64"/>
  <c r="BO109" i="64"/>
  <c r="BK110" i="64"/>
  <c r="BL110" i="64"/>
  <c r="BM110" i="64"/>
  <c r="BN110" i="64"/>
  <c r="BO110" i="64"/>
  <c r="BK111" i="64"/>
  <c r="BL111" i="64"/>
  <c r="BM111" i="64"/>
  <c r="BN111" i="64"/>
  <c r="BO111" i="64"/>
  <c r="BK114" i="64"/>
  <c r="BL114" i="64"/>
  <c r="BM114" i="64"/>
  <c r="BN114" i="64"/>
  <c r="BO114" i="64"/>
  <c r="BK115" i="64"/>
  <c r="BL115" i="64"/>
  <c r="BM115" i="64"/>
  <c r="BN115" i="64"/>
  <c r="BO115" i="64"/>
  <c r="BK116" i="64"/>
  <c r="BL116" i="64"/>
  <c r="BM116" i="64"/>
  <c r="BN116" i="64"/>
  <c r="BO116" i="64"/>
  <c r="BK117" i="64"/>
  <c r="BL117" i="64"/>
  <c r="BM117" i="64"/>
  <c r="BN117" i="64"/>
  <c r="BO117" i="64"/>
  <c r="BK118" i="64"/>
  <c r="BL118" i="64"/>
  <c r="BM118" i="64"/>
  <c r="BN118" i="64"/>
  <c r="BO118" i="64"/>
  <c r="BK119" i="64"/>
  <c r="BL119" i="64"/>
  <c r="BM119" i="64"/>
  <c r="BN119" i="64"/>
  <c r="BO119" i="64"/>
  <c r="BK120" i="64"/>
  <c r="BL120" i="64"/>
  <c r="BM120" i="64"/>
  <c r="BN120" i="64"/>
  <c r="BO120" i="64"/>
  <c r="BK121" i="64"/>
  <c r="BL121" i="64"/>
  <c r="BM121" i="64"/>
  <c r="BN121" i="64"/>
  <c r="BO121" i="64"/>
  <c r="BK122" i="64"/>
  <c r="BL122" i="64"/>
  <c r="BM122" i="64"/>
  <c r="BN122" i="64"/>
  <c r="BO122" i="64"/>
  <c r="BK123" i="64"/>
  <c r="BL123" i="64"/>
  <c r="BM123" i="64"/>
  <c r="BN123" i="64"/>
  <c r="BO123" i="64"/>
  <c r="BK124" i="64"/>
  <c r="BL124" i="64"/>
  <c r="BM124" i="64"/>
  <c r="BN124" i="64"/>
  <c r="BO124" i="64"/>
  <c r="BK125" i="64"/>
  <c r="BL125" i="64"/>
  <c r="BM125" i="64"/>
  <c r="BN125" i="64"/>
  <c r="BO125" i="64"/>
  <c r="BK126" i="64"/>
  <c r="BL126" i="64"/>
  <c r="BM126" i="64"/>
  <c r="BN126" i="64"/>
  <c r="BO126" i="64"/>
  <c r="BK127" i="64"/>
  <c r="BL127" i="64"/>
  <c r="BM127" i="64"/>
  <c r="BN127" i="64"/>
  <c r="BO127" i="64"/>
  <c r="BK128" i="64"/>
  <c r="BL128" i="64"/>
  <c r="BM128" i="64"/>
  <c r="BN128" i="64"/>
  <c r="BO128" i="64"/>
  <c r="BK132" i="64"/>
  <c r="BL132" i="64"/>
  <c r="BM132" i="64"/>
  <c r="BN132" i="64"/>
  <c r="BO132" i="64"/>
  <c r="BK133" i="64"/>
  <c r="BL133" i="64"/>
  <c r="BM133" i="64"/>
  <c r="BN133" i="64"/>
  <c r="BO133" i="64"/>
  <c r="BK134" i="64"/>
  <c r="BL134" i="64"/>
  <c r="BM134" i="64"/>
  <c r="BN134" i="64"/>
  <c r="BO134" i="64"/>
  <c r="BK135" i="64"/>
  <c r="BL135" i="64"/>
  <c r="BM135" i="64"/>
  <c r="BN135" i="64"/>
  <c r="BO135" i="64"/>
  <c r="BK136" i="64"/>
  <c r="BL136" i="64"/>
  <c r="BM136" i="64"/>
  <c r="BN136" i="64"/>
  <c r="BO136" i="64"/>
  <c r="BK137" i="64"/>
  <c r="BL137" i="64"/>
  <c r="BM137" i="64"/>
  <c r="BN137" i="64"/>
  <c r="BO137" i="64"/>
  <c r="BK138" i="64"/>
  <c r="BL138" i="64"/>
  <c r="BM138" i="64"/>
  <c r="BN138" i="64"/>
  <c r="BO138" i="64"/>
  <c r="N38" i="42"/>
  <c r="AA147" i="39"/>
  <c r="I86" i="4"/>
  <c r="M86" i="4"/>
  <c r="Q86" i="4"/>
  <c r="U86" i="4"/>
  <c r="Z66" i="40"/>
  <c r="Z53" i="40" s="1"/>
  <c r="AF66" i="40"/>
  <c r="AF53" i="40" s="1"/>
  <c r="AQ213" i="41"/>
  <c r="AP213" i="41"/>
  <c r="AN213" i="41"/>
  <c r="AO213" i="41"/>
  <c r="AG13" i="42"/>
  <c r="AG62" i="42" s="1"/>
  <c r="AH62" i="42" s="1"/>
  <c r="AL13" i="42"/>
  <c r="AL62" i="42" s="1"/>
  <c r="AM62" i="42" s="1"/>
  <c r="BE54" i="40"/>
  <c r="BD54" i="40" s="1"/>
  <c r="BD69" i="40" s="1"/>
  <c r="BJ54" i="40"/>
  <c r="BJ69" i="40" s="1"/>
  <c r="S69" i="40"/>
  <c r="AK69" i="40"/>
  <c r="AK54" i="40" s="1"/>
  <c r="AD91" i="40"/>
  <c r="T100" i="40"/>
  <c r="U95" i="40" s="1"/>
  <c r="U100" i="40" s="1"/>
  <c r="V95" i="40" s="1"/>
  <c r="V100" i="40" s="1"/>
  <c r="W95" i="40" s="1"/>
  <c r="W100" i="40" s="1"/>
  <c r="Q65" i="40"/>
  <c r="Q66" i="40" s="1"/>
  <c r="AJ91" i="40"/>
  <c r="J86" i="4"/>
  <c r="N86" i="4"/>
  <c r="R86" i="4"/>
  <c r="V86" i="4"/>
  <c r="M14" i="42"/>
  <c r="R14" i="42"/>
  <c r="BJ53" i="40"/>
  <c r="BI53" i="40" s="1"/>
  <c r="BI66" i="40" s="1"/>
  <c r="P69" i="40"/>
  <c r="BA69" i="40"/>
  <c r="AE20" i="4"/>
  <c r="AC68" i="40"/>
  <c r="AG69" i="40"/>
  <c r="AG54" i="40" s="1"/>
  <c r="Q69" i="40"/>
  <c r="J20" i="40"/>
  <c r="J27" i="40" s="1"/>
  <c r="J31" i="40" s="1"/>
  <c r="J20" i="4"/>
  <c r="Y109" i="40"/>
  <c r="Z109" i="40" s="1"/>
  <c r="W20" i="42"/>
  <c r="W25" i="42"/>
  <c r="AG25" i="42"/>
  <c r="Y147" i="39"/>
  <c r="AF147" i="39"/>
  <c r="Y20" i="40"/>
  <c r="Y27" i="40" s="1"/>
  <c r="Y56" i="40" s="1"/>
  <c r="AZ53" i="40"/>
  <c r="AY53" i="40" s="1"/>
  <c r="BE53" i="40"/>
  <c r="BE66" i="40" s="1"/>
  <c r="AA66" i="40"/>
  <c r="AA53" i="40" s="1"/>
  <c r="R64" i="40"/>
  <c r="AA69" i="40"/>
  <c r="AA54" i="40" s="1"/>
  <c r="L16" i="42"/>
  <c r="L18" i="42" s="1"/>
  <c r="L86" i="4"/>
  <c r="P86" i="4"/>
  <c r="AG84" i="4"/>
  <c r="AB66" i="40"/>
  <c r="AB53" i="40" s="1"/>
  <c r="R32" i="40"/>
  <c r="AA76" i="40"/>
  <c r="AB14" i="40"/>
  <c r="AB16" i="40" s="1"/>
  <c r="AB20" i="4" s="1"/>
  <c r="AD147" i="39"/>
  <c r="AB25" i="40"/>
  <c r="O25" i="40"/>
  <c r="U69" i="40"/>
  <c r="AE69" i="40"/>
  <c r="AE54" i="40" s="1"/>
  <c r="X96" i="40"/>
  <c r="AY35" i="42"/>
  <c r="BC112" i="51"/>
  <c r="BB112" i="51"/>
  <c r="AZ112" i="51"/>
  <c r="AI85" i="4"/>
  <c r="AI66" i="42" s="1"/>
  <c r="K16" i="42"/>
  <c r="K18" i="42" s="1"/>
  <c r="K252" i="4" s="1"/>
  <c r="T111" i="51"/>
  <c r="AD111" i="51"/>
  <c r="AN111" i="51"/>
  <c r="AX111" i="51"/>
  <c r="BH111" i="51"/>
  <c r="T112" i="51"/>
  <c r="AD112" i="51"/>
  <c r="AN112" i="51"/>
  <c r="AX112" i="51"/>
  <c r="BH112" i="51"/>
  <c r="T113" i="51"/>
  <c r="AD113" i="51"/>
  <c r="AN113" i="51"/>
  <c r="AX113" i="51"/>
  <c r="BH113" i="51"/>
  <c r="DH112" i="51"/>
  <c r="DM112" i="51" s="1"/>
  <c r="DR112" i="51" s="1"/>
  <c r="K86" i="4"/>
  <c r="O86" i="4"/>
  <c r="S86" i="4"/>
  <c r="BL95" i="41"/>
  <c r="L111" i="51"/>
  <c r="R111" i="51"/>
  <c r="V111" i="51"/>
  <c r="AB111" i="51"/>
  <c r="AF111" i="51"/>
  <c r="AL111" i="51"/>
  <c r="AP111" i="51"/>
  <c r="AV111" i="51"/>
  <c r="AZ111" i="51"/>
  <c r="BF111" i="51"/>
  <c r="L112" i="51"/>
  <c r="R112" i="51"/>
  <c r="V112" i="51"/>
  <c r="AB112" i="51"/>
  <c r="AF112" i="51"/>
  <c r="AL112" i="51"/>
  <c r="AP112" i="51"/>
  <c r="AV112" i="51"/>
  <c r="BF112" i="51"/>
  <c r="L113" i="51"/>
  <c r="R113" i="51"/>
  <c r="V113" i="51"/>
  <c r="AB113" i="51"/>
  <c r="AF113" i="51"/>
  <c r="AL113" i="51"/>
  <c r="AP113" i="51"/>
  <c r="AV113" i="51"/>
  <c r="AZ113" i="51"/>
  <c r="BF113" i="51"/>
  <c r="BK92" i="41"/>
  <c r="BJ92" i="41" s="1"/>
  <c r="AO306" i="41"/>
  <c r="AO331" i="41" s="1"/>
  <c r="BI306" i="41"/>
  <c r="N111" i="51"/>
  <c r="X111" i="51"/>
  <c r="AH111" i="51"/>
  <c r="AR111" i="51"/>
  <c r="BB111" i="51"/>
  <c r="N112" i="51"/>
  <c r="X112" i="51"/>
  <c r="AH112" i="51"/>
  <c r="AR112" i="51"/>
  <c r="N113" i="51"/>
  <c r="X113" i="51"/>
  <c r="AH113" i="51"/>
  <c r="AR113" i="51"/>
  <c r="BB113" i="51"/>
  <c r="AL20" i="42"/>
  <c r="BE14" i="39"/>
  <c r="W34" i="39"/>
  <c r="X38" i="42"/>
  <c r="BC67" i="39"/>
  <c r="P55" i="39"/>
  <c r="O102" i="39"/>
  <c r="O103" i="39" s="1"/>
  <c r="M108" i="39"/>
  <c r="M109" i="39" s="1"/>
  <c r="Z109" i="39"/>
  <c r="AE110" i="39" s="1"/>
  <c r="Q114" i="39"/>
  <c r="Q65" i="39" s="1"/>
  <c r="V114" i="39"/>
  <c r="V65" i="39" s="1"/>
  <c r="AA114" i="39"/>
  <c r="AA65" i="39" s="1"/>
  <c r="AF114" i="39"/>
  <c r="AF65" i="39" s="1"/>
  <c r="AK114" i="39"/>
  <c r="AK65" i="39" s="1"/>
  <c r="AF121" i="39"/>
  <c r="AK121" i="39"/>
  <c r="Z147" i="39"/>
  <c r="AL8" i="42"/>
  <c r="S9" i="42"/>
  <c r="S16" i="42" s="1"/>
  <c r="S18" i="42" s="1"/>
  <c r="AA9" i="42"/>
  <c r="AA10" i="42" s="1"/>
  <c r="AE9" i="42"/>
  <c r="AE16" i="42" s="1"/>
  <c r="AE18" i="42" s="1"/>
  <c r="AI9" i="42"/>
  <c r="AI16" i="42" s="1"/>
  <c r="AI18" i="42" s="1"/>
  <c r="AI22" i="42" s="1"/>
  <c r="AM9" i="42"/>
  <c r="AM16" i="42" s="1"/>
  <c r="AM18" i="42" s="1"/>
  <c r="AB12" i="42"/>
  <c r="M15" i="42"/>
  <c r="AG15" i="42"/>
  <c r="AB26" i="42"/>
  <c r="R34" i="39"/>
  <c r="AB34" i="39"/>
  <c r="AB38" i="42" s="1"/>
  <c r="AC38" i="42"/>
  <c r="AZ65" i="39"/>
  <c r="AZ114" i="39" s="1"/>
  <c r="BE65" i="39"/>
  <c r="BE114" i="39" s="1"/>
  <c r="BJ65" i="39"/>
  <c r="BJ114" i="39" s="1"/>
  <c r="J109" i="39"/>
  <c r="X114" i="39"/>
  <c r="X65" i="39" s="1"/>
  <c r="AC114" i="39"/>
  <c r="AC65" i="39" s="1"/>
  <c r="AH114" i="39"/>
  <c r="AH65" i="39" s="1"/>
  <c r="AM114" i="39"/>
  <c r="AM65" i="39" s="1"/>
  <c r="O8" i="42"/>
  <c r="W8" i="42"/>
  <c r="T9" i="42"/>
  <c r="T16" i="42" s="1"/>
  <c r="T18" i="42" s="1"/>
  <c r="T22" i="42" s="1"/>
  <c r="X9" i="42"/>
  <c r="X16" i="42" s="1"/>
  <c r="X18" i="42" s="1"/>
  <c r="AF9" i="42"/>
  <c r="AF16" i="42" s="1"/>
  <c r="AF18" i="42" s="1"/>
  <c r="AF22" i="42" s="1"/>
  <c r="AJ9" i="42"/>
  <c r="AJ16" i="42" s="1"/>
  <c r="AJ18" i="42" s="1"/>
  <c r="AJ22" i="42" s="1"/>
  <c r="AG12" i="42"/>
  <c r="AG14" i="42"/>
  <c r="AL15" i="42"/>
  <c r="BA15" i="42" s="1"/>
  <c r="BF15" i="42" s="1"/>
  <c r="BK15" i="42" s="1"/>
  <c r="BP15" i="42" s="1"/>
  <c r="S20" i="42"/>
  <c r="AM20" i="42"/>
  <c r="S38" i="42"/>
  <c r="N91" i="39"/>
  <c r="Y114" i="39"/>
  <c r="Y65" i="39" s="1"/>
  <c r="AD114" i="39"/>
  <c r="AD65" i="39" s="1"/>
  <c r="AI114" i="39"/>
  <c r="AI65" i="39" s="1"/>
  <c r="M9" i="42"/>
  <c r="Q9" i="42"/>
  <c r="Q16" i="42" s="1"/>
  <c r="Q18" i="42" s="1"/>
  <c r="Q22" i="42" s="1"/>
  <c r="Y9" i="42"/>
  <c r="Y16" i="42" s="1"/>
  <c r="Y18" i="42" s="1"/>
  <c r="AC9" i="42"/>
  <c r="AC16" i="42" s="1"/>
  <c r="AC18" i="42" s="1"/>
  <c r="AK9" i="42"/>
  <c r="AK16" i="42" s="1"/>
  <c r="AK18" i="42" s="1"/>
  <c r="AK22" i="42" s="1"/>
  <c r="AL12" i="42"/>
  <c r="O13" i="42"/>
  <c r="W13" i="42"/>
  <c r="AL14" i="42"/>
  <c r="BA14" i="42" s="1"/>
  <c r="BF14" i="42" s="1"/>
  <c r="BK14" i="42" s="1"/>
  <c r="BP14" i="42" s="1"/>
  <c r="O15" i="42"/>
  <c r="W15" i="42"/>
  <c r="X20" i="42"/>
  <c r="M25" i="42"/>
  <c r="Q27" i="42"/>
  <c r="U27" i="42"/>
  <c r="Y27" i="42"/>
  <c r="AC27" i="42"/>
  <c r="AK27" i="42"/>
  <c r="AL26" i="42"/>
  <c r="O91" i="39"/>
  <c r="AB20" i="39"/>
  <c r="O27" i="39"/>
  <c r="AZ64" i="39"/>
  <c r="AZ110" i="39" s="1"/>
  <c r="BE64" i="39"/>
  <c r="BE110" i="39" s="1"/>
  <c r="BJ64" i="39"/>
  <c r="BJ110" i="39" s="1"/>
  <c r="T102" i="39"/>
  <c r="T103" i="39" s="1"/>
  <c r="U109" i="39"/>
  <c r="U110" i="39" s="1"/>
  <c r="AA109" i="39"/>
  <c r="L109" i="39"/>
  <c r="R108" i="39"/>
  <c r="P114" i="39"/>
  <c r="P65" i="39" s="1"/>
  <c r="U114" i="39"/>
  <c r="U65" i="39" s="1"/>
  <c r="Z114" i="39"/>
  <c r="Z65" i="39" s="1"/>
  <c r="AE114" i="39"/>
  <c r="AE65" i="39" s="1"/>
  <c r="AJ114" i="39"/>
  <c r="AJ65" i="39" s="1"/>
  <c r="AK171" i="39"/>
  <c r="AK180" i="39" s="1"/>
  <c r="AK181" i="39" s="1"/>
  <c r="M8" i="42"/>
  <c r="AG8" i="42"/>
  <c r="J16" i="42"/>
  <c r="J18" i="42" s="1"/>
  <c r="V9" i="42"/>
  <c r="V16" i="42" s="1"/>
  <c r="V18" i="42" s="1"/>
  <c r="V22" i="42" s="1"/>
  <c r="Z9" i="42"/>
  <c r="Z16" i="42" s="1"/>
  <c r="Z18" i="42" s="1"/>
  <c r="AD9" i="42"/>
  <c r="AD16" i="42" s="1"/>
  <c r="AD18" i="42" s="1"/>
  <c r="AH9" i="42"/>
  <c r="AH16" i="42" s="1"/>
  <c r="AH18" i="42" s="1"/>
  <c r="O12" i="42"/>
  <c r="W12" i="42"/>
  <c r="O14" i="42"/>
  <c r="AA14" i="42"/>
  <c r="AB15" i="42"/>
  <c r="O26" i="42"/>
  <c r="DH254" i="51"/>
  <c r="DL254" i="51" s="1"/>
  <c r="BS258" i="51"/>
  <c r="AX84" i="41"/>
  <c r="AX86" i="41" s="1"/>
  <c r="BB86" i="41" s="1"/>
  <c r="AI59" i="41"/>
  <c r="AM59" i="41" s="1"/>
  <c r="AN59" i="41"/>
  <c r="AR59" i="41" s="1"/>
  <c r="AX59" i="41"/>
  <c r="BB59" i="41" s="1"/>
  <c r="AI60" i="41"/>
  <c r="AM60" i="41" s="1"/>
  <c r="AN60" i="41"/>
  <c r="AR60" i="41" s="1"/>
  <c r="AX60" i="41"/>
  <c r="BB60" i="41" s="1"/>
  <c r="AM72" i="41"/>
  <c r="AR72" i="41"/>
  <c r="BB72" i="41"/>
  <c r="AM73" i="41"/>
  <c r="AR73" i="41"/>
  <c r="BB73" i="41"/>
  <c r="AM75" i="41"/>
  <c r="AR75" i="41"/>
  <c r="BB75" i="41"/>
  <c r="AM76" i="41"/>
  <c r="AR76" i="41"/>
  <c r="BB76" i="41"/>
  <c r="BA306" i="41"/>
  <c r="BA311" i="41" s="1"/>
  <c r="BE85" i="41"/>
  <c r="BJ10" i="64"/>
  <c r="BJ18" i="64"/>
  <c r="BJ22" i="64"/>
  <c r="BJ26" i="64"/>
  <c r="BJ27" i="64"/>
  <c r="BJ30" i="64"/>
  <c r="BJ31" i="64"/>
  <c r="BK9" i="64"/>
  <c r="BL9" i="64"/>
  <c r="BK10" i="64"/>
  <c r="BK17" i="64"/>
  <c r="BL17" i="64"/>
  <c r="BK18" i="64"/>
  <c r="BK21" i="64"/>
  <c r="BL21" i="64"/>
  <c r="BK22" i="64"/>
  <c r="BK25" i="64"/>
  <c r="BL25" i="64"/>
  <c r="BK26" i="64"/>
  <c r="BK29" i="64"/>
  <c r="BL29" i="64"/>
  <c r="BK30" i="64"/>
  <c r="BM10" i="64"/>
  <c r="BM18" i="64"/>
  <c r="BM22" i="64"/>
  <c r="BM26" i="64"/>
  <c r="BM30" i="64"/>
  <c r="BM34" i="64"/>
  <c r="BM38" i="64"/>
  <c r="BM42" i="64"/>
  <c r="BM46" i="64"/>
  <c r="BN9" i="64"/>
  <c r="BN17" i="64"/>
  <c r="BN26" i="64"/>
  <c r="BN30" i="64"/>
  <c r="BO9" i="64"/>
  <c r="BO17" i="64"/>
  <c r="BO26" i="64"/>
  <c r="BO30" i="64"/>
  <c r="BO34" i="64"/>
  <c r="BO35" i="64"/>
  <c r="BO38" i="64"/>
  <c r="BO39" i="64"/>
  <c r="BO42" i="64"/>
  <c r="BO43" i="64"/>
  <c r="BO46" i="64"/>
  <c r="BJ34" i="64"/>
  <c r="BK34" i="64"/>
  <c r="BL34" i="64"/>
  <c r="BJ36" i="64"/>
  <c r="BK36" i="64"/>
  <c r="BL36" i="64"/>
  <c r="BJ38" i="64"/>
  <c r="BK38" i="64"/>
  <c r="BL38" i="64"/>
  <c r="BJ40" i="64"/>
  <c r="BK40" i="64"/>
  <c r="BL40" i="64"/>
  <c r="BJ42" i="64"/>
  <c r="BK42" i="64"/>
  <c r="BL42" i="64"/>
  <c r="BJ44" i="64"/>
  <c r="BK44" i="64"/>
  <c r="BL44" i="64"/>
  <c r="BJ46" i="64"/>
  <c r="BK46" i="64"/>
  <c r="BL46" i="64"/>
  <c r="BJ48" i="64"/>
  <c r="BK48" i="64"/>
  <c r="BL48" i="64"/>
  <c r="AY306" i="41"/>
  <c r="AY311" i="41" s="1"/>
  <c r="AK85" i="41"/>
  <c r="BJ8" i="64"/>
  <c r="BJ12" i="64"/>
  <c r="BJ16" i="64"/>
  <c r="BJ20" i="64"/>
  <c r="BJ24" i="64"/>
  <c r="BJ28" i="64"/>
  <c r="BJ29" i="64"/>
  <c r="BK8" i="64"/>
  <c r="BK11" i="64"/>
  <c r="BK12" i="64"/>
  <c r="BK16" i="64"/>
  <c r="BK19" i="64"/>
  <c r="BK20" i="64"/>
  <c r="BK23" i="64"/>
  <c r="BK24" i="64"/>
  <c r="BK27" i="64"/>
  <c r="BK28" i="64"/>
  <c r="BK31" i="64"/>
  <c r="BO11" i="64"/>
  <c r="BO19" i="64"/>
  <c r="BO28" i="64"/>
  <c r="BO36" i="64"/>
  <c r="BO37" i="64"/>
  <c r="BO40" i="64"/>
  <c r="BO41" i="64"/>
  <c r="BO44" i="64"/>
  <c r="BO45" i="64"/>
  <c r="BO48" i="64"/>
  <c r="BJ35" i="64"/>
  <c r="BK35" i="64"/>
  <c r="BJ37" i="64"/>
  <c r="BK37" i="64"/>
  <c r="BJ39" i="64"/>
  <c r="BK39" i="64"/>
  <c r="BJ41" i="64"/>
  <c r="BK41" i="64"/>
  <c r="BJ43" i="64"/>
  <c r="BK43" i="64"/>
  <c r="BJ45" i="64"/>
  <c r="BK45" i="64"/>
  <c r="BJ47" i="64"/>
  <c r="BK47" i="64"/>
  <c r="BJ49" i="64"/>
  <c r="BK49" i="64"/>
  <c r="BE306" i="41"/>
  <c r="BE331" i="41" s="1"/>
  <c r="BJ11" i="64"/>
  <c r="BJ19" i="64"/>
  <c r="BJ23" i="64"/>
  <c r="BL10" i="64"/>
  <c r="BL18" i="64"/>
  <c r="BL22" i="64"/>
  <c r="BL26" i="64"/>
  <c r="BL30" i="64"/>
  <c r="BM11" i="64"/>
  <c r="BM19" i="64"/>
  <c r="BM23" i="64"/>
  <c r="BM27" i="64"/>
  <c r="BM31" i="64"/>
  <c r="BM35" i="64"/>
  <c r="BM39" i="64"/>
  <c r="BM43" i="64"/>
  <c r="BN10" i="64"/>
  <c r="BN18" i="64"/>
  <c r="BN27" i="64"/>
  <c r="BN31" i="64"/>
  <c r="BN35" i="64"/>
  <c r="BN36" i="64"/>
  <c r="BN39" i="64"/>
  <c r="BN40" i="64"/>
  <c r="BN43" i="64"/>
  <c r="BN44" i="64"/>
  <c r="BN47" i="64"/>
  <c r="BO10" i="64"/>
  <c r="BO18" i="64"/>
  <c r="BO27" i="64"/>
  <c r="BO31" i="64"/>
  <c r="S72" i="60"/>
  <c r="S74" i="60"/>
  <c r="S76" i="60"/>
  <c r="S78" i="60"/>
  <c r="X71" i="60"/>
  <c r="X73" i="60"/>
  <c r="X75" i="60"/>
  <c r="X77" i="60"/>
  <c r="X79" i="60"/>
  <c r="AH72" i="60"/>
  <c r="AH74" i="60"/>
  <c r="AH76" i="60"/>
  <c r="AH78" i="60"/>
  <c r="AC71" i="60"/>
  <c r="AC73" i="60"/>
  <c r="AC75" i="60"/>
  <c r="AC77" i="60"/>
  <c r="AC79" i="60"/>
  <c r="S71" i="60"/>
  <c r="S73" i="60"/>
  <c r="S75" i="60"/>
  <c r="S77" i="60"/>
  <c r="S79" i="60"/>
  <c r="X72" i="60"/>
  <c r="X74" i="60"/>
  <c r="X76" i="60"/>
  <c r="X78" i="60"/>
  <c r="AH71" i="60"/>
  <c r="AH73" i="60"/>
  <c r="AH75" i="60"/>
  <c r="AH77" i="60"/>
  <c r="AH79" i="60"/>
  <c r="BY28" i="51"/>
  <c r="P44" i="51"/>
  <c r="AJ44" i="51"/>
  <c r="BD44" i="51"/>
  <c r="E53" i="51"/>
  <c r="O53" i="51"/>
  <c r="M53" i="51"/>
  <c r="P108" i="51"/>
  <c r="Y53" i="51"/>
  <c r="W53" i="51"/>
  <c r="Z108" i="51"/>
  <c r="AI53" i="51"/>
  <c r="AG53" i="51"/>
  <c r="AS53" i="51"/>
  <c r="AQ53" i="51"/>
  <c r="AT108" i="51"/>
  <c r="AW581" i="41" s="1"/>
  <c r="O56" i="51"/>
  <c r="M56" i="51"/>
  <c r="Y56" i="51"/>
  <c r="W56" i="51"/>
  <c r="AI56" i="51"/>
  <c r="AG56" i="51"/>
  <c r="AS56" i="51"/>
  <c r="AQ56" i="51"/>
  <c r="BC56" i="51"/>
  <c r="BA56" i="51"/>
  <c r="O55" i="51"/>
  <c r="M55" i="51"/>
  <c r="Y55" i="51"/>
  <c r="W55" i="51"/>
  <c r="AI55" i="51"/>
  <c r="AG55" i="51"/>
  <c r="AS55" i="51"/>
  <c r="AQ55" i="51"/>
  <c r="BC55" i="51"/>
  <c r="BA55" i="51"/>
  <c r="O54" i="51"/>
  <c r="M54" i="51"/>
  <c r="Y54" i="51"/>
  <c r="W54" i="51"/>
  <c r="AI54" i="51"/>
  <c r="AG54" i="51"/>
  <c r="AS54" i="51"/>
  <c r="AQ54" i="51"/>
  <c r="BC54" i="51"/>
  <c r="BA54" i="51"/>
  <c r="BY108" i="51"/>
  <c r="CD53" i="51"/>
  <c r="DM65" i="51"/>
  <c r="DR65" i="51" s="1"/>
  <c r="DK65" i="51"/>
  <c r="DI65" i="51"/>
  <c r="DG65" i="51"/>
  <c r="DE65" i="51"/>
  <c r="DL65" i="51"/>
  <c r="DJ65" i="51"/>
  <c r="DF65" i="51"/>
  <c r="DD65" i="51"/>
  <c r="R28" i="51"/>
  <c r="T28" i="51"/>
  <c r="AB28" i="51"/>
  <c r="AD28" i="51"/>
  <c r="AL28" i="51"/>
  <c r="AN28" i="51"/>
  <c r="AV28" i="51"/>
  <c r="AX28" i="51"/>
  <c r="BF28" i="51"/>
  <c r="BH28" i="51"/>
  <c r="R26" i="51"/>
  <c r="AB26" i="51"/>
  <c r="AL26" i="51"/>
  <c r="AV26" i="51"/>
  <c r="BF26" i="51"/>
  <c r="R24" i="51"/>
  <c r="AB24" i="51"/>
  <c r="AL24" i="51"/>
  <c r="AV24" i="51"/>
  <c r="BF24" i="51"/>
  <c r="R22" i="51"/>
  <c r="AB22" i="51"/>
  <c r="AV22" i="51"/>
  <c r="Y44" i="51"/>
  <c r="AS44" i="51"/>
  <c r="M39" i="51"/>
  <c r="W39" i="51"/>
  <c r="AG39" i="51"/>
  <c r="AQ39" i="51"/>
  <c r="BA39" i="51"/>
  <c r="M40" i="51"/>
  <c r="W40" i="51"/>
  <c r="AG40" i="51"/>
  <c r="AQ40" i="51"/>
  <c r="BA40" i="51"/>
  <c r="M41" i="51"/>
  <c r="W41" i="51"/>
  <c r="AG41" i="51"/>
  <c r="AQ41" i="51"/>
  <c r="BA41" i="51"/>
  <c r="N53" i="51"/>
  <c r="X53" i="51"/>
  <c r="AH53" i="51"/>
  <c r="AR53" i="51"/>
  <c r="N56" i="51"/>
  <c r="X56" i="51"/>
  <c r="AH56" i="51"/>
  <c r="AR56" i="51"/>
  <c r="BB56" i="51"/>
  <c r="N55" i="51"/>
  <c r="X55" i="51"/>
  <c r="AH55" i="51"/>
  <c r="AR55" i="51"/>
  <c r="BB55" i="51"/>
  <c r="N54" i="51"/>
  <c r="X54" i="51"/>
  <c r="AH54" i="51"/>
  <c r="AR54" i="51"/>
  <c r="BB54" i="51"/>
  <c r="AR102" i="51"/>
  <c r="AP102" i="51"/>
  <c r="AS102" i="51"/>
  <c r="AQ102" i="51"/>
  <c r="BT108" i="51"/>
  <c r="M76" i="51"/>
  <c r="W76" i="51"/>
  <c r="AG76" i="51"/>
  <c r="AQ76" i="51"/>
  <c r="BA76" i="51"/>
  <c r="M71" i="51"/>
  <c r="W71" i="51"/>
  <c r="AG71" i="51"/>
  <c r="AQ71" i="51"/>
  <c r="BA71" i="51"/>
  <c r="M70" i="51"/>
  <c r="W70" i="51"/>
  <c r="AG70" i="51"/>
  <c r="AQ70" i="51"/>
  <c r="BA70" i="51"/>
  <c r="M62" i="51"/>
  <c r="W62" i="51"/>
  <c r="AG62" i="51"/>
  <c r="AQ62" i="51"/>
  <c r="BA62" i="51"/>
  <c r="M63" i="51"/>
  <c r="W63" i="51"/>
  <c r="AG63" i="51"/>
  <c r="AQ63" i="51"/>
  <c r="BA63" i="51"/>
  <c r="M72" i="51"/>
  <c r="W72" i="51"/>
  <c r="AG72" i="51"/>
  <c r="AQ72" i="51"/>
  <c r="BA72" i="51"/>
  <c r="M68" i="51"/>
  <c r="W68" i="51"/>
  <c r="AG68" i="51"/>
  <c r="AQ68" i="51"/>
  <c r="BA68" i="51"/>
  <c r="M67" i="51"/>
  <c r="W67" i="51"/>
  <c r="AG67" i="51"/>
  <c r="AQ67" i="51"/>
  <c r="BA67" i="51"/>
  <c r="M66" i="51"/>
  <c r="W66" i="51"/>
  <c r="AG66" i="51"/>
  <c r="AQ66" i="51"/>
  <c r="BA66" i="51"/>
  <c r="M74" i="51"/>
  <c r="W74" i="51"/>
  <c r="AG74" i="51"/>
  <c r="AQ74" i="51"/>
  <c r="BA74" i="51"/>
  <c r="M73" i="51"/>
  <c r="W73" i="51"/>
  <c r="AG73" i="51"/>
  <c r="AQ73" i="51"/>
  <c r="BA73" i="51"/>
  <c r="M65" i="51"/>
  <c r="W65" i="51"/>
  <c r="AG65" i="51"/>
  <c r="AQ65" i="51"/>
  <c r="BA65" i="51"/>
  <c r="M77" i="51"/>
  <c r="W77" i="51"/>
  <c r="AG77" i="51"/>
  <c r="AQ77" i="51"/>
  <c r="BA77" i="51"/>
  <c r="M69" i="51"/>
  <c r="W69" i="51"/>
  <c r="AG69" i="51"/>
  <c r="AQ69" i="51"/>
  <c r="BA69" i="51"/>
  <c r="M85" i="51"/>
  <c r="W85" i="51"/>
  <c r="AG85" i="51"/>
  <c r="AQ85" i="51"/>
  <c r="BA85" i="51"/>
  <c r="M86" i="51"/>
  <c r="W86" i="51"/>
  <c r="AG86" i="51"/>
  <c r="AQ86" i="51"/>
  <c r="BA86" i="51"/>
  <c r="M96" i="51"/>
  <c r="W96" i="51"/>
  <c r="AG96" i="51"/>
  <c r="AQ96" i="51"/>
  <c r="BA96" i="51"/>
  <c r="M84" i="51"/>
  <c r="W84" i="51"/>
  <c r="AG84" i="51"/>
  <c r="AQ84" i="51"/>
  <c r="BA84" i="51"/>
  <c r="M87" i="51"/>
  <c r="W87" i="51"/>
  <c r="AG87" i="51"/>
  <c r="AQ87" i="51"/>
  <c r="BA87" i="51"/>
  <c r="M90" i="51"/>
  <c r="W90" i="51"/>
  <c r="AG90" i="51"/>
  <c r="AQ90" i="51"/>
  <c r="BA90" i="51"/>
  <c r="M88" i="51"/>
  <c r="W88" i="51"/>
  <c r="AG88" i="51"/>
  <c r="AQ88" i="51"/>
  <c r="BA88" i="51"/>
  <c r="M83" i="51"/>
  <c r="W83" i="51"/>
  <c r="AG83" i="51"/>
  <c r="AQ83" i="51"/>
  <c r="BA83" i="51"/>
  <c r="M97" i="51"/>
  <c r="W97" i="51"/>
  <c r="AG97" i="51"/>
  <c r="AQ97" i="51"/>
  <c r="BA97" i="51"/>
  <c r="M98" i="51"/>
  <c r="W98" i="51"/>
  <c r="AG98" i="51"/>
  <c r="AQ98" i="51"/>
  <c r="BA98" i="51"/>
  <c r="M80" i="51"/>
  <c r="W80" i="51"/>
  <c r="AG80" i="51"/>
  <c r="AQ80" i="51"/>
  <c r="BA80" i="51"/>
  <c r="M89" i="51"/>
  <c r="W89" i="51"/>
  <c r="AG89" i="51"/>
  <c r="AQ89" i="51"/>
  <c r="BA89" i="51"/>
  <c r="M91" i="51"/>
  <c r="W91" i="51"/>
  <c r="AG91" i="51"/>
  <c r="AQ91" i="51"/>
  <c r="BA91" i="51"/>
  <c r="M93" i="51"/>
  <c r="W93" i="51"/>
  <c r="AG93" i="51"/>
  <c r="AQ93" i="51"/>
  <c r="BA93" i="51"/>
  <c r="M82" i="51"/>
  <c r="W82" i="51"/>
  <c r="AG82" i="51"/>
  <c r="AQ82" i="51"/>
  <c r="BA82" i="51"/>
  <c r="M94" i="51"/>
  <c r="W94" i="51"/>
  <c r="AG94" i="51"/>
  <c r="AQ94" i="51"/>
  <c r="BA94" i="51"/>
  <c r="M92" i="51"/>
  <c r="W92" i="51"/>
  <c r="AG92" i="51"/>
  <c r="AQ92" i="51"/>
  <c r="BA92" i="51"/>
  <c r="M81" i="51"/>
  <c r="W81" i="51"/>
  <c r="AG81" i="51"/>
  <c r="AQ81" i="51"/>
  <c r="BA81" i="51"/>
  <c r="R100" i="51"/>
  <c r="AB100" i="51"/>
  <c r="AL100" i="51"/>
  <c r="AV100" i="51"/>
  <c r="BF100" i="51"/>
  <c r="R101" i="51"/>
  <c r="AB101" i="51"/>
  <c r="AL101" i="51"/>
  <c r="AV101" i="51"/>
  <c r="BF101" i="51"/>
  <c r="R102" i="51"/>
  <c r="AB102" i="51"/>
  <c r="AL102" i="51"/>
  <c r="AV102" i="51"/>
  <c r="BF102" i="51"/>
  <c r="R105" i="51"/>
  <c r="AB105" i="51"/>
  <c r="AL105" i="51"/>
  <c r="AV105" i="51"/>
  <c r="BF105" i="51"/>
  <c r="R106" i="51"/>
  <c r="AB106" i="51"/>
  <c r="AL106" i="51"/>
  <c r="AV106" i="51"/>
  <c r="BF106" i="51"/>
  <c r="M111" i="51"/>
  <c r="W111" i="51"/>
  <c r="AG111" i="51"/>
  <c r="AQ111" i="51"/>
  <c r="BA111" i="51"/>
  <c r="M112" i="51"/>
  <c r="W112" i="51"/>
  <c r="AG112" i="51"/>
  <c r="AQ112" i="51"/>
  <c r="BA112" i="51"/>
  <c r="M113" i="51"/>
  <c r="W113" i="51"/>
  <c r="AG113" i="51"/>
  <c r="AQ113" i="51"/>
  <c r="BA113" i="51"/>
  <c r="BY116" i="51"/>
  <c r="DK153" i="51"/>
  <c r="DI153" i="51"/>
  <c r="DL153" i="51"/>
  <c r="DJ153" i="51"/>
  <c r="DH175" i="51"/>
  <c r="DM175" i="51" s="1"/>
  <c r="DR175" i="51" s="1"/>
  <c r="DF175" i="51"/>
  <c r="DD175" i="51"/>
  <c r="DB175" i="51"/>
  <c r="CZ175" i="51"/>
  <c r="DG175" i="51"/>
  <c r="DE175" i="51"/>
  <c r="DA175" i="51"/>
  <c r="CY175" i="51"/>
  <c r="AM133" i="39"/>
  <c r="BG133" i="39"/>
  <c r="E128" i="51"/>
  <c r="E244" i="51" s="1"/>
  <c r="DM184" i="51"/>
  <c r="DR184" i="51" s="1"/>
  <c r="DK184" i="51"/>
  <c r="DI184" i="51"/>
  <c r="DG184" i="51"/>
  <c r="DE184" i="51"/>
  <c r="DL184" i="51"/>
  <c r="DJ184" i="51"/>
  <c r="DF184" i="51"/>
  <c r="DD184" i="51"/>
  <c r="BY127" i="51"/>
  <c r="DM180" i="51"/>
  <c r="DR180" i="51" s="1"/>
  <c r="DK180" i="51"/>
  <c r="DI180" i="51"/>
  <c r="DG180" i="51"/>
  <c r="DE180" i="51"/>
  <c r="DL180" i="51"/>
  <c r="DJ180" i="51"/>
  <c r="DF180" i="51"/>
  <c r="DD180" i="51"/>
  <c r="DM219" i="51"/>
  <c r="DR219" i="51" s="1"/>
  <c r="DK219" i="51"/>
  <c r="DI219" i="51"/>
  <c r="DG219" i="51"/>
  <c r="DE219" i="51"/>
  <c r="DL219" i="51"/>
  <c r="DJ219" i="51"/>
  <c r="DF219" i="51"/>
  <c r="DD219" i="51"/>
  <c r="CW237" i="51"/>
  <c r="CU237" i="51"/>
  <c r="CQ237" i="51"/>
  <c r="CO237" i="51"/>
  <c r="CX237" i="51"/>
  <c r="DC237" i="51" s="1"/>
  <c r="DH237" i="51" s="1"/>
  <c r="DM237" i="51" s="1"/>
  <c r="DR237" i="51" s="1"/>
  <c r="CT237" i="51"/>
  <c r="CP237" i="51"/>
  <c r="CV237" i="51"/>
  <c r="CR237" i="51"/>
  <c r="BP258" i="51"/>
  <c r="BR258" i="51"/>
  <c r="X79" i="41"/>
  <c r="X86" i="41"/>
  <c r="AA306" i="41"/>
  <c r="AA331" i="41" s="1"/>
  <c r="AF306" i="41"/>
  <c r="AF331" i="41" s="1"/>
  <c r="AK306" i="41"/>
  <c r="AK331" i="41" s="1"/>
  <c r="AZ306" i="41"/>
  <c r="AZ331" i="41" s="1"/>
  <c r="BJ306" i="41"/>
  <c r="U85" i="41"/>
  <c r="Y85" i="41"/>
  <c r="AE85" i="41"/>
  <c r="AI85" i="41"/>
  <c r="AO85" i="41"/>
  <c r="AY85" i="41"/>
  <c r="BC85" i="41"/>
  <c r="BI85" i="41"/>
  <c r="T88" i="41"/>
  <c r="Y88" i="41"/>
  <c r="AC88" i="41" s="1"/>
  <c r="AD88" i="41"/>
  <c r="AI88" i="41"/>
  <c r="AM88" i="41" s="1"/>
  <c r="AR88" i="41"/>
  <c r="BB88" i="41"/>
  <c r="BG88" i="41"/>
  <c r="BL88" i="41"/>
  <c r="AN89" i="41"/>
  <c r="AR89" i="41" s="1"/>
  <c r="AX89" i="41"/>
  <c r="BB89" i="41" s="1"/>
  <c r="BH89" i="41"/>
  <c r="BM47" i="64"/>
  <c r="BM49" i="64"/>
  <c r="BN48" i="64"/>
  <c r="BO47" i="64"/>
  <c r="BO49" i="64"/>
  <c r="BE49" i="64"/>
  <c r="Z306" i="41"/>
  <c r="AB306" i="41"/>
  <c r="AB331" i="41" s="1"/>
  <c r="AJ306" i="41"/>
  <c r="AJ311" i="41" s="1"/>
  <c r="AL306" i="41"/>
  <c r="AL331" i="41" s="1"/>
  <c r="AT306" i="41"/>
  <c r="AV306" i="41"/>
  <c r="AV331" i="41" s="1"/>
  <c r="BD306" i="41"/>
  <c r="BD331" i="41" s="1"/>
  <c r="BF306" i="41"/>
  <c r="BF331" i="41" s="1"/>
  <c r="W85" i="41"/>
  <c r="AG85" i="41"/>
  <c r="AQ85" i="41"/>
  <c r="BA85" i="41"/>
  <c r="BK85" i="41"/>
  <c r="CB40" i="64"/>
  <c r="CB38" i="64"/>
  <c r="CB36" i="64"/>
  <c r="CB39" i="64"/>
  <c r="BG129" i="64"/>
  <c r="BH129" i="64"/>
  <c r="BJ129" i="64"/>
  <c r="BY60" i="64"/>
  <c r="AZ57" i="64" s="1"/>
  <c r="BY63" i="64"/>
  <c r="BA59" i="64" s="1"/>
  <c r="BY76" i="64"/>
  <c r="BY77" i="64"/>
  <c r="BF114" i="64"/>
  <c r="BF115" i="64"/>
  <c r="BF116" i="64"/>
  <c r="BF117" i="64"/>
  <c r="BF118" i="64"/>
  <c r="BF119" i="64"/>
  <c r="BF120" i="64"/>
  <c r="BF121" i="64"/>
  <c r="BF122" i="64"/>
  <c r="BF123" i="64"/>
  <c r="BF124" i="64"/>
  <c r="BF125" i="64"/>
  <c r="BF126" i="64"/>
  <c r="BF127" i="64"/>
  <c r="BF128" i="64"/>
  <c r="BE132" i="64"/>
  <c r="BG132" i="64"/>
  <c r="BE133" i="64"/>
  <c r="BG133" i="64"/>
  <c r="BE134" i="64"/>
  <c r="BG134" i="64"/>
  <c r="BE135" i="64"/>
  <c r="BG135" i="64"/>
  <c r="BE136" i="64"/>
  <c r="BG136" i="64"/>
  <c r="BE137" i="64"/>
  <c r="BG137" i="64"/>
  <c r="BE138" i="64"/>
  <c r="BG138" i="64"/>
  <c r="AY14" i="42"/>
  <c r="BD14" i="42" s="1"/>
  <c r="BI14" i="42" s="1"/>
  <c r="BN14" i="42" s="1"/>
  <c r="BD20" i="42"/>
  <c r="BI20" i="42" s="1"/>
  <c r="BN20" i="42" s="1"/>
  <c r="BC9" i="42"/>
  <c r="BE9" i="42"/>
  <c r="AZ14" i="42"/>
  <c r="BE14" i="42" s="1"/>
  <c r="BJ14" i="42" s="1"/>
  <c r="BO14" i="42" s="1"/>
  <c r="AX8" i="42"/>
  <c r="AZ8" i="42"/>
  <c r="BD8" i="42"/>
  <c r="BF8" i="42"/>
  <c r="AY9" i="42"/>
  <c r="AY10" i="42" s="1"/>
  <c r="BA9" i="42"/>
  <c r="BA10" i="42" s="1"/>
  <c r="I10" i="42"/>
  <c r="K10" i="42"/>
  <c r="AY13" i="42"/>
  <c r="BA13" i="42"/>
  <c r="J10" i="42"/>
  <c r="L10" i="42"/>
  <c r="N10" i="42"/>
  <c r="AX13" i="42"/>
  <c r="AZ13" i="42"/>
  <c r="O15" i="41"/>
  <c r="O17" i="41" s="1"/>
  <c r="R9" i="41"/>
  <c r="S634" i="41"/>
  <c r="S647" i="41" s="1"/>
  <c r="S21" i="41"/>
  <c r="Z21" i="41"/>
  <c r="Z19" i="4"/>
  <c r="AC634" i="41"/>
  <c r="AC647" i="41" s="1"/>
  <c r="AC21" i="41"/>
  <c r="AE21" i="41"/>
  <c r="AE19" i="4"/>
  <c r="AJ21" i="41"/>
  <c r="AJ19" i="4"/>
  <c r="AM634" i="41"/>
  <c r="AM647" i="41" s="1"/>
  <c r="AM21" i="41"/>
  <c r="I21" i="41"/>
  <c r="I19" i="4"/>
  <c r="K21" i="41"/>
  <c r="K19" i="4"/>
  <c r="N21" i="41"/>
  <c r="N19" i="4"/>
  <c r="Z55" i="41"/>
  <c r="AA53" i="41"/>
  <c r="AA68" i="41" s="1"/>
  <c r="AA362" i="41" s="1"/>
  <c r="AA370" i="41" s="1"/>
  <c r="AF55" i="41"/>
  <c r="AG53" i="41"/>
  <c r="AG64" i="41" s="1"/>
  <c r="AG310" i="41" s="1"/>
  <c r="AT55" i="41"/>
  <c r="AS55" i="41" s="1"/>
  <c r="AS53" i="41" s="1"/>
  <c r="AZ55" i="41"/>
  <c r="BA53" i="41"/>
  <c r="BA68" i="41" s="1"/>
  <c r="BA362" i="41" s="1"/>
  <c r="Q21" i="41"/>
  <c r="Q19" i="4"/>
  <c r="T19" i="4"/>
  <c r="T21" i="41"/>
  <c r="V19" i="4"/>
  <c r="V21" i="41"/>
  <c r="Y21" i="41"/>
  <c r="Y19" i="4"/>
  <c r="AA21" i="41"/>
  <c r="AA19" i="4"/>
  <c r="AD19" i="4"/>
  <c r="AD21" i="41"/>
  <c r="AF19" i="4"/>
  <c r="AF21" i="41"/>
  <c r="AI21" i="41"/>
  <c r="AI19" i="4"/>
  <c r="AK21" i="41"/>
  <c r="AK19" i="4"/>
  <c r="J19" i="4"/>
  <c r="J21" i="41"/>
  <c r="L19" i="4"/>
  <c r="L21" i="41"/>
  <c r="BE25" i="41"/>
  <c r="BJ25" i="41" s="1"/>
  <c r="BO25" i="41" s="1"/>
  <c r="V55" i="41"/>
  <c r="W53" i="41"/>
  <c r="W67" i="41" s="1"/>
  <c r="AJ55" i="41"/>
  <c r="AK53" i="41"/>
  <c r="AK64" i="41" s="1"/>
  <c r="AK310" i="41" s="1"/>
  <c r="AQ53" i="41"/>
  <c r="AQ68" i="41" s="1"/>
  <c r="AQ362" i="41" s="1"/>
  <c r="AQ370" i="41" s="1"/>
  <c r="Y232" i="41"/>
  <c r="AC86" i="41"/>
  <c r="AH86" i="41"/>
  <c r="AM86" i="41"/>
  <c r="AR86" i="41"/>
  <c r="BG86" i="41"/>
  <c r="BL86" i="41"/>
  <c r="AB9" i="41"/>
  <c r="AL9" i="41"/>
  <c r="P10" i="41"/>
  <c r="T10" i="41"/>
  <c r="V10" i="41"/>
  <c r="X10" i="41"/>
  <c r="Z10" i="41"/>
  <c r="AD10" i="41"/>
  <c r="AF10" i="41"/>
  <c r="AH10" i="41"/>
  <c r="AJ10" i="41"/>
  <c r="X559" i="41"/>
  <c r="AG594" i="41"/>
  <c r="AH594" i="41" s="1"/>
  <c r="AG559" i="41"/>
  <c r="AL549" i="41"/>
  <c r="P15" i="41"/>
  <c r="P17" i="41" s="1"/>
  <c r="X15" i="41"/>
  <c r="X17" i="41" s="1"/>
  <c r="AH15" i="41"/>
  <c r="AH17" i="41" s="1"/>
  <c r="AL26" i="41"/>
  <c r="M35" i="41"/>
  <c r="X59" i="41"/>
  <c r="AH59" i="41"/>
  <c r="AC60" i="41"/>
  <c r="AC79" i="41"/>
  <c r="AC222" i="41" s="1"/>
  <c r="AE222" i="41"/>
  <c r="AE223" i="41" s="1"/>
  <c r="AG222" i="41"/>
  <c r="AG223" i="41" s="1"/>
  <c r="AI222" i="41"/>
  <c r="AI223" i="41" s="1"/>
  <c r="AK222" i="41"/>
  <c r="AK223" i="41" s="1"/>
  <c r="AK203" i="41"/>
  <c r="AM79" i="41"/>
  <c r="AM222" i="41" s="1"/>
  <c r="AO222" i="41"/>
  <c r="AO203" i="41"/>
  <c r="AQ222" i="41"/>
  <c r="AQ203" i="41"/>
  <c r="AS222" i="41"/>
  <c r="AS128" i="41" s="1"/>
  <c r="AU222" i="41"/>
  <c r="AU128" i="41" s="1"/>
  <c r="AU203" i="41"/>
  <c r="AW222" i="41"/>
  <c r="AY222" i="41"/>
  <c r="AY203" i="41"/>
  <c r="BA222" i="41"/>
  <c r="BA203" i="41"/>
  <c r="BC222" i="41"/>
  <c r="BC203" i="41"/>
  <c r="BE222" i="41"/>
  <c r="BE203" i="41"/>
  <c r="BG79" i="41"/>
  <c r="BG222" i="41" s="1"/>
  <c r="AC80" i="41"/>
  <c r="AC227" i="41" s="1"/>
  <c r="AM80" i="41"/>
  <c r="AM227" i="41" s="1"/>
  <c r="AW227" i="41"/>
  <c r="BG228" i="41"/>
  <c r="BG80" i="41"/>
  <c r="BG227" i="41" s="1"/>
  <c r="AA81" i="41"/>
  <c r="AA232" i="41" s="1"/>
  <c r="AE81" i="41"/>
  <c r="AE232" i="41" s="1"/>
  <c r="AE233" i="41" s="1"/>
  <c r="AG81" i="41"/>
  <c r="AG232" i="41" s="1"/>
  <c r="AG233" i="41" s="1"/>
  <c r="AI81" i="41"/>
  <c r="AW232" i="41"/>
  <c r="BG233" i="41"/>
  <c r="BG81" i="41"/>
  <c r="BG232" i="41" s="1"/>
  <c r="AC84" i="41"/>
  <c r="AM84" i="41"/>
  <c r="BG84" i="41"/>
  <c r="T85" i="41"/>
  <c r="V85" i="41"/>
  <c r="Z85" i="41"/>
  <c r="AB85" i="41"/>
  <c r="AD85" i="41"/>
  <c r="AF85" i="41"/>
  <c r="AJ85" i="41"/>
  <c r="AL85" i="41"/>
  <c r="AN85" i="41"/>
  <c r="AT85" i="41"/>
  <c r="AW85" i="41" s="1"/>
  <c r="AZ85" i="41"/>
  <c r="BD85" i="41"/>
  <c r="BF85" i="41"/>
  <c r="BH85" i="41"/>
  <c r="BJ85" i="41"/>
  <c r="BC89" i="41"/>
  <c r="BG89" i="41" s="1"/>
  <c r="Y228" i="41"/>
  <c r="AC226" i="41"/>
  <c r="AA228" i="41"/>
  <c r="AE228" i="41"/>
  <c r="AG228" i="41"/>
  <c r="AK228" i="41"/>
  <c r="AN228" i="41"/>
  <c r="AP228" i="41"/>
  <c r="AS228" i="41"/>
  <c r="AV228" i="41"/>
  <c r="AY228" i="41"/>
  <c r="AQ233" i="41"/>
  <c r="AV233" i="41"/>
  <c r="BG248" i="41"/>
  <c r="BA248" i="41"/>
  <c r="AZ248" i="41" s="1"/>
  <c r="AY248" i="41" s="1"/>
  <c r="AX248" i="41" s="1"/>
  <c r="AJ275" i="41"/>
  <c r="AI274" i="41"/>
  <c r="R8" i="41"/>
  <c r="M10" i="41"/>
  <c r="O10" i="41"/>
  <c r="Q10" i="41"/>
  <c r="S10" i="41"/>
  <c r="U10" i="41"/>
  <c r="Y10" i="41"/>
  <c r="AA10" i="41"/>
  <c r="AC10" i="41"/>
  <c r="AE10" i="41"/>
  <c r="AI10" i="41"/>
  <c r="AK10" i="41"/>
  <c r="AM10" i="41"/>
  <c r="R13" i="41"/>
  <c r="R559" i="41" s="1"/>
  <c r="AB594" i="41"/>
  <c r="AC594" i="41" s="1"/>
  <c r="AB559" i="41"/>
  <c r="AG549" i="41"/>
  <c r="AL594" i="41"/>
  <c r="AM594" i="41" s="1"/>
  <c r="AL559" i="41"/>
  <c r="BI19" i="41"/>
  <c r="R24" i="41"/>
  <c r="R26" i="41" s="1"/>
  <c r="R30" i="41"/>
  <c r="AB53" i="41"/>
  <c r="AL53" i="41"/>
  <c r="BF56" i="41"/>
  <c r="BE56" i="41" s="1"/>
  <c r="BD56" i="41" s="1"/>
  <c r="BC56" i="41" s="1"/>
  <c r="AC59" i="41"/>
  <c r="X60" i="41"/>
  <c r="AH60" i="41"/>
  <c r="AD222" i="41"/>
  <c r="AD223" i="41" s="1"/>
  <c r="AF222" i="41"/>
  <c r="AF223" i="41" s="1"/>
  <c r="AH79" i="41"/>
  <c r="AH222" i="41" s="1"/>
  <c r="AJ222" i="41"/>
  <c r="AJ223" i="41" s="1"/>
  <c r="AL203" i="41"/>
  <c r="AL222" i="41"/>
  <c r="AL223" i="41" s="1"/>
  <c r="AN203" i="41"/>
  <c r="AN222" i="41"/>
  <c r="AN223" i="41" s="1"/>
  <c r="AP203" i="41"/>
  <c r="AP222" i="41"/>
  <c r="AP223" i="41" s="1"/>
  <c r="AR79" i="41"/>
  <c r="AR222" i="41" s="1"/>
  <c r="AT203" i="41"/>
  <c r="AT222" i="41"/>
  <c r="AT128" i="41" s="1"/>
  <c r="AV203" i="41"/>
  <c r="AV222" i="41"/>
  <c r="AX203" i="41"/>
  <c r="AX222" i="41"/>
  <c r="AX237" i="41" s="1"/>
  <c r="AZ203" i="41"/>
  <c r="AZ222" i="41"/>
  <c r="BB79" i="41"/>
  <c r="BB222" i="41" s="1"/>
  <c r="BD203" i="41"/>
  <c r="BD222" i="41"/>
  <c r="BF203" i="41"/>
  <c r="BF222" i="41"/>
  <c r="AH80" i="41"/>
  <c r="AH227" i="41" s="1"/>
  <c r="AR80" i="41"/>
  <c r="AR227" i="41" s="1"/>
  <c r="BB80" i="41"/>
  <c r="BB227" i="41" s="1"/>
  <c r="AB81" i="41"/>
  <c r="AB232" i="41" s="1"/>
  <c r="AD81" i="41"/>
  <c r="AD203" i="41" s="1"/>
  <c r="AF81" i="41"/>
  <c r="AF232" i="41" s="1"/>
  <c r="AF233" i="41" s="1"/>
  <c r="AR81" i="41"/>
  <c r="AR232" i="41" s="1"/>
  <c r="BB81" i="41"/>
  <c r="BB232" i="41" s="1"/>
  <c r="X84" i="41"/>
  <c r="AH84" i="41"/>
  <c r="AR84" i="41"/>
  <c r="BL84" i="41"/>
  <c r="Z228" i="41"/>
  <c r="AB228" i="41"/>
  <c r="AD228" i="41"/>
  <c r="AH226" i="41"/>
  <c r="AF228" i="41"/>
  <c r="AI228" i="41"/>
  <c r="AL228" i="41"/>
  <c r="AQ228" i="41"/>
  <c r="AU228" i="41"/>
  <c r="AX228" i="41"/>
  <c r="AP233" i="41"/>
  <c r="AS233" i="41"/>
  <c r="AU233" i="41"/>
  <c r="AX233" i="41"/>
  <c r="AM270" i="41"/>
  <c r="AG270" i="41"/>
  <c r="AJ176" i="41"/>
  <c r="AL176" i="41"/>
  <c r="AR176" i="41"/>
  <c r="AM186" i="41"/>
  <c r="AM192" i="41" s="1"/>
  <c r="AO221" i="41"/>
  <c r="BB221" i="41"/>
  <c r="AJ226" i="41"/>
  <c r="AJ228" i="41" s="1"/>
  <c r="AT228" i="41"/>
  <c r="BB226" i="41"/>
  <c r="AO231" i="41"/>
  <c r="AY231" i="41"/>
  <c r="AY233" i="41" s="1"/>
  <c r="AY236" i="41"/>
  <c r="BB236" i="41" s="1"/>
  <c r="AV248" i="41"/>
  <c r="AT248" i="41" s="1"/>
  <c r="AS248" i="41" s="1"/>
  <c r="AB270" i="41"/>
  <c r="Y275" i="41"/>
  <c r="AO275" i="41"/>
  <c r="BI275" i="41"/>
  <c r="Z380" i="41"/>
  <c r="AH186" i="41"/>
  <c r="AR236" i="41"/>
  <c r="AE379" i="41"/>
  <c r="AJ379" i="41" s="1"/>
  <c r="AO379" i="41" s="1"/>
  <c r="AT379" i="41" s="1"/>
  <c r="AY379" i="41" s="1"/>
  <c r="BD379" i="41" s="1"/>
  <c r="BI379" i="41" s="1"/>
  <c r="AA379" i="41"/>
  <c r="AH379" i="41"/>
  <c r="BL379" i="41"/>
  <c r="AD336" i="41"/>
  <c r="Z405" i="41"/>
  <c r="AA405" i="41" s="1"/>
  <c r="AB405" i="41" s="1"/>
  <c r="AB406" i="41" s="1"/>
  <c r="AI545" i="41"/>
  <c r="Y406" i="41"/>
  <c r="AA462" i="41"/>
  <c r="AE462" i="41"/>
  <c r="AG462" i="41"/>
  <c r="AI462" i="41"/>
  <c r="AK462" i="41"/>
  <c r="AO462" i="41"/>
  <c r="AO464" i="41" s="1"/>
  <c r="AA474" i="41"/>
  <c r="AA476" i="41" s="1"/>
  <c r="AA478" i="41" s="1"/>
  <c r="AC473" i="41"/>
  <c r="AD473" i="41" s="1"/>
  <c r="AX570" i="41"/>
  <c r="BH570" i="41"/>
  <c r="BI570" i="41" s="1"/>
  <c r="BJ570" i="41" s="1"/>
  <c r="BF545" i="41"/>
  <c r="BE545" i="41" s="1"/>
  <c r="BD545" i="41" s="1"/>
  <c r="BC545" i="41" s="1"/>
  <c r="R553" i="41"/>
  <c r="R555" i="41" s="1"/>
  <c r="AB553" i="41"/>
  <c r="AL553" i="41"/>
  <c r="X564" i="41"/>
  <c r="W557" i="41"/>
  <c r="W564" i="41" s="1"/>
  <c r="BC570" i="41"/>
  <c r="AC599" i="41"/>
  <c r="AC601" i="41" s="1"/>
  <c r="M543" i="41"/>
  <c r="M544" i="41" s="1"/>
  <c r="AH564" i="41"/>
  <c r="AG557" i="41"/>
  <c r="AG564" i="41" s="1"/>
  <c r="AE595" i="41"/>
  <c r="Z596" i="41"/>
  <c r="AA596" i="41" s="1"/>
  <c r="AE596" i="41"/>
  <c r="AF596" i="41" s="1"/>
  <c r="AJ596" i="41"/>
  <c r="AK596" i="41" s="1"/>
  <c r="AM599" i="41"/>
  <c r="AM601" i="41" s="1"/>
  <c r="AH599" i="41"/>
  <c r="AH601" i="41" s="1"/>
  <c r="Z600" i="41"/>
  <c r="AA600" i="41" s="1"/>
  <c r="AE600" i="41"/>
  <c r="AE601" i="41" s="1"/>
  <c r="AJ600" i="41"/>
  <c r="AJ601" i="41" s="1"/>
  <c r="AY600" i="41"/>
  <c r="AZ600" i="41" s="1"/>
  <c r="BD600" i="41"/>
  <c r="BE600" i="41" s="1"/>
  <c r="BF600" i="41" s="1"/>
  <c r="BI600" i="41"/>
  <c r="BJ600" i="41" s="1"/>
  <c r="BK600" i="41" s="1"/>
  <c r="Y601" i="41"/>
  <c r="AA606" i="41"/>
  <c r="AA120" i="4" s="1"/>
  <c r="AK606" i="41"/>
  <c r="AK120" i="4" s="1"/>
  <c r="M619" i="41"/>
  <c r="R619" i="41"/>
  <c r="AH619" i="41"/>
  <c r="AG617" i="41"/>
  <c r="AJ619" i="41"/>
  <c r="AL619" i="41"/>
  <c r="U628" i="41"/>
  <c r="U629" i="41" s="1"/>
  <c r="X619" i="41"/>
  <c r="W618" i="41"/>
  <c r="W619" i="41" s="1"/>
  <c r="AF628" i="41"/>
  <c r="AF623" i="41" s="1"/>
  <c r="N619" i="41"/>
  <c r="Z628" i="41"/>
  <c r="Z623" i="41" s="1"/>
  <c r="AC619" i="41"/>
  <c r="AB617" i="41"/>
  <c r="AB619" i="41" s="1"/>
  <c r="AE628" i="41"/>
  <c r="AE623" i="41" s="1"/>
  <c r="T628" i="41"/>
  <c r="T623" i="41" s="1"/>
  <c r="V628" i="41"/>
  <c r="V623" i="41" s="1"/>
  <c r="AG618" i="41"/>
  <c r="S619" i="41"/>
  <c r="AL625" i="41"/>
  <c r="N20" i="40"/>
  <c r="N20" i="4"/>
  <c r="T20" i="40"/>
  <c r="T20" i="4"/>
  <c r="AE27" i="40"/>
  <c r="AE21" i="40"/>
  <c r="AJ20" i="40"/>
  <c r="AJ20" i="4"/>
  <c r="AM27" i="40"/>
  <c r="AM21" i="40"/>
  <c r="AM25" i="3" s="1"/>
  <c r="L20" i="40"/>
  <c r="L20" i="4"/>
  <c r="P20" i="40"/>
  <c r="P20" i="4"/>
  <c r="Z20" i="40"/>
  <c r="Z20" i="4"/>
  <c r="AD20" i="40"/>
  <c r="AD20" i="4"/>
  <c r="AF20" i="40"/>
  <c r="AF20" i="4"/>
  <c r="BJ24" i="40"/>
  <c r="BO24" i="40" s="1"/>
  <c r="AZ12" i="40"/>
  <c r="BB12" i="40" s="1"/>
  <c r="AG66" i="40"/>
  <c r="AG53" i="40" s="1"/>
  <c r="V20" i="40"/>
  <c r="V20" i="4"/>
  <c r="AH27" i="40"/>
  <c r="AH21" i="40"/>
  <c r="AH25" i="3" s="1"/>
  <c r="I20" i="40"/>
  <c r="Q20" i="40"/>
  <c r="U20" i="40"/>
  <c r="AK20" i="40"/>
  <c r="AC21" i="40"/>
  <c r="AC25" i="3" s="1"/>
  <c r="AL25" i="40"/>
  <c r="AG25" i="40"/>
  <c r="AM63" i="40"/>
  <c r="P66" i="40"/>
  <c r="AL66" i="40"/>
  <c r="AL53" i="40" s="1"/>
  <c r="Z69" i="40"/>
  <c r="Z54" i="40" s="1"/>
  <c r="AJ69" i="40"/>
  <c r="AJ54" i="40" s="1"/>
  <c r="R8" i="40"/>
  <c r="R13" i="40"/>
  <c r="R68" i="40" s="1"/>
  <c r="R69" i="40" s="1"/>
  <c r="AB97" i="40"/>
  <c r="AC97" i="40" s="1"/>
  <c r="AB75" i="40"/>
  <c r="AB76" i="40" s="1"/>
  <c r="AC76" i="40" s="1"/>
  <c r="AC77" i="40" s="1"/>
  <c r="AB69" i="40"/>
  <c r="AB54" i="40" s="1"/>
  <c r="AG97" i="40"/>
  <c r="AH97" i="40" s="1"/>
  <c r="AG75" i="40"/>
  <c r="AL97" i="40"/>
  <c r="AM97" i="40" s="1"/>
  <c r="AL75" i="40"/>
  <c r="AL69" i="40"/>
  <c r="AL54" i="40" s="1"/>
  <c r="AL14" i="40"/>
  <c r="AL16" i="40" s="1"/>
  <c r="BC18" i="40"/>
  <c r="K20" i="40"/>
  <c r="AA20" i="40"/>
  <c r="AI20" i="40"/>
  <c r="R23" i="40"/>
  <c r="W25" i="40"/>
  <c r="Y66" i="40"/>
  <c r="Y53" i="40" s="1"/>
  <c r="AC65" i="40"/>
  <c r="AI66" i="40"/>
  <c r="AI53" i="40" s="1"/>
  <c r="AM65" i="40"/>
  <c r="AR66" i="40" s="1"/>
  <c r="AK66" i="40"/>
  <c r="AK53" i="40" s="1"/>
  <c r="X65" i="40"/>
  <c r="X66" i="40" s="1"/>
  <c r="AH65" i="40"/>
  <c r="AJ66" i="40"/>
  <c r="AJ53" i="40" s="1"/>
  <c r="AB90" i="40"/>
  <c r="AC90" i="40" s="1"/>
  <c r="AE91" i="40"/>
  <c r="AL90" i="40"/>
  <c r="AQ91" i="40" s="1"/>
  <c r="AR91" i="40" s="1"/>
  <c r="M65" i="40"/>
  <c r="R10" i="40"/>
  <c r="M14" i="40"/>
  <c r="M16" i="40" s="1"/>
  <c r="O14" i="40"/>
  <c r="O16" i="40" s="1"/>
  <c r="W14" i="40"/>
  <c r="W16" i="40" s="1"/>
  <c r="AG14" i="40"/>
  <c r="AG16" i="40" s="1"/>
  <c r="AZ69" i="40"/>
  <c r="AY54" i="40"/>
  <c r="S66" i="40"/>
  <c r="U66" i="40"/>
  <c r="AE66" i="40"/>
  <c r="AE53" i="40" s="1"/>
  <c r="X63" i="40"/>
  <c r="AC63" i="40"/>
  <c r="AH63" i="40"/>
  <c r="T69" i="40"/>
  <c r="V69" i="40"/>
  <c r="AD69" i="40"/>
  <c r="AD54" i="40" s="1"/>
  <c r="AF69" i="40"/>
  <c r="AF54" i="40" s="1"/>
  <c r="AI69" i="40"/>
  <c r="AI54" i="40" s="1"/>
  <c r="X97" i="40"/>
  <c r="AC96" i="40"/>
  <c r="AH96" i="40"/>
  <c r="AM96" i="40"/>
  <c r="X68" i="40"/>
  <c r="X69" i="40" s="1"/>
  <c r="AH68" i="40"/>
  <c r="AI91" i="40"/>
  <c r="AK91" i="40"/>
  <c r="X95" i="40"/>
  <c r="V22" i="39"/>
  <c r="AD22" i="39"/>
  <c r="J22" i="39"/>
  <c r="L29" i="39"/>
  <c r="L33" i="39" s="1"/>
  <c r="L23" i="39"/>
  <c r="P29" i="39"/>
  <c r="P23" i="39"/>
  <c r="K81" i="39"/>
  <c r="K89" i="39"/>
  <c r="Q81" i="39"/>
  <c r="Q55" i="39"/>
  <c r="V55" i="39"/>
  <c r="Y81" i="39"/>
  <c r="Y55" i="39"/>
  <c r="AA81" i="39"/>
  <c r="AA55" i="39"/>
  <c r="AD55" i="39"/>
  <c r="AD81" i="39"/>
  <c r="AF55" i="39"/>
  <c r="AF81" i="39"/>
  <c r="AI81" i="39"/>
  <c r="AI55" i="39"/>
  <c r="AK81" i="39"/>
  <c r="AK55" i="39"/>
  <c r="X91" i="39"/>
  <c r="AJ91" i="39"/>
  <c r="AO92" i="39" s="1"/>
  <c r="T22" i="39"/>
  <c r="Z29" i="39"/>
  <c r="Z23" i="39"/>
  <c r="AH186" i="39"/>
  <c r="AH199" i="39" s="1"/>
  <c r="AH22" i="39"/>
  <c r="I29" i="39"/>
  <c r="I33" i="39" s="1"/>
  <c r="I23" i="39"/>
  <c r="I23" i="3" s="1"/>
  <c r="K29" i="39"/>
  <c r="K33" i="39" s="1"/>
  <c r="K23" i="39"/>
  <c r="N29" i="39"/>
  <c r="N33" i="39" s="1"/>
  <c r="N23" i="39"/>
  <c r="N23" i="3" s="1"/>
  <c r="U29" i="39"/>
  <c r="U23" i="39"/>
  <c r="S81" i="39"/>
  <c r="S55" i="39"/>
  <c r="U89" i="39"/>
  <c r="U81" i="39"/>
  <c r="U55" i="39"/>
  <c r="X55" i="39"/>
  <c r="X81" i="39"/>
  <c r="Z55" i="39"/>
  <c r="Z81" i="39"/>
  <c r="AC81" i="39"/>
  <c r="AC55" i="39"/>
  <c r="AE81" i="39"/>
  <c r="AE55" i="39"/>
  <c r="AH55" i="39"/>
  <c r="AJ55" i="39"/>
  <c r="AM81" i="39"/>
  <c r="AM55" i="39"/>
  <c r="AF91" i="39"/>
  <c r="R9" i="39"/>
  <c r="W9" i="39"/>
  <c r="AG9" i="39"/>
  <c r="M10" i="39"/>
  <c r="O10" i="39"/>
  <c r="Q10" i="39"/>
  <c r="S10" i="39"/>
  <c r="Y10" i="39"/>
  <c r="AA10" i="39"/>
  <c r="AC10" i="39"/>
  <c r="AE10" i="39"/>
  <c r="AI10" i="39"/>
  <c r="AK10" i="39"/>
  <c r="AM10" i="39"/>
  <c r="R15" i="39"/>
  <c r="AB205" i="39"/>
  <c r="AC205" i="39" s="1"/>
  <c r="AB146" i="39"/>
  <c r="AB120" i="39"/>
  <c r="AB121" i="39" s="1"/>
  <c r="AC121" i="39" s="1"/>
  <c r="AB114" i="39"/>
  <c r="AB65" i="39" s="1"/>
  <c r="AG205" i="39"/>
  <c r="AH205" i="39" s="1"/>
  <c r="AG146" i="39"/>
  <c r="AG120" i="39"/>
  <c r="AG121" i="39" s="1"/>
  <c r="AH121" i="39" s="1"/>
  <c r="AG114" i="39"/>
  <c r="AG65" i="39" s="1"/>
  <c r="AL205" i="39"/>
  <c r="AM205" i="39" s="1"/>
  <c r="AL146" i="39"/>
  <c r="AL120" i="39"/>
  <c r="AL121" i="39" s="1"/>
  <c r="AM121" i="39" s="1"/>
  <c r="AL114" i="39"/>
  <c r="AL65" i="39" s="1"/>
  <c r="M16" i="39"/>
  <c r="M18" i="39" s="1"/>
  <c r="O16" i="39"/>
  <c r="O18" i="39" s="1"/>
  <c r="Q16" i="39"/>
  <c r="Q18" i="39" s="1"/>
  <c r="S16" i="39"/>
  <c r="S18" i="39" s="1"/>
  <c r="S22" i="39" s="1"/>
  <c r="Y16" i="39"/>
  <c r="Y18" i="39" s="1"/>
  <c r="AA16" i="39"/>
  <c r="AA18" i="39" s="1"/>
  <c r="AC16" i="39"/>
  <c r="AC18" i="39" s="1"/>
  <c r="AE16" i="39"/>
  <c r="AE18" i="39" s="1"/>
  <c r="AI16" i="39"/>
  <c r="AI18" i="39" s="1"/>
  <c r="AK16" i="39"/>
  <c r="AK18" i="39" s="1"/>
  <c r="AM16" i="39"/>
  <c r="AM18" i="39" s="1"/>
  <c r="BA26" i="39"/>
  <c r="BF26" i="39" s="1"/>
  <c r="BK26" i="39" s="1"/>
  <c r="BP26" i="39" s="1"/>
  <c r="R25" i="39"/>
  <c r="Z188" i="39"/>
  <c r="AA188" i="39"/>
  <c r="Y188" i="39"/>
  <c r="W188" i="39"/>
  <c r="AF188" i="39"/>
  <c r="AD188" i="39"/>
  <c r="AB188" i="39"/>
  <c r="AE188" i="39"/>
  <c r="AJ188" i="39"/>
  <c r="AK188" i="39"/>
  <c r="AI188" i="39"/>
  <c r="AG188" i="39"/>
  <c r="AL188" i="39"/>
  <c r="M27" i="39"/>
  <c r="W27" i="39"/>
  <c r="AG27" i="39"/>
  <c r="R31" i="39"/>
  <c r="W31" i="39"/>
  <c r="W31" i="42" s="1"/>
  <c r="J34" i="39"/>
  <c r="BF62" i="39"/>
  <c r="T64" i="39"/>
  <c r="AB64" i="39"/>
  <c r="AL64" i="39"/>
  <c r="BD67" i="39"/>
  <c r="M78" i="39"/>
  <c r="M79" i="39" s="1"/>
  <c r="O78" i="39"/>
  <c r="R78" i="39" s="1"/>
  <c r="R79" i="39" s="1"/>
  <c r="W78" i="39"/>
  <c r="W79" i="39" s="1"/>
  <c r="AG78" i="39"/>
  <c r="AG79" i="39" s="1"/>
  <c r="J81" i="39"/>
  <c r="L81" i="39"/>
  <c r="P81" i="39"/>
  <c r="T81" i="39"/>
  <c r="V81" i="39"/>
  <c r="AH81" i="39"/>
  <c r="AJ81" i="39"/>
  <c r="Q91" i="39"/>
  <c r="S91" i="39"/>
  <c r="AB83" i="39"/>
  <c r="AI91" i="39"/>
  <c r="AN92" i="39" s="1"/>
  <c r="AK91" i="39"/>
  <c r="AP92" i="39" s="1"/>
  <c r="AM91" i="39"/>
  <c r="AR92" i="39" s="1"/>
  <c r="J89" i="39"/>
  <c r="L89" i="39"/>
  <c r="P89" i="39"/>
  <c r="T88" i="39"/>
  <c r="T89" i="39" s="1"/>
  <c r="V88" i="39"/>
  <c r="V89" i="39" s="1"/>
  <c r="Z88" i="39"/>
  <c r="Z89" i="39" s="1"/>
  <c r="AD88" i="39"/>
  <c r="AH88" i="39"/>
  <c r="AH89" i="39" s="1"/>
  <c r="N107" i="39"/>
  <c r="AI110" i="39"/>
  <c r="AD110" i="39"/>
  <c r="AE121" i="39"/>
  <c r="AJ121" i="39"/>
  <c r="AB9" i="39"/>
  <c r="AL9" i="39"/>
  <c r="T10" i="39"/>
  <c r="V10" i="39"/>
  <c r="X10" i="39"/>
  <c r="Z10" i="39"/>
  <c r="AD10" i="39"/>
  <c r="AF10" i="39"/>
  <c r="AH10" i="39"/>
  <c r="AJ10" i="39"/>
  <c r="O109" i="39"/>
  <c r="R12" i="39"/>
  <c r="W64" i="39" s="1"/>
  <c r="AB14" i="39"/>
  <c r="X16" i="39"/>
  <c r="X18" i="39" s="1"/>
  <c r="AF16" i="39"/>
  <c r="AF18" i="39" s="1"/>
  <c r="AJ16" i="39"/>
  <c r="AJ18" i="39" s="1"/>
  <c r="BA62" i="39"/>
  <c r="BK62" i="39"/>
  <c r="O64" i="39"/>
  <c r="AG64" i="39"/>
  <c r="AB78" i="39"/>
  <c r="AB79" i="39" s="1"/>
  <c r="AL78" i="39"/>
  <c r="AL79" i="39" s="1"/>
  <c r="Y91" i="39"/>
  <c r="AA91" i="39"/>
  <c r="AC91" i="39"/>
  <c r="AE91" i="39"/>
  <c r="N89" i="39"/>
  <c r="X107" i="39"/>
  <c r="X109" i="39" s="1"/>
  <c r="AJ110" i="39"/>
  <c r="AM110" i="39"/>
  <c r="P110" i="39"/>
  <c r="T114" i="39"/>
  <c r="T65" i="39" s="1"/>
  <c r="AM148" i="39"/>
  <c r="AB108" i="39"/>
  <c r="AB109" i="39" s="1"/>
  <c r="AH148" i="39"/>
  <c r="T206" i="39"/>
  <c r="T208" i="39" s="1"/>
  <c r="U203" i="39" s="1"/>
  <c r="U208" i="39" s="1"/>
  <c r="V203" i="39" s="1"/>
  <c r="V208" i="39" s="1"/>
  <c r="W203" i="39" s="1"/>
  <c r="Y206" i="39"/>
  <c r="AC206" i="39" s="1"/>
  <c r="AE147" i="39"/>
  <c r="AL151" i="39"/>
  <c r="AM151" i="39" s="1"/>
  <c r="AM153" i="39" s="1"/>
  <c r="Z152" i="39"/>
  <c r="AA152" i="39" s="1"/>
  <c r="AE152" i="39"/>
  <c r="AE153" i="39" s="1"/>
  <c r="AJ152" i="39"/>
  <c r="AJ153" i="39" s="1"/>
  <c r="AY152" i="39"/>
  <c r="BD152" i="39"/>
  <c r="BI152" i="39"/>
  <c r="Z158" i="39"/>
  <c r="Z119" i="4" s="1"/>
  <c r="AE158" i="39"/>
  <c r="AE119" i="4" s="1"/>
  <c r="AJ158" i="39"/>
  <c r="AJ119" i="4" s="1"/>
  <c r="AY158" i="39"/>
  <c r="AY119" i="4" s="1"/>
  <c r="BD158" i="39"/>
  <c r="BD119" i="4" s="1"/>
  <c r="BI158" i="39"/>
  <c r="BI119" i="4" s="1"/>
  <c r="X171" i="39"/>
  <c r="X180" i="39" s="1"/>
  <c r="Z171" i="39"/>
  <c r="Z180" i="39" s="1"/>
  <c r="Z175" i="39" s="1"/>
  <c r="AB169" i="39"/>
  <c r="AB171" i="39" s="1"/>
  <c r="AB180" i="39" s="1"/>
  <c r="AB175" i="39" s="1"/>
  <c r="AD171" i="39"/>
  <c r="AD180" i="39" s="1"/>
  <c r="AD175" i="39" s="1"/>
  <c r="AF171" i="39"/>
  <c r="AF180" i="39" s="1"/>
  <c r="AL169" i="39"/>
  <c r="AL171" i="39" s="1"/>
  <c r="AL180" i="39" s="1"/>
  <c r="AL175" i="39" s="1"/>
  <c r="AG170" i="39"/>
  <c r="W127" i="39"/>
  <c r="AB127" i="39"/>
  <c r="Y151" i="39"/>
  <c r="AG151" i="39"/>
  <c r="AG177" i="39"/>
  <c r="AH204" i="39"/>
  <c r="X203" i="39"/>
  <c r="X205" i="39"/>
  <c r="AM204" i="39"/>
  <c r="S219" i="4"/>
  <c r="S235" i="4" s="1"/>
  <c r="CK28" i="3" s="1"/>
  <c r="S27" i="4"/>
  <c r="S34" i="4" s="1"/>
  <c r="S28" i="4"/>
  <c r="S220" i="4" s="1"/>
  <c r="V28" i="4"/>
  <c r="V27" i="4"/>
  <c r="V34" i="4" s="1"/>
  <c r="Y28" i="4"/>
  <c r="Y27" i="4"/>
  <c r="Y34" i="4" s="1"/>
  <c r="AD28" i="4"/>
  <c r="AD27" i="4"/>
  <c r="AD34" i="4" s="1"/>
  <c r="AF28" i="4"/>
  <c r="AF27" i="4"/>
  <c r="AF34" i="4" s="1"/>
  <c r="AI28" i="4"/>
  <c r="AI27" i="4"/>
  <c r="AI34" i="4" s="1"/>
  <c r="AK28" i="4"/>
  <c r="AK27" i="4"/>
  <c r="AK34" i="4" s="1"/>
  <c r="F28" i="4"/>
  <c r="F27" i="4"/>
  <c r="F34" i="4" s="1"/>
  <c r="J28" i="4"/>
  <c r="J27" i="4"/>
  <c r="J34" i="4" s="1"/>
  <c r="L28" i="4"/>
  <c r="L27" i="4"/>
  <c r="L34" i="4" s="1"/>
  <c r="T28" i="4"/>
  <c r="T27" i="4"/>
  <c r="T34" i="4" s="1"/>
  <c r="Q28" i="4"/>
  <c r="Q27" i="4"/>
  <c r="Q34" i="4" s="1"/>
  <c r="Z28" i="4"/>
  <c r="Z27" i="4"/>
  <c r="Z34" i="4" s="1"/>
  <c r="AC219" i="4"/>
  <c r="AC235" i="4" s="1"/>
  <c r="CU28" i="3" s="1"/>
  <c r="AC28" i="4"/>
  <c r="AC220" i="4" s="1"/>
  <c r="AC27" i="4"/>
  <c r="AC34" i="4" s="1"/>
  <c r="AE28" i="4"/>
  <c r="AE27" i="4"/>
  <c r="AE34" i="4" s="1"/>
  <c r="AM219" i="4"/>
  <c r="AM235" i="4" s="1"/>
  <c r="DE28" i="3" s="1"/>
  <c r="AM28" i="4"/>
  <c r="AM220" i="4" s="1"/>
  <c r="AM27" i="4"/>
  <c r="AM34" i="4" s="1"/>
  <c r="E28" i="4"/>
  <c r="E27" i="4"/>
  <c r="E34" i="4" s="1"/>
  <c r="G28" i="4"/>
  <c r="G27" i="4"/>
  <c r="G34" i="4" s="1"/>
  <c r="K28" i="4"/>
  <c r="K27" i="4"/>
  <c r="K34" i="4" s="1"/>
  <c r="U28" i="4"/>
  <c r="U27" i="4"/>
  <c r="U34" i="4" s="1"/>
  <c r="AB9" i="4"/>
  <c r="AB16" i="4" s="1"/>
  <c r="AB22" i="4" s="1"/>
  <c r="H10" i="4"/>
  <c r="X10" i="4"/>
  <c r="AF10" i="4"/>
  <c r="AJ10" i="4"/>
  <c r="N16" i="4"/>
  <c r="N22" i="4" s="1"/>
  <c r="X16" i="4"/>
  <c r="X22" i="4" s="1"/>
  <c r="AJ16" i="4"/>
  <c r="AJ22" i="4" s="1"/>
  <c r="M43" i="4"/>
  <c r="M248" i="4" s="1"/>
  <c r="M62" i="4"/>
  <c r="W62" i="4"/>
  <c r="AG62" i="4"/>
  <c r="CO132" i="4"/>
  <c r="CP134" i="4"/>
  <c r="V132" i="4"/>
  <c r="CR134" i="4"/>
  <c r="Z132" i="4"/>
  <c r="CV134" i="4"/>
  <c r="DI132" i="4"/>
  <c r="DJ134" i="4"/>
  <c r="CT133" i="4"/>
  <c r="X133" i="4"/>
  <c r="W133" i="4" s="1"/>
  <c r="M91" i="4"/>
  <c r="AG91" i="4"/>
  <c r="V10" i="4"/>
  <c r="Z10" i="4"/>
  <c r="AD10" i="4"/>
  <c r="AH10" i="4"/>
  <c r="AH16" i="4"/>
  <c r="AH22" i="4" s="1"/>
  <c r="AM42" i="3"/>
  <c r="M10" i="4"/>
  <c r="Q10" i="4"/>
  <c r="S10" i="4"/>
  <c r="Y10" i="4"/>
  <c r="AA10" i="4"/>
  <c r="AC10" i="4"/>
  <c r="AE10" i="4"/>
  <c r="AI10" i="4"/>
  <c r="AK10" i="4"/>
  <c r="AM10" i="4"/>
  <c r="H12" i="4"/>
  <c r="H31" i="4"/>
  <c r="H32" i="4" s="1"/>
  <c r="R30" i="4"/>
  <c r="R32" i="4" s="1"/>
  <c r="H36" i="4"/>
  <c r="M36" i="4"/>
  <c r="M31" i="42" s="1"/>
  <c r="AN248" i="4"/>
  <c r="H43" i="4"/>
  <c r="H248" i="4" s="1"/>
  <c r="W43" i="4"/>
  <c r="W248" i="4" s="1"/>
  <c r="AB248" i="4"/>
  <c r="AG248" i="4"/>
  <c r="AL248" i="4"/>
  <c r="O134" i="4"/>
  <c r="AI134" i="4"/>
  <c r="E132" i="4"/>
  <c r="E134" i="4" s="1"/>
  <c r="H132" i="4"/>
  <c r="Y132" i="4"/>
  <c r="Y134" i="4" s="1"/>
  <c r="AB132" i="4"/>
  <c r="CC134" i="4"/>
  <c r="CC149" i="4" s="1"/>
  <c r="CC152" i="4" s="1"/>
  <c r="CE132" i="4"/>
  <c r="CF134" i="4"/>
  <c r="L132" i="4"/>
  <c r="CH134" i="4"/>
  <c r="P132" i="4"/>
  <c r="CL134" i="4"/>
  <c r="CU134" i="4"/>
  <c r="CW134" i="4"/>
  <c r="CY132" i="4"/>
  <c r="CZ134" i="4"/>
  <c r="AF132" i="4"/>
  <c r="DB134" i="4"/>
  <c r="AJ132" i="4"/>
  <c r="DF134" i="4"/>
  <c r="G133" i="4"/>
  <c r="K133" i="4"/>
  <c r="CJ133" i="4"/>
  <c r="N133" i="4"/>
  <c r="M133" i="4" s="1"/>
  <c r="AA133" i="4"/>
  <c r="AE133" i="4"/>
  <c r="DD133" i="4"/>
  <c r="AH133" i="4"/>
  <c r="AG133" i="4" s="1"/>
  <c r="CB134" i="4"/>
  <c r="CB149" i="4" s="1"/>
  <c r="CB152" i="4" s="1"/>
  <c r="W91" i="4"/>
  <c r="T136" i="4"/>
  <c r="T139" i="4" s="1"/>
  <c r="T255" i="4" s="1"/>
  <c r="V136" i="4"/>
  <c r="X136" i="4"/>
  <c r="Z136" i="4"/>
  <c r="AD136" i="4"/>
  <c r="AF136" i="4"/>
  <c r="AH136" i="4"/>
  <c r="AJ136" i="4"/>
  <c r="CT136" i="4"/>
  <c r="DD136" i="4"/>
  <c r="DI137" i="4"/>
  <c r="F137" i="4"/>
  <c r="F139" i="4" s="1"/>
  <c r="J137" i="4"/>
  <c r="CB54" i="3" s="1"/>
  <c r="CB56" i="3" s="1"/>
  <c r="P137" i="4"/>
  <c r="R137" i="4"/>
  <c r="AB137" i="4"/>
  <c r="AL137" i="4"/>
  <c r="H144" i="4"/>
  <c r="R144" i="4"/>
  <c r="AB144" i="4"/>
  <c r="AL144" i="4"/>
  <c r="M145" i="4"/>
  <c r="W145" i="4"/>
  <c r="AG145" i="4"/>
  <c r="CT143" i="4"/>
  <c r="CT147" i="4" s="1"/>
  <c r="DD143" i="4"/>
  <c r="DD147" i="4" s="1"/>
  <c r="I150" i="4"/>
  <c r="AM158" i="4"/>
  <c r="AX158" i="4" s="1"/>
  <c r="AY158" i="4" s="1"/>
  <c r="AZ158" i="4" s="1"/>
  <c r="BA158" i="4" s="1"/>
  <c r="BB158" i="4" s="1"/>
  <c r="BC158" i="4" s="1"/>
  <c r="BD158" i="4" s="1"/>
  <c r="BE158" i="4" s="1"/>
  <c r="BF158" i="4" s="1"/>
  <c r="BG158" i="4" s="1"/>
  <c r="BH158" i="4" s="1"/>
  <c r="BI158" i="4" s="1"/>
  <c r="BJ158" i="4" s="1"/>
  <c r="BK158" i="4" s="1"/>
  <c r="BL158" i="4" s="1"/>
  <c r="BM158" i="4" s="1"/>
  <c r="BN158" i="4" s="1"/>
  <c r="BO158" i="4" s="1"/>
  <c r="BP158" i="4" s="1"/>
  <c r="BQ158" i="4" s="1"/>
  <c r="N158" i="4"/>
  <c r="N161" i="4" s="1"/>
  <c r="X158" i="4"/>
  <c r="X161" i="4" s="1"/>
  <c r="AH158" i="4"/>
  <c r="AH161" i="4" s="1"/>
  <c r="N177" i="4"/>
  <c r="N178" i="4" s="1"/>
  <c r="N183" i="4" s="1"/>
  <c r="X177" i="4"/>
  <c r="X178" i="4" s="1"/>
  <c r="X183" i="4" s="1"/>
  <c r="AH177" i="4"/>
  <c r="AH178" i="4" s="1"/>
  <c r="AH183" i="4" s="1"/>
  <c r="I158" i="4"/>
  <c r="I161" i="4" s="1"/>
  <c r="S158" i="4"/>
  <c r="S161" i="4" s="1"/>
  <c r="AC158" i="4"/>
  <c r="AC161" i="4" s="1"/>
  <c r="S201" i="4"/>
  <c r="E212" i="4"/>
  <c r="E207" i="4" s="1"/>
  <c r="G212" i="4"/>
  <c r="G207" i="4" s="1"/>
  <c r="O212" i="4"/>
  <c r="O207" i="4" s="1"/>
  <c r="Q212" i="4"/>
  <c r="Q207" i="4" s="1"/>
  <c r="X209" i="4"/>
  <c r="W212" i="4"/>
  <c r="W207" i="4" s="1"/>
  <c r="Y212" i="4"/>
  <c r="Y207" i="4" s="1"/>
  <c r="AA212" i="4"/>
  <c r="AA207" i="4" s="1"/>
  <c r="AE212" i="4"/>
  <c r="AE207" i="4" s="1"/>
  <c r="AH209" i="4"/>
  <c r="AG212" i="4"/>
  <c r="AG207" i="4" s="1"/>
  <c r="AC201" i="4"/>
  <c r="AM201" i="4"/>
  <c r="AM203" i="4" s="1"/>
  <c r="H212" i="4"/>
  <c r="H207" i="4" s="1"/>
  <c r="J212" i="4"/>
  <c r="J207" i="4" s="1"/>
  <c r="L212" i="4"/>
  <c r="L207" i="4" s="1"/>
  <c r="R212" i="4"/>
  <c r="R207" i="4" s="1"/>
  <c r="T212" i="4"/>
  <c r="T207" i="4" s="1"/>
  <c r="V212" i="4"/>
  <c r="V207" i="4" s="1"/>
  <c r="Z212" i="4"/>
  <c r="Z207" i="4" s="1"/>
  <c r="AB212" i="4"/>
  <c r="AB207" i="4" s="1"/>
  <c r="AC209" i="4"/>
  <c r="AF212" i="4"/>
  <c r="AF207" i="4" s="1"/>
  <c r="AM209" i="4"/>
  <c r="F244" i="4"/>
  <c r="P244" i="4"/>
  <c r="AB244" i="4"/>
  <c r="AA244" i="4" s="1"/>
  <c r="Z244" i="4" s="1"/>
  <c r="Y244" i="4" s="1"/>
  <c r="AV53" i="42" l="1"/>
  <c r="CU63" i="51"/>
  <c r="CY63" i="51"/>
  <c r="AV237" i="41"/>
  <c r="AV128" i="41"/>
  <c r="AW128" i="41" s="1"/>
  <c r="AT56" i="41"/>
  <c r="AS56" i="41" s="1"/>
  <c r="AU67" i="41"/>
  <c r="AU329" i="41" s="1"/>
  <c r="AU335" i="41" s="1"/>
  <c r="AU336" i="41" s="1"/>
  <c r="AU63" i="41"/>
  <c r="AU68" i="41"/>
  <c r="AU237" i="41"/>
  <c r="AU238" i="41" s="1"/>
  <c r="AU130" i="41" s="1"/>
  <c r="AY244" i="51"/>
  <c r="BB133" i="39" s="1"/>
  <c r="AU154" i="41"/>
  <c r="AU358" i="41"/>
  <c r="AL10" i="4"/>
  <c r="BK356" i="41"/>
  <c r="BK162" i="41" s="1"/>
  <c r="S172" i="4"/>
  <c r="S195" i="4" s="1"/>
  <c r="V134" i="4"/>
  <c r="V254" i="4" s="1"/>
  <c r="AG10" i="41"/>
  <c r="O92" i="39"/>
  <c r="DI134" i="4"/>
  <c r="AH193" i="4"/>
  <c r="AG134" i="4"/>
  <c r="CY38" i="3" s="1"/>
  <c r="W10" i="4"/>
  <c r="S21" i="40"/>
  <c r="S25" i="3" s="1"/>
  <c r="DP105" i="51"/>
  <c r="AD342" i="41"/>
  <c r="N203" i="4"/>
  <c r="N212" i="4" s="1"/>
  <c r="N210" i="4" s="1"/>
  <c r="J195" i="4"/>
  <c r="DO105" i="51"/>
  <c r="DN105" i="51"/>
  <c r="DE71" i="51"/>
  <c r="AD563" i="41"/>
  <c r="DF71" i="51"/>
  <c r="CT26" i="51"/>
  <c r="DB71" i="51"/>
  <c r="CY71" i="51"/>
  <c r="CV26" i="51"/>
  <c r="DD71" i="51"/>
  <c r="DA71" i="51"/>
  <c r="DC26" i="51"/>
  <c r="DD26" i="51" s="1"/>
  <c r="Z265" i="41"/>
  <c r="Z266" i="41" s="1"/>
  <c r="CZ71" i="51"/>
  <c r="DH71" i="51"/>
  <c r="DM71" i="51" s="1"/>
  <c r="DR71" i="51" s="1"/>
  <c r="CO54" i="3"/>
  <c r="CO56" i="3" s="1"/>
  <c r="CW26" i="51"/>
  <c r="AY64" i="39"/>
  <c r="AY110" i="39" s="1"/>
  <c r="Y31" i="40"/>
  <c r="Y38" i="40" s="1"/>
  <c r="AD106" i="40"/>
  <c r="AE106" i="40" s="1"/>
  <c r="AF106" i="40" s="1"/>
  <c r="AG106" i="40" s="1"/>
  <c r="AH106" i="40" s="1"/>
  <c r="AH46" i="61" s="1"/>
  <c r="CN149" i="4"/>
  <c r="AJ563" i="41"/>
  <c r="BA265" i="41"/>
  <c r="BA152" i="41" s="1"/>
  <c r="CS54" i="3"/>
  <c r="CS56" i="3" s="1"/>
  <c r="G134" i="4"/>
  <c r="G149" i="4" s="1"/>
  <c r="AB134" i="4"/>
  <c r="CT38" i="3" s="1"/>
  <c r="Y233" i="41"/>
  <c r="Y240" i="41" s="1"/>
  <c r="DD67" i="51"/>
  <c r="BJ248" i="4"/>
  <c r="BD367" i="41"/>
  <c r="BG367" i="41" s="1"/>
  <c r="BG366" i="41" s="1"/>
  <c r="AF563" i="41"/>
  <c r="DE67" i="51"/>
  <c r="DM67" i="51"/>
  <c r="DR67" i="51" s="1"/>
  <c r="Z563" i="41"/>
  <c r="AR367" i="41"/>
  <c r="AR366" i="41" s="1"/>
  <c r="I366" i="41" s="1"/>
  <c r="BC356" i="41"/>
  <c r="BC162" i="41" s="1"/>
  <c r="AH172" i="4"/>
  <c r="AH195" i="4" s="1"/>
  <c r="CJ54" i="3"/>
  <c r="CJ56" i="3" s="1"/>
  <c r="DI139" i="4"/>
  <c r="BA606" i="41"/>
  <c r="BA120" i="4" s="1"/>
  <c r="R549" i="41"/>
  <c r="M147" i="4"/>
  <c r="M256" i="4" s="1"/>
  <c r="AC110" i="39"/>
  <c r="I229" i="4"/>
  <c r="CA23" i="3" s="1"/>
  <c r="AR226" i="41"/>
  <c r="CT13" i="3"/>
  <c r="CT18" i="3" s="1"/>
  <c r="DL67" i="51"/>
  <c r="DK67" i="51"/>
  <c r="AT265" i="41"/>
  <c r="AT266" i="41" s="1"/>
  <c r="AF195" i="4"/>
  <c r="BE132" i="4"/>
  <c r="CW149" i="4"/>
  <c r="DF67" i="51"/>
  <c r="DG67" i="51"/>
  <c r="DB62" i="51"/>
  <c r="R9" i="4"/>
  <c r="R16" i="4" s="1"/>
  <c r="R22" i="4" s="1"/>
  <c r="R27" i="4" s="1"/>
  <c r="R34" i="4" s="1"/>
  <c r="DJ67" i="51"/>
  <c r="DA62" i="51"/>
  <c r="K134" i="4"/>
  <c r="K254" i="4" s="1"/>
  <c r="DB149" i="4"/>
  <c r="AM563" i="41"/>
  <c r="AM379" i="41"/>
  <c r="AE195" i="4"/>
  <c r="BJ367" i="41"/>
  <c r="Y21" i="40"/>
  <c r="U563" i="41"/>
  <c r="AL247" i="4"/>
  <c r="AA265" i="41"/>
  <c r="AA152" i="41" s="1"/>
  <c r="AX126" i="51"/>
  <c r="AW288" i="41"/>
  <c r="AW287" i="41" s="1"/>
  <c r="AC288" i="41"/>
  <c r="AC287" i="41" s="1"/>
  <c r="BT99" i="39"/>
  <c r="H134" i="4"/>
  <c r="O10" i="4"/>
  <c r="H16" i="4"/>
  <c r="H22" i="4" s="1"/>
  <c r="H27" i="4" s="1"/>
  <c r="H34" i="4" s="1"/>
  <c r="H38" i="4" s="1"/>
  <c r="CR149" i="4"/>
  <c r="CZ62" i="51"/>
  <c r="CY62" i="51"/>
  <c r="O9" i="42"/>
  <c r="O10" i="42" s="1"/>
  <c r="T66" i="40"/>
  <c r="AO108" i="51"/>
  <c r="AR581" i="41" s="1"/>
  <c r="CH149" i="4"/>
  <c r="AG171" i="39"/>
  <c r="AG180" i="39" s="1"/>
  <c r="AG175" i="39" s="1"/>
  <c r="AA171" i="41"/>
  <c r="CT62" i="51"/>
  <c r="CU62" i="51"/>
  <c r="DC62" i="51"/>
  <c r="DH62" i="51" s="1"/>
  <c r="DM62" i="51" s="1"/>
  <c r="DR62" i="51" s="1"/>
  <c r="AN108" i="51"/>
  <c r="AQ581" i="41" s="1"/>
  <c r="AQ604" i="41" s="1"/>
  <c r="V545" i="41"/>
  <c r="AA233" i="41"/>
  <c r="AA240" i="41" s="1"/>
  <c r="AA104" i="41" s="1"/>
  <c r="U19" i="4"/>
  <c r="CV62" i="51"/>
  <c r="Y466" i="41"/>
  <c r="Y448" i="41"/>
  <c r="Y450" i="41" s="1"/>
  <c r="Y107" i="41" s="1"/>
  <c r="AM161" i="4"/>
  <c r="AM172" i="4" s="1"/>
  <c r="BO31" i="4"/>
  <c r="BG213" i="41"/>
  <c r="AN265" i="41"/>
  <c r="AN266" i="41" s="1"/>
  <c r="CO139" i="4"/>
  <c r="DH149" i="4"/>
  <c r="AA195" i="4"/>
  <c r="Y58" i="40"/>
  <c r="AZ66" i="40"/>
  <c r="AD321" i="41"/>
  <c r="AA441" i="41"/>
  <c r="AQ244" i="4"/>
  <c r="AR244" i="4" s="1"/>
  <c r="CV149" i="4"/>
  <c r="N172" i="4"/>
  <c r="CT139" i="4"/>
  <c r="K195" i="4"/>
  <c r="I193" i="4"/>
  <c r="AL195" i="4"/>
  <c r="G195" i="4"/>
  <c r="CI54" i="3"/>
  <c r="CI56" i="3" s="1"/>
  <c r="AB265" i="41"/>
  <c r="AB152" i="41" s="1"/>
  <c r="AT367" i="41"/>
  <c r="BH367" i="41"/>
  <c r="BH171" i="41"/>
  <c r="R195" i="4"/>
  <c r="BU99" i="39"/>
  <c r="AC172" i="4"/>
  <c r="X21" i="40"/>
  <c r="X25" i="3" s="1"/>
  <c r="L195" i="4"/>
  <c r="CD54" i="3"/>
  <c r="CD56" i="3" s="1"/>
  <c r="AP23" i="42"/>
  <c r="AP29" i="42"/>
  <c r="AP33" i="42" s="1"/>
  <c r="BV93" i="39"/>
  <c r="BW92" i="39"/>
  <c r="I212" i="4"/>
  <c r="I207" i="4" s="1"/>
  <c r="DD139" i="4"/>
  <c r="L134" i="4"/>
  <c r="L254" i="4" s="1"/>
  <c r="R43" i="4"/>
  <c r="R248" i="4" s="1"/>
  <c r="AL110" i="39"/>
  <c r="AI106" i="40"/>
  <c r="AJ106" i="40" s="1"/>
  <c r="AK106" i="40" s="1"/>
  <c r="AL106" i="40" s="1"/>
  <c r="AM106" i="40" s="1"/>
  <c r="AM46" i="61" s="1"/>
  <c r="BJ66" i="40"/>
  <c r="BH265" i="41"/>
  <c r="BH152" i="41" s="1"/>
  <c r="CX149" i="4"/>
  <c r="AC563" i="41"/>
  <c r="O38" i="42"/>
  <c r="AG171" i="41"/>
  <c r="AR109" i="40"/>
  <c r="AR45" i="61" s="1"/>
  <c r="AQ58" i="40"/>
  <c r="DP59" i="51"/>
  <c r="AS171" i="41"/>
  <c r="AQ20" i="40"/>
  <c r="AQ20" i="42"/>
  <c r="AM628" i="41"/>
  <c r="AM623" i="41" s="1"/>
  <c r="AD322" i="41"/>
  <c r="AZ302" i="41"/>
  <c r="AZ161" i="41" s="1"/>
  <c r="AZ165" i="41" s="1"/>
  <c r="AZ130" i="41" s="1"/>
  <c r="AH171" i="41"/>
  <c r="AR379" i="41"/>
  <c r="AP171" i="41"/>
  <c r="AS275" i="41"/>
  <c r="AS265" i="41" s="1"/>
  <c r="AS264" i="41"/>
  <c r="AS160" i="41" s="1"/>
  <c r="AZ367" i="41"/>
  <c r="BB367" i="41" s="1"/>
  <c r="BB366" i="41" s="1"/>
  <c r="W9" i="42"/>
  <c r="W16" i="42" s="1"/>
  <c r="W18" i="42" s="1"/>
  <c r="W22" i="42" s="1"/>
  <c r="W23" i="42" s="1"/>
  <c r="P545" i="41"/>
  <c r="AQ461" i="41"/>
  <c r="AS356" i="41"/>
  <c r="AS162" i="41" s="1"/>
  <c r="AS367" i="41"/>
  <c r="AS564" i="41"/>
  <c r="AV126" i="51"/>
  <c r="AL108" i="51"/>
  <c r="AM108" i="51"/>
  <c r="AP581" i="41" s="1"/>
  <c r="AP604" i="41" s="1"/>
  <c r="AS64" i="41"/>
  <c r="AS63" i="41"/>
  <c r="AS420" i="41"/>
  <c r="AS67" i="41"/>
  <c r="AS401" i="41"/>
  <c r="AS68" i="41"/>
  <c r="DB132" i="51"/>
  <c r="DL258" i="51"/>
  <c r="BI46" i="51"/>
  <c r="BY258" i="51"/>
  <c r="W563" i="41"/>
  <c r="AK545" i="41"/>
  <c r="AP545" i="41"/>
  <c r="AP464" i="41"/>
  <c r="W10" i="41"/>
  <c r="AV356" i="41"/>
  <c r="BE356" i="41"/>
  <c r="BE162" i="41" s="1"/>
  <c r="BE165" i="41" s="1"/>
  <c r="BE130" i="41" s="1"/>
  <c r="BB356" i="41"/>
  <c r="BB162" i="41" s="1"/>
  <c r="BU130" i="41" s="1"/>
  <c r="AK171" i="41"/>
  <c r="AP120" i="4"/>
  <c r="AQ606" i="41"/>
  <c r="AQ120" i="4" s="1"/>
  <c r="BI380" i="41"/>
  <c r="BI383" i="41" s="1"/>
  <c r="BN379" i="41"/>
  <c r="BN380" i="41" s="1"/>
  <c r="BL560" i="41"/>
  <c r="BM560" i="41"/>
  <c r="BQ560" i="41" s="1"/>
  <c r="BO19" i="41"/>
  <c r="BM19" i="41"/>
  <c r="BN19" i="41"/>
  <c r="BP19" i="41"/>
  <c r="AP275" i="41"/>
  <c r="AP265" i="41" s="1"/>
  <c r="AP264" i="41"/>
  <c r="AP160" i="41" s="1"/>
  <c r="AP165" i="41" s="1"/>
  <c r="BA370" i="41"/>
  <c r="BI356" i="41"/>
  <c r="BI162" i="41" s="1"/>
  <c r="BI165" i="41" s="1"/>
  <c r="BI130" i="41" s="1"/>
  <c r="AX356" i="41"/>
  <c r="AX162" i="41" s="1"/>
  <c r="AX165" i="41" s="1"/>
  <c r="BA356" i="41"/>
  <c r="BA162" i="41" s="1"/>
  <c r="BA165" i="41" s="1"/>
  <c r="BA130" i="41" s="1"/>
  <c r="BF356" i="41"/>
  <c r="BF162" i="41" s="1"/>
  <c r="BF165" i="41" s="1"/>
  <c r="BF130" i="41" s="1"/>
  <c r="BA171" i="41"/>
  <c r="AY356" i="41"/>
  <c r="AY162" i="41" s="1"/>
  <c r="AY165" i="41" s="1"/>
  <c r="BE20" i="39"/>
  <c r="BJ20" i="39" s="1"/>
  <c r="BO20" i="39" s="1"/>
  <c r="BF20" i="39"/>
  <c r="BK20" i="39" s="1"/>
  <c r="BP20" i="39" s="1"/>
  <c r="BO62" i="39"/>
  <c r="DF69" i="51"/>
  <c r="AU126" i="51"/>
  <c r="AW126" i="51"/>
  <c r="AN30" i="51"/>
  <c r="AQ54" i="42" s="1"/>
  <c r="AQ71" i="42" s="1"/>
  <c r="DK70" i="51"/>
  <c r="DL70" i="51"/>
  <c r="F12" i="51"/>
  <c r="DE137" i="51"/>
  <c r="CD126" i="51"/>
  <c r="BY244" i="51"/>
  <c r="DB143" i="51"/>
  <c r="CT162" i="51"/>
  <c r="CZ146" i="51"/>
  <c r="DD137" i="51"/>
  <c r="CY100" i="51"/>
  <c r="DJ191" i="51"/>
  <c r="DL163" i="51"/>
  <c r="CY143" i="51"/>
  <c r="CW101" i="51"/>
  <c r="DE69" i="51"/>
  <c r="DJ70" i="51"/>
  <c r="DI70" i="51"/>
  <c r="CZ152" i="51"/>
  <c r="CW162" i="51"/>
  <c r="DF143" i="51"/>
  <c r="DE143" i="51"/>
  <c r="CY146" i="51"/>
  <c r="DI137" i="51"/>
  <c r="DJ137" i="51"/>
  <c r="DB69" i="51"/>
  <c r="CY69" i="51"/>
  <c r="CV96" i="51"/>
  <c r="CQ96" i="51"/>
  <c r="CW96" i="51"/>
  <c r="CR96" i="51"/>
  <c r="DA132" i="51"/>
  <c r="DJ133" i="51"/>
  <c r="CT101" i="51"/>
  <c r="CZ69" i="51"/>
  <c r="DD69" i="51"/>
  <c r="DH69" i="51"/>
  <c r="DM69" i="51" s="1"/>
  <c r="DR69" i="51" s="1"/>
  <c r="DA69" i="51"/>
  <c r="AL22" i="51"/>
  <c r="DP70" i="51"/>
  <c r="DG171" i="51"/>
  <c r="BU118" i="51"/>
  <c r="DO70" i="51"/>
  <c r="CZ199" i="51"/>
  <c r="DB190" i="51"/>
  <c r="CU102" i="51"/>
  <c r="DA101" i="51"/>
  <c r="CZ101" i="51"/>
  <c r="DN70" i="51"/>
  <c r="DR70" i="51"/>
  <c r="DI191" i="51"/>
  <c r="CY152" i="51"/>
  <c r="DJ157" i="51"/>
  <c r="CU101" i="51"/>
  <c r="CY101" i="51"/>
  <c r="DC101" i="51"/>
  <c r="DH101" i="51" s="1"/>
  <c r="DM101" i="51" s="1"/>
  <c r="DR101" i="51" s="1"/>
  <c r="CV101" i="51"/>
  <c r="AM22" i="51"/>
  <c r="AM30" i="51" s="1"/>
  <c r="AP54" i="42" s="1"/>
  <c r="AP71" i="42" s="1"/>
  <c r="CV225" i="51"/>
  <c r="DA190" i="51"/>
  <c r="CZ132" i="51"/>
  <c r="DA162" i="51"/>
  <c r="CZ162" i="51"/>
  <c r="CT146" i="51"/>
  <c r="CU146" i="51"/>
  <c r="DC146" i="51"/>
  <c r="DH146" i="51" s="1"/>
  <c r="DM146" i="51" s="1"/>
  <c r="DR146" i="51" s="1"/>
  <c r="DG137" i="51"/>
  <c r="DK137" i="51"/>
  <c r="DF137" i="51"/>
  <c r="DL137" i="51"/>
  <c r="AO30" i="51"/>
  <c r="AR54" i="42" s="1"/>
  <c r="AK22" i="51"/>
  <c r="CV98" i="51"/>
  <c r="CW85" i="51"/>
  <c r="CW225" i="51"/>
  <c r="CY174" i="51"/>
  <c r="DQ59" i="51"/>
  <c r="DQ108" i="51" s="1"/>
  <c r="BP586" i="41" s="1"/>
  <c r="BM22" i="51"/>
  <c r="BM30" i="51" s="1"/>
  <c r="BM10" i="51" s="1"/>
  <c r="BJ22" i="51"/>
  <c r="BJ30" i="51" s="1"/>
  <c r="BJ10" i="51" s="1"/>
  <c r="BL22" i="51"/>
  <c r="BL30" i="51" s="1"/>
  <c r="BL10" i="51" s="1"/>
  <c r="BK22" i="51"/>
  <c r="BK30" i="51" s="1"/>
  <c r="BK10" i="51" s="1"/>
  <c r="BN30" i="51"/>
  <c r="BN10" i="51" s="1"/>
  <c r="BM581" i="41"/>
  <c r="BM604" i="41" s="1"/>
  <c r="BJ118" i="51"/>
  <c r="BN581" i="41"/>
  <c r="BN604" i="41" s="1"/>
  <c r="BN607" i="41" s="1"/>
  <c r="BK118" i="51"/>
  <c r="CW84" i="51"/>
  <c r="DO59" i="51"/>
  <c r="BQ581" i="41"/>
  <c r="BN118" i="51"/>
  <c r="BL118" i="51"/>
  <c r="BO581" i="41"/>
  <c r="BO604" i="41" s="1"/>
  <c r="BO607" i="41" s="1"/>
  <c r="BP581" i="41"/>
  <c r="BP604" i="41" s="1"/>
  <c r="BP607" i="41" s="1"/>
  <c r="BM118" i="51"/>
  <c r="DJ163" i="51"/>
  <c r="DR163" i="51"/>
  <c r="DP163" i="51"/>
  <c r="DN163" i="51"/>
  <c r="DQ163" i="51"/>
  <c r="DO163" i="51"/>
  <c r="DL167" i="51"/>
  <c r="DR167" i="51"/>
  <c r="DP167" i="51"/>
  <c r="DN167" i="51"/>
  <c r="DQ167" i="51"/>
  <c r="DO167" i="51"/>
  <c r="DK133" i="51"/>
  <c r="DP133" i="51"/>
  <c r="DR133" i="51"/>
  <c r="DQ133" i="51" s="1"/>
  <c r="DN133" i="51"/>
  <c r="DO133" i="51"/>
  <c r="DK157" i="51"/>
  <c r="DR157" i="51"/>
  <c r="DP157" i="51"/>
  <c r="DN157" i="51"/>
  <c r="DQ157" i="51"/>
  <c r="DO157" i="51"/>
  <c r="CV84" i="51"/>
  <c r="BP14" i="4"/>
  <c r="BN14" i="4"/>
  <c r="DD191" i="51"/>
  <c r="DE191" i="51"/>
  <c r="DM191" i="51"/>
  <c r="DR191" i="51" s="1"/>
  <c r="CV100" i="51"/>
  <c r="DJ40" i="51"/>
  <c r="CY26" i="51"/>
  <c r="CW98" i="51"/>
  <c r="CV85" i="51"/>
  <c r="DI41" i="51"/>
  <c r="DQ41" i="51"/>
  <c r="DQ44" i="51" s="1"/>
  <c r="DO41" i="51"/>
  <c r="DO44" i="51" s="1"/>
  <c r="DR41" i="51"/>
  <c r="DP41" i="51"/>
  <c r="DP44" i="51" s="1"/>
  <c r="DN41" i="51"/>
  <c r="DN44" i="51" s="1"/>
  <c r="DJ255" i="51"/>
  <c r="DQ255" i="51"/>
  <c r="DQ258" i="51" s="1"/>
  <c r="DO255" i="51"/>
  <c r="DO258" i="51" s="1"/>
  <c r="DR255" i="51"/>
  <c r="DP255" i="51"/>
  <c r="DP258" i="51" s="1"/>
  <c r="DN255" i="51"/>
  <c r="DN258" i="51" s="1"/>
  <c r="DL113" i="51"/>
  <c r="DR113" i="51"/>
  <c r="DQ113" i="51" s="1"/>
  <c r="DQ116" i="51" s="1"/>
  <c r="DN113" i="51"/>
  <c r="DN116" i="51" s="1"/>
  <c r="DP113" i="51"/>
  <c r="DP116" i="51" s="1"/>
  <c r="DO113" i="51"/>
  <c r="DO116" i="51" s="1"/>
  <c r="DJ192" i="51"/>
  <c r="DN192" i="51"/>
  <c r="DR192" i="51"/>
  <c r="DQ192" i="51" s="1"/>
  <c r="DP192" i="51"/>
  <c r="DO192" i="51"/>
  <c r="CE118" i="51"/>
  <c r="CA118" i="51"/>
  <c r="BJ55" i="41"/>
  <c r="BJ53" i="41" s="1"/>
  <c r="BH58" i="39"/>
  <c r="BJ58" i="39"/>
  <c r="AY59" i="64"/>
  <c r="BA57" i="64"/>
  <c r="BO59" i="41" s="1"/>
  <c r="AZ59" i="64"/>
  <c r="BN60" i="41" s="1"/>
  <c r="AY58" i="64"/>
  <c r="AZ58" i="64"/>
  <c r="AY57" i="64"/>
  <c r="BA58" i="64"/>
  <c r="BB59" i="64"/>
  <c r="BP60" i="41" s="1"/>
  <c r="BB58" i="64"/>
  <c r="BB57" i="64"/>
  <c r="BP59" i="41" s="1"/>
  <c r="BN59" i="41"/>
  <c r="BO60" i="41"/>
  <c r="I27" i="4"/>
  <c r="I34" i="4" s="1"/>
  <c r="I38" i="4" s="1"/>
  <c r="I249" i="4" s="1"/>
  <c r="P28" i="4"/>
  <c r="I219" i="4"/>
  <c r="I235" i="4" s="1"/>
  <c r="CA28" i="3" s="1"/>
  <c r="AA27" i="4"/>
  <c r="AA34" i="4" s="1"/>
  <c r="AA38" i="4" s="1"/>
  <c r="Z22" i="42"/>
  <c r="Z29" i="42" s="1"/>
  <c r="Z33" i="42" s="1"/>
  <c r="Z37" i="42" s="1"/>
  <c r="Z44" i="42" s="1"/>
  <c r="T86" i="4"/>
  <c r="Q92" i="39"/>
  <c r="BK171" i="41"/>
  <c r="AE171" i="41"/>
  <c r="Z171" i="41"/>
  <c r="AC231" i="41"/>
  <c r="BZ118" i="51"/>
  <c r="AP309" i="41"/>
  <c r="AP64" i="41"/>
  <c r="AP310" i="41" s="1"/>
  <c r="AB233" i="41"/>
  <c r="AB240" i="41" s="1"/>
  <c r="AB104" i="41" s="1"/>
  <c r="AO171" i="41"/>
  <c r="BL171" i="41"/>
  <c r="AN171" i="41"/>
  <c r="AZ171" i="41"/>
  <c r="AT171" i="41"/>
  <c r="AO56" i="41"/>
  <c r="AN56" i="41" s="1"/>
  <c r="AP68" i="41"/>
  <c r="AP67" i="41"/>
  <c r="BE116" i="51"/>
  <c r="BH580" i="41" s="1"/>
  <c r="BH603" i="41" s="1"/>
  <c r="CC46" i="51"/>
  <c r="DE111" i="51"/>
  <c r="AI116" i="51"/>
  <c r="AL580" i="41" s="1"/>
  <c r="AL603" i="41" s="1"/>
  <c r="Y116" i="51"/>
  <c r="AB580" i="41" s="1"/>
  <c r="AB603" i="41" s="1"/>
  <c r="DF111" i="51"/>
  <c r="BC116" i="51"/>
  <c r="BF580" i="41" s="1"/>
  <c r="BF603" i="41" s="1"/>
  <c r="BA116" i="51"/>
  <c r="AG116" i="51"/>
  <c r="W116" i="51"/>
  <c r="AH116" i="51"/>
  <c r="AK580" i="41" s="1"/>
  <c r="AK603" i="41" s="1"/>
  <c r="AW116" i="51"/>
  <c r="AZ580" i="41" s="1"/>
  <c r="AZ603" i="41" s="1"/>
  <c r="AZ116" i="51"/>
  <c r="BC580" i="41" s="1"/>
  <c r="BC603" i="41" s="1"/>
  <c r="AD116" i="51"/>
  <c r="AG580" i="41" s="1"/>
  <c r="AG603" i="41" s="1"/>
  <c r="T116" i="51"/>
  <c r="AX116" i="51"/>
  <c r="BA580" i="41" s="1"/>
  <c r="BA603" i="41" s="1"/>
  <c r="Q116" i="51"/>
  <c r="V116" i="51"/>
  <c r="Y580" i="41" s="1"/>
  <c r="Y603" i="41" s="1"/>
  <c r="AC116" i="51"/>
  <c r="AF580" i="41" s="1"/>
  <c r="AF603" i="41" s="1"/>
  <c r="AB116" i="51"/>
  <c r="AE580" i="41" s="1"/>
  <c r="AE603" i="41" s="1"/>
  <c r="S116" i="51"/>
  <c r="BB116" i="51"/>
  <c r="BE580" i="41" s="1"/>
  <c r="BE603" i="41" s="1"/>
  <c r="BG116" i="51"/>
  <c r="BJ580" i="41" s="1"/>
  <c r="BJ603" i="41" s="1"/>
  <c r="AU116" i="51"/>
  <c r="BF116" i="51"/>
  <c r="BI580" i="41" s="1"/>
  <c r="BI603" i="41" s="1"/>
  <c r="AF116" i="51"/>
  <c r="AI580" i="41" s="1"/>
  <c r="AI603" i="41" s="1"/>
  <c r="X116" i="51"/>
  <c r="AA580" i="41" s="1"/>
  <c r="AA603" i="41" s="1"/>
  <c r="AA116" i="51"/>
  <c r="AD580" i="41" s="1"/>
  <c r="AD603" i="41" s="1"/>
  <c r="BH116" i="51"/>
  <c r="BK580" i="41" s="1"/>
  <c r="BK603" i="41" s="1"/>
  <c r="AV116" i="51"/>
  <c r="AY580" i="41" s="1"/>
  <c r="AY603" i="41" s="1"/>
  <c r="R116" i="51"/>
  <c r="CY199" i="51"/>
  <c r="BS46" i="51"/>
  <c r="AE118" i="51"/>
  <c r="BV118" i="51"/>
  <c r="CQ98" i="51"/>
  <c r="CR98" i="51"/>
  <c r="CQ85" i="51"/>
  <c r="CR85" i="51"/>
  <c r="CR84" i="51"/>
  <c r="CQ84" i="51"/>
  <c r="CT174" i="51"/>
  <c r="DI112" i="51"/>
  <c r="BA30" i="51"/>
  <c r="BD54" i="42" s="1"/>
  <c r="BD71" i="42" s="1"/>
  <c r="M30" i="51"/>
  <c r="CZ26" i="51"/>
  <c r="CZ30" i="51" s="1"/>
  <c r="BX118" i="51"/>
  <c r="BS118" i="51"/>
  <c r="AY118" i="51"/>
  <c r="CG118" i="51"/>
  <c r="BW118" i="51"/>
  <c r="DJ254" i="51"/>
  <c r="DK255" i="51"/>
  <c r="DB199" i="51"/>
  <c r="DF191" i="51"/>
  <c r="DL191" i="51"/>
  <c r="DG191" i="51"/>
  <c r="CV190" i="51"/>
  <c r="CW190" i="51"/>
  <c r="CW147" i="51"/>
  <c r="CY111" i="51"/>
  <c r="DI40" i="51"/>
  <c r="CT98" i="51"/>
  <c r="CO98" i="51"/>
  <c r="CU98" i="51"/>
  <c r="CP98" i="51"/>
  <c r="CT85" i="51"/>
  <c r="CO85" i="51"/>
  <c r="CU85" i="51"/>
  <c r="CP85" i="51"/>
  <c r="CU84" i="51"/>
  <c r="CP84" i="51"/>
  <c r="CT84" i="51"/>
  <c r="CO84" i="51"/>
  <c r="Q110" i="39"/>
  <c r="AD213" i="39"/>
  <c r="AE213" i="39" s="1"/>
  <c r="AF213" i="39" s="1"/>
  <c r="AG213" i="39" s="1"/>
  <c r="AH213" i="39" s="1"/>
  <c r="AP122" i="39"/>
  <c r="AP121" i="39" s="1"/>
  <c r="AO121" i="39"/>
  <c r="BH53" i="40"/>
  <c r="BH66" i="40" s="1"/>
  <c r="V66" i="40"/>
  <c r="AC56" i="40"/>
  <c r="CA46" i="51"/>
  <c r="BE311" i="41"/>
  <c r="Q10" i="42"/>
  <c r="CG11" i="51"/>
  <c r="DB111" i="51"/>
  <c r="AL9" i="42"/>
  <c r="AL10" i="42" s="1"/>
  <c r="AB563" i="41"/>
  <c r="AB171" i="41"/>
  <c r="AH545" i="41"/>
  <c r="AC171" i="41"/>
  <c r="BA331" i="41"/>
  <c r="AF10" i="42"/>
  <c r="BJ171" i="41"/>
  <c r="AO311" i="41"/>
  <c r="DJ112" i="51"/>
  <c r="AK563" i="41"/>
  <c r="T563" i="41"/>
  <c r="AZ248" i="4"/>
  <c r="O623" i="41"/>
  <c r="O626" i="41"/>
  <c r="BF25" i="41"/>
  <c r="BK25" i="41" s="1"/>
  <c r="BP25" i="41" s="1"/>
  <c r="AI628" i="41"/>
  <c r="AI623" i="41" s="1"/>
  <c r="BK606" i="41"/>
  <c r="BK120" i="4" s="1"/>
  <c r="AI563" i="41"/>
  <c r="AH563" i="41"/>
  <c r="BB379" i="41"/>
  <c r="AE339" i="41"/>
  <c r="AH339" i="41" s="1"/>
  <c r="BL302" i="41"/>
  <c r="BL161" i="41" s="1"/>
  <c r="BL165" i="41" s="1"/>
  <c r="AF302" i="41"/>
  <c r="AF161" i="41" s="1"/>
  <c r="AF165" i="41" s="1"/>
  <c r="AB441" i="41"/>
  <c r="AE545" i="41"/>
  <c r="AB453" i="41"/>
  <c r="AB155" i="41" s="1"/>
  <c r="AR302" i="41"/>
  <c r="AR161" i="41" s="1"/>
  <c r="AR165" i="41" s="1"/>
  <c r="AH10" i="42"/>
  <c r="AK265" i="41"/>
  <c r="AK152" i="41" s="1"/>
  <c r="Y171" i="41"/>
  <c r="AE311" i="41"/>
  <c r="BJ265" i="41"/>
  <c r="BJ152" i="41" s="1"/>
  <c r="AA563" i="41"/>
  <c r="AB302" i="41"/>
  <c r="AB161" i="41" s="1"/>
  <c r="AB165" i="41" s="1"/>
  <c r="AG165" i="41"/>
  <c r="BD302" i="41"/>
  <c r="BD161" i="41" s="1"/>
  <c r="BD165" i="41" s="1"/>
  <c r="BD130" i="41" s="1"/>
  <c r="AJ545" i="41"/>
  <c r="AO545" i="41"/>
  <c r="BU129" i="41"/>
  <c r="AC545" i="41"/>
  <c r="AL555" i="41"/>
  <c r="AL563" i="41" s="1"/>
  <c r="CH62" i="72"/>
  <c r="CH63" i="72" s="1"/>
  <c r="AN563" i="41"/>
  <c r="BD223" i="41"/>
  <c r="BD240" i="41" s="1"/>
  <c r="BD104" i="41" s="1"/>
  <c r="BC223" i="41"/>
  <c r="BC240" i="41" s="1"/>
  <c r="BC104" i="41" s="1"/>
  <c r="AY223" i="41"/>
  <c r="AC10" i="42"/>
  <c r="AT223" i="41"/>
  <c r="AZ223" i="41"/>
  <c r="BF223" i="41"/>
  <c r="BF240" i="41" s="1"/>
  <c r="BF104" i="41" s="1"/>
  <c r="BE223" i="41"/>
  <c r="BE240" i="41" s="1"/>
  <c r="BE104" i="41" s="1"/>
  <c r="BA223" i="41"/>
  <c r="BX9" i="64"/>
  <c r="BG83" i="40"/>
  <c r="BF83" i="40" s="1"/>
  <c r="BF96" i="40" s="1"/>
  <c r="AZ48" i="40"/>
  <c r="AZ8" i="40" s="1"/>
  <c r="BE55" i="41"/>
  <c r="BF53" i="41"/>
  <c r="BJ59" i="41"/>
  <c r="BK59" i="41"/>
  <c r="U46" i="51"/>
  <c r="DL40" i="51"/>
  <c r="DK40" i="51"/>
  <c r="CB46" i="51"/>
  <c r="DD40" i="51"/>
  <c r="DD44" i="51" s="1"/>
  <c r="DE40" i="51"/>
  <c r="DM40" i="51"/>
  <c r="DR40" i="51" s="1"/>
  <c r="DF40" i="51"/>
  <c r="U134" i="4"/>
  <c r="U254" i="4" s="1"/>
  <c r="AL134" i="4"/>
  <c r="DD38" i="3" s="1"/>
  <c r="AA134" i="4"/>
  <c r="CS38" i="3" s="1"/>
  <c r="AF134" i="4"/>
  <c r="CX38" i="3" s="1"/>
  <c r="Q134" i="4"/>
  <c r="CI38" i="3" s="1"/>
  <c r="Q139" i="4"/>
  <c r="Q255" i="4" s="1"/>
  <c r="AL124" i="4"/>
  <c r="Z134" i="4"/>
  <c r="CR38" i="3" s="1"/>
  <c r="CY44" i="3"/>
  <c r="DD44" i="3"/>
  <c r="DJ113" i="51"/>
  <c r="CC118" i="51"/>
  <c r="BB84" i="41"/>
  <c r="AX85" i="41"/>
  <c r="BB85" i="41" s="1"/>
  <c r="DI255" i="51"/>
  <c r="BZ260" i="51"/>
  <c r="DB174" i="51"/>
  <c r="DD171" i="51"/>
  <c r="CU162" i="51"/>
  <c r="CY162" i="51"/>
  <c r="DC162" i="51"/>
  <c r="DH162" i="51" s="1"/>
  <c r="DM162" i="51" s="1"/>
  <c r="DR162" i="51" s="1"/>
  <c r="CV162" i="51"/>
  <c r="DL157" i="51"/>
  <c r="CV147" i="51"/>
  <c r="CZ143" i="51"/>
  <c r="DD143" i="51"/>
  <c r="DH143" i="51"/>
  <c r="DM143" i="51" s="1"/>
  <c r="DR143" i="51" s="1"/>
  <c r="DA143" i="51"/>
  <c r="CV146" i="51"/>
  <c r="DB146" i="51"/>
  <c r="CW146" i="51"/>
  <c r="BS260" i="51"/>
  <c r="CF260" i="51"/>
  <c r="BU10" i="51"/>
  <c r="CB260" i="51"/>
  <c r="DL133" i="51"/>
  <c r="BQ10" i="51"/>
  <c r="BK58" i="39"/>
  <c r="BK85" i="39" s="1"/>
  <c r="BA85" i="39"/>
  <c r="BI58" i="39"/>
  <c r="AZ58" i="39"/>
  <c r="AY58" i="39"/>
  <c r="AI10" i="42"/>
  <c r="Y22" i="42"/>
  <c r="Y29" i="42" s="1"/>
  <c r="Y33" i="42" s="1"/>
  <c r="Y37" i="42" s="1"/>
  <c r="CI95" i="64"/>
  <c r="CE260" i="51"/>
  <c r="AG311" i="41"/>
  <c r="CG260" i="51"/>
  <c r="AG68" i="41"/>
  <c r="AG400" i="41" s="1"/>
  <c r="AQ311" i="41"/>
  <c r="BR260" i="51"/>
  <c r="CC260" i="51"/>
  <c r="CC10" i="51"/>
  <c r="BM129" i="64"/>
  <c r="BI129" i="64"/>
  <c r="CK95" i="64"/>
  <c r="CI96" i="64"/>
  <c r="CT93" i="64"/>
  <c r="CJ97" i="64"/>
  <c r="AJ10" i="42"/>
  <c r="AM10" i="42"/>
  <c r="DK254" i="51"/>
  <c r="BY86" i="39"/>
  <c r="BY78" i="39"/>
  <c r="BI65" i="39"/>
  <c r="BH65" i="39" s="1"/>
  <c r="BH114" i="39" s="1"/>
  <c r="BD14" i="39"/>
  <c r="AH22" i="42"/>
  <c r="AH23" i="42" s="1"/>
  <c r="CZ253" i="51"/>
  <c r="BE62" i="39"/>
  <c r="BD64" i="39"/>
  <c r="BD110" i="39" s="1"/>
  <c r="AY14" i="39"/>
  <c r="AX14" i="39" s="1"/>
  <c r="CY253" i="51"/>
  <c r="T110" i="39"/>
  <c r="AZ62" i="39"/>
  <c r="V10" i="42"/>
  <c r="AK10" i="42"/>
  <c r="S10" i="42"/>
  <c r="DH253" i="51"/>
  <c r="DM253" i="51" s="1"/>
  <c r="DR253" i="51" s="1"/>
  <c r="Y85" i="4"/>
  <c r="CQ45" i="3" s="1"/>
  <c r="BD65" i="39"/>
  <c r="BC65" i="39" s="1"/>
  <c r="BC114" i="39" s="1"/>
  <c r="BI54" i="40"/>
  <c r="BH54" i="40" s="1"/>
  <c r="BH69" i="40" s="1"/>
  <c r="BN129" i="64"/>
  <c r="AY331" i="41"/>
  <c r="BZ96" i="64"/>
  <c r="CV98" i="64"/>
  <c r="BZ98" i="64"/>
  <c r="CB95" i="64"/>
  <c r="CQ98" i="64"/>
  <c r="CP96" i="64"/>
  <c r="CF98" i="64"/>
  <c r="CI97" i="64"/>
  <c r="CS94" i="64"/>
  <c r="CI98" i="64"/>
  <c r="CA96" i="64"/>
  <c r="CR94" i="64"/>
  <c r="CT94" i="64"/>
  <c r="CL93" i="64"/>
  <c r="CB97" i="64"/>
  <c r="DA22" i="51"/>
  <c r="DC22" i="51"/>
  <c r="DH22" i="51" s="1"/>
  <c r="DM22" i="51" s="1"/>
  <c r="DR22" i="51" s="1"/>
  <c r="CY22" i="51"/>
  <c r="DB22" i="51"/>
  <c r="AX30" i="51"/>
  <c r="BA54" i="42" s="1"/>
  <c r="BA71" i="42" s="1"/>
  <c r="AD30" i="51"/>
  <c r="AG54" i="42" s="1"/>
  <c r="AG71" i="42" s="1"/>
  <c r="U10" i="51"/>
  <c r="BX46" i="51"/>
  <c r="BW260" i="51"/>
  <c r="AT46" i="51"/>
  <c r="BR46" i="51"/>
  <c r="BQ260" i="51"/>
  <c r="CV22" i="51"/>
  <c r="CP22" i="51"/>
  <c r="S22" i="42"/>
  <c r="S29" i="42" s="1"/>
  <c r="S33" i="42" s="1"/>
  <c r="S37" i="42" s="1"/>
  <c r="AD10" i="42"/>
  <c r="AE10" i="42"/>
  <c r="AB27" i="42"/>
  <c r="CK93" i="64"/>
  <c r="BY97" i="64"/>
  <c r="CM93" i="64"/>
  <c r="CB96" i="64"/>
  <c r="CP98" i="64"/>
  <c r="CC94" i="64"/>
  <c r="CJ95" i="64"/>
  <c r="CR97" i="64"/>
  <c r="CB94" i="64"/>
  <c r="CO97" i="64"/>
  <c r="CD94" i="64"/>
  <c r="CR96" i="64"/>
  <c r="CD93" i="64"/>
  <c r="CK94" i="64"/>
  <c r="CR95" i="64"/>
  <c r="CA98" i="64"/>
  <c r="CQ96" i="64"/>
  <c r="P563" i="41"/>
  <c r="M10" i="42"/>
  <c r="Z46" i="51"/>
  <c r="AL171" i="41"/>
  <c r="AX265" i="41"/>
  <c r="AX266" i="41" s="1"/>
  <c r="R20" i="42"/>
  <c r="CG46" i="51"/>
  <c r="AR288" i="41"/>
  <c r="AR287" i="41" s="1"/>
  <c r="AM367" i="41"/>
  <c r="AM366" i="41" s="1"/>
  <c r="AB133" i="39"/>
  <c r="AB156" i="39" s="1"/>
  <c r="AG545" i="41"/>
  <c r="BW11" i="51"/>
  <c r="CA260" i="51"/>
  <c r="BT260" i="51"/>
  <c r="BQ46" i="51"/>
  <c r="BR118" i="51"/>
  <c r="CH46" i="51"/>
  <c r="BU260" i="51"/>
  <c r="AI626" i="41"/>
  <c r="AH367" i="41"/>
  <c r="AH366" i="41" s="1"/>
  <c r="Q626" i="41"/>
  <c r="F134" i="4"/>
  <c r="F149" i="4" s="1"/>
  <c r="BI171" i="41"/>
  <c r="CY13" i="3"/>
  <c r="CY18" i="3" s="1"/>
  <c r="DD134" i="4"/>
  <c r="CJ134" i="4"/>
  <c r="CJ149" i="4" s="1"/>
  <c r="DF149" i="4"/>
  <c r="DE149" i="4"/>
  <c r="AH149" i="4" s="1"/>
  <c r="T254" i="4"/>
  <c r="M16" i="4"/>
  <c r="M22" i="4" s="1"/>
  <c r="M28" i="4" s="1"/>
  <c r="BD53" i="40"/>
  <c r="BD66" i="40" s="1"/>
  <c r="J21" i="40"/>
  <c r="AB20" i="40"/>
  <c r="AB21" i="40" s="1"/>
  <c r="BB560" i="41"/>
  <c r="AD438" i="41"/>
  <c r="AD441" i="41" s="1"/>
  <c r="Y357" i="41"/>
  <c r="Y358" i="41" s="1"/>
  <c r="AW231" i="41"/>
  <c r="Z221" i="41"/>
  <c r="Z223" i="41" s="1"/>
  <c r="AC223" i="41" s="1"/>
  <c r="BB288" i="41"/>
  <c r="BB287" i="41" s="1"/>
  <c r="P10" i="42"/>
  <c r="CH96" i="64"/>
  <c r="CC93" i="64"/>
  <c r="CS93" i="64"/>
  <c r="CJ94" i="64"/>
  <c r="CA95" i="64"/>
  <c r="CQ95" i="64"/>
  <c r="CG97" i="64"/>
  <c r="CW97" i="64"/>
  <c r="CN98" i="64"/>
  <c r="CE93" i="64"/>
  <c r="CU93" i="64"/>
  <c r="CL94" i="64"/>
  <c r="CC95" i="64"/>
  <c r="CS95" i="64"/>
  <c r="CJ96" i="64"/>
  <c r="CA97" i="64"/>
  <c r="CQ97" i="64"/>
  <c r="CH98" i="64"/>
  <c r="BZ93" i="64"/>
  <c r="CH93" i="64"/>
  <c r="CP93" i="64"/>
  <c r="BY94" i="64"/>
  <c r="CG94" i="64"/>
  <c r="CO94" i="64"/>
  <c r="CW94" i="64"/>
  <c r="CF95" i="64"/>
  <c r="CN95" i="64"/>
  <c r="CV95" i="64"/>
  <c r="CF97" i="64"/>
  <c r="CN97" i="64"/>
  <c r="CV97" i="64"/>
  <c r="CE98" i="64"/>
  <c r="CM98" i="64"/>
  <c r="CU98" i="64"/>
  <c r="CU96" i="64"/>
  <c r="CM96" i="64"/>
  <c r="CE96" i="64"/>
  <c r="DG254" i="51"/>
  <c r="DD254" i="51"/>
  <c r="DE253" i="51"/>
  <c r="DD253" i="51"/>
  <c r="CT152" i="51"/>
  <c r="CU152" i="51"/>
  <c r="DC152" i="51"/>
  <c r="DH152" i="51" s="1"/>
  <c r="DM152" i="51" s="1"/>
  <c r="DR152" i="51" s="1"/>
  <c r="DB147" i="51"/>
  <c r="DA147" i="51"/>
  <c r="DI113" i="51"/>
  <c r="DK171" i="51"/>
  <c r="DJ171" i="51"/>
  <c r="CU100" i="51"/>
  <c r="DC100" i="51"/>
  <c r="DH100" i="51" s="1"/>
  <c r="DM100" i="51" s="1"/>
  <c r="DR100" i="51" s="1"/>
  <c r="DB100" i="51"/>
  <c r="BR10" i="51"/>
  <c r="CG10" i="51"/>
  <c r="BV46" i="51"/>
  <c r="N16" i="42"/>
  <c r="N18" i="42" s="1"/>
  <c r="N22" i="42" s="1"/>
  <c r="N29" i="42" s="1"/>
  <c r="N33" i="42" s="1"/>
  <c r="N37" i="42" s="1"/>
  <c r="N44" i="42" s="1"/>
  <c r="BB213" i="41"/>
  <c r="H64" i="4"/>
  <c r="BW46" i="51"/>
  <c r="V563" i="41"/>
  <c r="AJ165" i="41"/>
  <c r="AK134" i="4"/>
  <c r="DC38" i="3" s="1"/>
  <c r="CR22" i="51"/>
  <c r="CO22" i="51"/>
  <c r="N193" i="4"/>
  <c r="AE134" i="4"/>
  <c r="CW38" i="3" s="1"/>
  <c r="AJ134" i="4"/>
  <c r="DB38" i="3" s="1"/>
  <c r="CY134" i="4"/>
  <c r="CL149" i="4"/>
  <c r="BG560" i="41"/>
  <c r="X545" i="41"/>
  <c r="Z10" i="42"/>
  <c r="CT96" i="64"/>
  <c r="CD96" i="64"/>
  <c r="CG93" i="64"/>
  <c r="CW93" i="64"/>
  <c r="CN94" i="64"/>
  <c r="CE95" i="64"/>
  <c r="CU95" i="64"/>
  <c r="CK97" i="64"/>
  <c r="CB98" i="64"/>
  <c r="CR98" i="64"/>
  <c r="CI93" i="64"/>
  <c r="BZ94" i="64"/>
  <c r="CP94" i="64"/>
  <c r="CG95" i="64"/>
  <c r="CW95" i="64"/>
  <c r="CN96" i="64"/>
  <c r="CE97" i="64"/>
  <c r="CU97" i="64"/>
  <c r="CL98" i="64"/>
  <c r="CB93" i="64"/>
  <c r="CJ93" i="64"/>
  <c r="CR93" i="64"/>
  <c r="CA94" i="64"/>
  <c r="CI94" i="64"/>
  <c r="CQ94" i="64"/>
  <c r="BZ95" i="64"/>
  <c r="CH95" i="64"/>
  <c r="CP95" i="64"/>
  <c r="BZ97" i="64"/>
  <c r="CH97" i="64"/>
  <c r="CP97" i="64"/>
  <c r="BY98" i="64"/>
  <c r="CG98" i="64"/>
  <c r="CO98" i="64"/>
  <c r="CW98" i="64"/>
  <c r="CS96" i="64"/>
  <c r="CK96" i="64"/>
  <c r="CC96" i="64"/>
  <c r="DI254" i="51"/>
  <c r="DF254" i="51"/>
  <c r="DG253" i="51"/>
  <c r="DF253" i="51"/>
  <c r="CM244" i="51"/>
  <c r="CJ244" i="51"/>
  <c r="AK133" i="39"/>
  <c r="AK156" i="39" s="1"/>
  <c r="CV152" i="51"/>
  <c r="CW152" i="51"/>
  <c r="CT147" i="51"/>
  <c r="CU147" i="51"/>
  <c r="DC147" i="51"/>
  <c r="DH147" i="51" s="1"/>
  <c r="DM147" i="51" s="1"/>
  <c r="DR147" i="51" s="1"/>
  <c r="DK113" i="51"/>
  <c r="DE171" i="51"/>
  <c r="DM171" i="51"/>
  <c r="DR171" i="51" s="1"/>
  <c r="DL171" i="51"/>
  <c r="CW100" i="51"/>
  <c r="CT100" i="51"/>
  <c r="AD22" i="42"/>
  <c r="AD23" i="42" s="1"/>
  <c r="BG171" i="41"/>
  <c r="AQ171" i="41"/>
  <c r="AM178" i="4"/>
  <c r="AM183" i="4" s="1"/>
  <c r="AM193" i="4" s="1"/>
  <c r="DD54" i="3"/>
  <c r="DD56" i="3" s="1"/>
  <c r="M134" i="4"/>
  <c r="M254" i="4" s="1"/>
  <c r="AG10" i="4"/>
  <c r="W134" i="4"/>
  <c r="W254" i="4" s="1"/>
  <c r="AL178" i="39"/>
  <c r="AL214" i="39" s="1"/>
  <c r="AC193" i="39"/>
  <c r="AG563" i="41"/>
  <c r="T10" i="42"/>
  <c r="CL96" i="64"/>
  <c r="BY93" i="64"/>
  <c r="CO93" i="64"/>
  <c r="CF94" i="64"/>
  <c r="CV94" i="64"/>
  <c r="CM95" i="64"/>
  <c r="CC97" i="64"/>
  <c r="CS97" i="64"/>
  <c r="CJ98" i="64"/>
  <c r="CA93" i="64"/>
  <c r="CQ93" i="64"/>
  <c r="CH94" i="64"/>
  <c r="BY95" i="64"/>
  <c r="CO95" i="64"/>
  <c r="CF96" i="64"/>
  <c r="CV96" i="64"/>
  <c r="CM97" i="64"/>
  <c r="CD98" i="64"/>
  <c r="CT98" i="64"/>
  <c r="CF93" i="64"/>
  <c r="CN93" i="64"/>
  <c r="CV93" i="64"/>
  <c r="CE94" i="64"/>
  <c r="CM94" i="64"/>
  <c r="CU94" i="64"/>
  <c r="CD95" i="64"/>
  <c r="CL95" i="64"/>
  <c r="CT95" i="64"/>
  <c r="CD97" i="64"/>
  <c r="CL97" i="64"/>
  <c r="CT97" i="64"/>
  <c r="CC98" i="64"/>
  <c r="CK98" i="64"/>
  <c r="CS98" i="64"/>
  <c r="CW96" i="64"/>
  <c r="CO96" i="64"/>
  <c r="CG96" i="64"/>
  <c r="DE254" i="51"/>
  <c r="DM254" i="51"/>
  <c r="DR254" i="51" s="1"/>
  <c r="DA253" i="51"/>
  <c r="AY132" i="39"/>
  <c r="AY155" i="39" s="1"/>
  <c r="DB152" i="51"/>
  <c r="CZ147" i="51"/>
  <c r="DI171" i="51"/>
  <c r="BT10" i="51"/>
  <c r="DA100" i="51"/>
  <c r="Z10" i="51"/>
  <c r="AE22" i="42"/>
  <c r="AE29" i="42" s="1"/>
  <c r="AE33" i="42" s="1"/>
  <c r="AG27" i="42"/>
  <c r="AL545" i="41"/>
  <c r="AM213" i="41"/>
  <c r="AG20" i="42"/>
  <c r="BV260" i="51"/>
  <c r="U118" i="51"/>
  <c r="CE46" i="51"/>
  <c r="AX44" i="51"/>
  <c r="BA53" i="42" s="1"/>
  <c r="BA70" i="42" s="1"/>
  <c r="AK302" i="41"/>
  <c r="AK161" i="41" s="1"/>
  <c r="AK165" i="41" s="1"/>
  <c r="AH288" i="41"/>
  <c r="AH287" i="41" s="1"/>
  <c r="BK133" i="39"/>
  <c r="BK156" i="39" s="1"/>
  <c r="BQ118" i="51"/>
  <c r="AC438" i="41"/>
  <c r="CU22" i="51"/>
  <c r="BE248" i="4"/>
  <c r="CW22" i="51"/>
  <c r="CQ22" i="51"/>
  <c r="CT22" i="51"/>
  <c r="O27" i="4"/>
  <c r="O34" i="4" s="1"/>
  <c r="O38" i="4" s="1"/>
  <c r="O42" i="4" s="1"/>
  <c r="BJ62" i="39"/>
  <c r="Y563" i="41"/>
  <c r="Y10" i="42"/>
  <c r="BO129" i="64"/>
  <c r="BK129" i="64"/>
  <c r="AG132" i="39"/>
  <c r="AG155" i="39" s="1"/>
  <c r="X193" i="4"/>
  <c r="AB147" i="4"/>
  <c r="CO134" i="4"/>
  <c r="S92" i="39"/>
  <c r="BI14" i="39"/>
  <c r="BH14" i="39" s="1"/>
  <c r="BM62" i="39" s="1"/>
  <c r="AG9" i="42"/>
  <c r="AG16" i="42" s="1"/>
  <c r="AG18" i="42" s="1"/>
  <c r="AK628" i="41"/>
  <c r="AK623" i="41" s="1"/>
  <c r="Y453" i="41"/>
  <c r="Y155" i="41" s="1"/>
  <c r="Y441" i="41"/>
  <c r="T545" i="41"/>
  <c r="Z357" i="41"/>
  <c r="Z154" i="41" s="1"/>
  <c r="AY275" i="41"/>
  <c r="AY265" i="41" s="1"/>
  <c r="AR283" i="41"/>
  <c r="AW283" i="41" s="1"/>
  <c r="AI275" i="41"/>
  <c r="AI265" i="41" s="1"/>
  <c r="X10" i="42"/>
  <c r="U10" i="42"/>
  <c r="BP260" i="51"/>
  <c r="CT225" i="51"/>
  <c r="CU225" i="51"/>
  <c r="DC225" i="51"/>
  <c r="DH225" i="51" s="1"/>
  <c r="DM225" i="51" s="1"/>
  <c r="DR225" i="51" s="1"/>
  <c r="CT190" i="51"/>
  <c r="CU190" i="51"/>
  <c r="DC190" i="51"/>
  <c r="DH190" i="51" s="1"/>
  <c r="DM190" i="51" s="1"/>
  <c r="DR190" i="51" s="1"/>
  <c r="DI163" i="51"/>
  <c r="DD111" i="51"/>
  <c r="DA111" i="51"/>
  <c r="DF112" i="51"/>
  <c r="DG112" i="51"/>
  <c r="BH30" i="51"/>
  <c r="BK54" i="42" s="1"/>
  <c r="BK71" i="42" s="1"/>
  <c r="T30" i="51"/>
  <c r="AE46" i="51"/>
  <c r="DA39" i="51"/>
  <c r="DG26" i="51"/>
  <c r="DF26" i="51"/>
  <c r="DF30" i="51" s="1"/>
  <c r="BF265" i="41"/>
  <c r="BF266" i="41" s="1"/>
  <c r="AC193" i="4"/>
  <c r="AW44" i="51"/>
  <c r="AZ53" i="42" s="1"/>
  <c r="AZ70" i="42" s="1"/>
  <c r="AA44" i="51"/>
  <c r="AD53" i="42" s="1"/>
  <c r="AD70" i="42" s="1"/>
  <c r="I172" i="4"/>
  <c r="X172" i="4"/>
  <c r="CH54" i="3"/>
  <c r="CH56" i="3" s="1"/>
  <c r="V139" i="4"/>
  <c r="V255" i="4" s="1"/>
  <c r="P134" i="4"/>
  <c r="CH38" i="3" s="1"/>
  <c r="CE134" i="4"/>
  <c r="CE149" i="4" s="1"/>
  <c r="CE152" i="4" s="1"/>
  <c r="CT134" i="4"/>
  <c r="CK149" i="4"/>
  <c r="N149" i="4" s="1"/>
  <c r="AY65" i="39"/>
  <c r="AX65" i="39" s="1"/>
  <c r="AX114" i="39" s="1"/>
  <c r="AH69" i="40"/>
  <c r="AH54" i="40" s="1"/>
  <c r="T549" i="41"/>
  <c r="AG283" i="41"/>
  <c r="AF283" i="41" s="1"/>
  <c r="CZ225" i="51"/>
  <c r="CY225" i="51"/>
  <c r="CZ190" i="51"/>
  <c r="CZ111" i="51"/>
  <c r="DH111" i="51"/>
  <c r="DM111" i="51" s="1"/>
  <c r="DR111" i="51" s="1"/>
  <c r="DL112" i="51"/>
  <c r="DK112" i="51"/>
  <c r="DC102" i="51"/>
  <c r="DH102" i="51" s="1"/>
  <c r="DM102" i="51" s="1"/>
  <c r="DR102" i="51" s="1"/>
  <c r="DA26" i="51"/>
  <c r="DB26" i="51"/>
  <c r="V195" i="4"/>
  <c r="BI64" i="39"/>
  <c r="BI110" i="39" s="1"/>
  <c r="DB225" i="51"/>
  <c r="DD112" i="51"/>
  <c r="DE112" i="51"/>
  <c r="AG30" i="51"/>
  <c r="AJ54" i="42" s="1"/>
  <c r="AJ71" i="42" s="1"/>
  <c r="DE26" i="51"/>
  <c r="DE30" i="51" s="1"/>
  <c r="CH260" i="51"/>
  <c r="CF118" i="51"/>
  <c r="P29" i="42"/>
  <c r="P33" i="42" s="1"/>
  <c r="P37" i="42" s="1"/>
  <c r="P39" i="42" s="1"/>
  <c r="P45" i="42" s="1"/>
  <c r="DG149" i="4"/>
  <c r="BV11" i="51"/>
  <c r="R544" i="41"/>
  <c r="W545" i="41" s="1"/>
  <c r="BB171" i="41"/>
  <c r="BH44" i="51"/>
  <c r="BK53" i="42" s="1"/>
  <c r="BK70" i="42" s="1"/>
  <c r="Z453" i="41"/>
  <c r="Z155" i="41" s="1"/>
  <c r="Q563" i="41"/>
  <c r="O195" i="4"/>
  <c r="I16" i="42"/>
  <c r="I18" i="42" s="1"/>
  <c r="I22" i="42" s="1"/>
  <c r="I29" i="42" s="1"/>
  <c r="I33" i="42" s="1"/>
  <c r="I37" i="42" s="1"/>
  <c r="W195" i="4"/>
  <c r="R31" i="42"/>
  <c r="L21" i="4"/>
  <c r="L23" i="4" s="1"/>
  <c r="L252" i="4"/>
  <c r="L22" i="42"/>
  <c r="L23" i="42" s="1"/>
  <c r="AL210" i="4"/>
  <c r="H195" i="4"/>
  <c r="AF311" i="41"/>
  <c r="AG19" i="4"/>
  <c r="AH19" i="4" s="1"/>
  <c r="AG21" i="41"/>
  <c r="AG28" i="41" s="1"/>
  <c r="AG265" i="41"/>
  <c r="AG152" i="41" s="1"/>
  <c r="AF171" i="41"/>
  <c r="BE171" i="41"/>
  <c r="AA64" i="41"/>
  <c r="AA310" i="41" s="1"/>
  <c r="AZ265" i="41"/>
  <c r="AZ152" i="41" s="1"/>
  <c r="AE563" i="41"/>
  <c r="CY54" i="3"/>
  <c r="CY56" i="3" s="1"/>
  <c r="Y545" i="41"/>
  <c r="BE265" i="41"/>
  <c r="BE266" i="41" s="1"/>
  <c r="AJ171" i="41"/>
  <c r="AY11" i="51"/>
  <c r="BB91" i="4" s="1"/>
  <c r="AM44" i="51"/>
  <c r="AP53" i="42" s="1"/>
  <c r="AP70" i="42" s="1"/>
  <c r="AC367" i="41"/>
  <c r="AC366" i="41" s="1"/>
  <c r="BD171" i="41"/>
  <c r="BF171" i="41"/>
  <c r="R8" i="42"/>
  <c r="BR40" i="64"/>
  <c r="AF319" i="41"/>
  <c r="AH319" i="41" s="1"/>
  <c r="AJ195" i="4"/>
  <c r="P195" i="4"/>
  <c r="AQ264" i="41"/>
  <c r="AQ160" i="41" s="1"/>
  <c r="AQ165" i="41" s="1"/>
  <c r="P92" i="39"/>
  <c r="AX171" i="41"/>
  <c r="W21" i="41"/>
  <c r="W22" i="41" s="1"/>
  <c r="W19" i="4"/>
  <c r="AI132" i="39"/>
  <c r="AI155" i="39" s="1"/>
  <c r="CC11" i="51"/>
  <c r="M27" i="42"/>
  <c r="BT46" i="51"/>
  <c r="AX58" i="39"/>
  <c r="CW54" i="3"/>
  <c r="CW56" i="3" s="1"/>
  <c r="AV302" i="41"/>
  <c r="AM165" i="41"/>
  <c r="CU63" i="3"/>
  <c r="BV10" i="51"/>
  <c r="U11" i="51"/>
  <c r="BQ11" i="51"/>
  <c r="AJ319" i="41"/>
  <c r="AM319" i="41" s="1"/>
  <c r="U195" i="4"/>
  <c r="AK139" i="4"/>
  <c r="BS10" i="51"/>
  <c r="AP30" i="51"/>
  <c r="L30" i="51"/>
  <c r="AL165" i="41"/>
  <c r="BH302" i="41"/>
  <c r="BH161" i="41" s="1"/>
  <c r="BH165" i="41" s="1"/>
  <c r="BH130" i="41" s="1"/>
  <c r="CT63" i="3"/>
  <c r="AQ30" i="51"/>
  <c r="CF11" i="51"/>
  <c r="AC22" i="42"/>
  <c r="AC23" i="42" s="1"/>
  <c r="AA139" i="4"/>
  <c r="AN302" i="41"/>
  <c r="AN161" i="41" s="1"/>
  <c r="AN165" i="41" s="1"/>
  <c r="AR171" i="41"/>
  <c r="AD171" i="41"/>
  <c r="E149" i="4"/>
  <c r="E152" i="4" s="1"/>
  <c r="F150" i="4" s="1"/>
  <c r="BG288" i="41"/>
  <c r="BG287" i="41" s="1"/>
  <c r="V110" i="39"/>
  <c r="AA545" i="41"/>
  <c r="AA406" i="41"/>
  <c r="AE438" i="41"/>
  <c r="AE441" i="41" s="1"/>
  <c r="AR213" i="41"/>
  <c r="CB11" i="51"/>
  <c r="CF10" i="51"/>
  <c r="BU46" i="51"/>
  <c r="CA10" i="51"/>
  <c r="CE10" i="51"/>
  <c r="BP118" i="51"/>
  <c r="CF46" i="51"/>
  <c r="Q44" i="51"/>
  <c r="BW10" i="51"/>
  <c r="BL288" i="41"/>
  <c r="BL287" i="41" s="1"/>
  <c r="BI138" i="4"/>
  <c r="EA54" i="3" s="1"/>
  <c r="EA56" i="3" s="1"/>
  <c r="BK94" i="41"/>
  <c r="BK95" i="41"/>
  <c r="BK311" i="41" s="1"/>
  <c r="BK93" i="41"/>
  <c r="AW213" i="41"/>
  <c r="CH10" i="51"/>
  <c r="BP46" i="51"/>
  <c r="BP10" i="51"/>
  <c r="AB291" i="41"/>
  <c r="AA283" i="41"/>
  <c r="Z283" i="41" s="1"/>
  <c r="BX10" i="51"/>
  <c r="BX260" i="51"/>
  <c r="DK41" i="51"/>
  <c r="DJ41" i="51"/>
  <c r="DL41" i="51"/>
  <c r="CB118" i="51"/>
  <c r="CB10" i="51"/>
  <c r="AH581" i="41"/>
  <c r="AE10" i="51"/>
  <c r="AY46" i="51"/>
  <c r="BB54" i="42"/>
  <c r="BK275" i="41"/>
  <c r="BK265" i="41" s="1"/>
  <c r="BK152" i="41" s="1"/>
  <c r="BK264" i="41"/>
  <c r="BK160" i="41" s="1"/>
  <c r="BK165" i="41" s="1"/>
  <c r="BK130" i="41" s="1"/>
  <c r="BC275" i="41"/>
  <c r="BC264" i="41"/>
  <c r="BC160" i="41" s="1"/>
  <c r="AE275" i="41"/>
  <c r="AH275" i="41" s="1"/>
  <c r="AH274" i="41" s="1"/>
  <c r="AE264" i="41"/>
  <c r="AE160" i="41" s="1"/>
  <c r="AE165" i="41" s="1"/>
  <c r="M138" i="4"/>
  <c r="CF54" i="3"/>
  <c r="DI192" i="51"/>
  <c r="DK192" i="51"/>
  <c r="DI167" i="51"/>
  <c r="DK167" i="51"/>
  <c r="DC132" i="51"/>
  <c r="DH132" i="51" s="1"/>
  <c r="DM132" i="51" s="1"/>
  <c r="DR132" i="51" s="1"/>
  <c r="CU132" i="51"/>
  <c r="CT132" i="51"/>
  <c r="CW132" i="51"/>
  <c r="CV132" i="51"/>
  <c r="BL89" i="41"/>
  <c r="BL306" i="41" s="1"/>
  <c r="BL331" i="41" s="1"/>
  <c r="BH306" i="41"/>
  <c r="AZ260" i="51"/>
  <c r="BE58" i="39"/>
  <c r="BD58" i="39"/>
  <c r="BC58" i="39"/>
  <c r="BF58" i="39"/>
  <c r="BF85" i="39" s="1"/>
  <c r="CP11" i="3"/>
  <c r="CP13" i="3" s="1"/>
  <c r="X63" i="3" s="1"/>
  <c r="X203" i="4"/>
  <c r="X212" i="4" s="1"/>
  <c r="X210" i="4" s="1"/>
  <c r="AT331" i="41"/>
  <c r="AT311" i="41"/>
  <c r="Z311" i="41"/>
  <c r="Z331" i="41"/>
  <c r="DC199" i="51"/>
  <c r="DH199" i="51" s="1"/>
  <c r="DM199" i="51" s="1"/>
  <c r="DR199" i="51" s="1"/>
  <c r="CU199" i="51"/>
  <c r="CT199" i="51"/>
  <c r="CW199" i="51"/>
  <c r="CV199" i="51"/>
  <c r="DC174" i="51"/>
  <c r="DH174" i="51" s="1"/>
  <c r="DM174" i="51" s="1"/>
  <c r="DR174" i="51" s="1"/>
  <c r="CU174" i="51"/>
  <c r="CV174" i="51"/>
  <c r="CW174" i="51"/>
  <c r="CZ174" i="51"/>
  <c r="DE39" i="51"/>
  <c r="DF39" i="51"/>
  <c r="CY39" i="51"/>
  <c r="DB39" i="51"/>
  <c r="DG39" i="51"/>
  <c r="DG44" i="51" s="1"/>
  <c r="DH39" i="51"/>
  <c r="DM39" i="51" s="1"/>
  <c r="DR39" i="51" s="1"/>
  <c r="CZ39" i="51"/>
  <c r="BZ10" i="51"/>
  <c r="BZ46" i="51"/>
  <c r="BL581" i="41"/>
  <c r="BI10" i="51"/>
  <c r="BL92" i="4" s="1"/>
  <c r="BI118" i="51"/>
  <c r="CT102" i="51"/>
  <c r="CW102" i="51"/>
  <c r="CZ102" i="51"/>
  <c r="DA102" i="51"/>
  <c r="CV102" i="51"/>
  <c r="CY102" i="51"/>
  <c r="CK30" i="51"/>
  <c r="CL30" i="51"/>
  <c r="CJ30" i="51"/>
  <c r="CM30" i="51"/>
  <c r="X563" i="41"/>
  <c r="BL129" i="64"/>
  <c r="BA132" i="39"/>
  <c r="BA155" i="39" s="1"/>
  <c r="BE133" i="39"/>
  <c r="BE156" i="39" s="1"/>
  <c r="AL133" i="39"/>
  <c r="AL156" i="39" s="1"/>
  <c r="AP108" i="51"/>
  <c r="AS581" i="41" s="1"/>
  <c r="AS604" i="41" s="1"/>
  <c r="P10" i="51"/>
  <c r="W30" i="51"/>
  <c r="BZ11" i="51"/>
  <c r="BX11" i="51"/>
  <c r="CH118" i="51"/>
  <c r="AA165" i="41"/>
  <c r="AL265" i="41"/>
  <c r="Y165" i="41"/>
  <c r="AI195" i="4"/>
  <c r="BU11" i="51"/>
  <c r="BT11" i="51"/>
  <c r="O27" i="42"/>
  <c r="AX132" i="39"/>
  <c r="AX155" i="39" s="1"/>
  <c r="Z441" i="41"/>
  <c r="CY139" i="4"/>
  <c r="Y195" i="4"/>
  <c r="BE44" i="51"/>
  <c r="BH53" i="42" s="1"/>
  <c r="BH70" i="42" s="1"/>
  <c r="AK195" i="4"/>
  <c r="AY171" i="41"/>
  <c r="AI171" i="41"/>
  <c r="BG165" i="41"/>
  <c r="AM288" i="41"/>
  <c r="AD165" i="41"/>
  <c r="BJ165" i="41"/>
  <c r="BJ130" i="41" s="1"/>
  <c r="V30" i="51"/>
  <c r="BH260" i="51"/>
  <c r="AE132" i="39"/>
  <c r="AE155" i="39" s="1"/>
  <c r="AG133" i="39"/>
  <c r="AG156" i="39" s="1"/>
  <c r="BC133" i="39"/>
  <c r="BC156" i="39" s="1"/>
  <c r="Z118" i="51"/>
  <c r="CA11" i="51"/>
  <c r="AA110" i="39"/>
  <c r="AB20" i="42"/>
  <c r="AD132" i="39"/>
  <c r="AD155" i="39" s="1"/>
  <c r="W27" i="42"/>
  <c r="CC54" i="3"/>
  <c r="CC56" i="3" s="1"/>
  <c r="M195" i="4"/>
  <c r="AB195" i="4"/>
  <c r="Q195" i="4"/>
  <c r="CN54" i="3"/>
  <c r="CN56" i="3" s="1"/>
  <c r="AU44" i="51"/>
  <c r="AX53" i="42" s="1"/>
  <c r="AX70" i="42" s="1"/>
  <c r="AG28" i="4"/>
  <c r="AG27" i="4"/>
  <c r="AG34" i="4" s="1"/>
  <c r="AG38" i="4" s="1"/>
  <c r="AG249" i="4" s="1"/>
  <c r="BD138" i="4"/>
  <c r="DV54" i="3" s="1"/>
  <c r="DV56" i="3" s="1"/>
  <c r="W64" i="41"/>
  <c r="Z195" i="4"/>
  <c r="F195" i="4"/>
  <c r="AD195" i="4"/>
  <c r="AG195" i="4"/>
  <c r="BI11" i="51"/>
  <c r="BL91" i="4" s="1"/>
  <c r="CM54" i="3"/>
  <c r="CM56" i="3" s="1"/>
  <c r="X44" i="51"/>
  <c r="AL44" i="51"/>
  <c r="AO53" i="42" s="1"/>
  <c r="AO70" i="42" s="1"/>
  <c r="R44" i="51"/>
  <c r="AK44" i="51"/>
  <c r="AN53" i="42" s="1"/>
  <c r="AN70" i="42" s="1"/>
  <c r="AC165" i="41"/>
  <c r="AO165" i="41"/>
  <c r="AA626" i="41"/>
  <c r="BD265" i="41"/>
  <c r="BD266" i="41" s="1"/>
  <c r="AV44" i="51"/>
  <c r="AY53" i="42" s="1"/>
  <c r="AY70" i="42" s="1"/>
  <c r="T44" i="51"/>
  <c r="CX54" i="3"/>
  <c r="CX56" i="3" s="1"/>
  <c r="BC171" i="41"/>
  <c r="AM171" i="41"/>
  <c r="AJ29" i="42"/>
  <c r="AJ33" i="42" s="1"/>
  <c r="AJ61" i="42" s="1"/>
  <c r="AJ23" i="42"/>
  <c r="R247" i="4"/>
  <c r="R64" i="4"/>
  <c r="AK92" i="39"/>
  <c r="Y629" i="41"/>
  <c r="AK311" i="41"/>
  <c r="AB311" i="41"/>
  <c r="AZ31" i="4"/>
  <c r="BE31" i="4"/>
  <c r="AW226" i="41"/>
  <c r="AI89" i="41"/>
  <c r="AM89" i="41" s="1"/>
  <c r="AM306" i="41" s="1"/>
  <c r="AV311" i="41"/>
  <c r="BE69" i="40"/>
  <c r="E195" i="4"/>
  <c r="BJ31" i="4"/>
  <c r="T626" i="41"/>
  <c r="BF129" i="64"/>
  <c r="S563" i="41"/>
  <c r="N63" i="3"/>
  <c r="CF18" i="3"/>
  <c r="AF23" i="42"/>
  <c r="AF29" i="42"/>
  <c r="AF33" i="42" s="1"/>
  <c r="AF61" i="42" s="1"/>
  <c r="Z478" i="41"/>
  <c r="Z448" i="41"/>
  <c r="Z450" i="41" s="1"/>
  <c r="Z107" i="41" s="1"/>
  <c r="AA210" i="4"/>
  <c r="AC172" i="39"/>
  <c r="AL606" i="41"/>
  <c r="AL120" i="4" s="1"/>
  <c r="AJ331" i="41"/>
  <c r="M246" i="4"/>
  <c r="M70" i="4"/>
  <c r="AH165" i="41"/>
  <c r="V626" i="41"/>
  <c r="AF30" i="51"/>
  <c r="AI54" i="42" s="1"/>
  <c r="AI71" i="42" s="1"/>
  <c r="AN44" i="51"/>
  <c r="AQ53" i="42" s="1"/>
  <c r="AQ265" i="41"/>
  <c r="AQ152" i="41" s="1"/>
  <c r="BC54" i="40"/>
  <c r="BC69" i="40" s="1"/>
  <c r="CP54" i="3"/>
  <c r="AC44" i="51"/>
  <c r="AF53" i="42" s="1"/>
  <c r="AF70" i="42" s="1"/>
  <c r="BF44" i="51"/>
  <c r="BI53" i="42" s="1"/>
  <c r="BI70" i="42" s="1"/>
  <c r="AF210" i="4"/>
  <c r="W210" i="4"/>
  <c r="BT118" i="51"/>
  <c r="AR44" i="51"/>
  <c r="AT165" i="41"/>
  <c r="AK66" i="42"/>
  <c r="DC45" i="3"/>
  <c r="T29" i="42"/>
  <c r="T33" i="42" s="1"/>
  <c r="T37" i="42" s="1"/>
  <c r="T44" i="42" s="1"/>
  <c r="T23" i="42"/>
  <c r="BF133" i="39"/>
  <c r="BF156" i="39" s="1"/>
  <c r="P620" i="41"/>
  <c r="BD380" i="41"/>
  <c r="BD383" i="41" s="1"/>
  <c r="AE240" i="41"/>
  <c r="AE104" i="41" s="1"/>
  <c r="AN133" i="39"/>
  <c r="AN156" i="39" s="1"/>
  <c r="AR156" i="39" s="1"/>
  <c r="Y133" i="39"/>
  <c r="Y156" i="39" s="1"/>
  <c r="S108" i="51"/>
  <c r="Q108" i="51"/>
  <c r="AC108" i="51"/>
  <c r="R134" i="4"/>
  <c r="R254" i="4" s="1"/>
  <c r="BB44" i="51"/>
  <c r="BE53" i="42" s="1"/>
  <c r="BE70" i="42" s="1"/>
  <c r="AD44" i="51"/>
  <c r="AG53" i="42" s="1"/>
  <c r="AG70" i="42" s="1"/>
  <c r="AZ30" i="51"/>
  <c r="BC54" i="42" s="1"/>
  <c r="BC71" i="42" s="1"/>
  <c r="O563" i="41"/>
  <c r="AI139" i="4"/>
  <c r="AI68" i="42" s="1"/>
  <c r="AI67" i="42" s="1"/>
  <c r="AD133" i="39"/>
  <c r="AD156" i="39" s="1"/>
  <c r="AU108" i="51"/>
  <c r="AX581" i="41" s="1"/>
  <c r="AX604" i="41" s="1"/>
  <c r="BE108" i="51"/>
  <c r="BH581" i="41" s="1"/>
  <c r="BH604" i="41" s="1"/>
  <c r="AD108" i="51"/>
  <c r="AG581" i="41" s="1"/>
  <c r="AG604" i="41" s="1"/>
  <c r="AX108" i="51"/>
  <c r="BA581" i="41" s="1"/>
  <c r="BA604" i="41" s="1"/>
  <c r="V108" i="51"/>
  <c r="Y581" i="41" s="1"/>
  <c r="Y604" i="41" s="1"/>
  <c r="AG246" i="4"/>
  <c r="AG121" i="4"/>
  <c r="AG70" i="4"/>
  <c r="AM109" i="4"/>
  <c r="CR54" i="3"/>
  <c r="CR56" i="3" s="1"/>
  <c r="AD626" i="41"/>
  <c r="AD629" i="41"/>
  <c r="AL240" i="41"/>
  <c r="AL104" i="41" s="1"/>
  <c r="AQ64" i="41"/>
  <c r="AQ310" i="41" s="1"/>
  <c r="BS11" i="51"/>
  <c r="CH11" i="51"/>
  <c r="AK108" i="51"/>
  <c r="S44" i="51"/>
  <c r="AH44" i="51"/>
  <c r="AK53" i="42" s="1"/>
  <c r="AK70" i="42" s="1"/>
  <c r="CN62" i="3"/>
  <c r="CN61" i="3"/>
  <c r="AH178" i="39"/>
  <c r="AH214" i="39" s="1"/>
  <c r="AY138" i="4"/>
  <c r="DQ54" i="3" s="1"/>
  <c r="DQ56" i="3" s="1"/>
  <c r="R25" i="42"/>
  <c r="R27" i="42" s="1"/>
  <c r="P626" i="41"/>
  <c r="V629" i="41"/>
  <c r="Q629" i="41"/>
  <c r="AK600" i="41"/>
  <c r="AK601" i="41" s="1"/>
  <c r="BA600" i="41"/>
  <c r="Z406" i="41"/>
  <c r="W63" i="41"/>
  <c r="P118" i="51"/>
  <c r="CE11" i="51"/>
  <c r="AA108" i="51"/>
  <c r="AD581" i="41" s="1"/>
  <c r="AD604" i="41" s="1"/>
  <c r="T108" i="51"/>
  <c r="L108" i="51"/>
  <c r="BG44" i="51"/>
  <c r="BJ53" i="42" s="1"/>
  <c r="BJ70" i="42" s="1"/>
  <c r="N44" i="51"/>
  <c r="AB44" i="51"/>
  <c r="AE53" i="42" s="1"/>
  <c r="AE70" i="42" s="1"/>
  <c r="Z165" i="41"/>
  <c r="AI339" i="41"/>
  <c r="AM339" i="41" s="1"/>
  <c r="AI302" i="41"/>
  <c r="AI161" i="41" s="1"/>
  <c r="AI165" i="41" s="1"/>
  <c r="AF265" i="41"/>
  <c r="H138" i="4"/>
  <c r="H139" i="4" s="1"/>
  <c r="CA54" i="3"/>
  <c r="CA18" i="3"/>
  <c r="W27" i="4"/>
  <c r="W34" i="4" s="1"/>
  <c r="W28" i="4"/>
  <c r="AE210" i="4"/>
  <c r="Y210" i="4"/>
  <c r="AD178" i="39"/>
  <c r="AD214" i="39" s="1"/>
  <c r="AE181" i="39"/>
  <c r="AE626" i="41"/>
  <c r="V620" i="41"/>
  <c r="Q620" i="41"/>
  <c r="AD620" i="41"/>
  <c r="P629" i="41"/>
  <c r="AC405" i="41"/>
  <c r="AD405" i="41" s="1"/>
  <c r="AD406" i="41" s="1"/>
  <c r="AJ380" i="41"/>
  <c r="AJ383" i="41" s="1"/>
  <c r="BE129" i="64"/>
  <c r="Z133" i="39"/>
  <c r="Z156" i="39" s="1"/>
  <c r="AT10" i="51"/>
  <c r="W38" i="42"/>
  <c r="AW108" i="51"/>
  <c r="AP44" i="51"/>
  <c r="AS30" i="51"/>
  <c r="BE606" i="41"/>
  <c r="BG30" i="51"/>
  <c r="S30" i="51"/>
  <c r="CS63" i="3"/>
  <c r="CS59" i="3"/>
  <c r="O139" i="4"/>
  <c r="O255" i="4" s="1"/>
  <c r="BI100" i="4"/>
  <c r="BJ588" i="41"/>
  <c r="AJ210" i="4"/>
  <c r="AD210" i="4"/>
  <c r="DG54" i="3"/>
  <c r="DG56" i="3" s="1"/>
  <c r="Z620" i="41"/>
  <c r="Z601" i="41"/>
  <c r="Y89" i="41"/>
  <c r="AC89" i="41" s="1"/>
  <c r="AC306" i="41" s="1"/>
  <c r="BD133" i="39"/>
  <c r="BD156" i="39" s="1"/>
  <c r="AB108" i="51"/>
  <c r="AE581" i="41" s="1"/>
  <c r="AE604" i="41" s="1"/>
  <c r="N109" i="39"/>
  <c r="AF133" i="39"/>
  <c r="AF156" i="39" s="1"/>
  <c r="AU30" i="51"/>
  <c r="AA30" i="51"/>
  <c r="AB476" i="41"/>
  <c r="BH108" i="51"/>
  <c r="BK581" i="41" s="1"/>
  <c r="BK604" i="41" s="1"/>
  <c r="AF44" i="51"/>
  <c r="AI30" i="51"/>
  <c r="BB30" i="51"/>
  <c r="AH30" i="51"/>
  <c r="N30" i="51"/>
  <c r="AB247" i="4"/>
  <c r="AB64" i="4"/>
  <c r="AB124" i="4"/>
  <c r="K139" i="4"/>
  <c r="K255" i="4" s="1"/>
  <c r="CR63" i="3"/>
  <c r="CR59" i="3"/>
  <c r="AA453" i="41"/>
  <c r="AA454" i="41" s="1"/>
  <c r="AN240" i="41"/>
  <c r="AN104" i="41" s="1"/>
  <c r="R13" i="42"/>
  <c r="AA133" i="39"/>
  <c r="AA156" i="39" s="1"/>
  <c r="AB545" i="41"/>
  <c r="V44" i="51"/>
  <c r="Y30" i="51"/>
  <c r="Y46" i="51" s="1"/>
  <c r="BG108" i="51"/>
  <c r="AW30" i="51"/>
  <c r="AC30" i="51"/>
  <c r="AG606" i="41"/>
  <c r="AG120" i="4" s="1"/>
  <c r="W246" i="4"/>
  <c r="W70" i="4"/>
  <c r="AE139" i="4"/>
  <c r="AE86" i="4"/>
  <c r="AE85" i="4" s="1"/>
  <c r="AE66" i="42" s="1"/>
  <c r="AA147" i="4"/>
  <c r="AL136" i="4"/>
  <c r="DE47" i="3"/>
  <c r="AM86" i="4"/>
  <c r="AM85" i="4" s="1"/>
  <c r="AM66" i="42" s="1"/>
  <c r="AH203" i="4"/>
  <c r="AH212" i="4" s="1"/>
  <c r="CZ11" i="3"/>
  <c r="CZ13" i="3" s="1"/>
  <c r="AH63" i="3" s="1"/>
  <c r="BD100" i="4"/>
  <c r="BE588" i="41"/>
  <c r="AB10" i="4"/>
  <c r="Z153" i="39"/>
  <c r="R10" i="39"/>
  <c r="O79" i="39"/>
  <c r="T55" i="39" s="1"/>
  <c r="AG10" i="39"/>
  <c r="Z626" i="41"/>
  <c r="Z629" i="41"/>
  <c r="AF600" i="41"/>
  <c r="AC474" i="41"/>
  <c r="AC476" i="41" s="1"/>
  <c r="AC478" i="41" s="1"/>
  <c r="AT380" i="41"/>
  <c r="BI133" i="39"/>
  <c r="BI156" i="39" s="1"/>
  <c r="AJ133" i="39"/>
  <c r="AJ156" i="39" s="1"/>
  <c r="AV108" i="51"/>
  <c r="AY581" i="41" s="1"/>
  <c r="AY604" i="41" s="1"/>
  <c r="BF108" i="51"/>
  <c r="BI581" i="41" s="1"/>
  <c r="BI604" i="41" s="1"/>
  <c r="R108" i="51"/>
  <c r="BJ133" i="39"/>
  <c r="BJ156" i="39" s="1"/>
  <c r="E108" i="51"/>
  <c r="E12" i="51" s="1"/>
  <c r="BE30" i="51"/>
  <c r="Q30" i="51"/>
  <c r="AZ44" i="51"/>
  <c r="L44" i="51"/>
  <c r="BC30" i="51"/>
  <c r="O30" i="51"/>
  <c r="O46" i="51" s="1"/>
  <c r="AR30" i="51"/>
  <c r="X30" i="51"/>
  <c r="AV266" i="41"/>
  <c r="AG143" i="4"/>
  <c r="AG147" i="4" s="1"/>
  <c r="CZ62" i="3"/>
  <c r="U139" i="4"/>
  <c r="U255" i="4" s="1"/>
  <c r="CO62" i="3"/>
  <c r="CO61" i="3"/>
  <c r="AB136" i="4"/>
  <c r="AB86" i="4" s="1"/>
  <c r="AC86" i="4"/>
  <c r="CU47" i="3"/>
  <c r="Z147" i="4"/>
  <c r="AB138" i="4"/>
  <c r="CT54" i="3" s="1"/>
  <c r="CT56" i="3" s="1"/>
  <c r="CU54" i="3"/>
  <c r="Y139" i="4"/>
  <c r="Y149" i="4" s="1"/>
  <c r="AY100" i="4"/>
  <c r="AZ588" i="41"/>
  <c r="BB228" i="41"/>
  <c r="BD311" i="41"/>
  <c r="AC20" i="4"/>
  <c r="R12" i="42"/>
  <c r="AH66" i="40"/>
  <c r="AH53" i="40" s="1"/>
  <c r="AK23" i="42"/>
  <c r="AK29" i="42"/>
  <c r="AK33" i="42" s="1"/>
  <c r="AK37" i="42" s="1"/>
  <c r="AI29" i="42"/>
  <c r="AI33" i="42" s="1"/>
  <c r="AI61" i="42" s="1"/>
  <c r="AI23" i="42"/>
  <c r="M16" i="42"/>
  <c r="M18" i="42" s="1"/>
  <c r="M22" i="42" s="1"/>
  <c r="M23" i="42" s="1"/>
  <c r="L116" i="51"/>
  <c r="AL311" i="41"/>
  <c r="AA63" i="41"/>
  <c r="AA309" i="41" s="1"/>
  <c r="BD35" i="42"/>
  <c r="AY40" i="4"/>
  <c r="AY248" i="4" s="1"/>
  <c r="AZ311" i="41"/>
  <c r="AR306" i="41"/>
  <c r="AR311" i="41" s="1"/>
  <c r="AA311" i="41"/>
  <c r="AG63" i="41"/>
  <c r="AG65" i="41" s="1"/>
  <c r="BF311" i="41"/>
  <c r="N116" i="51"/>
  <c r="DA45" i="3"/>
  <c r="AN306" i="41"/>
  <c r="AN311" i="41" s="1"/>
  <c r="AM22" i="42"/>
  <c r="J22" i="42"/>
  <c r="J23" i="42" s="1"/>
  <c r="J252" i="4"/>
  <c r="J21" i="4"/>
  <c r="J23" i="4" s="1"/>
  <c r="AF175" i="39"/>
  <c r="AF178" i="39"/>
  <c r="AF214" i="39" s="1"/>
  <c r="X175" i="39"/>
  <c r="X178" i="39"/>
  <c r="X214" i="39" s="1"/>
  <c r="V23" i="42"/>
  <c r="V29" i="42"/>
  <c r="V33" i="42" s="1"/>
  <c r="V37" i="42" s="1"/>
  <c r="V39" i="42" s="1"/>
  <c r="V45" i="42" s="1"/>
  <c r="AB10" i="39"/>
  <c r="AB9" i="42"/>
  <c r="M34" i="39"/>
  <c r="M38" i="42" s="1"/>
  <c r="J38" i="42"/>
  <c r="AE11" i="51"/>
  <c r="AH132" i="39"/>
  <c r="Z110" i="39"/>
  <c r="AF110" i="39"/>
  <c r="R113" i="39"/>
  <c r="R15" i="42"/>
  <c r="AJ132" i="39"/>
  <c r="AJ155" i="39" s="1"/>
  <c r="AJ178" i="39"/>
  <c r="AJ214" i="39" s="1"/>
  <c r="AB178" i="39"/>
  <c r="AB214" i="39" s="1"/>
  <c r="AK152" i="39"/>
  <c r="AK153" i="39" s="1"/>
  <c r="AC92" i="39"/>
  <c r="AL10" i="39"/>
  <c r="BG260" i="51"/>
  <c r="AA16" i="42"/>
  <c r="AA18" i="42" s="1"/>
  <c r="AA22" i="42" s="1"/>
  <c r="AL27" i="42"/>
  <c r="Z178" i="39"/>
  <c r="Z214" i="39" s="1"/>
  <c r="AB148" i="39"/>
  <c r="AC148" i="39" s="1"/>
  <c r="AB14" i="42"/>
  <c r="W10" i="39"/>
  <c r="X22" i="42"/>
  <c r="BA64" i="41"/>
  <c r="BA310" i="41" s="1"/>
  <c r="BA318" i="41" s="1"/>
  <c r="BA319" i="41" s="1"/>
  <c r="BA63" i="41"/>
  <c r="BA309" i="41" s="1"/>
  <c r="BB306" i="41"/>
  <c r="BB331" i="41" s="1"/>
  <c r="AQ63" i="41"/>
  <c r="AK240" i="41"/>
  <c r="AK104" i="41" s="1"/>
  <c r="AX306" i="41"/>
  <c r="AX331" i="41" s="1"/>
  <c r="BL68" i="4"/>
  <c r="BL69" i="4" s="1"/>
  <c r="BJ68" i="4"/>
  <c r="BH68" i="4"/>
  <c r="BH69" i="4" s="1"/>
  <c r="BF68" i="4"/>
  <c r="BD68" i="4"/>
  <c r="BB68" i="4"/>
  <c r="AZ68" i="4"/>
  <c r="BL60" i="3"/>
  <c r="BG60" i="3"/>
  <c r="BB60" i="3"/>
  <c r="AW60" i="3"/>
  <c r="AR60" i="3"/>
  <c r="BK68" i="4"/>
  <c r="BI68" i="4"/>
  <c r="BG68" i="4"/>
  <c r="BC68" i="4"/>
  <c r="BA68" i="4"/>
  <c r="AY68" i="4"/>
  <c r="AM132" i="39"/>
  <c r="AA132" i="39"/>
  <c r="AA155" i="39" s="1"/>
  <c r="CD127" i="51"/>
  <c r="AE133" i="39"/>
  <c r="AE156" i="39" s="1"/>
  <c r="BY118" i="51"/>
  <c r="CD116" i="51"/>
  <c r="N108" i="51"/>
  <c r="BY44" i="51"/>
  <c r="BA44" i="51"/>
  <c r="AQ44" i="51"/>
  <c r="M44" i="51"/>
  <c r="AQ108" i="51"/>
  <c r="AT581" i="41" s="1"/>
  <c r="AT604" i="41" s="1"/>
  <c r="W108" i="51"/>
  <c r="Z581" i="41" s="1"/>
  <c r="M108" i="51"/>
  <c r="BD53" i="51"/>
  <c r="BD11" i="51"/>
  <c r="BG91" i="4" s="1"/>
  <c r="P11" i="51"/>
  <c r="BR11" i="51"/>
  <c r="AK132" i="39"/>
  <c r="AK155" i="39" s="1"/>
  <c r="AC132" i="39"/>
  <c r="Y132" i="39"/>
  <c r="Y155" i="39" s="1"/>
  <c r="M116" i="51"/>
  <c r="AR108" i="51"/>
  <c r="AU581" i="41" s="1"/>
  <c r="AU604" i="41" s="1"/>
  <c r="X108" i="51"/>
  <c r="AV70" i="42"/>
  <c r="AG44" i="51"/>
  <c r="W44" i="51"/>
  <c r="BF30" i="51"/>
  <c r="AV30" i="51"/>
  <c r="AB30" i="51"/>
  <c r="R30" i="51"/>
  <c r="CI53" i="51"/>
  <c r="CD108" i="51"/>
  <c r="AS108" i="51"/>
  <c r="AV581" i="41" s="1"/>
  <c r="AV604" i="41" s="1"/>
  <c r="Y108" i="51"/>
  <c r="O108" i="51"/>
  <c r="AM53" i="42"/>
  <c r="AJ11" i="51"/>
  <c r="BY30" i="51"/>
  <c r="CD28" i="51"/>
  <c r="BP11" i="51"/>
  <c r="Z11" i="51"/>
  <c r="BD46" i="51"/>
  <c r="AJ46" i="51"/>
  <c r="P46" i="51"/>
  <c r="AG240" i="41"/>
  <c r="AG104" i="41" s="1"/>
  <c r="W68" i="41"/>
  <c r="W69" i="41" s="1"/>
  <c r="BZ36" i="64"/>
  <c r="CC36" i="64" s="1"/>
  <c r="BY36" i="64" s="1"/>
  <c r="CA106" i="64"/>
  <c r="BZ40" i="64"/>
  <c r="CC40" i="64" s="1"/>
  <c r="BY40" i="64" s="1"/>
  <c r="BD60" i="41"/>
  <c r="BI60" i="41"/>
  <c r="BY51" i="64"/>
  <c r="CD37" i="64"/>
  <c r="BL85" i="41"/>
  <c r="BG85" i="41"/>
  <c r="AR85" i="41"/>
  <c r="AM85" i="41"/>
  <c r="AH85" i="41"/>
  <c r="AC85" i="41"/>
  <c r="X85" i="41"/>
  <c r="BZ39" i="64"/>
  <c r="CC39" i="64" s="1"/>
  <c r="BY39" i="64" s="1"/>
  <c r="BZ38" i="64"/>
  <c r="CC38" i="64" s="1"/>
  <c r="BY38" i="64" s="1"/>
  <c r="BE59" i="41"/>
  <c r="BE60" i="41"/>
  <c r="BF60" i="41"/>
  <c r="AH88" i="41"/>
  <c r="AD89" i="41"/>
  <c r="X88" i="41"/>
  <c r="T89" i="41"/>
  <c r="X89" i="41" s="1"/>
  <c r="AX35" i="42"/>
  <c r="AZ62" i="42"/>
  <c r="BE13" i="42"/>
  <c r="BE16" i="42" s="1"/>
  <c r="AX34" i="42"/>
  <c r="AX26" i="42"/>
  <c r="BA62" i="42"/>
  <c r="BF13" i="42"/>
  <c r="BD9" i="42"/>
  <c r="BD10" i="42" s="1"/>
  <c r="AY16" i="42"/>
  <c r="AY18" i="42" s="1"/>
  <c r="BK8" i="42"/>
  <c r="BP8" i="42" s="1"/>
  <c r="AZ10" i="42"/>
  <c r="BE8" i="42"/>
  <c r="AX14" i="42"/>
  <c r="AZ16" i="42"/>
  <c r="AZ18" i="42" s="1"/>
  <c r="BB9" i="42"/>
  <c r="U29" i="42"/>
  <c r="U33" i="42" s="1"/>
  <c r="U37" i="42" s="1"/>
  <c r="U23" i="42"/>
  <c r="Q29" i="42"/>
  <c r="Q33" i="42" s="1"/>
  <c r="Q37" i="42" s="1"/>
  <c r="Q23" i="42"/>
  <c r="AX62" i="42"/>
  <c r="BB13" i="42"/>
  <c r="BC13" i="42"/>
  <c r="AY62" i="42"/>
  <c r="BD13" i="42"/>
  <c r="BC12" i="42"/>
  <c r="BB12" i="42"/>
  <c r="BF9" i="42"/>
  <c r="BA16" i="42"/>
  <c r="BA18" i="42" s="1"/>
  <c r="BI8" i="42"/>
  <c r="BN8" i="42" s="1"/>
  <c r="AX10" i="42"/>
  <c r="BC8" i="42"/>
  <c r="BB8" i="42"/>
  <c r="AP21" i="4"/>
  <c r="BJ9" i="42"/>
  <c r="BO9" i="42" s="1"/>
  <c r="BH9" i="42"/>
  <c r="BM9" i="42" s="1"/>
  <c r="K21" i="4"/>
  <c r="K23" i="4" s="1"/>
  <c r="K22" i="42"/>
  <c r="AX15" i="42"/>
  <c r="W628" i="41"/>
  <c r="AA601" i="41"/>
  <c r="AB600" i="41"/>
  <c r="AB601" i="41" s="1"/>
  <c r="N544" i="41"/>
  <c r="S545" i="41" s="1"/>
  <c r="AB628" i="41"/>
  <c r="N628" i="41"/>
  <c r="AG619" i="41"/>
  <c r="AF626" i="41"/>
  <c r="S628" i="41"/>
  <c r="T620" i="41"/>
  <c r="T629" i="41"/>
  <c r="AE620" i="41"/>
  <c r="AE629" i="41"/>
  <c r="AC628" i="41"/>
  <c r="O620" i="41"/>
  <c r="O629" i="41"/>
  <c r="AA623" i="41"/>
  <c r="AF620" i="41"/>
  <c r="AF629" i="41"/>
  <c r="X628" i="41"/>
  <c r="U620" i="41"/>
  <c r="AJ628" i="41"/>
  <c r="AJ109" i="4"/>
  <c r="AH628" i="41"/>
  <c r="AA620" i="41"/>
  <c r="Y626" i="41"/>
  <c r="Y623" i="41"/>
  <c r="R628" i="41"/>
  <c r="R629" i="41" s="1"/>
  <c r="AB606" i="41"/>
  <c r="AG596" i="41"/>
  <c r="AB596" i="41"/>
  <c r="BH599" i="41"/>
  <c r="BH83" i="4"/>
  <c r="BK570" i="41"/>
  <c r="AM462" i="41"/>
  <c r="AI464" i="41"/>
  <c r="AE464" i="41"/>
  <c r="AA464" i="41"/>
  <c r="AN466" i="41"/>
  <c r="AH462" i="41"/>
  <c r="AG437" i="41"/>
  <c r="AF438" i="41"/>
  <c r="AF441" i="41" s="1"/>
  <c r="AY380" i="41"/>
  <c r="AO380" i="41"/>
  <c r="AE380" i="41"/>
  <c r="BB231" i="41"/>
  <c r="AM226" i="41"/>
  <c r="BI265" i="41"/>
  <c r="AO265" i="41"/>
  <c r="AB278" i="41"/>
  <c r="AA270" i="41"/>
  <c r="AL186" i="41"/>
  <c r="AJ186" i="41"/>
  <c r="AK186" i="41"/>
  <c r="AI186" i="41"/>
  <c r="AL291" i="41"/>
  <c r="AK283" i="41"/>
  <c r="AR270" i="41"/>
  <c r="AL270" i="41"/>
  <c r="AH228" i="41"/>
  <c r="AF240" i="41"/>
  <c r="AF104" i="41" s="1"/>
  <c r="AO237" i="41"/>
  <c r="AP237" i="41"/>
  <c r="AP238" i="41" s="1"/>
  <c r="AP240" i="41" s="1"/>
  <c r="AP104" i="41" s="1"/>
  <c r="AF203" i="41"/>
  <c r="AL420" i="41"/>
  <c r="AL401" i="41"/>
  <c r="AL63" i="41"/>
  <c r="R10" i="41"/>
  <c r="AW228" i="41"/>
  <c r="AR228" i="41"/>
  <c r="AC228" i="41"/>
  <c r="BK232" i="41"/>
  <c r="BK233" i="41" s="1"/>
  <c r="AI232" i="41"/>
  <c r="AI233" i="41" s="1"/>
  <c r="AJ81" i="41"/>
  <c r="AM81" i="41" s="1"/>
  <c r="AM232" i="41" s="1"/>
  <c r="BK227" i="41"/>
  <c r="BK228" i="41" s="1"/>
  <c r="BK222" i="41"/>
  <c r="BK203" i="41"/>
  <c r="AU223" i="41"/>
  <c r="AS237" i="41"/>
  <c r="AS223" i="41"/>
  <c r="AQ237" i="41"/>
  <c r="AQ238" i="41" s="1"/>
  <c r="AQ223" i="41"/>
  <c r="AI203" i="41"/>
  <c r="AG203" i="41"/>
  <c r="AE203" i="41"/>
  <c r="X634" i="41"/>
  <c r="X647" i="41" s="1"/>
  <c r="X21" i="41"/>
  <c r="AL15" i="41"/>
  <c r="AL17" i="41" s="1"/>
  <c r="AL10" i="41"/>
  <c r="BG306" i="41"/>
  <c r="AW306" i="41"/>
  <c r="AO55" i="41"/>
  <c r="AI55" i="41"/>
  <c r="AI53" i="41" s="1"/>
  <c r="AJ53" i="41"/>
  <c r="U55" i="41"/>
  <c r="V53" i="41"/>
  <c r="AK28" i="41"/>
  <c r="AK22" i="41"/>
  <c r="AI28" i="41"/>
  <c r="AI22" i="41"/>
  <c r="AA28" i="41"/>
  <c r="AA22" i="41"/>
  <c r="Y28" i="41"/>
  <c r="Y22" i="41"/>
  <c r="Q28" i="41"/>
  <c r="Q22" i="41"/>
  <c r="AY55" i="41"/>
  <c r="AZ53" i="41"/>
  <c r="AT53" i="41"/>
  <c r="AW53" i="41" s="1"/>
  <c r="AW25" i="61" s="1"/>
  <c r="AE55" i="41"/>
  <c r="AF53" i="41"/>
  <c r="Y55" i="41"/>
  <c r="Y53" i="41" s="1"/>
  <c r="Z53" i="41"/>
  <c r="AJ28" i="41"/>
  <c r="AJ22" i="41"/>
  <c r="AE28" i="41"/>
  <c r="AE22" i="41"/>
  <c r="Z28" i="41"/>
  <c r="Z22" i="41"/>
  <c r="U28" i="41"/>
  <c r="U22" i="41"/>
  <c r="U626" i="41"/>
  <c r="U623" i="41"/>
  <c r="AL628" i="41"/>
  <c r="AL623" i="41" s="1"/>
  <c r="AL109" i="4"/>
  <c r="M628" i="41"/>
  <c r="AL596" i="41"/>
  <c r="BC599" i="41"/>
  <c r="BD570" i="41"/>
  <c r="BC83" i="4"/>
  <c r="BJ599" i="41"/>
  <c r="BJ601" i="41" s="1"/>
  <c r="BJ83" i="4"/>
  <c r="BI599" i="41"/>
  <c r="BI601" i="41" s="1"/>
  <c r="BI83" i="4"/>
  <c r="AX599" i="41"/>
  <c r="AX83" i="4"/>
  <c r="AY570" i="41"/>
  <c r="AX548" i="41"/>
  <c r="AE473" i="41"/>
  <c r="AC462" i="41"/>
  <c r="AO466" i="41"/>
  <c r="AK464" i="41"/>
  <c r="AG464" i="41"/>
  <c r="AD474" i="41"/>
  <c r="AF379" i="41"/>
  <c r="AB379" i="41"/>
  <c r="AA380" i="41"/>
  <c r="AF186" i="41"/>
  <c r="AD186" i="41"/>
  <c r="AH192" i="41"/>
  <c r="AG186" i="41"/>
  <c r="AE186" i="41"/>
  <c r="Z383" i="41"/>
  <c r="AD341" i="41"/>
  <c r="Y265" i="41"/>
  <c r="AC275" i="41"/>
  <c r="AD266" i="41"/>
  <c r="AD152" i="41"/>
  <c r="AR231" i="41"/>
  <c r="AO233" i="41"/>
  <c r="AO223" i="41"/>
  <c r="AR221" i="41"/>
  <c r="AR186" i="41"/>
  <c r="AR192" i="41" s="1"/>
  <c r="AW176" i="41"/>
  <c r="AQ176" i="41"/>
  <c r="AO176" i="41"/>
  <c r="AP176" i="41"/>
  <c r="AN176" i="41"/>
  <c r="AG278" i="41"/>
  <c r="AF270" i="41"/>
  <c r="BB233" i="41"/>
  <c r="AW233" i="41"/>
  <c r="AM228" i="41"/>
  <c r="AD232" i="41"/>
  <c r="AD233" i="41" s="1"/>
  <c r="AH81" i="41"/>
  <c r="AH232" i="41" s="1"/>
  <c r="AX223" i="41"/>
  <c r="AV238" i="41"/>
  <c r="AV130" i="41" s="1"/>
  <c r="AV223" i="41"/>
  <c r="AH223" i="41"/>
  <c r="AV420" i="41"/>
  <c r="AV401" i="41"/>
  <c r="AB420" i="41"/>
  <c r="AB401" i="41"/>
  <c r="AB63" i="41"/>
  <c r="R563" i="41"/>
  <c r="AJ265" i="41"/>
  <c r="BL248" i="41"/>
  <c r="BF248" i="41"/>
  <c r="BE248" i="41" s="1"/>
  <c r="BD248" i="41" s="1"/>
  <c r="BC248" i="41" s="1"/>
  <c r="BJ95" i="41"/>
  <c r="BJ93" i="41"/>
  <c r="BI92" i="41"/>
  <c r="BJ94" i="41"/>
  <c r="AM223" i="41"/>
  <c r="AV362" i="41"/>
  <c r="AV370" i="41" s="1"/>
  <c r="AL68" i="41"/>
  <c r="AL362" i="41" s="1"/>
  <c r="AL370" i="41" s="1"/>
  <c r="AB68" i="41"/>
  <c r="AB362" i="41" s="1"/>
  <c r="AB370" i="41" s="1"/>
  <c r="AH634" i="41"/>
  <c r="AH647" i="41" s="1"/>
  <c r="AH21" i="41"/>
  <c r="P19" i="4"/>
  <c r="P21" i="41"/>
  <c r="AB15" i="41"/>
  <c r="AB17" i="41" s="1"/>
  <c r="AB10" i="41"/>
  <c r="BC306" i="41"/>
  <c r="Z81" i="41"/>
  <c r="AV310" i="41"/>
  <c r="AL64" i="41"/>
  <c r="AL310" i="41" s="1"/>
  <c r="AB64" i="41"/>
  <c r="AB310" i="41" s="1"/>
  <c r="BA400" i="41"/>
  <c r="BA330" i="41"/>
  <c r="AQ400" i="41"/>
  <c r="AQ330" i="41"/>
  <c r="AQ338" i="41" s="1"/>
  <c r="AQ339" i="41" s="1"/>
  <c r="AL67" i="41"/>
  <c r="AB67" i="41"/>
  <c r="AQ420" i="41"/>
  <c r="AQ401" i="41"/>
  <c r="AQ67" i="41"/>
  <c r="AK420" i="41"/>
  <c r="AK401" i="41"/>
  <c r="AK67" i="41"/>
  <c r="BC25" i="41"/>
  <c r="L28" i="41"/>
  <c r="L22" i="41"/>
  <c r="J28" i="41"/>
  <c r="J22" i="41"/>
  <c r="AF28" i="41"/>
  <c r="AF22" i="41"/>
  <c r="AD28" i="41"/>
  <c r="AD22" i="41"/>
  <c r="V28" i="41"/>
  <c r="V22" i="41"/>
  <c r="T28" i="41"/>
  <c r="T22" i="41"/>
  <c r="O21" i="41"/>
  <c r="O19" i="4"/>
  <c r="AK63" i="41"/>
  <c r="AK68" i="41"/>
  <c r="AK362" i="41" s="1"/>
  <c r="AK370" i="41" s="1"/>
  <c r="AA400" i="41"/>
  <c r="AA330" i="41"/>
  <c r="AA338" i="41" s="1"/>
  <c r="AA339" i="41" s="1"/>
  <c r="BA420" i="41"/>
  <c r="BA401" i="41"/>
  <c r="BA67" i="41"/>
  <c r="AG420" i="41"/>
  <c r="AG401" i="41"/>
  <c r="AG67" i="41"/>
  <c r="AA420" i="41"/>
  <c r="AA401" i="41"/>
  <c r="AA67" i="41"/>
  <c r="N28" i="41"/>
  <c r="N22" i="41"/>
  <c r="N24" i="3" s="1"/>
  <c r="K28" i="41"/>
  <c r="K22" i="41"/>
  <c r="I28" i="41"/>
  <c r="I31" i="41" s="1"/>
  <c r="I34" i="41" s="1"/>
  <c r="I22" i="41"/>
  <c r="I24" i="3" s="1"/>
  <c r="AM28" i="41"/>
  <c r="AM22" i="41"/>
  <c r="AC28" i="41"/>
  <c r="AC22" i="41"/>
  <c r="S28" i="41"/>
  <c r="S22" i="41"/>
  <c r="R15" i="41"/>
  <c r="R17" i="41" s="1"/>
  <c r="M21" i="41"/>
  <c r="M19" i="4"/>
  <c r="AG20" i="40"/>
  <c r="AG20" i="4"/>
  <c r="AH20" i="4" s="1"/>
  <c r="AE77" i="40"/>
  <c r="AD76" i="40"/>
  <c r="W20" i="40"/>
  <c r="W20" i="4"/>
  <c r="X20" i="4" s="1"/>
  <c r="M20" i="4"/>
  <c r="M20" i="40"/>
  <c r="AC91" i="40"/>
  <c r="BU83" i="40"/>
  <c r="AA109" i="40"/>
  <c r="Z58" i="40"/>
  <c r="AL91" i="40"/>
  <c r="AM91" i="40" s="1"/>
  <c r="R25" i="40"/>
  <c r="R90" i="40"/>
  <c r="S90" i="40" s="1"/>
  <c r="AA27" i="40"/>
  <c r="AA21" i="40"/>
  <c r="BH18" i="40"/>
  <c r="BM18" i="40" s="1"/>
  <c r="AL20" i="40"/>
  <c r="AL20" i="4"/>
  <c r="AM20" i="4" s="1"/>
  <c r="O20" i="4"/>
  <c r="O20" i="40"/>
  <c r="W69" i="40"/>
  <c r="AY66" i="40"/>
  <c r="AX53" i="40"/>
  <c r="AX66" i="40" s="1"/>
  <c r="AK27" i="40"/>
  <c r="AK21" i="40"/>
  <c r="Q27" i="40"/>
  <c r="Q31" i="40" s="1"/>
  <c r="Q21" i="40"/>
  <c r="AH56" i="40"/>
  <c r="AH31" i="40"/>
  <c r="V27" i="40"/>
  <c r="V31" i="40" s="1"/>
  <c r="V21" i="40"/>
  <c r="J38" i="40"/>
  <c r="J33" i="40"/>
  <c r="J39" i="40" s="1"/>
  <c r="J77" i="4" s="1"/>
  <c r="BE12" i="40"/>
  <c r="AZ14" i="4"/>
  <c r="AF27" i="40"/>
  <c r="AF21" i="40"/>
  <c r="AD27" i="40"/>
  <c r="AD21" i="40"/>
  <c r="Z27" i="40"/>
  <c r="Z21" i="40"/>
  <c r="X38" i="40"/>
  <c r="X33" i="40"/>
  <c r="S38" i="40"/>
  <c r="S33" i="40"/>
  <c r="S39" i="40" s="1"/>
  <c r="S77" i="4" s="1"/>
  <c r="S12" i="3" s="1"/>
  <c r="P27" i="40"/>
  <c r="P31" i="40" s="1"/>
  <c r="P21" i="40"/>
  <c r="L27" i="40"/>
  <c r="L31" i="40" s="1"/>
  <c r="L21" i="40"/>
  <c r="X100" i="40"/>
  <c r="BA83" i="40"/>
  <c r="AY83" i="40"/>
  <c r="AX83" i="40"/>
  <c r="AZ83" i="40"/>
  <c r="BB84" i="4"/>
  <c r="AY69" i="40"/>
  <c r="AX54" i="40"/>
  <c r="AX69" i="40" s="1"/>
  <c r="R63" i="40"/>
  <c r="R65" i="40" s="1"/>
  <c r="R14" i="40"/>
  <c r="R16" i="40" s="1"/>
  <c r="AM66" i="40"/>
  <c r="AM53" i="40" s="1"/>
  <c r="AC66" i="40"/>
  <c r="AC53" i="40" s="1"/>
  <c r="AI27" i="40"/>
  <c r="AI21" i="40"/>
  <c r="K27" i="40"/>
  <c r="K31" i="40" s="1"/>
  <c r="K21" i="40"/>
  <c r="BD18" i="40"/>
  <c r="AY25" i="4"/>
  <c r="AM69" i="40"/>
  <c r="AM54" i="40" s="1"/>
  <c r="AG91" i="40"/>
  <c r="AH91" i="40" s="1"/>
  <c r="AY24" i="40"/>
  <c r="U27" i="40"/>
  <c r="U31" i="40" s="1"/>
  <c r="U21" i="40"/>
  <c r="I27" i="40"/>
  <c r="I31" i="40" s="1"/>
  <c r="I21" i="40"/>
  <c r="I25" i="3" s="1"/>
  <c r="AC38" i="40"/>
  <c r="AC33" i="40"/>
  <c r="AC69" i="40"/>
  <c r="AC54" i="40" s="1"/>
  <c r="AM56" i="40"/>
  <c r="AM31" i="40"/>
  <c r="AJ27" i="40"/>
  <c r="AJ21" i="40"/>
  <c r="AE31" i="40"/>
  <c r="AE56" i="40"/>
  <c r="T27" i="40"/>
  <c r="T31" i="40" s="1"/>
  <c r="T21" i="40"/>
  <c r="N27" i="40"/>
  <c r="N31" i="40" s="1"/>
  <c r="N21" i="40"/>
  <c r="N25" i="3" s="1"/>
  <c r="AB110" i="39"/>
  <c r="AG110" i="39"/>
  <c r="AB55" i="39"/>
  <c r="AG55" i="39"/>
  <c r="AG81" i="39"/>
  <c r="R55" i="39"/>
  <c r="R81" i="39"/>
  <c r="M22" i="39"/>
  <c r="M18" i="4"/>
  <c r="M186" i="39"/>
  <c r="AB152" i="39"/>
  <c r="AA153" i="39"/>
  <c r="AL55" i="39"/>
  <c r="AL81" i="39"/>
  <c r="W55" i="39"/>
  <c r="W81" i="39"/>
  <c r="M89" i="39"/>
  <c r="M81" i="39"/>
  <c r="AM178" i="39"/>
  <c r="AM214" i="39" s="1"/>
  <c r="AM175" i="39"/>
  <c r="AI178" i="39"/>
  <c r="AI214" i="39" s="1"/>
  <c r="AI175" i="39"/>
  <c r="X192" i="39"/>
  <c r="AM181" i="39"/>
  <c r="AM193" i="39"/>
  <c r="AI181" i="39"/>
  <c r="AB204" i="39"/>
  <c r="AC204" i="39" s="1"/>
  <c r="AB151" i="39"/>
  <c r="AB82" i="4"/>
  <c r="AC178" i="39"/>
  <c r="AC214" i="39" s="1"/>
  <c r="AC175" i="39"/>
  <c r="Y178" i="39"/>
  <c r="Y214" i="39" s="1"/>
  <c r="Y175" i="39"/>
  <c r="AH192" i="39"/>
  <c r="AJ181" i="39"/>
  <c r="AH181" i="39"/>
  <c r="AF172" i="39"/>
  <c r="AF181" i="39"/>
  <c r="AB172" i="39"/>
  <c r="AB181" i="39"/>
  <c r="X193" i="39"/>
  <c r="X172" i="39"/>
  <c r="X181" i="39"/>
  <c r="Y181" i="39"/>
  <c r="AA158" i="39"/>
  <c r="BJ158" i="39"/>
  <c r="BJ152" i="39"/>
  <c r="AF22" i="39"/>
  <c r="AF18" i="4"/>
  <c r="R107" i="39"/>
  <c r="R64" i="39"/>
  <c r="AL16" i="39"/>
  <c r="AL18" i="39" s="1"/>
  <c r="AL186" i="39" s="1"/>
  <c r="AL88" i="39"/>
  <c r="AD89" i="39"/>
  <c r="AD91" i="39"/>
  <c r="AD92" i="39" s="1"/>
  <c r="AB81" i="39"/>
  <c r="AX26" i="39"/>
  <c r="AK22" i="39"/>
  <c r="AK18" i="4"/>
  <c r="AE22" i="39"/>
  <c r="AE18" i="4"/>
  <c r="AA22" i="39"/>
  <c r="AA18" i="4"/>
  <c r="S29" i="39"/>
  <c r="S23" i="39"/>
  <c r="S23" i="3" s="1"/>
  <c r="W88" i="39"/>
  <c r="W16" i="39"/>
  <c r="W18" i="39" s="1"/>
  <c r="Y186" i="39" s="1"/>
  <c r="AF92" i="39"/>
  <c r="T91" i="39"/>
  <c r="T92" i="39" s="1"/>
  <c r="U67" i="39"/>
  <c r="U33" i="39"/>
  <c r="N40" i="39"/>
  <c r="N35" i="39"/>
  <c r="K40" i="39"/>
  <c r="K35" i="39"/>
  <c r="K41" i="39" s="1"/>
  <c r="K75" i="4" s="1"/>
  <c r="I40" i="39"/>
  <c r="I35" i="39"/>
  <c r="Z67" i="39"/>
  <c r="Z33" i="39"/>
  <c r="AJ92" i="39"/>
  <c r="Z91" i="39"/>
  <c r="Z92" i="39" s="1"/>
  <c r="J29" i="39"/>
  <c r="J33" i="39" s="1"/>
  <c r="J23" i="39"/>
  <c r="AD29" i="39"/>
  <c r="AD23" i="39"/>
  <c r="V29" i="39"/>
  <c r="V23" i="39"/>
  <c r="AK178" i="39"/>
  <c r="AK214" i="39" s="1"/>
  <c r="AK175" i="39"/>
  <c r="AM172" i="39"/>
  <c r="AK172" i="39"/>
  <c r="AI172" i="39"/>
  <c r="Y153" i="39"/>
  <c r="W204" i="39"/>
  <c r="W82" i="4"/>
  <c r="AE178" i="39"/>
  <c r="AE214" i="39" s="1"/>
  <c r="AE175" i="39"/>
  <c r="AA178" i="39"/>
  <c r="AA214" i="39" s="1"/>
  <c r="AA175" i="39"/>
  <c r="AC192" i="39"/>
  <c r="AL172" i="39"/>
  <c r="AL181" i="39"/>
  <c r="AJ172" i="39"/>
  <c r="AH172" i="39"/>
  <c r="AH193" i="39"/>
  <c r="AD172" i="39"/>
  <c r="AD181" i="39"/>
  <c r="Z172" i="39"/>
  <c r="Z181" i="39"/>
  <c r="AH151" i="39"/>
  <c r="AH153" i="39" s="1"/>
  <c r="AA172" i="39"/>
  <c r="Y172" i="39"/>
  <c r="BE158" i="39"/>
  <c r="AK158" i="39"/>
  <c r="BE152" i="39"/>
  <c r="AZ158" i="39"/>
  <c r="AF158" i="39"/>
  <c r="AZ152" i="39"/>
  <c r="AF152" i="39"/>
  <c r="AJ22" i="39"/>
  <c r="AJ18" i="4"/>
  <c r="X186" i="39"/>
  <c r="X199" i="39" s="1"/>
  <c r="X22" i="39"/>
  <c r="O110" i="39"/>
  <c r="AB88" i="39"/>
  <c r="AB89" i="39" s="1"/>
  <c r="AB16" i="39"/>
  <c r="AB18" i="39" s="1"/>
  <c r="AB186" i="39" s="1"/>
  <c r="V188" i="39"/>
  <c r="T188" i="39"/>
  <c r="U188" i="39"/>
  <c r="R27" i="39"/>
  <c r="O22" i="39"/>
  <c r="O18" i="4"/>
  <c r="AM186" i="39"/>
  <c r="AM199" i="39" s="1"/>
  <c r="AM22" i="39"/>
  <c r="AI22" i="39"/>
  <c r="AI18" i="4"/>
  <c r="AC186" i="39"/>
  <c r="AC199" i="39" s="1"/>
  <c r="AC22" i="39"/>
  <c r="Y22" i="39"/>
  <c r="Y18" i="4"/>
  <c r="Q22" i="39"/>
  <c r="Q18" i="4"/>
  <c r="AG88" i="39"/>
  <c r="AG16" i="39"/>
  <c r="AG18" i="39" s="1"/>
  <c r="AI186" i="39" s="1"/>
  <c r="R88" i="39"/>
  <c r="R16" i="39"/>
  <c r="R18" i="39" s="1"/>
  <c r="T186" i="39" s="1"/>
  <c r="V91" i="39"/>
  <c r="V92" i="39" s="1"/>
  <c r="AH29" i="39"/>
  <c r="AH23" i="39"/>
  <c r="T29" i="39"/>
  <c r="T23" i="39"/>
  <c r="AH91" i="39"/>
  <c r="AH92" i="39" s="1"/>
  <c r="X92" i="39"/>
  <c r="P67" i="39"/>
  <c r="P33" i="39"/>
  <c r="L40" i="39"/>
  <c r="L35" i="39"/>
  <c r="L41" i="39" s="1"/>
  <c r="L75" i="4" s="1"/>
  <c r="CQ38" i="3"/>
  <c r="AB28" i="4"/>
  <c r="AB27" i="4"/>
  <c r="AB34" i="4" s="1"/>
  <c r="DE16" i="3"/>
  <c r="AB210" i="4"/>
  <c r="Z210" i="4"/>
  <c r="V210" i="4"/>
  <c r="T210" i="4"/>
  <c r="R210" i="4"/>
  <c r="P210" i="4"/>
  <c r="L210" i="4"/>
  <c r="J210" i="4"/>
  <c r="H210" i="4"/>
  <c r="F210" i="4"/>
  <c r="AM212" i="4"/>
  <c r="DE11" i="3"/>
  <c r="DE13" i="3" s="1"/>
  <c r="AK210" i="4"/>
  <c r="AI210" i="4"/>
  <c r="AG210" i="4"/>
  <c r="CZ16" i="3"/>
  <c r="U210" i="4"/>
  <c r="Q210" i="4"/>
  <c r="O210" i="4"/>
  <c r="M210" i="4"/>
  <c r="K210" i="4"/>
  <c r="G210" i="4"/>
  <c r="E210" i="4"/>
  <c r="AL213" i="4"/>
  <c r="AJ213" i="4"/>
  <c r="AF213" i="4"/>
  <c r="AD213" i="4"/>
  <c r="AA213" i="4"/>
  <c r="Y213" i="4"/>
  <c r="W213" i="4"/>
  <c r="U213" i="4"/>
  <c r="R213" i="4"/>
  <c r="P213" i="4"/>
  <c r="M213" i="4"/>
  <c r="K213" i="4"/>
  <c r="H213" i="4"/>
  <c r="F213" i="4"/>
  <c r="AK204" i="4"/>
  <c r="AI204" i="4"/>
  <c r="AG204" i="4"/>
  <c r="AE204" i="4"/>
  <c r="AB204" i="4"/>
  <c r="Z204" i="4"/>
  <c r="V204" i="4"/>
  <c r="T204" i="4"/>
  <c r="Q204" i="4"/>
  <c r="O204" i="4"/>
  <c r="L204" i="4"/>
  <c r="J204" i="4"/>
  <c r="G204" i="4"/>
  <c r="E204" i="4"/>
  <c r="W247" i="4"/>
  <c r="W64" i="4"/>
  <c r="AL246" i="4"/>
  <c r="AL70" i="4"/>
  <c r="AL121" i="4"/>
  <c r="R246" i="4"/>
  <c r="R70" i="4"/>
  <c r="AG136" i="4"/>
  <c r="AH86" i="4"/>
  <c r="AH85" i="4" s="1"/>
  <c r="CZ47" i="3"/>
  <c r="AD139" i="4"/>
  <c r="AD68" i="42" s="1"/>
  <c r="AD86" i="4"/>
  <c r="AD85" i="4" s="1"/>
  <c r="W136" i="4"/>
  <c r="W139" i="4" s="1"/>
  <c r="W255" i="4" s="1"/>
  <c r="CP47" i="3"/>
  <c r="W147" i="4"/>
  <c r="W256" i="4" s="1"/>
  <c r="R139" i="4"/>
  <c r="J139" i="4"/>
  <c r="J255" i="4" s="1"/>
  <c r="CU149" i="4"/>
  <c r="X149" i="4" s="1"/>
  <c r="X134" i="4"/>
  <c r="X223" i="4" s="1"/>
  <c r="I134" i="4"/>
  <c r="CF149" i="4"/>
  <c r="DA38" i="3"/>
  <c r="CV38" i="3"/>
  <c r="O254" i="4"/>
  <c r="CG38" i="3"/>
  <c r="J254" i="4"/>
  <c r="AH219" i="4"/>
  <c r="AH235" i="4" s="1"/>
  <c r="CZ28" i="3" s="1"/>
  <c r="AH28" i="4"/>
  <c r="AH220" i="4" s="1"/>
  <c r="AH27" i="4"/>
  <c r="AH34" i="4" s="1"/>
  <c r="R147" i="4"/>
  <c r="R256" i="4" s="1"/>
  <c r="T149" i="4"/>
  <c r="AJ28" i="4"/>
  <c r="AJ27" i="4"/>
  <c r="AJ34" i="4" s="1"/>
  <c r="N219" i="4"/>
  <c r="N235" i="4" s="1"/>
  <c r="CF28" i="3" s="1"/>
  <c r="N28" i="4"/>
  <c r="N220" i="4" s="1"/>
  <c r="N27" i="4"/>
  <c r="N34" i="4" s="1"/>
  <c r="P104" i="4"/>
  <c r="P38" i="4"/>
  <c r="E104" i="4"/>
  <c r="E38" i="4"/>
  <c r="AE104" i="4"/>
  <c r="AE38" i="4"/>
  <c r="AC104" i="4"/>
  <c r="AC38" i="4"/>
  <c r="Z104" i="4"/>
  <c r="Z38" i="4"/>
  <c r="F104" i="4"/>
  <c r="F38" i="4"/>
  <c r="AF38" i="4"/>
  <c r="AF104" i="4"/>
  <c r="AD104" i="4"/>
  <c r="AD38" i="4"/>
  <c r="V104" i="4"/>
  <c r="V38" i="4"/>
  <c r="S104" i="4"/>
  <c r="S38" i="4"/>
  <c r="CU16" i="3"/>
  <c r="AC203" i="4"/>
  <c r="AC212" i="4" s="1"/>
  <c r="CU11" i="3"/>
  <c r="CU13" i="3" s="1"/>
  <c r="CP16" i="3"/>
  <c r="AL204" i="4"/>
  <c r="AJ204" i="4"/>
  <c r="AF204" i="4"/>
  <c r="AD204" i="4"/>
  <c r="AA204" i="4"/>
  <c r="Y204" i="4"/>
  <c r="W204" i="4"/>
  <c r="U204" i="4"/>
  <c r="R204" i="4"/>
  <c r="P204" i="4"/>
  <c r="M204" i="4"/>
  <c r="K204" i="4"/>
  <c r="H204" i="4"/>
  <c r="F204" i="4"/>
  <c r="S203" i="4"/>
  <c r="CK11" i="3"/>
  <c r="CK13" i="3" s="1"/>
  <c r="AK213" i="4"/>
  <c r="AI213" i="4"/>
  <c r="AG213" i="4"/>
  <c r="AE213" i="4"/>
  <c r="AB213" i="4"/>
  <c r="Z213" i="4"/>
  <c r="V213" i="4"/>
  <c r="T213" i="4"/>
  <c r="Q213" i="4"/>
  <c r="O213" i="4"/>
  <c r="L213" i="4"/>
  <c r="J213" i="4"/>
  <c r="G213" i="4"/>
  <c r="E213" i="4"/>
  <c r="AG247" i="4"/>
  <c r="AG124" i="4"/>
  <c r="AG64" i="4"/>
  <c r="M247" i="4"/>
  <c r="M64" i="4"/>
  <c r="AB246" i="4"/>
  <c r="AB70" i="4"/>
  <c r="AB121" i="4"/>
  <c r="H246" i="4"/>
  <c r="H70" i="4"/>
  <c r="AJ139" i="4"/>
  <c r="AJ68" i="42" s="1"/>
  <c r="AJ86" i="4"/>
  <c r="AJ85" i="4" s="1"/>
  <c r="AF139" i="4"/>
  <c r="AF86" i="4"/>
  <c r="AF85" i="4" s="1"/>
  <c r="Z139" i="4"/>
  <c r="Z86" i="4"/>
  <c r="Z85" i="4" s="1"/>
  <c r="H147" i="4"/>
  <c r="P139" i="4"/>
  <c r="P255" i="4" s="1"/>
  <c r="AC134" i="4"/>
  <c r="AC223" i="4" s="1"/>
  <c r="CZ149" i="4"/>
  <c r="AC149" i="4" s="1"/>
  <c r="AL147" i="4"/>
  <c r="DJ149" i="4"/>
  <c r="AM149" i="4" s="1"/>
  <c r="AM134" i="4"/>
  <c r="AM223" i="4" s="1"/>
  <c r="CZ41" i="3"/>
  <c r="CP149" i="4"/>
  <c r="S149" i="4" s="1"/>
  <c r="S134" i="4"/>
  <c r="S223" i="4" s="1"/>
  <c r="N254" i="4"/>
  <c r="CF41" i="3"/>
  <c r="X219" i="4"/>
  <c r="X235" i="4" s="1"/>
  <c r="CP28" i="3" s="1"/>
  <c r="X28" i="4"/>
  <c r="X220" i="4" s="1"/>
  <c r="X27" i="4"/>
  <c r="X34" i="4" s="1"/>
  <c r="U104" i="4"/>
  <c r="U38" i="4"/>
  <c r="K104" i="4"/>
  <c r="K38" i="4"/>
  <c r="G104" i="4"/>
  <c r="G38" i="4"/>
  <c r="AM104" i="4"/>
  <c r="AM38" i="4"/>
  <c r="Q104" i="4"/>
  <c r="Q38" i="4"/>
  <c r="T38" i="4"/>
  <c r="T104" i="4"/>
  <c r="L38" i="4"/>
  <c r="L104" i="4"/>
  <c r="J104" i="4"/>
  <c r="J38" i="4"/>
  <c r="AK104" i="4"/>
  <c r="AK38" i="4"/>
  <c r="AI104" i="4"/>
  <c r="AI38" i="4"/>
  <c r="Y104" i="4"/>
  <c r="Y38" i="4"/>
  <c r="AL28" i="4"/>
  <c r="AL27" i="4"/>
  <c r="AL34" i="4" s="1"/>
  <c r="AY260" i="51" l="1"/>
  <c r="AY10" i="51"/>
  <c r="BB92" i="4" s="1"/>
  <c r="AW604" i="41"/>
  <c r="AV54" i="42"/>
  <c r="AV71" i="42" s="1"/>
  <c r="AV123" i="4" s="1"/>
  <c r="AS310" i="41"/>
  <c r="AS318" i="41" s="1"/>
  <c r="AS319" i="41" s="1"/>
  <c r="AU361" i="41"/>
  <c r="AU369" i="41" s="1"/>
  <c r="AU432" i="41"/>
  <c r="AU440" i="41" s="1"/>
  <c r="AU442" i="41" s="1"/>
  <c r="BK144" i="4"/>
  <c r="BK69" i="4"/>
  <c r="BJ144" i="4"/>
  <c r="BJ246" i="4" s="1"/>
  <c r="BJ69" i="4"/>
  <c r="AU399" i="41"/>
  <c r="AU419" i="41"/>
  <c r="AU424" i="41" s="1"/>
  <c r="AU425" i="41" s="1"/>
  <c r="AU428" i="41" s="1"/>
  <c r="BI144" i="4"/>
  <c r="BI246" i="4" s="1"/>
  <c r="BI69" i="4"/>
  <c r="AU69" i="41"/>
  <c r="AU374" i="41" s="1"/>
  <c r="AU382" i="41" s="1"/>
  <c r="AU362" i="41"/>
  <c r="AU370" i="41" s="1"/>
  <c r="AU371" i="41" s="1"/>
  <c r="AU400" i="41"/>
  <c r="AU408" i="41" s="1"/>
  <c r="AU409" i="41" s="1"/>
  <c r="AU330" i="41"/>
  <c r="AU338" i="41" s="1"/>
  <c r="AU339" i="41" s="1"/>
  <c r="AU344" i="41" s="1"/>
  <c r="AU309" i="41"/>
  <c r="AU65" i="41"/>
  <c r="AU54" i="42"/>
  <c r="AU71" i="42" s="1"/>
  <c r="AR10" i="51"/>
  <c r="AU53" i="42"/>
  <c r="AU70" i="42" s="1"/>
  <c r="AW244" i="51"/>
  <c r="AZ133" i="39" s="1"/>
  <c r="AZ156" i="39" s="1"/>
  <c r="AV244" i="51"/>
  <c r="AY133" i="39" s="1"/>
  <c r="AY156" i="39" s="1"/>
  <c r="AY159" i="39" s="1"/>
  <c r="AU244" i="51"/>
  <c r="AX133" i="39" s="1"/>
  <c r="AX156" i="39" s="1"/>
  <c r="AX244" i="51"/>
  <c r="BA133" i="39" s="1"/>
  <c r="BA156" i="39" s="1"/>
  <c r="N229" i="4"/>
  <c r="CF23" i="3" s="1"/>
  <c r="Z152" i="41"/>
  <c r="N213" i="4"/>
  <c r="DN108" i="51"/>
  <c r="BM586" i="41" s="1"/>
  <c r="N204" i="4"/>
  <c r="AN106" i="40"/>
  <c r="AO106" i="40" s="1"/>
  <c r="AP106" i="40" s="1"/>
  <c r="AQ106" i="40" s="1"/>
  <c r="AR106" i="40" s="1"/>
  <c r="AR46" i="61" s="1"/>
  <c r="N207" i="4"/>
  <c r="H28" i="4"/>
  <c r="O16" i="42"/>
  <c r="O18" i="42" s="1"/>
  <c r="O22" i="42" s="1"/>
  <c r="O23" i="42" s="1"/>
  <c r="Y33" i="40"/>
  <c r="Y39" i="40" s="1"/>
  <c r="Y77" i="4" s="1"/>
  <c r="DH26" i="51"/>
  <c r="DM26" i="51" s="1"/>
  <c r="DR26" i="51" s="1"/>
  <c r="AD303" i="41"/>
  <c r="AD304" i="41" s="1"/>
  <c r="BA266" i="41"/>
  <c r="DD30" i="51"/>
  <c r="DD46" i="51" s="1"/>
  <c r="DI149" i="4"/>
  <c r="AX64" i="39"/>
  <c r="AX110" i="39" s="1"/>
  <c r="AX109" i="39" s="1"/>
  <c r="I42" i="4"/>
  <c r="I50" i="4" s="1"/>
  <c r="CN38" i="3"/>
  <c r="O249" i="4"/>
  <c r="BD152" i="41"/>
  <c r="L149" i="4"/>
  <c r="AD149" i="4"/>
  <c r="BL367" i="41"/>
  <c r="BL366" i="41" s="1"/>
  <c r="R28" i="4"/>
  <c r="AM641" i="41"/>
  <c r="BC165" i="41"/>
  <c r="BC130" i="41" s="1"/>
  <c r="R10" i="4"/>
  <c r="R9" i="42"/>
  <c r="R10" i="42" s="1"/>
  <c r="AF149" i="4"/>
  <c r="BI69" i="40"/>
  <c r="BH266" i="41"/>
  <c r="I213" i="4"/>
  <c r="BC64" i="39"/>
  <c r="BC110" i="39" s="1"/>
  <c r="Z23" i="42"/>
  <c r="Q254" i="4"/>
  <c r="AA266" i="41"/>
  <c r="X19" i="4"/>
  <c r="CO149" i="4"/>
  <c r="I210" i="4"/>
  <c r="AM195" i="4"/>
  <c r="AW367" i="41"/>
  <c r="AW366" i="41" s="1"/>
  <c r="BI357" i="41"/>
  <c r="BI154" i="41" s="1"/>
  <c r="N195" i="4"/>
  <c r="CO38" i="3"/>
  <c r="AN152" i="41"/>
  <c r="R38" i="42"/>
  <c r="BD114" i="39"/>
  <c r="CT149" i="4"/>
  <c r="AD146" i="41"/>
  <c r="W10" i="42"/>
  <c r="AM57" i="3"/>
  <c r="BD14" i="4"/>
  <c r="AB148" i="41"/>
  <c r="AM275" i="41"/>
  <c r="X229" i="4"/>
  <c r="CP23" i="3" s="1"/>
  <c r="N227" i="4"/>
  <c r="CF21" i="3" s="1"/>
  <c r="I195" i="4"/>
  <c r="DD149" i="4"/>
  <c r="CM38" i="3"/>
  <c r="N228" i="4"/>
  <c r="CF22" i="3" s="1"/>
  <c r="BC14" i="39"/>
  <c r="AG291" i="41"/>
  <c r="AG261" i="41" s="1"/>
  <c r="AB266" i="41"/>
  <c r="S57" i="3"/>
  <c r="AB27" i="40"/>
  <c r="AB56" i="40" s="1"/>
  <c r="W28" i="41"/>
  <c r="W575" i="41" s="1"/>
  <c r="AM629" i="41"/>
  <c r="BJ132" i="4"/>
  <c r="Q149" i="4"/>
  <c r="AM626" i="41"/>
  <c r="AT152" i="41"/>
  <c r="AM620" i="41"/>
  <c r="AM640" i="41"/>
  <c r="AY14" i="4"/>
  <c r="AT357" i="41"/>
  <c r="AT358" i="41" s="1"/>
  <c r="DP108" i="51"/>
  <c r="BO586" i="41" s="1"/>
  <c r="AB261" i="41"/>
  <c r="BB165" i="41"/>
  <c r="BB129" i="41" s="1"/>
  <c r="AX129" i="41" s="1"/>
  <c r="AI629" i="41"/>
  <c r="AA104" i="4"/>
  <c r="M27" i="4"/>
  <c r="M34" i="4" s="1"/>
  <c r="M38" i="4" s="1"/>
  <c r="M42" i="4" s="1"/>
  <c r="BJ266" i="41"/>
  <c r="CY149" i="4"/>
  <c r="BU137" i="41"/>
  <c r="AZ266" i="41"/>
  <c r="AK266" i="41"/>
  <c r="AB454" i="41"/>
  <c r="AB139" i="4"/>
  <c r="AB149" i="4" s="1"/>
  <c r="AC57" i="3"/>
  <c r="AC406" i="41"/>
  <c r="AI620" i="41"/>
  <c r="AR275" i="41"/>
  <c r="AR274" i="41" s="1"/>
  <c r="AQ22" i="42"/>
  <c r="AQ27" i="40"/>
  <c r="AQ21" i="40"/>
  <c r="AR58" i="40"/>
  <c r="AS109" i="40"/>
  <c r="BV96" i="39"/>
  <c r="BW93" i="39"/>
  <c r="BV99" i="39"/>
  <c r="I227" i="4"/>
  <c r="CA21" i="3" s="1"/>
  <c r="I228" i="4"/>
  <c r="CA22" i="3" s="1"/>
  <c r="BB25" i="41"/>
  <c r="I204" i="4"/>
  <c r="AA149" i="4"/>
  <c r="AC195" i="4"/>
  <c r="AP37" i="42"/>
  <c r="AP61" i="42"/>
  <c r="AS244" i="4"/>
  <c r="AT244" i="4" s="1"/>
  <c r="AS266" i="41"/>
  <c r="AS152" i="41"/>
  <c r="AR461" i="41"/>
  <c r="AQ462" i="41"/>
  <c r="AW189" i="41"/>
  <c r="AT189" i="41" s="1"/>
  <c r="AT176" i="41"/>
  <c r="AT186" i="41" s="1"/>
  <c r="AS176" i="41"/>
  <c r="AS186" i="41" s="1"/>
  <c r="AS165" i="41"/>
  <c r="DG258" i="51"/>
  <c r="BF138" i="39" s="1"/>
  <c r="AY114" i="39"/>
  <c r="BE85" i="39"/>
  <c r="AT53" i="42"/>
  <c r="AT70" i="42" s="1"/>
  <c r="AT54" i="42"/>
  <c r="AT71" i="42" s="1"/>
  <c r="AQ10" i="51"/>
  <c r="AS53" i="42"/>
  <c r="AS70" i="42" s="1"/>
  <c r="AS419" i="41"/>
  <c r="AS432" i="41"/>
  <c r="AS329" i="41"/>
  <c r="AS399" i="41"/>
  <c r="AS69" i="41"/>
  <c r="AS361" i="41"/>
  <c r="AS369" i="41" s="1"/>
  <c r="AS330" i="41"/>
  <c r="AS338" i="41" s="1"/>
  <c r="AS339" i="41" s="1"/>
  <c r="AS400" i="41"/>
  <c r="AS408" i="41" s="1"/>
  <c r="AS409" i="41" s="1"/>
  <c r="AS362" i="41"/>
  <c r="AS370" i="41" s="1"/>
  <c r="AS309" i="41"/>
  <c r="AS65" i="41"/>
  <c r="DI258" i="51"/>
  <c r="BH138" i="39" s="1"/>
  <c r="DE258" i="51"/>
  <c r="BD138" i="39" s="1"/>
  <c r="DJ258" i="51"/>
  <c r="BI138" i="39" s="1"/>
  <c r="AL30" i="51"/>
  <c r="AO54" i="42" s="1"/>
  <c r="AO71" i="42" s="1"/>
  <c r="AO123" i="4" s="1"/>
  <c r="DF258" i="51"/>
  <c r="DK258" i="51"/>
  <c r="BJ138" i="39" s="1"/>
  <c r="AS54" i="42"/>
  <c r="AS71" i="42" s="1"/>
  <c r="AP10" i="51"/>
  <c r="DD258" i="51"/>
  <c r="BC138" i="39" s="1"/>
  <c r="CD258" i="51"/>
  <c r="AK30" i="51"/>
  <c r="AN54" i="42" s="1"/>
  <c r="AN71" i="42" s="1"/>
  <c r="DL54" i="3"/>
  <c r="DL56" i="3" s="1"/>
  <c r="AY109" i="39"/>
  <c r="BD109" i="39" s="1"/>
  <c r="BI109" i="39" s="1"/>
  <c r="BN109" i="39" s="1"/>
  <c r="BN107" i="39" s="1"/>
  <c r="BN12" i="39" s="1"/>
  <c r="AL16" i="42"/>
  <c r="AL18" i="42" s="1"/>
  <c r="AL22" i="42" s="1"/>
  <c r="AL29" i="42" s="1"/>
  <c r="AL33" i="42" s="1"/>
  <c r="BA240" i="41"/>
  <c r="BA104" i="41" s="1"/>
  <c r="AP466" i="41"/>
  <c r="Y154" i="41"/>
  <c r="AX152" i="41"/>
  <c r="AP266" i="41"/>
  <c r="AP152" i="41"/>
  <c r="BN357" i="41"/>
  <c r="BN383" i="41"/>
  <c r="BK248" i="41"/>
  <c r="BJ248" i="41" s="1"/>
  <c r="BI248" i="41" s="1"/>
  <c r="BH248" i="41" s="1"/>
  <c r="BQ248" i="41"/>
  <c r="BP248" i="41" s="1"/>
  <c r="BO248" i="41" s="1"/>
  <c r="BN248" i="41" s="1"/>
  <c r="BM248" i="41" s="1"/>
  <c r="AZ240" i="41"/>
  <c r="AZ104" i="41" s="1"/>
  <c r="BN62" i="39"/>
  <c r="BQ62" i="39" s="1"/>
  <c r="BI114" i="39"/>
  <c r="BJ85" i="39"/>
  <c r="AI11" i="51"/>
  <c r="CV30" i="51"/>
  <c r="DI244" i="51"/>
  <c r="BH139" i="39" s="1"/>
  <c r="CW244" i="51"/>
  <c r="CV244" i="51"/>
  <c r="CT244" i="51"/>
  <c r="CK244" i="51"/>
  <c r="CP244" i="51"/>
  <c r="CL244" i="51"/>
  <c r="CR244" i="51"/>
  <c r="DN244" i="51"/>
  <c r="BM139" i="39" s="1"/>
  <c r="DP244" i="51"/>
  <c r="BO139" i="39" s="1"/>
  <c r="CU244" i="51"/>
  <c r="CO244" i="51"/>
  <c r="DL244" i="51"/>
  <c r="BK139" i="39" s="1"/>
  <c r="DO244" i="51"/>
  <c r="BN139" i="39" s="1"/>
  <c r="DQ244" i="51"/>
  <c r="BP139" i="39" s="1"/>
  <c r="DK244" i="51"/>
  <c r="DJ244" i="51"/>
  <c r="BI139" i="39" s="1"/>
  <c r="CQ244" i="51"/>
  <c r="CI126" i="51"/>
  <c r="CD244" i="51"/>
  <c r="CW30" i="51"/>
  <c r="CU30" i="51"/>
  <c r="CQ30" i="51"/>
  <c r="CY30" i="51"/>
  <c r="CZ44" i="51"/>
  <c r="CZ46" i="51" s="1"/>
  <c r="DJ44" i="51"/>
  <c r="DB108" i="51"/>
  <c r="BA586" i="41" s="1"/>
  <c r="CY108" i="51"/>
  <c r="AX586" i="41" s="1"/>
  <c r="AO10" i="51"/>
  <c r="CT30" i="51"/>
  <c r="AO46" i="51"/>
  <c r="DO108" i="51"/>
  <c r="BN586" i="41" s="1"/>
  <c r="CZ108" i="51"/>
  <c r="AY586" i="41" s="1"/>
  <c r="DI44" i="51"/>
  <c r="BA46" i="51"/>
  <c r="CY44" i="51"/>
  <c r="DE44" i="51"/>
  <c r="DE46" i="51" s="1"/>
  <c r="AQ70" i="42"/>
  <c r="AR70" i="42" s="1"/>
  <c r="BN54" i="42"/>
  <c r="BN71" i="42" s="1"/>
  <c r="BN123" i="4" s="1"/>
  <c r="BK46" i="51"/>
  <c r="BM54" i="42"/>
  <c r="BM71" i="42" s="1"/>
  <c r="BJ46" i="51"/>
  <c r="BQ54" i="42"/>
  <c r="BN46" i="51"/>
  <c r="BO54" i="42"/>
  <c r="BO71" i="42" s="1"/>
  <c r="BO123" i="4" s="1"/>
  <c r="BL46" i="51"/>
  <c r="BP54" i="42"/>
  <c r="BP71" i="42" s="1"/>
  <c r="BP123" i="4" s="1"/>
  <c r="BM46" i="51"/>
  <c r="DQ22" i="51"/>
  <c r="DQ30" i="51" s="1"/>
  <c r="DO22" i="51"/>
  <c r="DO30" i="51" s="1"/>
  <c r="DO46" i="51" s="1"/>
  <c r="DP22" i="51"/>
  <c r="DP30" i="51" s="1"/>
  <c r="DN22" i="51"/>
  <c r="DN30" i="51" s="1"/>
  <c r="DN46" i="51" s="1"/>
  <c r="CW108" i="51"/>
  <c r="CP30" i="51"/>
  <c r="BQ92" i="4"/>
  <c r="BN12" i="51"/>
  <c r="BQ604" i="41"/>
  <c r="BQ607" i="41" s="1"/>
  <c r="BM607" i="41"/>
  <c r="DG30" i="51"/>
  <c r="DG46" i="51" s="1"/>
  <c r="BP92" i="4"/>
  <c r="BP142" i="4" s="1"/>
  <c r="BM12" i="51"/>
  <c r="BL12" i="51"/>
  <c r="BO92" i="4"/>
  <c r="BO142" i="4" s="1"/>
  <c r="BK12" i="51"/>
  <c r="BN92" i="4"/>
  <c r="BN142" i="4" s="1"/>
  <c r="BJ12" i="51"/>
  <c r="BM92" i="4"/>
  <c r="BM142" i="4" s="1"/>
  <c r="EE60" i="3" s="1"/>
  <c r="BA48" i="40"/>
  <c r="BA8" i="40" s="1"/>
  <c r="AY48" i="40"/>
  <c r="AY8" i="40" s="1"/>
  <c r="AX48" i="40"/>
  <c r="AX8" i="40" s="1"/>
  <c r="BN585" i="41"/>
  <c r="BM585" i="41"/>
  <c r="BO138" i="39"/>
  <c r="BN138" i="39"/>
  <c r="DP11" i="51"/>
  <c r="BO96" i="4" s="1"/>
  <c r="DO11" i="51"/>
  <c r="BN96" i="4" s="1"/>
  <c r="DA30" i="51"/>
  <c r="BO585" i="41"/>
  <c r="BP585" i="41"/>
  <c r="DQ118" i="51"/>
  <c r="BM138" i="39"/>
  <c r="BP138" i="39"/>
  <c r="DN11" i="51"/>
  <c r="BM96" i="4" s="1"/>
  <c r="DQ11" i="51"/>
  <c r="BP96" i="4" s="1"/>
  <c r="BI55" i="41"/>
  <c r="BI53" i="41" s="1"/>
  <c r="BM58" i="39"/>
  <c r="BM85" i="39" s="1"/>
  <c r="BN58" i="39"/>
  <c r="BO58" i="39"/>
  <c r="BO85" i="39" s="1"/>
  <c r="BP58" i="39"/>
  <c r="BP85" i="39" s="1"/>
  <c r="BO401" i="41"/>
  <c r="BO420" i="41"/>
  <c r="BP58" i="64"/>
  <c r="BX77" i="64" s="1"/>
  <c r="BM59" i="41"/>
  <c r="BQ59" i="41" s="1"/>
  <c r="BP57" i="64"/>
  <c r="BX76" i="64" s="1"/>
  <c r="BM60" i="41"/>
  <c r="BM420" i="41" s="1"/>
  <c r="BP59" i="64"/>
  <c r="BX78" i="64" s="1"/>
  <c r="BP401" i="41"/>
  <c r="BP420" i="41"/>
  <c r="BN420" i="41"/>
  <c r="BN401" i="41"/>
  <c r="F152" i="4"/>
  <c r="G150" i="4" s="1"/>
  <c r="G152" i="4" s="1"/>
  <c r="H150" i="4" s="1"/>
  <c r="I104" i="4"/>
  <c r="AZ144" i="4"/>
  <c r="AZ246" i="4" s="1"/>
  <c r="AZ69" i="4"/>
  <c r="DE116" i="51"/>
  <c r="BD585" i="41" s="1"/>
  <c r="AP65" i="41"/>
  <c r="AP269" i="41" s="1"/>
  <c r="AP277" i="41" s="1"/>
  <c r="DD116" i="51"/>
  <c r="BC585" i="41" s="1"/>
  <c r="AC221" i="41"/>
  <c r="AP419" i="41"/>
  <c r="AP432" i="41"/>
  <c r="AP361" i="41"/>
  <c r="AP369" i="41" s="1"/>
  <c r="AP329" i="41"/>
  <c r="AP399" i="41"/>
  <c r="AP69" i="41"/>
  <c r="AP330" i="41"/>
  <c r="AP362" i="41"/>
  <c r="AP370" i="41" s="1"/>
  <c r="AP400" i="41"/>
  <c r="AP408" i="41" s="1"/>
  <c r="AP409" i="41" s="1"/>
  <c r="AP315" i="41"/>
  <c r="AP316" i="41" s="1"/>
  <c r="AP324" i="41" s="1"/>
  <c r="Y23" i="42"/>
  <c r="DL44" i="51"/>
  <c r="CG12" i="51"/>
  <c r="BB223" i="41"/>
  <c r="AG330" i="41"/>
  <c r="AG362" i="41"/>
  <c r="AG370" i="41" s="1"/>
  <c r="DK116" i="51"/>
  <c r="BJ585" i="41" s="1"/>
  <c r="DB44" i="51"/>
  <c r="DL116" i="51"/>
  <c r="BK585" i="41" s="1"/>
  <c r="DJ116" i="51"/>
  <c r="BI585" i="41" s="1"/>
  <c r="DI116" i="51"/>
  <c r="BH585" i="41" s="1"/>
  <c r="DG116" i="51"/>
  <c r="BF585" i="41" s="1"/>
  <c r="DF116" i="51"/>
  <c r="BE585" i="41" s="1"/>
  <c r="DK44" i="51"/>
  <c r="BU12" i="51"/>
  <c r="AP123" i="4"/>
  <c r="L46" i="51"/>
  <c r="AY62" i="39"/>
  <c r="AY85" i="39" s="1"/>
  <c r="BD62" i="39"/>
  <c r="BD85" i="39" s="1"/>
  <c r="AI213" i="39"/>
  <c r="AJ213" i="39" s="1"/>
  <c r="AK213" i="39" s="1"/>
  <c r="AL213" i="39" s="1"/>
  <c r="AM213" i="39" s="1"/>
  <c r="AO186" i="39"/>
  <c r="BH132" i="39"/>
  <c r="BH155" i="39" s="1"/>
  <c r="BE260" i="51"/>
  <c r="BD132" i="39"/>
  <c r="BD155" i="39" s="1"/>
  <c r="BD159" i="39" s="1"/>
  <c r="BA260" i="51"/>
  <c r="BF132" i="39"/>
  <c r="BF155" i="39" s="1"/>
  <c r="BC260" i="51"/>
  <c r="BI132" i="39"/>
  <c r="BI155" i="39" s="1"/>
  <c r="BI159" i="39" s="1"/>
  <c r="BF260" i="51"/>
  <c r="BE132" i="39"/>
  <c r="BE155" i="39" s="1"/>
  <c r="BE159" i="39" s="1"/>
  <c r="BB260" i="51"/>
  <c r="Z148" i="41"/>
  <c r="BC53" i="40"/>
  <c r="BC66" i="40" s="1"/>
  <c r="DF44" i="51"/>
  <c r="DF46" i="51" s="1"/>
  <c r="BY101" i="64"/>
  <c r="CA101" i="64" s="1"/>
  <c r="AU353" i="41"/>
  <c r="BG240" i="41"/>
  <c r="BG243" i="41" s="1"/>
  <c r="BF401" i="41"/>
  <c r="AQ318" i="41"/>
  <c r="AQ319" i="41" s="1"/>
  <c r="BA338" i="41"/>
  <c r="BA339" i="41" s="1"/>
  <c r="BG223" i="41"/>
  <c r="BG104" i="41"/>
  <c r="AK626" i="41"/>
  <c r="AK629" i="41"/>
  <c r="Z358" i="41"/>
  <c r="BL130" i="41"/>
  <c r="BL129" i="41"/>
  <c r="BH129" i="41" s="1"/>
  <c r="BI129" i="41" s="1"/>
  <c r="BJ129" i="41" s="1"/>
  <c r="BK129" i="41" s="1"/>
  <c r="BK128" i="41" s="1"/>
  <c r="AK620" i="41"/>
  <c r="BU131" i="41"/>
  <c r="CC41" i="72"/>
  <c r="R545" i="41"/>
  <c r="BG130" i="41"/>
  <c r="BG129" i="41"/>
  <c r="BC129" i="41" s="1"/>
  <c r="BC128" i="41" s="1"/>
  <c r="BK223" i="41"/>
  <c r="BK240" i="41" s="1"/>
  <c r="BK104" i="41" s="1"/>
  <c r="BY23" i="64"/>
  <c r="BY15" i="64"/>
  <c r="BY72" i="64" s="1"/>
  <c r="BZ72" i="64" s="1"/>
  <c r="BY29" i="64"/>
  <c r="BF84" i="4"/>
  <c r="BC83" i="40"/>
  <c r="BG84" i="4"/>
  <c r="BD83" i="40"/>
  <c r="BD96" i="40" s="1"/>
  <c r="BE83" i="40"/>
  <c r="BG48" i="40"/>
  <c r="BE48" i="40" s="1"/>
  <c r="BE8" i="40" s="1"/>
  <c r="BD55" i="41"/>
  <c r="BE53" i="41"/>
  <c r="BE401" i="41" s="1"/>
  <c r="BJ60" i="41"/>
  <c r="BI59" i="41"/>
  <c r="BF59" i="41"/>
  <c r="BD59" i="41"/>
  <c r="BK60" i="41"/>
  <c r="BK420" i="41" s="1"/>
  <c r="AK149" i="4"/>
  <c r="V149" i="4"/>
  <c r="P44" i="42"/>
  <c r="U149" i="4"/>
  <c r="AG10" i="42"/>
  <c r="AH29" i="42"/>
  <c r="AH33" i="42" s="1"/>
  <c r="AH37" i="42" s="1"/>
  <c r="AH39" i="42" s="1"/>
  <c r="AH58" i="61" s="1"/>
  <c r="AZ85" i="39"/>
  <c r="AN581" i="41"/>
  <c r="AN604" i="41" s="1"/>
  <c r="AO581" i="41"/>
  <c r="AO604" i="41" s="1"/>
  <c r="AE12" i="51"/>
  <c r="U12" i="51"/>
  <c r="BQ12" i="51"/>
  <c r="CC12" i="51"/>
  <c r="W29" i="42"/>
  <c r="W33" i="42" s="1"/>
  <c r="W37" i="42" s="1"/>
  <c r="W44" i="42" s="1"/>
  <c r="S23" i="42"/>
  <c r="BY103" i="64"/>
  <c r="CA103" i="64" s="1"/>
  <c r="BY105" i="64"/>
  <c r="CA105" i="64" s="1"/>
  <c r="BY102" i="64"/>
  <c r="CA102" i="64" s="1"/>
  <c r="BA100" i="64" s="1"/>
  <c r="BR12" i="51"/>
  <c r="Z12" i="51"/>
  <c r="AI133" i="39"/>
  <c r="AI156" i="39" s="1"/>
  <c r="AM156" i="39" s="1"/>
  <c r="N23" i="42"/>
  <c r="AJ159" i="39"/>
  <c r="Y92" i="39"/>
  <c r="BH64" i="39"/>
  <c r="BH110" i="39" s="1"/>
  <c r="DB30" i="51"/>
  <c r="CE12" i="51"/>
  <c r="DL22" i="51"/>
  <c r="DL30" i="51" s="1"/>
  <c r="DJ22" i="51"/>
  <c r="DJ30" i="51" s="1"/>
  <c r="DK22" i="51"/>
  <c r="DK30" i="51" s="1"/>
  <c r="DI22" i="51"/>
  <c r="DI30" i="51" s="1"/>
  <c r="BX12" i="51"/>
  <c r="BW12" i="51"/>
  <c r="N46" i="51"/>
  <c r="DA108" i="51"/>
  <c r="AZ586" i="41" s="1"/>
  <c r="DA44" i="51"/>
  <c r="AQ46" i="51"/>
  <c r="CO30" i="51"/>
  <c r="CU108" i="51"/>
  <c r="AD29" i="42"/>
  <c r="AD33" i="42" s="1"/>
  <c r="BY104" i="64"/>
  <c r="CA104" i="64" s="1"/>
  <c r="Z454" i="41"/>
  <c r="BE152" i="41"/>
  <c r="X195" i="4"/>
  <c r="AE61" i="42"/>
  <c r="AE37" i="42"/>
  <c r="AE39" i="42" s="1"/>
  <c r="AE45" i="42" s="1"/>
  <c r="P254" i="4"/>
  <c r="BI14" i="4"/>
  <c r="Y454" i="41"/>
  <c r="J29" i="42"/>
  <c r="J33" i="42" s="1"/>
  <c r="J37" i="42" s="1"/>
  <c r="J39" i="42" s="1"/>
  <c r="J45" i="42" s="1"/>
  <c r="BH10" i="51"/>
  <c r="BK92" i="4" s="1"/>
  <c r="BK142" i="4" s="1"/>
  <c r="AE149" i="4"/>
  <c r="CR30" i="51"/>
  <c r="BI62" i="39"/>
  <c r="BI85" i="39" s="1"/>
  <c r="BB275" i="41"/>
  <c r="BB274" i="41" s="1"/>
  <c r="AR331" i="41"/>
  <c r="Y148" i="41"/>
  <c r="BA123" i="4"/>
  <c r="AE23" i="42"/>
  <c r="CV108" i="51"/>
  <c r="AX46" i="51"/>
  <c r="AG22" i="42"/>
  <c r="AG23" i="42" s="1"/>
  <c r="BT12" i="51"/>
  <c r="AB153" i="39"/>
  <c r="AQ283" i="41"/>
  <c r="I23" i="42"/>
  <c r="BC11" i="51"/>
  <c r="BF91" i="4" s="1"/>
  <c r="BF141" i="4" s="1"/>
  <c r="AC441" i="41"/>
  <c r="O104" i="4"/>
  <c r="BV12" i="51"/>
  <c r="AI37" i="42"/>
  <c r="AI44" i="42" s="1"/>
  <c r="M10" i="51"/>
  <c r="BH46" i="51"/>
  <c r="BF152" i="41"/>
  <c r="AS46" i="51"/>
  <c r="BK123" i="4"/>
  <c r="CF12" i="51"/>
  <c r="AE405" i="41"/>
  <c r="AF405" i="41" s="1"/>
  <c r="O149" i="4"/>
  <c r="AG22" i="41"/>
  <c r="AQ65" i="41"/>
  <c r="AQ202" i="41" s="1"/>
  <c r="AA291" i="41"/>
  <c r="AQ570" i="41"/>
  <c r="AQ599" i="41" s="1"/>
  <c r="AK61" i="42"/>
  <c r="N11" i="51"/>
  <c r="AV118" i="51"/>
  <c r="BL70" i="42"/>
  <c r="BZ12" i="51"/>
  <c r="AA148" i="41"/>
  <c r="BL311" i="41"/>
  <c r="L29" i="42"/>
  <c r="L33" i="42" s="1"/>
  <c r="L37" i="42" s="1"/>
  <c r="L44" i="42" s="1"/>
  <c r="V44" i="42"/>
  <c r="AC29" i="42"/>
  <c r="AC33" i="42" s="1"/>
  <c r="AC37" i="42" s="1"/>
  <c r="CJ38" i="3"/>
  <c r="AG266" i="41"/>
  <c r="AG186" i="39"/>
  <c r="O89" i="39"/>
  <c r="BF118" i="51"/>
  <c r="AQ266" i="41"/>
  <c r="DE45" i="3"/>
  <c r="AC118" i="51"/>
  <c r="BE11" i="51"/>
  <c r="BH91" i="4" s="1"/>
  <c r="BH141" i="4" s="1"/>
  <c r="AL152" i="39"/>
  <c r="AL153" i="39" s="1"/>
  <c r="AF581" i="41"/>
  <c r="AF604" i="41" s="1"/>
  <c r="AF607" i="41" s="1"/>
  <c r="H149" i="4"/>
  <c r="AI306" i="41"/>
  <c r="AI331" i="41" s="1"/>
  <c r="AA318" i="41"/>
  <c r="AA319" i="41" s="1"/>
  <c r="BH133" i="39"/>
  <c r="BH156" i="39" s="1"/>
  <c r="BL156" i="39" s="1"/>
  <c r="AQ309" i="41"/>
  <c r="AQ315" i="41" s="1"/>
  <c r="AQ316" i="41" s="1"/>
  <c r="AA65" i="41"/>
  <c r="AA269" i="41" s="1"/>
  <c r="AA277" i="41" s="1"/>
  <c r="BS12" i="51"/>
  <c r="S118" i="51"/>
  <c r="T11" i="51"/>
  <c r="X11" i="51"/>
  <c r="AE159" i="39"/>
  <c r="AZ11" i="51"/>
  <c r="BC91" i="4" s="1"/>
  <c r="BC141" i="4" s="1"/>
  <c r="CT108" i="51"/>
  <c r="AN46" i="51"/>
  <c r="BC132" i="39"/>
  <c r="BC155" i="39" s="1"/>
  <c r="BC159" i="39" s="1"/>
  <c r="AH70" i="42"/>
  <c r="T10" i="51"/>
  <c r="BA607" i="41"/>
  <c r="Y255" i="4"/>
  <c r="L118" i="51"/>
  <c r="CH12" i="51"/>
  <c r="AH229" i="4"/>
  <c r="CZ23" i="3" s="1"/>
  <c r="T46" i="51"/>
  <c r="BF11" i="51"/>
  <c r="BI91" i="4" s="1"/>
  <c r="BI141" i="4" s="1"/>
  <c r="X46" i="51"/>
  <c r="BK266" i="41"/>
  <c r="BD357" i="41"/>
  <c r="BD358" i="41" s="1"/>
  <c r="BI12" i="51"/>
  <c r="AV11" i="51"/>
  <c r="AY91" i="4" s="1"/>
  <c r="AY141" i="4" s="1"/>
  <c r="Y11" i="51"/>
  <c r="BB11" i="51"/>
  <c r="BE91" i="4" s="1"/>
  <c r="BE141" i="4" s="1"/>
  <c r="AE68" i="42"/>
  <c r="AE67" i="42" s="1"/>
  <c r="Q118" i="51"/>
  <c r="AG104" i="4"/>
  <c r="AG42" i="4"/>
  <c r="AG50" i="4" s="1"/>
  <c r="K149" i="4"/>
  <c r="AV318" i="41"/>
  <c r="AV319" i="41" s="1"/>
  <c r="AD10" i="51"/>
  <c r="BK138" i="39"/>
  <c r="AX11" i="51"/>
  <c r="BA91" i="4" s="1"/>
  <c r="BA141" i="4" s="1"/>
  <c r="AD118" i="51"/>
  <c r="AI149" i="4"/>
  <c r="BA65" i="41"/>
  <c r="BA62" i="41" s="1"/>
  <c r="BK331" i="41"/>
  <c r="AJ357" i="41"/>
  <c r="AJ154" i="41" s="1"/>
  <c r="AB132" i="39"/>
  <c r="AB155" i="39" s="1"/>
  <c r="AG607" i="41"/>
  <c r="V46" i="51"/>
  <c r="AD607" i="41"/>
  <c r="L10" i="51"/>
  <c r="AA118" i="51"/>
  <c r="BB70" i="42"/>
  <c r="CA12" i="51"/>
  <c r="BL275" i="41"/>
  <c r="BL274" i="41" s="1"/>
  <c r="P12" i="51"/>
  <c r="R11" i="51"/>
  <c r="W65" i="41"/>
  <c r="J149" i="4"/>
  <c r="R118" i="51"/>
  <c r="CB12" i="51"/>
  <c r="BP12" i="51"/>
  <c r="AK68" i="42"/>
  <c r="AK67" i="42" s="1"/>
  <c r="AA11" i="51"/>
  <c r="V118" i="51"/>
  <c r="BK607" i="41"/>
  <c r="AW275" i="41"/>
  <c r="AW274" i="41" s="1"/>
  <c r="AL266" i="41"/>
  <c r="AL152" i="41"/>
  <c r="AA155" i="41"/>
  <c r="N39" i="42"/>
  <c r="N45" i="42" s="1"/>
  <c r="T39" i="42"/>
  <c r="T45" i="42" s="1"/>
  <c r="BK132" i="39"/>
  <c r="BK155" i="39" s="1"/>
  <c r="AB118" i="51"/>
  <c r="CW45" i="3"/>
  <c r="AX118" i="51"/>
  <c r="BH607" i="41"/>
  <c r="BC265" i="41"/>
  <c r="BG275" i="41"/>
  <c r="BG274" i="41" s="1"/>
  <c r="AF11" i="51"/>
  <c r="AL132" i="39"/>
  <c r="AL155" i="39" s="1"/>
  <c r="AM155" i="39" s="1"/>
  <c r="AU11" i="51"/>
  <c r="AX91" i="4" s="1"/>
  <c r="AX141" i="4" s="1"/>
  <c r="AE265" i="41"/>
  <c r="CE54" i="3"/>
  <c r="CE56" i="3" s="1"/>
  <c r="M139" i="4"/>
  <c r="AA186" i="39"/>
  <c r="AG309" i="41"/>
  <c r="AG315" i="41" s="1"/>
  <c r="AG316" i="41" s="1"/>
  <c r="Y306" i="41"/>
  <c r="Y331" i="41" s="1"/>
  <c r="M29" i="42"/>
  <c r="M33" i="42" s="1"/>
  <c r="M37" i="42" s="1"/>
  <c r="M39" i="42" s="1"/>
  <c r="M45" i="42" s="1"/>
  <c r="BG156" i="39"/>
  <c r="AN10" i="51"/>
  <c r="AH156" i="39"/>
  <c r="Q11" i="51"/>
  <c r="T118" i="51"/>
  <c r="AA255" i="4"/>
  <c r="AB318" i="41"/>
  <c r="AB319" i="41" s="1"/>
  <c r="AT383" i="41"/>
  <c r="AF37" i="42"/>
  <c r="AF39" i="42" s="1"/>
  <c r="AF45" i="42" s="1"/>
  <c r="AJ37" i="42"/>
  <c r="AJ44" i="42" s="1"/>
  <c r="AB11" i="51"/>
  <c r="BH11" i="51"/>
  <c r="BK91" i="4" s="1"/>
  <c r="BK141" i="4" s="1"/>
  <c r="AG123" i="4"/>
  <c r="BH118" i="51"/>
  <c r="BE118" i="51"/>
  <c r="V10" i="51"/>
  <c r="AD159" i="39"/>
  <c r="Z255" i="4"/>
  <c r="AI92" i="39"/>
  <c r="Z39" i="42"/>
  <c r="Z45" i="42" s="1"/>
  <c r="AH11" i="51"/>
  <c r="AD11" i="51"/>
  <c r="AD46" i="51"/>
  <c r="Z132" i="39"/>
  <c r="Z155" i="39" s="1"/>
  <c r="Z159" i="39" s="1"/>
  <c r="V11" i="51"/>
  <c r="H104" i="4"/>
  <c r="AG172" i="39"/>
  <c r="Y607" i="41"/>
  <c r="W149" i="4"/>
  <c r="AD186" i="39"/>
  <c r="AG181" i="39"/>
  <c r="AL600" i="41"/>
  <c r="AL601" i="41" s="1"/>
  <c r="R620" i="41"/>
  <c r="BG9" i="42"/>
  <c r="W11" i="51"/>
  <c r="AF266" i="41"/>
  <c r="AF152" i="41"/>
  <c r="BB62" i="42"/>
  <c r="L11" i="51"/>
  <c r="AZ46" i="51"/>
  <c r="BC53" i="42"/>
  <c r="BC70" i="42" s="1"/>
  <c r="BC123" i="4" s="1"/>
  <c r="AL86" i="4"/>
  <c r="AL85" i="4" s="1"/>
  <c r="AL139" i="4"/>
  <c r="AL149" i="4" s="1"/>
  <c r="AW46" i="51"/>
  <c r="AZ54" i="42"/>
  <c r="AZ71" i="42" s="1"/>
  <c r="AZ123" i="4" s="1"/>
  <c r="AU46" i="51"/>
  <c r="AX54" i="42"/>
  <c r="AX71" i="42" s="1"/>
  <c r="AX123" i="4" s="1"/>
  <c r="BK132" i="4"/>
  <c r="AG178" i="39"/>
  <c r="AG214" i="39" s="1"/>
  <c r="Q46" i="51"/>
  <c r="Q10" i="51"/>
  <c r="BC100" i="4"/>
  <c r="BC588" i="41" s="1"/>
  <c r="BD588" i="41"/>
  <c r="BJ581" i="41"/>
  <c r="BJ604" i="41" s="1"/>
  <c r="BJ607" i="41" s="1"/>
  <c r="BG118" i="51"/>
  <c r="AK54" i="42"/>
  <c r="AK71" i="42" s="1"/>
  <c r="AH46" i="51"/>
  <c r="AL54" i="42"/>
  <c r="AL71" i="42" s="1"/>
  <c r="AL123" i="4" s="1"/>
  <c r="AI46" i="51"/>
  <c r="BH100" i="4"/>
  <c r="BH588" i="41" s="1"/>
  <c r="BI588" i="41"/>
  <c r="S10" i="51"/>
  <c r="S46" i="51"/>
  <c r="BE120" i="4"/>
  <c r="BF606" i="41"/>
  <c r="BF120" i="4" s="1"/>
  <c r="AZ581" i="41"/>
  <c r="AZ604" i="41" s="1"/>
  <c r="AZ607" i="41" s="1"/>
  <c r="AW118" i="51"/>
  <c r="AX100" i="4"/>
  <c r="AX588" i="41" s="1"/>
  <c r="AY588" i="41"/>
  <c r="CY62" i="3"/>
  <c r="CY61" i="3"/>
  <c r="BF54" i="42"/>
  <c r="BF71" i="42" s="1"/>
  <c r="BF123" i="4" s="1"/>
  <c r="BC46" i="51"/>
  <c r="BB46" i="51"/>
  <c r="BE54" i="42"/>
  <c r="BE71" i="42" s="1"/>
  <c r="BE123" i="4" s="1"/>
  <c r="AF46" i="51"/>
  <c r="AI53" i="42"/>
  <c r="AI70" i="42" s="1"/>
  <c r="AI123" i="4" s="1"/>
  <c r="AB478" i="41"/>
  <c r="AB448" i="41"/>
  <c r="AB450" i="41" s="1"/>
  <c r="AB107" i="41" s="1"/>
  <c r="AM46" i="51"/>
  <c r="AM10" i="51"/>
  <c r="AC156" i="39"/>
  <c r="W46" i="51"/>
  <c r="AH603" i="41"/>
  <c r="AR46" i="51"/>
  <c r="BE46" i="51"/>
  <c r="BE10" i="51"/>
  <c r="BH54" i="42"/>
  <c r="BH71" i="42" s="1"/>
  <c r="BH123" i="4" s="1"/>
  <c r="AF601" i="41"/>
  <c r="AG600" i="41"/>
  <c r="AG601" i="41" s="1"/>
  <c r="O55" i="39"/>
  <c r="O81" i="39"/>
  <c r="AF54" i="42"/>
  <c r="AF71" i="42" s="1"/>
  <c r="AF123" i="4" s="1"/>
  <c r="AC46" i="51"/>
  <c r="AC10" i="51"/>
  <c r="AX580" i="41"/>
  <c r="AX603" i="41" s="1"/>
  <c r="AU118" i="51"/>
  <c r="AA46" i="51"/>
  <c r="AA10" i="51"/>
  <c r="AD54" i="42"/>
  <c r="AD71" i="42" s="1"/>
  <c r="BG46" i="51"/>
  <c r="BG10" i="51"/>
  <c r="BJ92" i="4" s="1"/>
  <c r="BJ142" i="4" s="1"/>
  <c r="EB60" i="3" s="1"/>
  <c r="BJ54" i="42"/>
  <c r="BJ71" i="42" s="1"/>
  <c r="BJ123" i="4" s="1"/>
  <c r="AP46" i="51"/>
  <c r="W38" i="4"/>
  <c r="W104" i="4"/>
  <c r="BF420" i="41"/>
  <c r="BO58" i="64"/>
  <c r="AN331" i="41"/>
  <c r="AR223" i="41"/>
  <c r="AQ240" i="41"/>
  <c r="AQ104" i="41" s="1"/>
  <c r="AX311" i="41"/>
  <c r="BB311" i="41"/>
  <c r="AZ548" i="41"/>
  <c r="AR203" i="41"/>
  <c r="BY180" i="41" s="1"/>
  <c r="BY203" i="41" s="1"/>
  <c r="BY204" i="41" s="1"/>
  <c r="BY205" i="41" s="1"/>
  <c r="AX16" i="42"/>
  <c r="AX18" i="42" s="1"/>
  <c r="AX22" i="42" s="1"/>
  <c r="M11" i="51"/>
  <c r="BI35" i="42"/>
  <c r="BD40" i="4"/>
  <c r="BD248" i="4" s="1"/>
  <c r="AV240" i="41"/>
  <c r="AV104" i="41" s="1"/>
  <c r="AM29" i="42"/>
  <c r="AM33" i="42" s="1"/>
  <c r="AM37" i="42" s="1"/>
  <c r="AM23" i="42"/>
  <c r="BL603" i="41"/>
  <c r="DB45" i="3"/>
  <c r="AJ66" i="42"/>
  <c r="AJ67" i="42" s="1"/>
  <c r="BY11" i="51"/>
  <c r="S11" i="51"/>
  <c r="AC11" i="51"/>
  <c r="AF132" i="39"/>
  <c r="AF155" i="39" s="1"/>
  <c r="AH155" i="39" s="1"/>
  <c r="AB16" i="42"/>
  <c r="AB18" i="42" s="1"/>
  <c r="AB22" i="42" s="1"/>
  <c r="AB10" i="42"/>
  <c r="CX45" i="3"/>
  <c r="AF66" i="42"/>
  <c r="CZ45" i="3"/>
  <c r="AH66" i="42"/>
  <c r="X23" i="42"/>
  <c r="X29" i="42"/>
  <c r="X33" i="42" s="1"/>
  <c r="X37" i="42" s="1"/>
  <c r="CV45" i="3"/>
  <c r="AD66" i="42"/>
  <c r="AD67" i="42" s="1"/>
  <c r="AA29" i="42"/>
  <c r="AA33" i="42" s="1"/>
  <c r="AA37" i="42" s="1"/>
  <c r="AA23" i="42"/>
  <c r="BG11" i="51"/>
  <c r="BJ132" i="39"/>
  <c r="BJ155" i="39" s="1"/>
  <c r="R114" i="39"/>
  <c r="R65" i="39" s="1"/>
  <c r="W114" i="39"/>
  <c r="W65" i="39" s="1"/>
  <c r="AW11" i="51"/>
  <c r="AZ132" i="39"/>
  <c r="AZ155" i="39" s="1"/>
  <c r="BB155" i="39" s="1"/>
  <c r="AU240" i="41"/>
  <c r="AU104" i="41" s="1"/>
  <c r="BI121" i="4"/>
  <c r="BK246" i="4"/>
  <c r="BK121" i="4"/>
  <c r="AM60" i="3"/>
  <c r="BH144" i="4"/>
  <c r="CD30" i="51"/>
  <c r="CI28" i="51"/>
  <c r="O10" i="51"/>
  <c r="O118" i="51"/>
  <c r="R46" i="51"/>
  <c r="R10" i="51"/>
  <c r="BF46" i="51"/>
  <c r="BI54" i="42"/>
  <c r="BI71" i="42" s="1"/>
  <c r="BF10" i="51"/>
  <c r="AG11" i="51"/>
  <c r="AJ53" i="42"/>
  <c r="AJ70" i="42" s="1"/>
  <c r="AA581" i="41"/>
  <c r="AA604" i="41" s="1"/>
  <c r="AA607" i="41" s="1"/>
  <c r="X118" i="51"/>
  <c r="X10" i="51"/>
  <c r="Y159" i="39"/>
  <c r="O11" i="51"/>
  <c r="BC53" i="51"/>
  <c r="BC108" i="51" s="1"/>
  <c r="BA53" i="51"/>
  <c r="BA108" i="51" s="1"/>
  <c r="BA118" i="51" s="1"/>
  <c r="BD108" i="51"/>
  <c r="BB53" i="51"/>
  <c r="BB108" i="51" s="1"/>
  <c r="AZ53" i="51"/>
  <c r="AZ108" i="51" s="1"/>
  <c r="CD44" i="51"/>
  <c r="N118" i="51"/>
  <c r="N10" i="51"/>
  <c r="AJ580" i="41"/>
  <c r="AJ603" i="41" s="1"/>
  <c r="CD118" i="51"/>
  <c r="CI116" i="51"/>
  <c r="M46" i="51"/>
  <c r="BI607" i="41"/>
  <c r="AE607" i="41"/>
  <c r="AY607" i="41"/>
  <c r="BY46" i="51"/>
  <c r="BY10" i="51"/>
  <c r="AB581" i="41"/>
  <c r="AB604" i="41" s="1"/>
  <c r="AB607" i="41" s="1"/>
  <c r="Y10" i="51"/>
  <c r="AS10" i="51"/>
  <c r="CI108" i="51"/>
  <c r="CN53" i="51"/>
  <c r="AE54" i="42"/>
  <c r="AE71" i="42" s="1"/>
  <c r="AB46" i="51"/>
  <c r="AB10" i="51"/>
  <c r="AY54" i="42"/>
  <c r="AY71" i="42" s="1"/>
  <c r="AV46" i="51"/>
  <c r="W118" i="51"/>
  <c r="Z580" i="41"/>
  <c r="Z603" i="41" s="1"/>
  <c r="M118" i="51"/>
  <c r="Z604" i="41"/>
  <c r="BA11" i="51"/>
  <c r="BD91" i="4" s="1"/>
  <c r="BD141" i="4" s="1"/>
  <c r="BD53" i="42"/>
  <c r="BD70" i="42" s="1"/>
  <c r="Y118" i="51"/>
  <c r="BD580" i="41"/>
  <c r="BD603" i="41" s="1"/>
  <c r="CI127" i="51"/>
  <c r="BY260" i="51"/>
  <c r="W10" i="51"/>
  <c r="AG46" i="51"/>
  <c r="AH203" i="41"/>
  <c r="BW180" i="41" s="1"/>
  <c r="CD38" i="64"/>
  <c r="BY52" i="64"/>
  <c r="BY53" i="64"/>
  <c r="CD39" i="64"/>
  <c r="BO57" i="64"/>
  <c r="BH59" i="41"/>
  <c r="BO59" i="64"/>
  <c r="BH60" i="41"/>
  <c r="CD40" i="64"/>
  <c r="BY54" i="64"/>
  <c r="BX40" i="64"/>
  <c r="CD36" i="64"/>
  <c r="BY50" i="64"/>
  <c r="BN57" i="64"/>
  <c r="BC59" i="41"/>
  <c r="AQ408" i="41"/>
  <c r="AQ409" i="41" s="1"/>
  <c r="AW223" i="41"/>
  <c r="AH89" i="41"/>
  <c r="AH306" i="41" s="1"/>
  <c r="AD306" i="41"/>
  <c r="BN59" i="64"/>
  <c r="BC60" i="41"/>
  <c r="BG60" i="41" s="1"/>
  <c r="BN58" i="64"/>
  <c r="AZ22" i="42"/>
  <c r="AZ21" i="4"/>
  <c r="K29" i="42"/>
  <c r="K33" i="42" s="1"/>
  <c r="K37" i="42" s="1"/>
  <c r="K23" i="42"/>
  <c r="AK44" i="42"/>
  <c r="AK39" i="42"/>
  <c r="AK45" i="42" s="1"/>
  <c r="BB10" i="42"/>
  <c r="BD62" i="42"/>
  <c r="BI13" i="42"/>
  <c r="BC62" i="42"/>
  <c r="BH13" i="42"/>
  <c r="BM13" i="42" s="1"/>
  <c r="BG13" i="42"/>
  <c r="BC20" i="42"/>
  <c r="BE20" i="42"/>
  <c r="AZ25" i="4"/>
  <c r="BD16" i="42"/>
  <c r="BD18" i="42" s="1"/>
  <c r="BI9" i="42"/>
  <c r="BN9" i="42" s="1"/>
  <c r="BN10" i="42" s="1"/>
  <c r="BC34" i="42"/>
  <c r="AX39" i="4"/>
  <c r="BE62" i="42"/>
  <c r="BJ13" i="42"/>
  <c r="BB15" i="42"/>
  <c r="BC15" i="42"/>
  <c r="S44" i="42"/>
  <c r="S39" i="42"/>
  <c r="S45" i="42" s="1"/>
  <c r="BG8" i="42"/>
  <c r="BC10" i="42"/>
  <c r="BH8" i="42"/>
  <c r="BM8" i="42" s="1"/>
  <c r="BM10" i="42" s="1"/>
  <c r="BF16" i="42"/>
  <c r="BF18" i="42" s="1"/>
  <c r="BK9" i="42"/>
  <c r="BG12" i="42"/>
  <c r="BH12" i="42"/>
  <c r="I44" i="42"/>
  <c r="I39" i="42"/>
  <c r="I45" i="42" s="1"/>
  <c r="Q44" i="42"/>
  <c r="Q39" i="42"/>
  <c r="Q45" i="42" s="1"/>
  <c r="U44" i="42"/>
  <c r="U39" i="42"/>
  <c r="U45" i="42" s="1"/>
  <c r="Y44" i="42"/>
  <c r="Y39" i="42"/>
  <c r="Y45" i="42" s="1"/>
  <c r="BB14" i="42"/>
  <c r="BC14" i="42"/>
  <c r="BE18" i="42"/>
  <c r="BE10" i="42"/>
  <c r="BJ8" i="42"/>
  <c r="BO8" i="42" s="1"/>
  <c r="BO10" i="42" s="1"/>
  <c r="BF10" i="42"/>
  <c r="AY22" i="42"/>
  <c r="AY21" i="4"/>
  <c r="BF62" i="42"/>
  <c r="BK13" i="42"/>
  <c r="BC26" i="42"/>
  <c r="BC35" i="42"/>
  <c r="AX40" i="4"/>
  <c r="AX248" i="4" s="1"/>
  <c r="R21" i="41"/>
  <c r="R19" i="4"/>
  <c r="S19" i="4" s="1"/>
  <c r="AG31" i="41"/>
  <c r="AG34" i="41" s="1"/>
  <c r="AG574" i="41"/>
  <c r="AG575" i="41"/>
  <c r="S635" i="41"/>
  <c r="S642" i="41" s="1"/>
  <c r="S24" i="3"/>
  <c r="AM635" i="41"/>
  <c r="AM642" i="41" s="1"/>
  <c r="AM24" i="3"/>
  <c r="AA432" i="41"/>
  <c r="AA440" i="41" s="1"/>
  <c r="AA442" i="41" s="1"/>
  <c r="AA419" i="41"/>
  <c r="AA399" i="41"/>
  <c r="AA329" i="41"/>
  <c r="AA361" i="41"/>
  <c r="AA369" i="41" s="1"/>
  <c r="AA69" i="41"/>
  <c r="AK400" i="41"/>
  <c r="AK408" i="41" s="1"/>
  <c r="AK409" i="41" s="1"/>
  <c r="AK330" i="41"/>
  <c r="AK309" i="41"/>
  <c r="AK65" i="41"/>
  <c r="AD575" i="41"/>
  <c r="AD574" i="41"/>
  <c r="AD31" i="41"/>
  <c r="AD34" i="41" s="1"/>
  <c r="AF575" i="41"/>
  <c r="AF574" i="41"/>
  <c r="AF31" i="41"/>
  <c r="AF34" i="41" s="1"/>
  <c r="AQ432" i="41"/>
  <c r="AQ419" i="41"/>
  <c r="AQ399" i="41"/>
  <c r="AQ329" i="41"/>
  <c r="AQ361" i="41"/>
  <c r="AQ369" i="41" s="1"/>
  <c r="AQ69" i="41"/>
  <c r="AL432" i="41"/>
  <c r="AL419" i="41"/>
  <c r="AL399" i="41"/>
  <c r="AL361" i="41"/>
  <c r="AL369" i="41" s="1"/>
  <c r="AL329" i="41"/>
  <c r="AL69" i="41"/>
  <c r="BA315" i="41"/>
  <c r="BA316" i="41" s="1"/>
  <c r="Z232" i="41"/>
  <c r="Z233" i="41" s="1"/>
  <c r="AC81" i="41"/>
  <c r="AC232" i="41" s="1"/>
  <c r="BC331" i="41"/>
  <c r="BC311" i="41"/>
  <c r="P28" i="41"/>
  <c r="P22" i="41"/>
  <c r="AH28" i="41"/>
  <c r="AH22" i="41"/>
  <c r="AL400" i="41"/>
  <c r="AL408" i="41" s="1"/>
  <c r="AL409" i="41" s="1"/>
  <c r="AL330" i="41"/>
  <c r="BI94" i="41"/>
  <c r="BI95" i="41"/>
  <c r="BI93" i="41"/>
  <c r="BH92" i="41"/>
  <c r="BJ331" i="41"/>
  <c r="BJ311" i="41"/>
  <c r="AV309" i="41"/>
  <c r="AV187" i="41"/>
  <c r="AY237" i="41"/>
  <c r="BB237" i="41" s="1"/>
  <c r="AX238" i="41"/>
  <c r="AX130" i="41" s="1"/>
  <c r="AD240" i="41"/>
  <c r="AH233" i="41"/>
  <c r="AF278" i="41"/>
  <c r="AE270" i="41"/>
  <c r="AP186" i="41"/>
  <c r="AN186" i="41"/>
  <c r="AQ186" i="41"/>
  <c r="AO186" i="41"/>
  <c r="Y266" i="41"/>
  <c r="Y152" i="41"/>
  <c r="AY266" i="41"/>
  <c r="AY152" i="41"/>
  <c r="AG379" i="41"/>
  <c r="AD379" i="41"/>
  <c r="AD380" i="41" s="1"/>
  <c r="AB380" i="41"/>
  <c r="AC380" i="41" s="1"/>
  <c r="AG466" i="41"/>
  <c r="AC453" i="41"/>
  <c r="AC464" i="41"/>
  <c r="AY599" i="41"/>
  <c r="AY601" i="41" s="1"/>
  <c r="AY83" i="4"/>
  <c r="AX601" i="41"/>
  <c r="AY548" i="41"/>
  <c r="BD599" i="41"/>
  <c r="BD601" i="41" s="1"/>
  <c r="BD83" i="4"/>
  <c r="M623" i="41"/>
  <c r="M626" i="41"/>
  <c r="Z420" i="41"/>
  <c r="Z401" i="41"/>
  <c r="Z63" i="41"/>
  <c r="Z67" i="41"/>
  <c r="Z64" i="41"/>
  <c r="Z310" i="41" s="1"/>
  <c r="Z318" i="41" s="1"/>
  <c r="Z319" i="41" s="1"/>
  <c r="Z68" i="41"/>
  <c r="Z362" i="41" s="1"/>
  <c r="Z370" i="41" s="1"/>
  <c r="AF420" i="41"/>
  <c r="AF401" i="41"/>
  <c r="AF63" i="41"/>
  <c r="AF67" i="41"/>
  <c r="AF64" i="41"/>
  <c r="AF310" i="41" s="1"/>
  <c r="AF68" i="41"/>
  <c r="AF362" i="41" s="1"/>
  <c r="AF370" i="41" s="1"/>
  <c r="AT420" i="41"/>
  <c r="AT401" i="41"/>
  <c r="AT63" i="41"/>
  <c r="AW63" i="41" s="1"/>
  <c r="AT67" i="41"/>
  <c r="AW67" i="41" s="1"/>
  <c r="AT64" i="41"/>
  <c r="AT310" i="41" s="1"/>
  <c r="AT318" i="41" s="1"/>
  <c r="AT319" i="41" s="1"/>
  <c r="AT68" i="41"/>
  <c r="AT362" i="41" s="1"/>
  <c r="AT370" i="41" s="1"/>
  <c r="AZ420" i="41"/>
  <c r="AZ401" i="41"/>
  <c r="AZ63" i="41"/>
  <c r="AZ67" i="41"/>
  <c r="AZ64" i="41"/>
  <c r="AZ310" i="41" s="1"/>
  <c r="AZ318" i="41" s="1"/>
  <c r="AZ319" i="41" s="1"/>
  <c r="AZ68" i="41"/>
  <c r="AZ362" i="41" s="1"/>
  <c r="AZ370" i="41" s="1"/>
  <c r="Q574" i="41"/>
  <c r="Q575" i="41"/>
  <c r="Q31" i="41"/>
  <c r="Q34" i="41" s="1"/>
  <c r="AI575" i="41"/>
  <c r="AI574" i="41"/>
  <c r="AI31" i="41"/>
  <c r="AI34" i="41" s="1"/>
  <c r="AK574" i="41"/>
  <c r="AK575" i="41"/>
  <c r="AK31" i="41"/>
  <c r="AK34" i="41" s="1"/>
  <c r="T55" i="41"/>
  <c r="T53" i="41" s="1"/>
  <c r="U53" i="41"/>
  <c r="AI420" i="41"/>
  <c r="AI401" i="41"/>
  <c r="AI67" i="41"/>
  <c r="AM53" i="41"/>
  <c r="AM25" i="61" s="1"/>
  <c r="AI64" i="41"/>
  <c r="AI68" i="41"/>
  <c r="AI362" i="41" s="1"/>
  <c r="AI370" i="41" s="1"/>
  <c r="AI63" i="41"/>
  <c r="AN55" i="41"/>
  <c r="AN53" i="41" s="1"/>
  <c r="AO53" i="41"/>
  <c r="AM331" i="41"/>
  <c r="AM311" i="41"/>
  <c r="BG331" i="41"/>
  <c r="BG311" i="41"/>
  <c r="X28" i="41"/>
  <c r="X22" i="41"/>
  <c r="BJ227" i="41"/>
  <c r="BJ228" i="41" s="1"/>
  <c r="AI240" i="41"/>
  <c r="Y104" i="41"/>
  <c r="AR237" i="41"/>
  <c r="AO238" i="41"/>
  <c r="AR238" i="41" s="1"/>
  <c r="AW270" i="41"/>
  <c r="AQ270" i="41"/>
  <c r="AP270" i="41" s="1"/>
  <c r="AP278" i="41" s="1"/>
  <c r="AO266" i="41"/>
  <c r="AO152" i="41"/>
  <c r="BI266" i="41"/>
  <c r="BI152" i="41"/>
  <c r="AE357" i="41"/>
  <c r="AE383" i="41"/>
  <c r="AY357" i="41"/>
  <c r="AY358" i="41" s="1"/>
  <c r="AY383" i="41"/>
  <c r="AH437" i="41"/>
  <c r="AG438" i="41"/>
  <c r="AE466" i="41"/>
  <c r="AZ570" i="41"/>
  <c r="BA570" i="41" s="1"/>
  <c r="AH640" i="41"/>
  <c r="AH623" i="41"/>
  <c r="AH626" i="41"/>
  <c r="AH629" i="41"/>
  <c r="AJ623" i="41"/>
  <c r="AJ626" i="41"/>
  <c r="X623" i="41"/>
  <c r="X640" i="41"/>
  <c r="X626" i="41"/>
  <c r="X641" i="41"/>
  <c r="AC623" i="41"/>
  <c r="AC640" i="41"/>
  <c r="AC626" i="41"/>
  <c r="AC629" i="41"/>
  <c r="S623" i="41"/>
  <c r="S640" i="41"/>
  <c r="S626" i="41"/>
  <c r="S629" i="41"/>
  <c r="AG628" i="41"/>
  <c r="N623" i="41"/>
  <c r="N626" i="41"/>
  <c r="AB623" i="41"/>
  <c r="AB626" i="41"/>
  <c r="BE570" i="41"/>
  <c r="AI266" i="41"/>
  <c r="AI152" i="41"/>
  <c r="W623" i="41"/>
  <c r="W626" i="41"/>
  <c r="M28" i="41"/>
  <c r="M22" i="41"/>
  <c r="AC635" i="41"/>
  <c r="AC642" i="41" s="1"/>
  <c r="AC24" i="3"/>
  <c r="S575" i="41"/>
  <c r="S574" i="41"/>
  <c r="S31" i="41"/>
  <c r="S34" i="41" s="1"/>
  <c r="AC574" i="41"/>
  <c r="AC575" i="41"/>
  <c r="AC31" i="41"/>
  <c r="AC34" i="41" s="1"/>
  <c r="AM575" i="41"/>
  <c r="AM574" i="41"/>
  <c r="AM31" i="41"/>
  <c r="AM34" i="41" s="1"/>
  <c r="I41" i="41"/>
  <c r="I36" i="41"/>
  <c r="I42" i="41" s="1"/>
  <c r="I76" i="4" s="1"/>
  <c r="I11" i="3" s="1"/>
  <c r="K575" i="41"/>
  <c r="K574" i="41"/>
  <c r="K31" i="41"/>
  <c r="K34" i="41" s="1"/>
  <c r="N575" i="41"/>
  <c r="N574" i="41"/>
  <c r="N31" i="41"/>
  <c r="N34" i="41" s="1"/>
  <c r="AG432" i="41"/>
  <c r="AG419" i="41"/>
  <c r="AG399" i="41"/>
  <c r="AG329" i="41"/>
  <c r="AG361" i="41"/>
  <c r="AG369" i="41" s="1"/>
  <c r="AG69" i="41"/>
  <c r="BA432" i="41"/>
  <c r="BA419" i="41"/>
  <c r="BA399" i="41"/>
  <c r="BA329" i="41"/>
  <c r="BA361" i="41"/>
  <c r="BA369" i="41" s="1"/>
  <c r="BA69" i="41"/>
  <c r="AA408" i="41"/>
  <c r="AA409" i="41" s="1"/>
  <c r="AA315" i="41"/>
  <c r="AA316" i="41" s="1"/>
  <c r="O28" i="41"/>
  <c r="O22" i="41"/>
  <c r="T575" i="41"/>
  <c r="T574" i="41"/>
  <c r="T31" i="41"/>
  <c r="T34" i="41" s="1"/>
  <c r="V575" i="41"/>
  <c r="V574" i="41"/>
  <c r="V31" i="41"/>
  <c r="V34" i="41" s="1"/>
  <c r="J575" i="41"/>
  <c r="J574" i="41"/>
  <c r="J31" i="41"/>
  <c r="J34" i="41" s="1"/>
  <c r="L575" i="41"/>
  <c r="L574" i="41"/>
  <c r="L31" i="41"/>
  <c r="L34" i="41" s="1"/>
  <c r="BG25" i="41"/>
  <c r="BH25" i="41"/>
  <c r="AK432" i="41"/>
  <c r="AK419" i="41"/>
  <c r="AK399" i="41"/>
  <c r="AK329" i="41"/>
  <c r="AK361" i="41"/>
  <c r="AK369" i="41" s="1"/>
  <c r="AK69" i="41"/>
  <c r="AB432" i="41"/>
  <c r="AB440" i="41" s="1"/>
  <c r="AB442" i="41" s="1"/>
  <c r="AB419" i="41"/>
  <c r="AB399" i="41"/>
  <c r="AB361" i="41"/>
  <c r="AB369" i="41" s="1"/>
  <c r="AB329" i="41"/>
  <c r="AB69" i="41"/>
  <c r="AG408" i="41"/>
  <c r="AG409" i="41" s="1"/>
  <c r="AV432" i="41"/>
  <c r="AV419" i="41"/>
  <c r="AV399" i="41"/>
  <c r="AV361" i="41"/>
  <c r="AV369" i="41" s="1"/>
  <c r="AV329" i="41"/>
  <c r="BA408" i="41"/>
  <c r="BA409" i="41" s="1"/>
  <c r="AG269" i="41"/>
  <c r="AG277" i="41" s="1"/>
  <c r="AG202" i="41"/>
  <c r="AB19" i="4"/>
  <c r="AC19" i="4" s="1"/>
  <c r="AB21" i="41"/>
  <c r="AB400" i="41"/>
  <c r="AB408" i="41" s="1"/>
  <c r="AB409" i="41" s="1"/>
  <c r="AB330" i="41"/>
  <c r="AB338" i="41" s="1"/>
  <c r="AB339" i="41" s="1"/>
  <c r="AV400" i="41"/>
  <c r="AV408" i="41" s="1"/>
  <c r="AV409" i="41" s="1"/>
  <c r="AV330" i="41"/>
  <c r="AV338" i="41" s="1"/>
  <c r="AV339" i="41" s="1"/>
  <c r="AJ266" i="41"/>
  <c r="AJ152" i="41"/>
  <c r="AB309" i="41"/>
  <c r="AB65" i="41"/>
  <c r="AB269" i="41" s="1"/>
  <c r="AB277" i="41" s="1"/>
  <c r="BB283" i="41"/>
  <c r="AV283" i="41"/>
  <c r="BB176" i="41"/>
  <c r="BB189" i="41" s="1"/>
  <c r="AV176" i="41"/>
  <c r="AV186" i="41" s="1"/>
  <c r="AR233" i="41"/>
  <c r="AC265" i="41"/>
  <c r="AC274" i="41"/>
  <c r="Z291" i="41"/>
  <c r="Y283" i="41"/>
  <c r="Y291" i="41" s="1"/>
  <c r="AA383" i="41"/>
  <c r="AA357" i="41"/>
  <c r="AK379" i="41"/>
  <c r="AP379" i="41" s="1"/>
  <c r="AP380" i="41" s="1"/>
  <c r="AF380" i="41"/>
  <c r="AD453" i="41"/>
  <c r="AD476" i="41"/>
  <c r="AK466" i="41"/>
  <c r="AF473" i="41"/>
  <c r="AE474" i="41"/>
  <c r="BC548" i="41"/>
  <c r="AX14" i="41"/>
  <c r="BC601" i="41"/>
  <c r="M620" i="41"/>
  <c r="M629" i="41"/>
  <c r="AL620" i="41"/>
  <c r="AL629" i="41"/>
  <c r="U574" i="41"/>
  <c r="U575" i="41"/>
  <c r="U31" i="41"/>
  <c r="U34" i="41" s="1"/>
  <c r="Z575" i="41"/>
  <c r="Z574" i="41"/>
  <c r="Z31" i="41"/>
  <c r="Z34" i="41" s="1"/>
  <c r="AE575" i="41"/>
  <c r="AE574" i="41"/>
  <c r="AE31" i="41"/>
  <c r="AE34" i="41" s="1"/>
  <c r="AJ575" i="41"/>
  <c r="AJ574" i="41"/>
  <c r="AJ31" i="41"/>
  <c r="AJ34" i="41" s="1"/>
  <c r="Y420" i="41"/>
  <c r="Y401" i="41"/>
  <c r="Y67" i="41"/>
  <c r="AC53" i="41"/>
  <c r="AC25" i="61" s="1"/>
  <c r="Y64" i="41"/>
  <c r="Y68" i="41"/>
  <c r="Y362" i="41" s="1"/>
  <c r="Y370" i="41" s="1"/>
  <c r="Y63" i="41"/>
  <c r="AD55" i="41"/>
  <c r="AD53" i="41" s="1"/>
  <c r="AE53" i="41"/>
  <c r="AX55" i="41"/>
  <c r="AX53" i="41" s="1"/>
  <c r="AY53" i="41"/>
  <c r="Y31" i="41"/>
  <c r="Y34" i="41" s="1"/>
  <c r="Y574" i="41"/>
  <c r="Y575" i="41"/>
  <c r="AA575" i="41"/>
  <c r="AA574" i="41"/>
  <c r="AA31" i="41"/>
  <c r="AA34" i="41" s="1"/>
  <c r="V63" i="41"/>
  <c r="V67" i="41"/>
  <c r="V64" i="41"/>
  <c r="V68" i="41"/>
  <c r="AJ420" i="41"/>
  <c r="AJ401" i="41"/>
  <c r="AJ63" i="41"/>
  <c r="AJ67" i="41"/>
  <c r="AJ64" i="41"/>
  <c r="AJ310" i="41" s="1"/>
  <c r="AJ68" i="41"/>
  <c r="AJ362" i="41" s="1"/>
  <c r="AJ370" i="41" s="1"/>
  <c r="AC331" i="41"/>
  <c r="AC311" i="41"/>
  <c r="AW331" i="41"/>
  <c r="AW311" i="41"/>
  <c r="AL21" i="41"/>
  <c r="AL19" i="4"/>
  <c r="AM19" i="4" s="1"/>
  <c r="AT237" i="41"/>
  <c r="AW237" i="41" s="1"/>
  <c r="AS238" i="41"/>
  <c r="AS130" i="41" s="1"/>
  <c r="BJ203" i="41"/>
  <c r="BJ222" i="41"/>
  <c r="AJ232" i="41"/>
  <c r="AJ233" i="41" s="1"/>
  <c r="AJ240" i="41" s="1"/>
  <c r="AJ104" i="41" s="1"/>
  <c r="AJ203" i="41"/>
  <c r="AM203" i="41" s="1"/>
  <c r="BX180" i="41" s="1"/>
  <c r="BX203" i="41" s="1"/>
  <c r="BJ232" i="41"/>
  <c r="BJ233" i="41" s="1"/>
  <c r="AL309" i="41"/>
  <c r="AL65" i="41"/>
  <c r="AL278" i="41"/>
  <c r="AL261" i="41" s="1"/>
  <c r="AK270" i="41"/>
  <c r="AK291" i="41"/>
  <c r="AJ283" i="41"/>
  <c r="AA278" i="41"/>
  <c r="Z270" i="41"/>
  <c r="AF291" i="41"/>
  <c r="AE283" i="41"/>
  <c r="AO357" i="41"/>
  <c r="AO383" i="41"/>
  <c r="AH464" i="41"/>
  <c r="AA466" i="41"/>
  <c r="AA448" i="41"/>
  <c r="AA450" i="41" s="1"/>
  <c r="AA107" i="41" s="1"/>
  <c r="AI466" i="41"/>
  <c r="AM464" i="41"/>
  <c r="BK599" i="41"/>
  <c r="BK601" i="41" s="1"/>
  <c r="BK83" i="4"/>
  <c r="BH601" i="41"/>
  <c r="AB120" i="4"/>
  <c r="R623" i="41"/>
  <c r="R626" i="41"/>
  <c r="AH620" i="41"/>
  <c r="AH641" i="41"/>
  <c r="AJ620" i="41"/>
  <c r="AJ629" i="41"/>
  <c r="X620" i="41"/>
  <c r="X629" i="41"/>
  <c r="AC620" i="41"/>
  <c r="AC641" i="41"/>
  <c r="S620" i="41"/>
  <c r="S641" i="41"/>
  <c r="AL626" i="41"/>
  <c r="N620" i="41"/>
  <c r="N629" i="41"/>
  <c r="AB620" i="41"/>
  <c r="AB629" i="41"/>
  <c r="W620" i="41"/>
  <c r="W629" i="41"/>
  <c r="N38" i="40"/>
  <c r="N33" i="40"/>
  <c r="N39" i="40" s="1"/>
  <c r="N77" i="4" s="1"/>
  <c r="N12" i="3" s="1"/>
  <c r="T38" i="40"/>
  <c r="T33" i="40"/>
  <c r="T39" i="40" s="1"/>
  <c r="T77" i="4" s="1"/>
  <c r="AE33" i="40"/>
  <c r="AE39" i="40" s="1"/>
  <c r="AE77" i="4" s="1"/>
  <c r="AE38" i="40"/>
  <c r="AJ56" i="40"/>
  <c r="AJ31" i="40"/>
  <c r="BD24" i="40"/>
  <c r="AY31" i="4"/>
  <c r="BB24" i="40"/>
  <c r="R20" i="40"/>
  <c r="R20" i="4"/>
  <c r="S20" i="4" s="1"/>
  <c r="BD25" i="4"/>
  <c r="BI18" i="40"/>
  <c r="K38" i="40"/>
  <c r="K33" i="40"/>
  <c r="K39" i="40" s="1"/>
  <c r="K77" i="4" s="1"/>
  <c r="AI31" i="40"/>
  <c r="AI56" i="40"/>
  <c r="R66" i="40"/>
  <c r="W66" i="40"/>
  <c r="AX96" i="40"/>
  <c r="AX84" i="4"/>
  <c r="BA96" i="40"/>
  <c r="BA84" i="4"/>
  <c r="X102" i="40"/>
  <c r="X51" i="61" s="1"/>
  <c r="Y95" i="40"/>
  <c r="X39" i="40"/>
  <c r="X77" i="4" s="1"/>
  <c r="X12" i="3" s="1"/>
  <c r="X9" i="61" s="1"/>
  <c r="BF18" i="40"/>
  <c r="AH33" i="40"/>
  <c r="AH38" i="40"/>
  <c r="AL27" i="40"/>
  <c r="AL21" i="40"/>
  <c r="AA31" i="40"/>
  <c r="AA56" i="40"/>
  <c r="M27" i="40"/>
  <c r="M31" i="40" s="1"/>
  <c r="M21" i="40"/>
  <c r="AF77" i="40"/>
  <c r="AE76" i="40"/>
  <c r="AC151" i="39"/>
  <c r="AC153" i="39" s="1"/>
  <c r="AC255" i="4" s="1"/>
  <c r="AM38" i="40"/>
  <c r="AM33" i="40"/>
  <c r="AC39" i="40"/>
  <c r="BB18" i="40"/>
  <c r="I38" i="40"/>
  <c r="I33" i="40"/>
  <c r="I39" i="40" s="1"/>
  <c r="I77" i="4" s="1"/>
  <c r="I12" i="3" s="1"/>
  <c r="U38" i="40"/>
  <c r="U33" i="40"/>
  <c r="U39" i="40" s="1"/>
  <c r="U77" i="4" s="1"/>
  <c r="AZ96" i="40"/>
  <c r="AZ84" i="4"/>
  <c r="AY96" i="40"/>
  <c r="AY84" i="4"/>
  <c r="L38" i="40"/>
  <c r="L33" i="40"/>
  <c r="L39" i="40" s="1"/>
  <c r="L77" i="4" s="1"/>
  <c r="P38" i="40"/>
  <c r="P33" i="40"/>
  <c r="P39" i="40" s="1"/>
  <c r="P77" i="4" s="1"/>
  <c r="Z56" i="40"/>
  <c r="Z31" i="40"/>
  <c r="AD56" i="40"/>
  <c r="AD31" i="40"/>
  <c r="AF56" i="40"/>
  <c r="AF31" i="40"/>
  <c r="BJ12" i="40"/>
  <c r="BO12" i="40" s="1"/>
  <c r="BE14" i="4"/>
  <c r="BG12" i="40"/>
  <c r="V38" i="40"/>
  <c r="V33" i="40"/>
  <c r="V39" i="40" s="1"/>
  <c r="V77" i="4" s="1"/>
  <c r="Q38" i="40"/>
  <c r="Q33" i="40"/>
  <c r="Q39" i="40" s="1"/>
  <c r="Q77" i="4" s="1"/>
  <c r="AK56" i="40"/>
  <c r="AK31" i="40"/>
  <c r="O27" i="40"/>
  <c r="O31" i="40" s="1"/>
  <c r="O21" i="40"/>
  <c r="AN96" i="40"/>
  <c r="AQ96" i="40"/>
  <c r="AB109" i="40"/>
  <c r="AA58" i="40"/>
  <c r="W27" i="40"/>
  <c r="W31" i="40" s="1"/>
  <c r="W21" i="40"/>
  <c r="AG27" i="40"/>
  <c r="AG21" i="40"/>
  <c r="T33" i="39"/>
  <c r="T67" i="39"/>
  <c r="AH33" i="39"/>
  <c r="AH67" i="39"/>
  <c r="R89" i="39"/>
  <c r="R91" i="39"/>
  <c r="R92" i="39" s="1"/>
  <c r="AG89" i="39"/>
  <c r="AG91" i="39"/>
  <c r="AX62" i="39"/>
  <c r="AX14" i="4"/>
  <c r="Q29" i="39"/>
  <c r="Q23" i="39"/>
  <c r="AI29" i="39"/>
  <c r="AI23" i="39"/>
  <c r="AM29" i="39"/>
  <c r="AM23" i="39"/>
  <c r="AM92" i="39"/>
  <c r="AB22" i="39"/>
  <c r="AB18" i="4"/>
  <c r="AC18" i="4" s="1"/>
  <c r="X29" i="39"/>
  <c r="X23" i="39"/>
  <c r="AG152" i="39"/>
  <c r="AG153" i="39" s="1"/>
  <c r="AF153" i="39"/>
  <c r="AF119" i="4"/>
  <c r="AG158" i="39"/>
  <c r="AK119" i="4"/>
  <c r="AL158" i="39"/>
  <c r="AK159" i="39"/>
  <c r="W206" i="39"/>
  <c r="X206" i="39" s="1"/>
  <c r="X204" i="39"/>
  <c r="AF186" i="39"/>
  <c r="AD67" i="39"/>
  <c r="AD33" i="39"/>
  <c r="J40" i="39"/>
  <c r="J35" i="39"/>
  <c r="Z40" i="39"/>
  <c r="Z35" i="39"/>
  <c r="Z41" i="39" s="1"/>
  <c r="Z75" i="4" s="1"/>
  <c r="I41" i="39"/>
  <c r="I75" i="4" s="1"/>
  <c r="I10" i="3" s="1"/>
  <c r="N41" i="39"/>
  <c r="N75" i="4" s="1"/>
  <c r="N10" i="3" s="1"/>
  <c r="U40" i="39"/>
  <c r="U35" i="39"/>
  <c r="W22" i="39"/>
  <c r="W18" i="4"/>
  <c r="X18" i="4" s="1"/>
  <c r="Z186" i="39"/>
  <c r="W186" i="39"/>
  <c r="S67" i="39"/>
  <c r="S33" i="39"/>
  <c r="AA29" i="39"/>
  <c r="AA23" i="39"/>
  <c r="BB26" i="39"/>
  <c r="BC26" i="39"/>
  <c r="AX31" i="4"/>
  <c r="AB91" i="39"/>
  <c r="AL22" i="39"/>
  <c r="AL18" i="4"/>
  <c r="AM18" i="4" s="1"/>
  <c r="R109" i="39"/>
  <c r="S107" i="39"/>
  <c r="AF29" i="39"/>
  <c r="AF23" i="39"/>
  <c r="AA92" i="39"/>
  <c r="AQ122" i="39"/>
  <c r="BJ138" i="4"/>
  <c r="BK152" i="39"/>
  <c r="BK138" i="4" s="1"/>
  <c r="EC54" i="3" s="1"/>
  <c r="EC56" i="3" s="1"/>
  <c r="BJ119" i="4"/>
  <c r="BK158" i="39"/>
  <c r="AA119" i="4"/>
  <c r="AA159" i="39"/>
  <c r="AB158" i="39"/>
  <c r="AN204" i="39"/>
  <c r="AB85" i="4"/>
  <c r="CT45" i="3" s="1"/>
  <c r="CT44" i="3"/>
  <c r="P40" i="39"/>
  <c r="P35" i="39"/>
  <c r="P41" i="39" s="1"/>
  <c r="P75" i="4" s="1"/>
  <c r="AH187" i="39"/>
  <c r="AH194" i="39" s="1"/>
  <c r="AH23" i="3"/>
  <c r="V186" i="39"/>
  <c r="R22" i="39"/>
  <c r="R18" i="4"/>
  <c r="S18" i="4" s="1"/>
  <c r="AG22" i="39"/>
  <c r="AG18" i="4"/>
  <c r="AH18" i="4" s="1"/>
  <c r="U186" i="39"/>
  <c r="Y29" i="39"/>
  <c r="Y23" i="39"/>
  <c r="AC29" i="39"/>
  <c r="AC23" i="39"/>
  <c r="AK186" i="39"/>
  <c r="O29" i="39"/>
  <c r="O23" i="39"/>
  <c r="AJ29" i="39"/>
  <c r="AJ23" i="39"/>
  <c r="AZ138" i="4"/>
  <c r="BA152" i="39"/>
  <c r="BA138" i="4" s="1"/>
  <c r="DS54" i="3" s="1"/>
  <c r="DS56" i="3" s="1"/>
  <c r="AZ119" i="4"/>
  <c r="BA158" i="39"/>
  <c r="BE138" i="4"/>
  <c r="BF152" i="39"/>
  <c r="BF138" i="4" s="1"/>
  <c r="DX54" i="3" s="1"/>
  <c r="DX56" i="3" s="1"/>
  <c r="BE119" i="4"/>
  <c r="BF158" i="39"/>
  <c r="W86" i="4"/>
  <c r="CO44" i="3"/>
  <c r="V67" i="39"/>
  <c r="V33" i="39"/>
  <c r="W89" i="39"/>
  <c r="W91" i="39"/>
  <c r="AE186" i="39"/>
  <c r="AE29" i="39"/>
  <c r="AE23" i="39"/>
  <c r="AK29" i="39"/>
  <c r="AK23" i="39"/>
  <c r="BB20" i="39"/>
  <c r="BC20" i="39"/>
  <c r="AX25" i="4"/>
  <c r="AL89" i="39"/>
  <c r="BA89" i="39" s="1"/>
  <c r="BF89" i="39" s="1"/>
  <c r="BK89" i="39" s="1"/>
  <c r="BP89" i="39" s="1"/>
  <c r="AL91" i="39"/>
  <c r="AQ92" i="39" s="1"/>
  <c r="AJ186" i="39"/>
  <c r="AE92" i="39"/>
  <c r="DI54" i="3"/>
  <c r="DI56" i="3" s="1"/>
  <c r="DN54" i="3"/>
  <c r="DN56" i="3" s="1"/>
  <c r="M29" i="39"/>
  <c r="M33" i="39" s="1"/>
  <c r="M23" i="39"/>
  <c r="M187" i="39" s="1"/>
  <c r="AL38" i="4"/>
  <c r="AL104" i="4"/>
  <c r="J249" i="4"/>
  <c r="J42" i="4"/>
  <c r="L249" i="4"/>
  <c r="L42" i="4"/>
  <c r="T249" i="4"/>
  <c r="T42" i="4"/>
  <c r="Q249" i="4"/>
  <c r="Q42" i="4"/>
  <c r="AM249" i="4"/>
  <c r="AM42" i="4"/>
  <c r="AM44" i="4" s="1"/>
  <c r="G249" i="4"/>
  <c r="G42" i="4"/>
  <c r="K249" i="4"/>
  <c r="K42" i="4"/>
  <c r="U249" i="4"/>
  <c r="U42" i="4"/>
  <c r="X38" i="4"/>
  <c r="X104" i="4"/>
  <c r="X57" i="3" s="1"/>
  <c r="CR45" i="3"/>
  <c r="S229" i="4"/>
  <c r="CK23" i="3" s="1"/>
  <c r="S212" i="4"/>
  <c r="CU18" i="3"/>
  <c r="AC63" i="3"/>
  <c r="AC207" i="4"/>
  <c r="AC227" i="4"/>
  <c r="CU21" i="3" s="1"/>
  <c r="S249" i="4"/>
  <c r="S42" i="4"/>
  <c r="V249" i="4"/>
  <c r="V42" i="4"/>
  <c r="AD249" i="4"/>
  <c r="AD42" i="4"/>
  <c r="F249" i="4"/>
  <c r="F42" i="4"/>
  <c r="Z249" i="4"/>
  <c r="Z42" i="4"/>
  <c r="AC249" i="4"/>
  <c r="AC42" i="4"/>
  <c r="AE249" i="4"/>
  <c r="AE42" i="4"/>
  <c r="E249" i="4"/>
  <c r="E42" i="4"/>
  <c r="AZ61" i="4"/>
  <c r="N38" i="4"/>
  <c r="N104" i="4"/>
  <c r="N57" i="3" s="1"/>
  <c r="I254" i="4"/>
  <c r="CA41" i="3"/>
  <c r="R255" i="4"/>
  <c r="R149" i="4"/>
  <c r="AG139" i="4"/>
  <c r="AG86" i="4"/>
  <c r="AG85" i="4" s="1"/>
  <c r="CZ18" i="3"/>
  <c r="AH207" i="4"/>
  <c r="AH204" i="4"/>
  <c r="AH228" i="4"/>
  <c r="CZ22" i="3" s="1"/>
  <c r="AH227" i="4"/>
  <c r="CZ21" i="3" s="1"/>
  <c r="DE18" i="3"/>
  <c r="AM63" i="3"/>
  <c r="AM207" i="4"/>
  <c r="AM227" i="4"/>
  <c r="DE21" i="3" s="1"/>
  <c r="H249" i="4"/>
  <c r="H42" i="4"/>
  <c r="AB38" i="4"/>
  <c r="AB104" i="4"/>
  <c r="Y249" i="4"/>
  <c r="Y42" i="4"/>
  <c r="AA249" i="4"/>
  <c r="AA42" i="4"/>
  <c r="AI249" i="4"/>
  <c r="AI42" i="4"/>
  <c r="AK249" i="4"/>
  <c r="AK42" i="4"/>
  <c r="O50" i="4"/>
  <c r="O44" i="4"/>
  <c r="O51" i="4" s="1"/>
  <c r="S254" i="4"/>
  <c r="CK41" i="3"/>
  <c r="DE41" i="3"/>
  <c r="BA61" i="4"/>
  <c r="CU41" i="3"/>
  <c r="CK18" i="3"/>
  <c r="S63" i="3"/>
  <c r="AH213" i="4"/>
  <c r="CP18" i="3"/>
  <c r="X207" i="4"/>
  <c r="X228" i="4"/>
  <c r="CP22" i="3" s="1"/>
  <c r="X227" i="4"/>
  <c r="CP21" i="3" s="1"/>
  <c r="X204" i="4"/>
  <c r="AC228" i="4"/>
  <c r="CU22" i="3" s="1"/>
  <c r="AC229" i="4"/>
  <c r="CU23" i="3" s="1"/>
  <c r="AC213" i="4"/>
  <c r="AC204" i="4"/>
  <c r="AC210" i="4"/>
  <c r="AF249" i="4"/>
  <c r="AF42" i="4"/>
  <c r="P249" i="4"/>
  <c r="P42" i="4"/>
  <c r="AJ38" i="4"/>
  <c r="AJ104" i="4"/>
  <c r="AH104" i="4"/>
  <c r="AH57" i="3" s="1"/>
  <c r="AH38" i="4"/>
  <c r="Z149" i="4"/>
  <c r="I149" i="4"/>
  <c r="I152" i="4" s="1"/>
  <c r="J150" i="4" s="1"/>
  <c r="CF152" i="4"/>
  <c r="CG150" i="4" s="1"/>
  <c r="X254" i="4"/>
  <c r="CP41" i="3"/>
  <c r="AH210" i="4"/>
  <c r="AM228" i="4"/>
  <c r="DE22" i="3" s="1"/>
  <c r="AM229" i="4"/>
  <c r="DE23" i="3" s="1"/>
  <c r="AM213" i="4"/>
  <c r="AM204" i="4"/>
  <c r="AM210" i="4"/>
  <c r="R38" i="4"/>
  <c r="R104" i="4"/>
  <c r="P149" i="4"/>
  <c r="AJ149" i="4"/>
  <c r="X213" i="4"/>
  <c r="X52" i="61" l="1"/>
  <c r="X54" i="61"/>
  <c r="X55" i="61" s="1"/>
  <c r="X57" i="61" s="1"/>
  <c r="AU384" i="41"/>
  <c r="AU352" i="41"/>
  <c r="AU354" i="41" s="1"/>
  <c r="AU102" i="41" s="1"/>
  <c r="AU282" i="41"/>
  <c r="AU290" i="41" s="1"/>
  <c r="AU292" i="41" s="1"/>
  <c r="AU10" i="51"/>
  <c r="AX92" i="4" s="1"/>
  <c r="AX142" i="4" s="1"/>
  <c r="DP60" i="3" s="1"/>
  <c r="AV10" i="51"/>
  <c r="AY92" i="4" s="1"/>
  <c r="AY142" i="4" s="1"/>
  <c r="AY12" i="51"/>
  <c r="AW71" i="42"/>
  <c r="AW70" i="42"/>
  <c r="AW64" i="41"/>
  <c r="AW65" i="41" s="1"/>
  <c r="AW68" i="41"/>
  <c r="AW69" i="41" s="1"/>
  <c r="BJ121" i="4"/>
  <c r="BA20" i="42"/>
  <c r="AU244" i="4"/>
  <c r="AX244" i="4" s="1"/>
  <c r="AY244" i="4" s="1"/>
  <c r="AZ244" i="4" s="1"/>
  <c r="BA244" i="4" s="1"/>
  <c r="BB244" i="4" s="1"/>
  <c r="BC244" i="4" s="1"/>
  <c r="BD244" i="4" s="1"/>
  <c r="BE244" i="4" s="1"/>
  <c r="BF244" i="4" s="1"/>
  <c r="BG244" i="4" s="1"/>
  <c r="BH244" i="4" s="1"/>
  <c r="BI244" i="4" s="1"/>
  <c r="BJ244" i="4" s="1"/>
  <c r="BK244" i="4" s="1"/>
  <c r="BL244" i="4" s="1"/>
  <c r="BM244" i="4" s="1"/>
  <c r="BN244" i="4" s="1"/>
  <c r="BO244" i="4" s="1"/>
  <c r="BP244" i="4" s="1"/>
  <c r="BQ244" i="4" s="1"/>
  <c r="AU427" i="41"/>
  <c r="AU429" i="41" s="1"/>
  <c r="AU269" i="41"/>
  <c r="AU277" i="41" s="1"/>
  <c r="AU187" i="41"/>
  <c r="AU411" i="41"/>
  <c r="AU412" i="41"/>
  <c r="AU315" i="41"/>
  <c r="AU316" i="41" s="1"/>
  <c r="AU324" i="41" s="1"/>
  <c r="AU298" i="41" s="1"/>
  <c r="AU414" i="41"/>
  <c r="AU342" i="41"/>
  <c r="AU341" i="41"/>
  <c r="AU123" i="4"/>
  <c r="AW10" i="51"/>
  <c r="AZ92" i="4" s="1"/>
  <c r="AZ142" i="4" s="1"/>
  <c r="DR60" i="3" s="1"/>
  <c r="AX10" i="51"/>
  <c r="BA92" i="4" s="1"/>
  <c r="BA142" i="4" s="1"/>
  <c r="DS60" i="3" s="1"/>
  <c r="AX159" i="39"/>
  <c r="BB156" i="39"/>
  <c r="BB159" i="39" s="1"/>
  <c r="DN118" i="51"/>
  <c r="O29" i="42"/>
  <c r="O33" i="42" s="1"/>
  <c r="O37" i="42" s="1"/>
  <c r="O44" i="42" s="1"/>
  <c r="M104" i="4"/>
  <c r="M249" i="4"/>
  <c r="AD153" i="41"/>
  <c r="R16" i="42"/>
  <c r="R18" i="42" s="1"/>
  <c r="R22" i="42" s="1"/>
  <c r="R29" i="42" s="1"/>
  <c r="R33" i="42" s="1"/>
  <c r="R37" i="42" s="1"/>
  <c r="R39" i="42" s="1"/>
  <c r="R45" i="42" s="1"/>
  <c r="AD252" i="41"/>
  <c r="I44" i="4"/>
  <c r="I222" i="4" s="1"/>
  <c r="BC109" i="39"/>
  <c r="BH109" i="39" s="1"/>
  <c r="BM109" i="39" s="1"/>
  <c r="BM107" i="39" s="1"/>
  <c r="AB31" i="40"/>
  <c r="AB38" i="40" s="1"/>
  <c r="BI358" i="41"/>
  <c r="AI311" i="41"/>
  <c r="W31" i="41"/>
  <c r="W34" i="41" s="1"/>
  <c r="W36" i="41" s="1"/>
  <c r="W42" i="41" s="1"/>
  <c r="W76" i="4" s="1"/>
  <c r="W574" i="41"/>
  <c r="AZ121" i="4"/>
  <c r="AR71" i="42"/>
  <c r="AR123" i="4" s="1"/>
  <c r="BH62" i="39"/>
  <c r="BH85" i="39" s="1"/>
  <c r="BL85" i="39" s="1"/>
  <c r="AN123" i="4"/>
  <c r="AL10" i="51"/>
  <c r="BC14" i="4"/>
  <c r="BQ586" i="41"/>
  <c r="BC62" i="39"/>
  <c r="BG62" i="39" s="1"/>
  <c r="AL46" i="51"/>
  <c r="AL23" i="42"/>
  <c r="AK10" i="51"/>
  <c r="DP118" i="51"/>
  <c r="AT154" i="41"/>
  <c r="BI132" i="4"/>
  <c r="AX128" i="41"/>
  <c r="AY129" i="41"/>
  <c r="AY128" i="41" s="1"/>
  <c r="AB255" i="4"/>
  <c r="AQ31" i="40"/>
  <c r="AQ56" i="40"/>
  <c r="AT109" i="40"/>
  <c r="AU109" i="40" s="1"/>
  <c r="AS58" i="40"/>
  <c r="BQ12" i="40"/>
  <c r="BO14" i="4"/>
  <c r="AP39" i="42"/>
  <c r="AP45" i="42" s="1"/>
  <c r="AP78" i="4" s="1"/>
  <c r="AP44" i="42"/>
  <c r="BW96" i="39"/>
  <c r="BW99" i="39"/>
  <c r="AQ23" i="42"/>
  <c r="H152" i="4"/>
  <c r="AT123" i="4"/>
  <c r="AQ464" i="41"/>
  <c r="AQ466" i="41" s="1"/>
  <c r="AR462" i="41"/>
  <c r="AR464" i="41" s="1"/>
  <c r="AR466" i="41" s="1"/>
  <c r="AS461" i="41"/>
  <c r="AS462" i="41" s="1"/>
  <c r="AP279" i="41"/>
  <c r="AU189" i="41"/>
  <c r="AV189" i="41"/>
  <c r="AV190" i="41" s="1"/>
  <c r="AS189" i="41"/>
  <c r="AS192" i="41" s="1"/>
  <c r="BN85" i="39"/>
  <c r="BQ85" i="39" s="1"/>
  <c r="AK46" i="51"/>
  <c r="BI25" i="4"/>
  <c r="BN18" i="40"/>
  <c r="BN25" i="4" s="1"/>
  <c r="AS202" i="41"/>
  <c r="AS187" i="41"/>
  <c r="AS190" i="41" s="1"/>
  <c r="AS269" i="41"/>
  <c r="AS277" i="41" s="1"/>
  <c r="AS315" i="41"/>
  <c r="AS316" i="41" s="1"/>
  <c r="AS324" i="41" s="1"/>
  <c r="AS335" i="41"/>
  <c r="AS336" i="41" s="1"/>
  <c r="AS341" i="41" s="1"/>
  <c r="AS371" i="41"/>
  <c r="AS374" i="41"/>
  <c r="AS282" i="41"/>
  <c r="AS290" i="41" s="1"/>
  <c r="AS424" i="41"/>
  <c r="AS425" i="41" s="1"/>
  <c r="AS428" i="41" s="1"/>
  <c r="AS123" i="4"/>
  <c r="CI258" i="51"/>
  <c r="DO54" i="3"/>
  <c r="AZ189" i="41"/>
  <c r="AX189" i="41"/>
  <c r="AY189" i="41"/>
  <c r="BA189" i="41"/>
  <c r="AR599" i="41"/>
  <c r="AR601" i="41" s="1"/>
  <c r="AQ601" i="41"/>
  <c r="AQ291" i="41"/>
  <c r="AP283" i="41"/>
  <c r="AP291" i="41" s="1"/>
  <c r="AP261" i="41" s="1"/>
  <c r="BN358" i="41"/>
  <c r="BN154" i="41"/>
  <c r="BL25" i="41"/>
  <c r="BM25" i="41"/>
  <c r="BQ25" i="41" s="1"/>
  <c r="AP383" i="41"/>
  <c r="AP353" i="41" s="1"/>
  <c r="AP357" i="41"/>
  <c r="AT192" i="41"/>
  <c r="AX240" i="41"/>
  <c r="AX104" i="41" s="1"/>
  <c r="AR122" i="39"/>
  <c r="AS122" i="39" s="1"/>
  <c r="AQ121" i="39"/>
  <c r="AR121" i="39" s="1"/>
  <c r="CY46" i="51"/>
  <c r="DK260" i="51"/>
  <c r="DI46" i="51"/>
  <c r="DQ10" i="51"/>
  <c r="BP97" i="4" s="1"/>
  <c r="CN126" i="51"/>
  <c r="CI244" i="51"/>
  <c r="DJ46" i="51"/>
  <c r="DJ260" i="51"/>
  <c r="AI159" i="39"/>
  <c r="DL260" i="51"/>
  <c r="DQ260" i="51"/>
  <c r="BB586" i="41"/>
  <c r="DP10" i="51"/>
  <c r="BO97" i="4" s="1"/>
  <c r="DO118" i="51"/>
  <c r="DO10" i="51"/>
  <c r="BN97" i="4" s="1"/>
  <c r="DQ46" i="51"/>
  <c r="DP46" i="51"/>
  <c r="DP260" i="51"/>
  <c r="DK46" i="51"/>
  <c r="DL46" i="51"/>
  <c r="DB46" i="51"/>
  <c r="DA46" i="51"/>
  <c r="DN10" i="51"/>
  <c r="BM97" i="4" s="1"/>
  <c r="DJ11" i="51"/>
  <c r="BI96" i="4" s="1"/>
  <c r="DN260" i="51"/>
  <c r="DO260" i="51"/>
  <c r="BQ71" i="42"/>
  <c r="BQ123" i="4" s="1"/>
  <c r="BM123" i="4"/>
  <c r="AQ123" i="4"/>
  <c r="BQ142" i="4"/>
  <c r="EI61" i="3" s="1"/>
  <c r="BM175" i="4"/>
  <c r="EF60" i="3"/>
  <c r="EG60" i="3"/>
  <c r="BN175" i="4"/>
  <c r="AR604" i="41"/>
  <c r="BO175" i="4"/>
  <c r="EH60" i="3"/>
  <c r="BQ8" i="42"/>
  <c r="BK62" i="42"/>
  <c r="BP13" i="42"/>
  <c r="BP62" i="42" s="1"/>
  <c r="BK10" i="42"/>
  <c r="BP9" i="42"/>
  <c r="AQ83" i="4"/>
  <c r="AQ85" i="4" s="1"/>
  <c r="AQ66" i="42" s="1"/>
  <c r="BQ60" i="41"/>
  <c r="BQ401" i="41" s="1"/>
  <c r="BA269" i="41"/>
  <c r="BA277" i="41" s="1"/>
  <c r="BA187" i="41"/>
  <c r="BL12" i="42"/>
  <c r="BM12" i="42"/>
  <c r="BQ12" i="42" s="1"/>
  <c r="BD48" i="40"/>
  <c r="BD8" i="40" s="1"/>
  <c r="BQ83" i="40"/>
  <c r="BJ62" i="42"/>
  <c r="BO13" i="42"/>
  <c r="BM62" i="42"/>
  <c r="BI40" i="4"/>
  <c r="BI248" i="4" s="1"/>
  <c r="BN35" i="42"/>
  <c r="BN40" i="4" s="1"/>
  <c r="BN248" i="4" s="1"/>
  <c r="BI62" i="42"/>
  <c r="BN13" i="42"/>
  <c r="BP66" i="42"/>
  <c r="BP85" i="4" s="1"/>
  <c r="BO66" i="42"/>
  <c r="BO85" i="4" s="1"/>
  <c r="BM66" i="42"/>
  <c r="BM85" i="4" s="1"/>
  <c r="BQ85" i="4"/>
  <c r="BN66" i="42"/>
  <c r="BN85" i="4" s="1"/>
  <c r="BY74" i="64"/>
  <c r="BZ74" i="64" s="1"/>
  <c r="BY31" i="64"/>
  <c r="BY30" i="64" s="1"/>
  <c r="BY73" i="64"/>
  <c r="BZ73" i="64" s="1"/>
  <c r="BY25" i="64"/>
  <c r="BY24" i="64" s="1"/>
  <c r="BJ420" i="41"/>
  <c r="BQ585" i="41"/>
  <c r="BH55" i="41"/>
  <c r="BH53" i="41" s="1"/>
  <c r="BL53" i="41" s="1"/>
  <c r="BI401" i="41"/>
  <c r="BM401" i="41"/>
  <c r="BB86" i="64"/>
  <c r="BB24" i="64" s="1"/>
  <c r="AY86" i="64"/>
  <c r="AY24" i="64" s="1"/>
  <c r="BA86" i="64"/>
  <c r="BA24" i="64" s="1"/>
  <c r="AZ86" i="64"/>
  <c r="AZ24" i="64" s="1"/>
  <c r="BB102" i="64"/>
  <c r="BP73" i="41" s="1"/>
  <c r="BP64" i="41" s="1"/>
  <c r="BP310" i="41" s="1"/>
  <c r="BP318" i="41" s="1"/>
  <c r="BP319" i="41" s="1"/>
  <c r="BA102" i="64"/>
  <c r="BO73" i="41" s="1"/>
  <c r="BO64" i="41" s="1"/>
  <c r="BO310" i="41" s="1"/>
  <c r="BO318" i="41" s="1"/>
  <c r="BO319" i="41" s="1"/>
  <c r="AY102" i="64"/>
  <c r="AZ102" i="64"/>
  <c r="BN73" i="41" s="1"/>
  <c r="BN64" i="41" s="1"/>
  <c r="BN310" i="41" s="1"/>
  <c r="BN318" i="41" s="1"/>
  <c r="BN319" i="41" s="1"/>
  <c r="BB100" i="64"/>
  <c r="BP76" i="41" s="1"/>
  <c r="BP68" i="41" s="1"/>
  <c r="AY100" i="64"/>
  <c r="AZ100" i="64"/>
  <c r="BN76" i="41" s="1"/>
  <c r="BN68" i="41" s="1"/>
  <c r="BB101" i="64"/>
  <c r="AZ101" i="64"/>
  <c r="BA101" i="64"/>
  <c r="AY101" i="64"/>
  <c r="AY104" i="64"/>
  <c r="AY103" i="64"/>
  <c r="AZ104" i="64"/>
  <c r="AZ103" i="64"/>
  <c r="BA104" i="64"/>
  <c r="BA103" i="64"/>
  <c r="BB104" i="64"/>
  <c r="BB103" i="64"/>
  <c r="BO76" i="41"/>
  <c r="BO68" i="41" s="1"/>
  <c r="AW370" i="41"/>
  <c r="W39" i="42"/>
  <c r="W45" i="42" s="1"/>
  <c r="DI11" i="51"/>
  <c r="BH96" i="4" s="1"/>
  <c r="Y311" i="41"/>
  <c r="DK11" i="51"/>
  <c r="BJ96" i="4" s="1"/>
  <c r="DL11" i="51"/>
  <c r="BK96" i="4" s="1"/>
  <c r="AP371" i="41"/>
  <c r="AP424" i="41"/>
  <c r="AP425" i="41" s="1"/>
  <c r="AP428" i="41" s="1"/>
  <c r="AP322" i="41"/>
  <c r="AP325" i="41" s="1"/>
  <c r="AP326" i="41" s="1"/>
  <c r="AP321" i="41"/>
  <c r="AP282" i="41"/>
  <c r="AP290" i="41" s="1"/>
  <c r="AP374" i="41"/>
  <c r="AP382" i="41" s="1"/>
  <c r="AP335" i="41"/>
  <c r="AP336" i="41" s="1"/>
  <c r="AP344" i="41" s="1"/>
  <c r="AC370" i="41"/>
  <c r="AM370" i="41"/>
  <c r="BL585" i="41"/>
  <c r="BG585" i="41"/>
  <c r="DE11" i="51"/>
  <c r="BD96" i="4" s="1"/>
  <c r="AN213" i="39"/>
  <c r="BE138" i="39"/>
  <c r="DF11" i="51"/>
  <c r="BE96" i="4" s="1"/>
  <c r="AS106" i="40"/>
  <c r="AT106" i="40" s="1"/>
  <c r="AU106" i="40" s="1"/>
  <c r="AV106" i="40" s="1"/>
  <c r="AW106" i="40" s="1"/>
  <c r="AW46" i="61" s="1"/>
  <c r="BF48" i="40"/>
  <c r="BF8" i="40" s="1"/>
  <c r="BC48" i="40"/>
  <c r="BC8" i="40" s="1"/>
  <c r="X110" i="40"/>
  <c r="BZ78" i="64"/>
  <c r="BL59" i="41"/>
  <c r="BJ128" i="41"/>
  <c r="BE420" i="41"/>
  <c r="AQ324" i="41"/>
  <c r="AQ269" i="41"/>
  <c r="AQ277" i="41" s="1"/>
  <c r="BY17" i="64"/>
  <c r="BY19" i="64" s="1"/>
  <c r="BZ77" i="64"/>
  <c r="BJ401" i="41"/>
  <c r="BL60" i="41"/>
  <c r="DD11" i="51"/>
  <c r="BC96" i="4" s="1"/>
  <c r="CC59" i="72"/>
  <c r="AC8" i="72"/>
  <c r="AC11" i="72" s="1"/>
  <c r="AC12" i="72" s="1"/>
  <c r="AC19" i="72" s="1"/>
  <c r="AC20" i="72" s="1"/>
  <c r="CC44" i="72"/>
  <c r="CC45" i="72" s="1"/>
  <c r="CC52" i="72" s="1"/>
  <c r="BX41" i="72"/>
  <c r="BD129" i="41"/>
  <c r="BD128" i="41" s="1"/>
  <c r="AS240" i="41"/>
  <c r="AS104" i="41" s="1"/>
  <c r="BJ223" i="41"/>
  <c r="BJ240" i="41" s="1"/>
  <c r="BJ104" i="41" s="1"/>
  <c r="BZ76" i="64"/>
  <c r="BL83" i="40"/>
  <c r="BL48" i="40"/>
  <c r="BC84" i="4"/>
  <c r="BC96" i="40"/>
  <c r="BD84" i="4"/>
  <c r="BE96" i="40"/>
  <c r="BE84" i="4"/>
  <c r="BC55" i="41"/>
  <c r="BC53" i="41" s="1"/>
  <c r="BD53" i="41"/>
  <c r="BD401" i="41" s="1"/>
  <c r="BX36" i="64"/>
  <c r="BE76" i="41"/>
  <c r="BE68" i="41" s="1"/>
  <c r="BF76" i="41"/>
  <c r="BF68" i="41" s="1"/>
  <c r="BH76" i="41"/>
  <c r="BJ76" i="41"/>
  <c r="BJ68" i="41" s="1"/>
  <c r="BK76" i="41"/>
  <c r="BK68" i="41" s="1"/>
  <c r="BX39" i="64"/>
  <c r="BC73" i="41"/>
  <c r="BD73" i="41"/>
  <c r="BE73" i="41"/>
  <c r="BE64" i="41" s="1"/>
  <c r="BE310" i="41" s="1"/>
  <c r="BE318" i="41" s="1"/>
  <c r="BE319" i="41" s="1"/>
  <c r="BH73" i="41"/>
  <c r="BJ73" i="41"/>
  <c r="BJ64" i="41" s="1"/>
  <c r="BJ310" i="41" s="1"/>
  <c r="BJ318" i="41" s="1"/>
  <c r="BJ319" i="41" s="1"/>
  <c r="BK73" i="41"/>
  <c r="BK64" i="41" s="1"/>
  <c r="BK310" i="41" s="1"/>
  <c r="BK318" i="41" s="1"/>
  <c r="BK319" i="41" s="1"/>
  <c r="BG59" i="41"/>
  <c r="BK401" i="41"/>
  <c r="BA202" i="41"/>
  <c r="BA205" i="41" s="1"/>
  <c r="AU202" i="41"/>
  <c r="AU204" i="41" s="1"/>
  <c r="AH44" i="42"/>
  <c r="AH45" i="42"/>
  <c r="AD73" i="42"/>
  <c r="AD72" i="42" s="1"/>
  <c r="AE44" i="42"/>
  <c r="BD76" i="41"/>
  <c r="BX37" i="64"/>
  <c r="AP10" i="39"/>
  <c r="BX38" i="64"/>
  <c r="BX204" i="41"/>
  <c r="BX205" i="41" s="1"/>
  <c r="DG11" i="51"/>
  <c r="BF96" i="4" s="1"/>
  <c r="N12" i="51"/>
  <c r="BH159" i="39"/>
  <c r="BF73" i="41"/>
  <c r="BF64" i="41" s="1"/>
  <c r="BF310" i="41" s="1"/>
  <c r="BF318" i="41" s="1"/>
  <c r="BF319" i="41" s="1"/>
  <c r="CU10" i="51"/>
  <c r="Q12" i="51"/>
  <c r="AG29" i="42"/>
  <c r="AG33" i="42" s="1"/>
  <c r="AG61" i="42" s="1"/>
  <c r="T12" i="51"/>
  <c r="R12" i="51"/>
  <c r="AD37" i="42"/>
  <c r="AD61" i="42"/>
  <c r="M12" i="51"/>
  <c r="J44" i="42"/>
  <c r="AA261" i="41"/>
  <c r="M44" i="42"/>
  <c r="AM159" i="39"/>
  <c r="Y12" i="51"/>
  <c r="BD154" i="41"/>
  <c r="AI39" i="42"/>
  <c r="AI45" i="42" s="1"/>
  <c r="CV10" i="51"/>
  <c r="CW10" i="51"/>
  <c r="AJ358" i="41"/>
  <c r="AE406" i="41"/>
  <c r="Y256" i="4"/>
  <c r="DI260" i="51"/>
  <c r="AF44" i="42"/>
  <c r="AH604" i="41"/>
  <c r="AH607" i="41" s="1"/>
  <c r="X12" i="51"/>
  <c r="AG44" i="4"/>
  <c r="AG51" i="4" s="1"/>
  <c r="AG65" i="4" s="1"/>
  <c r="BJ139" i="39"/>
  <c r="AC39" i="42"/>
  <c r="AC58" i="61" s="1"/>
  <c r="AC44" i="42"/>
  <c r="L39" i="42"/>
  <c r="L45" i="42" s="1"/>
  <c r="AE73" i="42"/>
  <c r="AE72" i="42" s="1"/>
  <c r="AC12" i="51"/>
  <c r="CT10" i="51"/>
  <c r="BG155" i="39"/>
  <c r="BG159" i="39" s="1"/>
  <c r="AD12" i="51"/>
  <c r="W208" i="39"/>
  <c r="AB12" i="51"/>
  <c r="AC155" i="39"/>
  <c r="AC159" i="39" s="1"/>
  <c r="AA12" i="51"/>
  <c r="L12" i="51"/>
  <c r="AH159" i="39"/>
  <c r="BC266" i="41"/>
  <c r="BC152" i="41"/>
  <c r="M255" i="4"/>
  <c r="M149" i="4"/>
  <c r="AF68" i="42"/>
  <c r="AF67" i="42" s="1"/>
  <c r="AJ39" i="42"/>
  <c r="AJ45" i="42" s="1"/>
  <c r="AX21" i="4"/>
  <c r="BL155" i="39"/>
  <c r="BL159" i="39" s="1"/>
  <c r="AZ159" i="39"/>
  <c r="AO240" i="41"/>
  <c r="AE152" i="41"/>
  <c r="AE266" i="41"/>
  <c r="BB604" i="41"/>
  <c r="BL604" i="41"/>
  <c r="BL607" i="41" s="1"/>
  <c r="V12" i="51"/>
  <c r="AL92" i="39"/>
  <c r="BH12" i="51"/>
  <c r="AL68" i="42"/>
  <c r="BJ159" i="39"/>
  <c r="BI16" i="42"/>
  <c r="BI18" i="42" s="1"/>
  <c r="BI22" i="42" s="1"/>
  <c r="AC581" i="41"/>
  <c r="W92" i="39"/>
  <c r="AG440" i="41"/>
  <c r="BB16" i="42"/>
  <c r="BB18" i="42" s="1"/>
  <c r="W12" i="51"/>
  <c r="BY12" i="51"/>
  <c r="S12" i="51"/>
  <c r="AF159" i="39"/>
  <c r="AF73" i="42" s="1"/>
  <c r="AF72" i="42" s="1"/>
  <c r="DF44" i="3"/>
  <c r="CA38" i="3"/>
  <c r="CA50" i="3" s="1"/>
  <c r="W42" i="4"/>
  <c r="W249" i="4"/>
  <c r="AK123" i="4"/>
  <c r="AM71" i="42"/>
  <c r="AI108" i="51"/>
  <c r="AH108" i="51"/>
  <c r="AG108" i="51"/>
  <c r="AF108" i="51"/>
  <c r="AF10" i="51" s="1"/>
  <c r="AJ108" i="51"/>
  <c r="AG68" i="42"/>
  <c r="AL66" i="42"/>
  <c r="DD45" i="3"/>
  <c r="BJ16" i="42"/>
  <c r="BJ18" i="42" s="1"/>
  <c r="BE12" i="51"/>
  <c r="BH92" i="4"/>
  <c r="BH142" i="4" s="1"/>
  <c r="DZ60" i="3" s="1"/>
  <c r="BG71" i="42"/>
  <c r="BL9" i="42"/>
  <c r="AD123" i="4"/>
  <c r="AX607" i="41"/>
  <c r="BB603" i="41"/>
  <c r="CJ108" i="51"/>
  <c r="CJ10" i="51" s="1"/>
  <c r="CM108" i="51"/>
  <c r="CM10" i="51" s="1"/>
  <c r="CR108" i="51"/>
  <c r="CK108" i="51"/>
  <c r="CK10" i="51" s="1"/>
  <c r="CP108" i="51"/>
  <c r="CQ108" i="51"/>
  <c r="CL108" i="51"/>
  <c r="CL10" i="51" s="1"/>
  <c r="CO108" i="51"/>
  <c r="BE548" i="41"/>
  <c r="AZ14" i="41"/>
  <c r="AC85" i="4"/>
  <c r="CU45" i="3" s="1"/>
  <c r="CF38" i="3"/>
  <c r="CF50" i="3" s="1"/>
  <c r="AM44" i="42"/>
  <c r="AM39" i="42"/>
  <c r="AM58" i="61" s="1"/>
  <c r="CD11" i="51"/>
  <c r="AZ91" i="4"/>
  <c r="AZ141" i="4" s="1"/>
  <c r="BB141" i="4" s="1"/>
  <c r="DT60" i="3" s="1"/>
  <c r="AL37" i="42"/>
  <c r="AL61" i="42"/>
  <c r="BJ91" i="4"/>
  <c r="BJ141" i="4" s="1"/>
  <c r="BL141" i="4" s="1"/>
  <c r="ED60" i="3" s="1"/>
  <c r="BG12" i="51"/>
  <c r="AB23" i="42"/>
  <c r="AB29" i="42"/>
  <c r="AB33" i="42" s="1"/>
  <c r="AB37" i="42" s="1"/>
  <c r="CY45" i="3"/>
  <c r="AG66" i="42"/>
  <c r="AA39" i="42"/>
  <c r="AA45" i="42" s="1"/>
  <c r="AA44" i="42"/>
  <c r="X44" i="42"/>
  <c r="X39" i="42"/>
  <c r="X58" i="61" s="1"/>
  <c r="BH246" i="4"/>
  <c r="BH121" i="4"/>
  <c r="BL144" i="4"/>
  <c r="AH60" i="3"/>
  <c r="BD123" i="4"/>
  <c r="BG70" i="42"/>
  <c r="BJ175" i="4"/>
  <c r="EC60" i="3"/>
  <c r="Z607" i="41"/>
  <c r="Z256" i="4" s="1"/>
  <c r="AC603" i="41"/>
  <c r="AH71" i="42"/>
  <c r="AE123" i="4"/>
  <c r="CI118" i="51"/>
  <c r="CN116" i="51"/>
  <c r="AM603" i="41"/>
  <c r="BE581" i="41"/>
  <c r="BE604" i="41" s="1"/>
  <c r="BE607" i="41" s="1"/>
  <c r="BB10" i="51"/>
  <c r="BB118" i="51"/>
  <c r="BD581" i="41"/>
  <c r="BD604" i="41" s="1"/>
  <c r="BD607" i="41" s="1"/>
  <c r="BA10" i="51"/>
  <c r="BI175" i="4"/>
  <c r="AJ123" i="4"/>
  <c r="AM70" i="42"/>
  <c r="BF12" i="51"/>
  <c r="BI92" i="4"/>
  <c r="BI142" i="4" s="1"/>
  <c r="CI30" i="51"/>
  <c r="CN28" i="51"/>
  <c r="AA256" i="4"/>
  <c r="CN127" i="51"/>
  <c r="BG603" i="41"/>
  <c r="AC604" i="41"/>
  <c r="AV12" i="51"/>
  <c r="AY123" i="4"/>
  <c r="BB71" i="42"/>
  <c r="BB123" i="4" s="1"/>
  <c r="CS53" i="51"/>
  <c r="CN108" i="51"/>
  <c r="BG141" i="4"/>
  <c r="DY60" i="3" s="1"/>
  <c r="CD260" i="51"/>
  <c r="CI44" i="51"/>
  <c r="BC581" i="41"/>
  <c r="BC604" i="41" s="1"/>
  <c r="AZ118" i="51"/>
  <c r="AZ10" i="51"/>
  <c r="BG581" i="41"/>
  <c r="BD118" i="51"/>
  <c r="BD10" i="51"/>
  <c r="BF581" i="41"/>
  <c r="BF604" i="41" s="1"/>
  <c r="BF607" i="41" s="1"/>
  <c r="BC10" i="51"/>
  <c r="BC118" i="51"/>
  <c r="BL71" i="42"/>
  <c r="BL123" i="4" s="1"/>
  <c r="BI123" i="4"/>
  <c r="O12" i="51"/>
  <c r="CD46" i="51"/>
  <c r="CD10" i="51"/>
  <c r="AH331" i="41"/>
  <c r="AH311" i="41"/>
  <c r="BC76" i="41"/>
  <c r="AD311" i="41"/>
  <c r="AD325" i="41" s="1"/>
  <c r="AD331" i="41"/>
  <c r="AD345" i="41" s="1"/>
  <c r="BY71" i="64"/>
  <c r="BH35" i="42"/>
  <c r="BM35" i="42" s="1"/>
  <c r="BC40" i="4"/>
  <c r="BC248" i="4" s="1"/>
  <c r="BH26" i="42"/>
  <c r="AY23" i="42"/>
  <c r="BJ10" i="42"/>
  <c r="BE22" i="42"/>
  <c r="BE21" i="4"/>
  <c r="BG10" i="42"/>
  <c r="BH20" i="42"/>
  <c r="BM20" i="42" s="1"/>
  <c r="BH62" i="42"/>
  <c r="BL13" i="42"/>
  <c r="BI10" i="42"/>
  <c r="BH14" i="42"/>
  <c r="BM14" i="42" s="1"/>
  <c r="BG14" i="42"/>
  <c r="BC16" i="42"/>
  <c r="BC18" i="42" s="1"/>
  <c r="BK16" i="42"/>
  <c r="BK18" i="42" s="1"/>
  <c r="BH10" i="42"/>
  <c r="BL8" i="42"/>
  <c r="BH15" i="42"/>
  <c r="BG15" i="42"/>
  <c r="BH34" i="42"/>
  <c r="BM34" i="42" s="1"/>
  <c r="BC39" i="4"/>
  <c r="BD22" i="42"/>
  <c r="BD21" i="4"/>
  <c r="BJ20" i="42"/>
  <c r="BE25" i="4"/>
  <c r="BG62" i="42"/>
  <c r="K44" i="42"/>
  <c r="K39" i="42"/>
  <c r="K45" i="42" s="1"/>
  <c r="AZ23" i="42"/>
  <c r="AX23" i="42"/>
  <c r="BA599" i="41"/>
  <c r="BA601" i="41" s="1"/>
  <c r="BA83" i="4"/>
  <c r="AO358" i="41"/>
  <c r="AO154" i="41"/>
  <c r="AE291" i="41"/>
  <c r="AD283" i="41"/>
  <c r="AD291" i="41" s="1"/>
  <c r="Z278" i="41"/>
  <c r="Z261" i="41" s="1"/>
  <c r="Y270" i="41"/>
  <c r="Y278" i="41" s="1"/>
  <c r="AJ291" i="41"/>
  <c r="AI283" i="41"/>
  <c r="AI291" i="41" s="1"/>
  <c r="AK278" i="41"/>
  <c r="AK261" i="41" s="1"/>
  <c r="AJ270" i="41"/>
  <c r="AL315" i="41"/>
  <c r="AL316" i="41" s="1"/>
  <c r="AL324" i="41" s="1"/>
  <c r="BI232" i="41"/>
  <c r="BI233" i="41" s="1"/>
  <c r="BH232" i="41"/>
  <c r="BH233" i="41" s="1"/>
  <c r="BI222" i="41"/>
  <c r="BI203" i="41"/>
  <c r="AL28" i="41"/>
  <c r="AL22" i="41"/>
  <c r="AJ309" i="41"/>
  <c r="AJ65" i="41"/>
  <c r="V65" i="41"/>
  <c r="Y593" i="41"/>
  <c r="Y41" i="41"/>
  <c r="Y36" i="41"/>
  <c r="Y42" i="41" s="1"/>
  <c r="Y76" i="4" s="1"/>
  <c r="AX420" i="41"/>
  <c r="AX401" i="41"/>
  <c r="BB53" i="41"/>
  <c r="AX63" i="41"/>
  <c r="AX67" i="41"/>
  <c r="AX64" i="41"/>
  <c r="AX68" i="41"/>
  <c r="AX362" i="41" s="1"/>
  <c r="AX370" i="41" s="1"/>
  <c r="AW362" i="41"/>
  <c r="AW420" i="41"/>
  <c r="AW401" i="41"/>
  <c r="AE420" i="41"/>
  <c r="AE401" i="41"/>
  <c r="AE67" i="41"/>
  <c r="AE64" i="41"/>
  <c r="AE310" i="41" s="1"/>
  <c r="AE68" i="41"/>
  <c r="AE362" i="41" s="1"/>
  <c r="AE370" i="41" s="1"/>
  <c r="AE63" i="41"/>
  <c r="Y309" i="41"/>
  <c r="Y65" i="41"/>
  <c r="Y269" i="41" s="1"/>
  <c r="Y277" i="41" s="1"/>
  <c r="AC63" i="41"/>
  <c r="Y310" i="41"/>
  <c r="AC64" i="41"/>
  <c r="AC310" i="41" s="1"/>
  <c r="Y432" i="41"/>
  <c r="Y440" i="41" s="1"/>
  <c r="Y419" i="41"/>
  <c r="Y399" i="41"/>
  <c r="Y329" i="41"/>
  <c r="Y361" i="41"/>
  <c r="Y369" i="41" s="1"/>
  <c r="Y69" i="41"/>
  <c r="AC67" i="41"/>
  <c r="AE593" i="41"/>
  <c r="AE597" i="41" s="1"/>
  <c r="AE609" i="41" s="1"/>
  <c r="AE610" i="41" s="1"/>
  <c r="AE36" i="41"/>
  <c r="AE42" i="41" s="1"/>
  <c r="AE76" i="4" s="1"/>
  <c r="AE41" i="41"/>
  <c r="U41" i="41"/>
  <c r="U36" i="41"/>
  <c r="U42" i="41" s="1"/>
  <c r="U76" i="4" s="1"/>
  <c r="BH548" i="41"/>
  <c r="BM548" i="41" s="1"/>
  <c r="BM14" i="41" s="1"/>
  <c r="BC14" i="41"/>
  <c r="AG473" i="41"/>
  <c r="AG474" i="41" s="1"/>
  <c r="AF474" i="41"/>
  <c r="AD454" i="41"/>
  <c r="AD155" i="41"/>
  <c r="AD148" i="41"/>
  <c r="AF357" i="41"/>
  <c r="AF383" i="41"/>
  <c r="AA358" i="41"/>
  <c r="AA154" i="41"/>
  <c r="BG176" i="41"/>
  <c r="BA176" i="41"/>
  <c r="BA186" i="41" s="1"/>
  <c r="AY176" i="41"/>
  <c r="AY186" i="41" s="1"/>
  <c r="AZ176" i="41"/>
  <c r="AZ186" i="41" s="1"/>
  <c r="AX176" i="41"/>
  <c r="AW203" i="41"/>
  <c r="BZ180" i="41" s="1"/>
  <c r="BG283" i="41"/>
  <c r="BA283" i="41"/>
  <c r="AB279" i="41"/>
  <c r="AB412" i="41"/>
  <c r="AB411" i="41"/>
  <c r="AG279" i="41"/>
  <c r="AV374" i="41"/>
  <c r="AV282" i="41"/>
  <c r="AV290" i="41" s="1"/>
  <c r="AV424" i="41"/>
  <c r="AV425" i="41" s="1"/>
  <c r="AV428" i="41" s="1"/>
  <c r="AB335" i="41"/>
  <c r="AB336" i="41" s="1"/>
  <c r="AB344" i="41" s="1"/>
  <c r="AB414" i="41"/>
  <c r="J41" i="41"/>
  <c r="J36" i="41"/>
  <c r="J42" i="41" s="1"/>
  <c r="J76" i="4" s="1"/>
  <c r="T41" i="41"/>
  <c r="T36" i="41"/>
  <c r="T42" i="41" s="1"/>
  <c r="T76" i="4" s="1"/>
  <c r="O31" i="41"/>
  <c r="O34" i="41" s="1"/>
  <c r="O575" i="41"/>
  <c r="O574" i="41"/>
  <c r="AA321" i="41"/>
  <c r="AA322" i="41"/>
  <c r="AA412" i="41"/>
  <c r="AA411" i="41"/>
  <c r="BA374" i="41"/>
  <c r="BA282" i="41"/>
  <c r="BA290" i="41" s="1"/>
  <c r="BA335" i="41"/>
  <c r="BA336" i="41" s="1"/>
  <c r="BA344" i="41" s="1"/>
  <c r="BA424" i="41"/>
  <c r="BA425" i="41" s="1"/>
  <c r="BA428" i="41" s="1"/>
  <c r="AG374" i="41"/>
  <c r="AG282" i="41"/>
  <c r="AG290" i="41" s="1"/>
  <c r="AG292" i="41" s="1"/>
  <c r="AG335" i="41"/>
  <c r="AG336" i="41" s="1"/>
  <c r="AG344" i="41" s="1"/>
  <c r="AG424" i="41"/>
  <c r="AG425" i="41" s="1"/>
  <c r="AG428" i="41" s="1"/>
  <c r="K41" i="41"/>
  <c r="K36" i="41"/>
  <c r="K42" i="41" s="1"/>
  <c r="K76" i="4" s="1"/>
  <c r="AC41" i="41"/>
  <c r="AC36" i="41"/>
  <c r="M31" i="41"/>
  <c r="M34" i="41" s="1"/>
  <c r="M575" i="41"/>
  <c r="M574" i="41"/>
  <c r="BE599" i="41"/>
  <c r="BE83" i="4"/>
  <c r="AG623" i="41"/>
  <c r="AG626" i="41"/>
  <c r="AZ599" i="41"/>
  <c r="AZ83" i="4"/>
  <c r="AI437" i="41"/>
  <c r="AH265" i="41"/>
  <c r="AY154" i="41"/>
  <c r="AE358" i="41"/>
  <c r="AE154" i="41"/>
  <c r="BB270" i="41"/>
  <c r="AV270" i="41"/>
  <c r="AM233" i="41"/>
  <c r="BI227" i="41"/>
  <c r="BI228" i="41" s="1"/>
  <c r="BH227" i="41"/>
  <c r="BH228" i="41" s="1"/>
  <c r="X635" i="41"/>
  <c r="X642" i="41" s="1"/>
  <c r="X24" i="3"/>
  <c r="AO420" i="41"/>
  <c r="AO401" i="41"/>
  <c r="AO67" i="41"/>
  <c r="AO64" i="41"/>
  <c r="AO310" i="41" s="1"/>
  <c r="AO318" i="41" s="1"/>
  <c r="AO319" i="41" s="1"/>
  <c r="AO68" i="41"/>
  <c r="AO362" i="41" s="1"/>
  <c r="AO370" i="41" s="1"/>
  <c r="AO63" i="41"/>
  <c r="AI309" i="41"/>
  <c r="AI65" i="41"/>
  <c r="AM63" i="41"/>
  <c r="AI310" i="41"/>
  <c r="AM64" i="41"/>
  <c r="AM310" i="41" s="1"/>
  <c r="AI432" i="41"/>
  <c r="AI419" i="41"/>
  <c r="AI399" i="41"/>
  <c r="AI329" i="41"/>
  <c r="AI361" i="41"/>
  <c r="AI369" i="41" s="1"/>
  <c r="AI69" i="41"/>
  <c r="AM67" i="41"/>
  <c r="X53" i="41"/>
  <c r="T63" i="41"/>
  <c r="T67" i="41"/>
  <c r="T64" i="41"/>
  <c r="T68" i="41"/>
  <c r="AI593" i="41"/>
  <c r="AI41" i="41"/>
  <c r="AI36" i="41"/>
  <c r="AI42" i="41" s="1"/>
  <c r="AI76" i="4" s="1"/>
  <c r="AZ309" i="41"/>
  <c r="AZ65" i="41"/>
  <c r="AT309" i="41"/>
  <c r="AT65" i="41"/>
  <c r="AT187" i="41" s="1"/>
  <c r="AT190" i="41" s="1"/>
  <c r="AF309" i="41"/>
  <c r="AF65" i="41"/>
  <c r="Z309" i="41"/>
  <c r="Z65" i="41"/>
  <c r="Z269" i="41" s="1"/>
  <c r="Z277" i="41" s="1"/>
  <c r="AC466" i="41"/>
  <c r="AC448" i="41"/>
  <c r="AC450" i="41" s="1"/>
  <c r="AC107" i="41" s="1"/>
  <c r="AB357" i="41"/>
  <c r="AB383" i="41"/>
  <c r="AC383" i="41" s="1"/>
  <c r="AI379" i="41"/>
  <c r="AI380" i="41" s="1"/>
  <c r="AL379" i="41"/>
  <c r="AG380" i="41"/>
  <c r="AH380" i="41" s="1"/>
  <c r="AH357" i="41" s="1"/>
  <c r="AF261" i="41"/>
  <c r="AH240" i="41"/>
  <c r="AD104" i="41"/>
  <c r="AH104" i="41" s="1"/>
  <c r="AV315" i="41"/>
  <c r="AV316" i="41" s="1"/>
  <c r="AH575" i="41"/>
  <c r="AH574" i="41"/>
  <c r="AH31" i="41"/>
  <c r="AH34" i="41" s="1"/>
  <c r="P575" i="41"/>
  <c r="P574" i="41"/>
  <c r="P31" i="41"/>
  <c r="P34" i="41" s="1"/>
  <c r="BA322" i="41"/>
  <c r="BA321" i="41"/>
  <c r="AQ205" i="41"/>
  <c r="AQ204" i="41"/>
  <c r="AG322" i="41"/>
  <c r="AG321" i="41"/>
  <c r="AL374" i="41"/>
  <c r="AL282" i="41"/>
  <c r="AL290" i="41" s="1"/>
  <c r="AL292" i="41" s="1"/>
  <c r="AL424" i="41"/>
  <c r="AL425" i="41" s="1"/>
  <c r="AL428" i="41" s="1"/>
  <c r="AF593" i="41"/>
  <c r="AF597" i="41" s="1"/>
  <c r="AF609" i="41" s="1"/>
  <c r="AF610" i="41" s="1"/>
  <c r="AF41" i="41"/>
  <c r="AF36" i="41"/>
  <c r="AF42" i="41" s="1"/>
  <c r="AF76" i="4" s="1"/>
  <c r="AK315" i="41"/>
  <c r="AK316" i="41" s="1"/>
  <c r="AA414" i="41"/>
  <c r="AG593" i="41"/>
  <c r="AG597" i="41" s="1"/>
  <c r="AG609" i="41" s="1"/>
  <c r="AG610" i="41" s="1"/>
  <c r="AG36" i="41"/>
  <c r="AG42" i="41" s="1"/>
  <c r="AG76" i="4" s="1"/>
  <c r="AG41" i="41"/>
  <c r="BL599" i="41"/>
  <c r="BL601" i="41" s="1"/>
  <c r="AM466" i="41"/>
  <c r="AH466" i="41"/>
  <c r="AC379" i="41"/>
  <c r="AC357" i="41"/>
  <c r="AL202" i="41"/>
  <c r="AL269" i="41"/>
  <c r="AL277" i="41" s="1"/>
  <c r="AT238" i="41"/>
  <c r="AT130" i="41" s="1"/>
  <c r="AJ400" i="41"/>
  <c r="AJ408" i="41" s="1"/>
  <c r="AJ409" i="41" s="1"/>
  <c r="AJ330" i="41"/>
  <c r="AJ432" i="41"/>
  <c r="AJ419" i="41"/>
  <c r="AJ399" i="41"/>
  <c r="AJ361" i="41"/>
  <c r="AJ369" i="41" s="1"/>
  <c r="AJ329" i="41"/>
  <c r="AJ69" i="41"/>
  <c r="V69" i="41"/>
  <c r="AA593" i="41"/>
  <c r="AA597" i="41" s="1"/>
  <c r="AA41" i="41"/>
  <c r="AA36" i="41"/>
  <c r="AA42" i="41" s="1"/>
  <c r="AA76" i="4" s="1"/>
  <c r="AY420" i="41"/>
  <c r="AY401" i="41"/>
  <c r="AY67" i="41"/>
  <c r="AY64" i="41"/>
  <c r="AY310" i="41" s="1"/>
  <c r="AY318" i="41" s="1"/>
  <c r="AY319" i="41" s="1"/>
  <c r="AY68" i="41"/>
  <c r="AY362" i="41" s="1"/>
  <c r="AY370" i="41" s="1"/>
  <c r="AY63" i="41"/>
  <c r="AD420" i="41"/>
  <c r="AD401" i="41"/>
  <c r="AH53" i="41"/>
  <c r="AH25" i="61" s="1"/>
  <c r="AD63" i="41"/>
  <c r="AD67" i="41"/>
  <c r="AD64" i="41"/>
  <c r="AD68" i="41"/>
  <c r="AD362" i="41" s="1"/>
  <c r="AD370" i="41" s="1"/>
  <c r="Y400" i="41"/>
  <c r="Y408" i="41" s="1"/>
  <c r="Y330" i="41"/>
  <c r="Y338" i="41" s="1"/>
  <c r="AC68" i="41"/>
  <c r="AC362" i="41" s="1"/>
  <c r="AC420" i="41"/>
  <c r="AC401" i="41"/>
  <c r="AJ593" i="41"/>
  <c r="AJ597" i="41" s="1"/>
  <c r="AJ41" i="41"/>
  <c r="AJ36" i="41"/>
  <c r="AJ42" i="41" s="1"/>
  <c r="AJ76" i="4" s="1"/>
  <c r="Z593" i="41"/>
  <c r="Z597" i="41" s="1"/>
  <c r="Z41" i="41"/>
  <c r="Z36" i="41"/>
  <c r="Z42" i="41" s="1"/>
  <c r="Z76" i="4" s="1"/>
  <c r="AE476" i="41"/>
  <c r="AE453" i="41"/>
  <c r="AD478" i="41"/>
  <c r="AD448" i="41"/>
  <c r="AD450" i="41" s="1"/>
  <c r="AD107" i="41" s="1"/>
  <c r="AG405" i="41"/>
  <c r="AG406" i="41" s="1"/>
  <c r="AG412" i="41" s="1"/>
  <c r="AF406" i="41"/>
  <c r="AK380" i="41"/>
  <c r="AC291" i="41"/>
  <c r="AC266" i="41"/>
  <c r="AC152" i="41"/>
  <c r="AV291" i="41"/>
  <c r="AB315" i="41"/>
  <c r="AB316" i="41" s="1"/>
  <c r="AB324" i="41" s="1"/>
  <c r="AB28" i="41"/>
  <c r="AB22" i="41"/>
  <c r="AQ322" i="41"/>
  <c r="AQ321" i="41"/>
  <c r="AG204" i="41"/>
  <c r="AG201" i="41"/>
  <c r="AG205" i="41"/>
  <c r="AV335" i="41"/>
  <c r="AV336" i="41" s="1"/>
  <c r="AV341" i="41" s="1"/>
  <c r="AB374" i="41"/>
  <c r="AB382" i="41" s="1"/>
  <c r="AB282" i="41"/>
  <c r="AB290" i="41" s="1"/>
  <c r="AB292" i="41" s="1"/>
  <c r="AB424" i="41"/>
  <c r="AB425" i="41" s="1"/>
  <c r="AB428" i="41" s="1"/>
  <c r="AK374" i="41"/>
  <c r="AK282" i="41"/>
  <c r="AK290" i="41" s="1"/>
  <c r="AK292" i="41" s="1"/>
  <c r="AK335" i="41"/>
  <c r="AK336" i="41" s="1"/>
  <c r="AK424" i="41"/>
  <c r="AK425" i="41" s="1"/>
  <c r="AK428" i="41" s="1"/>
  <c r="L41" i="41"/>
  <c r="L36" i="41"/>
  <c r="L42" i="41" s="1"/>
  <c r="L76" i="4" s="1"/>
  <c r="V41" i="41"/>
  <c r="V36" i="41"/>
  <c r="V42" i="41" s="1"/>
  <c r="V76" i="4" s="1"/>
  <c r="AA324" i="41"/>
  <c r="N41" i="41"/>
  <c r="N36" i="41"/>
  <c r="N42" i="41" s="1"/>
  <c r="N76" i="4" s="1"/>
  <c r="N11" i="3" s="1"/>
  <c r="AM41" i="41"/>
  <c r="AM36" i="41"/>
  <c r="S41" i="41"/>
  <c r="S36" i="41"/>
  <c r="AG620" i="41"/>
  <c r="AG629" i="41"/>
  <c r="AG441" i="41"/>
  <c r="AH441" i="41" s="1"/>
  <c r="AH438" i="41"/>
  <c r="AQ278" i="41"/>
  <c r="AM240" i="41"/>
  <c r="AI104" i="41"/>
  <c r="AM104" i="41" s="1"/>
  <c r="X575" i="41"/>
  <c r="X574" i="41"/>
  <c r="X31" i="41"/>
  <c r="X34" i="41" s="1"/>
  <c r="AN420" i="41"/>
  <c r="AN401" i="41"/>
  <c r="AR53" i="41"/>
  <c r="AR25" i="61" s="1"/>
  <c r="AN63" i="41"/>
  <c r="AN67" i="41"/>
  <c r="AN64" i="41"/>
  <c r="AN68" i="41"/>
  <c r="AN362" i="41" s="1"/>
  <c r="AN370" i="41" s="1"/>
  <c r="AI400" i="41"/>
  <c r="AI408" i="41" s="1"/>
  <c r="AI330" i="41"/>
  <c r="AM68" i="41"/>
  <c r="AM362" i="41" s="1"/>
  <c r="AM420" i="41"/>
  <c r="AM401" i="41"/>
  <c r="U67" i="41"/>
  <c r="U64" i="41"/>
  <c r="U68" i="41"/>
  <c r="U63" i="41"/>
  <c r="AK593" i="41"/>
  <c r="AK597" i="41" s="1"/>
  <c r="AK41" i="41"/>
  <c r="AK36" i="41"/>
  <c r="AK42" i="41" s="1"/>
  <c r="AK76" i="4" s="1"/>
  <c r="Q41" i="41"/>
  <c r="Q36" i="41"/>
  <c r="Q42" i="41" s="1"/>
  <c r="Q76" i="4" s="1"/>
  <c r="AZ400" i="41"/>
  <c r="AZ408" i="41" s="1"/>
  <c r="AZ409" i="41" s="1"/>
  <c r="AZ330" i="41"/>
  <c r="AZ338" i="41" s="1"/>
  <c r="AZ339" i="41" s="1"/>
  <c r="AZ432" i="41"/>
  <c r="AZ419" i="41"/>
  <c r="AZ399" i="41"/>
  <c r="AZ361" i="41"/>
  <c r="AZ369" i="41" s="1"/>
  <c r="AZ329" i="41"/>
  <c r="AZ69" i="41"/>
  <c r="AT400" i="41"/>
  <c r="AT408" i="41" s="1"/>
  <c r="AT409" i="41" s="1"/>
  <c r="AT330" i="41"/>
  <c r="AT338" i="41" s="1"/>
  <c r="AT339" i="41" s="1"/>
  <c r="AT432" i="41"/>
  <c r="AT419" i="41"/>
  <c r="AT399" i="41"/>
  <c r="AT361" i="41"/>
  <c r="AT369" i="41" s="1"/>
  <c r="AT329" i="41"/>
  <c r="AT69" i="41"/>
  <c r="AF400" i="41"/>
  <c r="AF408" i="41" s="1"/>
  <c r="AF409" i="41" s="1"/>
  <c r="AF330" i="41"/>
  <c r="AF432" i="41"/>
  <c r="AF440" i="41" s="1"/>
  <c r="AF442" i="41" s="1"/>
  <c r="AF419" i="41"/>
  <c r="AF399" i="41"/>
  <c r="AF361" i="41"/>
  <c r="AF369" i="41" s="1"/>
  <c r="AF329" i="41"/>
  <c r="AF69" i="41"/>
  <c r="Z400" i="41"/>
  <c r="Z408" i="41" s="1"/>
  <c r="Z409" i="41" s="1"/>
  <c r="Z330" i="41"/>
  <c r="Z338" i="41" s="1"/>
  <c r="Z339" i="41" s="1"/>
  <c r="Z432" i="41"/>
  <c r="Z440" i="41" s="1"/>
  <c r="Z442" i="41" s="1"/>
  <c r="Z419" i="41"/>
  <c r="Z399" i="41"/>
  <c r="Z361" i="41"/>
  <c r="Z369" i="41" s="1"/>
  <c r="Z329" i="41"/>
  <c r="Z69" i="41"/>
  <c r="BF570" i="41"/>
  <c r="BD548" i="41"/>
  <c r="AY14" i="41"/>
  <c r="AC454" i="41"/>
  <c r="AC155" i="41"/>
  <c r="AC148" i="41"/>
  <c r="AD357" i="41"/>
  <c r="AD383" i="41"/>
  <c r="AE278" i="41"/>
  <c r="AD270" i="41"/>
  <c r="AD278" i="41" s="1"/>
  <c r="AY238" i="41"/>
  <c r="AV202" i="41"/>
  <c r="AV269" i="41"/>
  <c r="AV277" i="41" s="1"/>
  <c r="BH95" i="41"/>
  <c r="BH93" i="41"/>
  <c r="BH94" i="41"/>
  <c r="BI311" i="41"/>
  <c r="BI331" i="41"/>
  <c r="AH635" i="41"/>
  <c r="AH642" i="41" s="1"/>
  <c r="AH24" i="3"/>
  <c r="Z240" i="41"/>
  <c r="AC233" i="41"/>
  <c r="BA324" i="41"/>
  <c r="AG324" i="41"/>
  <c r="AL335" i="41"/>
  <c r="AL336" i="41" s="1"/>
  <c r="AL344" i="41" s="1"/>
  <c r="AQ374" i="41"/>
  <c r="AQ282" i="41"/>
  <c r="AQ290" i="41" s="1"/>
  <c r="AQ335" i="41"/>
  <c r="AQ336" i="41" s="1"/>
  <c r="AQ344" i="41" s="1"/>
  <c r="AQ424" i="41"/>
  <c r="AQ425" i="41" s="1"/>
  <c r="AQ428" i="41" s="1"/>
  <c r="AD593" i="41"/>
  <c r="AD41" i="41"/>
  <c r="AD36" i="41"/>
  <c r="AD42" i="41" s="1"/>
  <c r="AD76" i="4" s="1"/>
  <c r="AK269" i="41"/>
  <c r="AK277" i="41" s="1"/>
  <c r="AK202" i="41"/>
  <c r="AA279" i="41"/>
  <c r="AA374" i="41"/>
  <c r="AA382" i="41" s="1"/>
  <c r="AA384" i="41" s="1"/>
  <c r="AA282" i="41"/>
  <c r="AA290" i="41" s="1"/>
  <c r="AA335" i="41"/>
  <c r="AA336" i="41" s="1"/>
  <c r="AA424" i="41"/>
  <c r="AA425" i="41" s="1"/>
  <c r="AA428" i="41" s="1"/>
  <c r="R28" i="41"/>
  <c r="R22" i="41"/>
  <c r="AG31" i="40"/>
  <c r="AG56" i="40"/>
  <c r="W38" i="40"/>
  <c r="W33" i="40"/>
  <c r="W39" i="40" s="1"/>
  <c r="W77" i="4" s="1"/>
  <c r="AC109" i="40"/>
  <c r="AC45" i="61" s="1"/>
  <c r="AB58" i="40"/>
  <c r="AR96" i="40"/>
  <c r="AK38" i="40"/>
  <c r="AK33" i="40"/>
  <c r="AK39" i="40" s="1"/>
  <c r="AK77" i="4" s="1"/>
  <c r="BJ14" i="4"/>
  <c r="BL12" i="40"/>
  <c r="M38" i="40"/>
  <c r="M33" i="40"/>
  <c r="M39" i="40" s="1"/>
  <c r="M77" i="4" s="1"/>
  <c r="AA38" i="40"/>
  <c r="AA33" i="40"/>
  <c r="AA39" i="40" s="1"/>
  <c r="AA77" i="4" s="1"/>
  <c r="AH39" i="40"/>
  <c r="BK18" i="40"/>
  <c r="BP18" i="40" s="1"/>
  <c r="X103" i="40"/>
  <c r="AI38" i="40"/>
  <c r="AI33" i="40"/>
  <c r="AI39" i="40" s="1"/>
  <c r="AI77" i="4" s="1"/>
  <c r="R27" i="40"/>
  <c r="R31" i="40" s="1"/>
  <c r="R21" i="40"/>
  <c r="AJ38" i="40"/>
  <c r="AJ33" i="40"/>
  <c r="AJ39" i="40" s="1"/>
  <c r="AJ77" i="4" s="1"/>
  <c r="N39" i="3"/>
  <c r="I39" i="3"/>
  <c r="BG18" i="40"/>
  <c r="O38" i="40"/>
  <c r="O33" i="40"/>
  <c r="O39" i="40" s="1"/>
  <c r="O77" i="4" s="1"/>
  <c r="AF38" i="40"/>
  <c r="AF33" i="40"/>
  <c r="AF39" i="40" s="1"/>
  <c r="AF77" i="4" s="1"/>
  <c r="AD38" i="40"/>
  <c r="AD33" i="40"/>
  <c r="AD39" i="40" s="1"/>
  <c r="AD77" i="4" s="1"/>
  <c r="Z38" i="40"/>
  <c r="Z33" i="40"/>
  <c r="AC40" i="40"/>
  <c r="AC77" i="4"/>
  <c r="AC12" i="3" s="1"/>
  <c r="AC9" i="61" s="1"/>
  <c r="AM39" i="40"/>
  <c r="AR40" i="40" s="1"/>
  <c r="AG77" i="40"/>
  <c r="AF76" i="40"/>
  <c r="AL31" i="40"/>
  <c r="AL56" i="40"/>
  <c r="Y100" i="40"/>
  <c r="AC95" i="40"/>
  <c r="AC100" i="40" s="1"/>
  <c r="BB96" i="40"/>
  <c r="BD31" i="4"/>
  <c r="BI24" i="40"/>
  <c r="BN24" i="40" s="1"/>
  <c r="BG24" i="40"/>
  <c r="M40" i="39"/>
  <c r="M35" i="39"/>
  <c r="M41" i="39" s="1"/>
  <c r="M75" i="4" s="1"/>
  <c r="BH20" i="39"/>
  <c r="BM20" i="39" s="1"/>
  <c r="BQ20" i="39" s="1"/>
  <c r="BG20" i="39"/>
  <c r="BC25" i="4"/>
  <c r="V40" i="39"/>
  <c r="V35" i="39"/>
  <c r="BF119" i="4"/>
  <c r="BF159" i="39"/>
  <c r="BA119" i="4"/>
  <c r="BA159" i="39"/>
  <c r="DR54" i="3"/>
  <c r="DR56" i="3" s="1"/>
  <c r="BB138" i="4"/>
  <c r="DT54" i="3" s="1"/>
  <c r="O33" i="39"/>
  <c r="O67" i="39"/>
  <c r="AC67" i="39"/>
  <c r="AC33" i="39"/>
  <c r="Y67" i="39"/>
  <c r="Y33" i="39"/>
  <c r="DG44" i="3"/>
  <c r="AB119" i="4"/>
  <c r="AB159" i="39"/>
  <c r="AB256" i="4" s="1"/>
  <c r="AF67" i="39"/>
  <c r="AF33" i="39"/>
  <c r="BA107" i="39"/>
  <c r="BA12" i="39" s="1"/>
  <c r="R110" i="39"/>
  <c r="W110" i="39"/>
  <c r="S109" i="39"/>
  <c r="AL29" i="39"/>
  <c r="AL23" i="39"/>
  <c r="AL187" i="39" s="1"/>
  <c r="S40" i="39"/>
  <c r="S35" i="39"/>
  <c r="U41" i="39"/>
  <c r="U75" i="4" s="1"/>
  <c r="X208" i="39"/>
  <c r="AL119" i="4"/>
  <c r="AL159" i="39"/>
  <c r="AG119" i="4"/>
  <c r="AG159" i="39"/>
  <c r="AG73" i="42" s="1"/>
  <c r="X67" i="39"/>
  <c r="X33" i="39"/>
  <c r="AB29" i="39"/>
  <c r="AB23" i="39"/>
  <c r="AD187" i="39" s="1"/>
  <c r="AM67" i="39"/>
  <c r="AM33" i="39"/>
  <c r="AI67" i="39"/>
  <c r="AI33" i="39"/>
  <c r="BH132" i="4"/>
  <c r="BB62" i="39"/>
  <c r="AH40" i="39"/>
  <c r="AH35" i="39"/>
  <c r="T40" i="39"/>
  <c r="T35" i="39"/>
  <c r="DM54" i="3"/>
  <c r="DM56" i="3" s="1"/>
  <c r="DH54" i="3"/>
  <c r="DH56" i="3" s="1"/>
  <c r="DJ54" i="3"/>
  <c r="AK67" i="39"/>
  <c r="AK33" i="39"/>
  <c r="AE67" i="39"/>
  <c r="AE33" i="39"/>
  <c r="DW54" i="3"/>
  <c r="DW56" i="3" s="1"/>
  <c r="BG138" i="4"/>
  <c r="DY54" i="3" s="1"/>
  <c r="AJ33" i="39"/>
  <c r="AJ67" i="39"/>
  <c r="AC187" i="39"/>
  <c r="AC194" i="39" s="1"/>
  <c r="AC23" i="3"/>
  <c r="AG29" i="39"/>
  <c r="AG23" i="39"/>
  <c r="AG187" i="39" s="1"/>
  <c r="R29" i="39"/>
  <c r="R23" i="39"/>
  <c r="U187" i="39" s="1"/>
  <c r="BK119" i="4"/>
  <c r="BK159" i="39"/>
  <c r="EB54" i="3"/>
  <c r="EB56" i="3" s="1"/>
  <c r="BL138" i="4"/>
  <c r="ED54" i="3" s="1"/>
  <c r="AB92" i="39"/>
  <c r="BH26" i="39"/>
  <c r="BM26" i="39" s="1"/>
  <c r="BQ26" i="39" s="1"/>
  <c r="BG26" i="39"/>
  <c r="BC31" i="4"/>
  <c r="AA67" i="39"/>
  <c r="AA33" i="39"/>
  <c r="W29" i="39"/>
  <c r="W23" i="39"/>
  <c r="AA187" i="39" s="1"/>
  <c r="J41" i="39"/>
  <c r="J75" i="4" s="1"/>
  <c r="AD35" i="39"/>
  <c r="AD40" i="39"/>
  <c r="X187" i="39"/>
  <c r="X194" i="39" s="1"/>
  <c r="X23" i="3"/>
  <c r="AM187" i="39"/>
  <c r="AM194" i="39" s="1"/>
  <c r="AM23" i="3"/>
  <c r="Q67" i="39"/>
  <c r="Q33" i="39"/>
  <c r="AG92" i="39"/>
  <c r="AH249" i="4"/>
  <c r="AH42" i="4"/>
  <c r="P44" i="4"/>
  <c r="P51" i="4" s="1"/>
  <c r="P50" i="4"/>
  <c r="BF61" i="4"/>
  <c r="AR37" i="3"/>
  <c r="H50" i="4"/>
  <c r="H44" i="4"/>
  <c r="H51" i="4" s="1"/>
  <c r="H65" i="4" s="1"/>
  <c r="BE61" i="4"/>
  <c r="S207" i="4"/>
  <c r="S227" i="4"/>
  <c r="CK21" i="3" s="1"/>
  <c r="S210" i="4"/>
  <c r="S213" i="4"/>
  <c r="S228" i="4"/>
  <c r="CK22" i="3" s="1"/>
  <c r="U50" i="4"/>
  <c r="U44" i="4"/>
  <c r="U51" i="4" s="1"/>
  <c r="K253" i="4"/>
  <c r="K257" i="4" s="1"/>
  <c r="K50" i="4"/>
  <c r="K44" i="4"/>
  <c r="K51" i="4" s="1"/>
  <c r="G50" i="4"/>
  <c r="G44" i="4"/>
  <c r="G51" i="4" s="1"/>
  <c r="G65" i="4" s="1"/>
  <c r="AL249" i="4"/>
  <c r="AL42" i="4"/>
  <c r="N150" i="4"/>
  <c r="N152" i="4" s="1"/>
  <c r="O150" i="4" s="1"/>
  <c r="J152" i="4"/>
  <c r="K150" i="4" s="1"/>
  <c r="K152" i="4" s="1"/>
  <c r="L150" i="4" s="1"/>
  <c r="L152" i="4" s="1"/>
  <c r="M150" i="4" s="1"/>
  <c r="R249" i="4"/>
  <c r="R42" i="4"/>
  <c r="CG152" i="4"/>
  <c r="CK150" i="4"/>
  <c r="CK152" i="4" s="1"/>
  <c r="CL150" i="4" s="1"/>
  <c r="CH150" i="4"/>
  <c r="AJ249" i="4"/>
  <c r="AJ42" i="4"/>
  <c r="AF44" i="4"/>
  <c r="AF51" i="4" s="1"/>
  <c r="AF50" i="4"/>
  <c r="AX61" i="4"/>
  <c r="O65" i="4"/>
  <c r="AK50" i="4"/>
  <c r="AK44" i="4"/>
  <c r="AK51" i="4" s="1"/>
  <c r="AI50" i="4"/>
  <c r="AI44" i="4"/>
  <c r="AI51" i="4" s="1"/>
  <c r="AN52" i="4" s="1"/>
  <c r="AA50" i="4"/>
  <c r="AA44" i="4"/>
  <c r="AA51" i="4" s="1"/>
  <c r="Y50" i="4"/>
  <c r="Y44" i="4"/>
  <c r="Y51" i="4" s="1"/>
  <c r="AB249" i="4"/>
  <c r="AB42" i="4"/>
  <c r="AG149" i="4"/>
  <c r="N249" i="4"/>
  <c r="N42" i="4"/>
  <c r="E50" i="4"/>
  <c r="E44" i="4"/>
  <c r="E51" i="4" s="1"/>
  <c r="E65" i="4" s="1"/>
  <c r="AE50" i="4"/>
  <c r="AE44" i="4"/>
  <c r="AE51" i="4" s="1"/>
  <c r="AC50" i="4"/>
  <c r="AC44" i="4"/>
  <c r="Z44" i="4"/>
  <c r="Z51" i="4" s="1"/>
  <c r="Z50" i="4"/>
  <c r="F50" i="4"/>
  <c r="F44" i="4"/>
  <c r="F51" i="4" s="1"/>
  <c r="F65" i="4" s="1"/>
  <c r="AD44" i="4"/>
  <c r="AD51" i="4" s="1"/>
  <c r="AD50" i="4"/>
  <c r="V44" i="4"/>
  <c r="V51" i="4" s="1"/>
  <c r="V50" i="4"/>
  <c r="S50" i="4"/>
  <c r="S44" i="4"/>
  <c r="S204" i="4"/>
  <c r="X249" i="4"/>
  <c r="X42" i="4"/>
  <c r="AY61" i="4"/>
  <c r="AM50" i="4"/>
  <c r="Q50" i="4"/>
  <c r="Q44" i="4"/>
  <c r="Q51" i="4" s="1"/>
  <c r="M50" i="4"/>
  <c r="M44" i="4"/>
  <c r="M51" i="4" s="1"/>
  <c r="T44" i="4"/>
  <c r="T51" i="4" s="1"/>
  <c r="T50" i="4"/>
  <c r="L253" i="4"/>
  <c r="L257" i="4" s="1"/>
  <c r="L44" i="4"/>
  <c r="L51" i="4" s="1"/>
  <c r="L50" i="4"/>
  <c r="J253" i="4"/>
  <c r="J257" i="4" s="1"/>
  <c r="J44" i="4"/>
  <c r="J51" i="4" s="1"/>
  <c r="J50" i="4"/>
  <c r="X59" i="61" l="1"/>
  <c r="X61" i="61" s="1"/>
  <c r="AU12" i="51"/>
  <c r="AW310" i="41"/>
  <c r="AW123" i="4"/>
  <c r="AW12" i="51"/>
  <c r="AU345" i="41"/>
  <c r="AU346" i="41" s="1"/>
  <c r="AV109" i="40"/>
  <c r="AV58" i="40" s="1"/>
  <c r="AU58" i="40"/>
  <c r="AU390" i="41"/>
  <c r="AU321" i="41"/>
  <c r="AU322" i="41"/>
  <c r="AU260" i="41"/>
  <c r="AU262" i="41" s="1"/>
  <c r="AU100" i="41" s="1"/>
  <c r="AU279" i="41"/>
  <c r="AU395" i="41"/>
  <c r="AU415" i="41"/>
  <c r="AU391" i="41" s="1"/>
  <c r="AX12" i="51"/>
  <c r="O39" i="42"/>
  <c r="O45" i="42" s="1"/>
  <c r="I51" i="4"/>
  <c r="I65" i="4" s="1"/>
  <c r="I217" i="4"/>
  <c r="R23" i="42"/>
  <c r="R44" i="42"/>
  <c r="W41" i="41"/>
  <c r="BL62" i="39"/>
  <c r="AB33" i="40"/>
  <c r="AB39" i="40" s="1"/>
  <c r="AB77" i="4" s="1"/>
  <c r="AZ129" i="41"/>
  <c r="AZ128" i="41" s="1"/>
  <c r="AU190" i="41"/>
  <c r="AW190" i="41" s="1"/>
  <c r="AQ261" i="41"/>
  <c r="BC85" i="39"/>
  <c r="BG85" i="39" s="1"/>
  <c r="AX106" i="40"/>
  <c r="AY106" i="40" s="1"/>
  <c r="AZ106" i="40" s="1"/>
  <c r="BA106" i="40" s="1"/>
  <c r="BB106" i="40" s="1"/>
  <c r="BB46" i="61" s="1"/>
  <c r="BL132" i="4"/>
  <c r="AO283" i="41"/>
  <c r="AO291" i="41" s="1"/>
  <c r="AZ192" i="41"/>
  <c r="M185" i="39"/>
  <c r="AP384" i="41"/>
  <c r="DQ12" i="51"/>
  <c r="BF20" i="42"/>
  <c r="BA25" i="4"/>
  <c r="BB25" i="4" s="1"/>
  <c r="BA22" i="42"/>
  <c r="BA23" i="42" s="1"/>
  <c r="BB20" i="42"/>
  <c r="BB22" i="42" s="1"/>
  <c r="BB23" i="42" s="1"/>
  <c r="BL62" i="42"/>
  <c r="AT58" i="40"/>
  <c r="AQ292" i="41"/>
  <c r="BA190" i="41"/>
  <c r="AQ38" i="40"/>
  <c r="AQ33" i="40"/>
  <c r="AV192" i="41"/>
  <c r="AS464" i="41"/>
  <c r="AT461" i="41"/>
  <c r="BQ420" i="41"/>
  <c r="AZ187" i="41"/>
  <c r="AZ190" i="41" s="1"/>
  <c r="AZ62" i="41"/>
  <c r="BQ13" i="42"/>
  <c r="AT122" i="39"/>
  <c r="AS121" i="39"/>
  <c r="BQ24" i="40"/>
  <c r="BN31" i="4"/>
  <c r="AS427" i="41"/>
  <c r="AS344" i="41"/>
  <c r="AS298" i="41" s="1"/>
  <c r="AS260" i="41"/>
  <c r="BD68" i="41"/>
  <c r="BD362" i="41" s="1"/>
  <c r="BD370" i="41" s="1"/>
  <c r="AS342" i="41"/>
  <c r="AS322" i="41"/>
  <c r="AS321" i="41"/>
  <c r="CN258" i="51"/>
  <c r="BL15" i="42"/>
  <c r="BM15" i="42"/>
  <c r="BQ15" i="42" s="1"/>
  <c r="BM14" i="4"/>
  <c r="BQ14" i="4" s="1"/>
  <c r="BQ14" i="42"/>
  <c r="BH420" i="41"/>
  <c r="BH401" i="41"/>
  <c r="AP358" i="41"/>
  <c r="AP154" i="41"/>
  <c r="BA192" i="41"/>
  <c r="AY130" i="41"/>
  <c r="AY240" i="41"/>
  <c r="BB240" i="41" s="1"/>
  <c r="AX186" i="41"/>
  <c r="BB186" i="41" s="1"/>
  <c r="BB192" i="41" s="1"/>
  <c r="AY192" i="41"/>
  <c r="CS126" i="51"/>
  <c r="CN244" i="51"/>
  <c r="DO12" i="51"/>
  <c r="DP12" i="51"/>
  <c r="DN12" i="51"/>
  <c r="BQ9" i="42"/>
  <c r="BQ10" i="42" s="1"/>
  <c r="BP16" i="42"/>
  <c r="BP18" i="42" s="1"/>
  <c r="BP10" i="42"/>
  <c r="BQ18" i="40"/>
  <c r="AQ18" i="4"/>
  <c r="BA260" i="41"/>
  <c r="AW187" i="41"/>
  <c r="BQ84" i="4"/>
  <c r="EI44" i="3" s="1"/>
  <c r="BO83" i="40"/>
  <c r="BM83" i="40"/>
  <c r="BP83" i="40"/>
  <c r="BN83" i="40"/>
  <c r="BM48" i="40"/>
  <c r="BP48" i="40"/>
  <c r="BO48" i="40"/>
  <c r="BN48" i="40"/>
  <c r="EF45" i="3"/>
  <c r="EH45" i="3"/>
  <c r="BJ25" i="4"/>
  <c r="BO20" i="42"/>
  <c r="BO25" i="4" s="1"/>
  <c r="BM39" i="4"/>
  <c r="EG45" i="3"/>
  <c r="BM40" i="4"/>
  <c r="BM25" i="4"/>
  <c r="BM26" i="42"/>
  <c r="EI45" i="3"/>
  <c r="BN62" i="42"/>
  <c r="BN16" i="42"/>
  <c r="BN18" i="42" s="1"/>
  <c r="BO62" i="42"/>
  <c r="BO16" i="42"/>
  <c r="BO18" i="42" s="1"/>
  <c r="EE45" i="3"/>
  <c r="AR370" i="41"/>
  <c r="AP352" i="41"/>
  <c r="AP354" i="41" s="1"/>
  <c r="AP102" i="41" s="1"/>
  <c r="BD420" i="41"/>
  <c r="BL401" i="41"/>
  <c r="BI420" i="41"/>
  <c r="BM12" i="39"/>
  <c r="BB84" i="64"/>
  <c r="BB22" i="64" s="1"/>
  <c r="BA84" i="64"/>
  <c r="BA22" i="64" s="1"/>
  <c r="AZ84" i="64"/>
  <c r="AZ22" i="64" s="1"/>
  <c r="AY84" i="64"/>
  <c r="AY22" i="64" s="1"/>
  <c r="BB83" i="64"/>
  <c r="BB21" i="64" s="1"/>
  <c r="AZ83" i="64"/>
  <c r="AZ21" i="64" s="1"/>
  <c r="AY83" i="64"/>
  <c r="AY21" i="64" s="1"/>
  <c r="BA83" i="64"/>
  <c r="BA21" i="64" s="1"/>
  <c r="BB85" i="64"/>
  <c r="BB23" i="64" s="1"/>
  <c r="BA85" i="64"/>
  <c r="BA23" i="64" s="1"/>
  <c r="AZ85" i="64"/>
  <c r="AZ23" i="64" s="1"/>
  <c r="AY85" i="64"/>
  <c r="AY23" i="64" s="1"/>
  <c r="BB82" i="64"/>
  <c r="BB20" i="64" s="1"/>
  <c r="AY82" i="64"/>
  <c r="AY20" i="64" s="1"/>
  <c r="BA82" i="64"/>
  <c r="BA20" i="64" s="1"/>
  <c r="AZ82" i="64"/>
  <c r="AZ20" i="64" s="1"/>
  <c r="BP104" i="64"/>
  <c r="BP103" i="64"/>
  <c r="BP101" i="64"/>
  <c r="BM76" i="41"/>
  <c r="BQ76" i="41" s="1"/>
  <c r="BP100" i="64"/>
  <c r="BM73" i="41"/>
  <c r="BM64" i="41" s="1"/>
  <c r="BP102" i="64"/>
  <c r="BP24" i="64"/>
  <c r="BP86" i="64"/>
  <c r="BX71" i="64" s="1"/>
  <c r="AH370" i="41"/>
  <c r="BI73" i="41"/>
  <c r="BI64" i="41" s="1"/>
  <c r="BI310" i="41" s="1"/>
  <c r="BI318" i="41" s="1"/>
  <c r="BI319" i="41" s="1"/>
  <c r="BI76" i="41"/>
  <c r="BI68" i="41" s="1"/>
  <c r="BI362" i="41" s="1"/>
  <c r="BI370" i="41" s="1"/>
  <c r="AU205" i="41"/>
  <c r="BY69" i="64"/>
  <c r="BY70" i="64"/>
  <c r="BO400" i="41"/>
  <c r="BO408" i="41" s="1"/>
  <c r="BO409" i="41" s="1"/>
  <c r="BO330" i="41"/>
  <c r="BO338" i="41" s="1"/>
  <c r="BO339" i="41" s="1"/>
  <c r="BO362" i="41"/>
  <c r="BO370" i="41" s="1"/>
  <c r="BY67" i="64"/>
  <c r="BN362" i="41"/>
  <c r="BN370" i="41" s="1"/>
  <c r="BN353" i="41" s="1"/>
  <c r="BN400" i="41"/>
  <c r="BN408" i="41" s="1"/>
  <c r="BN409" i="41" s="1"/>
  <c r="BN330" i="41"/>
  <c r="BN338" i="41" s="1"/>
  <c r="BN339" i="41" s="1"/>
  <c r="BP362" i="41"/>
  <c r="BP370" i="41" s="1"/>
  <c r="BP400" i="41"/>
  <c r="BP408" i="41" s="1"/>
  <c r="BP409" i="41" s="1"/>
  <c r="BP330" i="41"/>
  <c r="BP338" i="41" s="1"/>
  <c r="BP339" i="41" s="1"/>
  <c r="Y318" i="41"/>
  <c r="AC318" i="41" s="1"/>
  <c r="BD64" i="41"/>
  <c r="BD310" i="41" s="1"/>
  <c r="BD318" i="41" s="1"/>
  <c r="BD319" i="41" s="1"/>
  <c r="AP427" i="41"/>
  <c r="AP429" i="41" s="1"/>
  <c r="AP342" i="41"/>
  <c r="AP345" i="41" s="1"/>
  <c r="AP346" i="41" s="1"/>
  <c r="AP341" i="41"/>
  <c r="AP292" i="41"/>
  <c r="AP260" i="41"/>
  <c r="AP262" i="41" s="1"/>
  <c r="AP100" i="41" s="1"/>
  <c r="BB370" i="41"/>
  <c r="AO187" i="39"/>
  <c r="AO213" i="39"/>
  <c r="AP213" i="39" s="1"/>
  <c r="AQ213" i="39" s="1"/>
  <c r="AR213" i="39" s="1"/>
  <c r="AS213" i="39" s="1"/>
  <c r="AT213" i="39" s="1"/>
  <c r="BE330" i="41"/>
  <c r="BE338" i="41" s="1"/>
  <c r="BE339" i="41" s="1"/>
  <c r="BE362" i="41"/>
  <c r="BE370" i="41" s="1"/>
  <c r="BF330" i="41"/>
  <c r="BF338" i="41" s="1"/>
  <c r="BF339" i="41" s="1"/>
  <c r="BF362" i="41"/>
  <c r="BF370" i="41" s="1"/>
  <c r="BJ400" i="41"/>
  <c r="BJ408" i="41" s="1"/>
  <c r="BJ409" i="41" s="1"/>
  <c r="BJ362" i="41"/>
  <c r="BJ370" i="41" s="1"/>
  <c r="BK330" i="41"/>
  <c r="BK338" i="41" s="1"/>
  <c r="BK339" i="41" s="1"/>
  <c r="BK362" i="41"/>
  <c r="BK370" i="41" s="1"/>
  <c r="BI128" i="41"/>
  <c r="CC53" i="72"/>
  <c r="CC57" i="72" s="1"/>
  <c r="CC60" i="72"/>
  <c r="BE129" i="41"/>
  <c r="BE128" i="41" s="1"/>
  <c r="BX59" i="72"/>
  <c r="BX44" i="72"/>
  <c r="BX45" i="72" s="1"/>
  <c r="BX52" i="72" s="1"/>
  <c r="X8" i="72"/>
  <c r="X11" i="72" s="1"/>
  <c r="X12" i="72" s="1"/>
  <c r="X19" i="72" s="1"/>
  <c r="X20" i="72" s="1"/>
  <c r="AT240" i="41"/>
  <c r="BI223" i="41"/>
  <c r="BI240" i="41" s="1"/>
  <c r="BI104" i="41" s="1"/>
  <c r="BG53" i="41"/>
  <c r="BH48" i="40"/>
  <c r="BH8" i="40" s="1"/>
  <c r="BM8" i="40" s="1"/>
  <c r="BK48" i="40"/>
  <c r="BK8" i="40" s="1"/>
  <c r="BP8" i="40" s="1"/>
  <c r="BJ48" i="40"/>
  <c r="BJ8" i="40" s="1"/>
  <c r="BO8" i="40" s="1"/>
  <c r="BI48" i="40"/>
  <c r="BI8" i="40" s="1"/>
  <c r="BN8" i="40" s="1"/>
  <c r="BG96" i="40"/>
  <c r="BH83" i="40"/>
  <c r="BL84" i="4"/>
  <c r="BJ83" i="40"/>
  <c r="BK83" i="40"/>
  <c r="BI83" i="40"/>
  <c r="BA204" i="41"/>
  <c r="BK400" i="41"/>
  <c r="BK408" i="41" s="1"/>
  <c r="BK409" i="41" s="1"/>
  <c r="BE400" i="41"/>
  <c r="BE408" i="41" s="1"/>
  <c r="BE409" i="41" s="1"/>
  <c r="BJ330" i="41"/>
  <c r="BJ338" i="41" s="1"/>
  <c r="BJ339" i="41" s="1"/>
  <c r="BO100" i="64"/>
  <c r="BN101" i="64"/>
  <c r="BF400" i="41"/>
  <c r="BF408" i="41" s="1"/>
  <c r="BF409" i="41" s="1"/>
  <c r="BN100" i="64"/>
  <c r="BN104" i="64"/>
  <c r="BO101" i="64"/>
  <c r="BO104" i="64"/>
  <c r="BN103" i="64"/>
  <c r="BG76" i="41"/>
  <c r="AL67" i="42"/>
  <c r="AM67" i="42" s="1"/>
  <c r="AM68" i="42" s="1"/>
  <c r="AO104" i="41"/>
  <c r="AR104" i="41" s="1"/>
  <c r="AM45" i="42"/>
  <c r="X45" i="42"/>
  <c r="AC45" i="42"/>
  <c r="BO103" i="64"/>
  <c r="BY68" i="64"/>
  <c r="BG73" i="41"/>
  <c r="BN102" i="64"/>
  <c r="AG37" i="42"/>
  <c r="AG44" i="42" s="1"/>
  <c r="BW101" i="39"/>
  <c r="BO102" i="64"/>
  <c r="AD44" i="42"/>
  <c r="AD39" i="42"/>
  <c r="AD45" i="42" s="1"/>
  <c r="AB384" i="41"/>
  <c r="AP214" i="41"/>
  <c r="AO214" i="41"/>
  <c r="AQ214" i="41"/>
  <c r="AG67" i="42"/>
  <c r="AH67" i="42" s="1"/>
  <c r="AH68" i="42" s="1"/>
  <c r="AQ279" i="41"/>
  <c r="AR240" i="41"/>
  <c r="AR241" i="41" s="1"/>
  <c r="BB607" i="41"/>
  <c r="CF39" i="3"/>
  <c r="CF51" i="3" s="1"/>
  <c r="CF53" i="3" s="1"/>
  <c r="CF56" i="3" s="1"/>
  <c r="CF64" i="3" s="1"/>
  <c r="M152" i="4"/>
  <c r="BI21" i="4"/>
  <c r="AM123" i="4"/>
  <c r="AH474" i="41"/>
  <c r="AH476" i="41" s="1"/>
  <c r="CD12" i="51"/>
  <c r="AB187" i="39"/>
  <c r="AE261" i="41"/>
  <c r="AH406" i="41"/>
  <c r="AG414" i="41"/>
  <c r="BG123" i="4"/>
  <c r="AH405" i="41"/>
  <c r="AI405" i="41" s="1"/>
  <c r="AI406" i="41" s="1"/>
  <c r="CA39" i="3"/>
  <c r="CA51" i="3" s="1"/>
  <c r="CA53" i="3" s="1"/>
  <c r="CA56" i="3" s="1"/>
  <c r="CA64" i="3" s="1"/>
  <c r="AD299" i="41"/>
  <c r="AD251" i="41" s="1"/>
  <c r="AD254" i="41" s="1"/>
  <c r="AD106" i="41" s="1"/>
  <c r="CI11" i="51"/>
  <c r="Z414" i="41"/>
  <c r="AF414" i="41"/>
  <c r="AK187" i="39"/>
  <c r="AB342" i="41"/>
  <c r="AB345" i="41" s="1"/>
  <c r="AB346" i="41" s="1"/>
  <c r="U65" i="41"/>
  <c r="CP10" i="51"/>
  <c r="AK581" i="41"/>
  <c r="AK604" i="41" s="1"/>
  <c r="AK607" i="41" s="1"/>
  <c r="AK73" i="42" s="1"/>
  <c r="AK72" i="42" s="1"/>
  <c r="AH10" i="51"/>
  <c r="AH12" i="51" s="1"/>
  <c r="AH118" i="51"/>
  <c r="CO10" i="51"/>
  <c r="AM581" i="41"/>
  <c r="AJ10" i="51"/>
  <c r="AJ12" i="51" s="1"/>
  <c r="AJ118" i="51"/>
  <c r="AI10" i="51"/>
  <c r="AI12" i="51" s="1"/>
  <c r="AI118" i="51"/>
  <c r="AL581" i="41"/>
  <c r="AL604" i="41" s="1"/>
  <c r="AL607" i="41" s="1"/>
  <c r="AL73" i="42" s="1"/>
  <c r="AL72" i="42" s="1"/>
  <c r="W50" i="4"/>
  <c r="W44" i="4"/>
  <c r="W51" i="4" s="1"/>
  <c r="W65" i="4" s="1"/>
  <c r="AF118" i="51"/>
  <c r="AF12" i="51"/>
  <c r="AI581" i="41"/>
  <c r="AI604" i="41" s="1"/>
  <c r="AH473" i="41"/>
  <c r="AI473" i="41" s="1"/>
  <c r="AJ473" i="41" s="1"/>
  <c r="CQ10" i="51"/>
  <c r="CR10" i="51"/>
  <c r="BA66" i="42"/>
  <c r="AY66" i="42"/>
  <c r="AX66" i="42"/>
  <c r="AJ581" i="41"/>
  <c r="AJ604" i="41" s="1"/>
  <c r="AJ607" i="41" s="1"/>
  <c r="AJ73" i="42" s="1"/>
  <c r="AJ72" i="42" s="1"/>
  <c r="AG118" i="51"/>
  <c r="AG10" i="51"/>
  <c r="AG12" i="51" s="1"/>
  <c r="BH68" i="41"/>
  <c r="AQ427" i="41"/>
  <c r="AQ429" i="41" s="1"/>
  <c r="AD145" i="39"/>
  <c r="AD149" i="39" s="1"/>
  <c r="BJ548" i="41"/>
  <c r="BE14" i="41"/>
  <c r="BB203" i="41"/>
  <c r="CA180" i="41" s="1"/>
  <c r="AB352" i="41"/>
  <c r="AI187" i="39"/>
  <c r="M189" i="39"/>
  <c r="AJ187" i="39"/>
  <c r="BG16" i="42"/>
  <c r="BG18" i="42" s="1"/>
  <c r="AH61" i="42"/>
  <c r="AL44" i="42"/>
  <c r="AL39" i="42"/>
  <c r="AL45" i="42" s="1"/>
  <c r="AB44" i="42"/>
  <c r="AB39" i="42"/>
  <c r="AB45" i="42" s="1"/>
  <c r="AM61" i="42"/>
  <c r="AG76" i="40"/>
  <c r="AH76" i="40" s="1"/>
  <c r="AH77" i="40" s="1"/>
  <c r="AI77" i="40"/>
  <c r="AJ77" i="40" s="1"/>
  <c r="ED59" i="3"/>
  <c r="BL246" i="4"/>
  <c r="BL121" i="4"/>
  <c r="AC60" i="3"/>
  <c r="AZ12" i="51"/>
  <c r="BC92" i="4"/>
  <c r="BC142" i="4" s="1"/>
  <c r="AX175" i="4" s="1"/>
  <c r="BC607" i="41"/>
  <c r="BG604" i="41"/>
  <c r="BG607" i="41" s="1"/>
  <c r="CS108" i="51"/>
  <c r="CX53" i="51"/>
  <c r="CI46" i="51"/>
  <c r="CI10" i="51"/>
  <c r="BB12" i="51"/>
  <c r="BE92" i="4"/>
  <c r="BE142" i="4" s="1"/>
  <c r="CI260" i="51"/>
  <c r="AH123" i="4"/>
  <c r="AG72" i="42"/>
  <c r="AH72" i="42" s="1"/>
  <c r="AH73" i="42" s="1"/>
  <c r="BC12" i="51"/>
  <c r="BF92" i="4"/>
  <c r="BF142" i="4" s="1"/>
  <c r="BD12" i="51"/>
  <c r="BG92" i="4"/>
  <c r="CN44" i="51"/>
  <c r="CQ44" i="51"/>
  <c r="CM44" i="51"/>
  <c r="CK44" i="51"/>
  <c r="CL44" i="51"/>
  <c r="CJ44" i="51"/>
  <c r="DQ60" i="3"/>
  <c r="BB142" i="4"/>
  <c r="CS127" i="51"/>
  <c r="CN30" i="51"/>
  <c r="CS28" i="51"/>
  <c r="BH175" i="4"/>
  <c r="EA60" i="3"/>
  <c r="BL142" i="4"/>
  <c r="BF175" i="4"/>
  <c r="BG175" i="4" s="1"/>
  <c r="BA12" i="51"/>
  <c r="BD92" i="4"/>
  <c r="BD142" i="4" s="1"/>
  <c r="CN118" i="51"/>
  <c r="CQ258" i="51"/>
  <c r="AC607" i="41"/>
  <c r="AC256" i="4" s="1"/>
  <c r="BN86" i="64"/>
  <c r="BN24" i="64"/>
  <c r="AA427" i="41"/>
  <c r="AA429" i="41" s="1"/>
  <c r="AG207" i="41"/>
  <c r="AB341" i="41"/>
  <c r="BH64" i="41"/>
  <c r="AL427" i="41"/>
  <c r="AL429" i="41" s="1"/>
  <c r="AG427" i="41"/>
  <c r="AG429" i="41" s="1"/>
  <c r="BA427" i="41"/>
  <c r="BA429" i="41" s="1"/>
  <c r="BO86" i="64"/>
  <c r="BO24" i="64"/>
  <c r="BE72" i="41"/>
  <c r="BE63" i="41" s="1"/>
  <c r="BF72" i="41"/>
  <c r="BF63" i="41" s="1"/>
  <c r="BL10" i="42"/>
  <c r="BC22" i="42"/>
  <c r="BC21" i="4"/>
  <c r="BL14" i="42"/>
  <c r="BH14" i="4"/>
  <c r="BI23" i="42"/>
  <c r="BD23" i="42"/>
  <c r="BH39" i="4"/>
  <c r="BH16" i="42"/>
  <c r="BH18" i="42" s="1"/>
  <c r="BE23" i="42"/>
  <c r="BJ22" i="42"/>
  <c r="BJ21" i="4"/>
  <c r="BH40" i="4"/>
  <c r="BH248" i="4" s="1"/>
  <c r="AG395" i="41"/>
  <c r="AG415" i="41"/>
  <c r="AG391" i="41" s="1"/>
  <c r="AA341" i="41"/>
  <c r="AA342" i="41"/>
  <c r="AA303" i="41" s="1"/>
  <c r="AK205" i="41"/>
  <c r="AK204" i="41"/>
  <c r="AD597" i="41"/>
  <c r="AD609" i="41" s="1"/>
  <c r="AD610" i="41" s="1"/>
  <c r="AH610" i="41" s="1"/>
  <c r="AH593" i="41"/>
  <c r="AH597" i="41" s="1"/>
  <c r="AH609" i="41" s="1"/>
  <c r="BA298" i="41"/>
  <c r="Z104" i="41"/>
  <c r="AC104" i="41" s="1"/>
  <c r="AC240" i="41"/>
  <c r="AC243" i="41" s="1"/>
  <c r="AC28" i="61" s="1"/>
  <c r="BH331" i="41"/>
  <c r="BH311" i="41"/>
  <c r="AV260" i="41"/>
  <c r="AH278" i="41"/>
  <c r="AD261" i="41"/>
  <c r="AH358" i="41"/>
  <c r="AH154" i="41"/>
  <c r="BF599" i="41"/>
  <c r="BF601" i="41" s="1"/>
  <c r="BF83" i="4"/>
  <c r="Z374" i="41"/>
  <c r="Z382" i="41" s="1"/>
  <c r="Z384" i="41" s="1"/>
  <c r="Z282" i="41"/>
  <c r="Z290" i="41" s="1"/>
  <c r="Z292" i="41" s="1"/>
  <c r="Z424" i="41"/>
  <c r="Z425" i="41" s="1"/>
  <c r="Z428" i="41" s="1"/>
  <c r="AF335" i="41"/>
  <c r="AF336" i="41" s="1"/>
  <c r="AF412" i="41"/>
  <c r="AF411" i="41"/>
  <c r="AT374" i="41"/>
  <c r="AT382" i="41" s="1"/>
  <c r="AT384" i="41" s="1"/>
  <c r="AT282" i="41"/>
  <c r="AT290" i="41" s="1"/>
  <c r="AT424" i="41"/>
  <c r="AT425" i="41" s="1"/>
  <c r="AT428" i="41" s="1"/>
  <c r="AZ335" i="41"/>
  <c r="AZ336" i="41" s="1"/>
  <c r="AZ344" i="41" s="1"/>
  <c r="AM400" i="41"/>
  <c r="AM330" i="41"/>
  <c r="AM408" i="41"/>
  <c r="AI409" i="41"/>
  <c r="AN310" i="41"/>
  <c r="AN318" i="41" s="1"/>
  <c r="AR64" i="41"/>
  <c r="AR310" i="41" s="1"/>
  <c r="AN309" i="41"/>
  <c r="AN65" i="41"/>
  <c r="AN202" i="41" s="1"/>
  <c r="AR63" i="41"/>
  <c r="X41" i="41"/>
  <c r="X36" i="41"/>
  <c r="AM243" i="41"/>
  <c r="AM28" i="61" s="1"/>
  <c r="AM241" i="41"/>
  <c r="AO270" i="41"/>
  <c r="AK341" i="41"/>
  <c r="AK342" i="41"/>
  <c r="AV342" i="41"/>
  <c r="AB298" i="41"/>
  <c r="AK357" i="41"/>
  <c r="AK383" i="41"/>
  <c r="AE454" i="41"/>
  <c r="AE155" i="41"/>
  <c r="AE148" i="41"/>
  <c r="Z609" i="41"/>
  <c r="Z610" i="41" s="1"/>
  <c r="CR39" i="3"/>
  <c r="AC400" i="41"/>
  <c r="AC330" i="41"/>
  <c r="AC408" i="41"/>
  <c r="Y409" i="41"/>
  <c r="Y414" i="41" s="1"/>
  <c r="AD310" i="41"/>
  <c r="AH64" i="41"/>
  <c r="AH310" i="41" s="1"/>
  <c r="AD309" i="41"/>
  <c r="AD65" i="41"/>
  <c r="AH63" i="41"/>
  <c r="AW309" i="41"/>
  <c r="AW269" i="41"/>
  <c r="AY400" i="41"/>
  <c r="AY408" i="41" s="1"/>
  <c r="AY409" i="41" s="1"/>
  <c r="AY330" i="41"/>
  <c r="AY338" i="41" s="1"/>
  <c r="AY339" i="41" s="1"/>
  <c r="AY432" i="41"/>
  <c r="AY419" i="41"/>
  <c r="AY399" i="41"/>
  <c r="AY329" i="41"/>
  <c r="AY361" i="41"/>
  <c r="AY369" i="41" s="1"/>
  <c r="AY69" i="41"/>
  <c r="AJ374" i="41"/>
  <c r="AJ382" i="41" s="1"/>
  <c r="AJ384" i="41" s="1"/>
  <c r="AJ282" i="41"/>
  <c r="AJ290" i="41" s="1"/>
  <c r="AJ292" i="41" s="1"/>
  <c r="AJ424" i="41"/>
  <c r="AJ425" i="41" s="1"/>
  <c r="AJ428" i="41" s="1"/>
  <c r="AL205" i="41"/>
  <c r="AL204" i="41"/>
  <c r="AA352" i="41"/>
  <c r="AK321" i="41"/>
  <c r="AK322" i="41"/>
  <c r="AG146" i="41"/>
  <c r="AG325" i="41"/>
  <c r="AG326" i="41" s="1"/>
  <c r="P41" i="41"/>
  <c r="P36" i="41"/>
  <c r="P42" i="41" s="1"/>
  <c r="P76" i="4" s="1"/>
  <c r="AV322" i="41"/>
  <c r="AV146" i="41" s="1"/>
  <c r="AV321" i="41"/>
  <c r="AH243" i="41"/>
  <c r="AH28" i="61" s="1"/>
  <c r="AG383" i="41"/>
  <c r="AH383" i="41" s="1"/>
  <c r="AG357" i="41"/>
  <c r="AI357" i="41"/>
  <c r="AI383" i="41"/>
  <c r="AB358" i="41"/>
  <c r="AB154" i="41"/>
  <c r="Z315" i="41"/>
  <c r="Z316" i="41" s="1"/>
  <c r="Z324" i="41" s="1"/>
  <c r="AF269" i="41"/>
  <c r="AF277" i="41" s="1"/>
  <c r="AF202" i="41"/>
  <c r="AT315" i="41"/>
  <c r="AT316" i="41" s="1"/>
  <c r="AT324" i="41" s="1"/>
  <c r="AZ202" i="41"/>
  <c r="AZ269" i="41"/>
  <c r="AZ277" i="41" s="1"/>
  <c r="X68" i="41"/>
  <c r="T69" i="41"/>
  <c r="X67" i="41"/>
  <c r="AM432" i="41"/>
  <c r="AM419" i="41"/>
  <c r="AM399" i="41"/>
  <c r="AM329" i="41"/>
  <c r="AM361" i="41"/>
  <c r="AM69" i="41"/>
  <c r="AM369" i="41"/>
  <c r="AI269" i="41"/>
  <c r="AI277" i="41" s="1"/>
  <c r="AI202" i="41"/>
  <c r="AO309" i="41"/>
  <c r="AO65" i="41"/>
  <c r="BG270" i="41"/>
  <c r="BA270" i="41"/>
  <c r="AJ437" i="41"/>
  <c r="AI438" i="41"/>
  <c r="AZ601" i="41"/>
  <c r="BB599" i="41"/>
  <c r="BB601" i="41" s="1"/>
  <c r="AX622" i="41"/>
  <c r="BE601" i="41"/>
  <c r="M41" i="41"/>
  <c r="M36" i="41"/>
  <c r="M42" i="41" s="1"/>
  <c r="M76" i="4" s="1"/>
  <c r="AG382" i="41"/>
  <c r="AA395" i="41"/>
  <c r="AA415" i="41"/>
  <c r="AA391" i="41" s="1"/>
  <c r="O41" i="41"/>
  <c r="O36" i="41"/>
  <c r="O42" i="41" s="1"/>
  <c r="O76" i="4" s="1"/>
  <c r="AG411" i="41"/>
  <c r="AV292" i="41"/>
  <c r="AG260" i="41"/>
  <c r="AG262" i="41" s="1"/>
  <c r="AG100" i="41" s="1"/>
  <c r="AB395" i="41"/>
  <c r="AB415" i="41"/>
  <c r="AB391" i="41" s="1"/>
  <c r="AB260" i="41"/>
  <c r="AB262" i="41" s="1"/>
  <c r="AB100" i="41" s="1"/>
  <c r="BL283" i="41"/>
  <c r="BF283" i="41"/>
  <c r="AF358" i="41"/>
  <c r="AF154" i="41"/>
  <c r="AF453" i="41"/>
  <c r="AF476" i="41"/>
  <c r="BH14" i="41"/>
  <c r="AC432" i="41"/>
  <c r="AC419" i="41"/>
  <c r="AC399" i="41"/>
  <c r="AC329" i="41"/>
  <c r="AC361" i="41"/>
  <c r="AC69" i="41"/>
  <c r="AC369" i="41"/>
  <c r="Y442" i="41"/>
  <c r="AC440" i="41"/>
  <c r="AC442" i="41" s="1"/>
  <c r="Y279" i="41"/>
  <c r="AC277" i="41"/>
  <c r="AE309" i="41"/>
  <c r="AE65" i="41"/>
  <c r="AW400" i="41"/>
  <c r="AW330" i="41"/>
  <c r="AW408" i="41"/>
  <c r="AX310" i="41"/>
  <c r="AX318" i="41" s="1"/>
  <c r="BB64" i="41"/>
  <c r="BB310" i="41" s="1"/>
  <c r="AX309" i="41"/>
  <c r="AX65" i="41"/>
  <c r="BB63" i="41"/>
  <c r="Y597" i="41"/>
  <c r="AJ315" i="41"/>
  <c r="AJ316" i="41" s="1"/>
  <c r="AP202" i="41"/>
  <c r="BH203" i="41"/>
  <c r="BH222" i="41"/>
  <c r="AL298" i="41"/>
  <c r="R31" i="41"/>
  <c r="R34" i="41" s="1"/>
  <c r="R574" i="41"/>
  <c r="R575" i="41"/>
  <c r="AA344" i="41"/>
  <c r="AA298" i="41" s="1"/>
  <c r="AA292" i="41"/>
  <c r="AA260" i="41"/>
  <c r="AA262" i="41" s="1"/>
  <c r="AA100" i="41" s="1"/>
  <c r="AK260" i="41"/>
  <c r="AK262" i="41" s="1"/>
  <c r="AK100" i="41" s="1"/>
  <c r="AK279" i="41"/>
  <c r="AQ342" i="41"/>
  <c r="AQ303" i="41" s="1"/>
  <c r="AQ341" i="41"/>
  <c r="AL342" i="41"/>
  <c r="AL341" i="41"/>
  <c r="AG298" i="41"/>
  <c r="AQ260" i="41"/>
  <c r="AV205" i="41"/>
  <c r="AV204" i="41"/>
  <c r="BB238" i="41"/>
  <c r="BB130" i="41" s="1"/>
  <c r="AD358" i="41"/>
  <c r="AD154" i="41"/>
  <c r="BI548" i="41"/>
  <c r="BD14" i="41"/>
  <c r="Z335" i="41"/>
  <c r="Z336" i="41" s="1"/>
  <c r="Z342" i="41" s="1"/>
  <c r="Z412" i="41"/>
  <c r="Z411" i="41"/>
  <c r="AF374" i="41"/>
  <c r="AF382" i="41" s="1"/>
  <c r="AF384" i="41" s="1"/>
  <c r="AF282" i="41"/>
  <c r="AF290" i="41" s="1"/>
  <c r="AF292" i="41" s="1"/>
  <c r="AF424" i="41"/>
  <c r="AF425" i="41" s="1"/>
  <c r="AF428" i="41" s="1"/>
  <c r="AT335" i="41"/>
  <c r="AT336" i="41" s="1"/>
  <c r="AT342" i="41" s="1"/>
  <c r="AZ374" i="41"/>
  <c r="AZ282" i="41"/>
  <c r="AZ290" i="41" s="1"/>
  <c r="AZ424" i="41"/>
  <c r="AZ425" i="41" s="1"/>
  <c r="AZ428" i="41" s="1"/>
  <c r="U69" i="41"/>
  <c r="AN400" i="41"/>
  <c r="AN408" i="41" s="1"/>
  <c r="AN330" i="41"/>
  <c r="AN338" i="41" s="1"/>
  <c r="AR68" i="41"/>
  <c r="AR362" i="41" s="1"/>
  <c r="AN432" i="41"/>
  <c r="AN419" i="41"/>
  <c r="AN399" i="41"/>
  <c r="AN361" i="41"/>
  <c r="AN369" i="41" s="1"/>
  <c r="AN329" i="41"/>
  <c r="AN69" i="41"/>
  <c r="AR67" i="41"/>
  <c r="AR420" i="41"/>
  <c r="AR401" i="41"/>
  <c r="S637" i="41"/>
  <c r="S633" i="41"/>
  <c r="S42" i="41"/>
  <c r="S76" i="4" s="1"/>
  <c r="S11" i="3" s="1"/>
  <c r="AM637" i="41"/>
  <c r="AM42" i="41"/>
  <c r="AR43" i="41" s="1"/>
  <c r="AG442" i="41"/>
  <c r="AK427" i="41"/>
  <c r="AK429" i="41" s="1"/>
  <c r="AK344" i="41"/>
  <c r="AK382" i="41"/>
  <c r="AB427" i="41"/>
  <c r="AB429" i="41" s="1"/>
  <c r="AV344" i="41"/>
  <c r="AQ146" i="41"/>
  <c r="AQ325" i="41"/>
  <c r="AB31" i="41"/>
  <c r="AB34" i="41" s="1"/>
  <c r="AB575" i="41"/>
  <c r="AB574" i="41"/>
  <c r="AB322" i="41"/>
  <c r="AB321" i="41"/>
  <c r="AT283" i="41"/>
  <c r="AS283" i="41" s="1"/>
  <c r="AS291" i="41" s="1"/>
  <c r="AS292" i="41" s="1"/>
  <c r="AE478" i="41"/>
  <c r="AE448" i="41"/>
  <c r="AE450" i="41" s="1"/>
  <c r="AE107" i="41" s="1"/>
  <c r="AC338" i="41"/>
  <c r="Y339" i="41"/>
  <c r="AD400" i="41"/>
  <c r="AD408" i="41" s="1"/>
  <c r="AD330" i="41"/>
  <c r="AH68" i="41"/>
  <c r="AH362" i="41" s="1"/>
  <c r="AD432" i="41"/>
  <c r="AD440" i="41" s="1"/>
  <c r="AD419" i="41"/>
  <c r="AD399" i="41"/>
  <c r="AD361" i="41"/>
  <c r="AD369" i="41" s="1"/>
  <c r="AD329" i="41"/>
  <c r="AD69" i="41"/>
  <c r="AH67" i="41"/>
  <c r="AH420" i="41"/>
  <c r="AH401" i="41"/>
  <c r="AW432" i="41"/>
  <c r="AW419" i="41"/>
  <c r="AW399" i="41"/>
  <c r="AW329" i="41"/>
  <c r="AW361" i="41"/>
  <c r="AW369" i="41"/>
  <c r="AW318" i="41"/>
  <c r="AY309" i="41"/>
  <c r="AY65" i="41"/>
  <c r="AA609" i="41"/>
  <c r="AA610" i="41" s="1"/>
  <c r="CS39" i="3"/>
  <c r="AJ335" i="41"/>
  <c r="AJ336" i="41" s="1"/>
  <c r="AW238" i="41"/>
  <c r="AW130" i="41" s="1"/>
  <c r="AL279" i="41"/>
  <c r="AL260" i="41"/>
  <c r="AL262" i="41" s="1"/>
  <c r="AL100" i="41" s="1"/>
  <c r="AC358" i="41"/>
  <c r="AC154" i="41"/>
  <c r="AK324" i="41"/>
  <c r="BA146" i="41"/>
  <c r="BA325" i="41"/>
  <c r="AH41" i="41"/>
  <c r="AH36" i="41"/>
  <c r="AV324" i="41"/>
  <c r="AQ379" i="41"/>
  <c r="AS379" i="41" s="1"/>
  <c r="AS380" i="41" s="1"/>
  <c r="AS382" i="41" s="1"/>
  <c r="AN379" i="41"/>
  <c r="AN380" i="41" s="1"/>
  <c r="AL380" i="41"/>
  <c r="Z279" i="41"/>
  <c r="AF315" i="41"/>
  <c r="AF316" i="41" s="1"/>
  <c r="AT202" i="41"/>
  <c r="AT269" i="41"/>
  <c r="AT277" i="41" s="1"/>
  <c r="AZ315" i="41"/>
  <c r="AZ316" i="41" s="1"/>
  <c r="AI597" i="41"/>
  <c r="X64" i="41"/>
  <c r="T65" i="41"/>
  <c r="X63" i="41"/>
  <c r="AI374" i="41"/>
  <c r="AI382" i="41" s="1"/>
  <c r="AI282" i="41"/>
  <c r="AI290" i="41" s="1"/>
  <c r="AI335" i="41"/>
  <c r="AI424" i="41"/>
  <c r="AM309" i="41"/>
  <c r="AM65" i="41"/>
  <c r="AM269" i="41" s="1"/>
  <c r="AI315" i="41"/>
  <c r="AO400" i="41"/>
  <c r="AO408" i="41" s="1"/>
  <c r="AO409" i="41" s="1"/>
  <c r="AO330" i="41"/>
  <c r="AO338" i="41" s="1"/>
  <c r="AO339" i="41" s="1"/>
  <c r="AO432" i="41"/>
  <c r="AO419" i="41"/>
  <c r="AO399" i="41"/>
  <c r="AO329" i="41"/>
  <c r="AO361" i="41"/>
  <c r="AO369" i="41" s="1"/>
  <c r="AO69" i="41"/>
  <c r="BL228" i="41"/>
  <c r="BC420" i="41"/>
  <c r="BC401" i="41"/>
  <c r="BC64" i="41"/>
  <c r="BC68" i="41"/>
  <c r="BC362" i="41" s="1"/>
  <c r="BC370" i="41" s="1"/>
  <c r="AV278" i="41"/>
  <c r="AV261" i="41" s="1"/>
  <c r="AH266" i="41"/>
  <c r="AH152" i="41"/>
  <c r="AC637" i="41"/>
  <c r="AC42" i="41"/>
  <c r="AG342" i="41"/>
  <c r="AG341" i="41"/>
  <c r="BA342" i="41"/>
  <c r="BA341" i="41"/>
  <c r="AA146" i="41"/>
  <c r="AA325" i="41"/>
  <c r="AV427" i="41"/>
  <c r="AV429" i="41" s="1"/>
  <c r="AQ298" i="41"/>
  <c r="BA291" i="41"/>
  <c r="BA292" i="41" s="1"/>
  <c r="AZ283" i="41"/>
  <c r="BE176" i="41"/>
  <c r="BC176" i="41"/>
  <c r="BG186" i="41"/>
  <c r="BG192" i="41" s="1"/>
  <c r="BL176" i="41"/>
  <c r="BQ176" i="41" s="1"/>
  <c r="BF176" i="41"/>
  <c r="BD176" i="41"/>
  <c r="AG476" i="41"/>
  <c r="AG453" i="41"/>
  <c r="Y374" i="41"/>
  <c r="Y382" i="41" s="1"/>
  <c r="Y282" i="41"/>
  <c r="Y290" i="41" s="1"/>
  <c r="Y335" i="41"/>
  <c r="Y424" i="41"/>
  <c r="AC309" i="41"/>
  <c r="AC65" i="41"/>
  <c r="AC269" i="41" s="1"/>
  <c r="Y315" i="41"/>
  <c r="AE400" i="41"/>
  <c r="AE408" i="41" s="1"/>
  <c r="AE409" i="41" s="1"/>
  <c r="AE330" i="41"/>
  <c r="AE432" i="41"/>
  <c r="AE440" i="41" s="1"/>
  <c r="AE442" i="41" s="1"/>
  <c r="AE419" i="41"/>
  <c r="AE399" i="41"/>
  <c r="AE329" i="41"/>
  <c r="AE361" i="41"/>
  <c r="AE369" i="41" s="1"/>
  <c r="AE69" i="41"/>
  <c r="AW338" i="41"/>
  <c r="AX400" i="41"/>
  <c r="AX408" i="41" s="1"/>
  <c r="AX330" i="41"/>
  <c r="AX338" i="41" s="1"/>
  <c r="BB68" i="41"/>
  <c r="BB362" i="41" s="1"/>
  <c r="AX432" i="41"/>
  <c r="AX419" i="41"/>
  <c r="AX399" i="41"/>
  <c r="AX361" i="41"/>
  <c r="AX369" i="41" s="1"/>
  <c r="AX329" i="41"/>
  <c r="AX69" i="41"/>
  <c r="BB67" i="41"/>
  <c r="BB420" i="41"/>
  <c r="BB401" i="41"/>
  <c r="AJ202" i="41"/>
  <c r="AJ269" i="41"/>
  <c r="AJ277" i="41" s="1"/>
  <c r="AL31" i="41"/>
  <c r="AL34" i="41" s="1"/>
  <c r="AL575" i="41"/>
  <c r="AL574" i="41"/>
  <c r="BL233" i="41"/>
  <c r="AL322" i="41"/>
  <c r="AL321" i="41"/>
  <c r="AJ278" i="41"/>
  <c r="AJ261" i="41" s="1"/>
  <c r="AI270" i="41"/>
  <c r="AI278" i="41" s="1"/>
  <c r="AM291" i="41"/>
  <c r="Y261" i="41"/>
  <c r="AC278" i="41"/>
  <c r="AH291" i="41"/>
  <c r="Z95" i="40"/>
  <c r="Z100" i="40" s="1"/>
  <c r="Y87" i="40"/>
  <c r="AL33" i="40"/>
  <c r="AL39" i="40" s="1"/>
  <c r="AL77" i="4" s="1"/>
  <c r="AL38" i="40"/>
  <c r="BL18" i="40"/>
  <c r="AH40" i="40"/>
  <c r="AH77" i="4"/>
  <c r="AH12" i="3" s="1"/>
  <c r="AH9" i="61" s="1"/>
  <c r="BI31" i="4"/>
  <c r="BL24" i="40"/>
  <c r="AC102" i="40"/>
  <c r="AC51" i="61" s="1"/>
  <c r="AD95" i="40"/>
  <c r="AC87" i="40"/>
  <c r="AC88" i="40" s="1"/>
  <c r="AM40" i="40"/>
  <c r="AM77" i="4"/>
  <c r="AM12" i="3" s="1"/>
  <c r="AM9" i="61" s="1"/>
  <c r="Z39" i="40"/>
  <c r="Z77" i="4" s="1"/>
  <c r="Z145" i="39"/>
  <c r="Z149" i="39" s="1"/>
  <c r="R38" i="40"/>
  <c r="R33" i="40"/>
  <c r="R39" i="40" s="1"/>
  <c r="R77" i="4" s="1"/>
  <c r="AD109" i="40"/>
  <c r="AC58" i="40"/>
  <c r="AG33" i="40"/>
  <c r="AG39" i="40" s="1"/>
  <c r="AG77" i="4" s="1"/>
  <c r="AG38" i="40"/>
  <c r="AD41" i="39"/>
  <c r="AD75" i="4" s="1"/>
  <c r="W187" i="39"/>
  <c r="Z187" i="39"/>
  <c r="R33" i="39"/>
  <c r="R67" i="39"/>
  <c r="AG33" i="39"/>
  <c r="AG67" i="39"/>
  <c r="Y187" i="39"/>
  <c r="AE145" i="39"/>
  <c r="AE149" i="39" s="1"/>
  <c r="AE40" i="39"/>
  <c r="AE35" i="39"/>
  <c r="AE41" i="39" s="1"/>
  <c r="AE75" i="4" s="1"/>
  <c r="AK145" i="39"/>
  <c r="AK149" i="39" s="1"/>
  <c r="AK40" i="39"/>
  <c r="AK35" i="39"/>
  <c r="T41" i="39"/>
  <c r="T75" i="4" s="1"/>
  <c r="AH189" i="39"/>
  <c r="AH185" i="39"/>
  <c r="AH41" i="39"/>
  <c r="CZ38" i="3"/>
  <c r="AB33" i="39"/>
  <c r="AB67" i="39"/>
  <c r="AN205" i="39"/>
  <c r="S218" i="39"/>
  <c r="S41" i="39"/>
  <c r="S75" i="4" s="1"/>
  <c r="S10" i="3" s="1"/>
  <c r="S39" i="3" s="1"/>
  <c r="CK38" i="3"/>
  <c r="AE187" i="39"/>
  <c r="S110" i="39"/>
  <c r="X110" i="39"/>
  <c r="BK107" i="39"/>
  <c r="BK12" i="39" s="1"/>
  <c r="BF107" i="39"/>
  <c r="BF12" i="39" s="1"/>
  <c r="O40" i="39"/>
  <c r="O35" i="39"/>
  <c r="O41" i="39" s="1"/>
  <c r="O75" i="4" s="1"/>
  <c r="Q40" i="39"/>
  <c r="Q35" i="39"/>
  <c r="W33" i="39"/>
  <c r="W67" i="39"/>
  <c r="AA145" i="39"/>
  <c r="AA149" i="39" s="1"/>
  <c r="AA40" i="39"/>
  <c r="AA35" i="39"/>
  <c r="BL26" i="39"/>
  <c r="BH31" i="4"/>
  <c r="V187" i="39"/>
  <c r="T187" i="39"/>
  <c r="AJ145" i="39"/>
  <c r="AJ149" i="39" s="1"/>
  <c r="AJ40" i="39"/>
  <c r="AJ35" i="39"/>
  <c r="AJ41" i="39" s="1"/>
  <c r="AJ75" i="4" s="1"/>
  <c r="AI145" i="39"/>
  <c r="AI40" i="39"/>
  <c r="AI35" i="39"/>
  <c r="AM40" i="39"/>
  <c r="AM35" i="39"/>
  <c r="X40" i="39"/>
  <c r="X35" i="39"/>
  <c r="X210" i="39"/>
  <c r="Y203" i="39"/>
  <c r="AL33" i="39"/>
  <c r="AL67" i="39"/>
  <c r="AF145" i="39"/>
  <c r="AF149" i="39" s="1"/>
  <c r="AF35" i="39"/>
  <c r="AF40" i="39"/>
  <c r="Y145" i="39"/>
  <c r="Y40" i="39"/>
  <c r="Y35" i="39"/>
  <c r="AC40" i="39"/>
  <c r="AC35" i="39"/>
  <c r="V41" i="39"/>
  <c r="V75" i="4" s="1"/>
  <c r="BL20" i="39"/>
  <c r="BH25" i="4"/>
  <c r="AF187" i="39"/>
  <c r="J65" i="4"/>
  <c r="J52" i="4"/>
  <c r="T65" i="4"/>
  <c r="T52" i="4"/>
  <c r="M52" i="4"/>
  <c r="M65" i="4"/>
  <c r="AM222" i="4"/>
  <c r="AM51" i="4"/>
  <c r="X44" i="4"/>
  <c r="X50" i="4"/>
  <c r="AD65" i="4"/>
  <c r="AD52" i="4"/>
  <c r="AE65" i="4"/>
  <c r="AE52" i="4"/>
  <c r="AA65" i="4"/>
  <c r="AA52" i="4"/>
  <c r="AK65" i="4"/>
  <c r="AK52" i="4"/>
  <c r="AW37" i="3"/>
  <c r="CL152" i="4"/>
  <c r="CM150" i="4"/>
  <c r="CP150" i="4"/>
  <c r="CP152" i="4" s="1"/>
  <c r="CQ150" i="4" s="1"/>
  <c r="R44" i="4"/>
  <c r="R51" i="4" s="1"/>
  <c r="R50" i="4"/>
  <c r="O152" i="4"/>
  <c r="P150" i="4" s="1"/>
  <c r="P152" i="4" s="1"/>
  <c r="Q150" i="4" s="1"/>
  <c r="Q152" i="4" s="1"/>
  <c r="R150" i="4" s="1"/>
  <c r="R152" i="4" s="1"/>
  <c r="S150" i="4"/>
  <c r="S152" i="4" s="1"/>
  <c r="T150" i="4" s="1"/>
  <c r="AL44" i="4"/>
  <c r="AL51" i="4" s="1"/>
  <c r="AL50" i="4"/>
  <c r="U65" i="4"/>
  <c r="U52" i="4"/>
  <c r="L65" i="4"/>
  <c r="L52" i="4"/>
  <c r="Q65" i="4"/>
  <c r="Q52" i="4"/>
  <c r="BD61" i="4"/>
  <c r="S222" i="4"/>
  <c r="S217" i="4"/>
  <c r="S51" i="4"/>
  <c r="V65" i="4"/>
  <c r="V52" i="4"/>
  <c r="Z65" i="4"/>
  <c r="Z52" i="4"/>
  <c r="AC222" i="4"/>
  <c r="AC51" i="4"/>
  <c r="N44" i="4"/>
  <c r="N50" i="4"/>
  <c r="AB44" i="4"/>
  <c r="AB51" i="4" s="1"/>
  <c r="AB50" i="4"/>
  <c r="Y65" i="4"/>
  <c r="Y52" i="4"/>
  <c r="AI65" i="4"/>
  <c r="AI52" i="4"/>
  <c r="O52" i="4"/>
  <c r="BC61" i="4"/>
  <c r="BB61" i="4"/>
  <c r="AF65" i="4"/>
  <c r="AF52" i="4"/>
  <c r="AJ44" i="4"/>
  <c r="AJ51" i="4" s="1"/>
  <c r="AO52" i="4" s="1"/>
  <c r="AJ50" i="4"/>
  <c r="CH152" i="4"/>
  <c r="CI150" i="4"/>
  <c r="CI152" i="4" s="1"/>
  <c r="CJ150" i="4" s="1"/>
  <c r="CJ152" i="4" s="1"/>
  <c r="K65" i="4"/>
  <c r="K52" i="4"/>
  <c r="BJ61" i="4"/>
  <c r="BO61" i="4" s="1"/>
  <c r="AR40" i="3"/>
  <c r="BK61" i="4"/>
  <c r="BP61" i="4" s="1"/>
  <c r="P65" i="4"/>
  <c r="P52" i="4"/>
  <c r="AH44" i="4"/>
  <c r="AH50" i="4"/>
  <c r="AC52" i="61" l="1"/>
  <c r="AC54" i="61" s="1"/>
  <c r="AC55" i="61" s="1"/>
  <c r="AW109" i="40"/>
  <c r="CA24" i="3"/>
  <c r="AU416" i="41"/>
  <c r="AU126" i="41" s="1"/>
  <c r="AU392" i="41"/>
  <c r="AU103" i="41" s="1"/>
  <c r="AU146" i="41"/>
  <c r="AU325" i="41"/>
  <c r="AU326" i="41" s="1"/>
  <c r="AU156" i="41"/>
  <c r="AU396" i="41"/>
  <c r="AU147" i="41"/>
  <c r="AU149" i="41" s="1"/>
  <c r="AU303" i="41"/>
  <c r="I234" i="4"/>
  <c r="CA27" i="3" s="1"/>
  <c r="BA129" i="41"/>
  <c r="BA128" i="41" s="1"/>
  <c r="BB128" i="41" s="1"/>
  <c r="AH453" i="41"/>
  <c r="AH148" i="41" s="1"/>
  <c r="BD400" i="41"/>
  <c r="BD408" i="41" s="1"/>
  <c r="BD409" i="41" s="1"/>
  <c r="BC106" i="40"/>
  <c r="BD106" i="40" s="1"/>
  <c r="BE106" i="40" s="1"/>
  <c r="BF106" i="40" s="1"/>
  <c r="BG106" i="40" s="1"/>
  <c r="BG46" i="61" s="1"/>
  <c r="AQ262" i="41"/>
  <c r="AQ100" i="41" s="1"/>
  <c r="AN283" i="41"/>
  <c r="AN291" i="41" s="1"/>
  <c r="AR291" i="41" s="1"/>
  <c r="S218" i="4"/>
  <c r="AI474" i="41"/>
  <c r="AI453" i="41" s="1"/>
  <c r="BQ62" i="42"/>
  <c r="BK20" i="42"/>
  <c r="BG20" i="42"/>
  <c r="BG22" i="42" s="1"/>
  <c r="BG23" i="42" s="1"/>
  <c r="BF22" i="42"/>
  <c r="BF23" i="42" s="1"/>
  <c r="BF25" i="4"/>
  <c r="BG25" i="4" s="1"/>
  <c r="AX109" i="40"/>
  <c r="AY109" i="40" s="1"/>
  <c r="AZ109" i="40" s="1"/>
  <c r="BA109" i="40" s="1"/>
  <c r="BB109" i="40" s="1"/>
  <c r="BB45" i="61" s="1"/>
  <c r="AQ39" i="40"/>
  <c r="AQ77" i="4" s="1"/>
  <c r="AQ145" i="39"/>
  <c r="AQ149" i="39" s="1"/>
  <c r="BD330" i="41"/>
  <c r="BD338" i="41" s="1"/>
  <c r="BD339" i="41" s="1"/>
  <c r="AS352" i="41"/>
  <c r="AT462" i="41"/>
  <c r="AS383" i="41"/>
  <c r="AS353" i="41" s="1"/>
  <c r="AS357" i="41"/>
  <c r="AS466" i="41"/>
  <c r="AY187" i="41"/>
  <c r="AY190" i="41" s="1"/>
  <c r="AY62" i="41"/>
  <c r="AX187" i="41"/>
  <c r="AX190" i="41" s="1"/>
  <c r="AX62" i="41"/>
  <c r="BM16" i="42"/>
  <c r="BM18" i="42" s="1"/>
  <c r="BM21" i="4" s="1"/>
  <c r="BQ16" i="42"/>
  <c r="BQ18" i="42" s="1"/>
  <c r="AT121" i="39"/>
  <c r="BL16" i="42"/>
  <c r="BL18" i="42" s="1"/>
  <c r="AT104" i="41"/>
  <c r="AW104" i="41" s="1"/>
  <c r="AS345" i="41"/>
  <c r="AS346" i="41" s="1"/>
  <c r="AS325" i="41"/>
  <c r="AS146" i="41"/>
  <c r="AS303" i="41"/>
  <c r="AS429" i="41"/>
  <c r="CJ258" i="51"/>
  <c r="CJ260" i="51" s="1"/>
  <c r="CL258" i="51"/>
  <c r="CL260" i="51" s="1"/>
  <c r="CK258" i="51"/>
  <c r="CK260" i="51" s="1"/>
  <c r="CM258" i="51"/>
  <c r="CM260" i="51" s="1"/>
  <c r="CS258" i="51"/>
  <c r="BL73" i="41"/>
  <c r="BK283" i="41"/>
  <c r="BJ283" i="41" s="1"/>
  <c r="BQ283" i="41"/>
  <c r="BP283" i="41" s="1"/>
  <c r="AY104" i="41"/>
  <c r="BB104" i="41" s="1"/>
  <c r="AX192" i="41"/>
  <c r="BI14" i="41"/>
  <c r="BN548" i="41"/>
  <c r="BN14" i="41" s="1"/>
  <c r="BJ14" i="41"/>
  <c r="BO548" i="41"/>
  <c r="BO14" i="41" s="1"/>
  <c r="CX126" i="51"/>
  <c r="CS244" i="51"/>
  <c r="CP44" i="51"/>
  <c r="CP46" i="51" s="1"/>
  <c r="CO44" i="51"/>
  <c r="CO46" i="51" s="1"/>
  <c r="CR44" i="51"/>
  <c r="CR46" i="51" s="1"/>
  <c r="CV44" i="51"/>
  <c r="CV46" i="51" s="1"/>
  <c r="CT44" i="51"/>
  <c r="CT46" i="51" s="1"/>
  <c r="CW44" i="51"/>
  <c r="CW46" i="51" s="1"/>
  <c r="CU44" i="51"/>
  <c r="CU46" i="51" s="1"/>
  <c r="CP258" i="51"/>
  <c r="BP21" i="4"/>
  <c r="CO258" i="51"/>
  <c r="BQ73" i="41"/>
  <c r="BQ86" i="4"/>
  <c r="BP96" i="40"/>
  <c r="BP84" i="4"/>
  <c r="BP151" i="39"/>
  <c r="BP153" i="39" s="1"/>
  <c r="BM84" i="4"/>
  <c r="BM151" i="39"/>
  <c r="BM96" i="40"/>
  <c r="BO96" i="40"/>
  <c r="BO84" i="4"/>
  <c r="BO151" i="39"/>
  <c r="BO153" i="39" s="1"/>
  <c r="BN96" i="40"/>
  <c r="BN84" i="4"/>
  <c r="BN151" i="39"/>
  <c r="BN153" i="39" s="1"/>
  <c r="BP84" i="64"/>
  <c r="BX69" i="64" s="1"/>
  <c r="BM68" i="41"/>
  <c r="BM330" i="41" s="1"/>
  <c r="BM338" i="41" s="1"/>
  <c r="BL420" i="41"/>
  <c r="BO22" i="42"/>
  <c r="BO23" i="42" s="1"/>
  <c r="BO21" i="4"/>
  <c r="BQ186" i="41"/>
  <c r="BQ192" i="41" s="1"/>
  <c r="BP176" i="41"/>
  <c r="BO176" i="41"/>
  <c r="BM176" i="41"/>
  <c r="BN176" i="41"/>
  <c r="AW240" i="41"/>
  <c r="AW243" i="41" s="1"/>
  <c r="AW28" i="61" s="1"/>
  <c r="BN22" i="42"/>
  <c r="BN23" i="42" s="1"/>
  <c r="BN21" i="4"/>
  <c r="BM31" i="4"/>
  <c r="BM248" i="4"/>
  <c r="BL64" i="41"/>
  <c r="BL310" i="41" s="1"/>
  <c r="BL76" i="41"/>
  <c r="BI330" i="41"/>
  <c r="BI338" i="41" s="1"/>
  <c r="BI339" i="41" s="1"/>
  <c r="BJ75" i="41"/>
  <c r="BJ67" i="41" s="1"/>
  <c r="BJ329" i="41" s="1"/>
  <c r="BP82" i="64"/>
  <c r="BX67" i="64" s="1"/>
  <c r="BP23" i="64"/>
  <c r="BP85" i="64"/>
  <c r="BX70" i="64" s="1"/>
  <c r="BP21" i="64"/>
  <c r="BP83" i="64"/>
  <c r="BX68" i="64" s="1"/>
  <c r="BI400" i="41"/>
  <c r="BI408" i="41" s="1"/>
  <c r="BI409" i="41" s="1"/>
  <c r="BP75" i="41"/>
  <c r="BP67" i="41" s="1"/>
  <c r="BN75" i="41"/>
  <c r="BN67" i="41" s="1"/>
  <c r="BM72" i="41"/>
  <c r="BO72" i="41"/>
  <c r="BO63" i="41" s="1"/>
  <c r="BG370" i="41"/>
  <c r="BJ72" i="41"/>
  <c r="BJ63" i="41" s="1"/>
  <c r="BJ309" i="41" s="1"/>
  <c r="BM75" i="41"/>
  <c r="BO75" i="41"/>
  <c r="BO67" i="41" s="1"/>
  <c r="BM310" i="41"/>
  <c r="BM318" i="41" s="1"/>
  <c r="BQ64" i="41"/>
  <c r="BQ310" i="41" s="1"/>
  <c r="BP72" i="41"/>
  <c r="BP63" i="41" s="1"/>
  <c r="BN72" i="41"/>
  <c r="BN63" i="41" s="1"/>
  <c r="Y319" i="41"/>
  <c r="AC319" i="41" s="1"/>
  <c r="AG39" i="42"/>
  <c r="AG45" i="42" s="1"/>
  <c r="CJ116" i="51"/>
  <c r="CJ118" i="51" s="1"/>
  <c r="CL116" i="51"/>
  <c r="CL118" i="51" s="1"/>
  <c r="CK116" i="51"/>
  <c r="CK118" i="51" s="1"/>
  <c r="CM116" i="51"/>
  <c r="CM118" i="51" s="1"/>
  <c r="CR258" i="51"/>
  <c r="BH75" i="41"/>
  <c r="BH67" i="41" s="1"/>
  <c r="BH330" i="41"/>
  <c r="BH338" i="41" s="1"/>
  <c r="BH362" i="41"/>
  <c r="BH370" i="41" s="1"/>
  <c r="BL370" i="41" s="1"/>
  <c r="BI72" i="41"/>
  <c r="BI63" i="41" s="1"/>
  <c r="BI309" i="41" s="1"/>
  <c r="BI75" i="41"/>
  <c r="BI67" i="41" s="1"/>
  <c r="BI432" i="41" s="1"/>
  <c r="BH128" i="41"/>
  <c r="BL128" i="41" s="1"/>
  <c r="BX53" i="72"/>
  <c r="BX57" i="72" s="1"/>
  <c r="BX60" i="72"/>
  <c r="BF129" i="41"/>
  <c r="BF128" i="41" s="1"/>
  <c r="BH223" i="41"/>
  <c r="BL223" i="41" s="1"/>
  <c r="BG420" i="41"/>
  <c r="BG401" i="41"/>
  <c r="BJ84" i="4"/>
  <c r="BJ96" i="40"/>
  <c r="BI96" i="40"/>
  <c r="BI84" i="4"/>
  <c r="BH96" i="40"/>
  <c r="BH84" i="4"/>
  <c r="BK96" i="40"/>
  <c r="BK84" i="4"/>
  <c r="BK75" i="41"/>
  <c r="BK67" i="41" s="1"/>
  <c r="BK399" i="41" s="1"/>
  <c r="BK72" i="41"/>
  <c r="BK63" i="41" s="1"/>
  <c r="BK65" i="41" s="1"/>
  <c r="BZ71" i="64"/>
  <c r="BO23" i="64"/>
  <c r="BE75" i="41"/>
  <c r="BE67" i="41" s="1"/>
  <c r="BE419" i="41" s="1"/>
  <c r="BF75" i="41"/>
  <c r="BF67" i="41" s="1"/>
  <c r="BF432" i="41" s="1"/>
  <c r="BD75" i="41"/>
  <c r="BD67" i="41" s="1"/>
  <c r="BD432" i="41" s="1"/>
  <c r="BD72" i="41"/>
  <c r="BD63" i="41" s="1"/>
  <c r="BD65" i="41" s="1"/>
  <c r="BD269" i="41" s="1"/>
  <c r="BD277" i="41" s="1"/>
  <c r="BN23" i="64"/>
  <c r="BO85" i="64"/>
  <c r="BC72" i="41"/>
  <c r="BC63" i="41" s="1"/>
  <c r="BC309" i="41" s="1"/>
  <c r="BO82" i="64"/>
  <c r="BC75" i="41"/>
  <c r="BC67" i="41" s="1"/>
  <c r="BC419" i="41" s="1"/>
  <c r="BN84" i="64"/>
  <c r="BN82" i="64"/>
  <c r="BN85" i="64"/>
  <c r="BH72" i="41"/>
  <c r="BH63" i="41" s="1"/>
  <c r="BO84" i="64"/>
  <c r="BN21" i="64"/>
  <c r="BN83" i="64"/>
  <c r="BO83" i="64"/>
  <c r="BO21" i="64"/>
  <c r="BH310" i="41"/>
  <c r="BH318" i="41" s="1"/>
  <c r="BL318" i="41" s="1"/>
  <c r="BA132" i="4"/>
  <c r="CI12" i="51"/>
  <c r="AZ342" i="41"/>
  <c r="AR243" i="41"/>
  <c r="AR28" i="61" s="1"/>
  <c r="AJ405" i="41"/>
  <c r="AJ406" i="41" s="1"/>
  <c r="AA390" i="41"/>
  <c r="AA392" i="41" s="1"/>
  <c r="AA103" i="41" s="1"/>
  <c r="AA416" i="41"/>
  <c r="BH400" i="41"/>
  <c r="BH408" i="41" s="1"/>
  <c r="BL68" i="41"/>
  <c r="BL400" i="41" s="1"/>
  <c r="AG390" i="41"/>
  <c r="AG392" i="41" s="1"/>
  <c r="AG103" i="41" s="1"/>
  <c r="AI414" i="41"/>
  <c r="BG599" i="41"/>
  <c r="BG601" i="41" s="1"/>
  <c r="AE414" i="41"/>
  <c r="AB147" i="41"/>
  <c r="AI76" i="40"/>
  <c r="CN260" i="51"/>
  <c r="AB416" i="41"/>
  <c r="AK609" i="41"/>
  <c r="AK610" i="41" s="1"/>
  <c r="BD66" i="42"/>
  <c r="BC66" i="42"/>
  <c r="BF66" i="42"/>
  <c r="AZ132" i="4"/>
  <c r="AJ609" i="41"/>
  <c r="AJ610" i="41" s="1"/>
  <c r="X65" i="41"/>
  <c r="AH241" i="41"/>
  <c r="AI607" i="41"/>
  <c r="AI73" i="42" s="1"/>
  <c r="AI72" i="42" s="1"/>
  <c r="AM72" i="42" s="1"/>
  <c r="AM73" i="42" s="1"/>
  <c r="AM604" i="41"/>
  <c r="AM607" i="41" s="1"/>
  <c r="BB8" i="40"/>
  <c r="AD344" i="41"/>
  <c r="AD346" i="41" s="1"/>
  <c r="AF427" i="41"/>
  <c r="AF429" i="41" s="1"/>
  <c r="AF352" i="41"/>
  <c r="X69" i="41"/>
  <c r="AJ352" i="41"/>
  <c r="AD324" i="41"/>
  <c r="Z352" i="41"/>
  <c r="AF161" i="39"/>
  <c r="AF162" i="39" s="1"/>
  <c r="AF64" i="42"/>
  <c r="AK161" i="39"/>
  <c r="AK162" i="39" s="1"/>
  <c r="AK64" i="42"/>
  <c r="AJ161" i="39"/>
  <c r="AJ162" i="39" s="1"/>
  <c r="AJ64" i="42"/>
  <c r="AD161" i="39"/>
  <c r="AD162" i="39" s="1"/>
  <c r="AD64" i="42"/>
  <c r="AE161" i="39"/>
  <c r="AE162" i="39" s="1"/>
  <c r="AE64" i="42"/>
  <c r="AT352" i="41"/>
  <c r="AZ427" i="41"/>
  <c r="AZ429" i="41" s="1"/>
  <c r="AT344" i="41"/>
  <c r="AT298" i="41" s="1"/>
  <c r="X60" i="3"/>
  <c r="AP38" i="41"/>
  <c r="BF214" i="41"/>
  <c r="BE214" i="41" s="1"/>
  <c r="BD214" i="41" s="1"/>
  <c r="BC214" i="41" s="1"/>
  <c r="CN46" i="51"/>
  <c r="CN10" i="51"/>
  <c r="CJ46" i="51"/>
  <c r="CK46" i="51"/>
  <c r="CS44" i="51"/>
  <c r="DX60" i="3"/>
  <c r="BE175" i="4"/>
  <c r="BD175" i="4"/>
  <c r="DW60" i="3"/>
  <c r="DV60" i="3"/>
  <c r="BC175" i="4"/>
  <c r="ED61" i="3"/>
  <c r="CS30" i="51"/>
  <c r="CX28" i="51"/>
  <c r="CX127" i="51"/>
  <c r="DT61" i="3"/>
  <c r="CL46" i="51"/>
  <c r="CM46" i="51"/>
  <c r="CQ46" i="51"/>
  <c r="CN11" i="51"/>
  <c r="DC53" i="51"/>
  <c r="CX108" i="51"/>
  <c r="DU60" i="3"/>
  <c r="BA175" i="4"/>
  <c r="BB175" i="4" s="1"/>
  <c r="BG142" i="4"/>
  <c r="AY175" i="4"/>
  <c r="AZ175" i="4"/>
  <c r="BN22" i="64"/>
  <c r="BO20" i="64"/>
  <c r="AC261" i="41"/>
  <c r="AB390" i="41"/>
  <c r="AB392" i="41" s="1"/>
  <c r="AB103" i="41" s="1"/>
  <c r="Z260" i="41"/>
  <c r="Z262" i="41" s="1"/>
  <c r="Z100" i="41" s="1"/>
  <c r="AZ341" i="41"/>
  <c r="Z344" i="41"/>
  <c r="Z298" i="41" s="1"/>
  <c r="AG416" i="41"/>
  <c r="BN20" i="64"/>
  <c r="BF65" i="41"/>
  <c r="BF309" i="41"/>
  <c r="BE309" i="41"/>
  <c r="BE315" i="41" s="1"/>
  <c r="BE316" i="41" s="1"/>
  <c r="BE321" i="41" s="1"/>
  <c r="BE65" i="41"/>
  <c r="BO22" i="64"/>
  <c r="BH22" i="42"/>
  <c r="BH21" i="4"/>
  <c r="BC23" i="42"/>
  <c r="BJ23" i="42"/>
  <c r="AT345" i="41"/>
  <c r="Z147" i="41"/>
  <c r="Z345" i="41"/>
  <c r="AL303" i="41"/>
  <c r="AL146" i="41"/>
  <c r="AL325" i="41"/>
  <c r="AJ279" i="41"/>
  <c r="AJ260" i="41"/>
  <c r="AJ262" i="41" s="1"/>
  <c r="AJ100" i="41" s="1"/>
  <c r="AX374" i="41"/>
  <c r="AX282" i="41"/>
  <c r="AX290" i="41" s="1"/>
  <c r="BB369" i="41"/>
  <c r="AX424" i="41"/>
  <c r="BB400" i="41"/>
  <c r="BB330" i="41"/>
  <c r="BB408" i="41"/>
  <c r="AX409" i="41"/>
  <c r="AE374" i="41"/>
  <c r="AE382" i="41" s="1"/>
  <c r="AE384" i="41" s="1"/>
  <c r="AE282" i="41"/>
  <c r="AE290" i="41" s="1"/>
  <c r="AE292" i="41" s="1"/>
  <c r="AE335" i="41"/>
  <c r="AE424" i="41"/>
  <c r="AE425" i="41" s="1"/>
  <c r="AE428" i="41" s="1"/>
  <c r="AC424" i="41"/>
  <c r="Y425" i="41"/>
  <c r="Y292" i="41"/>
  <c r="AC290" i="41"/>
  <c r="AC292" i="41" s="1"/>
  <c r="AG478" i="41"/>
  <c r="AG448" i="41"/>
  <c r="AG450" i="41" s="1"/>
  <c r="AG107" i="41" s="1"/>
  <c r="BL186" i="41"/>
  <c r="BL192" i="41" s="1"/>
  <c r="BK176" i="41"/>
  <c r="BI176" i="41"/>
  <c r="BJ176" i="41"/>
  <c r="BH176" i="41"/>
  <c r="BG203" i="41"/>
  <c r="CB180" i="41" s="1"/>
  <c r="AA304" i="41"/>
  <c r="AA252" i="41"/>
  <c r="AA153" i="41"/>
  <c r="BA345" i="41"/>
  <c r="BA346" i="41" s="1"/>
  <c r="AG147" i="41"/>
  <c r="AG345" i="41"/>
  <c r="AG346" i="41" s="1"/>
  <c r="BC310" i="41"/>
  <c r="BC318" i="41" s="1"/>
  <c r="BG64" i="41"/>
  <c r="BG310" i="41" s="1"/>
  <c r="AO374" i="41"/>
  <c r="AO382" i="41" s="1"/>
  <c r="AO384" i="41" s="1"/>
  <c r="AO282" i="41"/>
  <c r="AO290" i="41" s="1"/>
  <c r="AO292" i="41" s="1"/>
  <c r="AO335" i="41"/>
  <c r="AO336" i="41" s="1"/>
  <c r="AO344" i="41" s="1"/>
  <c r="AO424" i="41"/>
  <c r="AO425" i="41" s="1"/>
  <c r="AO428" i="41" s="1"/>
  <c r="AM315" i="41"/>
  <c r="AI316" i="41"/>
  <c r="AM424" i="41"/>
  <c r="AI425" i="41"/>
  <c r="AM335" i="41"/>
  <c r="AI336" i="41"/>
  <c r="AI292" i="41"/>
  <c r="AM290" i="41"/>
  <c r="AM292" i="41" s="1"/>
  <c r="AZ322" i="41"/>
  <c r="AZ321" i="41"/>
  <c r="AT205" i="41"/>
  <c r="AT204" i="41"/>
  <c r="AF322" i="41"/>
  <c r="AF321" i="41"/>
  <c r="AL357" i="41"/>
  <c r="AL383" i="41"/>
  <c r="AM383" i="41" s="1"/>
  <c r="AV379" i="41"/>
  <c r="AQ380" i="41"/>
  <c r="AR380" i="41" s="1"/>
  <c r="AR357" i="41" s="1"/>
  <c r="AH637" i="41"/>
  <c r="AH42" i="41"/>
  <c r="AM43" i="41" s="1"/>
  <c r="BA303" i="41"/>
  <c r="AK298" i="41"/>
  <c r="AJ342" i="41"/>
  <c r="AJ341" i="41"/>
  <c r="AY315" i="41"/>
  <c r="AY316" i="41" s="1"/>
  <c r="AW277" i="41"/>
  <c r="AW374" i="41"/>
  <c r="AW282" i="41"/>
  <c r="AH432" i="41"/>
  <c r="AH419" i="41"/>
  <c r="AH399" i="41"/>
  <c r="AH361" i="41"/>
  <c r="AH329" i="41"/>
  <c r="AH69" i="41"/>
  <c r="AD442" i="41"/>
  <c r="AH440" i="41"/>
  <c r="AH442" i="41" s="1"/>
  <c r="AC339" i="41"/>
  <c r="AB303" i="41"/>
  <c r="AB146" i="41"/>
  <c r="AB325" i="41"/>
  <c r="AQ326" i="41"/>
  <c r="AQ304" i="41"/>
  <c r="AQ252" i="41"/>
  <c r="AQ153" i="41"/>
  <c r="AK384" i="41"/>
  <c r="AK352" i="41"/>
  <c r="AR432" i="41"/>
  <c r="AR419" i="41"/>
  <c r="AR399" i="41"/>
  <c r="AR361" i="41"/>
  <c r="AR329" i="41"/>
  <c r="AR69" i="41"/>
  <c r="AN335" i="41"/>
  <c r="AR338" i="41"/>
  <c r="AN339" i="41"/>
  <c r="Z395" i="41"/>
  <c r="Z415" i="41"/>
  <c r="R41" i="41"/>
  <c r="R36" i="41"/>
  <c r="R42" i="41" s="1"/>
  <c r="R76" i="4" s="1"/>
  <c r="AP205" i="41"/>
  <c r="AP204" i="41"/>
  <c r="AJ322" i="41"/>
  <c r="AJ321" i="41"/>
  <c r="Y609" i="41"/>
  <c r="Y610" i="41" s="1"/>
  <c r="CQ39" i="3"/>
  <c r="BB309" i="41"/>
  <c r="BB65" i="41"/>
  <c r="BB269" i="41" s="1"/>
  <c r="AX315" i="41"/>
  <c r="AX319" i="41"/>
  <c r="BB318" i="41"/>
  <c r="AE315" i="41"/>
  <c r="AC414" i="41"/>
  <c r="AC374" i="41"/>
  <c r="AC282" i="41"/>
  <c r="AF454" i="41"/>
  <c r="AF155" i="41"/>
  <c r="AF148" i="41"/>
  <c r="AA396" i="41"/>
  <c r="AA156" i="41"/>
  <c r="AY622" i="41"/>
  <c r="AI441" i="41"/>
  <c r="BL270" i="41"/>
  <c r="BF270" i="41"/>
  <c r="AO315" i="41"/>
  <c r="AO316" i="41" s="1"/>
  <c r="AO324" i="41" s="1"/>
  <c r="AI260" i="41"/>
  <c r="AI279" i="41"/>
  <c r="AM277" i="41"/>
  <c r="AM374" i="41"/>
  <c r="AM282" i="41"/>
  <c r="AZ205" i="41"/>
  <c r="AZ204" i="41"/>
  <c r="AF279" i="41"/>
  <c r="AF260" i="41"/>
  <c r="AF262" i="41" s="1"/>
  <c r="AF100" i="41" s="1"/>
  <c r="AI358" i="41"/>
  <c r="AI154" i="41"/>
  <c r="AG358" i="41"/>
  <c r="AG154" i="41"/>
  <c r="AG303" i="41"/>
  <c r="AL382" i="41"/>
  <c r="AM382" i="41" s="1"/>
  <c r="AK303" i="41"/>
  <c r="AK146" i="41"/>
  <c r="AK325" i="41"/>
  <c r="AH309" i="41"/>
  <c r="AH65" i="41"/>
  <c r="AH269" i="41" s="1"/>
  <c r="AV345" i="41"/>
  <c r="AV346" i="41" s="1"/>
  <c r="AR309" i="41"/>
  <c r="AR65" i="41"/>
  <c r="AR269" i="41" s="1"/>
  <c r="AN315" i="41"/>
  <c r="AN319" i="41"/>
  <c r="AR318" i="41"/>
  <c r="AT341" i="41"/>
  <c r="AF342" i="41"/>
  <c r="AF341" i="41"/>
  <c r="Z341" i="41"/>
  <c r="AV279" i="41"/>
  <c r="BA326" i="41"/>
  <c r="AA147" i="41"/>
  <c r="AA149" i="41" s="1"/>
  <c r="AA345" i="41"/>
  <c r="AA299" i="41" s="1"/>
  <c r="AI261" i="41"/>
  <c r="AM278" i="41"/>
  <c r="AL593" i="41"/>
  <c r="AL41" i="41"/>
  <c r="AL36" i="41"/>
  <c r="AL42" i="41" s="1"/>
  <c r="AL76" i="4" s="1"/>
  <c r="AP298" i="41"/>
  <c r="AJ205" i="41"/>
  <c r="AJ204" i="41"/>
  <c r="BB432" i="41"/>
  <c r="BB419" i="41"/>
  <c r="BB399" i="41"/>
  <c r="BB361" i="41"/>
  <c r="BB329" i="41"/>
  <c r="BB69" i="41"/>
  <c r="AX335" i="41"/>
  <c r="BB338" i="41"/>
  <c r="AX339" i="41"/>
  <c r="AW339" i="41"/>
  <c r="AE412" i="41"/>
  <c r="AE411" i="41"/>
  <c r="AC315" i="41"/>
  <c r="Y316" i="41"/>
  <c r="AC335" i="41"/>
  <c r="Y336" i="41"/>
  <c r="Y384" i="41"/>
  <c r="AC382" i="41"/>
  <c r="AC384" i="41" s="1"/>
  <c r="AG454" i="41"/>
  <c r="AG155" i="41"/>
  <c r="AG148" i="41"/>
  <c r="AK473" i="41"/>
  <c r="AJ474" i="41"/>
  <c r="BF186" i="41"/>
  <c r="BD186" i="41"/>
  <c r="BE186" i="41"/>
  <c r="BC186" i="41"/>
  <c r="AZ291" i="41"/>
  <c r="AZ292" i="41" s="1"/>
  <c r="AY283" i="41"/>
  <c r="AC76" i="4"/>
  <c r="AC11" i="3" s="1"/>
  <c r="AT270" i="41"/>
  <c r="AS270" i="41" s="1"/>
  <c r="AS278" i="41" s="1"/>
  <c r="BC400" i="41"/>
  <c r="BC408" i="41" s="1"/>
  <c r="BC330" i="41"/>
  <c r="BC338" i="41" s="1"/>
  <c r="BG68" i="41"/>
  <c r="BG362" i="41" s="1"/>
  <c r="AI384" i="41"/>
  <c r="AZ324" i="41"/>
  <c r="AT260" i="41"/>
  <c r="AF324" i="41"/>
  <c r="AN383" i="41"/>
  <c r="AN357" i="41"/>
  <c r="AV298" i="41"/>
  <c r="AJ344" i="41"/>
  <c r="AY269" i="41"/>
  <c r="AY277" i="41" s="1"/>
  <c r="AY202" i="41"/>
  <c r="AS205" i="41"/>
  <c r="AS204" i="41"/>
  <c r="AW202" i="41"/>
  <c r="AW319" i="41"/>
  <c r="AD374" i="41"/>
  <c r="AD382" i="41" s="1"/>
  <c r="AD352" i="41" s="1"/>
  <c r="AD282" i="41"/>
  <c r="AD290" i="41" s="1"/>
  <c r="AH369" i="41"/>
  <c r="AD424" i="41"/>
  <c r="AH400" i="41"/>
  <c r="AH330" i="41"/>
  <c r="AH408" i="41"/>
  <c r="AD409" i="41"/>
  <c r="AD414" i="41" s="1"/>
  <c r="AH478" i="41"/>
  <c r="AH448" i="41"/>
  <c r="AH450" i="41" s="1"/>
  <c r="AH107" i="41" s="1"/>
  <c r="AZ379" i="41"/>
  <c r="AT291" i="41"/>
  <c r="AT292" i="41" s="1"/>
  <c r="AB593" i="41"/>
  <c r="AB41" i="41"/>
  <c r="AB36" i="41"/>
  <c r="AB42" i="41" s="1"/>
  <c r="AB76" i="4" s="1"/>
  <c r="AA326" i="41"/>
  <c r="BX198" i="41"/>
  <c r="AM76" i="4"/>
  <c r="AM11" i="3" s="1"/>
  <c r="S646" i="41"/>
  <c r="S643" i="41"/>
  <c r="AN374" i="41"/>
  <c r="AN382" i="41" s="1"/>
  <c r="AN352" i="41" s="1"/>
  <c r="AN282" i="41"/>
  <c r="AN290" i="41" s="1"/>
  <c r="AR369" i="41"/>
  <c r="AN424" i="41"/>
  <c r="AR400" i="41"/>
  <c r="AR330" i="41"/>
  <c r="AR408" i="41"/>
  <c r="AN409" i="41"/>
  <c r="AL345" i="41"/>
  <c r="AL346" i="41" s="1"/>
  <c r="AQ345" i="41"/>
  <c r="AQ346" i="41" s="1"/>
  <c r="AJ324" i="41"/>
  <c r="AX202" i="41"/>
  <c r="AX269" i="41"/>
  <c r="AX277" i="41" s="1"/>
  <c r="AW409" i="41"/>
  <c r="AE269" i="41"/>
  <c r="AE277" i="41" s="1"/>
  <c r="AE202" i="41"/>
  <c r="AC279" i="41"/>
  <c r="Y260" i="41"/>
  <c r="Y262" i="41" s="1"/>
  <c r="Y100" i="41" s="1"/>
  <c r="Y352" i="41"/>
  <c r="AF478" i="41"/>
  <c r="AF448" i="41"/>
  <c r="AF450" i="41" s="1"/>
  <c r="AF107" i="41" s="1"/>
  <c r="BF291" i="41"/>
  <c r="BE283" i="41"/>
  <c r="AB396" i="41"/>
  <c r="AB156" i="41"/>
  <c r="AG384" i="41"/>
  <c r="AG352" i="41"/>
  <c r="AK437" i="41"/>
  <c r="AJ438" i="41"/>
  <c r="BA278" i="41"/>
  <c r="AZ270" i="41"/>
  <c r="AO269" i="41"/>
  <c r="AO277" i="41" s="1"/>
  <c r="AO202" i="41"/>
  <c r="AI205" i="41"/>
  <c r="AI204" i="41"/>
  <c r="AM202" i="41"/>
  <c r="AI440" i="41"/>
  <c r="AI352" i="41"/>
  <c r="AZ260" i="41"/>
  <c r="AT321" i="41"/>
  <c r="AT322" i="41"/>
  <c r="AF205" i="41"/>
  <c r="AF204" i="41"/>
  <c r="AF201" i="41"/>
  <c r="Z321" i="41"/>
  <c r="Z322" i="41"/>
  <c r="AM380" i="41"/>
  <c r="AM357" i="41" s="1"/>
  <c r="AV303" i="41"/>
  <c r="AV153" i="41" s="1"/>
  <c r="AV325" i="41"/>
  <c r="AJ427" i="41"/>
  <c r="AJ429" i="41" s="1"/>
  <c r="AY374" i="41"/>
  <c r="AY382" i="41" s="1"/>
  <c r="AY384" i="41" s="1"/>
  <c r="AY282" i="41"/>
  <c r="AY290" i="41" s="1"/>
  <c r="AY335" i="41"/>
  <c r="AY336" i="41" s="1"/>
  <c r="AY344" i="41" s="1"/>
  <c r="AY424" i="41"/>
  <c r="AY425" i="41" s="1"/>
  <c r="AY428" i="41" s="1"/>
  <c r="AW315" i="41"/>
  <c r="AW424" i="41"/>
  <c r="AW335" i="41"/>
  <c r="AW290" i="41"/>
  <c r="AD269" i="41"/>
  <c r="AD277" i="41" s="1"/>
  <c r="AD202" i="41"/>
  <c r="Y412" i="41"/>
  <c r="Y411" i="41"/>
  <c r="AC411" i="41" s="1"/>
  <c r="AC409" i="41"/>
  <c r="AK358" i="41"/>
  <c r="AK154" i="41"/>
  <c r="AK345" i="41"/>
  <c r="AK346" i="41" s="1"/>
  <c r="AO278" i="41"/>
  <c r="AO261" i="41" s="1"/>
  <c r="AN270" i="41"/>
  <c r="AN278" i="41" s="1"/>
  <c r="X633" i="41"/>
  <c r="X637" i="41"/>
  <c r="X42" i="41"/>
  <c r="X76" i="4" s="1"/>
  <c r="X11" i="3" s="1"/>
  <c r="AN269" i="41"/>
  <c r="AN277" i="41" s="1"/>
  <c r="AI412" i="41"/>
  <c r="AI411" i="41"/>
  <c r="AM409" i="41"/>
  <c r="AT427" i="41"/>
  <c r="AT429" i="41" s="1"/>
  <c r="AF395" i="41"/>
  <c r="AF415" i="41"/>
  <c r="AF344" i="41"/>
  <c r="Z427" i="41"/>
  <c r="AV262" i="41"/>
  <c r="AV100" i="41" s="1"/>
  <c r="AG396" i="41"/>
  <c r="AG156" i="41"/>
  <c r="Z161" i="39"/>
  <c r="Z162" i="39" s="1"/>
  <c r="Z254" i="4"/>
  <c r="AC103" i="40"/>
  <c r="AC110" i="40"/>
  <c r="AC59" i="40" s="1"/>
  <c r="AC44" i="61" s="1"/>
  <c r="AE109" i="40"/>
  <c r="AD58" i="40"/>
  <c r="AD100" i="40"/>
  <c r="AH95" i="40"/>
  <c r="AH100" i="40" s="1"/>
  <c r="AH102" i="40" s="1"/>
  <c r="AH51" i="61" s="1"/>
  <c r="AK77" i="40"/>
  <c r="AL77" i="40" s="1"/>
  <c r="AN77" i="40" s="1"/>
  <c r="AJ76" i="40"/>
  <c r="AA95" i="40"/>
  <c r="AA100" i="40" s="1"/>
  <c r="Z87" i="40"/>
  <c r="Z88" i="40" s="1"/>
  <c r="AC189" i="39"/>
  <c r="AC185" i="39"/>
  <c r="AC41" i="39"/>
  <c r="AH42" i="39" s="1"/>
  <c r="CU38" i="3"/>
  <c r="Y41" i="39"/>
  <c r="Y75" i="4" s="1"/>
  <c r="Y149" i="39"/>
  <c r="AL145" i="39"/>
  <c r="AL149" i="39" s="1"/>
  <c r="AL40" i="39"/>
  <c r="AL35" i="39"/>
  <c r="AL41" i="39" s="1"/>
  <c r="AL75" i="4" s="1"/>
  <c r="Y208" i="39"/>
  <c r="Z203" i="39" s="1"/>
  <c r="Z208" i="39" s="1"/>
  <c r="AA203" i="39" s="1"/>
  <c r="AA208" i="39" s="1"/>
  <c r="AB203" i="39" s="1"/>
  <c r="AB208" i="39" s="1"/>
  <c r="AC203" i="39"/>
  <c r="AC208" i="39" s="1"/>
  <c r="AC218" i="39" s="1"/>
  <c r="AC70" i="39" s="1"/>
  <c r="X219" i="39"/>
  <c r="X71" i="39" s="1"/>
  <c r="X218" i="39"/>
  <c r="X70" i="39" s="1"/>
  <c r="X189" i="39"/>
  <c r="X185" i="39"/>
  <c r="X41" i="39"/>
  <c r="X75" i="4" s="1"/>
  <c r="X10" i="3" s="1"/>
  <c r="X7" i="61" s="1"/>
  <c r="CP38" i="3"/>
  <c r="AM189" i="39"/>
  <c r="AM185" i="39"/>
  <c r="AM41" i="39"/>
  <c r="AR42" i="39" s="1"/>
  <c r="DE38" i="3"/>
  <c r="AI41" i="39"/>
  <c r="AI75" i="4" s="1"/>
  <c r="AI149" i="39"/>
  <c r="AY107" i="39"/>
  <c r="AY12" i="39" s="1"/>
  <c r="CZ50" i="3"/>
  <c r="CZ39" i="3"/>
  <c r="CZ51" i="3" s="1"/>
  <c r="AH195" i="39"/>
  <c r="AH198" i="39"/>
  <c r="AG145" i="39"/>
  <c r="AG149" i="39" s="1"/>
  <c r="AG40" i="39"/>
  <c r="AG35" i="39"/>
  <c r="AG41" i="39" s="1"/>
  <c r="AG75" i="4" s="1"/>
  <c r="R40" i="39"/>
  <c r="R35" i="39"/>
  <c r="U185" i="39" s="1"/>
  <c r="AF41" i="39"/>
  <c r="AF75" i="4" s="1"/>
  <c r="AX107" i="39"/>
  <c r="AA41" i="39"/>
  <c r="AA75" i="4" s="1"/>
  <c r="AA161" i="39"/>
  <c r="AA162" i="39" s="1"/>
  <c r="AA254" i="4"/>
  <c r="W40" i="39"/>
  <c r="W35" i="39"/>
  <c r="Y189" i="39" s="1"/>
  <c r="Q41" i="39"/>
  <c r="Q75" i="4" s="1"/>
  <c r="CK50" i="3"/>
  <c r="CK39" i="3"/>
  <c r="CK51" i="3" s="1"/>
  <c r="AB145" i="39"/>
  <c r="AB149" i="39" s="1"/>
  <c r="AB40" i="39"/>
  <c r="AB35" i="39"/>
  <c r="AB41" i="39" s="1"/>
  <c r="AB75" i="4" s="1"/>
  <c r="AH75" i="4"/>
  <c r="AH10" i="3" s="1"/>
  <c r="AH7" i="61" s="1"/>
  <c r="AK41" i="39"/>
  <c r="AK75" i="4" s="1"/>
  <c r="BB37" i="3"/>
  <c r="AB65" i="4"/>
  <c r="AB52" i="4"/>
  <c r="AG52" i="4"/>
  <c r="S65" i="4"/>
  <c r="BI61" i="4"/>
  <c r="BN61" i="4" s="1"/>
  <c r="R65" i="4"/>
  <c r="R52" i="4"/>
  <c r="W52" i="4"/>
  <c r="CQ152" i="4"/>
  <c r="CU150" i="4"/>
  <c r="CU152" i="4" s="1"/>
  <c r="CV150" i="4" s="1"/>
  <c r="CR150" i="4"/>
  <c r="AW40" i="3"/>
  <c r="AH222" i="4"/>
  <c r="AH51" i="4"/>
  <c r="AM52" i="4" s="1"/>
  <c r="AJ65" i="4"/>
  <c r="AJ52" i="4"/>
  <c r="BG61" i="4"/>
  <c r="BH61" i="4"/>
  <c r="BM61" i="4" s="1"/>
  <c r="N222" i="4"/>
  <c r="N217" i="4"/>
  <c r="N51" i="4"/>
  <c r="S52" i="4" s="1"/>
  <c r="AC65" i="4"/>
  <c r="S234" i="4"/>
  <c r="CK27" i="3" s="1"/>
  <c r="CK24" i="3"/>
  <c r="AL65" i="4"/>
  <c r="AL52" i="4"/>
  <c r="T152" i="4"/>
  <c r="X150" i="4"/>
  <c r="X152" i="4" s="1"/>
  <c r="Y150" i="4" s="1"/>
  <c r="CM152" i="4"/>
  <c r="CN150" i="4"/>
  <c r="CN152" i="4" s="1"/>
  <c r="CO150" i="4" s="1"/>
  <c r="CO152" i="4" s="1"/>
  <c r="X222" i="4"/>
  <c r="X217" i="4"/>
  <c r="X51" i="4"/>
  <c r="AM65" i="4"/>
  <c r="AW45" i="61" l="1"/>
  <c r="AW58" i="40"/>
  <c r="AC57" i="61"/>
  <c r="AC59" i="61" s="1"/>
  <c r="AC61" i="61" s="1"/>
  <c r="AU299" i="41"/>
  <c r="AU300" i="41" s="1"/>
  <c r="AU101" i="41" s="1"/>
  <c r="AU304" i="41"/>
  <c r="AU153" i="41"/>
  <c r="AU157" i="41" s="1"/>
  <c r="AH155" i="41"/>
  <c r="AH454" i="41"/>
  <c r="BH106" i="40"/>
  <c r="BI106" i="40" s="1"/>
  <c r="BJ106" i="40" s="1"/>
  <c r="BK106" i="40" s="1"/>
  <c r="BL106" i="40" s="1"/>
  <c r="BL46" i="61" s="1"/>
  <c r="AI476" i="41"/>
  <c r="AI478" i="41" s="1"/>
  <c r="BK291" i="41"/>
  <c r="BC109" i="40"/>
  <c r="BD109" i="40" s="1"/>
  <c r="BE109" i="40" s="1"/>
  <c r="BF109" i="40" s="1"/>
  <c r="BG109" i="40" s="1"/>
  <c r="BG45" i="61" s="1"/>
  <c r="BB58" i="40"/>
  <c r="BQ61" i="4"/>
  <c r="BQ37" i="3" s="1"/>
  <c r="BP20" i="42"/>
  <c r="BK22" i="42"/>
  <c r="BK23" i="42" s="1"/>
  <c r="BL20" i="42"/>
  <c r="BL22" i="42" s="1"/>
  <c r="BL23" i="42" s="1"/>
  <c r="BK25" i="4"/>
  <c r="BL25" i="4" s="1"/>
  <c r="AV461" i="41"/>
  <c r="AS261" i="41"/>
  <c r="AS262" i="41" s="1"/>
  <c r="AS100" i="41" s="1"/>
  <c r="AS279" i="41"/>
  <c r="BM22" i="42"/>
  <c r="BM23" i="42" s="1"/>
  <c r="AS358" i="41"/>
  <c r="AS154" i="41"/>
  <c r="AS354" i="41"/>
  <c r="AS102" i="41" s="1"/>
  <c r="AT464" i="41"/>
  <c r="AT466" i="41" s="1"/>
  <c r="AS384" i="41"/>
  <c r="BB187" i="41"/>
  <c r="BB190" i="41"/>
  <c r="BJ399" i="41"/>
  <c r="AS252" i="41"/>
  <c r="AS304" i="41"/>
  <c r="AS153" i="41"/>
  <c r="AS299" i="41"/>
  <c r="AS326" i="41"/>
  <c r="BQ68" i="41"/>
  <c r="BQ362" i="41" s="1"/>
  <c r="X218" i="4"/>
  <c r="AK405" i="41"/>
  <c r="AL405" i="41" s="1"/>
  <c r="BP291" i="41"/>
  <c r="BO283" i="41"/>
  <c r="BK270" i="41"/>
  <c r="BK278" i="41" s="1"/>
  <c r="BQ270" i="41"/>
  <c r="BP270" i="41" s="1"/>
  <c r="BL338" i="41"/>
  <c r="AG189" i="39"/>
  <c r="CX244" i="51"/>
  <c r="DC126" i="51"/>
  <c r="BJ65" i="41"/>
  <c r="BJ202" i="41" s="1"/>
  <c r="BM400" i="41"/>
  <c r="BM408" i="41" s="1"/>
  <c r="BQ408" i="41" s="1"/>
  <c r="AW241" i="41"/>
  <c r="BM362" i="41"/>
  <c r="BM370" i="41" s="1"/>
  <c r="EE44" i="3"/>
  <c r="BM86" i="4"/>
  <c r="BM136" i="4" s="1"/>
  <c r="EF44" i="3"/>
  <c r="BN86" i="4"/>
  <c r="BN136" i="4" s="1"/>
  <c r="BN139" i="4" s="1"/>
  <c r="BN68" i="42" s="1"/>
  <c r="BN67" i="42" s="1"/>
  <c r="EG44" i="3"/>
  <c r="BO86" i="4"/>
  <c r="BO136" i="4" s="1"/>
  <c r="BO139" i="4" s="1"/>
  <c r="BQ96" i="40"/>
  <c r="EH44" i="3"/>
  <c r="BP86" i="4"/>
  <c r="BP136" i="4" s="1"/>
  <c r="BP139" i="4" s="1"/>
  <c r="BP68" i="42" s="1"/>
  <c r="BP67" i="42" s="1"/>
  <c r="BM153" i="39"/>
  <c r="BQ151" i="39"/>
  <c r="BQ153" i="39" s="1"/>
  <c r="BQ21" i="4"/>
  <c r="CL11" i="51"/>
  <c r="CL12" i="51" s="1"/>
  <c r="CM11" i="51"/>
  <c r="CM12" i="51" s="1"/>
  <c r="BJ69" i="41"/>
  <c r="BJ282" i="41" s="1"/>
  <c r="BJ290" i="41" s="1"/>
  <c r="BJ432" i="41"/>
  <c r="BL408" i="41"/>
  <c r="BB241" i="41"/>
  <c r="BO186" i="41"/>
  <c r="BP186" i="41"/>
  <c r="BN186" i="41"/>
  <c r="BM186" i="41"/>
  <c r="BJ419" i="41"/>
  <c r="BJ424" i="41" s="1"/>
  <c r="BJ425" i="41" s="1"/>
  <c r="BJ428" i="41" s="1"/>
  <c r="BQ203" i="41"/>
  <c r="CD180" i="41" s="1"/>
  <c r="BP20" i="64"/>
  <c r="BP22" i="64"/>
  <c r="BG241" i="41"/>
  <c r="BN309" i="41"/>
  <c r="BN315" i="41" s="1"/>
  <c r="BN316" i="41" s="1"/>
  <c r="BN65" i="41"/>
  <c r="BP65" i="41"/>
  <c r="BP309" i="41"/>
  <c r="BQ318" i="41"/>
  <c r="BM319" i="41"/>
  <c r="BO432" i="41"/>
  <c r="BO419" i="41"/>
  <c r="BO69" i="41"/>
  <c r="BO399" i="41"/>
  <c r="BO329" i="41"/>
  <c r="BQ75" i="41"/>
  <c r="BM67" i="41"/>
  <c r="BO309" i="41"/>
  <c r="BO65" i="41"/>
  <c r="BQ72" i="41"/>
  <c r="BM63" i="41"/>
  <c r="BQ338" i="41"/>
  <c r="BM339" i="41"/>
  <c r="BN432" i="41"/>
  <c r="BN329" i="41"/>
  <c r="BN335" i="41" s="1"/>
  <c r="BN336" i="41" s="1"/>
  <c r="BN69" i="41"/>
  <c r="BN419" i="41"/>
  <c r="BN399" i="41"/>
  <c r="BP419" i="41"/>
  <c r="BP399" i="41"/>
  <c r="BP432" i="41"/>
  <c r="BP329" i="41"/>
  <c r="BP69" i="41"/>
  <c r="CK11" i="51"/>
  <c r="CK12" i="51" s="1"/>
  <c r="CJ11" i="51"/>
  <c r="CJ12" i="51" s="1"/>
  <c r="BB243" i="41"/>
  <c r="AG185" i="39"/>
  <c r="AO185" i="39"/>
  <c r="AX213" i="39"/>
  <c r="AY213" i="39" s="1"/>
  <c r="AZ213" i="39" s="1"/>
  <c r="BA213" i="39" s="1"/>
  <c r="BB213" i="39" s="1"/>
  <c r="AO189" i="39"/>
  <c r="AP303" i="41"/>
  <c r="AP146" i="41"/>
  <c r="AO77" i="40"/>
  <c r="AN76" i="40"/>
  <c r="BK419" i="41"/>
  <c r="BK424" i="41" s="1"/>
  <c r="BK425" i="41" s="1"/>
  <c r="BK428" i="41" s="1"/>
  <c r="BI65" i="41"/>
  <c r="BI269" i="41" s="1"/>
  <c r="BI277" i="41" s="1"/>
  <c r="BD202" i="41"/>
  <c r="BD204" i="41" s="1"/>
  <c r="BK69" i="41"/>
  <c r="BK282" i="41" s="1"/>
  <c r="BK290" i="41" s="1"/>
  <c r="BI329" i="41"/>
  <c r="BI335" i="41" s="1"/>
  <c r="BI336" i="41" s="1"/>
  <c r="BI344" i="41" s="1"/>
  <c r="BI399" i="41"/>
  <c r="BI419" i="41"/>
  <c r="BI424" i="41" s="1"/>
  <c r="BI425" i="41" s="1"/>
  <c r="BI428" i="41" s="1"/>
  <c r="BI69" i="41"/>
  <c r="BI374" i="41" s="1"/>
  <c r="BI382" i="41" s="1"/>
  <c r="BF419" i="41"/>
  <c r="BF424" i="41" s="1"/>
  <c r="BF425" i="41" s="1"/>
  <c r="BF428" i="41" s="1"/>
  <c r="BD69" i="41"/>
  <c r="BD374" i="41" s="1"/>
  <c r="BD382" i="41" s="1"/>
  <c r="BD384" i="41" s="1"/>
  <c r="BK329" i="41"/>
  <c r="BK335" i="41" s="1"/>
  <c r="BK336" i="41" s="1"/>
  <c r="BK432" i="41"/>
  <c r="BL75" i="41"/>
  <c r="BH240" i="41"/>
  <c r="BL240" i="41" s="1"/>
  <c r="BG128" i="41"/>
  <c r="AZ345" i="41"/>
  <c r="AZ346" i="41" s="1"/>
  <c r="BF329" i="41"/>
  <c r="BF335" i="41" s="1"/>
  <c r="BF336" i="41" s="1"/>
  <c r="BF344" i="41" s="1"/>
  <c r="BK309" i="41"/>
  <c r="BK315" i="41" s="1"/>
  <c r="BK316" i="41" s="1"/>
  <c r="BK324" i="41" s="1"/>
  <c r="BF69" i="41"/>
  <c r="BF282" i="41" s="1"/>
  <c r="BF290" i="41" s="1"/>
  <c r="BF292" i="41" s="1"/>
  <c r="BF399" i="41"/>
  <c r="BZ70" i="64"/>
  <c r="BF361" i="41"/>
  <c r="BF369" i="41" s="1"/>
  <c r="BL96" i="40"/>
  <c r="BE432" i="41"/>
  <c r="BZ69" i="64"/>
  <c r="BZ68" i="64"/>
  <c r="BZ67" i="64"/>
  <c r="BE329" i="41"/>
  <c r="BE335" i="41" s="1"/>
  <c r="BE336" i="41" s="1"/>
  <c r="BC65" i="41"/>
  <c r="BC269" i="41" s="1"/>
  <c r="BC277" i="41" s="1"/>
  <c r="BD399" i="41"/>
  <c r="BD419" i="41"/>
  <c r="BD424" i="41" s="1"/>
  <c r="BD425" i="41" s="1"/>
  <c r="BD428" i="41" s="1"/>
  <c r="BD329" i="41"/>
  <c r="BD335" i="41" s="1"/>
  <c r="BD336" i="41" s="1"/>
  <c r="BD341" i="41" s="1"/>
  <c r="BD361" i="41"/>
  <c r="BD369" i="41" s="1"/>
  <c r="BE361" i="41"/>
  <c r="BE369" i="41" s="1"/>
  <c r="BE69" i="41"/>
  <c r="BE374" i="41" s="1"/>
  <c r="BE399" i="41"/>
  <c r="BC361" i="41"/>
  <c r="BC369" i="41" s="1"/>
  <c r="BC432" i="41"/>
  <c r="BL72" i="41"/>
  <c r="BG72" i="41"/>
  <c r="BG63" i="41"/>
  <c r="BG65" i="41" s="1"/>
  <c r="BG269" i="41" s="1"/>
  <c r="BD309" i="41"/>
  <c r="BD315" i="41" s="1"/>
  <c r="BD316" i="41" s="1"/>
  <c r="BD324" i="41" s="1"/>
  <c r="BC329" i="41"/>
  <c r="BC335" i="41" s="1"/>
  <c r="BG75" i="41"/>
  <c r="BG67" i="41"/>
  <c r="BG399" i="41" s="1"/>
  <c r="BC399" i="41"/>
  <c r="BC69" i="41"/>
  <c r="BC282" i="41" s="1"/>
  <c r="BC290" i="41" s="1"/>
  <c r="BH409" i="41"/>
  <c r="BH319" i="41"/>
  <c r="BL319" i="41" s="1"/>
  <c r="AT346" i="41"/>
  <c r="AO352" i="41"/>
  <c r="AD298" i="41"/>
  <c r="AD300" i="41" s="1"/>
  <c r="AD101" i="41" s="1"/>
  <c r="BL330" i="41"/>
  <c r="BL362" i="41"/>
  <c r="AA346" i="41"/>
  <c r="AB149" i="41"/>
  <c r="AD326" i="41"/>
  <c r="BH339" i="41"/>
  <c r="BL339" i="41" s="1"/>
  <c r="AM205" i="41"/>
  <c r="BX182" i="41" s="1"/>
  <c r="AW205" i="41"/>
  <c r="BZ182" i="41" s="1"/>
  <c r="Z346" i="41"/>
  <c r="AH261" i="41"/>
  <c r="AH633" i="41" s="1"/>
  <c r="AH643" i="41" s="1"/>
  <c r="AL185" i="39"/>
  <c r="AG149" i="41"/>
  <c r="AE352" i="41"/>
  <c r="T185" i="39"/>
  <c r="AL189" i="39"/>
  <c r="AG299" i="41"/>
  <c r="AG251" i="41" s="1"/>
  <c r="AF390" i="41"/>
  <c r="AC260" i="41"/>
  <c r="AC262" i="41" s="1"/>
  <c r="BH66" i="42"/>
  <c r="BK66" i="42"/>
  <c r="BI66" i="42"/>
  <c r="BJ66" i="42"/>
  <c r="AD189" i="39"/>
  <c r="U189" i="39"/>
  <c r="AY132" i="4"/>
  <c r="BC132" i="4"/>
  <c r="AX132" i="4"/>
  <c r="AI609" i="41"/>
  <c r="AI610" i="41" s="1"/>
  <c r="BE322" i="41"/>
  <c r="BE146" i="41" s="1"/>
  <c r="AW204" i="41"/>
  <c r="BZ181" i="41" s="1"/>
  <c r="AV299" i="41"/>
  <c r="AV251" i="41" s="1"/>
  <c r="BE324" i="41"/>
  <c r="BL203" i="41"/>
  <c r="CC180" i="41" s="1"/>
  <c r="BG8" i="40"/>
  <c r="AF207" i="41"/>
  <c r="BA299" i="41"/>
  <c r="BA300" i="41" s="1"/>
  <c r="BA101" i="41" s="1"/>
  <c r="AE427" i="41"/>
  <c r="CN12" i="51"/>
  <c r="AY341" i="41"/>
  <c r="AE185" i="39"/>
  <c r="AI161" i="39"/>
  <c r="AI162" i="39" s="1"/>
  <c r="AI64" i="42"/>
  <c r="AL161" i="39"/>
  <c r="AL162" i="39" s="1"/>
  <c r="AL163" i="39" s="1"/>
  <c r="AM163" i="39" s="1"/>
  <c r="AE63" i="42"/>
  <c r="AE75" i="42"/>
  <c r="AJ63" i="42"/>
  <c r="AJ75" i="42"/>
  <c r="AK63" i="42"/>
  <c r="AK75" i="42"/>
  <c r="AG161" i="39"/>
  <c r="AG162" i="39" s="1"/>
  <c r="AG64" i="42"/>
  <c r="AD75" i="42"/>
  <c r="AD63" i="42"/>
  <c r="AF63" i="42"/>
  <c r="AF75" i="42"/>
  <c r="AD185" i="39"/>
  <c r="CZ53" i="3"/>
  <c r="CZ56" i="3" s="1"/>
  <c r="CZ64" i="3" s="1"/>
  <c r="AO341" i="41"/>
  <c r="AR43" i="3"/>
  <c r="AP39" i="41"/>
  <c r="S60" i="3"/>
  <c r="DY61" i="3"/>
  <c r="DC108" i="51"/>
  <c r="DH53" i="51"/>
  <c r="CS46" i="51"/>
  <c r="CS10" i="51"/>
  <c r="CX44" i="51"/>
  <c r="DC127" i="51"/>
  <c r="CX30" i="51"/>
  <c r="DC28" i="51"/>
  <c r="BJ335" i="41"/>
  <c r="BJ336" i="41" s="1"/>
  <c r="BE269" i="41"/>
  <c r="BE277" i="41" s="1"/>
  <c r="BE202" i="41"/>
  <c r="BF315" i="41"/>
  <c r="BF316" i="41" s="1"/>
  <c r="AC633" i="41"/>
  <c r="AC217" i="4"/>
  <c r="BI315" i="41"/>
  <c r="BI316" i="41" s="1"/>
  <c r="BK269" i="41"/>
  <c r="BK277" i="41" s="1"/>
  <c r="BK202" i="41"/>
  <c r="BE424" i="41"/>
  <c r="BE425" i="41" s="1"/>
  <c r="BE428" i="41" s="1"/>
  <c r="AM204" i="41"/>
  <c r="BX181" i="41" s="1"/>
  <c r="BH419" i="41"/>
  <c r="BH424" i="41" s="1"/>
  <c r="BH69" i="41"/>
  <c r="BH432" i="41"/>
  <c r="BH399" i="41"/>
  <c r="BH329" i="41"/>
  <c r="BH335" i="41" s="1"/>
  <c r="BH336" i="41" s="1"/>
  <c r="BL67" i="41"/>
  <c r="BF269" i="41"/>
  <c r="BF277" i="41" s="1"/>
  <c r="BF202" i="41"/>
  <c r="BH65" i="41"/>
  <c r="BH309" i="41"/>
  <c r="BH315" i="41" s="1"/>
  <c r="BH316" i="41" s="1"/>
  <c r="BL63" i="41"/>
  <c r="BJ315" i="41"/>
  <c r="BJ316" i="41" s="1"/>
  <c r="BJ324" i="41" s="1"/>
  <c r="BH23" i="42"/>
  <c r="AH414" i="41"/>
  <c r="AA251" i="41"/>
  <c r="AA254" i="41" s="1"/>
  <c r="AA106" i="41" s="1"/>
  <c r="AA300" i="41"/>
  <c r="AA101" i="41" s="1"/>
  <c r="AF396" i="41"/>
  <c r="AF156" i="41"/>
  <c r="AM353" i="41"/>
  <c r="AN279" i="41"/>
  <c r="AR277" i="41"/>
  <c r="AN260" i="41"/>
  <c r="X646" i="41"/>
  <c r="X643" i="41"/>
  <c r="AC353" i="41"/>
  <c r="AD205" i="41"/>
  <c r="AD204" i="41"/>
  <c r="AH202" i="41"/>
  <c r="AD201" i="41"/>
  <c r="AW336" i="41"/>
  <c r="AW425" i="41"/>
  <c r="AW428" i="41"/>
  <c r="AW316" i="41"/>
  <c r="AV304" i="41"/>
  <c r="AV252" i="41"/>
  <c r="AM358" i="41"/>
  <c r="AM154" i="41"/>
  <c r="Z303" i="41"/>
  <c r="Z146" i="41"/>
  <c r="Z149" i="41" s="1"/>
  <c r="Z325" i="41"/>
  <c r="AT303" i="41"/>
  <c r="AT146" i="41"/>
  <c r="AT325" i="41"/>
  <c r="BX179" i="41"/>
  <c r="AO205" i="41"/>
  <c r="AO204" i="41"/>
  <c r="AZ278" i="41"/>
  <c r="AY270" i="41"/>
  <c r="AJ441" i="41"/>
  <c r="AJ440" i="41"/>
  <c r="BE291" i="41"/>
  <c r="BD283" i="41"/>
  <c r="AC100" i="41"/>
  <c r="AE260" i="41"/>
  <c r="AE262" i="41" s="1"/>
  <c r="AE100" i="41" s="1"/>
  <c r="AE279" i="41"/>
  <c r="BB277" i="41"/>
  <c r="AX260" i="41"/>
  <c r="AJ298" i="41"/>
  <c r="AR409" i="41"/>
  <c r="AN292" i="41"/>
  <c r="AR290" i="41"/>
  <c r="AR292" i="41" s="1"/>
  <c r="AB597" i="41"/>
  <c r="AB254" i="4" s="1"/>
  <c r="AC593" i="41"/>
  <c r="AC597" i="41" s="1"/>
  <c r="AC609" i="41" s="1"/>
  <c r="BE379" i="41"/>
  <c r="AZ380" i="41"/>
  <c r="AH424" i="41"/>
  <c r="AD425" i="41"/>
  <c r="AD384" i="41"/>
  <c r="AH382" i="41"/>
  <c r="AH384" i="41" s="1"/>
  <c r="AW321" i="41"/>
  <c r="BZ179" i="41"/>
  <c r="AY205" i="41"/>
  <c r="AY204" i="41"/>
  <c r="AZ298" i="41"/>
  <c r="BG338" i="41"/>
  <c r="BC339" i="41"/>
  <c r="AT278" i="41"/>
  <c r="AC43" i="41"/>
  <c r="AY291" i="41"/>
  <c r="AY292" i="41" s="1"/>
  <c r="AX283" i="41"/>
  <c r="AX291" i="41" s="1"/>
  <c r="AX292" i="41" s="1"/>
  <c r="AJ453" i="41"/>
  <c r="AJ476" i="41"/>
  <c r="AI454" i="41"/>
  <c r="AI155" i="41"/>
  <c r="AI148" i="41"/>
  <c r="AC336" i="41"/>
  <c r="Y344" i="41"/>
  <c r="AC316" i="41"/>
  <c r="Y324" i="41"/>
  <c r="AF147" i="41"/>
  <c r="AF345" i="41"/>
  <c r="AF346" i="41" s="1"/>
  <c r="AJ414" i="41"/>
  <c r="AJ412" i="41"/>
  <c r="AJ147" i="41" s="1"/>
  <c r="AJ411" i="41"/>
  <c r="AK299" i="41"/>
  <c r="AK251" i="41" s="1"/>
  <c r="AK304" i="41"/>
  <c r="AK252" i="41"/>
  <c r="AK153" i="41"/>
  <c r="AG304" i="41"/>
  <c r="AG252" i="41"/>
  <c r="AG153" i="41"/>
  <c r="AG157" i="41" s="1"/>
  <c r="AG198" i="41" s="1"/>
  <c r="AM371" i="41"/>
  <c r="AM260" i="41"/>
  <c r="AM279" i="41"/>
  <c r="AI262" i="41"/>
  <c r="AI100" i="41" s="1"/>
  <c r="AO298" i="41"/>
  <c r="AC371" i="41"/>
  <c r="Y322" i="41"/>
  <c r="BB319" i="41"/>
  <c r="AJ303" i="41"/>
  <c r="AJ146" i="41"/>
  <c r="AJ325" i="41"/>
  <c r="AU252" i="41"/>
  <c r="Z391" i="41"/>
  <c r="Z416" i="41"/>
  <c r="AQ299" i="41"/>
  <c r="Y341" i="41"/>
  <c r="AC341" i="41" s="1"/>
  <c r="AW371" i="41"/>
  <c r="AY321" i="41"/>
  <c r="AY322" i="41"/>
  <c r="BA304" i="41"/>
  <c r="BA252" i="41"/>
  <c r="BA153" i="41"/>
  <c r="BW198" i="41"/>
  <c r="AH76" i="4"/>
  <c r="AH11" i="3" s="1"/>
  <c r="AH43" i="41"/>
  <c r="BA379" i="41"/>
  <c r="AX379" i="41"/>
  <c r="AX380" i="41" s="1"/>
  <c r="AX382" i="41" s="1"/>
  <c r="AV380" i="41"/>
  <c r="AW380" i="41" s="1"/>
  <c r="AW357" i="41" s="1"/>
  <c r="AW358" i="41" s="1"/>
  <c r="AZ303" i="41"/>
  <c r="AZ146" i="41"/>
  <c r="AZ325" i="41"/>
  <c r="AM336" i="41"/>
  <c r="AI342" i="41"/>
  <c r="AI341" i="41"/>
  <c r="AM341" i="41" s="1"/>
  <c r="AI344" i="41"/>
  <c r="AM425" i="41"/>
  <c r="AI428" i="41"/>
  <c r="AM428" i="41" s="1"/>
  <c r="AI427" i="41"/>
  <c r="AM316" i="41"/>
  <c r="AI322" i="41"/>
  <c r="AI321" i="41"/>
  <c r="AM321" i="41" s="1"/>
  <c r="AI324" i="41"/>
  <c r="BG318" i="41"/>
  <c r="BC319" i="41"/>
  <c r="BJ186" i="41"/>
  <c r="BH186" i="41"/>
  <c r="BK186" i="41"/>
  <c r="BI186" i="41"/>
  <c r="BB371" i="41"/>
  <c r="BB424" i="41"/>
  <c r="AX425" i="41"/>
  <c r="AP299" i="41"/>
  <c r="Z429" i="41"/>
  <c r="Z390" i="41"/>
  <c r="AF391" i="41"/>
  <c r="AF416" i="41"/>
  <c r="AI395" i="41"/>
  <c r="AI415" i="41"/>
  <c r="AN205" i="41"/>
  <c r="AN204" i="41"/>
  <c r="AR202" i="41"/>
  <c r="AR278" i="41"/>
  <c r="AN261" i="41"/>
  <c r="AC412" i="41"/>
  <c r="Y395" i="41"/>
  <c r="Y415" i="41"/>
  <c r="AD279" i="41"/>
  <c r="AH277" i="41"/>
  <c r="AD260" i="41"/>
  <c r="AD262" i="41" s="1"/>
  <c r="AD100" i="41" s="1"/>
  <c r="AY342" i="41"/>
  <c r="AY427" i="41"/>
  <c r="AY429" i="41" s="1"/>
  <c r="AI442" i="41"/>
  <c r="AO260" i="41"/>
  <c r="AO262" i="41" s="1"/>
  <c r="AO100" i="41" s="1"/>
  <c r="AO279" i="41"/>
  <c r="BA261" i="41"/>
  <c r="BA279" i="41"/>
  <c r="AL437" i="41"/>
  <c r="AL438" i="41" s="1"/>
  <c r="AK438" i="41"/>
  <c r="AE204" i="41"/>
  <c r="AE201" i="41"/>
  <c r="AE205" i="41"/>
  <c r="AX205" i="41"/>
  <c r="AX204" i="41"/>
  <c r="BB202" i="41"/>
  <c r="AR371" i="41"/>
  <c r="AR424" i="41"/>
  <c r="AN425" i="41"/>
  <c r="AN384" i="41"/>
  <c r="AW291" i="41"/>
  <c r="AW292" i="41" s="1"/>
  <c r="AD412" i="41"/>
  <c r="AD411" i="41"/>
  <c r="AH411" i="41" s="1"/>
  <c r="AH409" i="41"/>
  <c r="AD292" i="41"/>
  <c r="AH290" i="41"/>
  <c r="AH292" i="41" s="1"/>
  <c r="AY260" i="41"/>
  <c r="AV326" i="41"/>
  <c r="AN358" i="41"/>
  <c r="AN154" i="41"/>
  <c r="AR358" i="41"/>
  <c r="AR154" i="41"/>
  <c r="AF298" i="41"/>
  <c r="AM384" i="41"/>
  <c r="BC424" i="41"/>
  <c r="BG400" i="41"/>
  <c r="BG330" i="41"/>
  <c r="BG408" i="41"/>
  <c r="BC409" i="41"/>
  <c r="AL473" i="41"/>
  <c r="AL474" i="41" s="1"/>
  <c r="AK474" i="41"/>
  <c r="AE395" i="41"/>
  <c r="AE415" i="41"/>
  <c r="AW341" i="41"/>
  <c r="BB339" i="41"/>
  <c r="BB335" i="41"/>
  <c r="AX336" i="41"/>
  <c r="AX341" i="41" s="1"/>
  <c r="BB374" i="41"/>
  <c r="BB282" i="41"/>
  <c r="AL597" i="41"/>
  <c r="AL609" i="41" s="1"/>
  <c r="AL610" i="41" s="1"/>
  <c r="AM593" i="41"/>
  <c r="AM597" i="41" s="1"/>
  <c r="AM609" i="41" s="1"/>
  <c r="AR319" i="41"/>
  <c r="AN316" i="41"/>
  <c r="AN322" i="41" s="1"/>
  <c r="AR315" i="41"/>
  <c r="AY352" i="41"/>
  <c r="AL384" i="41"/>
  <c r="AL352" i="41"/>
  <c r="AM352" i="41"/>
  <c r="AO321" i="41"/>
  <c r="AO322" i="41"/>
  <c r="BF278" i="41"/>
  <c r="BE270" i="41"/>
  <c r="AZ622" i="41"/>
  <c r="BJ291" i="41"/>
  <c r="BI283" i="41"/>
  <c r="AC352" i="41"/>
  <c r="Y321" i="41"/>
  <c r="AC321" i="41" s="1"/>
  <c r="AH315" i="41"/>
  <c r="AE316" i="41"/>
  <c r="AX316" i="41"/>
  <c r="AX322" i="41" s="1"/>
  <c r="BB315" i="41"/>
  <c r="Z396" i="41"/>
  <c r="Z156" i="41"/>
  <c r="AR339" i="41"/>
  <c r="AR335" i="41"/>
  <c r="AN336" i="41"/>
  <c r="AR374" i="41"/>
  <c r="AR282" i="41"/>
  <c r="AB299" i="41"/>
  <c r="AB326" i="41"/>
  <c r="AB304" i="41"/>
  <c r="AB252" i="41"/>
  <c r="AB153" i="41"/>
  <c r="AB157" i="41" s="1"/>
  <c r="Y342" i="41"/>
  <c r="AH374" i="41"/>
  <c r="AH282" i="41"/>
  <c r="AW260" i="41"/>
  <c r="AY324" i="41"/>
  <c r="AJ345" i="41"/>
  <c r="AJ346" i="41" s="1"/>
  <c r="AK326" i="41"/>
  <c r="AQ357" i="41"/>
  <c r="AQ383" i="41"/>
  <c r="AR383" i="41" s="1"/>
  <c r="AQ382" i="41"/>
  <c r="AL358" i="41"/>
  <c r="AL154" i="41"/>
  <c r="AF303" i="41"/>
  <c r="AF146" i="41"/>
  <c r="AF325" i="41"/>
  <c r="AO342" i="41"/>
  <c r="AO427" i="41"/>
  <c r="AO429" i="41" s="1"/>
  <c r="BC315" i="41"/>
  <c r="AA157" i="41"/>
  <c r="AC425" i="41"/>
  <c r="Y428" i="41"/>
  <c r="AC428" i="41" s="1"/>
  <c r="Y427" i="41"/>
  <c r="AH335" i="41"/>
  <c r="AE336" i="41"/>
  <c r="BB409" i="41"/>
  <c r="BB290" i="41"/>
  <c r="AL299" i="41"/>
  <c r="AL326" i="41"/>
  <c r="AL304" i="41"/>
  <c r="AL252" i="41"/>
  <c r="AL153" i="41"/>
  <c r="AD87" i="40"/>
  <c r="AD88" i="40" s="1"/>
  <c r="AE95" i="40"/>
  <c r="AE100" i="40" s="1"/>
  <c r="AE58" i="40"/>
  <c r="AF109" i="40"/>
  <c r="CK53" i="3"/>
  <c r="CK56" i="3" s="1"/>
  <c r="CK64" i="3" s="1"/>
  <c r="AH145" i="39"/>
  <c r="AH149" i="39" s="1"/>
  <c r="AH161" i="39" s="1"/>
  <c r="AH162" i="39" s="1"/>
  <c r="AM145" i="39"/>
  <c r="AM149" i="39" s="1"/>
  <c r="AM161" i="39" s="1"/>
  <c r="AB95" i="40"/>
  <c r="AB100" i="40" s="1"/>
  <c r="AB87" i="40" s="1"/>
  <c r="AB88" i="40" s="1"/>
  <c r="AA87" i="40"/>
  <c r="AA88" i="40" s="1"/>
  <c r="AL76" i="40"/>
  <c r="AM76" i="40" s="1"/>
  <c r="AK76" i="40"/>
  <c r="AI95" i="40"/>
  <c r="AH87" i="40"/>
  <c r="AH88" i="40" s="1"/>
  <c r="AH208" i="39"/>
  <c r="AI203" i="39" s="1"/>
  <c r="AB161" i="39"/>
  <c r="AB162" i="39" s="1"/>
  <c r="AE189" i="39"/>
  <c r="BC107" i="39"/>
  <c r="AJ189" i="39"/>
  <c r="AF185" i="39"/>
  <c r="AI185" i="39"/>
  <c r="AJ185" i="39"/>
  <c r="AK189" i="39"/>
  <c r="AM42" i="39"/>
  <c r="AM75" i="4"/>
  <c r="AM10" i="3" s="1"/>
  <c r="AM7" i="61" s="1"/>
  <c r="AC145" i="39"/>
  <c r="AC149" i="39" s="1"/>
  <c r="AA185" i="39"/>
  <c r="AB185" i="39"/>
  <c r="CU50" i="3"/>
  <c r="CU39" i="3"/>
  <c r="CU51" i="3" s="1"/>
  <c r="AC195" i="39"/>
  <c r="AC198" i="39"/>
  <c r="W41" i="39"/>
  <c r="W75" i="4" s="1"/>
  <c r="W189" i="39"/>
  <c r="Z189" i="39"/>
  <c r="W185" i="39"/>
  <c r="AX12" i="39"/>
  <c r="AF189" i="39"/>
  <c r="V189" i="39"/>
  <c r="R41" i="39"/>
  <c r="R75" i="4" s="1"/>
  <c r="V185" i="39"/>
  <c r="BI107" i="39"/>
  <c r="BI12" i="39" s="1"/>
  <c r="BD107" i="39"/>
  <c r="BD12" i="39" s="1"/>
  <c r="AK185" i="39"/>
  <c r="AI189" i="39"/>
  <c r="DE50" i="3"/>
  <c r="DE39" i="3"/>
  <c r="DE51" i="3" s="1"/>
  <c r="AM195" i="39"/>
  <c r="AM198" i="39"/>
  <c r="CP50" i="3"/>
  <c r="CP39" i="3"/>
  <c r="CP51" i="3" s="1"/>
  <c r="X195" i="39"/>
  <c r="X198" i="39"/>
  <c r="AC210" i="39"/>
  <c r="AD203" i="39"/>
  <c r="Y161" i="39"/>
  <c r="Y162" i="39" s="1"/>
  <c r="Y254" i="4"/>
  <c r="Y185" i="39"/>
  <c r="Z185" i="39"/>
  <c r="AB189" i="39"/>
  <c r="AA189" i="39"/>
  <c r="AC42" i="39"/>
  <c r="AC75" i="4"/>
  <c r="AC10" i="3" s="1"/>
  <c r="AC7" i="61" s="1"/>
  <c r="AC219" i="39"/>
  <c r="AC71" i="39" s="1"/>
  <c r="T189" i="39"/>
  <c r="X234" i="4"/>
  <c r="CP27" i="3" s="1"/>
  <c r="Y152" i="4"/>
  <c r="Z150" i="4" s="1"/>
  <c r="Z152" i="4" s="1"/>
  <c r="AA150" i="4" s="1"/>
  <c r="AA152" i="4" s="1"/>
  <c r="AB150" i="4" s="1"/>
  <c r="AB152" i="4" s="1"/>
  <c r="AC150" i="4"/>
  <c r="AC152" i="4" s="1"/>
  <c r="AD150" i="4" s="1"/>
  <c r="CF24" i="3"/>
  <c r="N234" i="4"/>
  <c r="CF27" i="3" s="1"/>
  <c r="BL61" i="4"/>
  <c r="AH65" i="4"/>
  <c r="AH52" i="4"/>
  <c r="CV152" i="4"/>
  <c r="CW150" i="4"/>
  <c r="CZ150" i="4"/>
  <c r="CZ152" i="4" s="1"/>
  <c r="DA150" i="4" s="1"/>
  <c r="X65" i="4"/>
  <c r="X52" i="4"/>
  <c r="T157" i="4"/>
  <c r="U150" i="4"/>
  <c r="U152" i="4" s="1"/>
  <c r="V150" i="4" s="1"/>
  <c r="V152" i="4" s="1"/>
  <c r="W150" i="4" s="1"/>
  <c r="W152" i="4" s="1"/>
  <c r="AC52" i="4"/>
  <c r="N65" i="4"/>
  <c r="N52" i="4"/>
  <c r="BG37" i="3"/>
  <c r="CR152" i="4"/>
  <c r="CS150" i="4"/>
  <c r="CS152" i="4" s="1"/>
  <c r="CT150" i="4" s="1"/>
  <c r="CT152" i="4" s="1"/>
  <c r="BB40" i="3"/>
  <c r="AI448" i="41" l="1"/>
  <c r="AI450" i="41" s="1"/>
  <c r="AI107" i="41" s="1"/>
  <c r="BM106" i="40"/>
  <c r="BN106" i="40" s="1"/>
  <c r="BO106" i="40" s="1"/>
  <c r="BP106" i="40" s="1"/>
  <c r="BQ106" i="40" s="1"/>
  <c r="BQ46" i="61" s="1"/>
  <c r="BJ270" i="41"/>
  <c r="BI270" i="41" s="1"/>
  <c r="BK292" i="41"/>
  <c r="AK406" i="41"/>
  <c r="AK412" i="41" s="1"/>
  <c r="BP25" i="4"/>
  <c r="BQ25" i="4" s="1"/>
  <c r="BP22" i="42"/>
  <c r="BP23" i="42" s="1"/>
  <c r="BQ20" i="42"/>
  <c r="BQ22" i="42" s="1"/>
  <c r="BQ23" i="42" s="1"/>
  <c r="BQ26" i="3" s="1"/>
  <c r="AO76" i="40"/>
  <c r="AP77" i="40"/>
  <c r="BH109" i="40"/>
  <c r="BI109" i="40" s="1"/>
  <c r="BJ109" i="40" s="1"/>
  <c r="BK109" i="40" s="1"/>
  <c r="BL109" i="40" s="1"/>
  <c r="BL45" i="61" s="1"/>
  <c r="BG58" i="40"/>
  <c r="AW461" i="41"/>
  <c r="AX461" i="41" s="1"/>
  <c r="AV462" i="41"/>
  <c r="BQ330" i="41"/>
  <c r="BQ400" i="41"/>
  <c r="AS251" i="41"/>
  <c r="AS254" i="41" s="1"/>
  <c r="AS106" i="41" s="1"/>
  <c r="AS300" i="41"/>
  <c r="AS101" i="41" s="1"/>
  <c r="BP278" i="41"/>
  <c r="BP261" i="41" s="1"/>
  <c r="BO270" i="41"/>
  <c r="BL409" i="41"/>
  <c r="BO291" i="41"/>
  <c r="BN283" i="41"/>
  <c r="DE126" i="51"/>
  <c r="DE244" i="51" s="1"/>
  <c r="DC244" i="51"/>
  <c r="BB139" i="39" s="1"/>
  <c r="DH126" i="51"/>
  <c r="DG126" i="51"/>
  <c r="DG244" i="51" s="1"/>
  <c r="DA126" i="51"/>
  <c r="DA244" i="51" s="1"/>
  <c r="DF126" i="51"/>
  <c r="DF244" i="51" s="1"/>
  <c r="CZ126" i="51"/>
  <c r="CZ244" i="51" s="1"/>
  <c r="DD126" i="51"/>
  <c r="DD244" i="51" s="1"/>
  <c r="DB126" i="51"/>
  <c r="DB244" i="51" s="1"/>
  <c r="CY126" i="51"/>
  <c r="CY244" i="51" s="1"/>
  <c r="BF374" i="41"/>
  <c r="BM409" i="41"/>
  <c r="BJ269" i="41"/>
  <c r="BJ277" i="41" s="1"/>
  <c r="BJ260" i="41" s="1"/>
  <c r="AP251" i="41"/>
  <c r="BC202" i="41"/>
  <c r="BC205" i="41" s="1"/>
  <c r="BJ374" i="41"/>
  <c r="BQ370" i="41"/>
  <c r="BP255" i="4"/>
  <c r="BL8" i="40"/>
  <c r="BQ8" i="40"/>
  <c r="BO68" i="42"/>
  <c r="BO67" i="42" s="1"/>
  <c r="BQ136" i="4"/>
  <c r="BM139" i="4"/>
  <c r="BM68" i="42" s="1"/>
  <c r="BM67" i="42" s="1"/>
  <c r="BN255" i="4"/>
  <c r="BE282" i="41"/>
  <c r="BE290" i="41" s="1"/>
  <c r="BE292" i="41" s="1"/>
  <c r="BI282" i="41"/>
  <c r="BI290" i="41" s="1"/>
  <c r="BI260" i="41" s="1"/>
  <c r="BI202" i="41"/>
  <c r="BI204" i="41" s="1"/>
  <c r="BK374" i="41"/>
  <c r="BC374" i="41"/>
  <c r="AV300" i="41"/>
  <c r="AV101" i="41" s="1"/>
  <c r="BL243" i="41"/>
  <c r="BQ241" i="41"/>
  <c r="BP335" i="41"/>
  <c r="BP336" i="41" s="1"/>
  <c r="BN282" i="41"/>
  <c r="BN290" i="41" s="1"/>
  <c r="BN374" i="41"/>
  <c r="BN382" i="41" s="1"/>
  <c r="BN384" i="41" s="1"/>
  <c r="BO315" i="41"/>
  <c r="BO316" i="41" s="1"/>
  <c r="BO324" i="41" s="1"/>
  <c r="BO424" i="41"/>
  <c r="BO425" i="41" s="1"/>
  <c r="BO427" i="41" s="1"/>
  <c r="BQ319" i="41"/>
  <c r="BP315" i="41"/>
  <c r="BP316" i="41" s="1"/>
  <c r="BN269" i="41"/>
  <c r="BN277" i="41" s="1"/>
  <c r="BN202" i="41"/>
  <c r="BP282" i="41"/>
  <c r="BP290" i="41" s="1"/>
  <c r="BP292" i="41" s="1"/>
  <c r="BP374" i="41"/>
  <c r="BP424" i="41"/>
  <c r="BP425" i="41" s="1"/>
  <c r="BN424" i="41"/>
  <c r="BN425" i="41" s="1"/>
  <c r="BN427" i="41" s="1"/>
  <c r="BN344" i="41"/>
  <c r="BN341" i="41"/>
  <c r="BN342" i="41"/>
  <c r="BQ339" i="41"/>
  <c r="BM65" i="41"/>
  <c r="BM309" i="41"/>
  <c r="BQ63" i="41"/>
  <c r="BO202" i="41"/>
  <c r="BO269" i="41"/>
  <c r="BO277" i="41" s="1"/>
  <c r="BM432" i="41"/>
  <c r="BM419" i="41"/>
  <c r="BM69" i="41"/>
  <c r="BM399" i="41"/>
  <c r="BM329" i="41"/>
  <c r="BQ67" i="41"/>
  <c r="BO335" i="41"/>
  <c r="BO336" i="41" s="1"/>
  <c r="BO344" i="41" s="1"/>
  <c r="BO282" i="41"/>
  <c r="BO290" i="41" s="1"/>
  <c r="BO374" i="41"/>
  <c r="BP202" i="41"/>
  <c r="BP269" i="41"/>
  <c r="BP277" i="41" s="1"/>
  <c r="BN324" i="41"/>
  <c r="BN321" i="41"/>
  <c r="BN322" i="41"/>
  <c r="BL241" i="41"/>
  <c r="BD205" i="41"/>
  <c r="AZ299" i="41"/>
  <c r="AZ300" i="41" s="1"/>
  <c r="AZ101" i="41" s="1"/>
  <c r="BI427" i="41"/>
  <c r="BI429" i="41" s="1"/>
  <c r="BD344" i="41"/>
  <c r="BD298" i="41" s="1"/>
  <c r="BD342" i="41"/>
  <c r="BD345" i="41" s="1"/>
  <c r="BI342" i="41"/>
  <c r="BI345" i="41" s="1"/>
  <c r="BI346" i="41" s="1"/>
  <c r="BC213" i="39"/>
  <c r="BD213" i="39" s="1"/>
  <c r="BE213" i="39" s="1"/>
  <c r="BF213" i="39" s="1"/>
  <c r="BG213" i="39" s="1"/>
  <c r="AP300" i="41"/>
  <c r="AP101" i="41" s="1"/>
  <c r="AP304" i="41"/>
  <c r="AP252" i="41"/>
  <c r="AP153" i="41"/>
  <c r="BI341" i="41"/>
  <c r="BH104" i="41"/>
  <c r="BL104" i="41" s="1"/>
  <c r="BD352" i="41"/>
  <c r="BD282" i="41"/>
  <c r="BD290" i="41" s="1"/>
  <c r="BD260" i="41" s="1"/>
  <c r="BD321" i="41"/>
  <c r="BG432" i="41"/>
  <c r="BG369" i="41"/>
  <c r="BG371" i="41" s="1"/>
  <c r="BD322" i="41"/>
  <c r="BD325" i="41" s="1"/>
  <c r="AC218" i="4"/>
  <c r="BD427" i="41"/>
  <c r="BD429" i="41" s="1"/>
  <c r="BG309" i="41"/>
  <c r="BG361" i="41"/>
  <c r="BG419" i="41"/>
  <c r="BG69" i="41"/>
  <c r="BG282" i="41" s="1"/>
  <c r="BG329" i="41"/>
  <c r="AF299" i="41"/>
  <c r="AF251" i="41" s="1"/>
  <c r="AK300" i="41"/>
  <c r="AK101" i="41" s="1"/>
  <c r="AU251" i="41"/>
  <c r="AU254" i="41" s="1"/>
  <c r="AU106" i="41" s="1"/>
  <c r="AG199" i="41"/>
  <c r="AG213" i="41" s="1"/>
  <c r="AG300" i="41"/>
  <c r="AG101" i="41" s="1"/>
  <c r="AM354" i="41"/>
  <c r="BF260" i="41"/>
  <c r="BH341" i="41"/>
  <c r="AH646" i="41"/>
  <c r="AH217" i="4"/>
  <c r="BE325" i="41"/>
  <c r="BE326" i="41" s="1"/>
  <c r="AF392" i="41"/>
  <c r="AF103" i="41" s="1"/>
  <c r="BA251" i="41"/>
  <c r="BA254" i="41" s="1"/>
  <c r="BA106" i="41" s="1"/>
  <c r="AC354" i="41"/>
  <c r="AF149" i="41"/>
  <c r="BB204" i="41"/>
  <c r="CA181" i="41" s="1"/>
  <c r="AE207" i="41"/>
  <c r="Z392" i="41"/>
  <c r="Z103" i="41" s="1"/>
  <c r="AM437" i="41"/>
  <c r="AN437" i="41" s="1"/>
  <c r="AR204" i="41"/>
  <c r="BY181" i="41" s="1"/>
  <c r="AX182" i="4"/>
  <c r="AY182" i="4" s="1"/>
  <c r="AZ182" i="4" s="1"/>
  <c r="BA182" i="4" s="1"/>
  <c r="BB182" i="4" s="1"/>
  <c r="BC182" i="4" s="1"/>
  <c r="AL64" i="42"/>
  <c r="AL75" i="42" s="1"/>
  <c r="AD207" i="41"/>
  <c r="AM473" i="41"/>
  <c r="AN473" i="41" s="1"/>
  <c r="AN474" i="41" s="1"/>
  <c r="AR205" i="41"/>
  <c r="BB132" i="4"/>
  <c r="BD132" i="4"/>
  <c r="BL424" i="41"/>
  <c r="BJ292" i="41"/>
  <c r="BH425" i="41"/>
  <c r="BL425" i="41" s="1"/>
  <c r="BB341" i="41"/>
  <c r="BL335" i="41"/>
  <c r="AV254" i="41"/>
  <c r="AV106" i="41" s="1"/>
  <c r="AM162" i="39"/>
  <c r="AE429" i="41"/>
  <c r="AE390" i="41"/>
  <c r="CU53" i="3"/>
  <c r="CU56" i="3" s="1"/>
  <c r="CU64" i="3" s="1"/>
  <c r="AI63" i="42"/>
  <c r="AI75" i="42"/>
  <c r="AG75" i="42"/>
  <c r="AG63" i="42"/>
  <c r="AH63" i="42" s="1"/>
  <c r="AH64" i="42" s="1"/>
  <c r="AH75" i="42" s="1"/>
  <c r="BK427" i="41"/>
  <c r="BK429" i="41" s="1"/>
  <c r="BJ427" i="41"/>
  <c r="BJ429" i="41" s="1"/>
  <c r="N60" i="3"/>
  <c r="AH210" i="39"/>
  <c r="AH50" i="61" s="1"/>
  <c r="CX46" i="51"/>
  <c r="CX10" i="51"/>
  <c r="DC44" i="51"/>
  <c r="DM53" i="51"/>
  <c r="DK53" i="51"/>
  <c r="DK108" i="51" s="1"/>
  <c r="DI53" i="51"/>
  <c r="DI108" i="51" s="1"/>
  <c r="DG53" i="51"/>
  <c r="DG108" i="51" s="1"/>
  <c r="DE53" i="51"/>
  <c r="DE108" i="51" s="1"/>
  <c r="DH108" i="51"/>
  <c r="DL53" i="51"/>
  <c r="DL108" i="51" s="1"/>
  <c r="DJ53" i="51"/>
  <c r="DJ108" i="51" s="1"/>
  <c r="DF53" i="51"/>
  <c r="DF108" i="51" s="1"/>
  <c r="DD53" i="51"/>
  <c r="DD108" i="51" s="1"/>
  <c r="DC30" i="51"/>
  <c r="DH28" i="51"/>
  <c r="DH127" i="51"/>
  <c r="BE341" i="41"/>
  <c r="BE342" i="41"/>
  <c r="BL65" i="41"/>
  <c r="BL269" i="41" s="1"/>
  <c r="BL309" i="41"/>
  <c r="BH269" i="41"/>
  <c r="BH277" i="41" s="1"/>
  <c r="BH202" i="41"/>
  <c r="BK204" i="41"/>
  <c r="BK205" i="41"/>
  <c r="BK201" i="41"/>
  <c r="BK213" i="41" s="1"/>
  <c r="BI322" i="41"/>
  <c r="BI321" i="41"/>
  <c r="AC234" i="4"/>
  <c r="CU27" i="3" s="1"/>
  <c r="BF321" i="41"/>
  <c r="BF322" i="41"/>
  <c r="BE205" i="41"/>
  <c r="BE204" i="41"/>
  <c r="BK341" i="41"/>
  <c r="BK342" i="41"/>
  <c r="BJ341" i="41"/>
  <c r="BJ342" i="41"/>
  <c r="BL315" i="41"/>
  <c r="AG254" i="41"/>
  <c r="AG106" i="41" s="1"/>
  <c r="BB205" i="41"/>
  <c r="CA182" i="41" s="1"/>
  <c r="AM206" i="41"/>
  <c r="AM207" i="41" s="1"/>
  <c r="BF342" i="41"/>
  <c r="BF341" i="41"/>
  <c r="BE344" i="41"/>
  <c r="BK322" i="41"/>
  <c r="BK321" i="41"/>
  <c r="BJ322" i="41"/>
  <c r="BJ321" i="41"/>
  <c r="BF205" i="41"/>
  <c r="BF204" i="41"/>
  <c r="BL432" i="41"/>
  <c r="BL399" i="41"/>
  <c r="BL329" i="41"/>
  <c r="BL419" i="41"/>
  <c r="BL361" i="41"/>
  <c r="BL69" i="41"/>
  <c r="BH282" i="41"/>
  <c r="BH290" i="41" s="1"/>
  <c r="BH374" i="41"/>
  <c r="BF427" i="41"/>
  <c r="BF429" i="41" s="1"/>
  <c r="BE427" i="41"/>
  <c r="BE429" i="41" s="1"/>
  <c r="BK260" i="41"/>
  <c r="BJ205" i="41"/>
  <c r="BJ201" i="41"/>
  <c r="BJ213" i="41" s="1"/>
  <c r="BJ204" i="41"/>
  <c r="BI324" i="41"/>
  <c r="AC646" i="41"/>
  <c r="AC643" i="41"/>
  <c r="BF324" i="41"/>
  <c r="BK344" i="41"/>
  <c r="BK298" i="41" s="1"/>
  <c r="BJ344" i="41"/>
  <c r="BJ298" i="41" s="1"/>
  <c r="BI384" i="41"/>
  <c r="BB322" i="41"/>
  <c r="AX146" i="41"/>
  <c r="AX325" i="41"/>
  <c r="AL251" i="41"/>
  <c r="AL254" i="41" s="1"/>
  <c r="AL106" i="41" s="1"/>
  <c r="AL300" i="41"/>
  <c r="AL101" i="41" s="1"/>
  <c r="AO345" i="41"/>
  <c r="AO346" i="41" s="1"/>
  <c r="AY298" i="41"/>
  <c r="AC342" i="41"/>
  <c r="AC147" i="41" s="1"/>
  <c r="Y147" i="41"/>
  <c r="Y345" i="41"/>
  <c r="AC345" i="41" s="1"/>
  <c r="BL316" i="41"/>
  <c r="BH324" i="41"/>
  <c r="BH321" i="41"/>
  <c r="AB251" i="41"/>
  <c r="AB254" i="41" s="1"/>
  <c r="AB106" i="41" s="1"/>
  <c r="AB300" i="41"/>
  <c r="AB101" i="41" s="1"/>
  <c r="AR336" i="41"/>
  <c r="AN344" i="41"/>
  <c r="AN342" i="41"/>
  <c r="AN303" i="41" s="1"/>
  <c r="AE322" i="41"/>
  <c r="AE321" i="41"/>
  <c r="AH321" i="41" s="1"/>
  <c r="AH316" i="41"/>
  <c r="AE324" i="41"/>
  <c r="BI291" i="41"/>
  <c r="BH283" i="41"/>
  <c r="BH291" i="41" s="1"/>
  <c r="BF261" i="41"/>
  <c r="BF279" i="41"/>
  <c r="AO303" i="41"/>
  <c r="AO146" i="41"/>
  <c r="AO325" i="41"/>
  <c r="AL406" i="41"/>
  <c r="AM405" i="41"/>
  <c r="AN405" i="41" s="1"/>
  <c r="AR322" i="41"/>
  <c r="AN146" i="41"/>
  <c r="AN325" i="41"/>
  <c r="AL611" i="41"/>
  <c r="AM611" i="41" s="1"/>
  <c r="AM610" i="41"/>
  <c r="AE396" i="41"/>
  <c r="AE156" i="41"/>
  <c r="AK476" i="41"/>
  <c r="AK453" i="41"/>
  <c r="BG409" i="41"/>
  <c r="AF326" i="41"/>
  <c r="AW322" i="41"/>
  <c r="AW146" i="41" s="1"/>
  <c r="AR425" i="41"/>
  <c r="AN428" i="41"/>
  <c r="AR428" i="41" s="1"/>
  <c r="AN427" i="41"/>
  <c r="CA179" i="41"/>
  <c r="AL441" i="41"/>
  <c r="AL440" i="41"/>
  <c r="BA262" i="41"/>
  <c r="BA100" i="41" s="1"/>
  <c r="AY345" i="41"/>
  <c r="AY346" i="41" s="1"/>
  <c r="AH279" i="41"/>
  <c r="AH260" i="41"/>
  <c r="AH262" i="41" s="1"/>
  <c r="AC415" i="41"/>
  <c r="Y391" i="41"/>
  <c r="Y416" i="41"/>
  <c r="AC395" i="41"/>
  <c r="AI391" i="41"/>
  <c r="AI416" i="41"/>
  <c r="BB425" i="41"/>
  <c r="AX428" i="41"/>
  <c r="BB428" i="41" s="1"/>
  <c r="AX427" i="41"/>
  <c r="BC260" i="41"/>
  <c r="BG277" i="41"/>
  <c r="AM344" i="41"/>
  <c r="AM342" i="41"/>
  <c r="AI147" i="41"/>
  <c r="AI345" i="41"/>
  <c r="AM345" i="41" s="1"/>
  <c r="AZ304" i="41"/>
  <c r="AZ252" i="41"/>
  <c r="AZ153" i="41"/>
  <c r="AX357" i="41"/>
  <c r="AX358" i="41" s="1"/>
  <c r="AX383" i="41"/>
  <c r="AX384" i="41" s="1"/>
  <c r="AQ251" i="41"/>
  <c r="AQ254" i="41" s="1"/>
  <c r="AQ106" i="41" s="1"/>
  <c r="AQ300" i="41"/>
  <c r="AQ101" i="41" s="1"/>
  <c r="AJ299" i="41"/>
  <c r="AJ251" i="41" s="1"/>
  <c r="AJ304" i="41"/>
  <c r="AJ252" i="41"/>
  <c r="AJ153" i="41"/>
  <c r="BJ278" i="41"/>
  <c r="AK254" i="41"/>
  <c r="AK106" i="41" s="1"/>
  <c r="AJ390" i="41"/>
  <c r="AW342" i="41"/>
  <c r="AW345" i="41"/>
  <c r="AJ454" i="41"/>
  <c r="AJ155" i="41"/>
  <c r="AJ148" i="41"/>
  <c r="AJ149" i="41" s="1"/>
  <c r="AW278" i="41"/>
  <c r="BG339" i="41"/>
  <c r="AZ326" i="41"/>
  <c r="AH352" i="41"/>
  <c r="AH353" i="41"/>
  <c r="BJ379" i="41"/>
  <c r="BE380" i="41"/>
  <c r="AB609" i="41"/>
  <c r="AB610" i="41" s="1"/>
  <c r="AC610" i="41" s="1"/>
  <c r="CT39" i="3"/>
  <c r="AJ326" i="41"/>
  <c r="BB260" i="41"/>
  <c r="AV371" i="41"/>
  <c r="AZ261" i="41"/>
  <c r="AZ279" i="41"/>
  <c r="AT299" i="41"/>
  <c r="AT326" i="41"/>
  <c r="AT304" i="41"/>
  <c r="AT252" i="41"/>
  <c r="AT153" i="41"/>
  <c r="AW344" i="41"/>
  <c r="BW179" i="41"/>
  <c r="AH201" i="41"/>
  <c r="AB353" i="41"/>
  <c r="AB354" i="41" s="1"/>
  <c r="AB102" i="41" s="1"/>
  <c r="AB371" i="41"/>
  <c r="AA353" i="41"/>
  <c r="AA354" i="41" s="1"/>
  <c r="AA102" i="41" s="1"/>
  <c r="AA108" i="41" s="1"/>
  <c r="AA371" i="41"/>
  <c r="AN262" i="41"/>
  <c r="AN100" i="41" s="1"/>
  <c r="AL353" i="41"/>
  <c r="AL354" i="41" s="1"/>
  <c r="AL102" i="41" s="1"/>
  <c r="AL371" i="41"/>
  <c r="AK353" i="41"/>
  <c r="AK354" i="41" s="1"/>
  <c r="AK102" i="41" s="1"/>
  <c r="AK371" i="41"/>
  <c r="AE342" i="41"/>
  <c r="AE341" i="41"/>
  <c r="AH341" i="41" s="1"/>
  <c r="AH336" i="41"/>
  <c r="AE344" i="41"/>
  <c r="Y429" i="41"/>
  <c r="AC427" i="41"/>
  <c r="Y390" i="41"/>
  <c r="BG315" i="41"/>
  <c r="BC316" i="41"/>
  <c r="BC321" i="41" s="1"/>
  <c r="AF304" i="41"/>
  <c r="AF252" i="41"/>
  <c r="AF153" i="41"/>
  <c r="AF157" i="41" s="1"/>
  <c r="AF198" i="41" s="1"/>
  <c r="AQ384" i="41"/>
  <c r="AQ352" i="41"/>
  <c r="AQ358" i="41"/>
  <c r="AQ154" i="41"/>
  <c r="BH322" i="41"/>
  <c r="AN341" i="41"/>
  <c r="AR341" i="41" s="1"/>
  <c r="BB316" i="41"/>
  <c r="AX324" i="41"/>
  <c r="BA622" i="41"/>
  <c r="BE278" i="41"/>
  <c r="BD270" i="41"/>
  <c r="AR316" i="41"/>
  <c r="AN324" i="41"/>
  <c r="AN321" i="41"/>
  <c r="AR321" i="41" s="1"/>
  <c r="BB336" i="41"/>
  <c r="AX344" i="41"/>
  <c r="AX342" i="41"/>
  <c r="AE391" i="41"/>
  <c r="AE416" i="41"/>
  <c r="AL453" i="41"/>
  <c r="AL476" i="41"/>
  <c r="BG424" i="41"/>
  <c r="BC425" i="41"/>
  <c r="BG335" i="41"/>
  <c r="BC336" i="41"/>
  <c r="BC341" i="41" s="1"/>
  <c r="AH412" i="41"/>
  <c r="AD395" i="41"/>
  <c r="AD147" i="41"/>
  <c r="AD149" i="41" s="1"/>
  <c r="AD415" i="41"/>
  <c r="AR382" i="41"/>
  <c r="AR353" i="41"/>
  <c r="AK441" i="41"/>
  <c r="AK440" i="41"/>
  <c r="AH100" i="41"/>
  <c r="Y396" i="41"/>
  <c r="Y156" i="41"/>
  <c r="BL336" i="41"/>
  <c r="BH344" i="41"/>
  <c r="BH342" i="41"/>
  <c r="BY179" i="41"/>
  <c r="AI396" i="41"/>
  <c r="AI156" i="41"/>
  <c r="AX352" i="41"/>
  <c r="BG319" i="41"/>
  <c r="AM324" i="41"/>
  <c r="AI298" i="41"/>
  <c r="AI303" i="41"/>
  <c r="AM322" i="41"/>
  <c r="AI146" i="41"/>
  <c r="AI325" i="41"/>
  <c r="AI429" i="41"/>
  <c r="AM427" i="41"/>
  <c r="AM429" i="41" s="1"/>
  <c r="AI390" i="41"/>
  <c r="AV357" i="41"/>
  <c r="AV358" i="41" s="1"/>
  <c r="AV383" i="41"/>
  <c r="AW383" i="41" s="1"/>
  <c r="AW353" i="41" s="1"/>
  <c r="AV382" i="41"/>
  <c r="AW382" i="41" s="1"/>
  <c r="BC379" i="41"/>
  <c r="BC380" i="41" s="1"/>
  <c r="BF379" i="41"/>
  <c r="BA380" i="41"/>
  <c r="AY303" i="41"/>
  <c r="AY146" i="41"/>
  <c r="AY325" i="41"/>
  <c r="AX321" i="41"/>
  <c r="BB321" i="41" s="1"/>
  <c r="Y303" i="41"/>
  <c r="AC322" i="41"/>
  <c r="Y146" i="41"/>
  <c r="Y325" i="41"/>
  <c r="Y326" i="41" s="1"/>
  <c r="AM438" i="41"/>
  <c r="BK261" i="41"/>
  <c r="BK279" i="41"/>
  <c r="AM100" i="41"/>
  <c r="AJ395" i="41"/>
  <c r="AJ415" i="41"/>
  <c r="AJ391" i="41" s="1"/>
  <c r="AC324" i="41"/>
  <c r="Y298" i="41"/>
  <c r="AC344" i="41"/>
  <c r="AM474" i="41"/>
  <c r="AJ478" i="41"/>
  <c r="AJ448" i="41"/>
  <c r="AJ450" i="41" s="1"/>
  <c r="AJ107" i="41" s="1"/>
  <c r="BB291" i="41"/>
  <c r="BB292" i="41" s="1"/>
  <c r="AT261" i="41"/>
  <c r="AT279" i="41"/>
  <c r="AH371" i="41"/>
  <c r="AH425" i="41"/>
  <c r="AD428" i="41"/>
  <c r="AH428" i="41" s="1"/>
  <c r="AD427" i="41"/>
  <c r="AZ357" i="41"/>
  <c r="AZ358" i="41" s="1"/>
  <c r="AZ383" i="41"/>
  <c r="AZ382" i="41"/>
  <c r="AT353" i="41"/>
  <c r="AT354" i="41" s="1"/>
  <c r="AT102" i="41" s="1"/>
  <c r="AT371" i="41"/>
  <c r="BD291" i="41"/>
  <c r="BC283" i="41"/>
  <c r="BC291" i="41" s="1"/>
  <c r="AJ442" i="41"/>
  <c r="AY278" i="41"/>
  <c r="AX270" i="41"/>
  <c r="AX278" i="41" s="1"/>
  <c r="Z299" i="41"/>
  <c r="Z326" i="41"/>
  <c r="Z304" i="41"/>
  <c r="Z252" i="41"/>
  <c r="Z153" i="41"/>
  <c r="Z157" i="41" s="1"/>
  <c r="AW324" i="41"/>
  <c r="AW427" i="41"/>
  <c r="AW429" i="41" s="1"/>
  <c r="AH204" i="41"/>
  <c r="BW181" i="41" s="1"/>
  <c r="AH205" i="41"/>
  <c r="BW182" i="41" s="1"/>
  <c r="Z353" i="41"/>
  <c r="Z354" i="41" s="1"/>
  <c r="Z102" i="41" s="1"/>
  <c r="Z371" i="41"/>
  <c r="Y353" i="41"/>
  <c r="Y354" i="41" s="1"/>
  <c r="Y102" i="41" s="1"/>
  <c r="Y371" i="41"/>
  <c r="AR279" i="41"/>
  <c r="AR260" i="41"/>
  <c r="AJ353" i="41"/>
  <c r="AJ354" i="41" s="1"/>
  <c r="AJ102" i="41" s="1"/>
  <c r="AJ371" i="41"/>
  <c r="AI353" i="41"/>
  <c r="AI354" i="41" s="1"/>
  <c r="AI102" i="41" s="1"/>
  <c r="AI371" i="41"/>
  <c r="AI208" i="39"/>
  <c r="AJ203" i="39" s="1"/>
  <c r="AJ208" i="39" s="1"/>
  <c r="AK203" i="39" s="1"/>
  <c r="AK208" i="39" s="1"/>
  <c r="AL203" i="39" s="1"/>
  <c r="AL208" i="39" s="1"/>
  <c r="AM203" i="39"/>
  <c r="AM208" i="39" s="1"/>
  <c r="AI100" i="40"/>
  <c r="AM95" i="40"/>
  <c r="AM100" i="40" s="1"/>
  <c r="AF95" i="40"/>
  <c r="AF100" i="40" s="1"/>
  <c r="AE87" i="40"/>
  <c r="AE88" i="40" s="1"/>
  <c r="AC162" i="39"/>
  <c r="AH103" i="40"/>
  <c r="AH110" i="40"/>
  <c r="AH59" i="40" s="1"/>
  <c r="AH44" i="61" s="1"/>
  <c r="AM77" i="40"/>
  <c r="AG109" i="40"/>
  <c r="AF58" i="40"/>
  <c r="AH203" i="39"/>
  <c r="AD208" i="39"/>
  <c r="AE203" i="39" s="1"/>
  <c r="AE208" i="39" s="1"/>
  <c r="AF203" i="39" s="1"/>
  <c r="AF208" i="39" s="1"/>
  <c r="AG203" i="39" s="1"/>
  <c r="AG208" i="39" s="1"/>
  <c r="CP53" i="3"/>
  <c r="CP56" i="3" s="1"/>
  <c r="CP64" i="3" s="1"/>
  <c r="DE53" i="3"/>
  <c r="DE56" i="3" s="1"/>
  <c r="DE64" i="3" s="1"/>
  <c r="BC12" i="39"/>
  <c r="AC211" i="39"/>
  <c r="AX122" i="39"/>
  <c r="AC161" i="39"/>
  <c r="AC254" i="4"/>
  <c r="BH107" i="39"/>
  <c r="BG40" i="3"/>
  <c r="DA152" i="4"/>
  <c r="DE150" i="4"/>
  <c r="DE152" i="4" s="1"/>
  <c r="DF150" i="4" s="1"/>
  <c r="DB150" i="4"/>
  <c r="AD152" i="4"/>
  <c r="AE150" i="4" s="1"/>
  <c r="AE152" i="4" s="1"/>
  <c r="AF150" i="4" s="1"/>
  <c r="AF152" i="4" s="1"/>
  <c r="AG150" i="4" s="1"/>
  <c r="AG152" i="4" s="1"/>
  <c r="AH150" i="4"/>
  <c r="AH152" i="4" s="1"/>
  <c r="AI150" i="4" s="1"/>
  <c r="T199" i="4"/>
  <c r="CL9" i="3" s="1"/>
  <c r="T161" i="4"/>
  <c r="T172" i="4" s="1"/>
  <c r="T195" i="4" s="1"/>
  <c r="CW152" i="4"/>
  <c r="CX150" i="4"/>
  <c r="CX152" i="4" s="1"/>
  <c r="CY150" i="4" s="1"/>
  <c r="CY152" i="4" s="1"/>
  <c r="BL37" i="3"/>
  <c r="BQ40" i="3" s="1"/>
  <c r="AH52" i="61" l="1"/>
  <c r="AH54" i="61" s="1"/>
  <c r="AS131" i="41"/>
  <c r="AU131" i="41"/>
  <c r="AU132" i="41" s="1"/>
  <c r="AU137" i="41" s="1"/>
  <c r="AV131" i="41"/>
  <c r="AK411" i="41"/>
  <c r="AK414" i="41"/>
  <c r="AK390" i="41" s="1"/>
  <c r="AM406" i="41"/>
  <c r="AO473" i="41"/>
  <c r="AP473" i="41" s="1"/>
  <c r="AP474" i="41" s="1"/>
  <c r="AP476" i="41" s="1"/>
  <c r="AP254" i="41"/>
  <c r="AP106" i="41" s="1"/>
  <c r="BM109" i="40"/>
  <c r="BN109" i="40" s="1"/>
  <c r="BO109" i="40" s="1"/>
  <c r="BP109" i="40" s="1"/>
  <c r="BQ109" i="40" s="1"/>
  <c r="BQ45" i="61" s="1"/>
  <c r="BL58" i="40"/>
  <c r="AQ77" i="40"/>
  <c r="AP76" i="40"/>
  <c r="AV464" i="41"/>
  <c r="AV466" i="41" s="1"/>
  <c r="AW462" i="41"/>
  <c r="AW464" i="41" s="1"/>
  <c r="AW466" i="41" s="1"/>
  <c r="AY461" i="41"/>
  <c r="AX462" i="41"/>
  <c r="BO292" i="41"/>
  <c r="BM255" i="4"/>
  <c r="BG202" i="41"/>
  <c r="CB179" i="41" s="1"/>
  <c r="BJ380" i="41"/>
  <c r="BJ357" i="41" s="1"/>
  <c r="BJ358" i="41" s="1"/>
  <c r="BO379" i="41"/>
  <c r="BO380" i="41" s="1"/>
  <c r="BO382" i="41" s="1"/>
  <c r="BQ409" i="41"/>
  <c r="BN291" i="41"/>
  <c r="BN292" i="41" s="1"/>
  <c r="BM283" i="41"/>
  <c r="BM291" i="41" s="1"/>
  <c r="BO278" i="41"/>
  <c r="BO261" i="41" s="1"/>
  <c r="BN270" i="41"/>
  <c r="AX139" i="39"/>
  <c r="CY10" i="51"/>
  <c r="BC139" i="39"/>
  <c r="DD260" i="51"/>
  <c r="BE139" i="39"/>
  <c r="DF260" i="51"/>
  <c r="BF139" i="39"/>
  <c r="DG260" i="51"/>
  <c r="BA139" i="39"/>
  <c r="DB10" i="51"/>
  <c r="AY139" i="39"/>
  <c r="CZ10" i="51"/>
  <c r="AZ139" i="39"/>
  <c r="DA10" i="51"/>
  <c r="DM126" i="51"/>
  <c r="DH244" i="51"/>
  <c r="BG139" i="39" s="1"/>
  <c r="BD139" i="39"/>
  <c r="DE260" i="51"/>
  <c r="AQ75" i="4"/>
  <c r="AR75" i="4"/>
  <c r="AR7" i="61" s="1"/>
  <c r="DM108" i="51"/>
  <c r="DR53" i="51"/>
  <c r="DR108" i="51" s="1"/>
  <c r="BC204" i="41"/>
  <c r="BG204" i="41" s="1"/>
  <c r="CB181" i="41" s="1"/>
  <c r="AZ251" i="41"/>
  <c r="AZ254" i="41" s="1"/>
  <c r="AZ106" i="41" s="1"/>
  <c r="BE260" i="41"/>
  <c r="BQ67" i="42"/>
  <c r="BQ68" i="42" s="1"/>
  <c r="BO255" i="4"/>
  <c r="EI47" i="3"/>
  <c r="BQ139" i="4"/>
  <c r="BI292" i="41"/>
  <c r="BL290" i="41"/>
  <c r="BI201" i="41"/>
  <c r="BI213" i="41" s="1"/>
  <c r="BI205" i="41"/>
  <c r="BG38" i="3"/>
  <c r="BG21" i="61" s="1"/>
  <c r="BQ38" i="3"/>
  <c r="BQ21" i="61" s="1"/>
  <c r="BP279" i="41"/>
  <c r="BP260" i="41"/>
  <c r="BP262" i="41" s="1"/>
  <c r="BP100" i="41" s="1"/>
  <c r="BQ399" i="41"/>
  <c r="BQ419" i="41"/>
  <c r="BQ69" i="41"/>
  <c r="BQ432" i="41"/>
  <c r="BQ361" i="41"/>
  <c r="BQ329" i="41"/>
  <c r="BM424" i="41"/>
  <c r="BO260" i="41"/>
  <c r="BQ65" i="41"/>
  <c r="BQ269" i="41" s="1"/>
  <c r="BQ309" i="41"/>
  <c r="BM269" i="41"/>
  <c r="BM277" i="41" s="1"/>
  <c r="BM202" i="41"/>
  <c r="BN345" i="41"/>
  <c r="BN346" i="41" s="1"/>
  <c r="BP428" i="41"/>
  <c r="BN204" i="41"/>
  <c r="BN205" i="41"/>
  <c r="BN201" i="41"/>
  <c r="BN213" i="41" s="1"/>
  <c r="BP322" i="41"/>
  <c r="BP321" i="41"/>
  <c r="BO298" i="41"/>
  <c r="BP342" i="41"/>
  <c r="BP341" i="41"/>
  <c r="BN146" i="41"/>
  <c r="BN303" i="41"/>
  <c r="BN325" i="41"/>
  <c r="BN326" i="41" s="1"/>
  <c r="BN298" i="41"/>
  <c r="BP205" i="41"/>
  <c r="BP204" i="41"/>
  <c r="BP201" i="41"/>
  <c r="BP213" i="41" s="1"/>
  <c r="BO341" i="41"/>
  <c r="BO342" i="41"/>
  <c r="BM335" i="41"/>
  <c r="BM282" i="41"/>
  <c r="BM290" i="41" s="1"/>
  <c r="BM374" i="41"/>
  <c r="BO205" i="41"/>
  <c r="BO204" i="41"/>
  <c r="BO201" i="41"/>
  <c r="BO213" i="41" s="1"/>
  <c r="BM315" i="41"/>
  <c r="BN428" i="41"/>
  <c r="BP427" i="41"/>
  <c r="BN260" i="41"/>
  <c r="BP324" i="41"/>
  <c r="BO428" i="41"/>
  <c r="BO322" i="41"/>
  <c r="BO321" i="41"/>
  <c r="BP344" i="41"/>
  <c r="BD346" i="41"/>
  <c r="AF300" i="41"/>
  <c r="AF101" i="41" s="1"/>
  <c r="BH213" i="39"/>
  <c r="BI213" i="39" s="1"/>
  <c r="BJ213" i="39" s="1"/>
  <c r="BK213" i="39" s="1"/>
  <c r="BL213" i="39" s="1"/>
  <c r="AH211" i="39"/>
  <c r="BD146" i="41"/>
  <c r="BD303" i="41"/>
  <c r="BD304" i="41" s="1"/>
  <c r="BJ361" i="41"/>
  <c r="BJ369" i="41" s="1"/>
  <c r="BJ371" i="41" s="1"/>
  <c r="BI361" i="41"/>
  <c r="BI369" i="41" s="1"/>
  <c r="BI352" i="41" s="1"/>
  <c r="BH361" i="41"/>
  <c r="BH369" i="41" s="1"/>
  <c r="BH371" i="41" s="1"/>
  <c r="BK361" i="41"/>
  <c r="BK369" i="41" s="1"/>
  <c r="BK371" i="41" s="1"/>
  <c r="BD292" i="41"/>
  <c r="BG290" i="41"/>
  <c r="BG260" i="41" s="1"/>
  <c r="BA131" i="41"/>
  <c r="BJ345" i="41"/>
  <c r="BJ346" i="41" s="1"/>
  <c r="BK345" i="41"/>
  <c r="BK346" i="41" s="1"/>
  <c r="BF345" i="41"/>
  <c r="BF346" i="41" s="1"/>
  <c r="BG374" i="41"/>
  <c r="AH234" i="4"/>
  <c r="CZ27" i="3" s="1"/>
  <c r="AH218" i="4"/>
  <c r="BI353" i="41"/>
  <c r="BY182" i="41"/>
  <c r="AR206" i="41"/>
  <c r="AM441" i="41"/>
  <c r="AF199" i="41"/>
  <c r="AF213" i="41" s="1"/>
  <c r="BH428" i="41"/>
  <c r="BL428" i="41" s="1"/>
  <c r="AF254" i="41"/>
  <c r="AF106" i="41" s="1"/>
  <c r="AI149" i="41"/>
  <c r="BH427" i="41"/>
  <c r="BL427" i="41" s="1"/>
  <c r="BD182" i="4"/>
  <c r="BE182" i="4" s="1"/>
  <c r="BF182" i="4" s="1"/>
  <c r="BG182" i="4" s="1"/>
  <c r="BH182" i="4" s="1"/>
  <c r="BI182" i="4" s="1"/>
  <c r="BJ182" i="4" s="1"/>
  <c r="BK182" i="4" s="1"/>
  <c r="BL182" i="4" s="1"/>
  <c r="BM182" i="4" s="1"/>
  <c r="BN182" i="4" s="1"/>
  <c r="BO182" i="4" s="1"/>
  <c r="BP182" i="4" s="1"/>
  <c r="BQ182" i="4" s="1"/>
  <c r="BC322" i="41"/>
  <c r="BC325" i="41" s="1"/>
  <c r="BG321" i="41"/>
  <c r="BX184" i="41"/>
  <c r="BX193" i="41" s="1"/>
  <c r="AM193" i="41" s="1"/>
  <c r="AK193" i="41" s="1"/>
  <c r="AM265" i="41"/>
  <c r="AM266" i="41" s="1"/>
  <c r="Y346" i="41"/>
  <c r="AI392" i="41"/>
  <c r="AI103" i="41" s="1"/>
  <c r="AE392" i="41"/>
  <c r="AE103" i="41" s="1"/>
  <c r="BG341" i="41"/>
  <c r="AL63" i="42"/>
  <c r="AM63" i="42" s="1"/>
  <c r="AM64" i="42" s="1"/>
  <c r="AM75" i="42" s="1"/>
  <c r="Y392" i="41"/>
  <c r="Y103" i="41" s="1"/>
  <c r="AC103" i="41" s="1"/>
  <c r="AL206" i="41"/>
  <c r="AL207" i="41" s="1"/>
  <c r="AJ300" i="41"/>
  <c r="AJ101" i="41" s="1"/>
  <c r="Y149" i="41"/>
  <c r="AH354" i="41"/>
  <c r="BG291" i="41"/>
  <c r="BG132" i="4"/>
  <c r="AY299" i="41"/>
  <c r="AY251" i="41" s="1"/>
  <c r="BL341" i="41"/>
  <c r="AW346" i="41"/>
  <c r="AR44" i="3"/>
  <c r="N38" i="3"/>
  <c r="N53" i="3" s="1"/>
  <c r="AH38" i="3"/>
  <c r="AH21" i="61" s="1"/>
  <c r="AC38" i="3"/>
  <c r="AC53" i="3" s="1"/>
  <c r="I38" i="3"/>
  <c r="X38" i="3"/>
  <c r="X53" i="3" s="1"/>
  <c r="S38" i="3"/>
  <c r="S53" i="3" s="1"/>
  <c r="AM38" i="3"/>
  <c r="AM21" i="61" s="1"/>
  <c r="AR38" i="3"/>
  <c r="AR21" i="61" s="1"/>
  <c r="AW38" i="3"/>
  <c r="AW21" i="61" s="1"/>
  <c r="BB38" i="3"/>
  <c r="BB21" i="61" s="1"/>
  <c r="DC46" i="51"/>
  <c r="DC10" i="51"/>
  <c r="BE586" i="41"/>
  <c r="DF118" i="51"/>
  <c r="DF10" i="51"/>
  <c r="BK586" i="41"/>
  <c r="DL10" i="51"/>
  <c r="DL118" i="51"/>
  <c r="BD586" i="41"/>
  <c r="DE118" i="51"/>
  <c r="DE10" i="51"/>
  <c r="BH586" i="41"/>
  <c r="DI10" i="51"/>
  <c r="DI118" i="51"/>
  <c r="DH44" i="51"/>
  <c r="DM127" i="51"/>
  <c r="DH30" i="51"/>
  <c r="DM28" i="51"/>
  <c r="BC586" i="41"/>
  <c r="DD10" i="51"/>
  <c r="DD118" i="51"/>
  <c r="BI586" i="41"/>
  <c r="DJ118" i="51"/>
  <c r="DJ10" i="51"/>
  <c r="BF586" i="41"/>
  <c r="DG118" i="51"/>
  <c r="DG10" i="51"/>
  <c r="BJ586" i="41"/>
  <c r="DK10" i="51"/>
  <c r="DK118" i="51"/>
  <c r="BI298" i="41"/>
  <c r="BE298" i="41"/>
  <c r="BF146" i="41"/>
  <c r="BF303" i="41"/>
  <c r="BF325" i="41"/>
  <c r="BH260" i="41"/>
  <c r="BL277" i="41"/>
  <c r="BE345" i="41"/>
  <c r="BE299" i="41" s="1"/>
  <c r="BE303" i="41"/>
  <c r="AC102" i="41"/>
  <c r="AC346" i="41"/>
  <c r="BG205" i="41"/>
  <c r="CB182" i="41" s="1"/>
  <c r="BL321" i="41"/>
  <c r="BF298" i="41"/>
  <c r="BL374" i="41"/>
  <c r="BL282" i="41"/>
  <c r="BJ146" i="41"/>
  <c r="BJ303" i="41"/>
  <c r="BJ325" i="41"/>
  <c r="BK146" i="41"/>
  <c r="BK303" i="41"/>
  <c r="BK325" i="41"/>
  <c r="BI146" i="41"/>
  <c r="BI325" i="41"/>
  <c r="BI299" i="41" s="1"/>
  <c r="BI303" i="41"/>
  <c r="BH205" i="41"/>
  <c r="BL202" i="41"/>
  <c r="BH204" i="41"/>
  <c r="BL204" i="41" s="1"/>
  <c r="CC181" i="41" s="1"/>
  <c r="BH201" i="41"/>
  <c r="BH213" i="41" s="1"/>
  <c r="AW384" i="41"/>
  <c r="AW352" i="41"/>
  <c r="AW354" i="41" s="1"/>
  <c r="AY261" i="41"/>
  <c r="AY279" i="41"/>
  <c r="AZ384" i="41"/>
  <c r="AZ352" i="41"/>
  <c r="AZ154" i="41"/>
  <c r="AJ396" i="41"/>
  <c r="AJ156" i="41"/>
  <c r="AJ157" i="41" s="1"/>
  <c r="AJ198" i="41" s="1"/>
  <c r="Y304" i="41"/>
  <c r="Y252" i="41"/>
  <c r="Y153" i="41"/>
  <c r="Y157" i="41" s="1"/>
  <c r="AY304" i="41"/>
  <c r="AY252" i="41"/>
  <c r="AY153" i="41"/>
  <c r="BA383" i="41"/>
  <c r="BA353" i="41" s="1"/>
  <c r="BA357" i="41"/>
  <c r="BA358" i="41" s="1"/>
  <c r="BA382" i="41"/>
  <c r="BB382" i="41" s="1"/>
  <c r="BC357" i="41"/>
  <c r="BC358" i="41" s="1"/>
  <c r="BC383" i="41"/>
  <c r="AM325" i="41"/>
  <c r="AM299" i="41" s="1"/>
  <c r="AI299" i="41"/>
  <c r="AI251" i="41" s="1"/>
  <c r="AM303" i="41"/>
  <c r="AM146" i="41"/>
  <c r="AI326" i="41"/>
  <c r="AX353" i="41"/>
  <c r="AX354" i="41" s="1"/>
  <c r="AX102" i="41" s="1"/>
  <c r="AX371" i="41"/>
  <c r="BA371" i="41"/>
  <c r="BL342" i="41"/>
  <c r="BH345" i="41"/>
  <c r="AO353" i="41"/>
  <c r="AO354" i="41" s="1"/>
  <c r="AO102" i="41" s="1"/>
  <c r="AO371" i="41"/>
  <c r="AR384" i="41"/>
  <c r="AR352" i="41"/>
  <c r="AR354" i="41" s="1"/>
  <c r="AH395" i="41"/>
  <c r="BC292" i="41"/>
  <c r="AL454" i="41"/>
  <c r="AL155" i="41"/>
  <c r="AL148" i="41"/>
  <c r="BB342" i="41"/>
  <c r="BB303" i="41" s="1"/>
  <c r="AX345" i="41"/>
  <c r="BB345" i="41" s="1"/>
  <c r="AN326" i="41"/>
  <c r="AR324" i="41"/>
  <c r="AN298" i="41"/>
  <c r="BD278" i="41"/>
  <c r="BC270" i="41"/>
  <c r="BC278" i="41" s="1"/>
  <c r="BB622" i="41"/>
  <c r="BC622" i="41"/>
  <c r="AX326" i="41"/>
  <c r="BB324" i="41"/>
  <c r="AX298" i="41"/>
  <c r="BL322" i="41"/>
  <c r="BH303" i="41"/>
  <c r="BH146" i="41"/>
  <c r="BH325" i="41"/>
  <c r="BG316" i="41"/>
  <c r="BC324" i="41"/>
  <c r="AE147" i="41"/>
  <c r="AH342" i="41"/>
  <c r="AH147" i="41" s="1"/>
  <c r="AE345" i="41"/>
  <c r="AH345" i="41" s="1"/>
  <c r="BW193" i="41"/>
  <c r="AH193" i="41" s="1"/>
  <c r="BW185" i="41"/>
  <c r="BW196" i="41" s="1"/>
  <c r="AT251" i="41"/>
  <c r="AT254" i="41" s="1"/>
  <c r="AT106" i="41" s="1"/>
  <c r="AW106" i="41" s="1"/>
  <c r="AT300" i="41"/>
  <c r="AT101" i="41" s="1"/>
  <c r="AW101" i="41" s="1"/>
  <c r="AZ262" i="41"/>
  <c r="AZ100" i="41" s="1"/>
  <c r="AF353" i="41"/>
  <c r="AF354" i="41" s="1"/>
  <c r="AF102" i="41" s="1"/>
  <c r="AF371" i="41"/>
  <c r="AE353" i="41"/>
  <c r="AE354" i="41" s="1"/>
  <c r="AE102" i="41" s="1"/>
  <c r="AE371" i="41"/>
  <c r="AJ392" i="41"/>
  <c r="AJ103" i="41" s="1"/>
  <c r="BI278" i="41"/>
  <c r="BH270" i="41"/>
  <c r="BH278" i="41" s="1"/>
  <c r="BB380" i="41"/>
  <c r="BB357" i="41" s="1"/>
  <c r="BB358" i="41" s="1"/>
  <c r="AM346" i="41"/>
  <c r="AC391" i="41"/>
  <c r="AC416" i="41"/>
  <c r="BD299" i="41"/>
  <c r="BD326" i="41"/>
  <c r="AO437" i="41"/>
  <c r="AP437" i="41" s="1"/>
  <c r="AP438" i="41" s="1"/>
  <c r="AN438" i="41"/>
  <c r="AK478" i="41"/>
  <c r="AK448" i="41"/>
  <c r="AK450" i="41" s="1"/>
  <c r="AK107" i="41" s="1"/>
  <c r="AR325" i="41"/>
  <c r="AN304" i="41"/>
  <c r="AN252" i="41"/>
  <c r="AN153" i="41"/>
  <c r="AL412" i="41"/>
  <c r="AM412" i="41" s="1"/>
  <c r="AM395" i="41" s="1"/>
  <c r="AL411" i="41"/>
  <c r="AL414" i="41"/>
  <c r="AO299" i="41"/>
  <c r="AO326" i="41"/>
  <c r="AO304" i="41"/>
  <c r="AO252" i="41"/>
  <c r="AO153" i="41"/>
  <c r="BF262" i="41"/>
  <c r="BF100" i="41" s="1"/>
  <c r="AE303" i="41"/>
  <c r="AE146" i="41"/>
  <c r="AH322" i="41"/>
  <c r="AE325" i="41"/>
  <c r="AE326" i="41" s="1"/>
  <c r="AR344" i="41"/>
  <c r="BL324" i="41"/>
  <c r="BH298" i="41"/>
  <c r="AY326" i="41"/>
  <c r="BB325" i="41"/>
  <c r="AX303" i="41"/>
  <c r="AM102" i="41"/>
  <c r="AW298" i="41"/>
  <c r="Z251" i="41"/>
  <c r="Z254" i="41" s="1"/>
  <c r="Z106" i="41" s="1"/>
  <c r="Z300" i="41"/>
  <c r="Z101" i="41" s="1"/>
  <c r="BB278" i="41"/>
  <c r="AX261" i="41"/>
  <c r="AX279" i="41"/>
  <c r="AD429" i="41"/>
  <c r="AH427" i="41"/>
  <c r="AD390" i="41"/>
  <c r="AT262" i="41"/>
  <c r="AT100" i="41" s="1"/>
  <c r="AW100" i="41" s="1"/>
  <c r="AM476" i="41"/>
  <c r="AM453" i="41"/>
  <c r="AC298" i="41"/>
  <c r="BK262" i="41"/>
  <c r="BK100" i="41" s="1"/>
  <c r="AC325" i="41"/>
  <c r="AC299" i="41" s="1"/>
  <c r="Y299" i="41"/>
  <c r="Y251" i="41" s="1"/>
  <c r="AC303" i="41"/>
  <c r="AC146" i="41"/>
  <c r="AC149" i="41" s="1"/>
  <c r="BK379" i="41"/>
  <c r="BH379" i="41"/>
  <c r="BH380" i="41" s="1"/>
  <c r="BF380" i="41"/>
  <c r="AV384" i="41"/>
  <c r="AV352" i="41"/>
  <c r="AI304" i="41"/>
  <c r="AI252" i="41"/>
  <c r="AI153" i="41"/>
  <c r="AI157" i="41" s="1"/>
  <c r="AI198" i="41" s="1"/>
  <c r="AM298" i="41"/>
  <c r="AZ353" i="41"/>
  <c r="AZ371" i="41"/>
  <c r="AY353" i="41"/>
  <c r="AY354" i="41" s="1"/>
  <c r="AY102" i="41" s="1"/>
  <c r="AY371" i="41"/>
  <c r="BL344" i="41"/>
  <c r="AK442" i="41"/>
  <c r="AM440" i="41"/>
  <c r="AN353" i="41"/>
  <c r="AN354" i="41" s="1"/>
  <c r="AN102" i="41" s="1"/>
  <c r="AN371" i="41"/>
  <c r="AQ353" i="41"/>
  <c r="AQ354" i="41" s="1"/>
  <c r="AQ102" i="41" s="1"/>
  <c r="AQ371" i="41"/>
  <c r="AH415" i="41"/>
  <c r="AD391" i="41"/>
  <c r="AD416" i="41"/>
  <c r="AD396" i="41"/>
  <c r="AD156" i="41"/>
  <c r="AD157" i="41" s="1"/>
  <c r="AD198" i="41" s="1"/>
  <c r="AD199" i="41" s="1"/>
  <c r="BG336" i="41"/>
  <c r="BC344" i="41"/>
  <c r="BG425" i="41"/>
  <c r="BC428" i="41"/>
  <c r="BG428" i="41" s="1"/>
  <c r="BC427" i="41"/>
  <c r="AL478" i="41"/>
  <c r="AL448" i="41"/>
  <c r="AL450" i="41" s="1"/>
  <c r="AL107" i="41" s="1"/>
  <c r="AN453" i="41"/>
  <c r="AN476" i="41"/>
  <c r="BB344" i="41"/>
  <c r="AK395" i="41"/>
  <c r="AK415" i="41"/>
  <c r="AK391" i="41" s="1"/>
  <c r="AK147" i="41"/>
  <c r="BE261" i="41"/>
  <c r="BE279" i="41"/>
  <c r="AC429" i="41"/>
  <c r="AC390" i="41"/>
  <c r="AH344" i="41"/>
  <c r="AR100" i="41"/>
  <c r="AH207" i="41"/>
  <c r="AV353" i="41"/>
  <c r="BE357" i="41"/>
  <c r="BE358" i="41" s="1"/>
  <c r="BE383" i="41"/>
  <c r="BE382" i="41"/>
  <c r="AD353" i="41"/>
  <c r="AD354" i="41" s="1"/>
  <c r="AD102" i="41" s="1"/>
  <c r="AD371" i="41"/>
  <c r="AG353" i="41"/>
  <c r="AG354" i="41" s="1"/>
  <c r="AG102" i="41" s="1"/>
  <c r="AG371" i="41"/>
  <c r="BC342" i="41"/>
  <c r="AW279" i="41"/>
  <c r="AJ416" i="41"/>
  <c r="BJ261" i="41"/>
  <c r="BJ279" i="41"/>
  <c r="AJ254" i="41"/>
  <c r="AJ106" i="41" s="1"/>
  <c r="AX154" i="41"/>
  <c r="AI346" i="41"/>
  <c r="AX429" i="41"/>
  <c r="BB427" i="41"/>
  <c r="BB429" i="41" s="1"/>
  <c r="AC396" i="41"/>
  <c r="AC156" i="41"/>
  <c r="AL442" i="41"/>
  <c r="AN429" i="41"/>
  <c r="AR427" i="41"/>
  <c r="AR429" i="41" s="1"/>
  <c r="AW325" i="41"/>
  <c r="AW299" i="41" s="1"/>
  <c r="AW303" i="41"/>
  <c r="AW153" i="41" s="1"/>
  <c r="BC382" i="41"/>
  <c r="AK454" i="41"/>
  <c r="AK155" i="41"/>
  <c r="AK148" i="41"/>
  <c r="AR146" i="41"/>
  <c r="AO405" i="41"/>
  <c r="AP405" i="41" s="1"/>
  <c r="AP406" i="41" s="1"/>
  <c r="AN406" i="41"/>
  <c r="BL291" i="41"/>
  <c r="BH292" i="41"/>
  <c r="AE298" i="41"/>
  <c r="AH324" i="41"/>
  <c r="AR342" i="41"/>
  <c r="AR303" i="41" s="1"/>
  <c r="AN345" i="41"/>
  <c r="AR345" i="41" s="1"/>
  <c r="AB108" i="41"/>
  <c r="BB146" i="41"/>
  <c r="AH109" i="40"/>
  <c r="AH45" i="61" s="1"/>
  <c r="AG58" i="40"/>
  <c r="AF87" i="40"/>
  <c r="AF88" i="40" s="1"/>
  <c r="AG95" i="40"/>
  <c r="AG100" i="40" s="1"/>
  <c r="AG87" i="40" s="1"/>
  <c r="AG88" i="40" s="1"/>
  <c r="AM102" i="40"/>
  <c r="AM51" i="61" s="1"/>
  <c r="AN95" i="40"/>
  <c r="AM87" i="40"/>
  <c r="AM210" i="39"/>
  <c r="AM50" i="61" s="1"/>
  <c r="AN203" i="39"/>
  <c r="AR203" i="39" s="1"/>
  <c r="AM219" i="39"/>
  <c r="AM71" i="39" s="1"/>
  <c r="AM37" i="61" s="1"/>
  <c r="AM218" i="39"/>
  <c r="AM70" i="39" s="1"/>
  <c r="AI87" i="40"/>
  <c r="AJ95" i="40"/>
  <c r="AJ100" i="40" s="1"/>
  <c r="AN186" i="39"/>
  <c r="BH12" i="39"/>
  <c r="AY122" i="39"/>
  <c r="AH219" i="39"/>
  <c r="AH71" i="39" s="1"/>
  <c r="AH37" i="61" s="1"/>
  <c r="AH218" i="39"/>
  <c r="AH70" i="39" s="1"/>
  <c r="BL40" i="3"/>
  <c r="BL38" i="3"/>
  <c r="BL21" i="61" s="1"/>
  <c r="DF152" i="4"/>
  <c r="DG150" i="4"/>
  <c r="DJ150" i="4"/>
  <c r="DJ152" i="4" s="1"/>
  <c r="DK150" i="4" s="1"/>
  <c r="AI152" i="4"/>
  <c r="AJ150" i="4" s="1"/>
  <c r="AJ152" i="4" s="1"/>
  <c r="AK150" i="4" s="1"/>
  <c r="AK152" i="4" s="1"/>
  <c r="AL150" i="4" s="1"/>
  <c r="AL152" i="4" s="1"/>
  <c r="AM150" i="4"/>
  <c r="AM152" i="4" s="1"/>
  <c r="AN150" i="4" s="1"/>
  <c r="DB152" i="4"/>
  <c r="DC150" i="4"/>
  <c r="DC152" i="4" s="1"/>
  <c r="DD150" i="4" s="1"/>
  <c r="DD152" i="4" s="1"/>
  <c r="AM52" i="61" l="1"/>
  <c r="AM54" i="61" s="1"/>
  <c r="AM55" i="61" s="1"/>
  <c r="AH55" i="61"/>
  <c r="AH57" i="61" s="1"/>
  <c r="AH59" i="61" s="1"/>
  <c r="AH61" i="61" s="1"/>
  <c r="AH66" i="61" s="1"/>
  <c r="BB73" i="61"/>
  <c r="AR73" i="61"/>
  <c r="AH73" i="61"/>
  <c r="BQ73" i="61"/>
  <c r="BL73" i="61"/>
  <c r="AW73" i="61"/>
  <c r="CG22" i="61"/>
  <c r="AM73" i="61"/>
  <c r="BG73" i="61"/>
  <c r="AT131" i="41"/>
  <c r="AW131" i="41" s="1"/>
  <c r="AM411" i="41"/>
  <c r="AM414" i="41"/>
  <c r="AM390" i="41" s="1"/>
  <c r="BJ382" i="41"/>
  <c r="AO474" i="41"/>
  <c r="AO453" i="41" s="1"/>
  <c r="AP453" i="41"/>
  <c r="AP155" i="41" s="1"/>
  <c r="BO262" i="41"/>
  <c r="BO100" i="41" s="1"/>
  <c r="BJ383" i="41"/>
  <c r="BJ353" i="41" s="1"/>
  <c r="BO279" i="41"/>
  <c r="AS77" i="40"/>
  <c r="AQ76" i="40"/>
  <c r="AR76" i="40" s="1"/>
  <c r="AR77" i="40" s="1"/>
  <c r="BQ58" i="40"/>
  <c r="AX464" i="41"/>
  <c r="AX466" i="41" s="1"/>
  <c r="BQ291" i="41"/>
  <c r="AZ461" i="41"/>
  <c r="AY462" i="41"/>
  <c r="AY464" i="41" s="1"/>
  <c r="AY466" i="41" s="1"/>
  <c r="BK380" i="41"/>
  <c r="BK382" i="41" s="1"/>
  <c r="BP379" i="41"/>
  <c r="BP380" i="41" s="1"/>
  <c r="BM379" i="41"/>
  <c r="BM380" i="41" s="1"/>
  <c r="BM382" i="41" s="1"/>
  <c r="BM270" i="41"/>
  <c r="BM278" i="41" s="1"/>
  <c r="BM279" i="41" s="1"/>
  <c r="BN278" i="41"/>
  <c r="AP478" i="41"/>
  <c r="AP448" i="41"/>
  <c r="AP450" i="41" s="1"/>
  <c r="AP107" i="41" s="1"/>
  <c r="AP441" i="41"/>
  <c r="AP440" i="41"/>
  <c r="BO357" i="41"/>
  <c r="BO383" i="41"/>
  <c r="BO353" i="41" s="1"/>
  <c r="AP414" i="41"/>
  <c r="AP412" i="41"/>
  <c r="AP411" i="41"/>
  <c r="BL292" i="41"/>
  <c r="BL260" i="41"/>
  <c r="BM213" i="39"/>
  <c r="BN213" i="39" s="1"/>
  <c r="BO213" i="39" s="1"/>
  <c r="BP213" i="39" s="1"/>
  <c r="BQ213" i="39" s="1"/>
  <c r="AY97" i="4"/>
  <c r="BA97" i="4"/>
  <c r="DR126" i="51"/>
  <c r="DM244" i="51"/>
  <c r="BL139" i="39" s="1"/>
  <c r="AZ97" i="4"/>
  <c r="AX97" i="4"/>
  <c r="DR127" i="51"/>
  <c r="DM44" i="51"/>
  <c r="DR44" i="51"/>
  <c r="AN152" i="4"/>
  <c r="AO150" i="4" s="1"/>
  <c r="AO152" i="4" s="1"/>
  <c r="AP150" i="4" s="1"/>
  <c r="AP152" i="4" s="1"/>
  <c r="AQ150" i="4" s="1"/>
  <c r="AQ152" i="4" s="1"/>
  <c r="AR150" i="4"/>
  <c r="AR152" i="4" s="1"/>
  <c r="AS150" i="4" s="1"/>
  <c r="DO150" i="4"/>
  <c r="DO152" i="4" s="1"/>
  <c r="DP150" i="4" s="1"/>
  <c r="DL150" i="4"/>
  <c r="DK152" i="4"/>
  <c r="BG53" i="3"/>
  <c r="BL213" i="41"/>
  <c r="BN361" i="41"/>
  <c r="BN369" i="41" s="1"/>
  <c r="BM361" i="41"/>
  <c r="BM369" i="41" s="1"/>
  <c r="BM371" i="41" s="1"/>
  <c r="BO361" i="41"/>
  <c r="BO369" i="41" s="1"/>
  <c r="BP361" i="41"/>
  <c r="BP369" i="41" s="1"/>
  <c r="BQ255" i="4"/>
  <c r="BL205" i="41"/>
  <c r="CC182" i="41" s="1"/>
  <c r="DM30" i="51"/>
  <c r="DR28" i="51"/>
  <c r="DR30" i="51" s="1"/>
  <c r="BQ53" i="3"/>
  <c r="BD252" i="41"/>
  <c r="BO429" i="41"/>
  <c r="BO303" i="41"/>
  <c r="BO325" i="41"/>
  <c r="BO146" i="41"/>
  <c r="BP298" i="41"/>
  <c r="BO345" i="41"/>
  <c r="BO346" i="41" s="1"/>
  <c r="BN304" i="41"/>
  <c r="BN153" i="41"/>
  <c r="BN252" i="41"/>
  <c r="BP146" i="41"/>
  <c r="BP303" i="41"/>
  <c r="BP325" i="41"/>
  <c r="BP326" i="41" s="1"/>
  <c r="BM260" i="41"/>
  <c r="BQ277" i="41"/>
  <c r="BM425" i="41"/>
  <c r="BQ424" i="41"/>
  <c r="BD153" i="41"/>
  <c r="BD251" i="41"/>
  <c r="BG292" i="41"/>
  <c r="BP429" i="41"/>
  <c r="BM316" i="41"/>
  <c r="BQ315" i="41"/>
  <c r="BQ290" i="41"/>
  <c r="BM292" i="41"/>
  <c r="BQ335" i="41"/>
  <c r="BM336" i="41"/>
  <c r="BN299" i="41"/>
  <c r="BN251" i="41" s="1"/>
  <c r="BP345" i="41"/>
  <c r="BP346" i="41" s="1"/>
  <c r="BN429" i="41"/>
  <c r="BM205" i="41"/>
  <c r="BQ205" i="41" s="1"/>
  <c r="CD182" i="41" s="1"/>
  <c r="BM204" i="41"/>
  <c r="BQ204" i="41" s="1"/>
  <c r="CD181" i="41" s="1"/>
  <c r="BM201" i="41"/>
  <c r="BM213" i="41" s="1"/>
  <c r="BQ202" i="41"/>
  <c r="CD179" i="41" s="1"/>
  <c r="BQ374" i="41"/>
  <c r="BQ282" i="41"/>
  <c r="BI354" i="41"/>
  <c r="BI102" i="41" s="1"/>
  <c r="BL369" i="41"/>
  <c r="BL371" i="41" s="1"/>
  <c r="BL345" i="41"/>
  <c r="BL346" i="41" s="1"/>
  <c r="BF299" i="41"/>
  <c r="BF300" i="41" s="1"/>
  <c r="BF101" i="41" s="1"/>
  <c r="AZ131" i="41"/>
  <c r="CH42" i="72"/>
  <c r="AH9" i="72" s="1"/>
  <c r="AW206" i="41"/>
  <c r="BZ184" i="41" s="1"/>
  <c r="BL53" i="3"/>
  <c r="BB53" i="3"/>
  <c r="AR53" i="3"/>
  <c r="AH53" i="3"/>
  <c r="AW53" i="3"/>
  <c r="AM53" i="3"/>
  <c r="BG322" i="41"/>
  <c r="BG146" i="41" s="1"/>
  <c r="AQ206" i="41"/>
  <c r="AQ207" i="41" s="1"/>
  <c r="BY184" i="41"/>
  <c r="AP193" i="41" s="1"/>
  <c r="AR207" i="41"/>
  <c r="BI371" i="41"/>
  <c r="AM152" i="41"/>
  <c r="BL429" i="41"/>
  <c r="BH429" i="41"/>
  <c r="AI193" i="41"/>
  <c r="AJ193" i="41"/>
  <c r="AY300" i="41"/>
  <c r="AY101" i="41" s="1"/>
  <c r="BC146" i="41"/>
  <c r="AM300" i="41"/>
  <c r="AE346" i="41"/>
  <c r="BB383" i="41"/>
  <c r="BB353" i="41" s="1"/>
  <c r="AM195" i="41"/>
  <c r="AL195" i="41" s="1"/>
  <c r="AL210" i="41" s="1"/>
  <c r="AL212" i="41" s="1"/>
  <c r="AL215" i="41" s="1"/>
  <c r="AL105" i="41" s="1"/>
  <c r="AL193" i="41"/>
  <c r="BF326" i="41"/>
  <c r="BX185" i="41"/>
  <c r="BX196" i="41" s="1"/>
  <c r="AX346" i="41"/>
  <c r="AK206" i="41"/>
  <c r="AJ206" i="41" s="1"/>
  <c r="Y254" i="41"/>
  <c r="AC254" i="41" s="1"/>
  <c r="AC326" i="41"/>
  <c r="AM147" i="41"/>
  <c r="BI251" i="41"/>
  <c r="AY254" i="41"/>
  <c r="AY106" i="41" s="1"/>
  <c r="BH346" i="41"/>
  <c r="BB299" i="41"/>
  <c r="BB251" i="41" s="1"/>
  <c r="AR346" i="41"/>
  <c r="BE346" i="41"/>
  <c r="BI300" i="41"/>
  <c r="BI101" i="41" s="1"/>
  <c r="DJ12" i="51"/>
  <c r="BI97" i="4"/>
  <c r="DD12" i="51"/>
  <c r="BC97" i="4"/>
  <c r="BL586" i="41"/>
  <c r="BB97" i="4"/>
  <c r="DK12" i="51"/>
  <c r="BJ97" i="4"/>
  <c r="DG12" i="51"/>
  <c r="BF97" i="4"/>
  <c r="BG586" i="41"/>
  <c r="DH46" i="51"/>
  <c r="DH10" i="51"/>
  <c r="DI12" i="51"/>
  <c r="BH97" i="4"/>
  <c r="DE12" i="51"/>
  <c r="BD97" i="4"/>
  <c r="DL12" i="51"/>
  <c r="BK97" i="4"/>
  <c r="DF12" i="51"/>
  <c r="BE97" i="4"/>
  <c r="BK299" i="41"/>
  <c r="BK326" i="41"/>
  <c r="BJ304" i="41"/>
  <c r="BJ153" i="41"/>
  <c r="BJ252" i="41"/>
  <c r="BE304" i="41"/>
  <c r="BE153" i="41"/>
  <c r="BE252" i="41"/>
  <c r="BF252" i="41"/>
  <c r="BF304" i="41"/>
  <c r="BF153" i="41"/>
  <c r="AH346" i="41"/>
  <c r="BB346" i="41"/>
  <c r="AM326" i="41"/>
  <c r="AV354" i="41"/>
  <c r="AV102" i="41" s="1"/>
  <c r="AX299" i="41"/>
  <c r="AX300" i="41" s="1"/>
  <c r="AX101" i="41" s="1"/>
  <c r="AE149" i="41"/>
  <c r="CC179" i="41"/>
  <c r="BL201" i="41"/>
  <c r="BI252" i="41"/>
  <c r="BI304" i="41"/>
  <c r="BI153" i="41"/>
  <c r="BK252" i="41"/>
  <c r="BK304" i="41"/>
  <c r="BK153" i="41"/>
  <c r="BJ299" i="41"/>
  <c r="BJ326" i="41"/>
  <c r="BE251" i="41"/>
  <c r="BE300" i="41"/>
  <c r="BE101" i="41" s="1"/>
  <c r="BI326" i="41"/>
  <c r="AD213" i="41"/>
  <c r="AH298" i="41"/>
  <c r="AN414" i="41"/>
  <c r="AN412" i="41"/>
  <c r="AN411" i="41"/>
  <c r="AO406" i="41"/>
  <c r="AR304" i="41"/>
  <c r="AR252" i="41"/>
  <c r="AR153" i="41"/>
  <c r="BD353" i="41"/>
  <c r="BD354" i="41" s="1"/>
  <c r="BD102" i="41" s="1"/>
  <c r="BD371" i="41"/>
  <c r="BC353" i="41"/>
  <c r="BC371" i="41"/>
  <c r="BC384" i="41"/>
  <c r="BC352" i="41"/>
  <c r="AW304" i="41"/>
  <c r="AW252" i="41"/>
  <c r="AW251" i="41"/>
  <c r="AY563" i="41"/>
  <c r="BE384" i="41"/>
  <c r="BE352" i="41"/>
  <c r="BE154" i="41"/>
  <c r="BE262" i="41"/>
  <c r="BE100" i="41" s="1"/>
  <c r="AK149" i="41"/>
  <c r="AK396" i="41"/>
  <c r="AK156" i="41"/>
  <c r="AK157" i="41" s="1"/>
  <c r="AK198" i="41" s="1"/>
  <c r="AN478" i="41"/>
  <c r="AN448" i="41"/>
  <c r="AN450" i="41" s="1"/>
  <c r="AN107" i="41" s="1"/>
  <c r="BC429" i="41"/>
  <c r="BG427" i="41"/>
  <c r="BG429" i="41" s="1"/>
  <c r="AH391" i="41"/>
  <c r="AH416" i="41"/>
  <c r="AM442" i="41"/>
  <c r="AM261" i="41"/>
  <c r="BG325" i="41"/>
  <c r="BF357" i="41"/>
  <c r="BF358" i="41" s="1"/>
  <c r="BF383" i="41"/>
  <c r="BG383" i="41" s="1"/>
  <c r="BG353" i="41" s="1"/>
  <c r="BF382" i="41"/>
  <c r="BG382" i="41" s="1"/>
  <c r="BK357" i="41"/>
  <c r="BK358" i="41" s="1"/>
  <c r="AM478" i="41"/>
  <c r="AM448" i="41"/>
  <c r="AM450" i="41" s="1"/>
  <c r="AM107" i="41" s="1"/>
  <c r="AH429" i="41"/>
  <c r="AH390" i="41"/>
  <c r="BB279" i="41"/>
  <c r="AW326" i="41"/>
  <c r="AX304" i="41"/>
  <c r="AX252" i="41"/>
  <c r="AX153" i="41"/>
  <c r="BL298" i="41"/>
  <c r="AE299" i="41"/>
  <c r="AE251" i="41" s="1"/>
  <c r="AH325" i="41"/>
  <c r="AH299" i="41" s="1"/>
  <c r="AO251" i="41"/>
  <c r="AO254" i="41" s="1"/>
  <c r="AO106" i="41" s="1"/>
  <c r="AO300" i="41"/>
  <c r="AO101" i="41" s="1"/>
  <c r="AR299" i="41"/>
  <c r="AR251" i="41" s="1"/>
  <c r="AN441" i="41"/>
  <c r="AN440" i="41"/>
  <c r="BI261" i="41"/>
  <c r="BI279" i="41"/>
  <c r="AF193" i="41"/>
  <c r="AD193" i="41"/>
  <c r="AG193" i="41"/>
  <c r="AE193" i="41"/>
  <c r="AH195" i="41"/>
  <c r="BC326" i="41"/>
  <c r="BG324" i="41"/>
  <c r="BC298" i="41"/>
  <c r="BL325" i="41"/>
  <c r="BH299" i="41"/>
  <c r="BH251" i="41" s="1"/>
  <c r="BH304" i="41"/>
  <c r="BH252" i="41"/>
  <c r="BH153" i="41"/>
  <c r="BB326" i="41"/>
  <c r="BB298" i="41"/>
  <c r="BD622" i="41"/>
  <c r="BD261" i="41"/>
  <c r="BD279" i="41"/>
  <c r="AK416" i="41"/>
  <c r="AR326" i="41"/>
  <c r="AR298" i="41"/>
  <c r="AQ473" i="41"/>
  <c r="AH396" i="41"/>
  <c r="AH156" i="41"/>
  <c r="BB352" i="41"/>
  <c r="AI300" i="41"/>
  <c r="AI101" i="41" s="1"/>
  <c r="AM304" i="41"/>
  <c r="AM252" i="41"/>
  <c r="AM153" i="41"/>
  <c r="AM251" i="41"/>
  <c r="BC154" i="41"/>
  <c r="BA384" i="41"/>
  <c r="BA352" i="41"/>
  <c r="BA354" i="41" s="1"/>
  <c r="BA102" i="41" s="1"/>
  <c r="Y300" i="41"/>
  <c r="Y101" i="41" s="1"/>
  <c r="AZ354" i="41"/>
  <c r="AZ102" i="41" s="1"/>
  <c r="AY262" i="41"/>
  <c r="AY100" i="41" s="1"/>
  <c r="BB304" i="41"/>
  <c r="BB252" i="41"/>
  <c r="BB153" i="41"/>
  <c r="BF371" i="41"/>
  <c r="BE353" i="41"/>
  <c r="BE371" i="41"/>
  <c r="BJ262" i="41"/>
  <c r="BJ100" i="41" s="1"/>
  <c r="BG342" i="41"/>
  <c r="BC345" i="41"/>
  <c r="BG345" i="41" s="1"/>
  <c r="AH102" i="41"/>
  <c r="AC392" i="41"/>
  <c r="AM396" i="41"/>
  <c r="AM156" i="41"/>
  <c r="AN454" i="41"/>
  <c r="AN155" i="41"/>
  <c r="AN148" i="41"/>
  <c r="BG344" i="41"/>
  <c r="BC303" i="41"/>
  <c r="BH383" i="41"/>
  <c r="BH357" i="41"/>
  <c r="BH358" i="41" s="1"/>
  <c r="BH382" i="41"/>
  <c r="AC304" i="41"/>
  <c r="AC252" i="41"/>
  <c r="AC153" i="41"/>
  <c r="AC157" i="41" s="1"/>
  <c r="AC251" i="41"/>
  <c r="AC300" i="41"/>
  <c r="AM454" i="41"/>
  <c r="AM155" i="41"/>
  <c r="AM148" i="41"/>
  <c r="AD392" i="41"/>
  <c r="AD103" i="41" s="1"/>
  <c r="AH103" i="41" s="1"/>
  <c r="AX262" i="41"/>
  <c r="AX100" i="41" s="1"/>
  <c r="Z108" i="41"/>
  <c r="AW300" i="41"/>
  <c r="BH326" i="41"/>
  <c r="AN346" i="41"/>
  <c r="AH303" i="41"/>
  <c r="AH146" i="41"/>
  <c r="AH149" i="41" s="1"/>
  <c r="AE304" i="41"/>
  <c r="AE252" i="41"/>
  <c r="AE153" i="41"/>
  <c r="AE157" i="41" s="1"/>
  <c r="AE198" i="41" s="1"/>
  <c r="AL390" i="41"/>
  <c r="AL395" i="41"/>
  <c r="AL415" i="41"/>
  <c r="AL416" i="41" s="1"/>
  <c r="AL147" i="41"/>
  <c r="AL149" i="41" s="1"/>
  <c r="AN299" i="41"/>
  <c r="AN300" i="41" s="1"/>
  <c r="AN101" i="41" s="1"/>
  <c r="AO438" i="41"/>
  <c r="BB154" i="41"/>
  <c r="BL278" i="41"/>
  <c r="BH261" i="41"/>
  <c r="BH279" i="41"/>
  <c r="BJ352" i="41"/>
  <c r="BJ154" i="41"/>
  <c r="BL303" i="41"/>
  <c r="BL146" i="41"/>
  <c r="BC261" i="41"/>
  <c r="BG278" i="41"/>
  <c r="BC279" i="41"/>
  <c r="AK392" i="41"/>
  <c r="AK103" i="41" s="1"/>
  <c r="AR102" i="41"/>
  <c r="AI254" i="41"/>
  <c r="BG380" i="41"/>
  <c r="BG357" i="41" s="1"/>
  <c r="BG358" i="41" s="1"/>
  <c r="BA154" i="41"/>
  <c r="BD300" i="41"/>
  <c r="BD101" i="41" s="1"/>
  <c r="AI88" i="40"/>
  <c r="AI110" i="4"/>
  <c r="AI108" i="4" s="1"/>
  <c r="AM211" i="39"/>
  <c r="AR95" i="40"/>
  <c r="AK95" i="40"/>
  <c r="AK100" i="40" s="1"/>
  <c r="AJ87" i="40"/>
  <c r="AN208" i="39"/>
  <c r="AM88" i="40"/>
  <c r="AM110" i="4"/>
  <c r="AM108" i="4" s="1"/>
  <c r="AM103" i="40"/>
  <c r="AM110" i="40"/>
  <c r="AM59" i="40" s="1"/>
  <c r="AM44" i="61" s="1"/>
  <c r="AI109" i="40"/>
  <c r="AH58" i="40"/>
  <c r="AZ122" i="39"/>
  <c r="AX174" i="39"/>
  <c r="AX187" i="4"/>
  <c r="DG152" i="4"/>
  <c r="DH150" i="4"/>
  <c r="DH152" i="4" s="1"/>
  <c r="DI150" i="4" s="1"/>
  <c r="DI152" i="4" s="1"/>
  <c r="AM57" i="61" l="1"/>
  <c r="AM59" i="61" s="1"/>
  <c r="AM61" i="61" s="1"/>
  <c r="AM66" i="61" s="1"/>
  <c r="CL22" i="61"/>
  <c r="CB22" i="61"/>
  <c r="AW102" i="41"/>
  <c r="AO476" i="41"/>
  <c r="AO478" i="41" s="1"/>
  <c r="BJ354" i="41"/>
  <c r="BJ102" i="41" s="1"/>
  <c r="BL380" i="41"/>
  <c r="BL357" i="41" s="1"/>
  <c r="BL358" i="41" s="1"/>
  <c r="BK383" i="41"/>
  <c r="BK353" i="41" s="1"/>
  <c r="BJ384" i="41"/>
  <c r="BQ292" i="41"/>
  <c r="AP148" i="41"/>
  <c r="AP454" i="41"/>
  <c r="AT77" i="40"/>
  <c r="AS76" i="40"/>
  <c r="DQ150" i="4"/>
  <c r="DP152" i="4"/>
  <c r="AS152" i="4"/>
  <c r="AT150" i="4" s="1"/>
  <c r="AT152" i="4" s="1"/>
  <c r="AU150" i="4" s="1"/>
  <c r="AU152" i="4" s="1"/>
  <c r="AP442" i="41"/>
  <c r="BA461" i="41"/>
  <c r="AZ462" i="41"/>
  <c r="BO358" i="41"/>
  <c r="BO154" i="41"/>
  <c r="BQ278" i="41"/>
  <c r="BQ279" i="41" s="1"/>
  <c r="BM261" i="41"/>
  <c r="BM262" i="41" s="1"/>
  <c r="BM100" i="41" s="1"/>
  <c r="BO384" i="41"/>
  <c r="AP395" i="41"/>
  <c r="AP415" i="41"/>
  <c r="AP391" i="41" s="1"/>
  <c r="AP147" i="41"/>
  <c r="AP149" i="41" s="1"/>
  <c r="AP390" i="41"/>
  <c r="BQ380" i="41"/>
  <c r="BQ357" i="41" s="1"/>
  <c r="BM383" i="41"/>
  <c r="BM384" i="41" s="1"/>
  <c r="BM357" i="41"/>
  <c r="BN261" i="41"/>
  <c r="BN262" i="41" s="1"/>
  <c r="BN100" i="41" s="1"/>
  <c r="BN279" i="41"/>
  <c r="BP383" i="41"/>
  <c r="BP353" i="41" s="1"/>
  <c r="BP357" i="41"/>
  <c r="BP382" i="41"/>
  <c r="BP352" i="41" s="1"/>
  <c r="BF251" i="41"/>
  <c r="BF254" i="41" s="1"/>
  <c r="BF106" i="41" s="1"/>
  <c r="DR244" i="51"/>
  <c r="BQ139" i="39" s="1"/>
  <c r="DM10" i="51"/>
  <c r="BL97" i="4" s="1"/>
  <c r="DM46" i="51"/>
  <c r="DM150" i="4"/>
  <c r="DM152" i="4" s="1"/>
  <c r="DN150" i="4" s="1"/>
  <c r="DN152" i="4" s="1"/>
  <c r="DL152" i="4"/>
  <c r="BD254" i="41"/>
  <c r="BD106" i="41" s="1"/>
  <c r="DR46" i="51"/>
  <c r="BQ213" i="41"/>
  <c r="BN254" i="41"/>
  <c r="BN131" i="41" s="1"/>
  <c r="BM352" i="41"/>
  <c r="BN300" i="41"/>
  <c r="BN101" i="41" s="1"/>
  <c r="BO371" i="41"/>
  <c r="BO352" i="41"/>
  <c r="BO354" i="41" s="1"/>
  <c r="BO102" i="41" s="1"/>
  <c r="BQ201" i="41"/>
  <c r="BQ336" i="41"/>
  <c r="BM342" i="41"/>
  <c r="BM341" i="41"/>
  <c r="BQ341" i="41" s="1"/>
  <c r="BM344" i="41"/>
  <c r="BN371" i="41"/>
  <c r="BN352" i="41"/>
  <c r="BN354" i="41" s="1"/>
  <c r="BN102" i="41" s="1"/>
  <c r="BQ425" i="41"/>
  <c r="BM428" i="41"/>
  <c r="BM427" i="41"/>
  <c r="BP304" i="41"/>
  <c r="BP153" i="41"/>
  <c r="BP252" i="41"/>
  <c r="BO299" i="41"/>
  <c r="BO326" i="41"/>
  <c r="BP371" i="41"/>
  <c r="BQ316" i="41"/>
  <c r="BM321" i="41"/>
  <c r="BQ321" i="41" s="1"/>
  <c r="BM322" i="41"/>
  <c r="BM325" i="41" s="1"/>
  <c r="BM324" i="41"/>
  <c r="BQ369" i="41"/>
  <c r="BQ260" i="41"/>
  <c r="BP299" i="41"/>
  <c r="BP300" i="41" s="1"/>
  <c r="BP101" i="41" s="1"/>
  <c r="BO153" i="41"/>
  <c r="BO304" i="41"/>
  <c r="BO252" i="41"/>
  <c r="BL299" i="41"/>
  <c r="BL251" i="41" s="1"/>
  <c r="AK207" i="41"/>
  <c r="AY131" i="41"/>
  <c r="BB206" i="41"/>
  <c r="BA206" i="41" s="1"/>
  <c r="BA207" i="41" s="1"/>
  <c r="BZ193" i="41"/>
  <c r="AW193" i="41" s="1"/>
  <c r="BZ178" i="41"/>
  <c r="AW207" i="41"/>
  <c r="AV206" i="41"/>
  <c r="AU206" i="41" s="1"/>
  <c r="AU207" i="41" s="1"/>
  <c r="BY192" i="41"/>
  <c r="AO203" i="39"/>
  <c r="AO208" i="39" s="1"/>
  <c r="AP203" i="39" s="1"/>
  <c r="AP208" i="39" s="1"/>
  <c r="AP206" i="41"/>
  <c r="AP207" i="41" s="1"/>
  <c r="AN193" i="41"/>
  <c r="AR195" i="41"/>
  <c r="AP195" i="41" s="1"/>
  <c r="AQ193" i="41"/>
  <c r="BY185" i="41"/>
  <c r="AO193" i="41"/>
  <c r="BF353" i="41"/>
  <c r="AM149" i="41"/>
  <c r="BB101" i="41"/>
  <c r="AM210" i="41"/>
  <c r="BB354" i="41"/>
  <c r="BB384" i="41"/>
  <c r="AH392" i="41"/>
  <c r="AK195" i="41"/>
  <c r="AJ195" i="41"/>
  <c r="AI195" i="41"/>
  <c r="AW254" i="41"/>
  <c r="Y106" i="41"/>
  <c r="AC106" i="41" s="1"/>
  <c r="BI254" i="41"/>
  <c r="BI106" i="41" s="1"/>
  <c r="BB102" i="41"/>
  <c r="BH300" i="41"/>
  <c r="BH101" i="41" s="1"/>
  <c r="AX251" i="41"/>
  <c r="AX254" i="41" s="1"/>
  <c r="BB254" i="41" s="1"/>
  <c r="BB300" i="41"/>
  <c r="AR300" i="41"/>
  <c r="BC354" i="41"/>
  <c r="BC102" i="41" s="1"/>
  <c r="BC346" i="41"/>
  <c r="BG97" i="4"/>
  <c r="BJ251" i="41"/>
  <c r="BJ254" i="41" s="1"/>
  <c r="BJ106" i="41" s="1"/>
  <c r="BJ300" i="41"/>
  <c r="BJ101" i="41" s="1"/>
  <c r="BK251" i="41"/>
  <c r="BK254" i="41" s="1"/>
  <c r="BK106" i="41" s="1"/>
  <c r="BK300" i="41"/>
  <c r="BK101" i="41" s="1"/>
  <c r="AE199" i="41"/>
  <c r="AE213" i="41" s="1"/>
  <c r="AH213" i="41" s="1"/>
  <c r="AM157" i="41"/>
  <c r="AM198" i="41" s="1"/>
  <c r="BG346" i="41"/>
  <c r="AE300" i="41"/>
  <c r="AE101" i="41" s="1"/>
  <c r="AH101" i="41" s="1"/>
  <c r="BE254" i="41"/>
  <c r="BE106" i="41" s="1"/>
  <c r="BG384" i="41"/>
  <c r="BG352" i="41"/>
  <c r="BG354" i="41" s="1"/>
  <c r="BG279" i="41"/>
  <c r="BL304" i="41"/>
  <c r="BL252" i="41"/>
  <c r="BL153" i="41"/>
  <c r="BL279" i="41"/>
  <c r="AO441" i="41"/>
  <c r="AO440" i="41"/>
  <c r="AL396" i="41"/>
  <c r="AL156" i="41"/>
  <c r="AL157" i="41" s="1"/>
  <c r="AL198" i="41" s="1"/>
  <c r="BB100" i="41"/>
  <c r="BH384" i="41"/>
  <c r="BL382" i="41"/>
  <c r="BH352" i="41"/>
  <c r="BH353" i="41"/>
  <c r="BC304" i="41"/>
  <c r="BC252" i="41"/>
  <c r="BC153" i="41"/>
  <c r="AC101" i="41"/>
  <c r="AQ474" i="41"/>
  <c r="AR474" i="41" s="1"/>
  <c r="AR473" i="41"/>
  <c r="AS473" i="41" s="1"/>
  <c r="AS474" i="41" s="1"/>
  <c r="BD262" i="41"/>
  <c r="BD100" i="41" s="1"/>
  <c r="BG326" i="41"/>
  <c r="BG298" i="41"/>
  <c r="AH210" i="41"/>
  <c r="AF195" i="41"/>
  <c r="AF210" i="41" s="1"/>
  <c r="AF215" i="41" s="1"/>
  <c r="AD195" i="41"/>
  <c r="AD210" i="41" s="1"/>
  <c r="AD215" i="41" s="1"/>
  <c r="AD105" i="41" s="1"/>
  <c r="AG195" i="41"/>
  <c r="AG210" i="41" s="1"/>
  <c r="AG215" i="41" s="1"/>
  <c r="AE195" i="41"/>
  <c r="AE210" i="41" s="1"/>
  <c r="AE215" i="41" s="1"/>
  <c r="AE105" i="41" s="1"/>
  <c r="AI206" i="41"/>
  <c r="AI207" i="41" s="1"/>
  <c r="AJ207" i="41"/>
  <c r="AE254" i="41"/>
  <c r="BL326" i="41"/>
  <c r="BK352" i="41"/>
  <c r="BK154" i="41"/>
  <c r="BC299" i="41"/>
  <c r="BC251" i="41" s="1"/>
  <c r="AZ563" i="41"/>
  <c r="AQ405" i="41"/>
  <c r="AN395" i="41"/>
  <c r="AN415" i="41"/>
  <c r="AN416" i="41" s="1"/>
  <c r="AN147" i="41"/>
  <c r="AN149" i="41" s="1"/>
  <c r="AH326" i="41"/>
  <c r="BG154" i="41"/>
  <c r="AM254" i="41"/>
  <c r="AI106" i="41"/>
  <c r="AM106" i="41" s="1"/>
  <c r="AO454" i="41"/>
  <c r="AO155" i="41"/>
  <c r="AO148" i="41"/>
  <c r="AR101" i="41"/>
  <c r="BC262" i="41"/>
  <c r="BC100" i="41" s="1"/>
  <c r="BH262" i="41"/>
  <c r="BH100" i="41" s="1"/>
  <c r="AQ437" i="41"/>
  <c r="AQ438" i="41" s="1"/>
  <c r="AN251" i="41"/>
  <c r="AN254" i="41" s="1"/>
  <c r="AL391" i="41"/>
  <c r="AL392" i="41" s="1"/>
  <c r="AL103" i="41" s="1"/>
  <c r="AL108" i="41" s="1"/>
  <c r="AM415" i="41"/>
  <c r="AH304" i="41"/>
  <c r="AH252" i="41"/>
  <c r="AH153" i="41"/>
  <c r="AH157" i="41" s="1"/>
  <c r="AH198" i="41" s="1"/>
  <c r="BH154" i="41"/>
  <c r="AM101" i="41"/>
  <c r="BE622" i="41"/>
  <c r="BH254" i="41"/>
  <c r="BH131" i="41" s="1"/>
  <c r="BI262" i="41"/>
  <c r="BI100" i="41" s="1"/>
  <c r="AN442" i="41"/>
  <c r="AH251" i="41"/>
  <c r="BF384" i="41"/>
  <c r="BF352" i="41"/>
  <c r="BF154" i="41"/>
  <c r="BG303" i="41"/>
  <c r="BG299" i="41"/>
  <c r="AM217" i="4"/>
  <c r="AM633" i="41"/>
  <c r="AM262" i="41"/>
  <c r="BE354" i="41"/>
  <c r="BE102" i="41" s="1"/>
  <c r="AO411" i="41"/>
  <c r="AO414" i="41"/>
  <c r="AO412" i="41"/>
  <c r="AN390" i="41"/>
  <c r="AH300" i="41"/>
  <c r="AN97" i="40"/>
  <c r="AL95" i="40"/>
  <c r="AL100" i="40" s="1"/>
  <c r="AL87" i="40" s="1"/>
  <c r="AL88" i="40" s="1"/>
  <c r="AK87" i="40"/>
  <c r="AJ109" i="40"/>
  <c r="AJ58" i="40" s="1"/>
  <c r="AI58" i="40"/>
  <c r="AM114" i="4"/>
  <c r="AM111" i="4"/>
  <c r="AM115" i="4" s="1"/>
  <c r="AJ110" i="4"/>
  <c r="AJ108" i="4" s="1"/>
  <c r="AJ88" i="40"/>
  <c r="AI114" i="4"/>
  <c r="AI111" i="4"/>
  <c r="AI115" i="4" s="1"/>
  <c r="AN187" i="39"/>
  <c r="AY174" i="39"/>
  <c r="BA122" i="39"/>
  <c r="AY187" i="4"/>
  <c r="AT76" i="40" l="1"/>
  <c r="AU77" i="40"/>
  <c r="DQ152" i="4"/>
  <c r="DR150" i="4"/>
  <c r="DR152" i="4" s="1"/>
  <c r="AS193" i="41"/>
  <c r="AU193" i="41"/>
  <c r="AU212" i="41" s="1"/>
  <c r="AO448" i="41"/>
  <c r="AO450" i="41" s="1"/>
  <c r="AO107" i="41" s="1"/>
  <c r="BL154" i="41"/>
  <c r="BK354" i="41"/>
  <c r="BK102" i="41" s="1"/>
  <c r="BK384" i="41"/>
  <c r="BL383" i="41"/>
  <c r="BL353" i="41" s="1"/>
  <c r="AS476" i="41"/>
  <c r="AS453" i="41"/>
  <c r="AZ464" i="41"/>
  <c r="AZ466" i="41" s="1"/>
  <c r="BB461" i="41"/>
  <c r="BC461" i="41" s="1"/>
  <c r="BA462" i="41"/>
  <c r="BA464" i="41" s="1"/>
  <c r="BA466" i="41" s="1"/>
  <c r="BP354" i="41"/>
  <c r="BP102" i="41" s="1"/>
  <c r="BQ100" i="41"/>
  <c r="BP358" i="41"/>
  <c r="BP154" i="41"/>
  <c r="AP416" i="41"/>
  <c r="AP156" i="41"/>
  <c r="AP157" i="41" s="1"/>
  <c r="AP396" i="41"/>
  <c r="BM358" i="41"/>
  <c r="BM154" i="41"/>
  <c r="AP392" i="41"/>
  <c r="AP103" i="41" s="1"/>
  <c r="BQ383" i="41"/>
  <c r="BQ353" i="41" s="1"/>
  <c r="BM353" i="41"/>
  <c r="BM354" i="41" s="1"/>
  <c r="BM102" i="41" s="1"/>
  <c r="BP384" i="41"/>
  <c r="BQ382" i="41"/>
  <c r="BQ358" i="41"/>
  <c r="BQ154" i="41"/>
  <c r="BD131" i="41"/>
  <c r="DR10" i="51"/>
  <c r="BQ97" i="4" s="1"/>
  <c r="BN106" i="41"/>
  <c r="BL300" i="41"/>
  <c r="BP251" i="41"/>
  <c r="BP254" i="41" s="1"/>
  <c r="BQ322" i="41"/>
  <c r="BM146" i="41"/>
  <c r="BM303" i="41"/>
  <c r="BO251" i="41"/>
  <c r="BO254" i="41" s="1"/>
  <c r="BO106" i="41" s="1"/>
  <c r="BO300" i="41"/>
  <c r="BO101" i="41" s="1"/>
  <c r="BQ427" i="41"/>
  <c r="BM429" i="41"/>
  <c r="BQ344" i="41"/>
  <c r="BQ342" i="41"/>
  <c r="BM345" i="41"/>
  <c r="BQ345" i="41" s="1"/>
  <c r="BQ371" i="41"/>
  <c r="BM326" i="41"/>
  <c r="BM298" i="41"/>
  <c r="BQ324" i="41"/>
  <c r="BQ428" i="41"/>
  <c r="AK210" i="41"/>
  <c r="AK212" i="41" s="1"/>
  <c r="AK215" i="41" s="1"/>
  <c r="AK105" i="41" s="1"/>
  <c r="AK108" i="41" s="1"/>
  <c r="BJ131" i="41"/>
  <c r="BK131" i="41"/>
  <c r="BE131" i="41"/>
  <c r="BF131" i="41"/>
  <c r="BI131" i="41"/>
  <c r="AX131" i="41"/>
  <c r="BB131" i="41" s="1"/>
  <c r="CA184" i="41"/>
  <c r="CA178" i="41" s="1"/>
  <c r="AM218" i="4"/>
  <c r="AZ206" i="41"/>
  <c r="AY206" i="41" s="1"/>
  <c r="AY207" i="41" s="1"/>
  <c r="BG206" i="41"/>
  <c r="BF206" i="41" s="1"/>
  <c r="BE206" i="41" s="1"/>
  <c r="BE207" i="41" s="1"/>
  <c r="BB207" i="41"/>
  <c r="AV207" i="41"/>
  <c r="AO206" i="41"/>
  <c r="AN206" i="41" s="1"/>
  <c r="AN207" i="41" s="1"/>
  <c r="AN210" i="41" s="1"/>
  <c r="AN212" i="41" s="1"/>
  <c r="BY196" i="41"/>
  <c r="AT206" i="41"/>
  <c r="AS206" i="41" s="1"/>
  <c r="AS207" i="41" s="1"/>
  <c r="AS210" i="41" s="1"/>
  <c r="AS212" i="41" s="1"/>
  <c r="AS215" i="41" s="1"/>
  <c r="AV193" i="41"/>
  <c r="AW195" i="41"/>
  <c r="AT193" i="41"/>
  <c r="AR210" i="41"/>
  <c r="AQ195" i="41"/>
  <c r="AQ210" i="41" s="1"/>
  <c r="AQ212" i="41" s="1"/>
  <c r="AQ215" i="41" s="1"/>
  <c r="AQ105" i="41" s="1"/>
  <c r="Y108" i="41"/>
  <c r="BF354" i="41"/>
  <c r="BF102" i="41" s="1"/>
  <c r="BG102" i="41" s="1"/>
  <c r="AC108" i="41"/>
  <c r="AC110" i="41" s="1"/>
  <c r="AI210" i="41"/>
  <c r="AI212" i="41" s="1"/>
  <c r="AI215" i="41" s="1"/>
  <c r="AI105" i="41" s="1"/>
  <c r="AR438" i="41"/>
  <c r="AJ210" i="41"/>
  <c r="AJ212" i="41" s="1"/>
  <c r="AJ215" i="41" s="1"/>
  <c r="AJ105" i="41" s="1"/>
  <c r="AJ108" i="41" s="1"/>
  <c r="AO442" i="41"/>
  <c r="AH199" i="41"/>
  <c r="AD212" i="41"/>
  <c r="AR437" i="41"/>
  <c r="AS437" i="41" s="1"/>
  <c r="AS438" i="41" s="1"/>
  <c r="AX106" i="41"/>
  <c r="BB106" i="41" s="1"/>
  <c r="AM109" i="40"/>
  <c r="AM45" i="61" s="1"/>
  <c r="BC300" i="41"/>
  <c r="BC101" i="41" s="1"/>
  <c r="BG101" i="41" s="1"/>
  <c r="BC254" i="41"/>
  <c r="BC106" i="41" s="1"/>
  <c r="BG106" i="41" s="1"/>
  <c r="AP210" i="41"/>
  <c r="AP212" i="41" s="1"/>
  <c r="AP215" i="41" s="1"/>
  <c r="AP105" i="41" s="1"/>
  <c r="BL101" i="41"/>
  <c r="AO395" i="41"/>
  <c r="AO415" i="41"/>
  <c r="AO391" i="41" s="1"/>
  <c r="AO147" i="41"/>
  <c r="AO149" i="41" s="1"/>
  <c r="AM234" i="4"/>
  <c r="DE27" i="3" s="1"/>
  <c r="BG304" i="41"/>
  <c r="BG252" i="41"/>
  <c r="BG153" i="41"/>
  <c r="BL254" i="41"/>
  <c r="BH106" i="41"/>
  <c r="BL106" i="41" s="1"/>
  <c r="AM391" i="41"/>
  <c r="AM392" i="41" s="1"/>
  <c r="AM416" i="41"/>
  <c r="AQ441" i="41"/>
  <c r="AQ440" i="41"/>
  <c r="BL100" i="41"/>
  <c r="AN396" i="41"/>
  <c r="AN156" i="41"/>
  <c r="AN157" i="41" s="1"/>
  <c r="AN198" i="41" s="1"/>
  <c r="AD108" i="41"/>
  <c r="AQ476" i="41"/>
  <c r="AQ453" i="41"/>
  <c r="BL352" i="41"/>
  <c r="AM103" i="41"/>
  <c r="AE212" i="41"/>
  <c r="AI112" i="4"/>
  <c r="AO390" i="41"/>
  <c r="AM646" i="41"/>
  <c r="AM643" i="41"/>
  <c r="BG251" i="41"/>
  <c r="BF622" i="41"/>
  <c r="AR476" i="41"/>
  <c r="AR453" i="41"/>
  <c r="AR254" i="41"/>
  <c r="AN106" i="41"/>
  <c r="AR106" i="41" s="1"/>
  <c r="BG100" i="41"/>
  <c r="AN391" i="41"/>
  <c r="AQ406" i="41"/>
  <c r="AR405" i="41"/>
  <c r="AS405" i="41" s="1"/>
  <c r="AS406" i="41" s="1"/>
  <c r="BA563" i="41"/>
  <c r="AE106" i="41"/>
  <c r="AH254" i="41"/>
  <c r="AG105" i="41"/>
  <c r="AG108" i="41" s="1"/>
  <c r="AG212" i="41"/>
  <c r="AF105" i="41"/>
  <c r="AF108" i="41" s="1"/>
  <c r="AF212" i="41"/>
  <c r="BG300" i="41"/>
  <c r="AT473" i="41"/>
  <c r="BH354" i="41"/>
  <c r="BH102" i="41" s="1"/>
  <c r="AJ114" i="4"/>
  <c r="AJ111" i="4"/>
  <c r="AL110" i="4"/>
  <c r="AL108" i="4" s="1"/>
  <c r="AM112" i="4"/>
  <c r="AK88" i="40"/>
  <c r="AK110" i="4"/>
  <c r="AK108" i="4" s="1"/>
  <c r="AN100" i="40"/>
  <c r="BB122" i="39"/>
  <c r="BC122" i="39" s="1"/>
  <c r="AZ174" i="39"/>
  <c r="AZ187" i="4"/>
  <c r="AV77" i="40" l="1"/>
  <c r="AV76" i="40" s="1"/>
  <c r="AW76" i="40" s="1"/>
  <c r="AW77" i="40" s="1"/>
  <c r="AU76" i="40"/>
  <c r="AX76" i="40"/>
  <c r="AY76" i="40" s="1"/>
  <c r="AZ76" i="40" s="1"/>
  <c r="BA76" i="40" s="1"/>
  <c r="BB76" i="40" s="1"/>
  <c r="BC76" i="40" s="1"/>
  <c r="BD76" i="40" s="1"/>
  <c r="BE76" i="40" s="1"/>
  <c r="BF76" i="40" s="1"/>
  <c r="BG76" i="40" s="1"/>
  <c r="BH76" i="40" s="1"/>
  <c r="BI76" i="40" s="1"/>
  <c r="BJ76" i="40" s="1"/>
  <c r="BK76" i="40" s="1"/>
  <c r="BL76" i="40" s="1"/>
  <c r="BM76" i="40" s="1"/>
  <c r="BN76" i="40" s="1"/>
  <c r="BO76" i="40" s="1"/>
  <c r="BP76" i="40" s="1"/>
  <c r="BQ76" i="40" s="1"/>
  <c r="AU210" i="41"/>
  <c r="AU215" i="41"/>
  <c r="BL354" i="41"/>
  <c r="BL102" i="41"/>
  <c r="BL384" i="41"/>
  <c r="BQ384" i="41"/>
  <c r="BB462" i="41"/>
  <c r="BB464" i="41" s="1"/>
  <c r="BB466" i="41" s="1"/>
  <c r="AS441" i="41"/>
  <c r="AS440" i="41"/>
  <c r="AS454" i="41"/>
  <c r="AS155" i="41"/>
  <c r="AS148" i="41"/>
  <c r="AS411" i="41"/>
  <c r="AS414" i="41"/>
  <c r="AS412" i="41"/>
  <c r="BD461" i="41"/>
  <c r="BC462" i="41"/>
  <c r="AS478" i="41"/>
  <c r="AS448" i="41"/>
  <c r="AS450" i="41" s="1"/>
  <c r="AS107" i="41" s="1"/>
  <c r="BQ102" i="41"/>
  <c r="AP108" i="41"/>
  <c r="BQ352" i="41"/>
  <c r="BQ354" i="41" s="1"/>
  <c r="AV212" i="41"/>
  <c r="BM299" i="41"/>
  <c r="BM251" i="41" s="1"/>
  <c r="BM346" i="41"/>
  <c r="BQ429" i="41"/>
  <c r="BM153" i="41"/>
  <c r="BM304" i="41"/>
  <c r="BM252" i="41"/>
  <c r="BQ146" i="41"/>
  <c r="BQ303" i="41"/>
  <c r="BP131" i="41"/>
  <c r="BP106" i="41"/>
  <c r="BQ298" i="41"/>
  <c r="BQ346" i="41"/>
  <c r="BQ325" i="41"/>
  <c r="BQ299" i="41" s="1"/>
  <c r="BO131" i="41"/>
  <c r="AM58" i="40"/>
  <c r="BL131" i="41"/>
  <c r="BC131" i="41"/>
  <c r="BG131" i="41" s="1"/>
  <c r="BD206" i="41"/>
  <c r="BD207" i="41" s="1"/>
  <c r="CA193" i="41"/>
  <c r="BB193" i="41" s="1"/>
  <c r="AY193" i="41" s="1"/>
  <c r="AY212" i="41" s="1"/>
  <c r="AX206" i="41"/>
  <c r="AX207" i="41" s="1"/>
  <c r="BF207" i="41"/>
  <c r="CB184" i="41"/>
  <c r="CB193" i="41" s="1"/>
  <c r="BG193" i="41" s="1"/>
  <c r="BF193" i="41" s="1"/>
  <c r="BG207" i="41"/>
  <c r="AT207" i="41"/>
  <c r="AT212" i="41" s="1"/>
  <c r="BL206" i="41"/>
  <c r="CC184" i="41" s="1"/>
  <c r="AO207" i="41"/>
  <c r="AO210" i="41" s="1"/>
  <c r="AO212" i="41" s="1"/>
  <c r="AO215" i="41" s="1"/>
  <c r="AO105" i="41" s="1"/>
  <c r="AZ207" i="41"/>
  <c r="AT195" i="41"/>
  <c r="AU195" i="41"/>
  <c r="AV195" i="41"/>
  <c r="AN87" i="40"/>
  <c r="AN88" i="40" s="1"/>
  <c r="AO95" i="40"/>
  <c r="AO100" i="40" s="1"/>
  <c r="AP95" i="40" s="1"/>
  <c r="AP100" i="40" s="1"/>
  <c r="AP87" i="40" s="1"/>
  <c r="AP88" i="40" s="1"/>
  <c r="AR265" i="41"/>
  <c r="AR152" i="41" s="1"/>
  <c r="AM212" i="41"/>
  <c r="AM215" i="41" s="1"/>
  <c r="BG254" i="41"/>
  <c r="AO416" i="41"/>
  <c r="AH212" i="41"/>
  <c r="AH215" i="41" s="1"/>
  <c r="AR441" i="41"/>
  <c r="AQ442" i="41"/>
  <c r="AO392" i="41"/>
  <c r="AO103" i="41" s="1"/>
  <c r="AH106" i="41"/>
  <c r="AE108" i="41"/>
  <c r="BB563" i="41"/>
  <c r="BC563" i="41" s="1"/>
  <c r="AQ412" i="41"/>
  <c r="AQ411" i="41"/>
  <c r="AR411" i="41" s="1"/>
  <c r="AQ414" i="41"/>
  <c r="AR414" i="41" s="1"/>
  <c r="AR440" i="41"/>
  <c r="AR454" i="41"/>
  <c r="AR155" i="41"/>
  <c r="AR148" i="41"/>
  <c r="AQ454" i="41"/>
  <c r="AQ155" i="41"/>
  <c r="AQ148" i="41"/>
  <c r="AR406" i="41"/>
  <c r="AO396" i="41"/>
  <c r="AO156" i="41"/>
  <c r="AO157" i="41" s="1"/>
  <c r="AO198" i="41" s="1"/>
  <c r="AT474" i="41"/>
  <c r="AT405" i="41"/>
  <c r="AR478" i="41"/>
  <c r="AR448" i="41"/>
  <c r="AR450" i="41" s="1"/>
  <c r="AR107" i="41" s="1"/>
  <c r="BH622" i="41"/>
  <c r="BG622" i="41"/>
  <c r="AQ478" i="41"/>
  <c r="AQ448" i="41"/>
  <c r="AQ450" i="41" s="1"/>
  <c r="AQ107" i="41" s="1"/>
  <c r="AH105" i="41"/>
  <c r="AT437" i="41"/>
  <c r="AN392" i="41"/>
  <c r="AN103" i="41" s="1"/>
  <c r="AM105" i="41"/>
  <c r="AM108" i="41" s="1"/>
  <c r="AM110" i="41" s="1"/>
  <c r="AI108" i="41"/>
  <c r="AL111" i="4"/>
  <c r="AL115" i="4" s="1"/>
  <c r="AL114" i="4"/>
  <c r="AK114" i="4"/>
  <c r="AK111" i="4"/>
  <c r="AK115" i="4" s="1"/>
  <c r="AQ97" i="40"/>
  <c r="AJ112" i="4"/>
  <c r="AJ115" i="4"/>
  <c r="BD122" i="39"/>
  <c r="BA174" i="39"/>
  <c r="BA187" i="4"/>
  <c r="AS390" i="41" l="1"/>
  <c r="BC464" i="41"/>
  <c r="BC466" i="41" s="1"/>
  <c r="AS442" i="41"/>
  <c r="BE461" i="41"/>
  <c r="BD462" i="41"/>
  <c r="BD464" i="41" s="1"/>
  <c r="BD466" i="41" s="1"/>
  <c r="AS395" i="41"/>
  <c r="AS415" i="41"/>
  <c r="AS391" i="41" s="1"/>
  <c r="AS147" i="41"/>
  <c r="AS149" i="41" s="1"/>
  <c r="BM254" i="41"/>
  <c r="BQ251" i="41"/>
  <c r="BQ300" i="41"/>
  <c r="BK206" i="41"/>
  <c r="BJ206" i="41" s="1"/>
  <c r="BQ206" i="41"/>
  <c r="CD184" i="41" s="1"/>
  <c r="BQ326" i="41"/>
  <c r="BQ153" i="41"/>
  <c r="BQ304" i="41"/>
  <c r="BQ252" i="41"/>
  <c r="BM300" i="41"/>
  <c r="BM101" i="41" s="1"/>
  <c r="CB178" i="41"/>
  <c r="AO87" i="40"/>
  <c r="AO88" i="40" s="1"/>
  <c r="BA193" i="41"/>
  <c r="BA212" i="41" s="1"/>
  <c r="BC206" i="41"/>
  <c r="BC207" i="41" s="1"/>
  <c r="BG195" i="41"/>
  <c r="BD195" i="41" s="1"/>
  <c r="BD210" i="41" s="1"/>
  <c r="BD212" i="41" s="1"/>
  <c r="BD215" i="41" s="1"/>
  <c r="BD105" i="41" s="1"/>
  <c r="BL207" i="41"/>
  <c r="AZ193" i="41"/>
  <c r="AZ212" i="41" s="1"/>
  <c r="AX193" i="41"/>
  <c r="AX212" i="41" s="1"/>
  <c r="AR212" i="41"/>
  <c r="AR215" i="41" s="1"/>
  <c r="BB195" i="41"/>
  <c r="AY195" i="41" s="1"/>
  <c r="BD193" i="41"/>
  <c r="BE193" i="41"/>
  <c r="BC193" i="41"/>
  <c r="AO108" i="41"/>
  <c r="AN215" i="41"/>
  <c r="AN105" i="41" s="1"/>
  <c r="AN108" i="41" s="1"/>
  <c r="CC178" i="41"/>
  <c r="CC193" i="41"/>
  <c r="AR266" i="41"/>
  <c r="AH108" i="41"/>
  <c r="AH110" i="41" s="1"/>
  <c r="AL112" i="4"/>
  <c r="AR390" i="41"/>
  <c r="AV473" i="41"/>
  <c r="AV474" i="41" s="1"/>
  <c r="AP198" i="41"/>
  <c r="AR442" i="41"/>
  <c r="AR261" i="41"/>
  <c r="AR262" i="41" s="1"/>
  <c r="AQ390" i="41"/>
  <c r="AQ395" i="41"/>
  <c r="AQ415" i="41"/>
  <c r="AQ391" i="41" s="1"/>
  <c r="AQ147" i="41"/>
  <c r="AQ149" i="41" s="1"/>
  <c r="AR412" i="41"/>
  <c r="BD563" i="41"/>
  <c r="AT438" i="41"/>
  <c r="BI622" i="41"/>
  <c r="AT406" i="41"/>
  <c r="AT411" i="41" s="1"/>
  <c r="AT453" i="41"/>
  <c r="AT476" i="41"/>
  <c r="AN110" i="4"/>
  <c r="AR97" i="40"/>
  <c r="AR100" i="40" s="1"/>
  <c r="AS95" i="40" s="1"/>
  <c r="AK112" i="4"/>
  <c r="BB174" i="39"/>
  <c r="BE122" i="39"/>
  <c r="BB187" i="4"/>
  <c r="AL255" i="4"/>
  <c r="AK255" i="4"/>
  <c r="AJ255" i="4"/>
  <c r="AI255" i="4"/>
  <c r="AG255" i="4"/>
  <c r="AF255" i="4"/>
  <c r="AE255" i="4"/>
  <c r="AD255" i="4"/>
  <c r="AS100" i="40" l="1"/>
  <c r="AT95" i="40" s="1"/>
  <c r="AT100" i="40" s="1"/>
  <c r="AU95" i="40" s="1"/>
  <c r="AU100" i="40" s="1"/>
  <c r="AV95" i="40" s="1"/>
  <c r="AV100" i="40" s="1"/>
  <c r="AV87" i="40" s="1"/>
  <c r="AV88" i="40" s="1"/>
  <c r="AW95" i="40"/>
  <c r="AW100" i="40" s="1"/>
  <c r="AS156" i="41"/>
  <c r="AS157" i="41" s="1"/>
  <c r="AS198" i="41" s="1"/>
  <c r="AS396" i="41"/>
  <c r="BF461" i="41"/>
  <c r="BE462" i="41"/>
  <c r="AS416" i="41"/>
  <c r="AS126" i="41" s="1"/>
  <c r="AS132" i="41" s="1"/>
  <c r="AS137" i="41" s="1"/>
  <c r="AS392" i="41"/>
  <c r="AS103" i="41" s="1"/>
  <c r="AS87" i="40"/>
  <c r="AS88" i="40" s="1"/>
  <c r="AR87" i="40"/>
  <c r="AR88" i="40" s="1"/>
  <c r="AO110" i="4"/>
  <c r="BB212" i="41"/>
  <c r="BK207" i="41"/>
  <c r="CD193" i="41"/>
  <c r="BQ193" i="41" s="1"/>
  <c r="CD178" i="41"/>
  <c r="BM131" i="41"/>
  <c r="BQ254" i="41"/>
  <c r="BM106" i="41"/>
  <c r="BQ106" i="41" s="1"/>
  <c r="BQ101" i="41"/>
  <c r="BP206" i="41"/>
  <c r="BQ207" i="41"/>
  <c r="BL193" i="41"/>
  <c r="BK193" i="41" s="1"/>
  <c r="BC195" i="41"/>
  <c r="BC210" i="41" s="1"/>
  <c r="BC212" i="41" s="1"/>
  <c r="BF195" i="41"/>
  <c r="BF210" i="41" s="1"/>
  <c r="BF212" i="41" s="1"/>
  <c r="BF215" i="41" s="1"/>
  <c r="BF105" i="41" s="1"/>
  <c r="AZ195" i="41"/>
  <c r="BE195" i="41"/>
  <c r="BE210" i="41" s="1"/>
  <c r="BE212" i="41" s="1"/>
  <c r="BE215" i="41" s="1"/>
  <c r="BE105" i="41" s="1"/>
  <c r="BA195" i="41"/>
  <c r="AX195" i="41"/>
  <c r="BG210" i="41"/>
  <c r="AR105" i="41"/>
  <c r="BJ207" i="41"/>
  <c r="BI206" i="41"/>
  <c r="AW474" i="41"/>
  <c r="AW476" i="41" s="1"/>
  <c r="AW473" i="41"/>
  <c r="AX473" i="41" s="1"/>
  <c r="AX474" i="41" s="1"/>
  <c r="AQ416" i="41"/>
  <c r="AR415" i="41"/>
  <c r="AR391" i="41" s="1"/>
  <c r="AR392" i="41" s="1"/>
  <c r="AT478" i="41"/>
  <c r="AT448" i="41"/>
  <c r="AT450" i="41" s="1"/>
  <c r="AT107" i="41" s="1"/>
  <c r="AT414" i="41"/>
  <c r="AT412" i="41"/>
  <c r="BJ622" i="41"/>
  <c r="AP10" i="41"/>
  <c r="AV437" i="41"/>
  <c r="AV438" i="41" s="1"/>
  <c r="BE563" i="41"/>
  <c r="AQ396" i="41"/>
  <c r="AQ156" i="41"/>
  <c r="AQ157" i="41" s="1"/>
  <c r="AQ198" i="41" s="1"/>
  <c r="AT454" i="41"/>
  <c r="AT155" i="41"/>
  <c r="AT148" i="41"/>
  <c r="AV405" i="41"/>
  <c r="AV406" i="41" s="1"/>
  <c r="AV411" i="41" s="1"/>
  <c r="AT441" i="41"/>
  <c r="AT440" i="41"/>
  <c r="AR395" i="41"/>
  <c r="AR147" i="41"/>
  <c r="AR149" i="41" s="1"/>
  <c r="AQ392" i="41"/>
  <c r="AQ103" i="41" s="1"/>
  <c r="AQ108" i="41" s="1"/>
  <c r="AV453" i="41"/>
  <c r="AV476" i="41"/>
  <c r="AP110" i="4"/>
  <c r="AQ95" i="40"/>
  <c r="AQ100" i="40" s="1"/>
  <c r="AQ87" i="40" s="1"/>
  <c r="AQ88" i="40" s="1"/>
  <c r="AR102" i="40"/>
  <c r="AR51" i="61" s="1"/>
  <c r="BC174" i="39"/>
  <c r="BF122" i="39"/>
  <c r="P21" i="4"/>
  <c r="P23" i="4" s="1"/>
  <c r="P252" i="4"/>
  <c r="T21" i="4"/>
  <c r="T252" i="4"/>
  <c r="DB39" i="3"/>
  <c r="AJ254" i="4"/>
  <c r="BC187" i="4"/>
  <c r="V21" i="4"/>
  <c r="V23" i="4" s="1"/>
  <c r="V252" i="4"/>
  <c r="X26" i="3"/>
  <c r="X252" i="4"/>
  <c r="Z21" i="4"/>
  <c r="Z23" i="4" s="1"/>
  <c r="Z252" i="4"/>
  <c r="AD21" i="4"/>
  <c r="AD252" i="4"/>
  <c r="AF21" i="4"/>
  <c r="AF23" i="4" s="1"/>
  <c r="AF252" i="4"/>
  <c r="AH252" i="4"/>
  <c r="AJ21" i="4"/>
  <c r="AJ23" i="4" s="1"/>
  <c r="AJ252" i="4"/>
  <c r="CW39" i="3"/>
  <c r="AE254" i="4"/>
  <c r="CY39" i="3"/>
  <c r="AG254" i="4"/>
  <c r="DD39" i="3"/>
  <c r="AL254" i="4"/>
  <c r="CV39" i="3"/>
  <c r="AD254" i="4"/>
  <c r="CX39" i="3"/>
  <c r="AF254" i="4"/>
  <c r="DA39" i="3"/>
  <c r="AI254" i="4"/>
  <c r="DC39" i="3"/>
  <c r="AK254" i="4"/>
  <c r="AM255" i="4"/>
  <c r="P253" i="4"/>
  <c r="T253" i="4"/>
  <c r="V253" i="4"/>
  <c r="X253" i="4"/>
  <c r="AH26" i="3"/>
  <c r="AR21" i="4"/>
  <c r="AH255" i="4"/>
  <c r="AW102" i="40" l="1"/>
  <c r="AW87" i="40"/>
  <c r="AW88" i="40" s="1"/>
  <c r="BE464" i="41"/>
  <c r="BE466" i="41" s="1"/>
  <c r="BG461" i="41"/>
  <c r="BH461" i="41" s="1"/>
  <c r="BF462" i="41"/>
  <c r="BF464" i="41" s="1"/>
  <c r="BF466" i="41" s="1"/>
  <c r="AR110" i="4"/>
  <c r="AW411" i="41"/>
  <c r="BQ131" i="41"/>
  <c r="BH193" i="41"/>
  <c r="BI193" i="41"/>
  <c r="BJ193" i="41"/>
  <c r="BL195" i="41"/>
  <c r="BJ195" i="41" s="1"/>
  <c r="BJ210" i="41" s="1"/>
  <c r="BJ212" i="41" s="1"/>
  <c r="BJ215" i="41" s="1"/>
  <c r="BJ105" i="41" s="1"/>
  <c r="BO193" i="41"/>
  <c r="BM193" i="41"/>
  <c r="BN193" i="41"/>
  <c r="BQ195" i="41"/>
  <c r="BP193" i="41"/>
  <c r="BO206" i="41"/>
  <c r="BP207" i="41"/>
  <c r="BC215" i="41"/>
  <c r="BC105" i="41" s="1"/>
  <c r="BG105" i="41" s="1"/>
  <c r="BG212" i="41"/>
  <c r="BG215" i="41" s="1"/>
  <c r="BI207" i="41"/>
  <c r="BH206" i="41"/>
  <c r="BH207" i="41" s="1"/>
  <c r="AW406" i="41"/>
  <c r="AW453" i="41"/>
  <c r="AR416" i="41"/>
  <c r="AY473" i="41"/>
  <c r="AY474" i="41" s="1"/>
  <c r="AW437" i="41"/>
  <c r="AX437" i="41" s="1"/>
  <c r="AW438" i="41"/>
  <c r="AP10" i="4"/>
  <c r="AV478" i="41"/>
  <c r="AV448" i="41"/>
  <c r="AV450" i="41" s="1"/>
  <c r="AX453" i="41"/>
  <c r="AX476" i="41"/>
  <c r="AR396" i="41"/>
  <c r="AR156" i="41"/>
  <c r="AR157" i="41" s="1"/>
  <c r="AR198" i="41" s="1"/>
  <c r="AT442" i="41"/>
  <c r="AR103" i="41"/>
  <c r="AR108" i="41" s="1"/>
  <c r="AR110" i="41" s="1"/>
  <c r="AV441" i="41"/>
  <c r="AV440" i="41"/>
  <c r="AT395" i="41"/>
  <c r="AT415" i="41"/>
  <c r="AT391" i="41" s="1"/>
  <c r="AT147" i="41"/>
  <c r="AT149" i="41" s="1"/>
  <c r="U21" i="4"/>
  <c r="U23" i="4" s="1"/>
  <c r="U252" i="4"/>
  <c r="AV454" i="41"/>
  <c r="AV414" i="41"/>
  <c r="AV412" i="41"/>
  <c r="AV147" i="41" s="1"/>
  <c r="AV149" i="41" s="1"/>
  <c r="BF563" i="41"/>
  <c r="AP19" i="4"/>
  <c r="BK622" i="41"/>
  <c r="BM622" i="41" s="1"/>
  <c r="BN622" i="41" s="1"/>
  <c r="BO622" i="41" s="1"/>
  <c r="BP622" i="41" s="1"/>
  <c r="BQ622" i="41" s="1"/>
  <c r="AT390" i="41"/>
  <c r="AW478" i="41"/>
  <c r="AW448" i="41"/>
  <c r="AW450" i="41" s="1"/>
  <c r="AW405" i="41"/>
  <c r="AX405" i="41" s="1"/>
  <c r="AR103" i="40"/>
  <c r="AX77" i="40"/>
  <c r="BG122" i="39"/>
  <c r="BH122" i="39" s="1"/>
  <c r="BD174" i="39"/>
  <c r="AB21" i="4"/>
  <c r="AB23" i="4" s="1"/>
  <c r="AB252" i="4"/>
  <c r="N21" i="4"/>
  <c r="N23" i="4" s="1"/>
  <c r="N252" i="4"/>
  <c r="AL21" i="4"/>
  <c r="AL23" i="4" s="1"/>
  <c r="AL252" i="4"/>
  <c r="R21" i="4"/>
  <c r="R23" i="4" s="1"/>
  <c r="R252" i="4"/>
  <c r="AH27" i="3"/>
  <c r="AH31" i="3" s="1"/>
  <c r="X27" i="3"/>
  <c r="X31" i="3" s="1"/>
  <c r="AM252" i="4"/>
  <c r="AI21" i="4"/>
  <c r="AI252" i="4"/>
  <c r="AE21" i="4"/>
  <c r="AE23" i="4" s="1"/>
  <c r="AE252" i="4"/>
  <c r="AA21" i="4"/>
  <c r="AA23" i="4" s="1"/>
  <c r="AA252" i="4"/>
  <c r="W253" i="4"/>
  <c r="W21" i="4"/>
  <c r="W23" i="4" s="1"/>
  <c r="W252" i="4"/>
  <c r="S252" i="4"/>
  <c r="O21" i="4"/>
  <c r="O252" i="4"/>
  <c r="X257" i="4"/>
  <c r="V257" i="4"/>
  <c r="BD187" i="4"/>
  <c r="T23" i="4"/>
  <c r="P257" i="4"/>
  <c r="AH122" i="4"/>
  <c r="AH125" i="4" s="1"/>
  <c r="AH253" i="4"/>
  <c r="Z122" i="4"/>
  <c r="Z125" i="4" s="1"/>
  <c r="Z253" i="4"/>
  <c r="Z257" i="4" s="1"/>
  <c r="AK21" i="4"/>
  <c r="AK23" i="4" s="1"/>
  <c r="AK252" i="4"/>
  <c r="AG21" i="4"/>
  <c r="AG23" i="4" s="1"/>
  <c r="AG252" i="4"/>
  <c r="AC252" i="4"/>
  <c r="Y21" i="4"/>
  <c r="Y252" i="4"/>
  <c r="Q21" i="4"/>
  <c r="Q23" i="4" s="1"/>
  <c r="Q252" i="4"/>
  <c r="M21" i="4"/>
  <c r="M23" i="4" s="1"/>
  <c r="M252" i="4"/>
  <c r="I21" i="4"/>
  <c r="I23" i="4" s="1"/>
  <c r="I252" i="4"/>
  <c r="AD23" i="4"/>
  <c r="T257" i="4"/>
  <c r="AM26" i="3"/>
  <c r="S253" i="4"/>
  <c r="S26" i="3"/>
  <c r="O253" i="4"/>
  <c r="Z78" i="4"/>
  <c r="Z79" i="4" s="1"/>
  <c r="V78" i="4"/>
  <c r="V79" i="4" s="1"/>
  <c r="T78" i="4"/>
  <c r="T79" i="4" s="1"/>
  <c r="P78" i="4"/>
  <c r="P79" i="4" s="1"/>
  <c r="AC26" i="3"/>
  <c r="U253" i="4"/>
  <c r="Q253" i="4"/>
  <c r="M253" i="4"/>
  <c r="I253" i="4"/>
  <c r="I26" i="3"/>
  <c r="AW110" i="40" l="1"/>
  <c r="AW59" i="40" s="1"/>
  <c r="AW44" i="61" s="1"/>
  <c r="AW51" i="61"/>
  <c r="AW103" i="40"/>
  <c r="BI461" i="41"/>
  <c r="BH462" i="41"/>
  <c r="BG462" i="41"/>
  <c r="BG464" i="41" s="1"/>
  <c r="BG466" i="41" s="1"/>
  <c r="AQ110" i="4"/>
  <c r="BI195" i="41"/>
  <c r="BI210" i="41" s="1"/>
  <c r="BI212" i="41" s="1"/>
  <c r="BI215" i="41" s="1"/>
  <c r="BI105" i="41" s="1"/>
  <c r="BK195" i="41"/>
  <c r="BK210" i="41" s="1"/>
  <c r="BK212" i="41" s="1"/>
  <c r="BK215" i="41" s="1"/>
  <c r="BK105" i="41" s="1"/>
  <c r="BL210" i="41"/>
  <c r="BH195" i="41"/>
  <c r="BH210" i="41" s="1"/>
  <c r="BH212" i="41" s="1"/>
  <c r="BN206" i="41"/>
  <c r="BO207" i="41"/>
  <c r="BO195" i="41"/>
  <c r="BM195" i="41"/>
  <c r="BN195" i="41"/>
  <c r="BP195" i="41"/>
  <c r="BP210" i="41" s="1"/>
  <c r="BP212" i="41" s="1"/>
  <c r="BQ210" i="41"/>
  <c r="AW265" i="41"/>
  <c r="AW266" i="41" s="1"/>
  <c r="AW454" i="41"/>
  <c r="AZ473" i="41"/>
  <c r="BA473" i="41" s="1"/>
  <c r="BA474" i="41" s="1"/>
  <c r="U257" i="4"/>
  <c r="AT416" i="41"/>
  <c r="AT126" i="41" s="1"/>
  <c r="AT132" i="41" s="1"/>
  <c r="AT137" i="41" s="1"/>
  <c r="AW441" i="41"/>
  <c r="AV442" i="41"/>
  <c r="X21" i="4"/>
  <c r="X23" i="4" s="1"/>
  <c r="AH21" i="4"/>
  <c r="AH23" i="4" s="1"/>
  <c r="AY405" i="41"/>
  <c r="AX406" i="41"/>
  <c r="AX411" i="41" s="1"/>
  <c r="AT392" i="41"/>
  <c r="AT103" i="41" s="1"/>
  <c r="BL622" i="41"/>
  <c r="AW440" i="41"/>
  <c r="AV395" i="41"/>
  <c r="AV156" i="41" s="1"/>
  <c r="AV157" i="41" s="1"/>
  <c r="AV415" i="41"/>
  <c r="AV391" i="41" s="1"/>
  <c r="AY476" i="41"/>
  <c r="AY453" i="41"/>
  <c r="AY437" i="41"/>
  <c r="AX438" i="41"/>
  <c r="AT396" i="41"/>
  <c r="AT156" i="41"/>
  <c r="AT157" i="41" s="1"/>
  <c r="AT198" i="41" s="1"/>
  <c r="AW414" i="41"/>
  <c r="AX478" i="41"/>
  <c r="AX448" i="41"/>
  <c r="AX450" i="41" s="1"/>
  <c r="AX107" i="41" s="1"/>
  <c r="BG563" i="41"/>
  <c r="BH563" i="41" s="1"/>
  <c r="AV390" i="41"/>
  <c r="AR10" i="4"/>
  <c r="AW412" i="41"/>
  <c r="AW147" i="41" s="1"/>
  <c r="AW149" i="41" s="1"/>
  <c r="AX454" i="41"/>
  <c r="AX155" i="41"/>
  <c r="AX148" i="41"/>
  <c r="AX75" i="40"/>
  <c r="AY77" i="40"/>
  <c r="BE174" i="39"/>
  <c r="BI122" i="39"/>
  <c r="BA21" i="4"/>
  <c r="BB21" i="4" s="1"/>
  <c r="Y122" i="4"/>
  <c r="Y125" i="4" s="1"/>
  <c r="Y253" i="4"/>
  <c r="Y257" i="4" s="1"/>
  <c r="AC122" i="4"/>
  <c r="AC125" i="4" s="1"/>
  <c r="AC253" i="4"/>
  <c r="AC257" i="4" s="1"/>
  <c r="X78" i="4"/>
  <c r="AD122" i="4"/>
  <c r="AD125" i="4" s="1"/>
  <c r="AD253" i="4"/>
  <c r="AF122" i="4"/>
  <c r="AF125" i="4" s="1"/>
  <c r="AF253" i="4"/>
  <c r="AH78" i="4"/>
  <c r="AJ122" i="4"/>
  <c r="AJ125" i="4" s="1"/>
  <c r="AJ253" i="4"/>
  <c r="S27" i="3"/>
  <c r="S31" i="3" s="1"/>
  <c r="AM27" i="3"/>
  <c r="AM31" i="3" s="1"/>
  <c r="I257" i="4"/>
  <c r="Q257" i="4"/>
  <c r="AC21" i="4"/>
  <c r="AC23" i="4" s="1"/>
  <c r="Y23" i="4"/>
  <c r="S21" i="4"/>
  <c r="S23" i="4" s="1"/>
  <c r="O23" i="4"/>
  <c r="S257" i="4"/>
  <c r="W257" i="4"/>
  <c r="AM21" i="4"/>
  <c r="AM23" i="4" s="1"/>
  <c r="AI23" i="4"/>
  <c r="X30" i="3"/>
  <c r="N26" i="3"/>
  <c r="I27" i="3"/>
  <c r="I30" i="3" s="1"/>
  <c r="AC27" i="3"/>
  <c r="AC31" i="3" s="1"/>
  <c r="AA122" i="4"/>
  <c r="AA125" i="4" s="1"/>
  <c r="AA253" i="4"/>
  <c r="AA257" i="4" s="1"/>
  <c r="AM122" i="4"/>
  <c r="AM125" i="4" s="1"/>
  <c r="AM253" i="4"/>
  <c r="M257" i="4"/>
  <c r="BA14" i="4"/>
  <c r="BE187" i="4"/>
  <c r="O257" i="4"/>
  <c r="AH30" i="3"/>
  <c r="AE256" i="4"/>
  <c r="AR26" i="3"/>
  <c r="AW26" i="3"/>
  <c r="J78" i="4"/>
  <c r="J79" i="4" s="1"/>
  <c r="L78" i="4"/>
  <c r="L79" i="4" s="1"/>
  <c r="BB85" i="4"/>
  <c r="O78" i="4"/>
  <c r="O79" i="4" s="1"/>
  <c r="S78" i="4"/>
  <c r="W78" i="4"/>
  <c r="W79" i="4" s="1"/>
  <c r="AA78" i="4"/>
  <c r="AA79" i="4" s="1"/>
  <c r="I78" i="4"/>
  <c r="M78" i="4"/>
  <c r="M79" i="4" s="1"/>
  <c r="Q78" i="4"/>
  <c r="Q79" i="4" s="1"/>
  <c r="U78" i="4"/>
  <c r="U79" i="4" s="1"/>
  <c r="Y78" i="4"/>
  <c r="Y79" i="4" s="1"/>
  <c r="AD78" i="4"/>
  <c r="AD79" i="4" s="1"/>
  <c r="AF78" i="4"/>
  <c r="AF79" i="4" s="1"/>
  <c r="AJ78" i="4"/>
  <c r="AJ79" i="4" s="1"/>
  <c r="BH464" i="41" l="1"/>
  <c r="BH466" i="41" s="1"/>
  <c r="BJ461" i="41"/>
  <c r="BI462" i="41"/>
  <c r="BI464" i="41" s="1"/>
  <c r="BI466" i="41" s="1"/>
  <c r="BO210" i="41"/>
  <c r="BO212" i="41" s="1"/>
  <c r="BO215" i="41" s="1"/>
  <c r="BO105" i="41" s="1"/>
  <c r="BP215" i="41"/>
  <c r="BP105" i="41" s="1"/>
  <c r="BM206" i="41"/>
  <c r="BM207" i="41" s="1"/>
  <c r="BM210" i="41" s="1"/>
  <c r="BM212" i="41" s="1"/>
  <c r="BN207" i="41"/>
  <c r="BN210" i="41" s="1"/>
  <c r="BN212" i="41" s="1"/>
  <c r="AV416" i="41"/>
  <c r="AV126" i="41" s="1"/>
  <c r="AV132" i="41" s="1"/>
  <c r="AV137" i="41" s="1"/>
  <c r="BH215" i="41"/>
  <c r="BH105" i="41" s="1"/>
  <c r="BL105" i="41" s="1"/>
  <c r="BL212" i="41"/>
  <c r="BL215" i="41" s="1"/>
  <c r="AZ474" i="41"/>
  <c r="AZ453" i="41" s="1"/>
  <c r="BB473" i="41"/>
  <c r="BC473" i="41" s="1"/>
  <c r="BC474" i="41" s="1"/>
  <c r="I31" i="3"/>
  <c r="AU198" i="41"/>
  <c r="BA476" i="41"/>
  <c r="BA453" i="41"/>
  <c r="BI563" i="41"/>
  <c r="AX441" i="41"/>
  <c r="AX440" i="41"/>
  <c r="AZ437" i="41"/>
  <c r="AY438" i="41"/>
  <c r="AY478" i="41"/>
  <c r="AY448" i="41"/>
  <c r="AY450" i="41" s="1"/>
  <c r="AY107" i="41" s="1"/>
  <c r="AW442" i="41"/>
  <c r="AW261" i="41"/>
  <c r="AW633" i="41" s="1"/>
  <c r="AW646" i="41" s="1"/>
  <c r="AX414" i="41"/>
  <c r="AX412" i="41"/>
  <c r="AZ405" i="41"/>
  <c r="AY406" i="41"/>
  <c r="AY411" i="41" s="1"/>
  <c r="AW395" i="41"/>
  <c r="AW156" i="41" s="1"/>
  <c r="AW157" i="41" s="1"/>
  <c r="AW415" i="41"/>
  <c r="AW391" i="41" s="1"/>
  <c r="AV392" i="41"/>
  <c r="AV103" i="41" s="1"/>
  <c r="AW390" i="41"/>
  <c r="AY454" i="41"/>
  <c r="AY155" i="41"/>
  <c r="AY148" i="41"/>
  <c r="AV396" i="41"/>
  <c r="AV198" i="41"/>
  <c r="AN188" i="39"/>
  <c r="AZ77" i="40"/>
  <c r="AY75" i="40"/>
  <c r="AY11" i="40" s="1"/>
  <c r="AP25" i="40"/>
  <c r="AX11" i="40"/>
  <c r="BF174" i="39"/>
  <c r="BJ122" i="39"/>
  <c r="AM78" i="4"/>
  <c r="AI122" i="4"/>
  <c r="AI125" i="4" s="1"/>
  <c r="AI253" i="4"/>
  <c r="AE122" i="4"/>
  <c r="AE125" i="4" s="1"/>
  <c r="AE253" i="4"/>
  <c r="AE257" i="4" s="1"/>
  <c r="S13" i="3"/>
  <c r="S79" i="4"/>
  <c r="DT45" i="3"/>
  <c r="BB14" i="4"/>
  <c r="AC30" i="3"/>
  <c r="N253" i="4"/>
  <c r="N257" i="4" s="1"/>
  <c r="N78" i="4"/>
  <c r="BF21" i="4"/>
  <c r="BG21" i="4" s="1"/>
  <c r="AK122" i="4"/>
  <c r="AK125" i="4" s="1"/>
  <c r="AK253" i="4"/>
  <c r="AG122" i="4"/>
  <c r="AG125" i="4" s="1"/>
  <c r="AG253" i="4"/>
  <c r="AC78" i="4"/>
  <c r="I13" i="3"/>
  <c r="I79" i="4"/>
  <c r="BB26" i="3"/>
  <c r="AB122" i="4"/>
  <c r="AB125" i="4" s="1"/>
  <c r="AB253" i="4"/>
  <c r="AB257" i="4" s="1"/>
  <c r="AB78" i="4"/>
  <c r="AB79" i="4" s="1"/>
  <c r="BF187" i="4"/>
  <c r="BK14" i="4"/>
  <c r="BF14" i="4"/>
  <c r="N27" i="3"/>
  <c r="N31" i="3" s="1"/>
  <c r="R253" i="4"/>
  <c r="R257" i="4" s="1"/>
  <c r="R78" i="4"/>
  <c r="R79" i="4" s="1"/>
  <c r="AM30" i="3"/>
  <c r="S30" i="3"/>
  <c r="AH79" i="4"/>
  <c r="AH13" i="3"/>
  <c r="AH10" i="61" s="1"/>
  <c r="AH11" i="61" s="1"/>
  <c r="AH18" i="61" s="1"/>
  <c r="AH20" i="61" s="1"/>
  <c r="AH22" i="61" s="1"/>
  <c r="X13" i="3"/>
  <c r="X10" i="61" s="1"/>
  <c r="X11" i="61" s="1"/>
  <c r="X79" i="4"/>
  <c r="AK78" i="4"/>
  <c r="AK79" i="4" s="1"/>
  <c r="AG78" i="4"/>
  <c r="AG79" i="4" s="1"/>
  <c r="AI78" i="4"/>
  <c r="AI79" i="4" s="1"/>
  <c r="AE78" i="4"/>
  <c r="AE79" i="4" s="1"/>
  <c r="BG85" i="4"/>
  <c r="BA85" i="4"/>
  <c r="AY85" i="4"/>
  <c r="AZ85" i="4"/>
  <c r="AX85" i="4"/>
  <c r="K78" i="4"/>
  <c r="K79" i="4" s="1"/>
  <c r="AH254" i="4"/>
  <c r="AW103" i="41" l="1"/>
  <c r="AW262" i="41"/>
  <c r="AW217" i="4"/>
  <c r="AW234" i="4" s="1"/>
  <c r="BK461" i="41"/>
  <c r="BJ462" i="41"/>
  <c r="BJ464" i="41" s="1"/>
  <c r="BJ466" i="41" s="1"/>
  <c r="AZ476" i="41"/>
  <c r="AZ448" i="41" s="1"/>
  <c r="AZ450" i="41" s="1"/>
  <c r="AZ107" i="41" s="1"/>
  <c r="BN215" i="41"/>
  <c r="BN105" i="41" s="1"/>
  <c r="BQ212" i="41"/>
  <c r="BQ215" i="41" s="1"/>
  <c r="BM215" i="41"/>
  <c r="BM105" i="41" s="1"/>
  <c r="BB474" i="41"/>
  <c r="BB476" i="41" s="1"/>
  <c r="BD473" i="41"/>
  <c r="BE473" i="41" s="1"/>
  <c r="AW392" i="41"/>
  <c r="AW416" i="41"/>
  <c r="AW126" i="41" s="1"/>
  <c r="AW132" i="41" s="1"/>
  <c r="AW137" i="41" s="1"/>
  <c r="AN76" i="4"/>
  <c r="AW396" i="41"/>
  <c r="AW198" i="41"/>
  <c r="BA405" i="41"/>
  <c r="AZ406" i="41"/>
  <c r="AZ411" i="41" s="1"/>
  <c r="AY441" i="41"/>
  <c r="AY440" i="41"/>
  <c r="AX442" i="41"/>
  <c r="BJ563" i="41"/>
  <c r="BA478" i="41"/>
  <c r="BA448" i="41"/>
  <c r="BA450" i="41" s="1"/>
  <c r="BA107" i="41" s="1"/>
  <c r="AZ454" i="41"/>
  <c r="AZ155" i="41"/>
  <c r="AZ148" i="41"/>
  <c r="AY414" i="41"/>
  <c r="AY412" i="41"/>
  <c r="AX395" i="41"/>
  <c r="AX415" i="41"/>
  <c r="AX416" i="41" s="1"/>
  <c r="AX147" i="41"/>
  <c r="AX149" i="41" s="1"/>
  <c r="AX390" i="41"/>
  <c r="BA437" i="41"/>
  <c r="BA438" i="41" s="1"/>
  <c r="AZ438" i="41"/>
  <c r="BA454" i="41"/>
  <c r="BA155" i="41"/>
  <c r="BA148" i="41"/>
  <c r="BC476" i="41"/>
  <c r="BC453" i="41"/>
  <c r="AX97" i="40"/>
  <c r="AZ75" i="40"/>
  <c r="BA77" i="40"/>
  <c r="AY97" i="40"/>
  <c r="BK122" i="39"/>
  <c r="BG174" i="39"/>
  <c r="DP45" i="3"/>
  <c r="DQ45" i="3"/>
  <c r="DY45" i="3"/>
  <c r="AG256" i="4"/>
  <c r="AG257" i="4" s="1"/>
  <c r="AF256" i="4"/>
  <c r="AF257" i="4" s="1"/>
  <c r="AH14" i="3"/>
  <c r="BW199" i="41" s="1"/>
  <c r="AH39" i="3"/>
  <c r="N30" i="3"/>
  <c r="BG14" i="4"/>
  <c r="BG187" i="4"/>
  <c r="I14" i="3"/>
  <c r="I18" i="3" s="1"/>
  <c r="AC13" i="3"/>
  <c r="AC10" i="61" s="1"/>
  <c r="AC11" i="61" s="1"/>
  <c r="AC79" i="4"/>
  <c r="N79" i="4"/>
  <c r="N13" i="3"/>
  <c r="AL122" i="4"/>
  <c r="AL125" i="4" s="1"/>
  <c r="AL253" i="4"/>
  <c r="AL78" i="4"/>
  <c r="AL79" i="4" s="1"/>
  <c r="DR45" i="3"/>
  <c r="DS45" i="3"/>
  <c r="X14" i="3"/>
  <c r="X19" i="3" s="1"/>
  <c r="X39" i="3"/>
  <c r="BL14" i="4"/>
  <c r="S14" i="3"/>
  <c r="S19" i="3" s="1"/>
  <c r="AM13" i="3"/>
  <c r="AM10" i="61" s="1"/>
  <c r="AM11" i="61" s="1"/>
  <c r="AM18" i="61" s="1"/>
  <c r="AM20" i="61" s="1"/>
  <c r="AM22" i="61" s="1"/>
  <c r="AM79" i="4"/>
  <c r="BG26" i="3"/>
  <c r="AM254" i="4"/>
  <c r="BE85" i="4"/>
  <c r="BC85" i="4"/>
  <c r="BL85" i="4"/>
  <c r="BF85" i="4"/>
  <c r="BD85" i="4"/>
  <c r="AZ478" i="41" l="1"/>
  <c r="BB453" i="41"/>
  <c r="BB148" i="41" s="1"/>
  <c r="BL461" i="41"/>
  <c r="BM461" i="41" s="1"/>
  <c r="BK462" i="41"/>
  <c r="BQ105" i="41"/>
  <c r="AX126" i="41"/>
  <c r="AX132" i="41" s="1"/>
  <c r="BD474" i="41"/>
  <c r="BD453" i="41" s="1"/>
  <c r="BB437" i="41"/>
  <c r="BB265" i="41" s="1"/>
  <c r="AH19" i="3"/>
  <c r="AP14" i="40"/>
  <c r="AP16" i="40" s="1"/>
  <c r="BF473" i="41"/>
  <c r="BF474" i="41" s="1"/>
  <c r="BE474" i="41"/>
  <c r="BC478" i="41"/>
  <c r="BC448" i="41"/>
  <c r="BC450" i="41" s="1"/>
  <c r="BC107" i="41" s="1"/>
  <c r="BA441" i="41"/>
  <c r="BA440" i="41"/>
  <c r="AX391" i="41"/>
  <c r="AX9" i="41" s="1"/>
  <c r="AY390" i="41"/>
  <c r="BB478" i="41"/>
  <c r="BB448" i="41"/>
  <c r="BB450" i="41" s="1"/>
  <c r="BB107" i="41" s="1"/>
  <c r="AY442" i="41"/>
  <c r="BA406" i="41"/>
  <c r="BB405" i="41"/>
  <c r="BC405" i="41" s="1"/>
  <c r="BC454" i="41"/>
  <c r="BC155" i="41"/>
  <c r="BC148" i="41"/>
  <c r="AZ441" i="41"/>
  <c r="AZ440" i="41"/>
  <c r="AX396" i="41"/>
  <c r="AX156" i="41"/>
  <c r="AX157" i="41" s="1"/>
  <c r="AX198" i="41" s="1"/>
  <c r="AY395" i="41"/>
  <c r="AY415" i="41"/>
  <c r="AY391" i="41" s="1"/>
  <c r="AY9" i="41" s="1"/>
  <c r="AY147" i="41"/>
  <c r="AY149" i="41" s="1"/>
  <c r="BB454" i="41"/>
  <c r="BK563" i="41"/>
  <c r="BB438" i="41"/>
  <c r="AZ414" i="41"/>
  <c r="AZ412" i="41"/>
  <c r="BB77" i="40"/>
  <c r="BC77" i="40" s="1"/>
  <c r="BA75" i="40"/>
  <c r="BA11" i="40" s="1"/>
  <c r="AN189" i="39"/>
  <c r="AN185" i="39"/>
  <c r="AZ11" i="40"/>
  <c r="BL122" i="39"/>
  <c r="BM122" i="39" s="1"/>
  <c r="BN122" i="39" s="1"/>
  <c r="BO122" i="39" s="1"/>
  <c r="BP122" i="39" s="1"/>
  <c r="BQ122" i="39" s="1"/>
  <c r="BH174" i="39"/>
  <c r="DV45" i="3"/>
  <c r="ED45" i="3"/>
  <c r="DW45" i="3"/>
  <c r="AM14" i="3"/>
  <c r="BX199" i="41" s="1"/>
  <c r="AM39" i="3"/>
  <c r="S18" i="3"/>
  <c r="S56" i="3"/>
  <c r="S51" i="3"/>
  <c r="S58" i="3"/>
  <c r="X56" i="3"/>
  <c r="X58" i="3"/>
  <c r="X51" i="3"/>
  <c r="X18" i="3"/>
  <c r="N14" i="3"/>
  <c r="AC14" i="3"/>
  <c r="AC19" i="3" s="1"/>
  <c r="AC39" i="3"/>
  <c r="I19" i="3"/>
  <c r="BH187" i="4"/>
  <c r="AH58" i="3"/>
  <c r="AH51" i="3"/>
  <c r="AH18" i="3"/>
  <c r="AH56" i="3"/>
  <c r="DX45" i="3"/>
  <c r="DU45" i="3"/>
  <c r="AD256" i="4"/>
  <c r="AD257" i="4" s="1"/>
  <c r="BK21" i="4"/>
  <c r="BL21" i="4" s="1"/>
  <c r="BL26" i="3"/>
  <c r="BK85" i="4"/>
  <c r="BI85" i="4"/>
  <c r="BJ85" i="4"/>
  <c r="BH85" i="4"/>
  <c r="BB155" i="41" l="1"/>
  <c r="BK464" i="41"/>
  <c r="BK466" i="41" s="1"/>
  <c r="BL462" i="41"/>
  <c r="BL464" i="41" s="1"/>
  <c r="BL466" i="41" s="1"/>
  <c r="BN461" i="41"/>
  <c r="BM462" i="41"/>
  <c r="BB406" i="41"/>
  <c r="BA411" i="41"/>
  <c r="BB411" i="41" s="1"/>
  <c r="BD476" i="41"/>
  <c r="BD478" i="41" s="1"/>
  <c r="BB441" i="41"/>
  <c r="BC437" i="41"/>
  <c r="BC438" i="41" s="1"/>
  <c r="BG473" i="41"/>
  <c r="BH473" i="41" s="1"/>
  <c r="BH474" i="41" s="1"/>
  <c r="AM19" i="3"/>
  <c r="AP20" i="40"/>
  <c r="AP27" i="40" s="1"/>
  <c r="AP20" i="4"/>
  <c r="BB75" i="40"/>
  <c r="AY416" i="41"/>
  <c r="AX392" i="41"/>
  <c r="AX103" i="41" s="1"/>
  <c r="AZ395" i="41"/>
  <c r="AZ415" i="41"/>
  <c r="AZ416" i="41" s="1"/>
  <c r="AZ147" i="41"/>
  <c r="AZ149" i="41" s="1"/>
  <c r="BL563" i="41"/>
  <c r="BM563" i="41" s="1"/>
  <c r="AY396" i="41"/>
  <c r="AY156" i="41"/>
  <c r="AY157" i="41" s="1"/>
  <c r="AY198" i="41" s="1"/>
  <c r="BD454" i="41"/>
  <c r="BD155" i="41"/>
  <c r="BD148" i="41"/>
  <c r="BD405" i="41"/>
  <c r="BC406" i="41"/>
  <c r="BC411" i="41" s="1"/>
  <c r="BF453" i="41"/>
  <c r="BF476" i="41"/>
  <c r="AZ390" i="41"/>
  <c r="AZ442" i="41"/>
  <c r="BB440" i="41"/>
  <c r="BG474" i="41"/>
  <c r="BA412" i="41"/>
  <c r="BB412" i="41" s="1"/>
  <c r="BA414" i="41"/>
  <c r="AY392" i="41"/>
  <c r="AY103" i="41" s="1"/>
  <c r="BA442" i="41"/>
  <c r="BB266" i="41"/>
  <c r="BB152" i="41"/>
  <c r="BE476" i="41"/>
  <c r="BE453" i="41"/>
  <c r="BA97" i="40"/>
  <c r="AZ97" i="40"/>
  <c r="BB11" i="40"/>
  <c r="BD77" i="40"/>
  <c r="BC75" i="40"/>
  <c r="BI174" i="39"/>
  <c r="EB45" i="3"/>
  <c r="EC45" i="3"/>
  <c r="AH256" i="4"/>
  <c r="AH257" i="4" s="1"/>
  <c r="AC56" i="3"/>
  <c r="AC58" i="3"/>
  <c r="AC51" i="3"/>
  <c r="AC18" i="3"/>
  <c r="N18" i="3"/>
  <c r="N58" i="3"/>
  <c r="N56" i="3"/>
  <c r="N51" i="3"/>
  <c r="DZ45" i="3"/>
  <c r="EA45" i="3"/>
  <c r="BI187" i="4"/>
  <c r="N19" i="3"/>
  <c r="AM18" i="3"/>
  <c r="AM56" i="3"/>
  <c r="AM58" i="3"/>
  <c r="AM51" i="3"/>
  <c r="BD448" i="41" l="1"/>
  <c r="BD450" i="41" s="1"/>
  <c r="BD107" i="41" s="1"/>
  <c r="AP56" i="40"/>
  <c r="AP31" i="40"/>
  <c r="BM464" i="41"/>
  <c r="BM466" i="41" s="1"/>
  <c r="BO461" i="41"/>
  <c r="BN462" i="41"/>
  <c r="BN464" i="41" s="1"/>
  <c r="BN466" i="41" s="1"/>
  <c r="BD437" i="41"/>
  <c r="BD438" i="41" s="1"/>
  <c r="BN563" i="41"/>
  <c r="BO563" i="41" s="1"/>
  <c r="BP563" i="41" s="1"/>
  <c r="BQ563" i="41" s="1"/>
  <c r="AZ126" i="41"/>
  <c r="AZ132" i="41" s="1"/>
  <c r="AY126" i="41"/>
  <c r="AY132" i="41" s="1"/>
  <c r="BI473" i="41"/>
  <c r="BJ473" i="41" s="1"/>
  <c r="AP21" i="40"/>
  <c r="BB97" i="40"/>
  <c r="BB395" i="41"/>
  <c r="BB147" i="41"/>
  <c r="BB149" i="41" s="1"/>
  <c r="BE454" i="41"/>
  <c r="BE155" i="41"/>
  <c r="BE148" i="41"/>
  <c r="BG476" i="41"/>
  <c r="BG453" i="41"/>
  <c r="BF454" i="41"/>
  <c r="BF155" i="41"/>
  <c r="BF148" i="41"/>
  <c r="BC441" i="41"/>
  <c r="BC440" i="41"/>
  <c r="BE405" i="41"/>
  <c r="BD406" i="41"/>
  <c r="BD411" i="41" s="1"/>
  <c r="AZ391" i="41"/>
  <c r="AZ9" i="41" s="1"/>
  <c r="BE478" i="41"/>
  <c r="BE448" i="41"/>
  <c r="BE450" i="41" s="1"/>
  <c r="BE107" i="41" s="1"/>
  <c r="BA390" i="41"/>
  <c r="BA395" i="41"/>
  <c r="BA415" i="41"/>
  <c r="BA391" i="41" s="1"/>
  <c r="BA9" i="41" s="1"/>
  <c r="BA147" i="41"/>
  <c r="BA149" i="41" s="1"/>
  <c r="BB442" i="41"/>
  <c r="BB261" i="41"/>
  <c r="BB262" i="41" s="1"/>
  <c r="BB414" i="41"/>
  <c r="BF478" i="41"/>
  <c r="BF448" i="41"/>
  <c r="BF450" i="41" s="1"/>
  <c r="BF107" i="41" s="1"/>
  <c r="BH453" i="41"/>
  <c r="BH476" i="41"/>
  <c r="BC414" i="41"/>
  <c r="BC412" i="41"/>
  <c r="AZ396" i="41"/>
  <c r="AZ156" i="41"/>
  <c r="AZ157" i="41" s="1"/>
  <c r="AZ198" i="41" s="1"/>
  <c r="BD75" i="40"/>
  <c r="BD11" i="40" s="1"/>
  <c r="BE77" i="40"/>
  <c r="BC11" i="40"/>
  <c r="BJ174" i="39"/>
  <c r="BJ187" i="4"/>
  <c r="BE437" i="41" l="1"/>
  <c r="BE438" i="41" s="1"/>
  <c r="AP33" i="40"/>
  <c r="AP38" i="40"/>
  <c r="BP461" i="41"/>
  <c r="BO462" i="41"/>
  <c r="BO464" i="41" s="1"/>
  <c r="BO466" i="41" s="1"/>
  <c r="BI474" i="41"/>
  <c r="BI476" i="41" s="1"/>
  <c r="AR25" i="3"/>
  <c r="AZ392" i="41"/>
  <c r="AZ103" i="41" s="1"/>
  <c r="AN252" i="4"/>
  <c r="AR20" i="4"/>
  <c r="BB415" i="41"/>
  <c r="BB391" i="41" s="1"/>
  <c r="BA416" i="41"/>
  <c r="BD441" i="41"/>
  <c r="BD440" i="41"/>
  <c r="BF437" i="41"/>
  <c r="BF438" i="41" s="1"/>
  <c r="BH454" i="41"/>
  <c r="BH155" i="41"/>
  <c r="BH148" i="41"/>
  <c r="BB390" i="41"/>
  <c r="BA392" i="41"/>
  <c r="BA103" i="41" s="1"/>
  <c r="BB9" i="41"/>
  <c r="BF405" i="41"/>
  <c r="BF406" i="41" s="1"/>
  <c r="BF411" i="41" s="1"/>
  <c r="BE406" i="41"/>
  <c r="BE411" i="41" s="1"/>
  <c r="BC442" i="41"/>
  <c r="BK473" i="41"/>
  <c r="BK474" i="41" s="1"/>
  <c r="BJ474" i="41"/>
  <c r="BG454" i="41"/>
  <c r="BG155" i="41"/>
  <c r="BG148" i="41"/>
  <c r="BC395" i="41"/>
  <c r="BC415" i="41"/>
  <c r="BC416" i="41" s="1"/>
  <c r="BC147" i="41"/>
  <c r="BC149" i="41" s="1"/>
  <c r="BC390" i="41"/>
  <c r="BH478" i="41"/>
  <c r="BH448" i="41"/>
  <c r="BH450" i="41" s="1"/>
  <c r="BH107" i="41" s="1"/>
  <c r="BA396" i="41"/>
  <c r="BA156" i="41"/>
  <c r="BA157" i="41" s="1"/>
  <c r="BA198" i="41" s="1"/>
  <c r="BD414" i="41"/>
  <c r="BD412" i="41"/>
  <c r="BG478" i="41"/>
  <c r="BG448" i="41"/>
  <c r="BG450" i="41" s="1"/>
  <c r="BG107" i="41" s="1"/>
  <c r="BB396" i="41"/>
  <c r="BB156" i="41"/>
  <c r="BU128" i="41" s="1"/>
  <c r="BC97" i="40"/>
  <c r="BD97" i="40"/>
  <c r="BF77" i="40"/>
  <c r="BE75" i="40"/>
  <c r="BE11" i="40" s="1"/>
  <c r="BK174" i="39"/>
  <c r="BK187" i="4"/>
  <c r="AP39" i="40" l="1"/>
  <c r="AP77" i="4" s="1"/>
  <c r="AP145" i="39"/>
  <c r="AP149" i="39" s="1"/>
  <c r="AP161" i="39" s="1"/>
  <c r="AP162" i="39" s="1"/>
  <c r="BI453" i="41"/>
  <c r="BI454" i="41" s="1"/>
  <c r="BQ461" i="41"/>
  <c r="BP462" i="41"/>
  <c r="BP464" i="41" s="1"/>
  <c r="BP466" i="41" s="1"/>
  <c r="BG411" i="41"/>
  <c r="BC126" i="41"/>
  <c r="BC132" i="41" s="1"/>
  <c r="BA126" i="41"/>
  <c r="BA132" i="41" s="1"/>
  <c r="BB157" i="41"/>
  <c r="BB198" i="41" s="1"/>
  <c r="BG437" i="41"/>
  <c r="BH437" i="41" s="1"/>
  <c r="BB416" i="41"/>
  <c r="BG438" i="41"/>
  <c r="BL473" i="41"/>
  <c r="BM473" i="41" s="1"/>
  <c r="BG405" i="41"/>
  <c r="BH405" i="41" s="1"/>
  <c r="BH406" i="41" s="1"/>
  <c r="BH411" i="41" s="1"/>
  <c r="BB392" i="41"/>
  <c r="BI478" i="41"/>
  <c r="BI448" i="41"/>
  <c r="BI450" i="41" s="1"/>
  <c r="BI107" i="41" s="1"/>
  <c r="BD390" i="41"/>
  <c r="BD395" i="41"/>
  <c r="BD415" i="41"/>
  <c r="BD391" i="41" s="1"/>
  <c r="BD9" i="41" s="1"/>
  <c r="BD147" i="41"/>
  <c r="BD149" i="41" s="1"/>
  <c r="BC396" i="41"/>
  <c r="BC156" i="41"/>
  <c r="BC157" i="41" s="1"/>
  <c r="BC198" i="41" s="1"/>
  <c r="BK476" i="41"/>
  <c r="BK453" i="41"/>
  <c r="BF412" i="41"/>
  <c r="BF414" i="41"/>
  <c r="BE441" i="41"/>
  <c r="BE440" i="41"/>
  <c r="BD442" i="41"/>
  <c r="BC8" i="41"/>
  <c r="BC391" i="41"/>
  <c r="BC9" i="41" s="1"/>
  <c r="BJ476" i="41"/>
  <c r="BJ453" i="41"/>
  <c r="BL474" i="41"/>
  <c r="BE414" i="41"/>
  <c r="BE412" i="41"/>
  <c r="BB103" i="41"/>
  <c r="BF441" i="41"/>
  <c r="BF440" i="41"/>
  <c r="BG406" i="41"/>
  <c r="BF75" i="40"/>
  <c r="BF11" i="40" s="1"/>
  <c r="BG11" i="40" s="1"/>
  <c r="BG77" i="40"/>
  <c r="BH77" i="40" s="1"/>
  <c r="BE97" i="40"/>
  <c r="BL174" i="39"/>
  <c r="BM174" i="39" s="1"/>
  <c r="BN174" i="39" s="1"/>
  <c r="BO174" i="39" s="1"/>
  <c r="BP174" i="39" s="1"/>
  <c r="BQ174" i="39" s="1"/>
  <c r="BL187" i="4"/>
  <c r="BM187" i="4" s="1"/>
  <c r="BN187" i="4" s="1"/>
  <c r="BO187" i="4" s="1"/>
  <c r="BP187" i="4" s="1"/>
  <c r="BQ187" i="4" s="1"/>
  <c r="BI148" i="41" l="1"/>
  <c r="BI155" i="41"/>
  <c r="BG265" i="41"/>
  <c r="BG266" i="41" s="1"/>
  <c r="BQ462" i="41"/>
  <c r="BQ464" i="41" s="1"/>
  <c r="BQ466" i="41" s="1"/>
  <c r="BM474" i="41"/>
  <c r="BN473" i="41"/>
  <c r="BB126" i="41"/>
  <c r="BB132" i="41" s="1"/>
  <c r="BI405" i="41"/>
  <c r="BI406" i="41" s="1"/>
  <c r="BI411" i="41" s="1"/>
  <c r="AN249" i="4"/>
  <c r="BC392" i="41"/>
  <c r="BC103" i="41" s="1"/>
  <c r="BC108" i="41" s="1"/>
  <c r="BE390" i="41"/>
  <c r="BL476" i="41"/>
  <c r="BL453" i="41"/>
  <c r="BJ478" i="41"/>
  <c r="BJ448" i="41"/>
  <c r="BJ450" i="41" s="1"/>
  <c r="BJ107" i="41" s="1"/>
  <c r="BI437" i="41"/>
  <c r="BH438" i="41"/>
  <c r="BF442" i="41"/>
  <c r="BE395" i="41"/>
  <c r="BE415" i="41"/>
  <c r="BE416" i="41" s="1"/>
  <c r="BE147" i="41"/>
  <c r="BE149" i="41" s="1"/>
  <c r="BG412" i="41"/>
  <c r="BJ454" i="41"/>
  <c r="BJ155" i="41"/>
  <c r="BJ148" i="41"/>
  <c r="BC10" i="41"/>
  <c r="BE442" i="41"/>
  <c r="BG440" i="41"/>
  <c r="BH414" i="41"/>
  <c r="BH412" i="41"/>
  <c r="BK478" i="41"/>
  <c r="BK448" i="41"/>
  <c r="BK450" i="41" s="1"/>
  <c r="BK107" i="41" s="1"/>
  <c r="BD396" i="41"/>
  <c r="BD156" i="41"/>
  <c r="BD157" i="41" s="1"/>
  <c r="BD198" i="41" s="1"/>
  <c r="BD416" i="41"/>
  <c r="BG441" i="41"/>
  <c r="BF390" i="41"/>
  <c r="BF395" i="41"/>
  <c r="BF415" i="41"/>
  <c r="BF391" i="41" s="1"/>
  <c r="BF9" i="41" s="1"/>
  <c r="BF147" i="41"/>
  <c r="BF149" i="41" s="1"/>
  <c r="BK454" i="41"/>
  <c r="BK155" i="41"/>
  <c r="BK148" i="41"/>
  <c r="BG414" i="41"/>
  <c r="BD392" i="41"/>
  <c r="BD103" i="41" s="1"/>
  <c r="BD108" i="41" s="1"/>
  <c r="BD8" i="41"/>
  <c r="BF97" i="40"/>
  <c r="BG97" i="40" s="1"/>
  <c r="BG75" i="40"/>
  <c r="BH75" i="40"/>
  <c r="BI77" i="40"/>
  <c r="BG152" i="41" l="1"/>
  <c r="BM476" i="41"/>
  <c r="BM453" i="41"/>
  <c r="BO473" i="41"/>
  <c r="BN474" i="41"/>
  <c r="BD126" i="41"/>
  <c r="BD132" i="41" s="1"/>
  <c r="BE126" i="41"/>
  <c r="BE132" i="41" s="1"/>
  <c r="BJ405" i="41"/>
  <c r="BJ406" i="41" s="1"/>
  <c r="BJ411" i="41" s="1"/>
  <c r="AR110" i="40"/>
  <c r="DF38" i="3"/>
  <c r="BF392" i="41"/>
  <c r="BF103" i="41" s="1"/>
  <c r="BF108" i="41" s="1"/>
  <c r="BF8" i="41"/>
  <c r="BD10" i="41"/>
  <c r="BG390" i="41"/>
  <c r="BF396" i="41"/>
  <c r="BF156" i="41"/>
  <c r="BF157" i="41" s="1"/>
  <c r="BF198" i="41" s="1"/>
  <c r="BF416" i="41"/>
  <c r="BE396" i="41"/>
  <c r="BE156" i="41"/>
  <c r="BE157" i="41" s="1"/>
  <c r="BE198" i="41" s="1"/>
  <c r="BJ437" i="41"/>
  <c r="BI438" i="41"/>
  <c r="BL478" i="41"/>
  <c r="BL448" i="41"/>
  <c r="BL450" i="41" s="1"/>
  <c r="BL107" i="41" s="1"/>
  <c r="BI414" i="41"/>
  <c r="BI412" i="41"/>
  <c r="BH395" i="41"/>
  <c r="BH415" i="41"/>
  <c r="BH416" i="41" s="1"/>
  <c r="BH147" i="41"/>
  <c r="BH149" i="41" s="1"/>
  <c r="BG442" i="41"/>
  <c r="BG261" i="41"/>
  <c r="BG262" i="41" s="1"/>
  <c r="BG395" i="41"/>
  <c r="BG147" i="41"/>
  <c r="BG149" i="41" s="1"/>
  <c r="BE391" i="41"/>
  <c r="BE9" i="41" s="1"/>
  <c r="BG415" i="41"/>
  <c r="BG391" i="41" s="1"/>
  <c r="BH441" i="41"/>
  <c r="BH440" i="41"/>
  <c r="BL454" i="41"/>
  <c r="BL155" i="41"/>
  <c r="BL148" i="41"/>
  <c r="BE8" i="41"/>
  <c r="BJ77" i="40"/>
  <c r="BI75" i="40"/>
  <c r="BI11" i="40" s="1"/>
  <c r="BH11" i="40"/>
  <c r="BK405" i="41" l="1"/>
  <c r="BK406" i="41" s="1"/>
  <c r="BK411" i="41" s="1"/>
  <c r="BL411" i="41" s="1"/>
  <c r="BP473" i="41"/>
  <c r="BO474" i="41"/>
  <c r="BM155" i="41"/>
  <c r="BM148" i="41"/>
  <c r="BM454" i="41"/>
  <c r="BN476" i="41"/>
  <c r="BN453" i="41"/>
  <c r="BM478" i="41"/>
  <c r="BM448" i="41"/>
  <c r="BM450" i="41" s="1"/>
  <c r="BM107" i="41" s="1"/>
  <c r="AR59" i="40"/>
  <c r="AR44" i="61" s="1"/>
  <c r="BF126" i="41"/>
  <c r="BF132" i="41" s="1"/>
  <c r="BH126" i="41"/>
  <c r="BH132" i="41" s="1"/>
  <c r="BE392" i="41"/>
  <c r="BE103" i="41" s="1"/>
  <c r="BE108" i="41" s="1"/>
  <c r="AN78" i="4"/>
  <c r="AN79" i="4" s="1"/>
  <c r="BH442" i="41"/>
  <c r="BH390" i="41"/>
  <c r="BH391" i="41"/>
  <c r="BH9" i="41" s="1"/>
  <c r="BE10" i="41"/>
  <c r="BG9" i="41"/>
  <c r="BG396" i="41"/>
  <c r="BG156" i="41"/>
  <c r="BG157" i="41" s="1"/>
  <c r="BG198" i="41" s="1"/>
  <c r="BH396" i="41"/>
  <c r="BH156" i="41"/>
  <c r="BH157" i="41" s="1"/>
  <c r="BH198" i="41" s="1"/>
  <c r="BI395" i="41"/>
  <c r="BI415" i="41"/>
  <c r="BI147" i="41"/>
  <c r="BI149" i="41" s="1"/>
  <c r="BK437" i="41"/>
  <c r="BK438" i="41" s="1"/>
  <c r="BJ438" i="41"/>
  <c r="BG8" i="41"/>
  <c r="BJ412" i="41"/>
  <c r="BJ414" i="41"/>
  <c r="BG416" i="41"/>
  <c r="BI441" i="41"/>
  <c r="BI440" i="41"/>
  <c r="BG392" i="41"/>
  <c r="BF10" i="41"/>
  <c r="BJ75" i="40"/>
  <c r="BK77" i="40"/>
  <c r="BH97" i="40"/>
  <c r="BI97" i="40"/>
  <c r="BL406" i="41" l="1"/>
  <c r="BK414" i="41"/>
  <c r="BL414" i="41" s="1"/>
  <c r="BL405" i="41"/>
  <c r="BM405" i="41" s="1"/>
  <c r="BN405" i="41" s="1"/>
  <c r="BK412" i="41"/>
  <c r="BK415" i="41" s="1"/>
  <c r="BO476" i="41"/>
  <c r="BO453" i="41"/>
  <c r="BP474" i="41"/>
  <c r="BQ473" i="41"/>
  <c r="BN148" i="41"/>
  <c r="BN155" i="41"/>
  <c r="BN454" i="41"/>
  <c r="BN478" i="41"/>
  <c r="BN448" i="41"/>
  <c r="BN450" i="41" s="1"/>
  <c r="BN107" i="41" s="1"/>
  <c r="BG126" i="41"/>
  <c r="BG132" i="41" s="1"/>
  <c r="BI442" i="41"/>
  <c r="BL437" i="41"/>
  <c r="BI391" i="41"/>
  <c r="BI9" i="41" s="1"/>
  <c r="BG103" i="41"/>
  <c r="BG108" i="41" s="1"/>
  <c r="BG110" i="41" s="1"/>
  <c r="BJ395" i="41"/>
  <c r="BJ415" i="41"/>
  <c r="BJ147" i="41"/>
  <c r="BJ149" i="41" s="1"/>
  <c r="BG10" i="41"/>
  <c r="BJ441" i="41"/>
  <c r="BJ440" i="41"/>
  <c r="BJ390" i="41" s="1"/>
  <c r="BL438" i="41"/>
  <c r="BI396" i="41"/>
  <c r="BI156" i="41"/>
  <c r="BI157" i="41" s="1"/>
  <c r="BI198" i="41" s="1"/>
  <c r="BI390" i="41"/>
  <c r="BH392" i="41"/>
  <c r="BH103" i="41" s="1"/>
  <c r="BH8" i="41"/>
  <c r="BK441" i="41"/>
  <c r="BK440" i="41"/>
  <c r="BI416" i="41"/>
  <c r="BJ11" i="40"/>
  <c r="BL77" i="40"/>
  <c r="BM77" i="40" s="1"/>
  <c r="BK75" i="40"/>
  <c r="BK11" i="40" s="1"/>
  <c r="BK395" i="41" l="1"/>
  <c r="BK396" i="41" s="1"/>
  <c r="BL412" i="41"/>
  <c r="BL395" i="41" s="1"/>
  <c r="BK147" i="41"/>
  <c r="BK149" i="41" s="1"/>
  <c r="BM406" i="41"/>
  <c r="BM414" i="41" s="1"/>
  <c r="BP476" i="41"/>
  <c r="BP453" i="41"/>
  <c r="BQ474" i="41"/>
  <c r="BO405" i="41"/>
  <c r="BN406" i="41"/>
  <c r="BO148" i="41"/>
  <c r="BO454" i="41"/>
  <c r="BO155" i="41"/>
  <c r="BL265" i="41"/>
  <c r="BL152" i="41" s="1"/>
  <c r="BM437" i="41"/>
  <c r="BO478" i="41"/>
  <c r="BO448" i="41"/>
  <c r="BO450" i="41" s="1"/>
  <c r="BO107" i="41" s="1"/>
  <c r="BN77" i="40"/>
  <c r="BM75" i="40"/>
  <c r="BI126" i="41"/>
  <c r="BI132" i="41" s="1"/>
  <c r="BK442" i="41"/>
  <c r="BL441" i="41"/>
  <c r="BK391" i="41"/>
  <c r="BK9" i="41" s="1"/>
  <c r="BL415" i="41"/>
  <c r="BJ416" i="41"/>
  <c r="BL75" i="40"/>
  <c r="BH108" i="41"/>
  <c r="BI392" i="41"/>
  <c r="BI103" i="41" s="1"/>
  <c r="BI108" i="41" s="1"/>
  <c r="BI8" i="41"/>
  <c r="BH10" i="41"/>
  <c r="BJ442" i="41"/>
  <c r="BJ391" i="41"/>
  <c r="BJ9" i="41" s="1"/>
  <c r="BK416" i="41"/>
  <c r="BJ8" i="41"/>
  <c r="BL440" i="41"/>
  <c r="BL390" i="41" s="1"/>
  <c r="BJ396" i="41"/>
  <c r="BJ156" i="41"/>
  <c r="BJ157" i="41" s="1"/>
  <c r="BJ198" i="41" s="1"/>
  <c r="BK390" i="41"/>
  <c r="BK97" i="40"/>
  <c r="BJ97" i="40"/>
  <c r="BL11" i="40"/>
  <c r="BL147" i="41" l="1"/>
  <c r="BL149" i="41" s="1"/>
  <c r="BK156" i="41"/>
  <c r="BK157" i="41" s="1"/>
  <c r="BK198" i="41" s="1"/>
  <c r="BM411" i="41"/>
  <c r="BM412" i="41"/>
  <c r="BM415" i="41" s="1"/>
  <c r="BL266" i="41"/>
  <c r="BP405" i="41"/>
  <c r="BP406" i="41" s="1"/>
  <c r="BO406" i="41"/>
  <c r="BN437" i="41"/>
  <c r="BM438" i="41"/>
  <c r="BP454" i="41"/>
  <c r="BP148" i="41"/>
  <c r="BP155" i="41"/>
  <c r="BQ476" i="41"/>
  <c r="BQ453" i="41"/>
  <c r="BN411" i="41"/>
  <c r="BN412" i="41"/>
  <c r="BN414" i="41"/>
  <c r="BP478" i="41"/>
  <c r="BP448" i="41"/>
  <c r="BP450" i="41" s="1"/>
  <c r="BP107" i="41" s="1"/>
  <c r="BM11" i="40"/>
  <c r="BO77" i="40"/>
  <c r="BN75" i="40"/>
  <c r="BN11" i="40" s="1"/>
  <c r="BK126" i="41"/>
  <c r="BK132" i="41" s="1"/>
  <c r="BJ126" i="41"/>
  <c r="BJ132" i="41" s="1"/>
  <c r="BL391" i="41"/>
  <c r="BL392" i="41" s="1"/>
  <c r="BL416" i="41"/>
  <c r="BL97" i="40"/>
  <c r="BJ392" i="41"/>
  <c r="BJ103" i="41" s="1"/>
  <c r="BJ108" i="41" s="1"/>
  <c r="BK392" i="41"/>
  <c r="BK103" i="41" s="1"/>
  <c r="BK108" i="41" s="1"/>
  <c r="BK8" i="41"/>
  <c r="BJ10" i="41"/>
  <c r="BL9" i="41"/>
  <c r="BL396" i="41"/>
  <c r="BL156" i="41"/>
  <c r="BL157" i="41" s="1"/>
  <c r="BL198" i="41" s="1"/>
  <c r="BI10" i="41"/>
  <c r="BL442" i="41"/>
  <c r="BL261" i="41"/>
  <c r="BL262" i="41" s="1"/>
  <c r="BM395" i="41" l="1"/>
  <c r="BM396" i="41" s="1"/>
  <c r="BM147" i="41"/>
  <c r="BM149" i="41" s="1"/>
  <c r="BQ405" i="41"/>
  <c r="BN415" i="41"/>
  <c r="BN416" i="41" s="1"/>
  <c r="BN126" i="41" s="1"/>
  <c r="BN132" i="41" s="1"/>
  <c r="BQ478" i="41"/>
  <c r="BQ448" i="41"/>
  <c r="BQ450" i="41" s="1"/>
  <c r="BQ107" i="41" s="1"/>
  <c r="BO437" i="41"/>
  <c r="BN438" i="41"/>
  <c r="BN395" i="41" s="1"/>
  <c r="BM416" i="41"/>
  <c r="BM126" i="41" s="1"/>
  <c r="BM132" i="41" s="1"/>
  <c r="BO412" i="41"/>
  <c r="BO411" i="41"/>
  <c r="BO414" i="41"/>
  <c r="BQ406" i="41"/>
  <c r="BQ454" i="41"/>
  <c r="BQ155" i="41"/>
  <c r="BQ148" i="41"/>
  <c r="BM441" i="41"/>
  <c r="BM440" i="41"/>
  <c r="BP411" i="41"/>
  <c r="BP412" i="41"/>
  <c r="BP414" i="41"/>
  <c r="BN97" i="40"/>
  <c r="BP77" i="40"/>
  <c r="BO75" i="40"/>
  <c r="BO11" i="40" s="1"/>
  <c r="BM97" i="40"/>
  <c r="BL126" i="41"/>
  <c r="BL132" i="41" s="1"/>
  <c r="BL103" i="41"/>
  <c r="BL108" i="41" s="1"/>
  <c r="BL110" i="41" s="1"/>
  <c r="BK10" i="41"/>
  <c r="BL8" i="41"/>
  <c r="BM156" i="41" l="1"/>
  <c r="BM157" i="41" s="1"/>
  <c r="BM198" i="41" s="1"/>
  <c r="BN147" i="41"/>
  <c r="BN149" i="41" s="1"/>
  <c r="BN156" i="41"/>
  <c r="BN157" i="41" s="1"/>
  <c r="BN198" i="41" s="1"/>
  <c r="BN396" i="41"/>
  <c r="BM442" i="41"/>
  <c r="BM390" i="41"/>
  <c r="BO415" i="41"/>
  <c r="BO416" i="41" s="1"/>
  <c r="BO126" i="41" s="1"/>
  <c r="BO132" i="41" s="1"/>
  <c r="BP415" i="41"/>
  <c r="BQ412" i="41"/>
  <c r="BN441" i="41"/>
  <c r="BN391" i="41" s="1"/>
  <c r="BN9" i="41" s="1"/>
  <c r="BN440" i="41"/>
  <c r="BQ411" i="41"/>
  <c r="BM391" i="41"/>
  <c r="BM9" i="41" s="1"/>
  <c r="BP437" i="41"/>
  <c r="BO438" i="41"/>
  <c r="BO147" i="41" s="1"/>
  <c r="BO149" i="41" s="1"/>
  <c r="BQ414" i="41"/>
  <c r="BQ77" i="40"/>
  <c r="BP75" i="40"/>
  <c r="BP11" i="40" s="1"/>
  <c r="BO97" i="40"/>
  <c r="BL10" i="41"/>
  <c r="BO441" i="41" l="1"/>
  <c r="BO391" i="41" s="1"/>
  <c r="BO9" i="41" s="1"/>
  <c r="BO440" i="41"/>
  <c r="BQ415" i="41"/>
  <c r="BP438" i="41"/>
  <c r="BQ438" i="41" s="1"/>
  <c r="BQ395" i="41" s="1"/>
  <c r="BQ437" i="41"/>
  <c r="BQ265" i="41" s="1"/>
  <c r="BM392" i="41"/>
  <c r="BM103" i="41" s="1"/>
  <c r="BM8" i="41"/>
  <c r="BP416" i="41"/>
  <c r="BP126" i="41" s="1"/>
  <c r="BP132" i="41" s="1"/>
  <c r="BN442" i="41"/>
  <c r="BN390" i="41"/>
  <c r="BO395" i="41"/>
  <c r="BQ11" i="40"/>
  <c r="BP97" i="40"/>
  <c r="BQ97" i="40" s="1"/>
  <c r="BQ75" i="40"/>
  <c r="BQ156" i="41" l="1"/>
  <c r="BQ396" i="41"/>
  <c r="BN392" i="41"/>
  <c r="BN103" i="41" s="1"/>
  <c r="BN108" i="41" s="1"/>
  <c r="BN8" i="41"/>
  <c r="BN10" i="41" s="1"/>
  <c r="BQ416" i="41"/>
  <c r="BQ126" i="41" s="1"/>
  <c r="BQ132" i="41" s="1"/>
  <c r="BO396" i="41"/>
  <c r="BO156" i="41"/>
  <c r="BO157" i="41" s="1"/>
  <c r="BO198" i="41" s="1"/>
  <c r="BO442" i="41"/>
  <c r="BO390" i="41"/>
  <c r="BQ266" i="41"/>
  <c r="BQ152" i="41"/>
  <c r="BQ147" i="41"/>
  <c r="BQ149" i="41" s="1"/>
  <c r="BM108" i="41"/>
  <c r="BM10" i="41"/>
  <c r="BP441" i="41"/>
  <c r="BP391" i="41" s="1"/>
  <c r="BP9" i="41" s="1"/>
  <c r="BQ9" i="41" s="1"/>
  <c r="BP440" i="41"/>
  <c r="BP147" i="41"/>
  <c r="BP149" i="41" s="1"/>
  <c r="BP395" i="41"/>
  <c r="BQ157" i="41" l="1"/>
  <c r="BQ198" i="41" s="1"/>
  <c r="BP156" i="41"/>
  <c r="BP157" i="41" s="1"/>
  <c r="BP198" i="41" s="1"/>
  <c r="BP396" i="41"/>
  <c r="BQ441" i="41"/>
  <c r="BQ391" i="41" s="1"/>
  <c r="BO392" i="41"/>
  <c r="BO103" i="41" s="1"/>
  <c r="BO8" i="41"/>
  <c r="BO10" i="41" s="1"/>
  <c r="BP442" i="41"/>
  <c r="BP390" i="41"/>
  <c r="BQ440" i="41"/>
  <c r="AR12" i="3"/>
  <c r="BQ442" i="41" l="1"/>
  <c r="BQ261" i="41"/>
  <c r="BQ262" i="41" s="1"/>
  <c r="BQ390" i="41"/>
  <c r="BQ392" i="41" s="1"/>
  <c r="BO108" i="41"/>
  <c r="BP392" i="41"/>
  <c r="BP103" i="41" s="1"/>
  <c r="BP108" i="41" s="1"/>
  <c r="BP8" i="41"/>
  <c r="BP10" i="41" l="1"/>
  <c r="BQ8" i="41"/>
  <c r="BQ10" i="41" s="1"/>
  <c r="BQ103" i="41"/>
  <c r="BQ108" i="41" s="1"/>
  <c r="BQ110" i="41" s="1"/>
  <c r="AJ256" i="4" l="1"/>
  <c r="AJ257" i="4" s="1"/>
  <c r="AL256" i="4"/>
  <c r="AL257" i="4" s="1"/>
  <c r="AK256" i="4"/>
  <c r="AK257" i="4" s="1"/>
  <c r="AI256" i="4" l="1"/>
  <c r="AI257" i="4" s="1"/>
  <c r="AM256" i="4" l="1"/>
  <c r="AM257" i="4" s="1"/>
  <c r="AN253" i="4" l="1"/>
  <c r="DF60" i="3" l="1"/>
  <c r="DF62" i="3"/>
  <c r="AN64" i="4"/>
  <c r="AN70" i="4"/>
  <c r="AN86" i="4"/>
  <c r="AN85" i="4" s="1"/>
  <c r="AN91" i="4"/>
  <c r="AN92" i="4"/>
  <c r="AN121" i="4"/>
  <c r="AN124" i="4"/>
  <c r="DF9" i="3"/>
  <c r="DF11" i="3"/>
  <c r="DF12" i="3"/>
  <c r="DF16" i="3"/>
  <c r="AN246" i="4"/>
  <c r="AN247" i="4"/>
  <c r="AN255" i="4"/>
  <c r="DF45" i="3" l="1"/>
  <c r="AN66" i="42"/>
  <c r="DF13" i="3"/>
  <c r="DF18" i="3" s="1"/>
  <c r="AN67" i="42" l="1"/>
  <c r="AN122" i="4"/>
  <c r="AN125" i="4" s="1"/>
  <c r="DG38" i="3" l="1"/>
  <c r="AN55" i="39" l="1"/>
  <c r="AN65" i="39" l="1"/>
  <c r="AN163" i="39" l="1"/>
  <c r="AN214" i="39"/>
  <c r="AN108" i="4"/>
  <c r="AN114" i="4" l="1"/>
  <c r="AN53" i="40" l="1"/>
  <c r="AN54" i="40"/>
  <c r="AS14" i="40" l="1"/>
  <c r="AS16" i="40" s="1"/>
  <c r="AS20" i="40" s="1"/>
  <c r="AS27" i="40" l="1"/>
  <c r="AS56" i="40" s="1"/>
  <c r="AS21" i="40"/>
  <c r="AS20" i="4"/>
  <c r="AN611" i="41" l="1"/>
  <c r="AN109" i="4"/>
  <c r="AN111" i="4" s="1"/>
  <c r="AN115" i="4" l="1"/>
  <c r="AN112" i="4"/>
  <c r="AO253" i="4" l="1"/>
  <c r="AO78" i="4"/>
  <c r="AO76" i="4" l="1"/>
  <c r="AO79" i="4" s="1"/>
  <c r="AP248" i="4"/>
  <c r="AO124" i="4" l="1"/>
  <c r="DG60" i="3"/>
  <c r="DG62" i="3"/>
  <c r="AO121" i="4"/>
  <c r="AO255" i="4"/>
  <c r="DG9" i="3"/>
  <c r="AO64" i="4"/>
  <c r="AO70" i="4"/>
  <c r="AO86" i="4"/>
  <c r="AO85" i="4" s="1"/>
  <c r="DG45" i="3" l="1"/>
  <c r="AO66" i="42"/>
  <c r="AP32" i="4"/>
  <c r="DG12" i="3"/>
  <c r="DG16" i="3"/>
  <c r="AO67" i="42" l="1"/>
  <c r="AO122" i="4"/>
  <c r="AO125" i="4" s="1"/>
  <c r="DG11" i="3"/>
  <c r="DG13" i="3" s="1"/>
  <c r="DG18" i="3" s="1"/>
  <c r="DH45" i="3" l="1"/>
  <c r="AO171" i="39" l="1"/>
  <c r="AO180" i="39" s="1"/>
  <c r="AO181" i="39" s="1"/>
  <c r="AO108" i="4" l="1"/>
  <c r="AP27" i="39"/>
  <c r="AO175" i="39" l="1"/>
  <c r="AO172" i="39"/>
  <c r="AO178" i="39"/>
  <c r="AO214" i="39" s="1"/>
  <c r="AO114" i="4"/>
  <c r="AT20" i="4" l="1"/>
  <c r="DJ44" i="3" l="1"/>
  <c r="BB127" i="39" l="1"/>
  <c r="AX127" i="39" l="1"/>
  <c r="AY127" i="39" s="1"/>
  <c r="BB82" i="4"/>
  <c r="BL127" i="39"/>
  <c r="BG127" i="39"/>
  <c r="DH44" i="3"/>
  <c r="AQ204" i="39"/>
  <c r="AR204" i="39" s="1"/>
  <c r="AY204" i="39" l="1"/>
  <c r="AY82" i="4"/>
  <c r="AY151" i="39"/>
  <c r="AY153" i="39" s="1"/>
  <c r="AZ127" i="39"/>
  <c r="DO44" i="3"/>
  <c r="DT44" i="3"/>
  <c r="BB86" i="4"/>
  <c r="BG82" i="4"/>
  <c r="BC127" i="39"/>
  <c r="BH127" i="39"/>
  <c r="BL82" i="4"/>
  <c r="AX204" i="39"/>
  <c r="AX82" i="4"/>
  <c r="AX151" i="39"/>
  <c r="DI44" i="3"/>
  <c r="AQ205" i="39"/>
  <c r="AP16" i="39"/>
  <c r="AP18" i="39" s="1"/>
  <c r="AP186" i="39" l="1"/>
  <c r="AS186" i="39"/>
  <c r="BH204" i="39"/>
  <c r="BH82" i="4"/>
  <c r="BH151" i="39"/>
  <c r="BD127" i="39"/>
  <c r="BC204" i="39"/>
  <c r="BC82" i="4"/>
  <c r="BC151" i="39"/>
  <c r="DQ44" i="3"/>
  <c r="AY86" i="4"/>
  <c r="AY136" i="4" s="1"/>
  <c r="AY139" i="4" s="1"/>
  <c r="AP255" i="4"/>
  <c r="ED44" i="3"/>
  <c r="BL86" i="4"/>
  <c r="AX153" i="39"/>
  <c r="DY44" i="3"/>
  <c r="BG86" i="4"/>
  <c r="AZ204" i="39"/>
  <c r="AZ151" i="39"/>
  <c r="AZ153" i="39" s="1"/>
  <c r="AZ82" i="4"/>
  <c r="DP44" i="3"/>
  <c r="AX86" i="4"/>
  <c r="AX136" i="4" s="1"/>
  <c r="BI127" i="39"/>
  <c r="BJ127" i="39" s="1"/>
  <c r="DK44" i="3"/>
  <c r="BA127" i="39"/>
  <c r="AQ203" i="39"/>
  <c r="AQ208" i="39" s="1"/>
  <c r="AR205" i="39"/>
  <c r="AR208" i="39" s="1"/>
  <c r="AS203" i="39" s="1"/>
  <c r="AW203" i="39" s="1"/>
  <c r="AP22" i="4"/>
  <c r="AR16" i="4"/>
  <c r="AR22" i="4" s="1"/>
  <c r="AR219" i="4" s="1"/>
  <c r="AR235" i="4" s="1"/>
  <c r="AP22" i="39"/>
  <c r="AQ186" i="39"/>
  <c r="AP18" i="4"/>
  <c r="BJ204" i="39" l="1"/>
  <c r="BJ82" i="4"/>
  <c r="BJ151" i="39"/>
  <c r="BJ153" i="39" s="1"/>
  <c r="BH153" i="39"/>
  <c r="DR44" i="3"/>
  <c r="AZ86" i="4"/>
  <c r="AZ136" i="4" s="1"/>
  <c r="AZ139" i="4" s="1"/>
  <c r="BD204" i="39"/>
  <c r="BD82" i="4"/>
  <c r="BD151" i="39"/>
  <c r="BD153" i="39" s="1"/>
  <c r="BE127" i="39"/>
  <c r="BA204" i="39"/>
  <c r="BB204" i="39" s="1"/>
  <c r="BA151" i="39"/>
  <c r="BA153" i="39" s="1"/>
  <c r="BA82" i="4"/>
  <c r="AX139" i="4"/>
  <c r="DU44" i="3"/>
  <c r="BC86" i="4"/>
  <c r="BC136" i="4" s="1"/>
  <c r="DZ44" i="3"/>
  <c r="BH86" i="4"/>
  <c r="BH136" i="4" s="1"/>
  <c r="BI204" i="39"/>
  <c r="BI82" i="4"/>
  <c r="BI151" i="39"/>
  <c r="BI153" i="39" s="1"/>
  <c r="BK127" i="39"/>
  <c r="BC153" i="39"/>
  <c r="DL44" i="3"/>
  <c r="AY68" i="42"/>
  <c r="AY67" i="42" s="1"/>
  <c r="AP28" i="4"/>
  <c r="AP27" i="4"/>
  <c r="AP34" i="4" s="1"/>
  <c r="AP104" i="4" s="1"/>
  <c r="AP252" i="4"/>
  <c r="AR18" i="4"/>
  <c r="AP23" i="4"/>
  <c r="AP23" i="39"/>
  <c r="AP29" i="39"/>
  <c r="AP67" i="39" s="1"/>
  <c r="AR186" i="39"/>
  <c r="AT18" i="4"/>
  <c r="AR210" i="39"/>
  <c r="AR50" i="61" s="1"/>
  <c r="AR28" i="4"/>
  <c r="AR220" i="4" s="1"/>
  <c r="AR229" i="4" s="1"/>
  <c r="AR27" i="4"/>
  <c r="AR52" i="61" l="1"/>
  <c r="AR54" i="61"/>
  <c r="AP187" i="39"/>
  <c r="AS187" i="39"/>
  <c r="AY255" i="4"/>
  <c r="EA44" i="3"/>
  <c r="BI86" i="4"/>
  <c r="BI136" i="4" s="1"/>
  <c r="BI139" i="4" s="1"/>
  <c r="BC139" i="4"/>
  <c r="DS44" i="3"/>
  <c r="BA86" i="4"/>
  <c r="BA136" i="4" s="1"/>
  <c r="BB151" i="39"/>
  <c r="DV44" i="3"/>
  <c r="BD86" i="4"/>
  <c r="BD136" i="4" s="1"/>
  <c r="BD139" i="4" s="1"/>
  <c r="BK204" i="39"/>
  <c r="BL204" i="39" s="1"/>
  <c r="BK82" i="4"/>
  <c r="BK151" i="39"/>
  <c r="BK153" i="39" s="1"/>
  <c r="BH139" i="4"/>
  <c r="DM44" i="3"/>
  <c r="EB44" i="3"/>
  <c r="BJ86" i="4"/>
  <c r="BJ136" i="4" s="1"/>
  <c r="BJ139" i="4" s="1"/>
  <c r="AX68" i="42"/>
  <c r="AX67" i="42" s="1"/>
  <c r="BE82" i="4"/>
  <c r="BE204" i="39"/>
  <c r="BE151" i="39"/>
  <c r="BF127" i="39"/>
  <c r="AZ68" i="42"/>
  <c r="AZ67" i="42" s="1"/>
  <c r="AR211" i="39"/>
  <c r="AP33" i="39"/>
  <c r="AX121" i="39"/>
  <c r="AP166" i="4"/>
  <c r="AQ187" i="39"/>
  <c r="AP38" i="4"/>
  <c r="BB153" i="39" l="1"/>
  <c r="BB147" i="39"/>
  <c r="BL151" i="39"/>
  <c r="BL153" i="39" s="1"/>
  <c r="AP40" i="39"/>
  <c r="DW44" i="3"/>
  <c r="BE86" i="4"/>
  <c r="BE136" i="4" s="1"/>
  <c r="BE139" i="4" s="1"/>
  <c r="BH68" i="42"/>
  <c r="BH67" i="42" s="1"/>
  <c r="BF151" i="39"/>
  <c r="BF153" i="39" s="1"/>
  <c r="BF204" i="39"/>
  <c r="BG204" i="39" s="1"/>
  <c r="BF82" i="4"/>
  <c r="AX255" i="4"/>
  <c r="BE153" i="39"/>
  <c r="EC44" i="3"/>
  <c r="BK86" i="4"/>
  <c r="BK136" i="4" s="1"/>
  <c r="BK139" i="4" s="1"/>
  <c r="BA139" i="4"/>
  <c r="BB136" i="4"/>
  <c r="BI68" i="42"/>
  <c r="BI67" i="42" s="1"/>
  <c r="AZ255" i="4"/>
  <c r="BJ68" i="42"/>
  <c r="BJ67" i="42" s="1"/>
  <c r="DN44" i="3"/>
  <c r="BD68" i="42"/>
  <c r="BD67" i="42" s="1"/>
  <c r="BC68" i="42"/>
  <c r="BC67" i="42" s="1"/>
  <c r="AR187" i="39"/>
  <c r="AR23" i="3"/>
  <c r="AP42" i="4"/>
  <c r="AP249" i="4"/>
  <c r="AP35" i="39"/>
  <c r="AX120" i="39"/>
  <c r="AY121" i="39"/>
  <c r="AX147" i="39" l="1"/>
  <c r="AS189" i="39"/>
  <c r="AS185" i="39"/>
  <c r="AR145" i="39"/>
  <c r="AR149" i="39" s="1"/>
  <c r="AP41" i="39"/>
  <c r="AP75" i="4" s="1"/>
  <c r="AP185" i="39"/>
  <c r="AP189" i="39"/>
  <c r="BC255" i="4"/>
  <c r="BL136" i="4"/>
  <c r="ED47" i="3" s="1"/>
  <c r="BJ255" i="4"/>
  <c r="BG151" i="39"/>
  <c r="BD255" i="4"/>
  <c r="BI255" i="4"/>
  <c r="BK68" i="42"/>
  <c r="BK67" i="42" s="1"/>
  <c r="BL67" i="42" s="1"/>
  <c r="BL68" i="42" s="1"/>
  <c r="BH255" i="4"/>
  <c r="DT47" i="3"/>
  <c r="BB139" i="4"/>
  <c r="BE68" i="42"/>
  <c r="BE67" i="42" s="1"/>
  <c r="DX44" i="3"/>
  <c r="BF86" i="4"/>
  <c r="BF136" i="4" s="1"/>
  <c r="BA68" i="42"/>
  <c r="BA67" i="42" s="1"/>
  <c r="BB67" i="42" s="1"/>
  <c r="BB68" i="42" s="1"/>
  <c r="AY120" i="39"/>
  <c r="AY13" i="39" s="1"/>
  <c r="AZ121" i="39"/>
  <c r="AP50" i="4"/>
  <c r="AP44" i="4"/>
  <c r="AP51" i="4" s="1"/>
  <c r="AP65" i="4" s="1"/>
  <c r="AX13" i="39"/>
  <c r="AW206" i="39" l="1"/>
  <c r="AY147" i="39"/>
  <c r="AS147" i="39"/>
  <c r="BG153" i="39"/>
  <c r="BG147" i="39"/>
  <c r="BL139" i="4"/>
  <c r="BL255" i="4" s="1"/>
  <c r="BA255" i="4"/>
  <c r="BK255" i="4"/>
  <c r="BE255" i="4"/>
  <c r="BF139" i="4"/>
  <c r="BG136" i="4"/>
  <c r="BB255" i="4"/>
  <c r="AX146" i="39"/>
  <c r="AX205" i="39"/>
  <c r="AY146" i="39"/>
  <c r="AY205" i="39"/>
  <c r="DH38" i="3"/>
  <c r="AP52" i="4"/>
  <c r="AZ120" i="39"/>
  <c r="AZ13" i="39" s="1"/>
  <c r="BA121" i="39"/>
  <c r="AW208" i="39" l="1"/>
  <c r="AS206" i="39"/>
  <c r="AS208" i="39" s="1"/>
  <c r="AT203" i="39" s="1"/>
  <c r="AT147" i="39"/>
  <c r="AT206" i="39" s="1"/>
  <c r="AZ147" i="39"/>
  <c r="BC147" i="39"/>
  <c r="DY47" i="3"/>
  <c r="BG139" i="4"/>
  <c r="BF68" i="42"/>
  <c r="BF67" i="42" s="1"/>
  <c r="BG67" i="42" s="1"/>
  <c r="BG68" i="42" s="1"/>
  <c r="BA120" i="39"/>
  <c r="BA13" i="39" s="1"/>
  <c r="BB121" i="39"/>
  <c r="BC121" i="39" s="1"/>
  <c r="AZ146" i="39"/>
  <c r="AZ205" i="39"/>
  <c r="AW210" i="39" l="1"/>
  <c r="AW218" i="39"/>
  <c r="AW70" i="39" s="1"/>
  <c r="AX203" i="39"/>
  <c r="AT208" i="39"/>
  <c r="AU203" i="39" s="1"/>
  <c r="AU147" i="39"/>
  <c r="AV147" i="39" s="1"/>
  <c r="AV149" i="39" s="1"/>
  <c r="AT149" i="39"/>
  <c r="BA147" i="39"/>
  <c r="BD147" i="39"/>
  <c r="BG255" i="4"/>
  <c r="BF255" i="4"/>
  <c r="BB120" i="39"/>
  <c r="BC120" i="39"/>
  <c r="BD121" i="39"/>
  <c r="BA146" i="39"/>
  <c r="BA205" i="39"/>
  <c r="BB205" i="39" s="1"/>
  <c r="BB13" i="39"/>
  <c r="AW211" i="39" l="1"/>
  <c r="AW50" i="61"/>
  <c r="AU206" i="39"/>
  <c r="AU208" i="39" s="1"/>
  <c r="AV203" i="39" s="1"/>
  <c r="BB203" i="39"/>
  <c r="BB208" i="39" s="1"/>
  <c r="AX208" i="39"/>
  <c r="AY203" i="39" s="1"/>
  <c r="AY208" i="39" s="1"/>
  <c r="AZ203" i="39" s="1"/>
  <c r="AZ208" i="39" s="1"/>
  <c r="BA203" i="39" s="1"/>
  <c r="BA208" i="39" s="1"/>
  <c r="BE147" i="39"/>
  <c r="BB146" i="39"/>
  <c r="BD120" i="39"/>
  <c r="BD13" i="39" s="1"/>
  <c r="BE121" i="39"/>
  <c r="BC13" i="39"/>
  <c r="BC203" i="39" l="1"/>
  <c r="BG203" i="39" s="1"/>
  <c r="BB210" i="39"/>
  <c r="BB50" i="61" s="1"/>
  <c r="AW52" i="61"/>
  <c r="AW54" i="61"/>
  <c r="AV64" i="42"/>
  <c r="AV63" i="42" s="1"/>
  <c r="AV206" i="39"/>
  <c r="AV208" i="39" s="1"/>
  <c r="BF147" i="39"/>
  <c r="BD146" i="39"/>
  <c r="BD205" i="39"/>
  <c r="BC205" i="39"/>
  <c r="BC146" i="39"/>
  <c r="BE120" i="39"/>
  <c r="BF121" i="39"/>
  <c r="BB211" i="39" l="1"/>
  <c r="BF120" i="39"/>
  <c r="BF13" i="39" s="1"/>
  <c r="BG121" i="39"/>
  <c r="BH121" i="39" s="1"/>
  <c r="BC208" i="39"/>
  <c r="BD203" i="39" s="1"/>
  <c r="BD208" i="39" s="1"/>
  <c r="BE203" i="39" s="1"/>
  <c r="BE13" i="39"/>
  <c r="BG120" i="39" l="1"/>
  <c r="BE146" i="39"/>
  <c r="BE205" i="39"/>
  <c r="BE208" i="39" s="1"/>
  <c r="BF203" i="39" s="1"/>
  <c r="BG13" i="39"/>
  <c r="BF146" i="39"/>
  <c r="BF205" i="39"/>
  <c r="BH120" i="39"/>
  <c r="BI121" i="39"/>
  <c r="BF208" i="39" l="1"/>
  <c r="BG146" i="39"/>
  <c r="BG205" i="39"/>
  <c r="BG208" i="39" s="1"/>
  <c r="BI120" i="39"/>
  <c r="BI13" i="39" s="1"/>
  <c r="BJ121" i="39"/>
  <c r="BH13" i="39"/>
  <c r="BJ120" i="39" l="1"/>
  <c r="BK121" i="39"/>
  <c r="BH146" i="39"/>
  <c r="BH205" i="39"/>
  <c r="BI146" i="39"/>
  <c r="BI205" i="39"/>
  <c r="BG210" i="39"/>
  <c r="BG50" i="61" s="1"/>
  <c r="BH203" i="39"/>
  <c r="BK120" i="39" l="1"/>
  <c r="BK13" i="39" s="1"/>
  <c r="BL121" i="39"/>
  <c r="BM121" i="39" s="1"/>
  <c r="BH208" i="39"/>
  <c r="BI203" i="39" s="1"/>
  <c r="BI208" i="39" s="1"/>
  <c r="BJ203" i="39" s="1"/>
  <c r="BL203" i="39"/>
  <c r="BG211" i="39"/>
  <c r="BJ13" i="39"/>
  <c r="BN121" i="39" l="1"/>
  <c r="BM120" i="39"/>
  <c r="BL120" i="39"/>
  <c r="BK205" i="39"/>
  <c r="BK146" i="39"/>
  <c r="BJ146" i="39"/>
  <c r="BJ205" i="39"/>
  <c r="BL13" i="39"/>
  <c r="BM13" i="39" l="1"/>
  <c r="BO121" i="39"/>
  <c r="BN120" i="39"/>
  <c r="BN13" i="39" s="1"/>
  <c r="BL146" i="39"/>
  <c r="BL205" i="39"/>
  <c r="BL208" i="39" s="1"/>
  <c r="BJ208" i="39"/>
  <c r="BK203" i="39" s="1"/>
  <c r="BK208" i="39" s="1"/>
  <c r="BM205" i="39" l="1"/>
  <c r="BM146" i="39"/>
  <c r="BN205" i="39"/>
  <c r="BN146" i="39"/>
  <c r="BO120" i="39"/>
  <c r="BO13" i="39" s="1"/>
  <c r="BP121" i="39"/>
  <c r="BL210" i="39"/>
  <c r="BM203" i="39"/>
  <c r="BL211" i="39" l="1"/>
  <c r="BL50" i="61"/>
  <c r="BP120" i="39"/>
  <c r="BQ121" i="39"/>
  <c r="BQ203" i="39"/>
  <c r="BM208" i="39"/>
  <c r="BN203" i="39" s="1"/>
  <c r="BN208" i="39" s="1"/>
  <c r="BO203" i="39" s="1"/>
  <c r="BO205" i="39"/>
  <c r="BO146" i="39"/>
  <c r="BP13" i="39" l="1"/>
  <c r="BQ120" i="39"/>
  <c r="BO208" i="39"/>
  <c r="BP203" i="39" s="1"/>
  <c r="BP205" i="39" l="1"/>
  <c r="BQ205" i="39" s="1"/>
  <c r="BQ208" i="39" s="1"/>
  <c r="BQ210" i="39" s="1"/>
  <c r="BQ50" i="61" s="1"/>
  <c r="BP146" i="39"/>
  <c r="BQ13" i="39"/>
  <c r="BQ146" i="39" s="1"/>
  <c r="BP208" i="39" l="1"/>
  <c r="BQ211" i="39"/>
  <c r="CW13" i="72" l="1"/>
  <c r="CW14" i="72" s="1"/>
  <c r="CW21" i="72" s="1"/>
  <c r="CW22" i="72" l="1"/>
  <c r="CW26" i="72" s="1"/>
  <c r="DB13" i="72" l="1"/>
  <c r="DB14" i="72" s="1"/>
  <c r="DB21" i="72" s="1"/>
  <c r="DB22" i="72" l="1"/>
  <c r="AN597" i="41" l="1"/>
  <c r="AN64" i="42" s="1"/>
  <c r="DF39" i="3" l="1"/>
  <c r="AN63" i="42"/>
  <c r="AN254" i="4"/>
  <c r="AP31" i="41" l="1"/>
  <c r="AP34" i="41" s="1"/>
  <c r="AP593" i="41" s="1"/>
  <c r="AR593" i="41" s="1"/>
  <c r="AP41" i="41" l="1"/>
  <c r="AP36" i="41"/>
  <c r="AP42" i="41" s="1"/>
  <c r="AP76" i="4" s="1"/>
  <c r="AP79" i="4" s="1"/>
  <c r="AP122" i="4" l="1"/>
  <c r="AP125" i="4" s="1"/>
  <c r="AP253" i="4" l="1"/>
  <c r="X36" i="72" l="1"/>
  <c r="AX85" i="39" l="1"/>
  <c r="BB85" i="39" s="1"/>
  <c r="DH62" i="3" l="1"/>
  <c r="AP178" i="4"/>
  <c r="DH11" i="3"/>
  <c r="DH60" i="3"/>
  <c r="AP161" i="4"/>
  <c r="AP172" i="4" s="1"/>
  <c r="AP191" i="4"/>
  <c r="AP209" i="4" s="1"/>
  <c r="DH16" i="3" s="1"/>
  <c r="DH9" i="3"/>
  <c r="DH12" i="3"/>
  <c r="AP246" i="4"/>
  <c r="AP247" i="4"/>
  <c r="AP212" i="4" l="1"/>
  <c r="AP210" i="4" s="1"/>
  <c r="DH13" i="3"/>
  <c r="DH18" i="3" s="1"/>
  <c r="AP183" i="4"/>
  <c r="AP193" i="4" s="1"/>
  <c r="AP195" i="4" s="1"/>
  <c r="AP213" i="4" l="1"/>
  <c r="AP207" i="4"/>
  <c r="AP204" i="4"/>
  <c r="AU10" i="39" l="1"/>
  <c r="AQ188" i="39" l="1"/>
  <c r="AR188" i="39" l="1"/>
  <c r="AR199" i="39" s="1"/>
  <c r="AQ185" i="39" l="1"/>
  <c r="AQ189" i="39"/>
  <c r="AR185" i="39" l="1"/>
  <c r="AR189" i="39"/>
  <c r="AR218" i="39"/>
  <c r="AR70" i="39" s="1"/>
  <c r="DJ38" i="3"/>
  <c r="AR198" i="39" l="1"/>
  <c r="DJ50" i="3"/>
  <c r="AR10" i="3" l="1"/>
  <c r="AU14" i="40" l="1"/>
  <c r="AU16" i="40" s="1"/>
  <c r="AU20" i="4" l="1"/>
  <c r="AW20" i="4" s="1"/>
  <c r="AU20" i="40"/>
  <c r="AU21" i="40" s="1"/>
  <c r="AP611" i="41"/>
  <c r="AP110" i="39" l="1"/>
  <c r="AZ109" i="39" l="1"/>
  <c r="BB109" i="39" l="1"/>
  <c r="BB110" i="39" s="1"/>
  <c r="AZ107" i="39"/>
  <c r="BE109" i="39"/>
  <c r="AU16" i="39" l="1"/>
  <c r="AU18" i="39" s="1"/>
  <c r="AZ12" i="39"/>
  <c r="BB107" i="39"/>
  <c r="BE107" i="39"/>
  <c r="BG109" i="39"/>
  <c r="BG110" i="39" s="1"/>
  <c r="BJ109" i="39"/>
  <c r="BO109" i="39" s="1"/>
  <c r="AU18" i="4" l="1"/>
  <c r="AW18" i="4" s="1"/>
  <c r="AW23" i="4" s="1"/>
  <c r="BO107" i="39"/>
  <c r="BQ109" i="39"/>
  <c r="BL109" i="39"/>
  <c r="BL110" i="39" s="1"/>
  <c r="BJ107" i="39"/>
  <c r="BE12" i="39"/>
  <c r="BG107" i="39"/>
  <c r="BB12" i="39"/>
  <c r="BQ110" i="39" l="1"/>
  <c r="BO12" i="39"/>
  <c r="BQ107" i="39"/>
  <c r="BJ12" i="39"/>
  <c r="BL107" i="39"/>
  <c r="BG12" i="39"/>
  <c r="BQ12" i="39" l="1"/>
  <c r="BL12" i="39"/>
  <c r="AO597" i="41" l="1"/>
  <c r="AO64" i="42" s="1"/>
  <c r="AO109" i="4"/>
  <c r="AO111" i="4" s="1"/>
  <c r="AO112" i="4" s="1"/>
  <c r="AO115" i="4" l="1"/>
  <c r="DG39" i="3"/>
  <c r="AO254" i="4"/>
  <c r="AO63" i="42"/>
  <c r="AR596" i="41"/>
  <c r="AP597" i="41"/>
  <c r="AP64" i="42" l="1"/>
  <c r="DH39" i="3" s="1"/>
  <c r="AP63" i="42" l="1"/>
  <c r="AP254" i="4"/>
  <c r="AP109" i="4" l="1"/>
  <c r="AR636" i="41" l="1"/>
  <c r="CH43" i="72"/>
  <c r="AH10" i="72" l="1"/>
  <c r="AX69" i="4" l="1"/>
  <c r="AX144" i="4"/>
  <c r="AX246" i="4" l="1"/>
  <c r="AX121" i="4"/>
  <c r="BA144" i="4" l="1"/>
  <c r="BA121" i="4" s="1"/>
  <c r="BC144" i="4"/>
  <c r="BC69" i="4"/>
  <c r="BA69" i="4"/>
  <c r="AY69" i="4"/>
  <c r="AY144" i="4"/>
  <c r="BB69" i="4" l="1"/>
  <c r="AY246" i="4"/>
  <c r="BB144" i="4"/>
  <c r="AY121" i="4"/>
  <c r="BC246" i="4"/>
  <c r="BC121" i="4"/>
  <c r="BA246" i="4"/>
  <c r="DT59" i="3" l="1"/>
  <c r="BB246" i="4"/>
  <c r="BB121" i="4"/>
  <c r="BD69" i="4" l="1"/>
  <c r="BD144" i="4"/>
  <c r="BD246" i="4" l="1"/>
  <c r="BD121" i="4"/>
  <c r="BF69" i="4" l="1"/>
  <c r="BF144" i="4"/>
  <c r="BF246" i="4" l="1"/>
  <c r="BF121" i="4"/>
  <c r="AX8" i="41" l="1"/>
  <c r="AX10" i="41" s="1"/>
  <c r="AY8" i="41"/>
  <c r="AZ8" i="41"/>
  <c r="BA8" i="41"/>
  <c r="BA10" i="41" s="1"/>
  <c r="AT210" i="41"/>
  <c r="AV210" i="41"/>
  <c r="AX210" i="41"/>
  <c r="AY210" i="41"/>
  <c r="AZ210" i="41"/>
  <c r="BA210" i="41"/>
  <c r="BB210" i="41"/>
  <c r="AT215" i="41"/>
  <c r="AT105" i="41" s="1"/>
  <c r="AT108" i="41" s="1"/>
  <c r="AU105" i="41"/>
  <c r="AU108" i="41" s="1"/>
  <c r="AV215" i="41"/>
  <c r="AV105" i="41" s="1"/>
  <c r="AV108" i="41" s="1"/>
  <c r="AX215" i="41"/>
  <c r="AX105" i="41" s="1"/>
  <c r="AY215" i="41"/>
  <c r="AY105" i="41" s="1"/>
  <c r="AY108" i="41" s="1"/>
  <c r="AZ215" i="41"/>
  <c r="AZ105" i="41" s="1"/>
  <c r="AZ108" i="41" s="1"/>
  <c r="BA215" i="41"/>
  <c r="BA105" i="41" s="1"/>
  <c r="BA108" i="41" s="1"/>
  <c r="BB215" i="41"/>
  <c r="AY10" i="41" l="1"/>
  <c r="BB8" i="41"/>
  <c r="BB10" i="41" s="1"/>
  <c r="AU10" i="41"/>
  <c r="AZ10" i="41"/>
  <c r="BB105" i="41"/>
  <c r="BB108" i="41" s="1"/>
  <c r="BB110" i="41" s="1"/>
  <c r="AX108" i="41"/>
  <c r="AQ30" i="4" l="1"/>
  <c r="AQ25" i="42" s="1"/>
  <c r="AQ31" i="4"/>
  <c r="AQ26" i="42" s="1"/>
  <c r="AR32" i="4"/>
  <c r="AR34" i="4" s="1"/>
  <c r="AR104" i="4" s="1"/>
  <c r="AQ36" i="4"/>
  <c r="AQ39" i="4"/>
  <c r="AQ34" i="42" s="1"/>
  <c r="AQ40" i="4"/>
  <c r="DI38" i="3"/>
  <c r="DJ41" i="3"/>
  <c r="DJ39" i="3" s="1"/>
  <c r="DJ28" i="3"/>
  <c r="AR248" i="4"/>
  <c r="AQ27" i="42" l="1"/>
  <c r="AQ29" i="42" s="1"/>
  <c r="AQ35" i="42"/>
  <c r="AQ248" i="4"/>
  <c r="BA34" i="42"/>
  <c r="AQ32" i="4"/>
  <c r="AQ34" i="4" s="1"/>
  <c r="AQ38" i="4" s="1"/>
  <c r="AQ249" i="4" s="1"/>
  <c r="AQ31" i="42"/>
  <c r="BA26" i="42"/>
  <c r="AR38" i="4"/>
  <c r="AR42" i="4" s="1"/>
  <c r="AR50" i="4" s="1"/>
  <c r="AX185" i="4" l="1"/>
  <c r="AY185" i="4" s="1"/>
  <c r="AZ185" i="4" s="1"/>
  <c r="AQ33" i="42"/>
  <c r="AQ37" i="42" s="1"/>
  <c r="AQ104" i="4"/>
  <c r="BF34" i="42"/>
  <c r="BB34" i="42"/>
  <c r="BA39" i="4"/>
  <c r="BB39" i="4" s="1"/>
  <c r="BF26" i="42"/>
  <c r="BB26" i="42"/>
  <c r="BA31" i="4"/>
  <c r="BB31" i="4" s="1"/>
  <c r="BA35" i="42"/>
  <c r="AR249" i="4"/>
  <c r="AQ42" i="4"/>
  <c r="AQ44" i="4" s="1"/>
  <c r="AQ61" i="42" l="1"/>
  <c r="AR61" i="42" s="1"/>
  <c r="BA185" i="4"/>
  <c r="BB185" i="4" s="1"/>
  <c r="BC185" i="4" s="1"/>
  <c r="BD185" i="4" s="1"/>
  <c r="BE185" i="4" s="1"/>
  <c r="BK34" i="42"/>
  <c r="BG34" i="42"/>
  <c r="BF39" i="4"/>
  <c r="BG39" i="4" s="1"/>
  <c r="BK26" i="42"/>
  <c r="BG26" i="42"/>
  <c r="BF31" i="4"/>
  <c r="BG31" i="4" s="1"/>
  <c r="BF35" i="42"/>
  <c r="BB35" i="42"/>
  <c r="BA40" i="4"/>
  <c r="AQ44" i="42"/>
  <c r="AQ39" i="42"/>
  <c r="AQ45" i="42" s="1"/>
  <c r="AR44" i="4"/>
  <c r="AR51" i="4" s="1"/>
  <c r="BK35" i="42" l="1"/>
  <c r="BG35" i="42"/>
  <c r="BF40" i="4"/>
  <c r="BP26" i="42"/>
  <c r="BL26" i="42"/>
  <c r="BK31" i="4"/>
  <c r="BL31" i="4" s="1"/>
  <c r="BF185" i="4"/>
  <c r="BG185" i="4" s="1"/>
  <c r="BH185" i="4" s="1"/>
  <c r="BI185" i="4" s="1"/>
  <c r="BJ185" i="4" s="1"/>
  <c r="BA248" i="4"/>
  <c r="BB40" i="4"/>
  <c r="BB248" i="4" s="1"/>
  <c r="BP34" i="42"/>
  <c r="BL34" i="42"/>
  <c r="BK39" i="4"/>
  <c r="BL39" i="4" s="1"/>
  <c r="AR52" i="4"/>
  <c r="AR65" i="4"/>
  <c r="AR217" i="4"/>
  <c r="AR222" i="4"/>
  <c r="BK185" i="4" l="1"/>
  <c r="BL185" i="4" s="1"/>
  <c r="BM185" i="4" s="1"/>
  <c r="BN185" i="4" s="1"/>
  <c r="BO185" i="4" s="1"/>
  <c r="BF248" i="4"/>
  <c r="BG40" i="4"/>
  <c r="BG248" i="4" s="1"/>
  <c r="BP31" i="4"/>
  <c r="BQ31" i="4" s="1"/>
  <c r="BQ26" i="42"/>
  <c r="BP39" i="4"/>
  <c r="BQ39" i="4" s="1"/>
  <c r="BQ34" i="42"/>
  <c r="BP35" i="42"/>
  <c r="BL35" i="42"/>
  <c r="BK40" i="4"/>
  <c r="AR234" i="4"/>
  <c r="DJ27" i="3" s="1"/>
  <c r="DJ47" i="3"/>
  <c r="DJ55" i="3"/>
  <c r="DJ59" i="3"/>
  <c r="DI60" i="3"/>
  <c r="DJ60" i="3"/>
  <c r="DJ61" i="3"/>
  <c r="DI62" i="3"/>
  <c r="DJ62" i="3"/>
  <c r="DI45" i="3"/>
  <c r="DJ45" i="3"/>
  <c r="DJ51" i="3" s="1"/>
  <c r="DJ53" i="3" s="1"/>
  <c r="DJ56" i="3" s="1"/>
  <c r="AQ121" i="4"/>
  <c r="AR121" i="4"/>
  <c r="AQ124" i="4"/>
  <c r="AR124" i="4"/>
  <c r="DI9" i="3"/>
  <c r="DJ9" i="3"/>
  <c r="DI11" i="3"/>
  <c r="DI12" i="3"/>
  <c r="DJ12" i="3"/>
  <c r="DI16" i="3"/>
  <c r="AR246" i="4"/>
  <c r="AR247" i="4"/>
  <c r="AQ68" i="42"/>
  <c r="AQ255" i="4" s="1"/>
  <c r="BP40" i="4" l="1"/>
  <c r="BQ35" i="42"/>
  <c r="BK248" i="4"/>
  <c r="BL40" i="4"/>
  <c r="BL248" i="4" s="1"/>
  <c r="BP185" i="4"/>
  <c r="BQ185" i="4" s="1"/>
  <c r="DJ64" i="3"/>
  <c r="AQ67" i="42"/>
  <c r="AR67" i="42" s="1"/>
  <c r="AR68" i="42" s="1"/>
  <c r="DI13" i="3"/>
  <c r="DI18" i="3" s="1"/>
  <c r="AR57" i="3"/>
  <c r="BP248" i="4" l="1"/>
  <c r="BQ40" i="4"/>
  <c r="BQ248" i="4" s="1"/>
  <c r="AR42" i="3"/>
  <c r="AR61" i="3"/>
  <c r="DJ16" i="3"/>
  <c r="DJ11" i="3"/>
  <c r="DJ13" i="3" s="1"/>
  <c r="AQ195" i="4"/>
  <c r="AR255" i="4"/>
  <c r="DJ23" i="3" l="1"/>
  <c r="AM61" i="3"/>
  <c r="AW61" i="3"/>
  <c r="AR62" i="3"/>
  <c r="DJ18" i="3"/>
  <c r="AR63" i="3"/>
  <c r="AQ50" i="4"/>
  <c r="AQ51" i="4"/>
  <c r="AQ65" i="4" s="1"/>
  <c r="AR195" i="4"/>
  <c r="AR54" i="3"/>
  <c r="BB61" i="3" l="1"/>
  <c r="AW62" i="3"/>
  <c r="AQ52" i="4"/>
  <c r="AR64" i="3"/>
  <c r="AM54" i="3"/>
  <c r="AH61" i="3"/>
  <c r="AM62" i="3"/>
  <c r="AM64" i="3" s="1"/>
  <c r="AM52" i="3" s="1"/>
  <c r="DJ21" i="3"/>
  <c r="DJ22" i="3"/>
  <c r="AH54" i="3" l="1"/>
  <c r="AC61" i="3"/>
  <c r="AH62" i="3"/>
  <c r="AH64" i="3" s="1"/>
  <c r="AH52" i="3" s="1"/>
  <c r="BG61" i="3"/>
  <c r="BB62" i="3"/>
  <c r="AW42" i="3" l="1"/>
  <c r="AX46" i="4"/>
  <c r="AX47" i="4" s="1"/>
  <c r="AC54" i="3"/>
  <c r="X61" i="3"/>
  <c r="AC62" i="3"/>
  <c r="AC64" i="3" s="1"/>
  <c r="AC52" i="3" s="1"/>
  <c r="BL61" i="3"/>
  <c r="BG62" i="3"/>
  <c r="X54" i="3" l="1"/>
  <c r="S61" i="3"/>
  <c r="X62" i="3"/>
  <c r="X64" i="3" s="1"/>
  <c r="X52" i="3" s="1"/>
  <c r="AX37" i="39"/>
  <c r="AX38" i="41"/>
  <c r="AX64" i="4"/>
  <c r="AX41" i="42"/>
  <c r="AX35" i="40"/>
  <c r="BQ61" i="3"/>
  <c r="BQ62" i="3" s="1"/>
  <c r="BL62" i="3"/>
  <c r="AY46" i="4"/>
  <c r="AZ46" i="4" l="1"/>
  <c r="AY47" i="4"/>
  <c r="AX145" i="4"/>
  <c r="S54" i="3"/>
  <c r="N61" i="3"/>
  <c r="S62" i="3"/>
  <c r="S64" i="3" s="1"/>
  <c r="S52" i="3" s="1"/>
  <c r="AW43" i="3"/>
  <c r="AX48" i="4"/>
  <c r="AX124" i="4" l="1"/>
  <c r="AX147" i="4"/>
  <c r="AX247" i="4"/>
  <c r="AY38" i="41"/>
  <c r="AY37" i="39"/>
  <c r="AY48" i="4"/>
  <c r="AY64" i="4"/>
  <c r="AY41" i="42"/>
  <c r="AY35" i="40"/>
  <c r="BA46" i="4"/>
  <c r="BB46" i="4" s="1"/>
  <c r="AX38" i="39"/>
  <c r="AX39" i="41"/>
  <c r="AX42" i="42"/>
  <c r="AX36" i="40"/>
  <c r="AW44" i="3"/>
  <c r="N54" i="3"/>
  <c r="N62" i="3"/>
  <c r="N64" i="3" s="1"/>
  <c r="N52" i="3" s="1"/>
  <c r="AZ47" i="4"/>
  <c r="BB42" i="3" l="1"/>
  <c r="BC46" i="4"/>
  <c r="BC47" i="4" s="1"/>
  <c r="AY145" i="4"/>
  <c r="AZ37" i="39"/>
  <c r="AZ38" i="41"/>
  <c r="AZ48" i="4"/>
  <c r="AZ64" i="4"/>
  <c r="AZ145" i="4" s="1"/>
  <c r="AZ41" i="42"/>
  <c r="AZ35" i="40"/>
  <c r="BA47" i="4"/>
  <c r="BB47" i="4" s="1"/>
  <c r="AY39" i="41"/>
  <c r="AY38" i="39"/>
  <c r="AY42" i="42"/>
  <c r="AY36" i="40"/>
  <c r="BB37" i="39" l="1"/>
  <c r="BB38" i="41"/>
  <c r="BB43" i="3"/>
  <c r="BB41" i="42"/>
  <c r="BB35" i="40"/>
  <c r="AZ124" i="4"/>
  <c r="AZ147" i="4"/>
  <c r="AZ247" i="4"/>
  <c r="BC38" i="41"/>
  <c r="BC37" i="39"/>
  <c r="BC64" i="4"/>
  <c r="BC41" i="42"/>
  <c r="BC35" i="40"/>
  <c r="BA38" i="41"/>
  <c r="BA37" i="39"/>
  <c r="BA48" i="4"/>
  <c r="BB48" i="4" s="1"/>
  <c r="BA64" i="4"/>
  <c r="BA145" i="4" s="1"/>
  <c r="BB145" i="4" s="1"/>
  <c r="BA41" i="42"/>
  <c r="BA35" i="40"/>
  <c r="AZ38" i="39"/>
  <c r="AZ39" i="41"/>
  <c r="AZ42" i="42"/>
  <c r="AZ36" i="40"/>
  <c r="AY147" i="4"/>
  <c r="AY124" i="4"/>
  <c r="AY247" i="4"/>
  <c r="BD46" i="4"/>
  <c r="CQ77" i="61" l="1"/>
  <c r="BB60" i="61"/>
  <c r="BA39" i="41"/>
  <c r="BA38" i="39"/>
  <c r="BA42" i="42"/>
  <c r="BA36" i="40"/>
  <c r="BC48" i="4"/>
  <c r="BB64" i="4"/>
  <c r="BD47" i="4"/>
  <c r="DT55" i="3"/>
  <c r="BB124" i="4"/>
  <c r="BB147" i="4"/>
  <c r="BB247" i="4"/>
  <c r="BB38" i="39"/>
  <c r="BW103" i="61" s="1"/>
  <c r="BB39" i="41"/>
  <c r="BB44" i="3"/>
  <c r="BB42" i="42"/>
  <c r="BB36" i="40"/>
  <c r="BA147" i="4"/>
  <c r="BA124" i="4"/>
  <c r="BA247" i="4"/>
  <c r="BC145" i="4"/>
  <c r="BC147" i="4" l="1"/>
  <c r="BC124" i="4"/>
  <c r="BC247" i="4"/>
  <c r="BD37" i="39"/>
  <c r="BD38" i="41"/>
  <c r="BD48" i="4"/>
  <c r="BD64" i="4"/>
  <c r="BD41" i="42"/>
  <c r="BD35" i="40"/>
  <c r="BC39" i="41"/>
  <c r="BC38" i="39"/>
  <c r="BC42" i="42"/>
  <c r="BC36" i="40"/>
  <c r="BD38" i="39" l="1"/>
  <c r="BD39" i="41"/>
  <c r="BD42" i="42"/>
  <c r="BD36" i="40"/>
  <c r="BD145" i="4"/>
  <c r="BD124" i="4" l="1"/>
  <c r="BD147" i="4"/>
  <c r="BD247" i="4"/>
  <c r="AQ55" i="39" l="1"/>
  <c r="AR55" i="39"/>
  <c r="AQ65" i="39" l="1"/>
  <c r="AR65" i="39"/>
  <c r="AW23" i="3" l="1"/>
  <c r="AP171" i="39" l="1"/>
  <c r="AO132" i="39"/>
  <c r="AO155" i="39" s="1"/>
  <c r="AO159" i="39" s="1"/>
  <c r="AO161" i="39" s="1"/>
  <c r="AO162" i="39" s="1"/>
  <c r="AO163" i="39" s="1"/>
  <c r="CS260" i="51" l="1"/>
  <c r="AR132" i="39"/>
  <c r="AP180" i="39"/>
  <c r="AP181" i="39" s="1"/>
  <c r="AP108" i="4"/>
  <c r="CO260" i="51"/>
  <c r="AQ132" i="39"/>
  <c r="AQ155" i="39" s="1"/>
  <c r="AQ159" i="39" s="1"/>
  <c r="AQ161" i="39" s="1"/>
  <c r="AP114" i="4" l="1"/>
  <c r="AP111" i="4"/>
  <c r="AP172" i="39"/>
  <c r="AP178" i="39"/>
  <c r="AP214" i="39" s="1"/>
  <c r="AP175" i="39"/>
  <c r="CQ260" i="51"/>
  <c r="AN132" i="39"/>
  <c r="AN155" i="39" s="1"/>
  <c r="CP260" i="51"/>
  <c r="CR260" i="51"/>
  <c r="AR155" i="39" l="1"/>
  <c r="AR159" i="39" s="1"/>
  <c r="AR161" i="39" s="1"/>
  <c r="AP112" i="4"/>
  <c r="AP115" i="4"/>
  <c r="AN159" i="39"/>
  <c r="AN161" i="39" l="1"/>
  <c r="AN162" i="39" s="1"/>
  <c r="AR192" i="39" l="1"/>
  <c r="AR193" i="39"/>
  <c r="AR194" i="39"/>
  <c r="AR195" i="39"/>
  <c r="AR214" i="39"/>
  <c r="AR219" i="39" s="1"/>
  <c r="AR71" i="39" s="1"/>
  <c r="AR37" i="61" s="1"/>
  <c r="AR55" i="61" s="1"/>
  <c r="AR57" i="61" s="1"/>
  <c r="AR59" i="61" s="1"/>
  <c r="AR61" i="61" s="1"/>
  <c r="AR66" i="61" s="1"/>
  <c r="AR108" i="4"/>
  <c r="AR114" i="4" l="1"/>
  <c r="AQ162" i="39" l="1"/>
  <c r="AR162" i="39" s="1"/>
  <c r="AQ214" i="39"/>
  <c r="AQ108" i="4"/>
  <c r="AQ163" i="39" l="1"/>
  <c r="AR163" i="39" s="1"/>
  <c r="AQ114" i="4"/>
  <c r="AQ53" i="40" l="1"/>
  <c r="AR53" i="40"/>
  <c r="AQ54" i="40"/>
  <c r="AR54" i="40"/>
  <c r="AW25" i="3" l="1"/>
  <c r="BY198" i="41" l="1"/>
  <c r="AQ542" i="41"/>
  <c r="AQ544" i="41" s="1"/>
  <c r="AQ545" i="41" s="1"/>
  <c r="AR542" i="41"/>
  <c r="AR544" i="41" s="1"/>
  <c r="AQ548" i="41"/>
  <c r="AQ549" i="41" s="1"/>
  <c r="AR548" i="41"/>
  <c r="AR549" i="41" s="1"/>
  <c r="AR597" i="41"/>
  <c r="AQ597" i="41"/>
  <c r="AQ64" i="42" s="1"/>
  <c r="AQ63" i="42" s="1"/>
  <c r="AR63" i="42" s="1"/>
  <c r="AR64" i="42" s="1"/>
  <c r="AR633" i="41"/>
  <c r="AR646" i="41" s="1"/>
  <c r="AR634" i="41"/>
  <c r="AR647" i="41" s="1"/>
  <c r="AR635" i="41"/>
  <c r="AR637" i="41"/>
  <c r="AR24" i="3"/>
  <c r="AR27" i="3" s="1"/>
  <c r="AR31" i="3" s="1"/>
  <c r="AQ19" i="4"/>
  <c r="AR19" i="4" s="1"/>
  <c r="AR23" i="4" s="1"/>
  <c r="AQ76" i="4"/>
  <c r="AR76" i="4"/>
  <c r="AR11" i="3" s="1"/>
  <c r="AQ252" i="4"/>
  <c r="AR252" i="4"/>
  <c r="CH41" i="72"/>
  <c r="AH8" i="72" s="1"/>
  <c r="AQ23" i="4" l="1"/>
  <c r="AR218" i="4"/>
  <c r="AR545" i="41"/>
  <c r="CH59" i="72"/>
  <c r="CH44" i="72"/>
  <c r="CH45" i="72" s="1"/>
  <c r="CH52" i="72" s="1"/>
  <c r="AR30" i="3"/>
  <c r="AR52" i="3"/>
  <c r="DI39" i="3"/>
  <c r="AQ254" i="4"/>
  <c r="AQ122" i="4"/>
  <c r="AQ125" i="4" s="1"/>
  <c r="AQ253" i="4"/>
  <c r="AQ78" i="4"/>
  <c r="AQ79" i="4" s="1"/>
  <c r="AH11" i="72"/>
  <c r="AH12" i="72" s="1"/>
  <c r="AH19" i="72" s="1"/>
  <c r="AH20" i="72" s="1"/>
  <c r="BB544" i="41" l="1"/>
  <c r="AY544" i="41" s="1"/>
  <c r="AY542" i="41" s="1"/>
  <c r="AY12" i="41" s="1"/>
  <c r="AT19" i="4"/>
  <c r="AT23" i="4" s="1"/>
  <c r="CH60" i="72"/>
  <c r="CH53" i="72"/>
  <c r="CH57" i="72" s="1"/>
  <c r="BA548" i="41"/>
  <c r="AR254" i="4"/>
  <c r="AS15" i="41"/>
  <c r="AS17" i="41" s="1"/>
  <c r="AS21" i="41" s="1"/>
  <c r="AR122" i="4"/>
  <c r="AR125" i="4" s="1"/>
  <c r="AR253" i="4"/>
  <c r="BA544" i="41" l="1"/>
  <c r="BA542" i="41" s="1"/>
  <c r="BA12" i="41" s="1"/>
  <c r="BG544" i="41"/>
  <c r="BF544" i="41" s="1"/>
  <c r="AS22" i="41"/>
  <c r="AS28" i="41"/>
  <c r="AS19" i="4"/>
  <c r="AS23" i="4" s="1"/>
  <c r="AS252" i="4"/>
  <c r="AX544" i="41"/>
  <c r="AX542" i="41" s="1"/>
  <c r="AX12" i="41" s="1"/>
  <c r="AZ544" i="41"/>
  <c r="AZ542" i="41" s="1"/>
  <c r="AZ12" i="41" s="1"/>
  <c r="BA14" i="41"/>
  <c r="BB14" i="41" s="1"/>
  <c r="BF548" i="41"/>
  <c r="BB548" i="41"/>
  <c r="AR78" i="4"/>
  <c r="AR10" i="61" s="1"/>
  <c r="AR11" i="61" s="1"/>
  <c r="AR18" i="61" s="1"/>
  <c r="AR20" i="61" s="1"/>
  <c r="AR22" i="61" s="1"/>
  <c r="BC544" i="41" l="1"/>
  <c r="BC542" i="41" s="1"/>
  <c r="BD544" i="41"/>
  <c r="BD542" i="41" s="1"/>
  <c r="BD12" i="41" s="1"/>
  <c r="BE544" i="41"/>
  <c r="BE542" i="41" s="1"/>
  <c r="BE12" i="41" s="1"/>
  <c r="AS575" i="41"/>
  <c r="AS574" i="41"/>
  <c r="BB542" i="41"/>
  <c r="AT252" i="4"/>
  <c r="BF14" i="41"/>
  <c r="BK548" i="41"/>
  <c r="BG548" i="41"/>
  <c r="BB136" i="41"/>
  <c r="BF542" i="41"/>
  <c r="BF12" i="41" s="1"/>
  <c r="BK544" i="41"/>
  <c r="AR13" i="3"/>
  <c r="AR79" i="4"/>
  <c r="BB12" i="41"/>
  <c r="BH544" i="41" l="1"/>
  <c r="BH542" i="41" s="1"/>
  <c r="BI544" i="41"/>
  <c r="BN544" i="41" s="1"/>
  <c r="BN542" i="41" s="1"/>
  <c r="BN12" i="41" s="1"/>
  <c r="BJ544" i="41"/>
  <c r="BO544" i="41" s="1"/>
  <c r="BO542" i="41" s="1"/>
  <c r="BO12" i="41" s="1"/>
  <c r="BG14" i="41"/>
  <c r="BG136" i="41" s="1"/>
  <c r="AX136" i="41"/>
  <c r="BB137" i="41"/>
  <c r="BK14" i="41"/>
  <c r="BP548" i="41"/>
  <c r="BL548" i="41"/>
  <c r="BT131" i="41"/>
  <c r="BC12" i="41"/>
  <c r="BG542" i="41"/>
  <c r="BK542" i="41"/>
  <c r="BK12" i="41" s="1"/>
  <c r="BP544" i="41"/>
  <c r="BP542" i="41" s="1"/>
  <c r="BP12" i="41" s="1"/>
  <c r="BI542" i="41"/>
  <c r="BI12" i="41" s="1"/>
  <c r="AR39" i="3"/>
  <c r="AR14" i="3"/>
  <c r="AR19" i="3" s="1"/>
  <c r="BJ542" i="41" l="1"/>
  <c r="BJ12" i="41" s="1"/>
  <c r="BM544" i="41"/>
  <c r="BM542" i="41" s="1"/>
  <c r="BL544" i="41"/>
  <c r="AY136" i="41"/>
  <c r="AX137" i="41"/>
  <c r="BP14" i="41"/>
  <c r="BQ548" i="41"/>
  <c r="BL14" i="41"/>
  <c r="BL136" i="41" s="1"/>
  <c r="BG137" i="41"/>
  <c r="BC136" i="41"/>
  <c r="BY199" i="41"/>
  <c r="AR56" i="3"/>
  <c r="AR58" i="3"/>
  <c r="AR18" i="3"/>
  <c r="AR51" i="3"/>
  <c r="BQ544" i="41"/>
  <c r="BH12" i="41"/>
  <c r="BL542" i="41"/>
  <c r="BG12" i="41"/>
  <c r="BQ14" i="41" l="1"/>
  <c r="BQ136" i="41" s="1"/>
  <c r="BD136" i="41"/>
  <c r="BC137" i="41"/>
  <c r="BH136" i="41"/>
  <c r="BL137" i="41"/>
  <c r="AZ136" i="41"/>
  <c r="AY137" i="41"/>
  <c r="BL12" i="41"/>
  <c r="BM12" i="41"/>
  <c r="BQ542" i="41"/>
  <c r="BI136" i="41" l="1"/>
  <c r="BH137" i="41"/>
  <c r="BQ137" i="41"/>
  <c r="BM136" i="41"/>
  <c r="BA136" i="41"/>
  <c r="BA137" i="41" s="1"/>
  <c r="AZ137" i="41"/>
  <c r="BE136" i="41"/>
  <c r="BD137" i="41"/>
  <c r="BQ12" i="41"/>
  <c r="BE137" i="41" l="1"/>
  <c r="BF136" i="41"/>
  <c r="BF137" i="41" s="1"/>
  <c r="BJ136" i="41"/>
  <c r="BI137" i="41"/>
  <c r="BN136" i="41"/>
  <c r="BM137" i="41"/>
  <c r="BO136" i="41" l="1"/>
  <c r="BN137" i="41"/>
  <c r="BJ137" i="41"/>
  <c r="BK136" i="41"/>
  <c r="BK137" i="41" s="1"/>
  <c r="BP136" i="41" l="1"/>
  <c r="BP137" i="41" s="1"/>
  <c r="BO137" i="41"/>
  <c r="AL116" i="51" l="1"/>
  <c r="CO116" i="51"/>
  <c r="CS116" i="51" l="1"/>
  <c r="CS11" i="51" s="1"/>
  <c r="CS12" i="51" s="1"/>
  <c r="AO116" i="51"/>
  <c r="AR580" i="41" s="1"/>
  <c r="AO580" i="41"/>
  <c r="AO603" i="41" s="1"/>
  <c r="AO607" i="41" s="1"/>
  <c r="AL11" i="51"/>
  <c r="AL12" i="51" s="1"/>
  <c r="AL118" i="51"/>
  <c r="CO11" i="51"/>
  <c r="CO12" i="51" s="1"/>
  <c r="CO118" i="51"/>
  <c r="CR116" i="51"/>
  <c r="CP116" i="51"/>
  <c r="AM116" i="51"/>
  <c r="AK116" i="51"/>
  <c r="CQ116" i="51"/>
  <c r="AN116" i="51"/>
  <c r="AO118" i="51" l="1"/>
  <c r="AO11" i="51"/>
  <c r="AO12" i="51" s="1"/>
  <c r="CS118" i="51"/>
  <c r="AQ580" i="41"/>
  <c r="AQ603" i="41" s="1"/>
  <c r="AQ607" i="41" s="1"/>
  <c r="AN11" i="51"/>
  <c r="AN12" i="51" s="1"/>
  <c r="AN118" i="51"/>
  <c r="AP580" i="41"/>
  <c r="AP603" i="41" s="1"/>
  <c r="AP607" i="41" s="1"/>
  <c r="AM118" i="51"/>
  <c r="AM11" i="51"/>
  <c r="AM12" i="51" s="1"/>
  <c r="CQ11" i="51"/>
  <c r="CQ12" i="51" s="1"/>
  <c r="CQ118" i="51"/>
  <c r="AN580" i="41"/>
  <c r="AN603" i="41" s="1"/>
  <c r="AK118" i="51"/>
  <c r="AK11" i="51"/>
  <c r="AK12" i="51" s="1"/>
  <c r="CP118" i="51"/>
  <c r="CP11" i="51"/>
  <c r="CP12" i="51" s="1"/>
  <c r="CR118" i="51"/>
  <c r="CR11" i="51"/>
  <c r="CR12" i="51" s="1"/>
  <c r="AO609" i="41"/>
  <c r="AO610" i="41" s="1"/>
  <c r="AO73" i="42"/>
  <c r="AO256" i="4" s="1"/>
  <c r="AO257" i="4" s="1"/>
  <c r="AR603" i="41" l="1"/>
  <c r="AR607" i="41" s="1"/>
  <c r="AR609" i="41" s="1"/>
  <c r="AQ73" i="42"/>
  <c r="AQ609" i="41"/>
  <c r="AO72" i="42"/>
  <c r="AO75" i="42"/>
  <c r="AP609" i="41"/>
  <c r="AP610" i="41" s="1"/>
  <c r="AP73" i="42"/>
  <c r="AN607" i="41"/>
  <c r="AQ75" i="42" l="1"/>
  <c r="AQ72" i="42"/>
  <c r="AQ256" i="4"/>
  <c r="AQ257" i="4" s="1"/>
  <c r="AP72" i="42"/>
  <c r="AP75" i="42"/>
  <c r="AN609" i="41"/>
  <c r="AN610" i="41" s="1"/>
  <c r="AN73" i="42"/>
  <c r="AP256" i="4"/>
  <c r="AP257" i="4" s="1"/>
  <c r="AN72" i="42" l="1"/>
  <c r="AR72" i="42" s="1"/>
  <c r="AR73" i="42" s="1"/>
  <c r="AR75" i="42" s="1"/>
  <c r="AN75" i="42"/>
  <c r="AN256" i="4"/>
  <c r="AN257" i="4" s="1"/>
  <c r="AR256" i="4" l="1"/>
  <c r="AR257" i="4" s="1"/>
  <c r="DK38" i="3" l="1"/>
  <c r="AQ610" i="41" l="1"/>
  <c r="AR610" i="41" s="1"/>
  <c r="AR640" i="41"/>
  <c r="AR641" i="41"/>
  <c r="AR642" i="41"/>
  <c r="AR643" i="41"/>
  <c r="AQ109" i="4"/>
  <c r="AQ111" i="4" s="1"/>
  <c r="AQ112" i="4" s="1"/>
  <c r="AR109" i="4"/>
  <c r="AR111" i="4" s="1"/>
  <c r="AR112" i="4" s="1"/>
  <c r="AQ115" i="4" l="1"/>
  <c r="AR115" i="4"/>
  <c r="AQ611" i="41"/>
  <c r="AR611" i="41" s="1"/>
  <c r="AS31" i="41" l="1"/>
  <c r="AS34" i="41" s="1"/>
  <c r="AS593" i="41" l="1"/>
  <c r="AS597" i="41" s="1"/>
  <c r="AS41" i="41"/>
  <c r="AS36" i="41"/>
  <c r="AS42" i="41" l="1"/>
  <c r="AS76" i="4" s="1"/>
  <c r="AX95" i="40" l="1"/>
  <c r="AX100" i="40" s="1"/>
  <c r="BB95" i="40" l="1"/>
  <c r="BB100" i="40" s="1"/>
  <c r="BC95" i="40" s="1"/>
  <c r="AW110" i="4"/>
  <c r="AT87" i="40"/>
  <c r="AT88" i="40" s="1"/>
  <c r="AS110" i="4"/>
  <c r="AY95" i="40"/>
  <c r="AY100" i="40" s="1"/>
  <c r="AX87" i="40"/>
  <c r="BB102" i="40" l="1"/>
  <c r="BB51" i="61" s="1"/>
  <c r="BB52" i="61" s="1"/>
  <c r="BB87" i="40"/>
  <c r="BB110" i="4" s="1"/>
  <c r="AU87" i="40"/>
  <c r="AU88" i="40" s="1"/>
  <c r="AX88" i="40" s="1"/>
  <c r="AT110" i="4"/>
  <c r="AX110" i="4"/>
  <c r="BG95" i="40"/>
  <c r="BG100" i="40" s="1"/>
  <c r="BC100" i="40"/>
  <c r="AY87" i="40"/>
  <c r="AZ95" i="40"/>
  <c r="AZ100" i="40" s="1"/>
  <c r="BB103" i="40" l="1"/>
  <c r="AY88" i="40"/>
  <c r="AZ88" i="40" s="1"/>
  <c r="BA88" i="40" s="1"/>
  <c r="BB88" i="40" s="1"/>
  <c r="BC88" i="40" s="1"/>
  <c r="BD88" i="40" s="1"/>
  <c r="BE88" i="40" s="1"/>
  <c r="BF88" i="40" s="1"/>
  <c r="BG88" i="40" s="1"/>
  <c r="BH88" i="40" s="1"/>
  <c r="BI88" i="40" s="1"/>
  <c r="BJ88" i="40" s="1"/>
  <c r="BK88" i="40" s="1"/>
  <c r="BL88" i="40" s="1"/>
  <c r="BM88" i="40" s="1"/>
  <c r="BN88" i="40" s="1"/>
  <c r="BO88" i="40" s="1"/>
  <c r="BP88" i="40" s="1"/>
  <c r="BQ88" i="40" s="1"/>
  <c r="AX90" i="40"/>
  <c r="AX91" i="40" s="1"/>
  <c r="AU110" i="4"/>
  <c r="AZ87" i="40"/>
  <c r="BA95" i="40"/>
  <c r="BA100" i="40" s="1"/>
  <c r="BA87" i="40" s="1"/>
  <c r="AU25" i="40"/>
  <c r="AU27" i="40" s="1"/>
  <c r="AY110" i="4"/>
  <c r="BC87" i="40"/>
  <c r="BD95" i="40"/>
  <c r="BD100" i="40" s="1"/>
  <c r="BG87" i="40"/>
  <c r="BG110" i="4" s="1"/>
  <c r="BG102" i="40"/>
  <c r="BG51" i="61" s="1"/>
  <c r="BG52" i="61" s="1"/>
  <c r="BH95" i="40"/>
  <c r="AY90" i="40" l="1"/>
  <c r="AY91" i="40" s="1"/>
  <c r="AY137" i="39" s="1"/>
  <c r="AV110" i="4"/>
  <c r="AU56" i="40"/>
  <c r="AU31" i="40"/>
  <c r="BC110" i="4"/>
  <c r="BC90" i="40"/>
  <c r="AX137" i="39"/>
  <c r="AX23" i="40"/>
  <c r="BA110" i="4"/>
  <c r="BA90" i="40"/>
  <c r="BA91" i="40" s="1"/>
  <c r="BD87" i="40"/>
  <c r="BE95" i="40"/>
  <c r="BE100" i="40" s="1"/>
  <c r="BH100" i="40"/>
  <c r="BL95" i="40"/>
  <c r="BL100" i="40" s="1"/>
  <c r="BG103" i="40"/>
  <c r="AY23" i="40"/>
  <c r="AZ110" i="4"/>
  <c r="AZ90" i="40"/>
  <c r="AU33" i="40" l="1"/>
  <c r="AU39" i="40" s="1"/>
  <c r="AU38" i="40"/>
  <c r="AT77" i="4"/>
  <c r="AZ91" i="40"/>
  <c r="BB90" i="40"/>
  <c r="BF95" i="40"/>
  <c r="BF100" i="40" s="1"/>
  <c r="BF87" i="40" s="1"/>
  <c r="BE87" i="40"/>
  <c r="BD110" i="4"/>
  <c r="BD90" i="40"/>
  <c r="BD91" i="40" s="1"/>
  <c r="BD137" i="39" s="1"/>
  <c r="AY25" i="40"/>
  <c r="BL87" i="40"/>
  <c r="BL110" i="4" s="1"/>
  <c r="BL102" i="40"/>
  <c r="BL51" i="61" s="1"/>
  <c r="BL52" i="61" s="1"/>
  <c r="BM95" i="40"/>
  <c r="BA137" i="39"/>
  <c r="BA23" i="40"/>
  <c r="AX25" i="40"/>
  <c r="BH87" i="40"/>
  <c r="BI95" i="40"/>
  <c r="BI100" i="40" s="1"/>
  <c r="BC91" i="40"/>
  <c r="BC23" i="40" s="1"/>
  <c r="AU77" i="4" l="1"/>
  <c r="BD23" i="40"/>
  <c r="BD25" i="40" s="1"/>
  <c r="BF90" i="40"/>
  <c r="BF91" i="40" s="1"/>
  <c r="BF137" i="39" s="1"/>
  <c r="BF110" i="4"/>
  <c r="BJ95" i="40"/>
  <c r="BJ100" i="40" s="1"/>
  <c r="BI87" i="40"/>
  <c r="BL103" i="40"/>
  <c r="BC25" i="40"/>
  <c r="BH110" i="4"/>
  <c r="BH90" i="40"/>
  <c r="BA25" i="40"/>
  <c r="AZ137" i="39"/>
  <c r="BB137" i="39" s="1"/>
  <c r="AZ23" i="40"/>
  <c r="BB91" i="40"/>
  <c r="BC137" i="39"/>
  <c r="AS31" i="40"/>
  <c r="AS38" i="40" s="1"/>
  <c r="BE110" i="4"/>
  <c r="BE90" i="40"/>
  <c r="BM100" i="40"/>
  <c r="BQ95" i="40"/>
  <c r="BQ100" i="40" s="1"/>
  <c r="BF23" i="40" l="1"/>
  <c r="BF25" i="40" s="1"/>
  <c r="BI110" i="4"/>
  <c r="BI90" i="40"/>
  <c r="BI91" i="40" s="1"/>
  <c r="BQ87" i="40"/>
  <c r="BQ110" i="4" s="1"/>
  <c r="BQ102" i="40"/>
  <c r="BQ51" i="61" s="1"/>
  <c r="BQ52" i="61" s="1"/>
  <c r="BE91" i="40"/>
  <c r="BE23" i="40" s="1"/>
  <c r="BG90" i="40"/>
  <c r="AS33" i="40"/>
  <c r="BN95" i="40"/>
  <c r="BN100" i="40" s="1"/>
  <c r="BM87" i="40"/>
  <c r="BK95" i="40"/>
  <c r="BK100" i="40" s="1"/>
  <c r="BK87" i="40" s="1"/>
  <c r="BJ87" i="40"/>
  <c r="AZ25" i="40"/>
  <c r="BB23" i="40"/>
  <c r="BB25" i="40" s="1"/>
  <c r="BH91" i="40"/>
  <c r="AS39" i="40" l="1"/>
  <c r="AS77" i="4" s="1"/>
  <c r="AS79" i="4" s="1"/>
  <c r="AS145" i="39"/>
  <c r="BE137" i="39"/>
  <c r="BG137" i="39" s="1"/>
  <c r="BG91" i="40"/>
  <c r="BO95" i="40"/>
  <c r="BO100" i="40" s="1"/>
  <c r="BN87" i="40"/>
  <c r="BH137" i="39"/>
  <c r="BH23" i="40"/>
  <c r="BE25" i="40"/>
  <c r="BG23" i="40"/>
  <c r="BG25" i="40" s="1"/>
  <c r="BJ110" i="4"/>
  <c r="BJ90" i="40"/>
  <c r="BK110" i="4"/>
  <c r="BK90" i="40"/>
  <c r="BK91" i="40" s="1"/>
  <c r="BM110" i="4"/>
  <c r="BM90" i="40"/>
  <c r="BQ103" i="40"/>
  <c r="BI137" i="39"/>
  <c r="BI23" i="40"/>
  <c r="AS149" i="39" l="1"/>
  <c r="AS64" i="42" s="1"/>
  <c r="AS63" i="42" s="1"/>
  <c r="BH25" i="40"/>
  <c r="BO87" i="40"/>
  <c r="BP95" i="40"/>
  <c r="BP100" i="40" s="1"/>
  <c r="BP87" i="40" s="1"/>
  <c r="BI25" i="40"/>
  <c r="BK137" i="39"/>
  <c r="BK23" i="40"/>
  <c r="BM91" i="40"/>
  <c r="BM23" i="40" s="1"/>
  <c r="BJ91" i="40"/>
  <c r="BL90" i="40"/>
  <c r="BN110" i="4"/>
  <c r="BN90" i="40"/>
  <c r="BN91" i="40" s="1"/>
  <c r="BN137" i="39" s="1"/>
  <c r="AW12" i="3"/>
  <c r="AS122" i="4" l="1"/>
  <c r="AS125" i="4" s="1"/>
  <c r="AS253" i="4"/>
  <c r="BP110" i="4"/>
  <c r="BP90" i="40"/>
  <c r="BP91" i="40" s="1"/>
  <c r="BP137" i="39" s="1"/>
  <c r="BM25" i="40"/>
  <c r="BM137" i="39"/>
  <c r="BK25" i="40"/>
  <c r="BN23" i="40"/>
  <c r="BN25" i="40" s="1"/>
  <c r="BO110" i="4"/>
  <c r="BO90" i="40"/>
  <c r="BO91" i="40" s="1"/>
  <c r="BO137" i="39" s="1"/>
  <c r="AS254" i="4"/>
  <c r="BJ137" i="39"/>
  <c r="BL137" i="39" s="1"/>
  <c r="BJ23" i="40"/>
  <c r="BL91" i="40"/>
  <c r="BP23" i="40" l="1"/>
  <c r="BP25" i="40" s="1"/>
  <c r="BQ137" i="39"/>
  <c r="BO23" i="40"/>
  <c r="BO25" i="40" s="1"/>
  <c r="BJ25" i="40"/>
  <c r="BL23" i="40"/>
  <c r="BL25" i="40" s="1"/>
  <c r="DK39" i="3"/>
  <c r="BQ90" i="40"/>
  <c r="BQ91" i="40"/>
  <c r="BQ23" i="40" l="1"/>
  <c r="BQ25" i="40" s="1"/>
  <c r="DK60" i="3" l="1"/>
  <c r="DK62" i="3"/>
  <c r="DK45" i="3"/>
  <c r="AS161" i="4"/>
  <c r="AS178" i="4"/>
  <c r="DK11" i="3"/>
  <c r="AS255" i="4"/>
  <c r="DK12" i="3" l="1"/>
  <c r="DK13" i="3" s="1"/>
  <c r="AS183" i="4"/>
  <c r="DK9" i="3"/>
  <c r="AS191" i="4"/>
  <c r="AS209" i="4" s="1"/>
  <c r="AS166" i="4"/>
  <c r="AS172" i="4" s="1"/>
  <c r="AS212" i="4" l="1"/>
  <c r="AS213" i="4" s="1"/>
  <c r="DK16" i="3"/>
  <c r="DK18" i="3" s="1"/>
  <c r="AS193" i="4"/>
  <c r="AS195" i="4" s="1"/>
  <c r="AS210" i="4" l="1"/>
  <c r="AS207" i="4"/>
  <c r="AS204" i="4"/>
  <c r="AT249" i="4" l="1"/>
  <c r="AX79" i="39" l="1"/>
  <c r="BC79" i="39" l="1"/>
  <c r="BH79" i="39" s="1"/>
  <c r="AX81" i="39"/>
  <c r="AX88" i="39"/>
  <c r="AX9" i="39" s="1"/>
  <c r="AX9" i="4" s="1"/>
  <c r="BC88" i="39" l="1"/>
  <c r="BC9" i="39" s="1"/>
  <c r="BC81" i="39"/>
  <c r="BC83" i="39" s="1"/>
  <c r="BC8" i="39" s="1"/>
  <c r="AX83" i="39"/>
  <c r="BH88" i="39"/>
  <c r="BH9" i="39" s="1"/>
  <c r="BM79" i="39"/>
  <c r="BC9" i="4" l="1"/>
  <c r="BH81" i="39"/>
  <c r="BM81" i="39" s="1"/>
  <c r="BM83" i="39" s="1"/>
  <c r="BC91" i="39"/>
  <c r="AX8" i="39"/>
  <c r="AX91" i="39"/>
  <c r="AX92" i="39" s="1"/>
  <c r="BC8" i="4"/>
  <c r="BC10" i="39"/>
  <c r="BM88" i="39"/>
  <c r="BM9" i="39" s="1"/>
  <c r="BH9" i="4"/>
  <c r="BH83" i="39" l="1"/>
  <c r="BH91" i="39" s="1"/>
  <c r="BH92" i="39" s="1"/>
  <c r="BC92" i="39"/>
  <c r="AX10" i="39"/>
  <c r="AX8" i="4"/>
  <c r="BM91" i="39"/>
  <c r="BM8" i="39"/>
  <c r="BC10" i="4"/>
  <c r="BM9" i="4"/>
  <c r="BH8" i="39" l="1"/>
  <c r="BH8" i="4" s="1"/>
  <c r="AX10" i="4"/>
  <c r="BM10" i="39"/>
  <c r="BM8" i="4"/>
  <c r="BM92" i="39"/>
  <c r="BH10" i="39" l="1"/>
  <c r="BH10" i="4"/>
  <c r="BM10" i="4"/>
  <c r="AX113" i="39" l="1"/>
  <c r="AX15" i="39" l="1"/>
  <c r="BC113" i="39"/>
  <c r="BC15" i="39" l="1"/>
  <c r="BH113" i="39"/>
  <c r="AX16" i="39"/>
  <c r="AX18" i="39" s="1"/>
  <c r="AX186" i="39" l="1"/>
  <c r="AX18" i="4"/>
  <c r="AX22" i="39"/>
  <c r="BC16" i="39"/>
  <c r="BC18" i="39" s="1"/>
  <c r="BH15" i="39"/>
  <c r="BM113" i="39"/>
  <c r="BM15" i="39" l="1"/>
  <c r="AX23" i="39"/>
  <c r="BH16" i="39"/>
  <c r="BH18" i="39" s="1"/>
  <c r="BC18" i="4"/>
  <c r="BC22" i="39"/>
  <c r="BC23" i="39" l="1"/>
  <c r="AX187" i="39"/>
  <c r="BM16" i="39"/>
  <c r="BM18" i="39" s="1"/>
  <c r="BH18" i="4"/>
  <c r="BH22" i="39"/>
  <c r="BH23" i="39" l="1"/>
  <c r="BM18" i="4"/>
  <c r="BM22" i="39"/>
  <c r="BM23" i="39" l="1"/>
  <c r="AX65" i="40" l="1"/>
  <c r="AX63" i="40" s="1"/>
  <c r="AX68" i="40"/>
  <c r="BC68" i="40" s="1"/>
  <c r="BC13" i="40" s="1"/>
  <c r="BC65" i="40" l="1"/>
  <c r="BC63" i="40" s="1"/>
  <c r="BC10" i="40" s="1"/>
  <c r="BH68" i="40"/>
  <c r="BM68" i="40" s="1"/>
  <c r="AX10" i="40"/>
  <c r="BC15" i="4"/>
  <c r="AX13" i="40"/>
  <c r="BH13" i="40" l="1"/>
  <c r="BH15" i="4" s="1"/>
  <c r="BH65" i="40"/>
  <c r="BH63" i="40" s="1"/>
  <c r="BH10" i="40" s="1"/>
  <c r="BM13" i="40"/>
  <c r="BM15" i="4" s="1"/>
  <c r="AX15" i="4"/>
  <c r="AX12" i="4"/>
  <c r="AX14" i="40"/>
  <c r="AX16" i="40" s="1"/>
  <c r="BC12" i="4"/>
  <c r="BC14" i="40"/>
  <c r="BC16" i="40" s="1"/>
  <c r="BM65" i="40" l="1"/>
  <c r="BM63" i="40" s="1"/>
  <c r="BM10" i="40" s="1"/>
  <c r="BM14" i="40" s="1"/>
  <c r="BM16" i="40" s="1"/>
  <c r="BM20" i="40" s="1"/>
  <c r="BH12" i="4"/>
  <c r="BH14" i="40"/>
  <c r="BH16" i="40" s="1"/>
  <c r="BH20" i="4" s="1"/>
  <c r="AX20" i="4"/>
  <c r="AX20" i="40"/>
  <c r="BC20" i="4"/>
  <c r="BC20" i="40"/>
  <c r="BM20" i="4" l="1"/>
  <c r="BM12" i="4"/>
  <c r="BH20" i="40"/>
  <c r="BH21" i="40" s="1"/>
  <c r="BM21" i="40"/>
  <c r="BM27" i="40"/>
  <c r="AX21" i="40"/>
  <c r="AX27" i="40"/>
  <c r="BC21" i="40"/>
  <c r="BC27" i="40"/>
  <c r="BH27" i="40" l="1"/>
  <c r="BH29" i="40" s="1"/>
  <c r="BM29" i="40"/>
  <c r="BC29" i="40"/>
  <c r="AX29" i="40"/>
  <c r="AX31" i="40" l="1"/>
  <c r="AX38" i="40" s="1"/>
  <c r="BC31" i="40"/>
  <c r="BC33" i="40" s="1"/>
  <c r="BC39" i="40" s="1"/>
  <c r="BC77" i="4" s="1"/>
  <c r="BM31" i="40"/>
  <c r="BM33" i="40" s="1"/>
  <c r="BH31" i="40"/>
  <c r="BH33" i="40" s="1"/>
  <c r="AX33" i="40" l="1"/>
  <c r="BC38" i="40"/>
  <c r="AX39" i="40" l="1"/>
  <c r="AX77" i="4" s="1"/>
  <c r="AX42" i="40"/>
  <c r="AS105" i="41"/>
  <c r="AW212" i="41"/>
  <c r="AW210" i="41" s="1"/>
  <c r="AW105" i="41" l="1"/>
  <c r="AW108" i="41" s="1"/>
  <c r="AW110" i="41" s="1"/>
  <c r="AW215" i="41"/>
  <c r="AS108" i="41"/>
  <c r="AW186" i="41"/>
  <c r="AW192" i="41" s="1"/>
  <c r="AS108" i="4" l="1"/>
  <c r="AS172" i="39" l="1"/>
  <c r="AS214" i="39"/>
  <c r="AS114" i="4"/>
  <c r="AT75" i="4" l="1"/>
  <c r="DL38" i="3" l="1"/>
  <c r="AS109" i="4" l="1"/>
  <c r="AS111" i="4" l="1"/>
  <c r="AS112" i="4" s="1"/>
  <c r="AS115" i="4" l="1"/>
  <c r="AT64" i="42" l="1"/>
  <c r="AT63" i="42" s="1"/>
  <c r="AT78" i="4"/>
  <c r="AT253" i="4"/>
  <c r="AT254" i="4" l="1"/>
  <c r="DL39" i="3"/>
  <c r="AT76" i="4"/>
  <c r="AT79" i="4" s="1"/>
  <c r="AT248" i="4" l="1"/>
  <c r="DL60" i="3" l="1"/>
  <c r="DL62" i="3"/>
  <c r="AT64" i="4"/>
  <c r="AT70" i="4"/>
  <c r="AT86" i="4"/>
  <c r="AT85" i="4" s="1"/>
  <c r="AT91" i="4"/>
  <c r="AT92" i="4"/>
  <c r="AT121" i="4"/>
  <c r="AT124" i="4"/>
  <c r="DL11" i="3"/>
  <c r="DL12" i="3"/>
  <c r="DL16" i="3"/>
  <c r="AT246" i="4"/>
  <c r="AT247" i="4"/>
  <c r="AT255" i="4"/>
  <c r="DL45" i="3" l="1"/>
  <c r="AT66" i="42"/>
  <c r="DL9" i="3"/>
  <c r="DL13" i="3"/>
  <c r="DL18" i="3" s="1"/>
  <c r="AT67" i="42" l="1"/>
  <c r="AT122" i="4"/>
  <c r="AT125" i="4" s="1"/>
  <c r="AY79" i="39" l="1"/>
  <c r="AY81" i="39" l="1"/>
  <c r="AY83" i="39" s="1"/>
  <c r="BD79" i="39"/>
  <c r="AY88" i="39"/>
  <c r="AY9" i="39" s="1"/>
  <c r="BD81" i="39" l="1"/>
  <c r="BD83" i="39" s="1"/>
  <c r="BD88" i="39"/>
  <c r="BD9" i="39" s="1"/>
  <c r="BI79" i="39"/>
  <c r="AY9" i="4"/>
  <c r="AY8" i="39"/>
  <c r="AY91" i="39"/>
  <c r="AY92" i="39" s="1"/>
  <c r="BI81" i="39" l="1"/>
  <c r="BI83" i="39" s="1"/>
  <c r="BD9" i="4"/>
  <c r="BN79" i="39"/>
  <c r="BI88" i="39"/>
  <c r="BI9" i="39" s="1"/>
  <c r="AY10" i="39"/>
  <c r="AY8" i="4"/>
  <c r="BD8" i="39"/>
  <c r="BD91" i="39"/>
  <c r="BD92" i="39" s="1"/>
  <c r="BN81" i="39" l="1"/>
  <c r="BN83" i="39" s="1"/>
  <c r="BN88" i="39"/>
  <c r="BN9" i="39" s="1"/>
  <c r="BI9" i="4"/>
  <c r="AY10" i="4"/>
  <c r="BD10" i="39"/>
  <c r="BD8" i="4"/>
  <c r="BI8" i="39"/>
  <c r="BI91" i="39"/>
  <c r="BI92" i="39" s="1"/>
  <c r="BN8" i="39" l="1"/>
  <c r="BN10" i="39" s="1"/>
  <c r="BN91" i="39"/>
  <c r="BN92" i="39" s="1"/>
  <c r="BN9" i="4"/>
  <c r="BD10" i="4"/>
  <c r="BI10" i="39"/>
  <c r="BI8" i="4"/>
  <c r="BN8" i="4" l="1"/>
  <c r="BN10" i="4" s="1"/>
  <c r="BI10" i="4"/>
  <c r="AY113" i="39" l="1"/>
  <c r="AY15" i="39" s="1"/>
  <c r="BD113" i="39" l="1"/>
  <c r="AY16" i="39"/>
  <c r="AY18" i="39" s="1"/>
  <c r="BD15" i="39" l="1"/>
  <c r="BI113" i="39"/>
  <c r="AY22" i="39"/>
  <c r="AY186" i="39"/>
  <c r="AY18" i="4"/>
  <c r="BN113" i="39" l="1"/>
  <c r="BI15" i="39"/>
  <c r="BD16" i="39"/>
  <c r="BD18" i="39" s="1"/>
  <c r="AY23" i="39"/>
  <c r="BD18" i="4" l="1"/>
  <c r="BD22" i="39"/>
  <c r="BD23" i="39" s="1"/>
  <c r="BI16" i="39"/>
  <c r="BI18" i="39" s="1"/>
  <c r="BN15" i="39"/>
  <c r="AY187" i="39"/>
  <c r="BI18" i="4" l="1"/>
  <c r="BI22" i="39"/>
  <c r="BI23" i="39" s="1"/>
  <c r="BN16" i="39"/>
  <c r="BN18" i="39" s="1"/>
  <c r="BN22" i="39" l="1"/>
  <c r="BN23" i="39" s="1"/>
  <c r="BN18" i="4"/>
  <c r="AY65" i="40"/>
  <c r="BD65" i="40" l="1"/>
  <c r="AY63" i="40"/>
  <c r="BD63" i="40" l="1"/>
  <c r="BI65" i="40"/>
  <c r="AY10" i="40"/>
  <c r="BD10" i="40" l="1"/>
  <c r="AY12" i="4"/>
  <c r="BN65" i="40"/>
  <c r="BI63" i="40"/>
  <c r="BI10" i="40" l="1"/>
  <c r="BD12" i="4"/>
  <c r="BN63" i="40"/>
  <c r="BI12" i="4" l="1"/>
  <c r="BN10" i="40"/>
  <c r="BN12" i="4" l="1"/>
  <c r="AY68" i="40" l="1"/>
  <c r="BD68" i="40" l="1"/>
  <c r="AY13" i="40"/>
  <c r="AY15" i="4" l="1"/>
  <c r="AY14" i="40"/>
  <c r="AY16" i="40" s="1"/>
  <c r="BD13" i="40"/>
  <c r="BI68" i="40"/>
  <c r="BI13" i="40" l="1"/>
  <c r="BN68" i="40"/>
  <c r="BD14" i="40"/>
  <c r="BD16" i="40" s="1"/>
  <c r="BD15" i="4"/>
  <c r="AY20" i="4"/>
  <c r="AY20" i="40"/>
  <c r="AY21" i="40" l="1"/>
  <c r="AY27" i="40"/>
  <c r="BD20" i="4"/>
  <c r="BD20" i="40"/>
  <c r="BN13" i="40"/>
  <c r="BI14" i="40"/>
  <c r="BI16" i="40" s="1"/>
  <c r="BI15" i="4"/>
  <c r="BN14" i="40" l="1"/>
  <c r="BN16" i="40" s="1"/>
  <c r="BN15" i="4"/>
  <c r="BI20" i="4"/>
  <c r="BI20" i="40"/>
  <c r="BD21" i="40"/>
  <c r="BD27" i="40"/>
  <c r="AY29" i="40"/>
  <c r="BD29" i="40" l="1"/>
  <c r="BN20" i="4"/>
  <c r="BN20" i="40"/>
  <c r="AY31" i="40"/>
  <c r="BI21" i="40"/>
  <c r="BI27" i="40"/>
  <c r="BD31" i="40" l="1"/>
  <c r="BD33" i="40" s="1"/>
  <c r="BD39" i="40" s="1"/>
  <c r="BD77" i="4" s="1"/>
  <c r="BI29" i="40"/>
  <c r="AY38" i="40"/>
  <c r="AY33" i="40"/>
  <c r="AY42" i="40" s="1"/>
  <c r="BN21" i="40"/>
  <c r="BN27" i="40"/>
  <c r="BD38" i="40" l="1"/>
  <c r="BI31" i="40"/>
  <c r="BN29" i="40"/>
  <c r="AY39" i="40"/>
  <c r="AY77" i="4" s="1"/>
  <c r="BI33" i="40" l="1"/>
  <c r="BN31" i="40"/>
  <c r="BN33" i="40" l="1"/>
  <c r="AT555" i="41" l="1"/>
  <c r="AT563" i="41" l="1"/>
  <c r="AU563" i="41"/>
  <c r="AU555" i="41"/>
  <c r="AU16" i="4" l="1"/>
  <c r="AU22" i="4" s="1"/>
  <c r="AU15" i="41"/>
  <c r="AU17" i="41" s="1"/>
  <c r="AU27" i="4" l="1"/>
  <c r="AU28" i="4"/>
  <c r="AU19" i="4"/>
  <c r="AU23" i="4" s="1"/>
  <c r="AU252" i="4"/>
  <c r="AU26" i="41" l="1"/>
  <c r="AU31" i="41" l="1"/>
  <c r="AU34" i="41" s="1"/>
  <c r="AU593" i="41" l="1"/>
  <c r="AU597" i="41" s="1"/>
  <c r="AU41" i="41"/>
  <c r="AU36" i="41"/>
  <c r="AU42" i="41" l="1"/>
  <c r="AU76" i="4" s="1"/>
  <c r="AU32" i="4" l="1"/>
  <c r="AU34" i="4" s="1"/>
  <c r="AU104" i="4" s="1"/>
  <c r="AU38" i="4" l="1"/>
  <c r="AU249" i="4" s="1"/>
  <c r="AU42" i="4" l="1"/>
  <c r="AU50" i="4" s="1"/>
  <c r="AU27" i="39"/>
  <c r="AU33" i="39" l="1"/>
  <c r="AU44" i="4"/>
  <c r="AU51" i="4" s="1"/>
  <c r="AU145" i="39" l="1"/>
  <c r="AW145" i="39" s="1"/>
  <c r="AW149" i="39" s="1"/>
  <c r="AU35" i="39"/>
  <c r="AU40" i="39"/>
  <c r="AU52" i="4"/>
  <c r="AU65" i="4"/>
  <c r="DM38" i="3"/>
  <c r="AU149" i="39" l="1"/>
  <c r="AU64" i="42" s="1"/>
  <c r="AU63" i="42" s="1"/>
  <c r="AW63" i="42" s="1"/>
  <c r="AW64" i="42" s="1"/>
  <c r="AU189" i="39"/>
  <c r="AU185" i="39"/>
  <c r="AU41" i="39"/>
  <c r="AU75" i="4" s="1"/>
  <c r="AU254" i="4" l="1"/>
  <c r="AU253" i="4" l="1"/>
  <c r="DM39" i="3"/>
  <c r="AU78" i="4"/>
  <c r="AU79" i="4" s="1"/>
  <c r="AU124" i="4" l="1"/>
  <c r="DM62" i="3"/>
  <c r="DM60" i="3"/>
  <c r="AU166" i="4"/>
  <c r="AU121" i="4"/>
  <c r="AU86" i="4"/>
  <c r="DM11" i="3" l="1"/>
  <c r="AU178" i="4"/>
  <c r="DM12" i="3"/>
  <c r="AU161" i="4"/>
  <c r="AU172" i="4" s="1"/>
  <c r="DM9" i="3"/>
  <c r="AU191" i="4"/>
  <c r="AU209" i="4" s="1"/>
  <c r="AU212" i="4" l="1"/>
  <c r="AU213" i="4"/>
  <c r="DM16" i="3"/>
  <c r="AU183" i="4"/>
  <c r="AU193" i="4" s="1"/>
  <c r="AU195" i="4" s="1"/>
  <c r="DM13" i="3"/>
  <c r="DM18" i="3" l="1"/>
  <c r="AU207" i="4"/>
  <c r="AU204" i="4"/>
  <c r="AU210" i="4"/>
  <c r="AZ79" i="39"/>
  <c r="BE79" i="39" l="1"/>
  <c r="AZ88" i="39"/>
  <c r="AZ9" i="39" s="1"/>
  <c r="AZ9" i="4" l="1"/>
  <c r="BE88" i="39"/>
  <c r="BE9" i="39" s="1"/>
  <c r="BJ79" i="39"/>
  <c r="BE9" i="4" l="1"/>
  <c r="BJ88" i="39"/>
  <c r="BJ9" i="39" s="1"/>
  <c r="BO79" i="39"/>
  <c r="BJ9" i="4" l="1"/>
  <c r="BO88" i="39"/>
  <c r="BO9" i="39" s="1"/>
  <c r="BO9" i="4" l="1"/>
  <c r="AZ81" i="39" l="1"/>
  <c r="BE81" i="39" s="1"/>
  <c r="BE83" i="39" l="1"/>
  <c r="BJ81" i="39"/>
  <c r="AZ83" i="39"/>
  <c r="AZ91" i="39" l="1"/>
  <c r="AZ92" i="39" s="1"/>
  <c r="AZ8" i="39"/>
  <c r="BE91" i="39"/>
  <c r="BE8" i="39"/>
  <c r="BO81" i="39"/>
  <c r="BO83" i="39" s="1"/>
  <c r="BJ83" i="39"/>
  <c r="AZ10" i="39" l="1"/>
  <c r="AZ8" i="4"/>
  <c r="BJ91" i="39"/>
  <c r="BJ92" i="39" s="1"/>
  <c r="BJ8" i="39"/>
  <c r="BE10" i="39"/>
  <c r="BE8" i="4"/>
  <c r="BE92" i="39"/>
  <c r="BO91" i="39"/>
  <c r="BO8" i="39"/>
  <c r="BO92" i="39" l="1"/>
  <c r="BE10" i="4"/>
  <c r="AZ10" i="4"/>
  <c r="BO10" i="39"/>
  <c r="BO8" i="4"/>
  <c r="BJ10" i="39"/>
  <c r="BJ8" i="4"/>
  <c r="BJ10" i="4" l="1"/>
  <c r="BO10" i="4"/>
  <c r="AZ113" i="39" l="1"/>
  <c r="BE113" i="39" s="1"/>
  <c r="BJ113" i="39" s="1"/>
  <c r="AZ15" i="39"/>
  <c r="AZ16" i="39" l="1"/>
  <c r="AZ18" i="39" s="1"/>
  <c r="BE15" i="39"/>
  <c r="BJ15" i="39"/>
  <c r="BO113" i="39"/>
  <c r="BJ16" i="39" l="1"/>
  <c r="BJ18" i="39" s="1"/>
  <c r="BE16" i="39"/>
  <c r="BE18" i="39" s="1"/>
  <c r="BO15" i="39"/>
  <c r="AZ186" i="39"/>
  <c r="AZ18" i="4"/>
  <c r="AZ22" i="39"/>
  <c r="AZ23" i="39" l="1"/>
  <c r="BO16" i="39"/>
  <c r="BO18" i="39" s="1"/>
  <c r="BE18" i="4"/>
  <c r="BE22" i="39"/>
  <c r="BJ18" i="4"/>
  <c r="BJ22" i="39"/>
  <c r="BE23" i="39" l="1"/>
  <c r="BO18" i="4"/>
  <c r="BO22" i="39"/>
  <c r="BJ23" i="39"/>
  <c r="AZ187" i="39"/>
  <c r="BO23" i="39" l="1"/>
  <c r="AT108" i="4" l="1"/>
  <c r="AT214" i="39"/>
  <c r="AT114" i="4" l="1"/>
  <c r="AU108" i="4"/>
  <c r="AU114" i="4" l="1"/>
  <c r="AZ68" i="40" l="1"/>
  <c r="AZ65" i="40"/>
  <c r="BE65" i="40" l="1"/>
  <c r="AZ63" i="40"/>
  <c r="BE68" i="40"/>
  <c r="AZ13" i="40"/>
  <c r="BJ68" i="40" l="1"/>
  <c r="BE13" i="40"/>
  <c r="BJ65" i="40"/>
  <c r="BE63" i="40"/>
  <c r="AZ15" i="4"/>
  <c r="AZ10" i="40"/>
  <c r="BJ63" i="40" l="1"/>
  <c r="BO65" i="40"/>
  <c r="BE15" i="4"/>
  <c r="BJ13" i="40"/>
  <c r="BO68" i="40"/>
  <c r="AZ14" i="40"/>
  <c r="AZ16" i="40" s="1"/>
  <c r="AZ12" i="4"/>
  <c r="BE10" i="40"/>
  <c r="BO13" i="40" l="1"/>
  <c r="BJ10" i="40"/>
  <c r="BE14" i="40"/>
  <c r="BE16" i="40" s="1"/>
  <c r="BE12" i="4"/>
  <c r="AZ20" i="4"/>
  <c r="AZ20" i="40"/>
  <c r="BJ15" i="4"/>
  <c r="BO63" i="40"/>
  <c r="BO10" i="40" l="1"/>
  <c r="BJ14" i="40"/>
  <c r="BJ16" i="40" s="1"/>
  <c r="BJ12" i="4"/>
  <c r="BO15" i="4"/>
  <c r="AZ27" i="40"/>
  <c r="AZ21" i="40"/>
  <c r="BE20" i="4"/>
  <c r="BE20" i="40"/>
  <c r="AZ29" i="40" l="1"/>
  <c r="BO14" i="40"/>
  <c r="BO16" i="40" s="1"/>
  <c r="BO12" i="4"/>
  <c r="BE21" i="40"/>
  <c r="BE27" i="40"/>
  <c r="BJ20" i="40"/>
  <c r="BJ20" i="4"/>
  <c r="BE29" i="40" l="1"/>
  <c r="BJ21" i="40"/>
  <c r="BJ27" i="40"/>
  <c r="BO20" i="4"/>
  <c r="BO20" i="40"/>
  <c r="AZ31" i="40"/>
  <c r="BE31" i="40" l="1"/>
  <c r="AZ38" i="40"/>
  <c r="AZ33" i="40"/>
  <c r="BO21" i="40"/>
  <c r="BO27" i="40"/>
  <c r="BJ29" i="40"/>
  <c r="AZ39" i="40" l="1"/>
  <c r="AZ77" i="4" s="1"/>
  <c r="AZ42" i="40"/>
  <c r="BE33" i="40"/>
  <c r="BJ31" i="40"/>
  <c r="BO29" i="40"/>
  <c r="BO31" i="40" l="1"/>
  <c r="BO33" i="40" s="1"/>
  <c r="BJ33" i="40"/>
  <c r="CM42" i="72" l="1"/>
  <c r="AM9" i="72" s="1"/>
  <c r="AW24" i="3" l="1"/>
  <c r="CM41" i="72"/>
  <c r="CM59" i="72" l="1"/>
  <c r="AM8" i="72"/>
  <c r="AW27" i="3"/>
  <c r="AW30" i="3" s="1"/>
  <c r="AW31" i="3" l="1"/>
  <c r="AV83" i="4" l="1"/>
  <c r="AU83" i="4"/>
  <c r="AW83" i="4"/>
  <c r="AU564" i="41" l="1"/>
  <c r="AT564" i="41"/>
  <c r="AU85" i="4"/>
  <c r="DM45" i="3" l="1"/>
  <c r="AU66" i="42"/>
  <c r="AU255" i="4"/>
  <c r="AU67" i="42" l="1"/>
  <c r="AU122" i="4"/>
  <c r="AU125" i="4" s="1"/>
  <c r="AT619" i="41" l="1"/>
  <c r="AT628" i="41" l="1"/>
  <c r="AT109" i="4"/>
  <c r="AT626" i="41" l="1"/>
  <c r="AT623" i="41"/>
  <c r="AT629" i="41"/>
  <c r="AT620" i="41"/>
  <c r="AT111" i="4"/>
  <c r="AT115" i="4" s="1"/>
  <c r="AT112" i="4" l="1"/>
  <c r="AU628" i="41"/>
  <c r="AU109" i="4"/>
  <c r="AU629" i="41"/>
  <c r="AU620" i="41" l="1"/>
  <c r="AU623" i="41"/>
  <c r="AU111" i="4"/>
  <c r="AU115" i="4" s="1"/>
  <c r="CM43" i="72"/>
  <c r="AU626" i="41"/>
  <c r="AU112" i="4" l="1"/>
  <c r="AM10" i="72"/>
  <c r="CM44" i="72"/>
  <c r="CM45" i="72" s="1"/>
  <c r="CM52" i="72" s="1"/>
  <c r="CM60" i="72" l="1"/>
  <c r="CM53" i="72"/>
  <c r="CM57" i="72" s="1"/>
  <c r="AV76" i="4"/>
  <c r="AM11" i="72"/>
  <c r="AM12" i="72" s="1"/>
  <c r="AM19" i="72" s="1"/>
  <c r="AM20" i="72" s="1"/>
  <c r="AW224" i="4" l="1"/>
  <c r="AW218" i="4" l="1"/>
  <c r="AW76" i="4"/>
  <c r="BZ198" i="41"/>
  <c r="AW11" i="3" l="1"/>
  <c r="E258" i="51" l="1"/>
  <c r="AP258" i="51" l="1"/>
  <c r="AT258" i="51" l="1"/>
  <c r="AW132" i="39" s="1"/>
  <c r="AQ258" i="51"/>
  <c r="AT132" i="39" s="1"/>
  <c r="AT155" i="39" s="1"/>
  <c r="AT159" i="39" s="1"/>
  <c r="AT161" i="39" s="1"/>
  <c r="AT162" i="39" s="1"/>
  <c r="AR258" i="51"/>
  <c r="AU132" i="39" s="1"/>
  <c r="AU155" i="39" s="1"/>
  <c r="AU159" i="39" s="1"/>
  <c r="AU161" i="39" s="1"/>
  <c r="AU162" i="39" s="1"/>
  <c r="AS132" i="39"/>
  <c r="AS155" i="39" s="1"/>
  <c r="AS258" i="51"/>
  <c r="AV132" i="39" s="1"/>
  <c r="AV155" i="39" s="1"/>
  <c r="CZ258" i="51"/>
  <c r="CT258" i="51"/>
  <c r="DB258" i="51"/>
  <c r="CX258" i="51"/>
  <c r="CU258" i="51"/>
  <c r="DA258" i="51"/>
  <c r="CY258" i="51"/>
  <c r="CV258" i="51"/>
  <c r="CW258" i="51"/>
  <c r="AW155" i="39" l="1"/>
  <c r="AW159" i="39" s="1"/>
  <c r="AW161" i="39" s="1"/>
  <c r="AV159" i="39"/>
  <c r="AV161" i="39" s="1"/>
  <c r="AX170" i="39"/>
  <c r="AY170" i="39" s="1"/>
  <c r="AZ170" i="39" s="1"/>
  <c r="BA170" i="39" s="1"/>
  <c r="BB170" i="39" s="1"/>
  <c r="BC170" i="39" s="1"/>
  <c r="BD170" i="39" s="1"/>
  <c r="BE170" i="39" s="1"/>
  <c r="BF170" i="39" s="1"/>
  <c r="BG170" i="39" s="1"/>
  <c r="AS159" i="39"/>
  <c r="CW260" i="51"/>
  <c r="DC258" i="51"/>
  <c r="DA260" i="51"/>
  <c r="AZ138" i="39"/>
  <c r="CX260" i="51"/>
  <c r="CT260" i="51"/>
  <c r="CV260" i="51"/>
  <c r="CY260" i="51"/>
  <c r="AX138" i="39"/>
  <c r="CU260" i="51"/>
  <c r="DB260" i="51"/>
  <c r="BA138" i="39"/>
  <c r="AY138" i="39"/>
  <c r="CZ260" i="51"/>
  <c r="AW163" i="39" l="1"/>
  <c r="AV162" i="39"/>
  <c r="DH258" i="51"/>
  <c r="BH170" i="39"/>
  <c r="BI170" i="39" s="1"/>
  <c r="BJ170" i="39" s="1"/>
  <c r="BK170" i="39" s="1"/>
  <c r="BL170" i="39" s="1"/>
  <c r="BB138" i="39"/>
  <c r="DC260" i="51"/>
  <c r="AS161" i="39"/>
  <c r="AS162" i="39" s="1"/>
  <c r="AW162" i="39" s="1"/>
  <c r="BG138" i="39" l="1"/>
  <c r="DH260" i="51"/>
  <c r="BM170" i="39"/>
  <c r="BN170" i="39" s="1"/>
  <c r="BO170" i="39" s="1"/>
  <c r="BP170" i="39" s="1"/>
  <c r="BQ170" i="39" s="1"/>
  <c r="DM258" i="51"/>
  <c r="DR258" i="51"/>
  <c r="DM260" i="51" l="1"/>
  <c r="BL138" i="39"/>
  <c r="DR260" i="51"/>
  <c r="BQ138" i="39"/>
  <c r="DO28" i="3"/>
  <c r="AW253" i="4" l="1"/>
  <c r="AX181" i="4"/>
  <c r="AY181" i="4" s="1"/>
  <c r="AZ181" i="4" s="1"/>
  <c r="BA181" i="4" s="1"/>
  <c r="BB181" i="4" s="1"/>
  <c r="BC181" i="4" s="1"/>
  <c r="BD181" i="4" s="1"/>
  <c r="BE181" i="4" s="1"/>
  <c r="BF181" i="4" s="1"/>
  <c r="BG181" i="4" s="1"/>
  <c r="BH181" i="4" s="1"/>
  <c r="BI181" i="4" s="1"/>
  <c r="BJ181" i="4" s="1"/>
  <c r="BK181" i="4" s="1"/>
  <c r="BL181" i="4" s="1"/>
  <c r="BM181" i="4" s="1"/>
  <c r="BN181" i="4" s="1"/>
  <c r="BO181" i="4" s="1"/>
  <c r="BP181" i="4" s="1"/>
  <c r="BQ181" i="4" s="1"/>
  <c r="DO38" i="3"/>
  <c r="DO50" i="3" s="1"/>
  <c r="AV78" i="4" l="1"/>
  <c r="AV79" i="4" s="1"/>
  <c r="DO41" i="3"/>
  <c r="DO39" i="3" s="1"/>
  <c r="AW78" i="4"/>
  <c r="DN38" i="3"/>
  <c r="AV254" i="4"/>
  <c r="AW79" i="4" l="1"/>
  <c r="AW10" i="61"/>
  <c r="AW11" i="61" s="1"/>
  <c r="AW18" i="61" s="1"/>
  <c r="AW20" i="61" s="1"/>
  <c r="AW22" i="61" s="1"/>
  <c r="AV253" i="4"/>
  <c r="DN39" i="3"/>
  <c r="AW254" i="4"/>
  <c r="AW13" i="3"/>
  <c r="AW45" i="39"/>
  <c r="AW10" i="3" l="1"/>
  <c r="DO27" i="3" l="1"/>
  <c r="AW39" i="3"/>
  <c r="AW14" i="3"/>
  <c r="AW18" i="3" s="1"/>
  <c r="AW51" i="3" l="1"/>
  <c r="BZ199" i="41"/>
  <c r="AW19" i="3"/>
  <c r="BE69" i="4" l="1"/>
  <c r="BE46" i="4" s="1"/>
  <c r="BG70" i="4"/>
  <c r="BE144" i="4"/>
  <c r="BE121" i="4" s="1"/>
  <c r="BG144" i="4"/>
  <c r="BG246" i="4" s="1"/>
  <c r="BE246" i="4" l="1"/>
  <c r="DY59" i="3"/>
  <c r="BG121" i="4"/>
  <c r="BF46" i="4"/>
  <c r="BG46" i="4" s="1"/>
  <c r="BE47" i="4"/>
  <c r="BG69" i="4"/>
  <c r="BG42" i="3" l="1"/>
  <c r="BH46" i="4"/>
  <c r="BH47" i="4" s="1"/>
  <c r="BF47" i="4"/>
  <c r="BE37" i="39"/>
  <c r="BE38" i="41"/>
  <c r="BE48" i="4"/>
  <c r="BE64" i="4"/>
  <c r="BE41" i="42"/>
  <c r="BE35" i="40"/>
  <c r="BF37" i="39" l="1"/>
  <c r="BF38" i="41"/>
  <c r="BF48" i="4"/>
  <c r="BG48" i="4" s="1"/>
  <c r="BF64" i="4"/>
  <c r="BF145" i="4" s="1"/>
  <c r="BF41" i="42"/>
  <c r="BF35" i="40"/>
  <c r="BH37" i="39"/>
  <c r="BH38" i="41"/>
  <c r="BH64" i="4"/>
  <c r="BH41" i="42"/>
  <c r="BH35" i="40"/>
  <c r="BI46" i="4"/>
  <c r="BI47" i="4" s="1"/>
  <c r="BG47" i="4"/>
  <c r="BE145" i="4"/>
  <c r="BE38" i="39"/>
  <c r="BE39" i="41"/>
  <c r="BE42" i="42"/>
  <c r="BE36" i="40"/>
  <c r="BW102" i="61" l="1"/>
  <c r="BW100" i="61"/>
  <c r="CV77" i="61"/>
  <c r="BG60" i="61"/>
  <c r="CG92" i="61"/>
  <c r="CG98" i="61"/>
  <c r="BF124" i="4"/>
  <c r="BF147" i="4"/>
  <c r="BF247" i="4"/>
  <c r="BH145" i="4"/>
  <c r="BF39" i="41"/>
  <c r="BF38" i="39"/>
  <c r="BF42" i="42"/>
  <c r="BF36" i="40"/>
  <c r="BG38" i="39"/>
  <c r="BG39" i="41"/>
  <c r="BG44" i="3"/>
  <c r="BG42" i="42"/>
  <c r="BG36" i="40"/>
  <c r="BE124" i="4"/>
  <c r="BG145" i="4"/>
  <c r="BE247" i="4"/>
  <c r="BE147" i="4"/>
  <c r="BJ46" i="4"/>
  <c r="BJ47" i="4" s="1"/>
  <c r="BH48" i="4"/>
  <c r="BI48" i="4" s="1"/>
  <c r="BG38" i="41"/>
  <c r="BG43" i="3"/>
  <c r="BG37" i="39"/>
  <c r="BG41" i="42"/>
  <c r="BG35" i="40"/>
  <c r="BI37" i="39"/>
  <c r="BI38" i="41"/>
  <c r="BI64" i="4"/>
  <c r="BI145" i="4" s="1"/>
  <c r="BI41" i="42"/>
  <c r="BI35" i="40"/>
  <c r="BE38" i="40"/>
  <c r="BE39" i="40"/>
  <c r="BE77" i="4" s="1"/>
  <c r="BG64" i="4"/>
  <c r="BQ68" i="61" l="1"/>
  <c r="BG68" i="61"/>
  <c r="AW68" i="61"/>
  <c r="AM68" i="61"/>
  <c r="AM69" i="61" s="1"/>
  <c r="AM72" i="61" s="1"/>
  <c r="AM74" i="61" s="1"/>
  <c r="BL68" i="61"/>
  <c r="BB68" i="61"/>
  <c r="AR68" i="61"/>
  <c r="AR69" i="61" s="1"/>
  <c r="AR72" i="61" s="1"/>
  <c r="AR74" i="61" s="1"/>
  <c r="AH68" i="61"/>
  <c r="AH69" i="61" s="1"/>
  <c r="AH72" i="61" s="1"/>
  <c r="AH74" i="61" s="1"/>
  <c r="BI38" i="39"/>
  <c r="BI39" i="41"/>
  <c r="BI42" i="42"/>
  <c r="BI36" i="40"/>
  <c r="BJ37" i="39"/>
  <c r="BJ38" i="41"/>
  <c r="BJ48" i="4"/>
  <c r="BJ64" i="4"/>
  <c r="BJ145" i="4" s="1"/>
  <c r="BJ41" i="42"/>
  <c r="BJ35" i="40"/>
  <c r="BH124" i="4"/>
  <c r="BH147" i="4"/>
  <c r="BH247" i="4"/>
  <c r="BH38" i="39"/>
  <c r="BH39" i="41"/>
  <c r="BH42" i="42"/>
  <c r="BH36" i="40"/>
  <c r="BK46" i="4"/>
  <c r="BL46" i="4" s="1"/>
  <c r="DY55" i="3"/>
  <c r="BG124" i="4"/>
  <c r="BG147" i="4"/>
  <c r="BG247" i="4"/>
  <c r="BI124" i="4"/>
  <c r="BI147" i="4"/>
  <c r="BI247" i="4"/>
  <c r="BK47" i="4" l="1"/>
  <c r="BK38" i="41" s="1"/>
  <c r="BI38" i="40"/>
  <c r="BI39" i="40"/>
  <c r="BI77" i="4" s="1"/>
  <c r="BH39" i="40"/>
  <c r="BH77" i="4" s="1"/>
  <c r="BH38" i="40"/>
  <c r="BJ124" i="4"/>
  <c r="BJ147" i="4"/>
  <c r="BJ247" i="4"/>
  <c r="BL42" i="3"/>
  <c r="BM46" i="4"/>
  <c r="BM47" i="4" s="1"/>
  <c r="BJ39" i="41"/>
  <c r="BJ38" i="39"/>
  <c r="BJ42" i="42"/>
  <c r="BJ36" i="40"/>
  <c r="BL47" i="4" l="1"/>
  <c r="BL41" i="42" s="1"/>
  <c r="BK35" i="40"/>
  <c r="BK41" i="42"/>
  <c r="BK64" i="4"/>
  <c r="BL64" i="4" s="1"/>
  <c r="BK48" i="4"/>
  <c r="BK42" i="42" s="1"/>
  <c r="BK37" i="39"/>
  <c r="BM37" i="39"/>
  <c r="BM38" i="41"/>
  <c r="BM64" i="4"/>
  <c r="BM41" i="42"/>
  <c r="BM35" i="40"/>
  <c r="BJ38" i="40"/>
  <c r="BJ39" i="40"/>
  <c r="BJ77" i="4" s="1"/>
  <c r="BN46" i="4"/>
  <c r="BN47" i="4" s="1"/>
  <c r="BL43" i="3" l="1"/>
  <c r="BL38" i="41"/>
  <c r="BK38" i="39"/>
  <c r="BL35" i="40"/>
  <c r="BL37" i="39"/>
  <c r="BK145" i="4"/>
  <c r="BK247" i="4" s="1"/>
  <c r="BK39" i="41"/>
  <c r="BM48" i="4"/>
  <c r="BM39" i="41" s="1"/>
  <c r="BL48" i="4"/>
  <c r="BK36" i="40"/>
  <c r="BN37" i="39"/>
  <c r="BN38" i="41"/>
  <c r="BN64" i="4"/>
  <c r="BN145" i="4" s="1"/>
  <c r="BN41" i="42"/>
  <c r="BN35" i="40"/>
  <c r="BK147" i="4"/>
  <c r="BO46" i="4"/>
  <c r="BM145" i="4"/>
  <c r="BL38" i="39" l="1"/>
  <c r="DA77" i="61"/>
  <c r="BL60" i="61"/>
  <c r="BM42" i="42"/>
  <c r="BM38" i="39"/>
  <c r="BN48" i="4"/>
  <c r="BN36" i="40" s="1"/>
  <c r="BL36" i="40"/>
  <c r="BL42" i="42"/>
  <c r="BM36" i="40"/>
  <c r="BM39" i="40" s="1"/>
  <c r="BM77" i="4" s="1"/>
  <c r="BL44" i="3"/>
  <c r="BL39" i="41"/>
  <c r="BK124" i="4"/>
  <c r="BL145" i="4"/>
  <c r="BL124" i="4" s="1"/>
  <c r="BN124" i="4"/>
  <c r="BN147" i="4"/>
  <c r="BN247" i="4"/>
  <c r="BP46" i="4"/>
  <c r="BQ46" i="4" s="1"/>
  <c r="BQ42" i="3" s="1"/>
  <c r="BM124" i="4"/>
  <c r="BM147" i="4"/>
  <c r="BM247" i="4"/>
  <c r="BO47" i="4"/>
  <c r="BM38" i="40" l="1"/>
  <c r="BN42" i="42"/>
  <c r="BN38" i="39"/>
  <c r="BN39" i="41"/>
  <c r="BL247" i="4"/>
  <c r="ED55" i="3"/>
  <c r="BL147" i="4"/>
  <c r="BO38" i="41"/>
  <c r="BO37" i="39"/>
  <c r="BO48" i="4"/>
  <c r="BO64" i="4"/>
  <c r="BO41" i="42"/>
  <c r="BO35" i="40"/>
  <c r="BP47" i="4"/>
  <c r="BN38" i="40"/>
  <c r="BN39" i="40"/>
  <c r="BN77" i="4" s="1"/>
  <c r="BO38" i="39" l="1"/>
  <c r="BO39" i="41"/>
  <c r="BO42" i="42"/>
  <c r="BO36" i="40"/>
  <c r="BP37" i="39"/>
  <c r="BP38" i="41"/>
  <c r="BP48" i="4"/>
  <c r="BQ48" i="4" s="1"/>
  <c r="BP64" i="4"/>
  <c r="BP145" i="4" s="1"/>
  <c r="BP41" i="42"/>
  <c r="BP35" i="40"/>
  <c r="BQ47" i="4"/>
  <c r="BO145" i="4"/>
  <c r="DF77" i="61" l="1"/>
  <c r="BQ60" i="61"/>
  <c r="BQ64" i="4"/>
  <c r="BQ38" i="39"/>
  <c r="BQ39" i="41"/>
  <c r="BQ44" i="3"/>
  <c r="BQ42" i="42"/>
  <c r="BQ36" i="40"/>
  <c r="BP124" i="4"/>
  <c r="BP147" i="4"/>
  <c r="BP247" i="4"/>
  <c r="BQ43" i="3"/>
  <c r="BQ37" i="39"/>
  <c r="BQ38" i="41"/>
  <c r="BQ41" i="42"/>
  <c r="BQ35" i="40"/>
  <c r="BP38" i="39"/>
  <c r="BP39" i="41"/>
  <c r="BP42" i="42"/>
  <c r="BP36" i="40"/>
  <c r="BO38" i="40"/>
  <c r="BO39" i="40"/>
  <c r="BO77" i="4" s="1"/>
  <c r="BO124" i="4"/>
  <c r="BO147" i="4"/>
  <c r="BO247" i="4"/>
  <c r="BQ145" i="4"/>
  <c r="EI55" i="3" l="1"/>
  <c r="BQ124" i="4"/>
  <c r="BQ147" i="4"/>
  <c r="BQ247" i="4"/>
  <c r="DO47" i="3" l="1"/>
  <c r="DO55" i="3"/>
  <c r="DO59" i="3"/>
  <c r="DN60" i="3"/>
  <c r="DO60" i="3"/>
  <c r="DO61" i="3"/>
  <c r="DN62" i="3"/>
  <c r="DO62" i="3"/>
  <c r="AV64" i="4"/>
  <c r="AW64" i="4"/>
  <c r="AV70" i="4"/>
  <c r="AW70" i="4"/>
  <c r="AV86" i="4"/>
  <c r="AV85" i="4" s="1"/>
  <c r="AW86" i="4"/>
  <c r="AW85" i="4" s="1"/>
  <c r="AV121" i="4"/>
  <c r="AW121" i="4"/>
  <c r="AV124" i="4"/>
  <c r="AW124" i="4"/>
  <c r="AX150" i="4"/>
  <c r="BB150" i="4" s="1"/>
  <c r="AX189" i="4"/>
  <c r="AY189" i="4" s="1"/>
  <c r="AZ189" i="4" s="1"/>
  <c r="BA189" i="4" s="1"/>
  <c r="BB189" i="4" s="1"/>
  <c r="BC189" i="4" s="1"/>
  <c r="BD189" i="4" s="1"/>
  <c r="BE189" i="4" s="1"/>
  <c r="BF189" i="4" s="1"/>
  <c r="BG189" i="4" s="1"/>
  <c r="BH189" i="4" s="1"/>
  <c r="BI189" i="4" s="1"/>
  <c r="BJ189" i="4" s="1"/>
  <c r="BK189" i="4" s="1"/>
  <c r="BL189" i="4" s="1"/>
  <c r="BM189" i="4" s="1"/>
  <c r="BN189" i="4" s="1"/>
  <c r="BO189" i="4" s="1"/>
  <c r="BP189" i="4" s="1"/>
  <c r="BQ189" i="4" s="1"/>
  <c r="DN11" i="3"/>
  <c r="DN12" i="3"/>
  <c r="DN16" i="3"/>
  <c r="AV68" i="42"/>
  <c r="AV255" i="4" s="1"/>
  <c r="DO45" i="3" l="1"/>
  <c r="DO51" i="3" s="1"/>
  <c r="DO53" i="3" s="1"/>
  <c r="DO56" i="3" s="1"/>
  <c r="DO64" i="3" s="1"/>
  <c r="AW66" i="42"/>
  <c r="AW122" i="4" s="1"/>
  <c r="AW125" i="4" s="1"/>
  <c r="DN45" i="3"/>
  <c r="AV66" i="42"/>
  <c r="AV122" i="4" s="1"/>
  <c r="AV125" i="4" s="1"/>
  <c r="DO11" i="3"/>
  <c r="DO9" i="3"/>
  <c r="AX163" i="4"/>
  <c r="AY163" i="4" s="1"/>
  <c r="AX95" i="4"/>
  <c r="DO16" i="3"/>
  <c r="AX202" i="4"/>
  <c r="AW57" i="3"/>
  <c r="AW58" i="3"/>
  <c r="DO12" i="3"/>
  <c r="DO13" i="3" s="1"/>
  <c r="DN13" i="3"/>
  <c r="DN18" i="3" s="1"/>
  <c r="AV67" i="42" l="1"/>
  <c r="AW67" i="42" s="1"/>
  <c r="AW68" i="42" s="1"/>
  <c r="AW255" i="4" s="1"/>
  <c r="DO23" i="3"/>
  <c r="DN9" i="3"/>
  <c r="DO18" i="3"/>
  <c r="AW63" i="3"/>
  <c r="AW64" i="3" s="1"/>
  <c r="AW52" i="3" s="1"/>
  <c r="AZ163" i="4"/>
  <c r="DP12" i="3"/>
  <c r="AX180" i="4"/>
  <c r="AY202" i="4"/>
  <c r="AW54" i="3"/>
  <c r="AW56" i="3"/>
  <c r="DO21" i="3" l="1"/>
  <c r="DO22" i="3"/>
  <c r="DQ12" i="3"/>
  <c r="AZ202" i="4"/>
  <c r="AY180" i="4"/>
  <c r="BA163" i="4"/>
  <c r="BB163" i="4" l="1"/>
  <c r="DR12" i="3"/>
  <c r="AZ180" i="4"/>
  <c r="BA202" i="4"/>
  <c r="DS12" i="3" l="1"/>
  <c r="BB202" i="4"/>
  <c r="BA180" i="4"/>
  <c r="BB180" i="4" s="1"/>
  <c r="BC163" i="4"/>
  <c r="BD163" i="4" l="1"/>
  <c r="DT12" i="3"/>
  <c r="BC202" i="4"/>
  <c r="BE163" i="4" l="1"/>
  <c r="DU12" i="3"/>
  <c r="BD202" i="4"/>
  <c r="BC180" i="4"/>
  <c r="DV12" i="3" l="1"/>
  <c r="BD180" i="4"/>
  <c r="BE202" i="4"/>
  <c r="BF163" i="4"/>
  <c r="BG163" i="4" l="1"/>
  <c r="DW12" i="3"/>
  <c r="BF202" i="4"/>
  <c r="BE180" i="4"/>
  <c r="DX12" i="3" l="1"/>
  <c r="BF180" i="4"/>
  <c r="BG180" i="4" s="1"/>
  <c r="BG202" i="4"/>
  <c r="BH163" i="4"/>
  <c r="DY12" i="3" l="1"/>
  <c r="BH202" i="4"/>
  <c r="BI163" i="4"/>
  <c r="BJ163" i="4" l="1"/>
  <c r="DZ12" i="3"/>
  <c r="BH180" i="4"/>
  <c r="BI202" i="4"/>
  <c r="BK163" i="4" l="1"/>
  <c r="EA12" i="3"/>
  <c r="BJ202" i="4"/>
  <c r="BI180" i="4"/>
  <c r="EB12" i="3" l="1"/>
  <c r="BJ180" i="4"/>
  <c r="BK202" i="4"/>
  <c r="BL163" i="4"/>
  <c r="EC12" i="3" l="1"/>
  <c r="BL202" i="4"/>
  <c r="BK180" i="4"/>
  <c r="BL180" i="4" s="1"/>
  <c r="BM163" i="4"/>
  <c r="ED12" i="3" l="1"/>
  <c r="BM202" i="4"/>
  <c r="BN163" i="4"/>
  <c r="BN202" i="4" l="1"/>
  <c r="EE12" i="3"/>
  <c r="BM180" i="4"/>
  <c r="BO163" i="4"/>
  <c r="BP163" i="4" l="1"/>
  <c r="EF12" i="3"/>
  <c r="BN180" i="4"/>
  <c r="BO202" i="4"/>
  <c r="EG12" i="3" l="1"/>
  <c r="BP202" i="4"/>
  <c r="BO180" i="4"/>
  <c r="BQ163" i="4"/>
  <c r="EH12" i="3" l="1"/>
  <c r="BP180" i="4"/>
  <c r="BQ180" i="4" s="1"/>
  <c r="BQ202" i="4"/>
  <c r="EI12" i="3" l="1"/>
  <c r="BA79" i="39" l="1"/>
  <c r="BB79" i="39" s="1"/>
  <c r="BA88" i="39" l="1"/>
  <c r="BA9" i="39" s="1"/>
  <c r="BA81" i="39"/>
  <c r="BA83" i="39" s="1"/>
  <c r="BA8" i="39" s="1"/>
  <c r="BA8" i="4" s="1"/>
  <c r="BF79" i="39"/>
  <c r="BG79" i="39" s="1"/>
  <c r="BB8" i="39" l="1"/>
  <c r="BB10" i="39" s="1"/>
  <c r="BB83" i="39"/>
  <c r="BB81" i="39" s="1"/>
  <c r="BA10" i="39"/>
  <c r="BF81" i="39"/>
  <c r="BF83" i="39" s="1"/>
  <c r="BF8" i="39" s="1"/>
  <c r="BA91" i="39"/>
  <c r="BA92" i="39" s="1"/>
  <c r="BA9" i="4"/>
  <c r="BB9" i="4" s="1"/>
  <c r="BF88" i="39"/>
  <c r="BF9" i="39" s="1"/>
  <c r="BF9" i="4" s="1"/>
  <c r="BG9" i="4" s="1"/>
  <c r="BB9" i="39"/>
  <c r="BB89" i="39" s="1"/>
  <c r="BB88" i="39" s="1"/>
  <c r="BK79" i="39"/>
  <c r="BB8" i="4"/>
  <c r="BA10" i="4"/>
  <c r="BB91" i="39" l="1"/>
  <c r="BB92" i="39" s="1"/>
  <c r="BG83" i="39"/>
  <c r="BG81" i="39" s="1"/>
  <c r="BK81" i="39"/>
  <c r="BK83" i="39" s="1"/>
  <c r="BB10" i="4"/>
  <c r="BF91" i="39"/>
  <c r="BF92" i="39" s="1"/>
  <c r="BG9" i="39"/>
  <c r="BG89" i="39" s="1"/>
  <c r="BG88" i="39" s="1"/>
  <c r="BK88" i="39"/>
  <c r="BK9" i="39" s="1"/>
  <c r="BL9" i="39" s="1"/>
  <c r="BL89" i="39" s="1"/>
  <c r="BL88" i="39" s="1"/>
  <c r="BP79" i="39"/>
  <c r="BL79" i="39"/>
  <c r="BQ79" i="39"/>
  <c r="BP88" i="39"/>
  <c r="BP9" i="39" s="1"/>
  <c r="BF8" i="4"/>
  <c r="BF10" i="39"/>
  <c r="BG8" i="39"/>
  <c r="BG10" i="39" s="1"/>
  <c r="BG91" i="39" l="1"/>
  <c r="BG92" i="39" s="1"/>
  <c r="BK8" i="39"/>
  <c r="BL8" i="39" s="1"/>
  <c r="BL83" i="39"/>
  <c r="BL81" i="39" s="1"/>
  <c r="BP81" i="39"/>
  <c r="BP83" i="39" s="1"/>
  <c r="BP8" i="39" s="1"/>
  <c r="BQ8" i="39" s="1"/>
  <c r="BK9" i="4"/>
  <c r="BL9" i="4" s="1"/>
  <c r="BK91" i="39"/>
  <c r="BK92" i="39" s="1"/>
  <c r="BP9" i="4"/>
  <c r="BQ9" i="4" s="1"/>
  <c r="BQ9" i="39"/>
  <c r="BQ89" i="39" s="1"/>
  <c r="BQ88" i="39" s="1"/>
  <c r="BG8" i="4"/>
  <c r="BF10" i="4"/>
  <c r="BK8" i="4" l="1"/>
  <c r="BK10" i="4" s="1"/>
  <c r="BP91" i="39"/>
  <c r="BP92" i="39" s="1"/>
  <c r="BP8" i="4"/>
  <c r="BQ8" i="4" s="1"/>
  <c r="BP10" i="39"/>
  <c r="BL91" i="39"/>
  <c r="BL92" i="39" s="1"/>
  <c r="BQ83" i="39"/>
  <c r="BQ81" i="39" s="1"/>
  <c r="BK10" i="39"/>
  <c r="BG10" i="4"/>
  <c r="BL10" i="39"/>
  <c r="BQ10" i="39"/>
  <c r="BL8" i="4" l="1"/>
  <c r="BL10" i="4" s="1"/>
  <c r="BP10" i="4"/>
  <c r="BQ91" i="39"/>
  <c r="BQ92" i="39" s="1"/>
  <c r="BQ10" i="4"/>
  <c r="BA113" i="39"/>
  <c r="BF113" i="39" s="1"/>
  <c r="BF15" i="39" l="1"/>
  <c r="BG113" i="39"/>
  <c r="BK113" i="39"/>
  <c r="BA15" i="39"/>
  <c r="BB113" i="39"/>
  <c r="BB114" i="39" s="1"/>
  <c r="BK15" i="39" l="1"/>
  <c r="BL113" i="39"/>
  <c r="BL114" i="39" s="1"/>
  <c r="BP113" i="39"/>
  <c r="BF16" i="39"/>
  <c r="BF18" i="39" s="1"/>
  <c r="BG15" i="39"/>
  <c r="BG16" i="39" s="1"/>
  <c r="BG18" i="39" s="1"/>
  <c r="BA16" i="39"/>
  <c r="BA18" i="39" s="1"/>
  <c r="BB15" i="39"/>
  <c r="BB16" i="39" s="1"/>
  <c r="BB18" i="39" s="1"/>
  <c r="BG114" i="39"/>
  <c r="BA22" i="39" l="1"/>
  <c r="BD186" i="39"/>
  <c r="BC186" i="39"/>
  <c r="BE186" i="39"/>
  <c r="BA18" i="4"/>
  <c r="BA186" i="39"/>
  <c r="BG22" i="39"/>
  <c r="BG186" i="39"/>
  <c r="BP15" i="39"/>
  <c r="BQ113" i="39"/>
  <c r="BQ114" i="39" s="1"/>
  <c r="BK16" i="39"/>
  <c r="BK18" i="39" s="1"/>
  <c r="BL15" i="39"/>
  <c r="BL16" i="39" s="1"/>
  <c r="BL18" i="39" s="1"/>
  <c r="BB22" i="39"/>
  <c r="BB186" i="39"/>
  <c r="BF22" i="39"/>
  <c r="BF186" i="39"/>
  <c r="BH186" i="39"/>
  <c r="BJ186" i="39"/>
  <c r="BF18" i="4"/>
  <c r="BI186" i="39"/>
  <c r="BK22" i="39" l="1"/>
  <c r="BN186" i="39"/>
  <c r="BK186" i="39"/>
  <c r="BO186" i="39"/>
  <c r="BM186" i="39"/>
  <c r="BK18" i="4"/>
  <c r="BP16" i="39"/>
  <c r="BP18" i="39" s="1"/>
  <c r="BQ15" i="39"/>
  <c r="BQ16" i="39" s="1"/>
  <c r="BQ18" i="39" s="1"/>
  <c r="BG23" i="39"/>
  <c r="BB18" i="4"/>
  <c r="BA23" i="39"/>
  <c r="BG18" i="4"/>
  <c r="BF23" i="39"/>
  <c r="BB23" i="39"/>
  <c r="BL186" i="39"/>
  <c r="BL22" i="39"/>
  <c r="BL23" i="39" l="1"/>
  <c r="BB23" i="3"/>
  <c r="BB187" i="39"/>
  <c r="BI187" i="39"/>
  <c r="BF187" i="39"/>
  <c r="BJ187" i="39"/>
  <c r="BH187" i="39"/>
  <c r="BA187" i="39"/>
  <c r="BC187" i="39"/>
  <c r="BE187" i="39"/>
  <c r="BD187" i="39"/>
  <c r="BQ22" i="39"/>
  <c r="BQ186" i="39"/>
  <c r="BL18" i="4"/>
  <c r="BG187" i="39"/>
  <c r="BG23" i="3"/>
  <c r="BP22" i="39"/>
  <c r="BP186" i="39"/>
  <c r="BP18" i="4"/>
  <c r="BK23" i="39"/>
  <c r="BQ18" i="4" l="1"/>
  <c r="BP23" i="39"/>
  <c r="BP187" i="39" s="1"/>
  <c r="BQ23" i="39"/>
  <c r="BK187" i="39"/>
  <c r="BM187" i="39"/>
  <c r="BO187" i="39"/>
  <c r="BN187" i="39"/>
  <c r="BL23" i="3"/>
  <c r="BL187" i="39"/>
  <c r="BQ187" i="39" l="1"/>
  <c r="BQ23" i="3"/>
  <c r="BA68" i="40" l="1"/>
  <c r="BA65" i="40"/>
  <c r="BB65" i="40" s="1"/>
  <c r="BB66" i="40" s="1"/>
  <c r="BF65" i="40" l="1"/>
  <c r="BA63" i="40"/>
  <c r="BA13" i="40"/>
  <c r="BF68" i="40"/>
  <c r="BB68" i="40"/>
  <c r="BB69" i="40" s="1"/>
  <c r="BB13" i="40" l="1"/>
  <c r="BA15" i="4"/>
  <c r="BB15" i="4" s="1"/>
  <c r="BG65" i="40"/>
  <c r="BG66" i="40" s="1"/>
  <c r="BK65" i="40"/>
  <c r="BF63" i="40"/>
  <c r="BG68" i="40"/>
  <c r="BG69" i="40" s="1"/>
  <c r="BK68" i="40"/>
  <c r="BF13" i="40"/>
  <c r="BB63" i="40"/>
  <c r="BA10" i="40"/>
  <c r="BK13" i="40" l="1"/>
  <c r="BL68" i="40"/>
  <c r="BL69" i="40" s="1"/>
  <c r="BP68" i="40"/>
  <c r="BG63" i="40"/>
  <c r="BF10" i="40"/>
  <c r="BB10" i="40"/>
  <c r="BB14" i="40" s="1"/>
  <c r="BB16" i="40" s="1"/>
  <c r="BB20" i="40" s="1"/>
  <c r="BA14" i="40"/>
  <c r="BA16" i="40" s="1"/>
  <c r="BA12" i="4"/>
  <c r="BF15" i="4"/>
  <c r="BG15" i="4" s="1"/>
  <c r="BG13" i="40"/>
  <c r="BL65" i="40"/>
  <c r="BL66" i="40" s="1"/>
  <c r="BK63" i="40"/>
  <c r="BP65" i="40"/>
  <c r="BQ65" i="40" l="1"/>
  <c r="BQ66" i="40" s="1"/>
  <c r="BP63" i="40"/>
  <c r="BA20" i="4"/>
  <c r="BA20" i="40"/>
  <c r="BF14" i="40"/>
  <c r="BF16" i="40" s="1"/>
  <c r="BG10" i="40"/>
  <c r="BG14" i="40" s="1"/>
  <c r="BG16" i="40" s="1"/>
  <c r="BG20" i="40" s="1"/>
  <c r="BF12" i="4"/>
  <c r="BP13" i="40"/>
  <c r="BQ68" i="40"/>
  <c r="BQ69" i="40" s="1"/>
  <c r="BL13" i="40"/>
  <c r="BK15" i="4"/>
  <c r="BL15" i="4" s="1"/>
  <c r="BL63" i="40"/>
  <c r="BK10" i="40"/>
  <c r="BB12" i="4"/>
  <c r="BB21" i="40"/>
  <c r="BB25" i="3" s="1"/>
  <c r="BB27" i="40"/>
  <c r="BF20" i="4" l="1"/>
  <c r="BF20" i="40"/>
  <c r="BQ13" i="40"/>
  <c r="BP15" i="4"/>
  <c r="BQ15" i="4" s="1"/>
  <c r="BG27" i="40"/>
  <c r="BG21" i="40"/>
  <c r="BG25" i="3" s="1"/>
  <c r="BA21" i="40"/>
  <c r="BA27" i="40"/>
  <c r="BQ63" i="40"/>
  <c r="BP10" i="40"/>
  <c r="BK14" i="40"/>
  <c r="BK16" i="40" s="1"/>
  <c r="BL10" i="40"/>
  <c r="BL14" i="40" s="1"/>
  <c r="BL16" i="40" s="1"/>
  <c r="BL20" i="40" s="1"/>
  <c r="BK12" i="4"/>
  <c r="BG12" i="4"/>
  <c r="BB20" i="4"/>
  <c r="BL12" i="4" l="1"/>
  <c r="BK20" i="40"/>
  <c r="BK20" i="4"/>
  <c r="BP14" i="40"/>
  <c r="BP16" i="40" s="1"/>
  <c r="BQ10" i="40"/>
  <c r="BQ14" i="40" s="1"/>
  <c r="BQ16" i="40" s="1"/>
  <c r="BQ20" i="40" s="1"/>
  <c r="BP12" i="4"/>
  <c r="BA29" i="40"/>
  <c r="BB29" i="40" s="1"/>
  <c r="BB31" i="40" s="1"/>
  <c r="BB33" i="40" s="1"/>
  <c r="BG20" i="4"/>
  <c r="BL27" i="40"/>
  <c r="BL21" i="40"/>
  <c r="BL25" i="3" s="1"/>
  <c r="BF27" i="40"/>
  <c r="BF21" i="40"/>
  <c r="BA31" i="40" l="1"/>
  <c r="BA38" i="40" s="1"/>
  <c r="BF29" i="40"/>
  <c r="BG29" i="40" s="1"/>
  <c r="BG31" i="40" s="1"/>
  <c r="BB38" i="40"/>
  <c r="BQ27" i="40"/>
  <c r="BQ21" i="40"/>
  <c r="BQ25" i="3" s="1"/>
  <c r="BL20" i="4"/>
  <c r="BQ12" i="4"/>
  <c r="BP20" i="4"/>
  <c r="BP20" i="40"/>
  <c r="BK27" i="40"/>
  <c r="BK21" i="40"/>
  <c r="BA33" i="40" l="1"/>
  <c r="BA42" i="40" s="1"/>
  <c r="BF31" i="40"/>
  <c r="BF38" i="40" s="1"/>
  <c r="BP21" i="40"/>
  <c r="BP27" i="40"/>
  <c r="BB110" i="40"/>
  <c r="BB59" i="40" s="1"/>
  <c r="BB44" i="61" s="1"/>
  <c r="BB39" i="40"/>
  <c r="BG38" i="40"/>
  <c r="BG33" i="40"/>
  <c r="BK29" i="40"/>
  <c r="BL29" i="40" s="1"/>
  <c r="BL31" i="40" s="1"/>
  <c r="BQ20" i="4"/>
  <c r="BA39" i="40" l="1"/>
  <c r="BA77" i="4" s="1"/>
  <c r="BF33" i="40"/>
  <c r="BF39" i="40" s="1"/>
  <c r="BF77" i="4" s="1"/>
  <c r="BP29" i="40"/>
  <c r="BQ29" i="40" s="1"/>
  <c r="BQ31" i="40" s="1"/>
  <c r="BL38" i="40"/>
  <c r="BL33" i="40"/>
  <c r="BG39" i="40"/>
  <c r="BG110" i="40"/>
  <c r="BG59" i="40" s="1"/>
  <c r="BG44" i="61" s="1"/>
  <c r="BK31" i="40"/>
  <c r="BB40" i="40"/>
  <c r="BB77" i="4"/>
  <c r="BB9" i="61" s="1"/>
  <c r="BP31" i="40" l="1"/>
  <c r="BP38" i="40" s="1"/>
  <c r="BB12" i="3"/>
  <c r="BL110" i="40"/>
  <c r="BL59" i="40" s="1"/>
  <c r="BL44" i="61" s="1"/>
  <c r="BL39" i="40"/>
  <c r="BQ38" i="40"/>
  <c r="BQ33" i="40"/>
  <c r="BK33" i="40"/>
  <c r="BK39" i="40" s="1"/>
  <c r="BK77" i="4" s="1"/>
  <c r="BK38" i="40"/>
  <c r="BG40" i="40"/>
  <c r="BG77" i="4"/>
  <c r="BG9" i="61" s="1"/>
  <c r="BP33" i="40" l="1"/>
  <c r="BP39" i="40" s="1"/>
  <c r="BP77" i="4" s="1"/>
  <c r="BQ39" i="40"/>
  <c r="BQ110" i="40"/>
  <c r="BQ59" i="40" s="1"/>
  <c r="BQ44" i="61" s="1"/>
  <c r="BG12" i="3"/>
  <c r="BL40" i="40"/>
  <c r="BL77" i="4"/>
  <c r="BL9" i="61" s="1"/>
  <c r="BQ40" i="40" l="1"/>
  <c r="BQ77" i="4"/>
  <c r="BQ9" i="61" s="1"/>
  <c r="BL12" i="3"/>
  <c r="BQ12" i="3" l="1"/>
  <c r="E116" i="51" l="1"/>
  <c r="AT116" i="51"/>
  <c r="AW580" i="41" s="1"/>
  <c r="CT116" i="51" l="1"/>
  <c r="CU116" i="51"/>
  <c r="CV116" i="51"/>
  <c r="DB116" i="51"/>
  <c r="CW116" i="51"/>
  <c r="CX116" i="51"/>
  <c r="CZ116" i="51"/>
  <c r="DA116" i="51"/>
  <c r="AT118" i="51"/>
  <c r="AT11" i="51"/>
  <c r="AT12" i="51" s="1"/>
  <c r="CY116" i="51"/>
  <c r="AP116" i="51"/>
  <c r="AR116" i="51"/>
  <c r="AQ116" i="51"/>
  <c r="AS116" i="51"/>
  <c r="AV580" i="41" l="1"/>
  <c r="AV603" i="41" s="1"/>
  <c r="AS11" i="51"/>
  <c r="AS12" i="51" s="1"/>
  <c r="AV607" i="41"/>
  <c r="AV609" i="41" s="1"/>
  <c r="AV610" i="41" s="1"/>
  <c r="AW611" i="41" s="1"/>
  <c r="AQ11" i="51"/>
  <c r="AQ12" i="51" s="1"/>
  <c r="AQ118" i="51"/>
  <c r="AT580" i="41"/>
  <c r="AT603" i="41" s="1"/>
  <c r="AT607" i="41" s="1"/>
  <c r="AY585" i="41"/>
  <c r="CZ118" i="51"/>
  <c r="CZ11" i="51"/>
  <c r="CX118" i="51"/>
  <c r="CX11" i="51"/>
  <c r="CX12" i="51" s="1"/>
  <c r="BA585" i="41"/>
  <c r="DB118" i="51"/>
  <c r="DB11" i="51"/>
  <c r="CU118" i="51"/>
  <c r="CU11" i="51"/>
  <c r="CU12" i="51" s="1"/>
  <c r="AP11" i="51"/>
  <c r="AP12" i="51" s="1"/>
  <c r="AP118" i="51"/>
  <c r="AS580" i="41"/>
  <c r="AS603" i="41" s="1"/>
  <c r="CY118" i="51"/>
  <c r="AX585" i="41"/>
  <c r="CY11" i="51"/>
  <c r="AS118" i="51"/>
  <c r="AR11" i="51"/>
  <c r="AR12" i="51" s="1"/>
  <c r="AU580" i="41"/>
  <c r="AU603" i="41" s="1"/>
  <c r="AU607" i="41" s="1"/>
  <c r="AR118" i="51"/>
  <c r="AZ585" i="41"/>
  <c r="DA118" i="51"/>
  <c r="DA11" i="51"/>
  <c r="DC116" i="51"/>
  <c r="CW118" i="51"/>
  <c r="CW11" i="51"/>
  <c r="CW12" i="51" s="1"/>
  <c r="CV118" i="51"/>
  <c r="CV11" i="51"/>
  <c r="CV12" i="51" s="1"/>
  <c r="CT118" i="51"/>
  <c r="CT11" i="51"/>
  <c r="CT12" i="51" s="1"/>
  <c r="AW603" i="41" l="1"/>
  <c r="AW607" i="41" s="1"/>
  <c r="AW609" i="41" s="1"/>
  <c r="DH116" i="51"/>
  <c r="AZ96" i="4"/>
  <c r="DA12" i="51"/>
  <c r="AU609" i="41"/>
  <c r="AU610" i="41" s="1"/>
  <c r="AU73" i="42"/>
  <c r="BB585" i="41"/>
  <c r="AS607" i="41"/>
  <c r="CZ12" i="51"/>
  <c r="AY96" i="4"/>
  <c r="DC118" i="51"/>
  <c r="DC11" i="51"/>
  <c r="CY12" i="51"/>
  <c r="AX96" i="4"/>
  <c r="AX98" i="4" s="1"/>
  <c r="AX30" i="4" s="1"/>
  <c r="DB12" i="51"/>
  <c r="BA96" i="4"/>
  <c r="AT609" i="41"/>
  <c r="AT610" i="41" s="1"/>
  <c r="AT73" i="42"/>
  <c r="AT256" i="4" s="1"/>
  <c r="AT257" i="4" s="1"/>
  <c r="AX32" i="4" l="1"/>
  <c r="DC12" i="51"/>
  <c r="BB96" i="4"/>
  <c r="AS609" i="41"/>
  <c r="AS610" i="41" s="1"/>
  <c r="AW610" i="41" s="1"/>
  <c r="AS73" i="42"/>
  <c r="AX618" i="41"/>
  <c r="AY618" i="41" s="1"/>
  <c r="AZ618" i="41" s="1"/>
  <c r="BA618" i="41" s="1"/>
  <c r="BB618" i="41" s="1"/>
  <c r="AU75" i="42"/>
  <c r="AU72" i="42"/>
  <c r="DM116" i="51"/>
  <c r="DR116" i="51"/>
  <c r="AT72" i="42"/>
  <c r="AT75" i="42"/>
  <c r="AV73" i="42"/>
  <c r="AU256" i="4"/>
  <c r="AU257" i="4" s="1"/>
  <c r="DH11" i="51"/>
  <c r="DH118" i="51"/>
  <c r="AV75" i="42" l="1"/>
  <c r="AV72" i="42"/>
  <c r="BG96" i="4"/>
  <c r="DH12" i="51"/>
  <c r="AV256" i="4"/>
  <c r="AV257" i="4" s="1"/>
  <c r="DM118" i="51"/>
  <c r="DM11" i="51"/>
  <c r="DR118" i="51"/>
  <c r="DR11" i="51"/>
  <c r="BC618" i="41"/>
  <c r="BD618" i="41" s="1"/>
  <c r="BE618" i="41" s="1"/>
  <c r="BF618" i="41" s="1"/>
  <c r="BG618" i="41" s="1"/>
  <c r="AS72" i="42"/>
  <c r="AS75" i="42"/>
  <c r="AS256" i="4"/>
  <c r="AS257" i="4" s="1"/>
  <c r="AW72" i="42" l="1"/>
  <c r="AW73" i="42" s="1"/>
  <c r="AW75" i="42" s="1"/>
  <c r="BH618" i="41"/>
  <c r="BI618" i="41" s="1"/>
  <c r="BJ618" i="41" s="1"/>
  <c r="BK618" i="41" s="1"/>
  <c r="BL618" i="41" s="1"/>
  <c r="BQ96" i="4"/>
  <c r="DR12" i="51"/>
  <c r="BL96" i="4"/>
  <c r="DM12" i="51"/>
  <c r="AW256" i="4" l="1"/>
  <c r="AW257" i="4" s="1"/>
  <c r="BM618" i="41"/>
  <c r="BN618" i="41" s="1"/>
  <c r="BO618" i="41" s="1"/>
  <c r="BP618" i="41" s="1"/>
  <c r="BQ618" i="41" s="1"/>
  <c r="AX557" i="41" l="1"/>
  <c r="AX564" i="41" s="1"/>
  <c r="AY564" i="41" l="1"/>
  <c r="AX553" i="41"/>
  <c r="AZ564" i="41" l="1"/>
  <c r="AY557" i="41"/>
  <c r="AY553" i="41" s="1"/>
  <c r="AX559" i="41"/>
  <c r="AZ557" i="41" l="1"/>
  <c r="AZ553" i="41" s="1"/>
  <c r="BA564" i="41"/>
  <c r="AX554" i="41"/>
  <c r="AX561" i="41"/>
  <c r="AX13" i="41" l="1"/>
  <c r="AX555" i="41"/>
  <c r="AY559" i="41" s="1"/>
  <c r="AY554" i="41" s="1"/>
  <c r="BA557" i="41"/>
  <c r="BB557" i="41" s="1"/>
  <c r="BB564" i="41"/>
  <c r="BC564" i="41"/>
  <c r="BD564" i="41" l="1"/>
  <c r="BC557" i="41"/>
  <c r="AY555" i="41"/>
  <c r="AZ559" i="41" s="1"/>
  <c r="AZ561" i="41" s="1"/>
  <c r="AZ13" i="41" s="1"/>
  <c r="AY561" i="41"/>
  <c r="AX594" i="41"/>
  <c r="AX15" i="41"/>
  <c r="AX17" i="41" s="1"/>
  <c r="AX13" i="4"/>
  <c r="BA553" i="41"/>
  <c r="AX130" i="4" l="1"/>
  <c r="AX16" i="4"/>
  <c r="AX22" i="4" s="1"/>
  <c r="AX19" i="4"/>
  <c r="AX21" i="41"/>
  <c r="AZ594" i="41"/>
  <c r="AZ15" i="41"/>
  <c r="AZ17" i="41" s="1"/>
  <c r="AZ13" i="4"/>
  <c r="BB553" i="41"/>
  <c r="AY13" i="41"/>
  <c r="AZ554" i="41"/>
  <c r="BD557" i="41"/>
  <c r="BE564" i="41"/>
  <c r="BE557" i="41" l="1"/>
  <c r="BF564" i="41"/>
  <c r="AZ555" i="41"/>
  <c r="BA559" i="41" s="1"/>
  <c r="BA554" i="41" s="1"/>
  <c r="AY594" i="41"/>
  <c r="AY13" i="4"/>
  <c r="AY15" i="41"/>
  <c r="AY17" i="41" s="1"/>
  <c r="BC553" i="41"/>
  <c r="AZ19" i="4"/>
  <c r="AZ21" i="41"/>
  <c r="AX22" i="41"/>
  <c r="AX28" i="4"/>
  <c r="AX252" i="4"/>
  <c r="AX27" i="4"/>
  <c r="AX34" i="4" s="1"/>
  <c r="AX165" i="4"/>
  <c r="AZ130" i="4"/>
  <c r="AZ16" i="4"/>
  <c r="AZ22" i="4" s="1"/>
  <c r="AX23" i="4"/>
  <c r="BH564" i="41"/>
  <c r="BH557" i="41" l="1"/>
  <c r="BI564" i="41"/>
  <c r="AZ22" i="41"/>
  <c r="BD553" i="41"/>
  <c r="AY130" i="4"/>
  <c r="AY165" i="4" s="1"/>
  <c r="AY16" i="4"/>
  <c r="AY22" i="4" s="1"/>
  <c r="BA561" i="41"/>
  <c r="BB559" i="41"/>
  <c r="BG564" i="41"/>
  <c r="BF557" i="41"/>
  <c r="BG557" i="41" s="1"/>
  <c r="AZ28" i="4"/>
  <c r="AZ27" i="4"/>
  <c r="AZ252" i="4"/>
  <c r="AX166" i="4"/>
  <c r="AZ23" i="4"/>
  <c r="AY19" i="4"/>
  <c r="AY21" i="41"/>
  <c r="BB554" i="41"/>
  <c r="BA555" i="41"/>
  <c r="AY166" i="4" l="1"/>
  <c r="AZ165" i="4"/>
  <c r="AY22" i="41"/>
  <c r="AY23" i="4"/>
  <c r="BA13" i="41"/>
  <c r="BB561" i="41"/>
  <c r="AY28" i="4"/>
  <c r="AY27" i="4"/>
  <c r="AY252" i="4"/>
  <c r="BE553" i="41"/>
  <c r="BB555" i="41"/>
  <c r="BC559" i="41" s="1"/>
  <c r="BI557" i="41"/>
  <c r="BJ564" i="41"/>
  <c r="BJ557" i="41" l="1"/>
  <c r="BK564" i="41"/>
  <c r="BC561" i="41"/>
  <c r="BM564" i="41"/>
  <c r="BC554" i="41"/>
  <c r="BF553" i="41"/>
  <c r="AZ166" i="4"/>
  <c r="BA594" i="41"/>
  <c r="BB594" i="41" s="1"/>
  <c r="BA13" i="4"/>
  <c r="BA15" i="41"/>
  <c r="BA17" i="41" s="1"/>
  <c r="BB13" i="41"/>
  <c r="CR42" i="72" l="1"/>
  <c r="AR9" i="72" s="1"/>
  <c r="BB15" i="41"/>
  <c r="BB17" i="41" s="1"/>
  <c r="BB135" i="41"/>
  <c r="BA19" i="4"/>
  <c r="BA21" i="41"/>
  <c r="BG553" i="41"/>
  <c r="BC555" i="41"/>
  <c r="BD559" i="41" s="1"/>
  <c r="BD554" i="41" s="1"/>
  <c r="BM557" i="41"/>
  <c r="BN564" i="41"/>
  <c r="BL564" i="41"/>
  <c r="BK557" i="41"/>
  <c r="BL557" i="41" s="1"/>
  <c r="BA130" i="4"/>
  <c r="BA16" i="4"/>
  <c r="BA22" i="4" s="1"/>
  <c r="BB13" i="4"/>
  <c r="BB16" i="4" s="1"/>
  <c r="BB22" i="4" s="1"/>
  <c r="BC13" i="41"/>
  <c r="BC594" i="41" l="1"/>
  <c r="BC15" i="41"/>
  <c r="BC17" i="41" s="1"/>
  <c r="BC13" i="4"/>
  <c r="BB28" i="4"/>
  <c r="BB220" i="4" s="1"/>
  <c r="BB252" i="4"/>
  <c r="BB219" i="4"/>
  <c r="BB27" i="4"/>
  <c r="BB130" i="4"/>
  <c r="BA165" i="4"/>
  <c r="BD555" i="41"/>
  <c r="BE559" i="41" s="1"/>
  <c r="BE561" i="41" s="1"/>
  <c r="BE13" i="41" s="1"/>
  <c r="BA23" i="4"/>
  <c r="BB19" i="4"/>
  <c r="BB23" i="4" s="1"/>
  <c r="BB634" i="41"/>
  <c r="BB21" i="41"/>
  <c r="BA28" i="4"/>
  <c r="BA252" i="4"/>
  <c r="BA27" i="4"/>
  <c r="BN557" i="41"/>
  <c r="BO564" i="41"/>
  <c r="BD561" i="41"/>
  <c r="BH553" i="41"/>
  <c r="BA22" i="41"/>
  <c r="AX135" i="41"/>
  <c r="AY135" i="41" s="1"/>
  <c r="AZ135" i="41" s="1"/>
  <c r="BA135" i="41" s="1"/>
  <c r="BE554" i="41" l="1"/>
  <c r="BI553" i="41"/>
  <c r="BO557" i="41"/>
  <c r="BP564" i="41"/>
  <c r="BB22" i="41"/>
  <c r="CQ41" i="61" s="1"/>
  <c r="BE594" i="41"/>
  <c r="BE13" i="4"/>
  <c r="BE15" i="41"/>
  <c r="BE17" i="41" s="1"/>
  <c r="BA166" i="4"/>
  <c r="BB165" i="4"/>
  <c r="BC130" i="4"/>
  <c r="BC16" i="4"/>
  <c r="BC22" i="4" s="1"/>
  <c r="BD13" i="41"/>
  <c r="BE555" i="41"/>
  <c r="BF559" i="41" s="1"/>
  <c r="BF554" i="41" s="1"/>
  <c r="BC19" i="4"/>
  <c r="BC21" i="41"/>
  <c r="CQ71" i="61" l="1"/>
  <c r="CQ73" i="61" s="1"/>
  <c r="BC22" i="41"/>
  <c r="BC28" i="4"/>
  <c r="BC252" i="4"/>
  <c r="BC27" i="4"/>
  <c r="BC23" i="4"/>
  <c r="BF561" i="41"/>
  <c r="BG559" i="41"/>
  <c r="BD594" i="41"/>
  <c r="BD15" i="41"/>
  <c r="BD17" i="41" s="1"/>
  <c r="BD13" i="4"/>
  <c r="BB166" i="4"/>
  <c r="BC165" i="4"/>
  <c r="BE19" i="4"/>
  <c r="BE21" i="41"/>
  <c r="BG554" i="41"/>
  <c r="BF555" i="41"/>
  <c r="BE130" i="4"/>
  <c r="BE16" i="4"/>
  <c r="BE22" i="4" s="1"/>
  <c r="BB635" i="41"/>
  <c r="BB24" i="3"/>
  <c r="CR41" i="72"/>
  <c r="BP557" i="41"/>
  <c r="BQ557" i="41" s="1"/>
  <c r="BQ564" i="41"/>
  <c r="BJ553" i="41"/>
  <c r="BK553" i="41" l="1"/>
  <c r="CR59" i="72"/>
  <c r="AR8" i="72"/>
  <c r="BB27" i="3"/>
  <c r="BB30" i="3" s="1"/>
  <c r="BE28" i="4"/>
  <c r="BE252" i="4"/>
  <c r="BE27" i="4"/>
  <c r="BE23" i="4"/>
  <c r="BD130" i="4"/>
  <c r="BD165" i="4" s="1"/>
  <c r="BD16" i="4"/>
  <c r="BD22" i="4" s="1"/>
  <c r="BF13" i="41"/>
  <c r="BG561" i="41"/>
  <c r="BG555" i="41"/>
  <c r="BH559" i="41" s="1"/>
  <c r="BE22" i="41"/>
  <c r="BC166" i="4"/>
  <c r="BD19" i="4"/>
  <c r="BD21" i="41"/>
  <c r="BD166" i="4" l="1"/>
  <c r="BE165" i="4"/>
  <c r="BH561" i="41"/>
  <c r="BD22" i="41"/>
  <c r="BH554" i="41"/>
  <c r="BD28" i="4"/>
  <c r="BD252" i="4"/>
  <c r="BD27" i="4"/>
  <c r="BB31" i="3"/>
  <c r="BD23" i="4"/>
  <c r="BF594" i="41"/>
  <c r="BG594" i="41" s="1"/>
  <c r="BF13" i="4"/>
  <c r="BF15" i="41"/>
  <c r="BF17" i="41" s="1"/>
  <c r="BG13" i="41"/>
  <c r="BL553" i="41"/>
  <c r="BF21" i="41" l="1"/>
  <c r="BF19" i="4"/>
  <c r="BH13" i="41"/>
  <c r="BE166" i="4"/>
  <c r="BM553" i="41"/>
  <c r="CW42" i="72"/>
  <c r="AW9" i="72" s="1"/>
  <c r="BG135" i="41"/>
  <c r="BG15" i="41"/>
  <c r="BG17" i="41" s="1"/>
  <c r="BF130" i="4"/>
  <c r="BG130" i="4" s="1"/>
  <c r="BF16" i="4"/>
  <c r="BF22" i="4" s="1"/>
  <c r="BG13" i="4"/>
  <c r="BG16" i="4" s="1"/>
  <c r="BG22" i="4" s="1"/>
  <c r="BH555" i="41"/>
  <c r="BI559" i="41" s="1"/>
  <c r="BI554" i="41" s="1"/>
  <c r="BI555" i="41" l="1"/>
  <c r="BJ559" i="41" s="1"/>
  <c r="BJ561" i="41" s="1"/>
  <c r="BJ13" i="41" s="1"/>
  <c r="BG252" i="4"/>
  <c r="BG28" i="4"/>
  <c r="BG220" i="4" s="1"/>
  <c r="BG219" i="4"/>
  <c r="BG27" i="4"/>
  <c r="BC135" i="41"/>
  <c r="BD135" i="41" s="1"/>
  <c r="BE135" i="41" s="1"/>
  <c r="BF135" i="41" s="1"/>
  <c r="BI561" i="41"/>
  <c r="BF28" i="4"/>
  <c r="BF252" i="4"/>
  <c r="BF27" i="4"/>
  <c r="BG634" i="41"/>
  <c r="BG21" i="41"/>
  <c r="BF165" i="4"/>
  <c r="BH594" i="41"/>
  <c r="BH15" i="41"/>
  <c r="BH17" i="41" s="1"/>
  <c r="BH13" i="4"/>
  <c r="BF23" i="4"/>
  <c r="BG19" i="4"/>
  <c r="BG23" i="4" s="1"/>
  <c r="BN553" i="41"/>
  <c r="BF22" i="41"/>
  <c r="BH130" i="4" l="1"/>
  <c r="BH16" i="4"/>
  <c r="BH22" i="4" s="1"/>
  <c r="BH21" i="41"/>
  <c r="BH19" i="4"/>
  <c r="BF166" i="4"/>
  <c r="BG165" i="4"/>
  <c r="BI13" i="41"/>
  <c r="BJ554" i="41"/>
  <c r="BO553" i="41"/>
  <c r="BG22" i="41"/>
  <c r="CV41" i="61" s="1"/>
  <c r="BJ594" i="41"/>
  <c r="BJ13" i="4"/>
  <c r="BJ15" i="41"/>
  <c r="BJ17" i="41" s="1"/>
  <c r="CV71" i="61" l="1"/>
  <c r="CV73" i="61" s="1"/>
  <c r="BJ19" i="4"/>
  <c r="BJ21" i="41"/>
  <c r="BP553" i="41"/>
  <c r="BJ130" i="4"/>
  <c r="BJ16" i="4"/>
  <c r="BJ22" i="4" s="1"/>
  <c r="BJ555" i="41"/>
  <c r="BK559" i="41" s="1"/>
  <c r="BK554" i="41" s="1"/>
  <c r="BI594" i="41"/>
  <c r="BI13" i="4"/>
  <c r="BI15" i="41"/>
  <c r="BI17" i="41" s="1"/>
  <c r="BG166" i="4"/>
  <c r="BH165" i="4"/>
  <c r="BH23" i="4"/>
  <c r="BH28" i="4"/>
  <c r="BH27" i="4"/>
  <c r="BH252" i="4"/>
  <c r="BG635" i="41"/>
  <c r="BG24" i="3"/>
  <c r="CW41" i="72"/>
  <c r="BH22" i="41"/>
  <c r="BI19" i="4" l="1"/>
  <c r="BI21" i="41"/>
  <c r="BJ28" i="4"/>
  <c r="BJ252" i="4"/>
  <c r="BJ27" i="4"/>
  <c r="BG27" i="3"/>
  <c r="BG30" i="3" s="1"/>
  <c r="BH166" i="4"/>
  <c r="BI130" i="4"/>
  <c r="BI165" i="4" s="1"/>
  <c r="BI16" i="4"/>
  <c r="BI22" i="4" s="1"/>
  <c r="BK561" i="41"/>
  <c r="BL559" i="41"/>
  <c r="BQ553" i="41"/>
  <c r="BJ22" i="41"/>
  <c r="CW59" i="72"/>
  <c r="AW8" i="72"/>
  <c r="BL554" i="41"/>
  <c r="BK555" i="41"/>
  <c r="BJ23" i="4"/>
  <c r="BL555" i="41" l="1"/>
  <c r="BM559" i="41" s="1"/>
  <c r="BM554" i="41" s="1"/>
  <c r="BK13" i="41"/>
  <c r="BL561" i="41"/>
  <c r="BG31" i="3"/>
  <c r="BI22" i="41"/>
  <c r="BI28" i="4"/>
  <c r="BI252" i="4"/>
  <c r="BI27" i="4"/>
  <c r="BI166" i="4"/>
  <c r="BJ165" i="4"/>
  <c r="BI23" i="4"/>
  <c r="BM555" i="41" l="1"/>
  <c r="BN559" i="41" s="1"/>
  <c r="BN561" i="41" s="1"/>
  <c r="BN13" i="41" s="1"/>
  <c r="BK594" i="41"/>
  <c r="BL594" i="41" s="1"/>
  <c r="BK15" i="41"/>
  <c r="BK17" i="41" s="1"/>
  <c r="BK13" i="4"/>
  <c r="BL13" i="41"/>
  <c r="BJ166" i="4"/>
  <c r="BM561" i="41"/>
  <c r="BN554" i="41" l="1"/>
  <c r="BK19" i="4"/>
  <c r="BK21" i="41"/>
  <c r="BM13" i="41"/>
  <c r="BK130" i="4"/>
  <c r="BK16" i="4"/>
  <c r="BK22" i="4" s="1"/>
  <c r="BL13" i="4"/>
  <c r="BL16" i="4" s="1"/>
  <c r="BL22" i="4" s="1"/>
  <c r="BN594" i="41"/>
  <c r="BN13" i="4"/>
  <c r="BN15" i="41"/>
  <c r="BN17" i="41" s="1"/>
  <c r="DB42" i="72"/>
  <c r="BB9" i="72" s="1"/>
  <c r="BL135" i="41"/>
  <c r="BL15" i="41"/>
  <c r="BL17" i="41" s="1"/>
  <c r="BN555" i="41"/>
  <c r="BO559" i="41" s="1"/>
  <c r="BO554" i="41" s="1"/>
  <c r="BH135" i="41" l="1"/>
  <c r="BI135" i="41" s="1"/>
  <c r="BJ135" i="41" s="1"/>
  <c r="BK135" i="41" s="1"/>
  <c r="BL219" i="4"/>
  <c r="BL28" i="4"/>
  <c r="BL220" i="4" s="1"/>
  <c r="BL252" i="4"/>
  <c r="BL27" i="4"/>
  <c r="BL130" i="4"/>
  <c r="BK165" i="4"/>
  <c r="BO561" i="41"/>
  <c r="BL634" i="41"/>
  <c r="BL21" i="41"/>
  <c r="BN130" i="4"/>
  <c r="BN16" i="4"/>
  <c r="BN22" i="4" s="1"/>
  <c r="BK252" i="4"/>
  <c r="BK27" i="4"/>
  <c r="BK28" i="4"/>
  <c r="BM594" i="41"/>
  <c r="BM15" i="41"/>
  <c r="BM17" i="41" s="1"/>
  <c r="BM13" i="4"/>
  <c r="BK22" i="41"/>
  <c r="BO555" i="41"/>
  <c r="BP559" i="41" s="1"/>
  <c r="BP561" i="41" s="1"/>
  <c r="BP13" i="41" s="1"/>
  <c r="BN19" i="4"/>
  <c r="BN21" i="41"/>
  <c r="BK23" i="4"/>
  <c r="BL19" i="4"/>
  <c r="BL23" i="4" s="1"/>
  <c r="BN23" i="4" l="1"/>
  <c r="BP554" i="41"/>
  <c r="BP555" i="41" s="1"/>
  <c r="BQ554" i="41"/>
  <c r="BQ555" i="41" s="1"/>
  <c r="BN22" i="41"/>
  <c r="BP594" i="41"/>
  <c r="BP13" i="4"/>
  <c r="BP15" i="41"/>
  <c r="BP17" i="41" s="1"/>
  <c r="BM130" i="4"/>
  <c r="BM16" i="4"/>
  <c r="BM22" i="4" s="1"/>
  <c r="BM21" i="41"/>
  <c r="BM19" i="4"/>
  <c r="BO13" i="41"/>
  <c r="BQ561" i="41"/>
  <c r="BN28" i="4"/>
  <c r="BN27" i="4"/>
  <c r="BN252" i="4"/>
  <c r="BL22" i="41"/>
  <c r="DA41" i="61" s="1"/>
  <c r="BQ559" i="41"/>
  <c r="BK166" i="4"/>
  <c r="BL165" i="4"/>
  <c r="DA71" i="61" l="1"/>
  <c r="DA73" i="61" s="1"/>
  <c r="BM23" i="4"/>
  <c r="BM165" i="4"/>
  <c r="BL166" i="4"/>
  <c r="BL635" i="41"/>
  <c r="BL24" i="3"/>
  <c r="DB41" i="72"/>
  <c r="BO594" i="41"/>
  <c r="BQ594" i="41" s="1"/>
  <c r="BO13" i="4"/>
  <c r="BO15" i="41"/>
  <c r="BO17" i="41" s="1"/>
  <c r="BQ13" i="41"/>
  <c r="BM22" i="41"/>
  <c r="BM28" i="4"/>
  <c r="BM252" i="4"/>
  <c r="BM27" i="4"/>
  <c r="BP19" i="4"/>
  <c r="BP21" i="41"/>
  <c r="BP130" i="4"/>
  <c r="BP16" i="4"/>
  <c r="BP22" i="4" s="1"/>
  <c r="BP23" i="4" l="1"/>
  <c r="DG42" i="72"/>
  <c r="BQ135" i="41"/>
  <c r="BQ15" i="41"/>
  <c r="BQ17" i="41" s="1"/>
  <c r="DB59" i="72"/>
  <c r="BB8" i="72"/>
  <c r="BL27" i="3"/>
  <c r="BL30" i="3" s="1"/>
  <c r="BP252" i="4"/>
  <c r="BP27" i="4"/>
  <c r="BP28" i="4"/>
  <c r="BP22" i="41"/>
  <c r="BO19" i="4"/>
  <c r="BO21" i="41"/>
  <c r="BN165" i="4"/>
  <c r="BM166" i="4"/>
  <c r="BO130" i="4"/>
  <c r="BQ130" i="4" s="1"/>
  <c r="BO16" i="4"/>
  <c r="BO22" i="4" s="1"/>
  <c r="BQ13" i="4"/>
  <c r="BQ16" i="4" s="1"/>
  <c r="BQ22" i="4" s="1"/>
  <c r="BL31" i="3" l="1"/>
  <c r="BO28" i="4"/>
  <c r="BO252" i="4"/>
  <c r="BO27" i="4"/>
  <c r="BO22" i="41"/>
  <c r="BQ28" i="4"/>
  <c r="BQ220" i="4" s="1"/>
  <c r="BQ252" i="4"/>
  <c r="BQ27" i="4"/>
  <c r="BQ219" i="4"/>
  <c r="BO23" i="4"/>
  <c r="BQ19" i="4"/>
  <c r="BQ23" i="4" s="1"/>
  <c r="BQ634" i="41"/>
  <c r="BQ21" i="41"/>
  <c r="BN166" i="4"/>
  <c r="BO165" i="4"/>
  <c r="BM135" i="41"/>
  <c r="BN135" i="41" s="1"/>
  <c r="BO135" i="41" s="1"/>
  <c r="BP135" i="41" s="1"/>
  <c r="BO166" i="4" l="1"/>
  <c r="BP165" i="4"/>
  <c r="BQ22" i="41"/>
  <c r="DF41" i="61" s="1"/>
  <c r="DF71" i="61" l="1"/>
  <c r="DF73" i="61" s="1"/>
  <c r="DO47" i="61"/>
  <c r="BQ635" i="41"/>
  <c r="BQ24" i="3"/>
  <c r="DG41" i="72"/>
  <c r="BP166" i="4"/>
  <c r="BQ165" i="4"/>
  <c r="BQ166" i="4" s="1"/>
  <c r="DV79" i="61" l="1"/>
  <c r="DV77" i="61"/>
  <c r="DV67" i="61"/>
  <c r="DV60" i="61"/>
  <c r="DV68" i="61"/>
  <c r="DP60" i="61"/>
  <c r="DP61" i="61" s="1"/>
  <c r="DP62" i="61" s="1"/>
  <c r="DP63" i="61" s="1"/>
  <c r="DP64" i="61" s="1"/>
  <c r="DP65" i="61" s="1"/>
  <c r="DP66" i="61" s="1"/>
  <c r="DP67" i="61" s="1"/>
  <c r="DP68" i="61" s="1"/>
  <c r="DP69" i="61" s="1"/>
  <c r="DP70" i="61" s="1"/>
  <c r="DP71" i="61" s="1"/>
  <c r="DP72" i="61" s="1"/>
  <c r="DP73" i="61" s="1"/>
  <c r="DP74" i="61" s="1"/>
  <c r="DP75" i="61" s="1"/>
  <c r="DP76" i="61" s="1"/>
  <c r="DP77" i="61" s="1"/>
  <c r="DP78" i="61" s="1"/>
  <c r="DP79" i="61" s="1"/>
  <c r="DP80" i="61" s="1"/>
  <c r="DV75" i="61"/>
  <c r="DV72" i="61"/>
  <c r="DV63" i="61"/>
  <c r="DV78" i="61"/>
  <c r="DV76" i="61"/>
  <c r="DV65" i="61"/>
  <c r="DV73" i="61"/>
  <c r="DV66" i="61"/>
  <c r="DV71" i="61"/>
  <c r="DV64" i="61"/>
  <c r="DV80" i="61"/>
  <c r="DV74" i="61"/>
  <c r="DV70" i="61"/>
  <c r="DV61" i="61"/>
  <c r="DV69" i="61"/>
  <c r="DV62" i="61"/>
  <c r="DO21" i="72"/>
  <c r="DO22" i="72"/>
  <c r="BQ27" i="3"/>
  <c r="BQ30" i="3" s="1"/>
  <c r="DW62" i="61" l="1"/>
  <c r="DX63" i="61" s="1"/>
  <c r="DY64" i="61" s="1"/>
  <c r="DZ65" i="61" s="1"/>
  <c r="EA66" i="61" s="1"/>
  <c r="EB67" i="61" s="1"/>
  <c r="EC68" i="61" s="1"/>
  <c r="ED69" i="61" s="1"/>
  <c r="EE70" i="61" s="1"/>
  <c r="EF71" i="61" s="1"/>
  <c r="EG72" i="61" s="1"/>
  <c r="EH73" i="61" s="1"/>
  <c r="EI74" i="61" s="1"/>
  <c r="EJ75" i="61" s="1"/>
  <c r="EK76" i="61" s="1"/>
  <c r="EL77" i="61" s="1"/>
  <c r="EM78" i="61" s="1"/>
  <c r="EN79" i="61" s="1"/>
  <c r="EO80" i="61" s="1"/>
  <c r="DW65" i="61"/>
  <c r="DX66" i="61" s="1"/>
  <c r="DY67" i="61" s="1"/>
  <c r="DZ68" i="61" s="1"/>
  <c r="EA69" i="61" s="1"/>
  <c r="EB70" i="61" s="1"/>
  <c r="EC71" i="61" s="1"/>
  <c r="ED72" i="61" s="1"/>
  <c r="EE73" i="61" s="1"/>
  <c r="EF74" i="61" s="1"/>
  <c r="EG75" i="61" s="1"/>
  <c r="EH76" i="61" s="1"/>
  <c r="EI77" i="61" s="1"/>
  <c r="EJ78" i="61" s="1"/>
  <c r="EK79" i="61" s="1"/>
  <c r="EL80" i="61" s="1"/>
  <c r="DW66" i="61"/>
  <c r="DX67" i="61" s="1"/>
  <c r="DY68" i="61" s="1"/>
  <c r="DZ69" i="61" s="1"/>
  <c r="EA70" i="61" s="1"/>
  <c r="EB71" i="61" s="1"/>
  <c r="EC72" i="61" s="1"/>
  <c r="ED73" i="61" s="1"/>
  <c r="EE74" i="61" s="1"/>
  <c r="EF75" i="61" s="1"/>
  <c r="EG76" i="61" s="1"/>
  <c r="EH77" i="61" s="1"/>
  <c r="EI78" i="61" s="1"/>
  <c r="EJ79" i="61" s="1"/>
  <c r="EK80" i="61" s="1"/>
  <c r="DW73" i="61"/>
  <c r="DX74" i="61" s="1"/>
  <c r="DY75" i="61" s="1"/>
  <c r="DZ76" i="61" s="1"/>
  <c r="EA77" i="61" s="1"/>
  <c r="EB78" i="61" s="1"/>
  <c r="EC79" i="61" s="1"/>
  <c r="ED80" i="61" s="1"/>
  <c r="DW61" i="61"/>
  <c r="DX62" i="61" s="1"/>
  <c r="DY63" i="61" s="1"/>
  <c r="DZ64" i="61" s="1"/>
  <c r="EA65" i="61" s="1"/>
  <c r="EB66" i="61" s="1"/>
  <c r="EC67" i="61" s="1"/>
  <c r="ED68" i="61" s="1"/>
  <c r="EE69" i="61" s="1"/>
  <c r="EF70" i="61" s="1"/>
  <c r="EG71" i="61" s="1"/>
  <c r="EH72" i="61" s="1"/>
  <c r="EI73" i="61" s="1"/>
  <c r="EJ74" i="61" s="1"/>
  <c r="EK75" i="61" s="1"/>
  <c r="EL76" i="61" s="1"/>
  <c r="EM77" i="61" s="1"/>
  <c r="EN78" i="61" s="1"/>
  <c r="EO79" i="61" s="1"/>
  <c r="EP80" i="61" s="1"/>
  <c r="EQ60" i="61"/>
  <c r="DW68" i="61"/>
  <c r="DX69" i="61" s="1"/>
  <c r="DY70" i="61" s="1"/>
  <c r="DZ71" i="61" s="1"/>
  <c r="EA72" i="61" s="1"/>
  <c r="EB73" i="61" s="1"/>
  <c r="EC74" i="61" s="1"/>
  <c r="ED75" i="61" s="1"/>
  <c r="EE76" i="61" s="1"/>
  <c r="EF77" i="61" s="1"/>
  <c r="EG78" i="61" s="1"/>
  <c r="EH79" i="61" s="1"/>
  <c r="EI80" i="61" s="1"/>
  <c r="DP81" i="61"/>
  <c r="DQ80" i="61"/>
  <c r="DR80" i="61" s="1"/>
  <c r="DW78" i="61"/>
  <c r="DX79" i="61" s="1"/>
  <c r="DY80" i="61" s="1"/>
  <c r="DW71" i="61"/>
  <c r="DX72" i="61" s="1"/>
  <c r="DY73" i="61" s="1"/>
  <c r="DZ74" i="61" s="1"/>
  <c r="EA75" i="61" s="1"/>
  <c r="EB76" i="61" s="1"/>
  <c r="EC77" i="61" s="1"/>
  <c r="ED78" i="61" s="1"/>
  <c r="EE79" i="61" s="1"/>
  <c r="EF80" i="61" s="1"/>
  <c r="DW72" i="61"/>
  <c r="DX73" i="61" s="1"/>
  <c r="DY74" i="61" s="1"/>
  <c r="DZ75" i="61" s="1"/>
  <c r="EA76" i="61" s="1"/>
  <c r="EB77" i="61" s="1"/>
  <c r="EC78" i="61" s="1"/>
  <c r="ED79" i="61" s="1"/>
  <c r="EE80" i="61" s="1"/>
  <c r="DW77" i="61"/>
  <c r="DX78" i="61" s="1"/>
  <c r="DY79" i="61" s="1"/>
  <c r="DZ80" i="61" s="1"/>
  <c r="DW76" i="61"/>
  <c r="DX77" i="61" s="1"/>
  <c r="DY78" i="61" s="1"/>
  <c r="DZ79" i="61" s="1"/>
  <c r="EA80" i="61" s="1"/>
  <c r="DW63" i="61"/>
  <c r="DX64" i="61" s="1"/>
  <c r="DY65" i="61" s="1"/>
  <c r="DZ66" i="61" s="1"/>
  <c r="EA67" i="61" s="1"/>
  <c r="EB68" i="61" s="1"/>
  <c r="EC69" i="61" s="1"/>
  <c r="ED70" i="61" s="1"/>
  <c r="EE71" i="61" s="1"/>
  <c r="EF72" i="61" s="1"/>
  <c r="EG73" i="61" s="1"/>
  <c r="EH74" i="61" s="1"/>
  <c r="EI75" i="61" s="1"/>
  <c r="EJ76" i="61" s="1"/>
  <c r="EK77" i="61" s="1"/>
  <c r="EL78" i="61" s="1"/>
  <c r="EM79" i="61" s="1"/>
  <c r="EN80" i="61" s="1"/>
  <c r="DW75" i="61"/>
  <c r="DX76" i="61" s="1"/>
  <c r="DY77" i="61" s="1"/>
  <c r="DZ78" i="61" s="1"/>
  <c r="EA79" i="61" s="1"/>
  <c r="EB80" i="61" s="1"/>
  <c r="DW67" i="61"/>
  <c r="DX68" i="61" s="1"/>
  <c r="DY69" i="61" s="1"/>
  <c r="DZ70" i="61" s="1"/>
  <c r="EA71" i="61" s="1"/>
  <c r="EB72" i="61" s="1"/>
  <c r="EC73" i="61" s="1"/>
  <c r="ED74" i="61" s="1"/>
  <c r="EE75" i="61" s="1"/>
  <c r="EF76" i="61" s="1"/>
  <c r="EG77" i="61" s="1"/>
  <c r="EH78" i="61" s="1"/>
  <c r="EI79" i="61" s="1"/>
  <c r="EJ80" i="61" s="1"/>
  <c r="DW79" i="61"/>
  <c r="DX80" i="61" s="1"/>
  <c r="DW70" i="61"/>
  <c r="DX71" i="61" s="1"/>
  <c r="DY72" i="61" s="1"/>
  <c r="DZ73" i="61" s="1"/>
  <c r="EA74" i="61" s="1"/>
  <c r="EB75" i="61" s="1"/>
  <c r="EC76" i="61" s="1"/>
  <c r="ED77" i="61" s="1"/>
  <c r="EE78" i="61" s="1"/>
  <c r="EF79" i="61" s="1"/>
  <c r="EG80" i="61" s="1"/>
  <c r="DW74" i="61"/>
  <c r="DX75" i="61" s="1"/>
  <c r="DY76" i="61" s="1"/>
  <c r="DZ77" i="61" s="1"/>
  <c r="EA78" i="61" s="1"/>
  <c r="EB79" i="61" s="1"/>
  <c r="EC80" i="61" s="1"/>
  <c r="DW64" i="61"/>
  <c r="DX65" i="61" s="1"/>
  <c r="DY66" i="61" s="1"/>
  <c r="DZ67" i="61" s="1"/>
  <c r="EA68" i="61" s="1"/>
  <c r="EB69" i="61" s="1"/>
  <c r="EC70" i="61" s="1"/>
  <c r="ED71" i="61" s="1"/>
  <c r="EE72" i="61" s="1"/>
  <c r="EF73" i="61" s="1"/>
  <c r="EG74" i="61" s="1"/>
  <c r="EH75" i="61" s="1"/>
  <c r="EI76" i="61" s="1"/>
  <c r="EJ77" i="61" s="1"/>
  <c r="EK78" i="61" s="1"/>
  <c r="EL79" i="61" s="1"/>
  <c r="EM80" i="61" s="1"/>
  <c r="DW69" i="61"/>
  <c r="DX70" i="61" s="1"/>
  <c r="DY71" i="61" s="1"/>
  <c r="DZ72" i="61" s="1"/>
  <c r="EA73" i="61" s="1"/>
  <c r="EB74" i="61" s="1"/>
  <c r="EC75" i="61" s="1"/>
  <c r="ED76" i="61" s="1"/>
  <c r="EE77" i="61" s="1"/>
  <c r="EF78" i="61" s="1"/>
  <c r="EG79" i="61" s="1"/>
  <c r="EH80" i="61" s="1"/>
  <c r="DW80" i="61"/>
  <c r="BQ31" i="3"/>
  <c r="DV55" i="72"/>
  <c r="DV54" i="72"/>
  <c r="DW55" i="72" s="1"/>
  <c r="DV53" i="72"/>
  <c r="DW54" i="72" s="1"/>
  <c r="DX55" i="72" s="1"/>
  <c r="DV51" i="72"/>
  <c r="DW52" i="72" s="1"/>
  <c r="DX53" i="72" s="1"/>
  <c r="DY54" i="72" s="1"/>
  <c r="DZ55" i="72" s="1"/>
  <c r="DV52" i="72"/>
  <c r="DW53" i="72" s="1"/>
  <c r="DX54" i="72" s="1"/>
  <c r="DY55" i="72" s="1"/>
  <c r="DV49" i="72"/>
  <c r="DW50" i="72" s="1"/>
  <c r="DX51" i="72" s="1"/>
  <c r="DY52" i="72" s="1"/>
  <c r="DZ53" i="72" s="1"/>
  <c r="EA54" i="72" s="1"/>
  <c r="EB55" i="72" s="1"/>
  <c r="DV48" i="72"/>
  <c r="DW49" i="72" s="1"/>
  <c r="DX50" i="72" s="1"/>
  <c r="DY51" i="72" s="1"/>
  <c r="DZ52" i="72" s="1"/>
  <c r="EA53" i="72" s="1"/>
  <c r="EB54" i="72" s="1"/>
  <c r="EC55" i="72" s="1"/>
  <c r="DV50" i="72"/>
  <c r="DW51" i="72" s="1"/>
  <c r="DX52" i="72" s="1"/>
  <c r="DY53" i="72" s="1"/>
  <c r="DZ54" i="72" s="1"/>
  <c r="EA55" i="72" s="1"/>
  <c r="DV36" i="72"/>
  <c r="DW37" i="72" s="1"/>
  <c r="DX38" i="72" s="1"/>
  <c r="DY39" i="72" s="1"/>
  <c r="DZ40" i="72" s="1"/>
  <c r="EA41" i="72" s="1"/>
  <c r="EB42" i="72" s="1"/>
  <c r="EC43" i="72" s="1"/>
  <c r="ED44" i="72" s="1"/>
  <c r="EE45" i="72" s="1"/>
  <c r="EF46" i="72" s="1"/>
  <c r="EG47" i="72" s="1"/>
  <c r="EH48" i="72" s="1"/>
  <c r="EI49" i="72" s="1"/>
  <c r="EJ50" i="72" s="1"/>
  <c r="EK51" i="72" s="1"/>
  <c r="EL52" i="72" s="1"/>
  <c r="EM53" i="72" s="1"/>
  <c r="EN54" i="72" s="1"/>
  <c r="EO55" i="72" s="1"/>
  <c r="DV46" i="72"/>
  <c r="DW47" i="72" s="1"/>
  <c r="DX48" i="72" s="1"/>
  <c r="DY49" i="72" s="1"/>
  <c r="DZ50" i="72" s="1"/>
  <c r="EA51" i="72" s="1"/>
  <c r="EB52" i="72" s="1"/>
  <c r="EC53" i="72" s="1"/>
  <c r="ED54" i="72" s="1"/>
  <c r="EE55" i="72" s="1"/>
  <c r="DV42" i="72"/>
  <c r="DW43" i="72" s="1"/>
  <c r="DX44" i="72" s="1"/>
  <c r="DY45" i="72" s="1"/>
  <c r="DZ46" i="72" s="1"/>
  <c r="EA47" i="72" s="1"/>
  <c r="EB48" i="72" s="1"/>
  <c r="EC49" i="72" s="1"/>
  <c r="ED50" i="72" s="1"/>
  <c r="EE51" i="72" s="1"/>
  <c r="EF52" i="72" s="1"/>
  <c r="EG53" i="72" s="1"/>
  <c r="EH54" i="72" s="1"/>
  <c r="EI55" i="72" s="1"/>
  <c r="DV38" i="72"/>
  <c r="DW39" i="72" s="1"/>
  <c r="DX40" i="72" s="1"/>
  <c r="DY41" i="72" s="1"/>
  <c r="DZ42" i="72" s="1"/>
  <c r="EA43" i="72" s="1"/>
  <c r="EB44" i="72" s="1"/>
  <c r="EC45" i="72" s="1"/>
  <c r="ED46" i="72" s="1"/>
  <c r="EE47" i="72" s="1"/>
  <c r="EF48" i="72" s="1"/>
  <c r="EG49" i="72" s="1"/>
  <c r="EH50" i="72" s="1"/>
  <c r="EI51" i="72" s="1"/>
  <c r="EJ52" i="72" s="1"/>
  <c r="EK53" i="72" s="1"/>
  <c r="EL54" i="72" s="1"/>
  <c r="EM55" i="72" s="1"/>
  <c r="DV44" i="72"/>
  <c r="DW45" i="72" s="1"/>
  <c r="DX46" i="72" s="1"/>
  <c r="DY47" i="72" s="1"/>
  <c r="DZ48" i="72" s="1"/>
  <c r="EA49" i="72" s="1"/>
  <c r="EB50" i="72" s="1"/>
  <c r="EC51" i="72" s="1"/>
  <c r="ED52" i="72" s="1"/>
  <c r="EE53" i="72" s="1"/>
  <c r="EF54" i="72" s="1"/>
  <c r="EG55" i="72" s="1"/>
  <c r="DV45" i="72"/>
  <c r="DW46" i="72" s="1"/>
  <c r="DX47" i="72" s="1"/>
  <c r="DY48" i="72" s="1"/>
  <c r="DZ49" i="72" s="1"/>
  <c r="EA50" i="72" s="1"/>
  <c r="EB51" i="72" s="1"/>
  <c r="EC52" i="72" s="1"/>
  <c r="ED53" i="72" s="1"/>
  <c r="EE54" i="72" s="1"/>
  <c r="EF55" i="72" s="1"/>
  <c r="DV40" i="72"/>
  <c r="DW41" i="72" s="1"/>
  <c r="DX42" i="72" s="1"/>
  <c r="DY43" i="72" s="1"/>
  <c r="DZ44" i="72" s="1"/>
  <c r="EA45" i="72" s="1"/>
  <c r="EB46" i="72" s="1"/>
  <c r="EC47" i="72" s="1"/>
  <c r="ED48" i="72" s="1"/>
  <c r="EE49" i="72" s="1"/>
  <c r="EF50" i="72" s="1"/>
  <c r="EG51" i="72" s="1"/>
  <c r="EH52" i="72" s="1"/>
  <c r="EI53" i="72" s="1"/>
  <c r="EJ54" i="72" s="1"/>
  <c r="EK55" i="72" s="1"/>
  <c r="DV37" i="72"/>
  <c r="DW38" i="72" s="1"/>
  <c r="DX39" i="72" s="1"/>
  <c r="DY40" i="72" s="1"/>
  <c r="DZ41" i="72" s="1"/>
  <c r="EA42" i="72" s="1"/>
  <c r="EB43" i="72" s="1"/>
  <c r="EC44" i="72" s="1"/>
  <c r="ED45" i="72" s="1"/>
  <c r="EE46" i="72" s="1"/>
  <c r="EF47" i="72" s="1"/>
  <c r="EG48" i="72" s="1"/>
  <c r="EH49" i="72" s="1"/>
  <c r="EI50" i="72" s="1"/>
  <c r="EJ51" i="72" s="1"/>
  <c r="EK52" i="72" s="1"/>
  <c r="EL53" i="72" s="1"/>
  <c r="EM54" i="72" s="1"/>
  <c r="EN55" i="72" s="1"/>
  <c r="DP35" i="72"/>
  <c r="DP36" i="72" s="1"/>
  <c r="DP37" i="72" s="1"/>
  <c r="DP38" i="72" s="1"/>
  <c r="DP39" i="72" s="1"/>
  <c r="DP40" i="72" s="1"/>
  <c r="DP41" i="72" s="1"/>
  <c r="DP42" i="72" s="1"/>
  <c r="DP43" i="72" s="1"/>
  <c r="DP44" i="72" s="1"/>
  <c r="DP45" i="72" s="1"/>
  <c r="DP46" i="72" s="1"/>
  <c r="DP47" i="72" s="1"/>
  <c r="DP48" i="72" s="1"/>
  <c r="DP49" i="72" s="1"/>
  <c r="DP50" i="72" s="1"/>
  <c r="DP51" i="72" s="1"/>
  <c r="DP52" i="72" s="1"/>
  <c r="DP53" i="72" s="1"/>
  <c r="DP54" i="72" s="1"/>
  <c r="DP55" i="72" s="1"/>
  <c r="DV39" i="72"/>
  <c r="DW40" i="72" s="1"/>
  <c r="DX41" i="72" s="1"/>
  <c r="DY42" i="72" s="1"/>
  <c r="DZ43" i="72" s="1"/>
  <c r="EA44" i="72" s="1"/>
  <c r="EB45" i="72" s="1"/>
  <c r="EC46" i="72" s="1"/>
  <c r="ED47" i="72" s="1"/>
  <c r="EE48" i="72" s="1"/>
  <c r="EF49" i="72" s="1"/>
  <c r="EG50" i="72" s="1"/>
  <c r="EH51" i="72" s="1"/>
  <c r="EI52" i="72" s="1"/>
  <c r="EJ53" i="72" s="1"/>
  <c r="EK54" i="72" s="1"/>
  <c r="EL55" i="72" s="1"/>
  <c r="DV41" i="72"/>
  <c r="DW42" i="72" s="1"/>
  <c r="DX43" i="72" s="1"/>
  <c r="DY44" i="72" s="1"/>
  <c r="DZ45" i="72" s="1"/>
  <c r="EA46" i="72" s="1"/>
  <c r="EB47" i="72" s="1"/>
  <c r="EC48" i="72" s="1"/>
  <c r="ED49" i="72" s="1"/>
  <c r="EE50" i="72" s="1"/>
  <c r="EF51" i="72" s="1"/>
  <c r="EG52" i="72" s="1"/>
  <c r="EH53" i="72" s="1"/>
  <c r="EI54" i="72" s="1"/>
  <c r="EJ55" i="72" s="1"/>
  <c r="DV43" i="72"/>
  <c r="DW44" i="72" s="1"/>
  <c r="DX45" i="72" s="1"/>
  <c r="DY46" i="72" s="1"/>
  <c r="DZ47" i="72" s="1"/>
  <c r="EA48" i="72" s="1"/>
  <c r="EB49" i="72" s="1"/>
  <c r="EC50" i="72" s="1"/>
  <c r="ED51" i="72" s="1"/>
  <c r="EE52" i="72" s="1"/>
  <c r="EF53" i="72" s="1"/>
  <c r="EG54" i="72" s="1"/>
  <c r="EH55" i="72" s="1"/>
  <c r="DV47" i="72"/>
  <c r="DW48" i="72" s="1"/>
  <c r="DX49" i="72" s="1"/>
  <c r="DY50" i="72" s="1"/>
  <c r="DZ51" i="72" s="1"/>
  <c r="EA52" i="72" s="1"/>
  <c r="EB53" i="72" s="1"/>
  <c r="EC54" i="72" s="1"/>
  <c r="ED55" i="72" s="1"/>
  <c r="DV35" i="72"/>
  <c r="DW36" i="72" s="1"/>
  <c r="DX37" i="72" s="1"/>
  <c r="DY38" i="72" s="1"/>
  <c r="DZ39" i="72" s="1"/>
  <c r="EA40" i="72" s="1"/>
  <c r="EB41" i="72" s="1"/>
  <c r="EC42" i="72" s="1"/>
  <c r="ED43" i="72" s="1"/>
  <c r="EE44" i="72" s="1"/>
  <c r="EF45" i="72" s="1"/>
  <c r="EG46" i="72" s="1"/>
  <c r="EH47" i="72" s="1"/>
  <c r="EI48" i="72" s="1"/>
  <c r="EJ49" i="72" s="1"/>
  <c r="EK50" i="72" s="1"/>
  <c r="EL51" i="72" s="1"/>
  <c r="EM52" i="72" s="1"/>
  <c r="EN53" i="72" s="1"/>
  <c r="EO54" i="72" s="1"/>
  <c r="EP55" i="72" s="1"/>
  <c r="DU37" i="72"/>
  <c r="DU54" i="72"/>
  <c r="DU35" i="72"/>
  <c r="DU49" i="72"/>
  <c r="DU41" i="72"/>
  <c r="DU46" i="72"/>
  <c r="DU43" i="72"/>
  <c r="DU51" i="72"/>
  <c r="DU55" i="72"/>
  <c r="DU38" i="72"/>
  <c r="DU44" i="72"/>
  <c r="DU50" i="72"/>
  <c r="DU47" i="72"/>
  <c r="DU40" i="72"/>
  <c r="DU53" i="72"/>
  <c r="DU52" i="72"/>
  <c r="DU45" i="72"/>
  <c r="DU48" i="72"/>
  <c r="DU39" i="72"/>
  <c r="DU42" i="72"/>
  <c r="DU36" i="72"/>
  <c r="EQ62" i="61" l="1"/>
  <c r="DO61" i="61" s="1"/>
  <c r="DQ61" i="61" s="1"/>
  <c r="DR61" i="61" s="1"/>
  <c r="EQ68" i="61"/>
  <c r="DO67" i="61" s="1"/>
  <c r="DQ67" i="61" s="1"/>
  <c r="DR67" i="61" s="1"/>
  <c r="EQ73" i="61"/>
  <c r="DO72" i="61" s="1"/>
  <c r="DQ72" i="61" s="1"/>
  <c r="DR72" i="61" s="1"/>
  <c r="EQ78" i="61"/>
  <c r="DO77" i="61" s="1"/>
  <c r="DQ77" i="61" s="1"/>
  <c r="DR77" i="61" s="1"/>
  <c r="EQ74" i="61"/>
  <c r="DO73" i="61" s="1"/>
  <c r="DQ73" i="61" s="1"/>
  <c r="DR73" i="61" s="1"/>
  <c r="EQ75" i="61"/>
  <c r="DO74" i="61" s="1"/>
  <c r="DQ74" i="61" s="1"/>
  <c r="DR74" i="61" s="1"/>
  <c r="EQ71" i="61"/>
  <c r="DO70" i="61" s="1"/>
  <c r="DQ70" i="61" s="1"/>
  <c r="DR70" i="61" s="1"/>
  <c r="EQ77" i="61"/>
  <c r="DO76" i="61" s="1"/>
  <c r="DQ76" i="61" s="1"/>
  <c r="DR76" i="61" s="1"/>
  <c r="EQ67" i="61"/>
  <c r="DO66" i="61" s="1"/>
  <c r="DQ66" i="61" s="1"/>
  <c r="DR66" i="61" s="1"/>
  <c r="EQ72" i="61"/>
  <c r="DO71" i="61" s="1"/>
  <c r="DQ71" i="61" s="1"/>
  <c r="DR71" i="61" s="1"/>
  <c r="EQ64" i="61"/>
  <c r="DO63" i="61" s="1"/>
  <c r="DQ63" i="61" s="1"/>
  <c r="DR63" i="61" s="1"/>
  <c r="EQ79" i="61"/>
  <c r="DO78" i="61" s="1"/>
  <c r="DQ78" i="61" s="1"/>
  <c r="DR78" i="61" s="1"/>
  <c r="EQ63" i="61"/>
  <c r="DO62" i="61" s="1"/>
  <c r="DQ62" i="61" s="1"/>
  <c r="DR62" i="61" s="1"/>
  <c r="EQ69" i="61"/>
  <c r="DO68" i="61" s="1"/>
  <c r="DQ68" i="61" s="1"/>
  <c r="DR68" i="61" s="1"/>
  <c r="EQ66" i="61"/>
  <c r="DO65" i="61" s="1"/>
  <c r="DQ65" i="61" s="1"/>
  <c r="DR65" i="61" s="1"/>
  <c r="EQ76" i="61"/>
  <c r="DO75" i="61" s="1"/>
  <c r="DQ75" i="61" s="1"/>
  <c r="DR75" i="61" s="1"/>
  <c r="EQ70" i="61"/>
  <c r="DO69" i="61" s="1"/>
  <c r="DQ69" i="61" s="1"/>
  <c r="DR69" i="61" s="1"/>
  <c r="EQ65" i="61"/>
  <c r="DO64" i="61" s="1"/>
  <c r="DQ64" i="61" s="1"/>
  <c r="DR64" i="61" s="1"/>
  <c r="EQ61" i="61"/>
  <c r="DO60" i="61" s="1"/>
  <c r="DQ60" i="61" s="1"/>
  <c r="DR60" i="61" s="1"/>
  <c r="EQ80" i="61"/>
  <c r="DO79" i="61" s="1"/>
  <c r="DQ79" i="61" s="1"/>
  <c r="DR79" i="61" s="1"/>
  <c r="DP82" i="61"/>
  <c r="DQ81" i="61"/>
  <c r="DR81" i="61" s="1"/>
  <c r="EQ36" i="72"/>
  <c r="DO35" i="72" s="1"/>
  <c r="DQ35" i="72" s="1"/>
  <c r="DR35" i="72" s="1"/>
  <c r="EQ45" i="72"/>
  <c r="DO44" i="72" s="1"/>
  <c r="DQ44" i="72" s="1"/>
  <c r="DR44" i="72" s="1"/>
  <c r="EQ47" i="72"/>
  <c r="DO46" i="72" s="1"/>
  <c r="DQ46" i="72" s="1"/>
  <c r="DR46" i="72" s="1"/>
  <c r="EQ41" i="72"/>
  <c r="DO40" i="72" s="1"/>
  <c r="DQ40" i="72" s="1"/>
  <c r="DR40" i="72" s="1"/>
  <c r="EQ37" i="72"/>
  <c r="DO36" i="72" s="1"/>
  <c r="DQ36" i="72" s="1"/>
  <c r="DR36" i="72" s="1"/>
  <c r="EQ55" i="72"/>
  <c r="DO54" i="72" s="1"/>
  <c r="DQ54" i="72" s="1"/>
  <c r="DR54" i="72" s="1"/>
  <c r="EQ39" i="72"/>
  <c r="DO38" i="72" s="1"/>
  <c r="DQ38" i="72" s="1"/>
  <c r="DR38" i="72" s="1"/>
  <c r="EQ53" i="72"/>
  <c r="DO52" i="72" s="1"/>
  <c r="DQ52" i="72" s="1"/>
  <c r="DR52" i="72" s="1"/>
  <c r="EQ44" i="72"/>
  <c r="DO43" i="72" s="1"/>
  <c r="DQ43" i="72" s="1"/>
  <c r="DR43" i="72" s="1"/>
  <c r="EQ43" i="72"/>
  <c r="DO42" i="72" s="1"/>
  <c r="DQ42" i="72" s="1"/>
  <c r="DR42" i="72" s="1"/>
  <c r="EQ35" i="72"/>
  <c r="EQ42" i="72"/>
  <c r="DO41" i="72" s="1"/>
  <c r="DQ41" i="72" s="1"/>
  <c r="DR41" i="72" s="1"/>
  <c r="EQ48" i="72"/>
  <c r="DO47" i="72" s="1"/>
  <c r="DQ47" i="72" s="1"/>
  <c r="DR47" i="72" s="1"/>
  <c r="EQ52" i="72"/>
  <c r="DO51" i="72" s="1"/>
  <c r="DQ51" i="72" s="1"/>
  <c r="DR51" i="72" s="1"/>
  <c r="EQ40" i="72"/>
  <c r="DO39" i="72" s="1"/>
  <c r="DQ39" i="72" s="1"/>
  <c r="DR39" i="72" s="1"/>
  <c r="EQ50" i="72"/>
  <c r="DO49" i="72" s="1"/>
  <c r="DQ49" i="72" s="1"/>
  <c r="DR49" i="72" s="1"/>
  <c r="EQ38" i="72"/>
  <c r="DO37" i="72" s="1"/>
  <c r="DQ37" i="72" s="1"/>
  <c r="DR37" i="72" s="1"/>
  <c r="EQ51" i="72"/>
  <c r="DO50" i="72" s="1"/>
  <c r="DQ50" i="72" s="1"/>
  <c r="DR50" i="72" s="1"/>
  <c r="EQ46" i="72"/>
  <c r="DO45" i="72" s="1"/>
  <c r="DQ45" i="72" s="1"/>
  <c r="DR45" i="72" s="1"/>
  <c r="EQ49" i="72"/>
  <c r="DO48" i="72" s="1"/>
  <c r="DQ48" i="72" s="1"/>
  <c r="DR48" i="72" s="1"/>
  <c r="EQ54" i="72"/>
  <c r="DO53" i="72" s="1"/>
  <c r="DQ53" i="72" s="1"/>
  <c r="DR53" i="72" s="1"/>
  <c r="DQ55" i="72"/>
  <c r="DR55" i="72" s="1"/>
  <c r="DP56" i="72"/>
  <c r="DR90" i="61" l="1"/>
  <c r="DO50" i="61" s="1"/>
  <c r="DP83" i="61"/>
  <c r="DQ82" i="61"/>
  <c r="DR82" i="61" s="1"/>
  <c r="DV36" i="61"/>
  <c r="DF54" i="61"/>
  <c r="DQ56" i="72"/>
  <c r="DR56" i="72" s="1"/>
  <c r="DP57" i="72"/>
  <c r="DP84" i="61" l="1"/>
  <c r="DQ83" i="61"/>
  <c r="DR83" i="61" s="1"/>
  <c r="DQ57" i="72"/>
  <c r="DR57" i="72" s="1"/>
  <c r="DP58" i="72"/>
  <c r="DP85" i="61" l="1"/>
  <c r="DQ84" i="61"/>
  <c r="DR84" i="61" s="1"/>
  <c r="DQ58" i="72"/>
  <c r="DR58" i="72" s="1"/>
  <c r="DP59" i="72"/>
  <c r="DP86" i="61" l="1"/>
  <c r="DQ85" i="61"/>
  <c r="DR85" i="61" s="1"/>
  <c r="DQ59" i="72"/>
  <c r="DR59" i="72" s="1"/>
  <c r="DR65" i="72" s="1"/>
  <c r="DO25" i="72" s="1"/>
  <c r="DP60" i="72"/>
  <c r="DP87" i="61" l="1"/>
  <c r="DQ86" i="61"/>
  <c r="DR86" i="61" s="1"/>
  <c r="DB23" i="72"/>
  <c r="DV11" i="72"/>
  <c r="DG54" i="72"/>
  <c r="DP61" i="72"/>
  <c r="DQ60" i="72"/>
  <c r="DR60" i="72" s="1"/>
  <c r="DP88" i="61" l="1"/>
  <c r="DQ87" i="61"/>
  <c r="DR87" i="61" s="1"/>
  <c r="DQ61" i="72"/>
  <c r="DR61" i="72" s="1"/>
  <c r="DP62" i="72"/>
  <c r="DB26" i="72"/>
  <c r="BV31" i="72" s="1"/>
  <c r="DP89" i="61" l="1"/>
  <c r="DQ89" i="61" s="1"/>
  <c r="DR89" i="61" s="1"/>
  <c r="DQ88" i="61"/>
  <c r="DR88" i="61" s="1"/>
  <c r="BV35" i="72"/>
  <c r="BV33" i="72"/>
  <c r="DQ62" i="72"/>
  <c r="DR62" i="72" s="1"/>
  <c r="DP63" i="72"/>
  <c r="DQ63" i="72" l="1"/>
  <c r="DR63" i="72" s="1"/>
  <c r="DP64" i="72"/>
  <c r="DQ64" i="72" s="1"/>
  <c r="DR64" i="72" s="1"/>
  <c r="CW28" i="72"/>
  <c r="CM28" i="72"/>
  <c r="CH28" i="72"/>
  <c r="DB28" i="72"/>
  <c r="CR28" i="72"/>
  <c r="CW29" i="72"/>
  <c r="DB29" i="72"/>
  <c r="AV108" i="4" l="1"/>
  <c r="AX136" i="39" l="1"/>
  <c r="AV114" i="4"/>
  <c r="AV214" i="39"/>
  <c r="AW195" i="39" l="1"/>
  <c r="AW194" i="39"/>
  <c r="AW108" i="4"/>
  <c r="AX25" i="39"/>
  <c r="AX188" i="39" l="1"/>
  <c r="AX27" i="39"/>
  <c r="AX29" i="39" s="1"/>
  <c r="AW114" i="4"/>
  <c r="AW192" i="39"/>
  <c r="AW214" i="39"/>
  <c r="AW193" i="39"/>
  <c r="AW219" i="39" l="1"/>
  <c r="AX31" i="39"/>
  <c r="AX33" i="39" l="1"/>
  <c r="AX40" i="39" s="1"/>
  <c r="AW71" i="39"/>
  <c r="AW37" i="61" s="1"/>
  <c r="AW55" i="61" s="1"/>
  <c r="AW57" i="61" s="1"/>
  <c r="AW59" i="61" s="1"/>
  <c r="AW61" i="61" s="1"/>
  <c r="AW66" i="61" s="1"/>
  <c r="AW69" i="61" s="1"/>
  <c r="AW72" i="61" s="1"/>
  <c r="AW74" i="61" s="1"/>
  <c r="AX145" i="39" l="1"/>
  <c r="AX149" i="39" s="1"/>
  <c r="AX35" i="39"/>
  <c r="AX185" i="39" s="1"/>
  <c r="AX41" i="39" l="1"/>
  <c r="AX75" i="4" s="1"/>
  <c r="AX189" i="39"/>
  <c r="AX177" i="39"/>
  <c r="AX161" i="39"/>
  <c r="AX162" i="39" s="1"/>
  <c r="AX163" i="39" l="1"/>
  <c r="AX167" i="39" s="1"/>
  <c r="AX169" i="39"/>
  <c r="AX171" i="39" l="1"/>
  <c r="AY136" i="39"/>
  <c r="AX108" i="4" l="1"/>
  <c r="AX180" i="39"/>
  <c r="AX172" i="39" s="1"/>
  <c r="AY25" i="39"/>
  <c r="AY27" i="39" l="1"/>
  <c r="AY29" i="39" s="1"/>
  <c r="AY188" i="39"/>
  <c r="AX175" i="39"/>
  <c r="AX178" i="39"/>
  <c r="AX214" i="39" s="1"/>
  <c r="AX181" i="39"/>
  <c r="AX114" i="4"/>
  <c r="AY31" i="39" l="1"/>
  <c r="AY33" i="39" s="1"/>
  <c r="AY40" i="39" l="1"/>
  <c r="AY35" i="39"/>
  <c r="AY145" i="39"/>
  <c r="AY149" i="39" l="1"/>
  <c r="AY177" i="39"/>
  <c r="AY41" i="39"/>
  <c r="AY189" i="39"/>
  <c r="AY185" i="39"/>
  <c r="AY75" i="4" l="1"/>
  <c r="AY161" i="39"/>
  <c r="AY162" i="39" s="1"/>
  <c r="AY163" i="39" l="1"/>
  <c r="AY167" i="39" s="1"/>
  <c r="AY169" i="39"/>
  <c r="AY171" i="39" l="1"/>
  <c r="AZ136" i="39"/>
  <c r="AY108" i="4" l="1"/>
  <c r="AY180" i="39"/>
  <c r="AY181" i="39" s="1"/>
  <c r="AZ25" i="39"/>
  <c r="AZ27" i="39" l="1"/>
  <c r="AZ29" i="39" s="1"/>
  <c r="AZ188" i="39"/>
  <c r="AY175" i="39"/>
  <c r="AY178" i="39"/>
  <c r="AY214" i="39" s="1"/>
  <c r="AY172" i="39"/>
  <c r="AY114" i="4"/>
  <c r="AZ31" i="39" l="1"/>
  <c r="AZ33" i="39" s="1"/>
  <c r="AZ40" i="39" l="1"/>
  <c r="AZ35" i="39"/>
  <c r="AZ145" i="39"/>
  <c r="AZ41" i="39" l="1"/>
  <c r="AZ185" i="39"/>
  <c r="AZ189" i="39"/>
  <c r="AZ149" i="39"/>
  <c r="AZ177" i="39"/>
  <c r="AZ161" i="39" l="1"/>
  <c r="AZ162" i="39" s="1"/>
  <c r="AZ75" i="4"/>
  <c r="AZ163" i="39" l="1"/>
  <c r="AZ167" i="39" s="1"/>
  <c r="AZ169" i="39"/>
  <c r="AZ171" i="39" l="1"/>
  <c r="BA136" i="39"/>
  <c r="AZ108" i="4" l="1"/>
  <c r="AZ180" i="39"/>
  <c r="AZ172" i="39" s="1"/>
  <c r="BA25" i="39"/>
  <c r="BB136" i="39"/>
  <c r="BA27" i="39" l="1"/>
  <c r="BA29" i="39" s="1"/>
  <c r="BA188" i="39"/>
  <c r="BB25" i="39"/>
  <c r="AZ114" i="4"/>
  <c r="AZ175" i="39"/>
  <c r="AZ178" i="39"/>
  <c r="AZ214" i="39" s="1"/>
  <c r="AZ181" i="39"/>
  <c r="BB188" i="39" l="1"/>
  <c r="BB199" i="39" s="1"/>
  <c r="BB27" i="39"/>
  <c r="BB29" i="39" s="1"/>
  <c r="BA31" i="39"/>
  <c r="BA33" i="39" s="1"/>
  <c r="BA40" i="39" l="1"/>
  <c r="BA35" i="39"/>
  <c r="BA145" i="39"/>
  <c r="BB31" i="39"/>
  <c r="BB33" i="39" s="1"/>
  <c r="BB40" i="39" l="1"/>
  <c r="BB35" i="39"/>
  <c r="BA149" i="39"/>
  <c r="BB145" i="39"/>
  <c r="BB149" i="39" s="1"/>
  <c r="BA177" i="39"/>
  <c r="BA41" i="39"/>
  <c r="BA185" i="39"/>
  <c r="BA189" i="39"/>
  <c r="BA75" i="4" l="1"/>
  <c r="BB41" i="39"/>
  <c r="BB177" i="39"/>
  <c r="BA161" i="39"/>
  <c r="BA162" i="39" s="1"/>
  <c r="BB161" i="39"/>
  <c r="BB189" i="39"/>
  <c r="BB218" i="39"/>
  <c r="BB70" i="39" s="1"/>
  <c r="BB185" i="39"/>
  <c r="DT38" i="3"/>
  <c r="BB198" i="39" l="1"/>
  <c r="BA163" i="39"/>
  <c r="BB162" i="39"/>
  <c r="BA169" i="39"/>
  <c r="BB45" i="39"/>
  <c r="BB42" i="39"/>
  <c r="BB75" i="4"/>
  <c r="BB7" i="61" s="1"/>
  <c r="DT50" i="3"/>
  <c r="BB10" i="3" l="1"/>
  <c r="BA171" i="39"/>
  <c r="BB169" i="39"/>
  <c r="BB163" i="39"/>
  <c r="BB167" i="39" s="1"/>
  <c r="BA167" i="39"/>
  <c r="BA108" i="4" l="1"/>
  <c r="BA180" i="39"/>
  <c r="BA181" i="39" s="1"/>
  <c r="BC136" i="39"/>
  <c r="BB171" i="39"/>
  <c r="BB194" i="39" l="1"/>
  <c r="BB108" i="4"/>
  <c r="BB180" i="39"/>
  <c r="BB181" i="39" s="1"/>
  <c r="BB195" i="39"/>
  <c r="BA114" i="4"/>
  <c r="BC25" i="39"/>
  <c r="BA175" i="39"/>
  <c r="BA178" i="39"/>
  <c r="BA214" i="39" s="1"/>
  <c r="BA172" i="39"/>
  <c r="BB172" i="39" l="1"/>
  <c r="BC188" i="39"/>
  <c r="BC27" i="39"/>
  <c r="BC29" i="39" s="1"/>
  <c r="BB192" i="39"/>
  <c r="BB175" i="39"/>
  <c r="BB178" i="39"/>
  <c r="BB214" i="39" s="1"/>
  <c r="BB38" i="61" s="1"/>
  <c r="BB193" i="39"/>
  <c r="BB114" i="4"/>
  <c r="BB54" i="61" l="1"/>
  <c r="BB219" i="39"/>
  <c r="BB71" i="39" s="1"/>
  <c r="BB37" i="61" s="1"/>
  <c r="BC31" i="39"/>
  <c r="BC33" i="39" l="1"/>
  <c r="BC145" i="39" s="1"/>
  <c r="BB55" i="61"/>
  <c r="BB57" i="61" s="1"/>
  <c r="BC35" i="39" l="1"/>
  <c r="BC185" i="39" s="1"/>
  <c r="BC40" i="39"/>
  <c r="BC149" i="39"/>
  <c r="BC177" i="39"/>
  <c r="BC189" i="39" l="1"/>
  <c r="BC41" i="39"/>
  <c r="BC75" i="4" s="1"/>
  <c r="BC161" i="39"/>
  <c r="BC162" i="39" s="1"/>
  <c r="BC163" i="39" l="1"/>
  <c r="BC167" i="39" s="1"/>
  <c r="BC169" i="39"/>
  <c r="BD136" i="39" l="1"/>
  <c r="BC171" i="39"/>
  <c r="BD25" i="39" l="1"/>
  <c r="BC108" i="4"/>
  <c r="BC180" i="39"/>
  <c r="BC114" i="4" l="1"/>
  <c r="BC175" i="39"/>
  <c r="BC178" i="39"/>
  <c r="BC214" i="39" s="1"/>
  <c r="BC181" i="39"/>
  <c r="BC172" i="39"/>
  <c r="BD27" i="39"/>
  <c r="BD29" i="39" s="1"/>
  <c r="BD188" i="39"/>
  <c r="BD31" i="39" l="1"/>
  <c r="BD33" i="39" l="1"/>
  <c r="BD40" i="39" l="1"/>
  <c r="BD35" i="39"/>
  <c r="BD145" i="39"/>
  <c r="BD41" i="39" l="1"/>
  <c r="BD185" i="39"/>
  <c r="BD189" i="39"/>
  <c r="BD149" i="39"/>
  <c r="BD177" i="39"/>
  <c r="BD161" i="39" l="1"/>
  <c r="BD162" i="39" s="1"/>
  <c r="BD75" i="4"/>
  <c r="BD163" i="39" l="1"/>
  <c r="BD167" i="39" s="1"/>
  <c r="BD169" i="39"/>
  <c r="BE136" i="39" l="1"/>
  <c r="BD171" i="39"/>
  <c r="BE25" i="39" l="1"/>
  <c r="BD108" i="4"/>
  <c r="BD180" i="39"/>
  <c r="BD172" i="39" s="1"/>
  <c r="BD114" i="4" l="1"/>
  <c r="BE27" i="39"/>
  <c r="BE29" i="39" s="1"/>
  <c r="BE188" i="39"/>
  <c r="BD175" i="39"/>
  <c r="BD178" i="39"/>
  <c r="BD214" i="39" s="1"/>
  <c r="BD181" i="39"/>
  <c r="BE31" i="39" l="1"/>
  <c r="BE33" i="39" l="1"/>
  <c r="BE40" i="39" l="1"/>
  <c r="BE35" i="39"/>
  <c r="BE145" i="39"/>
  <c r="BE41" i="39" l="1"/>
  <c r="BE189" i="39"/>
  <c r="BE185" i="39"/>
  <c r="BE149" i="39"/>
  <c r="BE177" i="39"/>
  <c r="BE75" i="4" l="1"/>
  <c r="BE161" i="39"/>
  <c r="BE162" i="39" s="1"/>
  <c r="BE163" i="39" l="1"/>
  <c r="BE167" i="39" s="1"/>
  <c r="BE169" i="39"/>
  <c r="BF136" i="39" l="1"/>
  <c r="BE171" i="39"/>
  <c r="BE108" i="4" l="1"/>
  <c r="BE180" i="39"/>
  <c r="BE172" i="39" s="1"/>
  <c r="BF25" i="39"/>
  <c r="BG136" i="39"/>
  <c r="BF27" i="39" l="1"/>
  <c r="BF29" i="39" s="1"/>
  <c r="BF188" i="39"/>
  <c r="BG25" i="39"/>
  <c r="BE114" i="4"/>
  <c r="BE175" i="39"/>
  <c r="BE178" i="39"/>
  <c r="BE214" i="39" s="1"/>
  <c r="BE181" i="39"/>
  <c r="BG188" i="39" l="1"/>
  <c r="BG199" i="39" s="1"/>
  <c r="BG27" i="39"/>
  <c r="BG29" i="39" s="1"/>
  <c r="BF31" i="39"/>
  <c r="BG31" i="39" l="1"/>
  <c r="BG33" i="39" s="1"/>
  <c r="BF33" i="39"/>
  <c r="BG40" i="39" l="1"/>
  <c r="BG35" i="39"/>
  <c r="BF40" i="39"/>
  <c r="BF145" i="39"/>
  <c r="BF35" i="39"/>
  <c r="BF149" i="39" l="1"/>
  <c r="BG145" i="39"/>
  <c r="BG149" i="39" s="1"/>
  <c r="BF177" i="39"/>
  <c r="BF41" i="39"/>
  <c r="BF185" i="39"/>
  <c r="BF189" i="39"/>
  <c r="BG218" i="39"/>
  <c r="BG70" i="39" s="1"/>
  <c r="BG185" i="39"/>
  <c r="BG189" i="39"/>
  <c r="DY38" i="3"/>
  <c r="BG198" i="39" l="1"/>
  <c r="BG177" i="39"/>
  <c r="BF161" i="39"/>
  <c r="BF162" i="39" s="1"/>
  <c r="DY50" i="3"/>
  <c r="BF75" i="4"/>
  <c r="BG41" i="39"/>
  <c r="BG161" i="39"/>
  <c r="BG45" i="39" l="1"/>
  <c r="BG42" i="39"/>
  <c r="BG75" i="4"/>
  <c r="BG7" i="61" s="1"/>
  <c r="BF163" i="39"/>
  <c r="BG162" i="39"/>
  <c r="BF169" i="39"/>
  <c r="BF171" i="39" l="1"/>
  <c r="BG169" i="39"/>
  <c r="BG163" i="39"/>
  <c r="BG167" i="39" s="1"/>
  <c r="BF167" i="39"/>
  <c r="BG10" i="3"/>
  <c r="BH136" i="39" l="1"/>
  <c r="BG171" i="39"/>
  <c r="BF108" i="4"/>
  <c r="BF180" i="39"/>
  <c r="BF181" i="39" s="1"/>
  <c r="BF114" i="4" l="1"/>
  <c r="BF175" i="39"/>
  <c r="BF178" i="39"/>
  <c r="BF214" i="39" s="1"/>
  <c r="BF172" i="39"/>
  <c r="BH25" i="39"/>
  <c r="BG194" i="39"/>
  <c r="BG108" i="4"/>
  <c r="BG195" i="39"/>
  <c r="BG180" i="39"/>
  <c r="BG175" i="39" l="1"/>
  <c r="BG192" i="39"/>
  <c r="BG178" i="39"/>
  <c r="BG214" i="39" s="1"/>
  <c r="BG38" i="61" s="1"/>
  <c r="BG193" i="39"/>
  <c r="BG181" i="39"/>
  <c r="BH188" i="39"/>
  <c r="BH27" i="39"/>
  <c r="BH29" i="39" s="1"/>
  <c r="BG114" i="4"/>
  <c r="BG172" i="39"/>
  <c r="BG54" i="61" l="1"/>
  <c r="BH31" i="39"/>
  <c r="BH33" i="39" s="1"/>
  <c r="BG219" i="39"/>
  <c r="BG71" i="39" s="1"/>
  <c r="BG37" i="61" s="1"/>
  <c r="BG55" i="61" s="1"/>
  <c r="BG57" i="61" s="1"/>
  <c r="BH40" i="39" l="1"/>
  <c r="BH145" i="39"/>
  <c r="BH35" i="39"/>
  <c r="BH185" i="39" l="1"/>
  <c r="BH189" i="39"/>
  <c r="BH41" i="39"/>
  <c r="BH149" i="39"/>
  <c r="BH177" i="39"/>
  <c r="BH161" i="39" l="1"/>
  <c r="BH162" i="39" s="1"/>
  <c r="BH75" i="4"/>
  <c r="BH163" i="39" l="1"/>
  <c r="BH167" i="39" s="1"/>
  <c r="BH169" i="39"/>
  <c r="BI136" i="39" l="1"/>
  <c r="BH171" i="39"/>
  <c r="BH108" i="4" l="1"/>
  <c r="BH180" i="39"/>
  <c r="BH181" i="39" s="1"/>
  <c r="BI25" i="39"/>
  <c r="BH114" i="4" l="1"/>
  <c r="BH175" i="39"/>
  <c r="BH178" i="39"/>
  <c r="BH214" i="39" s="1"/>
  <c r="BH172" i="39"/>
  <c r="BI27" i="39"/>
  <c r="BI29" i="39" s="1"/>
  <c r="BI188" i="39"/>
  <c r="BI31" i="39" l="1"/>
  <c r="BI33" i="39" l="1"/>
  <c r="BI40" i="39" l="1"/>
  <c r="BI35" i="39"/>
  <c r="BI145" i="39"/>
  <c r="BI149" i="39" l="1"/>
  <c r="BI177" i="39"/>
  <c r="BI41" i="39"/>
  <c r="BI185" i="39"/>
  <c r="BI189" i="39"/>
  <c r="BI75" i="4" l="1"/>
  <c r="BI161" i="39"/>
  <c r="BI162" i="39" s="1"/>
  <c r="BI163" i="39" l="1"/>
  <c r="BI167" i="39" s="1"/>
  <c r="BI169" i="39"/>
  <c r="BJ136" i="39" l="1"/>
  <c r="BI171" i="39"/>
  <c r="BI108" i="4" l="1"/>
  <c r="BI180" i="39"/>
  <c r="BI181" i="39" s="1"/>
  <c r="BJ25" i="39"/>
  <c r="BI114" i="4" l="1"/>
  <c r="BI175" i="39"/>
  <c r="BI178" i="39"/>
  <c r="BI214" i="39" s="1"/>
  <c r="BI172" i="39"/>
  <c r="BJ27" i="39"/>
  <c r="BJ29" i="39" s="1"/>
  <c r="BJ188" i="39"/>
  <c r="BJ31" i="39" l="1"/>
  <c r="BJ33" i="39" s="1"/>
  <c r="BJ40" i="39" l="1"/>
  <c r="BJ145" i="39"/>
  <c r="BJ35" i="39"/>
  <c r="BJ149" i="39" l="1"/>
  <c r="BJ177" i="39"/>
  <c r="BJ41" i="39"/>
  <c r="BJ185" i="39"/>
  <c r="BJ189" i="39"/>
  <c r="BJ75" i="4" l="1"/>
  <c r="BJ161" i="39"/>
  <c r="BJ162" i="39" s="1"/>
  <c r="BJ163" i="39" l="1"/>
  <c r="BJ167" i="39" s="1"/>
  <c r="BJ169" i="39"/>
  <c r="BK136" i="39" l="1"/>
  <c r="BJ171" i="39"/>
  <c r="BJ108" i="4" l="1"/>
  <c r="BJ180" i="39"/>
  <c r="BJ172" i="39" s="1"/>
  <c r="BK25" i="39"/>
  <c r="BL136" i="39"/>
  <c r="BK27" i="39" l="1"/>
  <c r="BK29" i="39" s="1"/>
  <c r="BL25" i="39"/>
  <c r="BK188" i="39"/>
  <c r="BJ175" i="39"/>
  <c r="BJ178" i="39"/>
  <c r="BJ214" i="39" s="1"/>
  <c r="BJ181" i="39"/>
  <c r="BJ114" i="4"/>
  <c r="BK31" i="39" l="1"/>
  <c r="BK33" i="39" s="1"/>
  <c r="BL188" i="39"/>
  <c r="BL199" i="39" s="1"/>
  <c r="BL27" i="39"/>
  <c r="BL29" i="39" s="1"/>
  <c r="BK40" i="39" l="1"/>
  <c r="BK35" i="39"/>
  <c r="BK145" i="39"/>
  <c r="BL31" i="39"/>
  <c r="BL33" i="39" s="1"/>
  <c r="BL40" i="39" l="1"/>
  <c r="BL35" i="39"/>
  <c r="BK149" i="39"/>
  <c r="BL145" i="39"/>
  <c r="BL149" i="39" s="1"/>
  <c r="BK177" i="39"/>
  <c r="BK41" i="39"/>
  <c r="BK185" i="39"/>
  <c r="BK189" i="39"/>
  <c r="BK75" i="4" l="1"/>
  <c r="BL41" i="39"/>
  <c r="BL161" i="39"/>
  <c r="BL177" i="39"/>
  <c r="BK161" i="39"/>
  <c r="BK162" i="39" s="1"/>
  <c r="BL189" i="39"/>
  <c r="BL185" i="39"/>
  <c r="BL218" i="39"/>
  <c r="BL70" i="39" s="1"/>
  <c r="ED38" i="3"/>
  <c r="BL198" i="39" l="1"/>
  <c r="BK163" i="39"/>
  <c r="BL162" i="39"/>
  <c r="BK169" i="39"/>
  <c r="ED50" i="3"/>
  <c r="BL45" i="39"/>
  <c r="BL42" i="39"/>
  <c r="BL75" i="4"/>
  <c r="BL7" i="61" s="1"/>
  <c r="BL10" i="3" l="1"/>
  <c r="BK171" i="39"/>
  <c r="BL169" i="39"/>
  <c r="BK167" i="39"/>
  <c r="BL163" i="39"/>
  <c r="BL167" i="39" s="1"/>
  <c r="BK108" i="4" l="1"/>
  <c r="BK180" i="39"/>
  <c r="BK181" i="39" s="1"/>
  <c r="BM136" i="39"/>
  <c r="BL171" i="39"/>
  <c r="BL194" i="39" l="1"/>
  <c r="BL108" i="4"/>
  <c r="BL195" i="39"/>
  <c r="BL180" i="39"/>
  <c r="BL181" i="39" s="1"/>
  <c r="BK175" i="39"/>
  <c r="BK178" i="39"/>
  <c r="BK214" i="39" s="1"/>
  <c r="BK172" i="39"/>
  <c r="BM25" i="39"/>
  <c r="BK114" i="4"/>
  <c r="BL172" i="39" l="1"/>
  <c r="BL175" i="39"/>
  <c r="BL192" i="39"/>
  <c r="BL178" i="39"/>
  <c r="BL214" i="39" s="1"/>
  <c r="BL38" i="61" s="1"/>
  <c r="BL114" i="4"/>
  <c r="BL193" i="39"/>
  <c r="BM188" i="39"/>
  <c r="BM27" i="39"/>
  <c r="BM29" i="39" s="1"/>
  <c r="BL54" i="61" l="1"/>
  <c r="BM31" i="39"/>
  <c r="BM33" i="39" s="1"/>
  <c r="BL219" i="39"/>
  <c r="BL71" i="39" s="1"/>
  <c r="BL37" i="61" s="1"/>
  <c r="BL55" i="61" l="1"/>
  <c r="BL57" i="61" s="1"/>
  <c r="BM40" i="39"/>
  <c r="BM35" i="39"/>
  <c r="BM145" i="39"/>
  <c r="BM149" i="39" l="1"/>
  <c r="BM177" i="39"/>
  <c r="BM185" i="39"/>
  <c r="BM189" i="39"/>
  <c r="BM41" i="39"/>
  <c r="BM75" i="4" l="1"/>
  <c r="BM161" i="39"/>
  <c r="BM162" i="39" s="1"/>
  <c r="BM163" i="39" l="1"/>
  <c r="BM167" i="39" s="1"/>
  <c r="BM169" i="39"/>
  <c r="BN136" i="39" l="1"/>
  <c r="BM171" i="39"/>
  <c r="BM108" i="4" l="1"/>
  <c r="BM180" i="39"/>
  <c r="BM172" i="39" s="1"/>
  <c r="BN25" i="39"/>
  <c r="BM175" i="39" l="1"/>
  <c r="BM178" i="39"/>
  <c r="BM214" i="39" s="1"/>
  <c r="BM181" i="39"/>
  <c r="BN27" i="39"/>
  <c r="BN29" i="39" s="1"/>
  <c r="BN188" i="39"/>
  <c r="BM114" i="4"/>
  <c r="BN31" i="39" l="1"/>
  <c r="BN33" i="39" s="1"/>
  <c r="BN40" i="39" l="1"/>
  <c r="BN35" i="39"/>
  <c r="BN145" i="39"/>
  <c r="BN149" i="39" l="1"/>
  <c r="BN177" i="39"/>
  <c r="BN41" i="39"/>
  <c r="BN185" i="39"/>
  <c r="BN189" i="39"/>
  <c r="BN161" i="39" l="1"/>
  <c r="BN162" i="39" s="1"/>
  <c r="BN75" i="4"/>
  <c r="BN163" i="39" l="1"/>
  <c r="BN167" i="39" s="1"/>
  <c r="BN169" i="39"/>
  <c r="BO136" i="39" l="1"/>
  <c r="BN171" i="39"/>
  <c r="BN108" i="4" l="1"/>
  <c r="BN180" i="39"/>
  <c r="BN181" i="39" s="1"/>
  <c r="BO25" i="39"/>
  <c r="BO27" i="39" l="1"/>
  <c r="BO29" i="39" s="1"/>
  <c r="BO188" i="39"/>
  <c r="BN114" i="4"/>
  <c r="BN175" i="39"/>
  <c r="BN178" i="39"/>
  <c r="BN214" i="39" s="1"/>
  <c r="BN172" i="39"/>
  <c r="BO31" i="39" l="1"/>
  <c r="BO33" i="39" l="1"/>
  <c r="BO40" i="39" l="1"/>
  <c r="BO145" i="39"/>
  <c r="BO35" i="39"/>
  <c r="BO41" i="39" l="1"/>
  <c r="BO189" i="39"/>
  <c r="BO185" i="39"/>
  <c r="BO149" i="39"/>
  <c r="BO177" i="39"/>
  <c r="BO161" i="39" l="1"/>
  <c r="BO162" i="39" s="1"/>
  <c r="BO75" i="4"/>
  <c r="BO163" i="39" l="1"/>
  <c r="BO167" i="39" s="1"/>
  <c r="BO169" i="39"/>
  <c r="BP136" i="39" l="1"/>
  <c r="BO171" i="39"/>
  <c r="BO108" i="4" l="1"/>
  <c r="BO180" i="39"/>
  <c r="BO172" i="39" s="1"/>
  <c r="BP25" i="39"/>
  <c r="BQ136" i="39"/>
  <c r="BO175" i="39" l="1"/>
  <c r="BO178" i="39"/>
  <c r="BO214" i="39" s="1"/>
  <c r="BO181" i="39"/>
  <c r="BP27" i="39"/>
  <c r="BP29" i="39" s="1"/>
  <c r="BP188" i="39"/>
  <c r="BQ25" i="39"/>
  <c r="BO114" i="4"/>
  <c r="BP31" i="39" l="1"/>
  <c r="BP33" i="39" s="1"/>
  <c r="BQ188" i="39"/>
  <c r="BQ199" i="39" s="1"/>
  <c r="BQ27" i="39"/>
  <c r="BQ29" i="39" s="1"/>
  <c r="BP40" i="39" l="1"/>
  <c r="BP145" i="39"/>
  <c r="BP35" i="39"/>
  <c r="BQ31" i="39"/>
  <c r="BQ33" i="39" s="1"/>
  <c r="BP149" i="39" l="1"/>
  <c r="BQ145" i="39"/>
  <c r="BQ149" i="39" s="1"/>
  <c r="BP177" i="39"/>
  <c r="BQ40" i="39"/>
  <c r="BQ35" i="39"/>
  <c r="BP41" i="39"/>
  <c r="BP189" i="39"/>
  <c r="BP185" i="39"/>
  <c r="BQ161" i="39" l="1"/>
  <c r="BP75" i="4"/>
  <c r="BQ41" i="39"/>
  <c r="BQ189" i="39"/>
  <c r="BQ185" i="39"/>
  <c r="BQ218" i="39"/>
  <c r="BQ70" i="39" s="1"/>
  <c r="EI38" i="3"/>
  <c r="BQ177" i="39"/>
  <c r="BP161" i="39"/>
  <c r="BP162" i="39" s="1"/>
  <c r="BQ198" i="39" l="1"/>
  <c r="BP163" i="39"/>
  <c r="BQ162" i="39"/>
  <c r="BP169" i="39"/>
  <c r="EI50" i="3"/>
  <c r="BQ45" i="39"/>
  <c r="BQ42" i="39"/>
  <c r="BQ75" i="4"/>
  <c r="BQ7" i="61" s="1"/>
  <c r="BQ10" i="3" l="1"/>
  <c r="BP171" i="39"/>
  <c r="BQ169" i="39"/>
  <c r="BQ171" i="39" s="1"/>
  <c r="BP167" i="39"/>
  <c r="BQ163" i="39"/>
  <c r="BQ167" i="39" s="1"/>
  <c r="BP108" i="4" l="1"/>
  <c r="BP180" i="39"/>
  <c r="BP172" i="39" s="1"/>
  <c r="BQ194" i="39"/>
  <c r="BQ108" i="4"/>
  <c r="BQ180" i="39"/>
  <c r="BQ193" i="39" s="1"/>
  <c r="BQ195" i="39"/>
  <c r="BQ181" i="39" l="1"/>
  <c r="BQ175" i="39"/>
  <c r="BQ192" i="39"/>
  <c r="BQ178" i="39"/>
  <c r="BQ214" i="39" s="1"/>
  <c r="BQ38" i="61" s="1"/>
  <c r="BQ172" i="39"/>
  <c r="BP175" i="39"/>
  <c r="BP178" i="39"/>
  <c r="BP214" i="39" s="1"/>
  <c r="BP181" i="39"/>
  <c r="BQ114" i="4"/>
  <c r="BP114" i="4"/>
  <c r="BQ54" i="61" l="1"/>
  <c r="BQ219" i="39"/>
  <c r="BQ71" i="39" s="1"/>
  <c r="BQ37" i="61" s="1"/>
  <c r="BQ55" i="61" l="1"/>
  <c r="BQ57" i="61" s="1"/>
  <c r="AV109" i="4"/>
  <c r="AV111" i="4" l="1"/>
  <c r="AV115" i="4" s="1"/>
  <c r="AX584" i="41"/>
  <c r="AX24" i="41" l="1"/>
  <c r="AW230" i="4"/>
  <c r="DO24" i="3" s="1"/>
  <c r="AW642" i="41"/>
  <c r="AW643" i="41"/>
  <c r="AW109" i="4"/>
  <c r="AV112" i="4"/>
  <c r="AX26" i="41" l="1"/>
  <c r="AX28" i="41" s="1"/>
  <c r="AX25" i="42"/>
  <c r="AW111" i="4"/>
  <c r="AW115" i="4" s="1"/>
  <c r="AW640" i="41"/>
  <c r="AW641" i="41"/>
  <c r="AW112" i="4" l="1"/>
  <c r="AX30" i="41"/>
  <c r="AX27" i="42"/>
  <c r="AX29" i="42" s="1"/>
  <c r="AX31" i="42" s="1"/>
  <c r="AX36" i="4" s="1"/>
  <c r="AX38" i="4" l="1"/>
  <c r="AX104" i="4"/>
  <c r="AX575" i="41"/>
  <c r="AX33" i="42"/>
  <c r="AX31" i="41"/>
  <c r="AX34" i="41" s="1"/>
  <c r="AX42" i="4" l="1"/>
  <c r="AX129" i="4"/>
  <c r="AX134" i="4" s="1"/>
  <c r="AX249" i="4"/>
  <c r="AX41" i="41"/>
  <c r="AX593" i="41"/>
  <c r="AX36" i="41"/>
  <c r="AX42" i="41" s="1"/>
  <c r="AX76" i="4" s="1"/>
  <c r="AX37" i="42"/>
  <c r="AX61" i="42"/>
  <c r="AX253" i="4" l="1"/>
  <c r="AX44" i="4"/>
  <c r="AX51" i="4" s="1"/>
  <c r="AX50" i="4"/>
  <c r="AX209" i="4"/>
  <c r="AX188" i="4"/>
  <c r="AX191" i="4" s="1"/>
  <c r="DP38" i="3"/>
  <c r="AX149" i="4"/>
  <c r="AX151" i="4" s="1"/>
  <c r="AX44" i="42"/>
  <c r="AX39" i="42"/>
  <c r="AX122" i="4"/>
  <c r="AX125" i="4" s="1"/>
  <c r="AX625" i="41"/>
  <c r="AX597" i="41"/>
  <c r="AX152" i="4" l="1"/>
  <c r="AX174" i="4"/>
  <c r="DP62" i="3"/>
  <c r="AX73" i="42"/>
  <c r="DP16" i="3"/>
  <c r="AX52" i="4"/>
  <c r="AX65" i="4"/>
  <c r="AX45" i="42"/>
  <c r="AX78" i="4" s="1"/>
  <c r="AX79" i="4" s="1"/>
  <c r="AX47" i="39"/>
  <c r="AX609" i="41"/>
  <c r="AX64" i="42"/>
  <c r="DP39" i="3" s="1"/>
  <c r="AX178" i="4" l="1"/>
  <c r="AX183" i="4" s="1"/>
  <c r="AX193" i="4" s="1"/>
  <c r="AX201" i="4"/>
  <c r="AX72" i="42"/>
  <c r="AX256" i="4"/>
  <c r="AY150" i="4"/>
  <c r="AX157" i="4"/>
  <c r="AY95" i="4" s="1"/>
  <c r="AY98" i="4" s="1"/>
  <c r="AY30" i="4" s="1"/>
  <c r="AY32" i="4" s="1"/>
  <c r="AY34" i="4" s="1"/>
  <c r="AX75" i="42"/>
  <c r="AX63" i="42"/>
  <c r="AX254" i="4"/>
  <c r="AX610" i="41"/>
  <c r="AX615" i="41" s="1"/>
  <c r="AX257" i="4" l="1"/>
  <c r="AX199" i="4"/>
  <c r="DP9" i="3" s="1"/>
  <c r="AX161" i="4"/>
  <c r="AX172" i="4" s="1"/>
  <c r="AX195" i="4" s="1"/>
  <c r="AX203" i="4"/>
  <c r="DP11" i="3"/>
  <c r="DP13" i="3" s="1"/>
  <c r="DP18" i="3" s="1"/>
  <c r="AX611" i="41"/>
  <c r="AX617" i="41"/>
  <c r="AX212" i="4" l="1"/>
  <c r="AX619" i="41"/>
  <c r="AY584" i="41"/>
  <c r="AX204" i="4" l="1"/>
  <c r="AX207" i="4"/>
  <c r="AX210" i="4"/>
  <c r="AX213" i="4"/>
  <c r="AY24" i="41"/>
  <c r="AX628" i="41"/>
  <c r="AX109" i="4"/>
  <c r="AX623" i="41" l="1"/>
  <c r="AX626" i="41"/>
  <c r="AX620" i="41"/>
  <c r="AX111" i="4"/>
  <c r="AX115" i="4" s="1"/>
  <c r="AX629" i="41"/>
  <c r="AY25" i="42"/>
  <c r="AY26" i="41"/>
  <c r="AY28" i="41" s="1"/>
  <c r="AX112" i="4" l="1"/>
  <c r="AY30" i="41"/>
  <c r="AY31" i="41" s="1"/>
  <c r="AY34" i="41" s="1"/>
  <c r="AY27" i="42"/>
  <c r="AY29" i="42" s="1"/>
  <c r="AY31" i="42" s="1"/>
  <c r="AY36" i="4" s="1"/>
  <c r="AY38" i="4" l="1"/>
  <c r="AY104" i="4"/>
  <c r="AY41" i="41"/>
  <c r="AY593" i="41"/>
  <c r="AY36" i="41"/>
  <c r="AY42" i="41" s="1"/>
  <c r="AY76" i="4" s="1"/>
  <c r="AY575" i="41"/>
  <c r="AY42" i="4" l="1"/>
  <c r="AY249" i="4"/>
  <c r="AY129" i="4"/>
  <c r="AY33" i="42"/>
  <c r="AY597" i="41"/>
  <c r="AY625" i="41"/>
  <c r="AY134" i="4" l="1"/>
  <c r="AY64" i="42" s="1"/>
  <c r="DQ39" i="3" s="1"/>
  <c r="AY188" i="4"/>
  <c r="AY209" i="4"/>
  <c r="AY50" i="4"/>
  <c r="AY44" i="4"/>
  <c r="AY51" i="4" s="1"/>
  <c r="AY609" i="41"/>
  <c r="AY61" i="42"/>
  <c r="AY37" i="42"/>
  <c r="DQ16" i="3" l="1"/>
  <c r="AY191" i="4"/>
  <c r="AY65" i="4"/>
  <c r="AY52" i="4"/>
  <c r="AY149" i="4"/>
  <c r="DQ38" i="3"/>
  <c r="AY254" i="4"/>
  <c r="AY44" i="42"/>
  <c r="AY122" i="4"/>
  <c r="AY125" i="4" s="1"/>
  <c r="AY39" i="42"/>
  <c r="AY45" i="42" s="1"/>
  <c r="AY78" i="4" s="1"/>
  <c r="AY79" i="4" s="1"/>
  <c r="AY253" i="4"/>
  <c r="AY63" i="42"/>
  <c r="AY610" i="41"/>
  <c r="AY615" i="41" s="1"/>
  <c r="AY151" i="4" l="1"/>
  <c r="AY152" i="4" s="1"/>
  <c r="AY611" i="41"/>
  <c r="AY617" i="41"/>
  <c r="AZ150" i="4" l="1"/>
  <c r="AY157" i="4"/>
  <c r="AY73" i="42"/>
  <c r="DQ62" i="3"/>
  <c r="AY174" i="4"/>
  <c r="AY619" i="41"/>
  <c r="AZ584" i="41"/>
  <c r="AY256" i="4" l="1"/>
  <c r="AY257" i="4" s="1"/>
  <c r="AY72" i="42"/>
  <c r="AY75" i="42"/>
  <c r="AZ95" i="4"/>
  <c r="AY199" i="4"/>
  <c r="DQ9" i="3" s="1"/>
  <c r="AY161" i="4"/>
  <c r="AY172" i="4" s="1"/>
  <c r="AY201" i="4"/>
  <c r="AY178" i="4"/>
  <c r="AY183" i="4" s="1"/>
  <c r="AY193" i="4" s="1"/>
  <c r="AZ24" i="41"/>
  <c r="AY628" i="41"/>
  <c r="AY109" i="4"/>
  <c r="AY195" i="4" l="1"/>
  <c r="AZ98" i="4"/>
  <c r="AZ30" i="4" s="1"/>
  <c r="AZ25" i="42" s="1"/>
  <c r="DQ11" i="3"/>
  <c r="DQ13" i="3" s="1"/>
  <c r="DQ18" i="3" s="1"/>
  <c r="AY203" i="4"/>
  <c r="AY111" i="4" s="1"/>
  <c r="AY115" i="4" s="1"/>
  <c r="AY623" i="41"/>
  <c r="AY626" i="41"/>
  <c r="AY620" i="41"/>
  <c r="AY629" i="41"/>
  <c r="AZ26" i="41"/>
  <c r="AZ28" i="41" s="1"/>
  <c r="AY212" i="4" l="1"/>
  <c r="AZ32" i="4"/>
  <c r="AZ34" i="4" s="1"/>
  <c r="AY112" i="4"/>
  <c r="AZ30" i="41"/>
  <c r="AZ31" i="41" s="1"/>
  <c r="AZ34" i="41" s="1"/>
  <c r="AZ27" i="42"/>
  <c r="AZ29" i="42" s="1"/>
  <c r="AZ31" i="42" s="1"/>
  <c r="AZ36" i="4" l="1"/>
  <c r="AZ38" i="4" s="1"/>
  <c r="AY204" i="4"/>
  <c r="AY207" i="4"/>
  <c r="AY210" i="4"/>
  <c r="AY213" i="4"/>
  <c r="AZ41" i="41"/>
  <c r="AZ593" i="41"/>
  <c r="AZ36" i="41"/>
  <c r="AZ42" i="41" s="1"/>
  <c r="AZ76" i="4" s="1"/>
  <c r="AZ575" i="41"/>
  <c r="AZ104" i="4" l="1"/>
  <c r="AZ249" i="4"/>
  <c r="AZ129" i="4"/>
  <c r="AZ42" i="4"/>
  <c r="AZ33" i="42"/>
  <c r="AZ597" i="41"/>
  <c r="AZ625" i="41"/>
  <c r="AZ44" i="4" l="1"/>
  <c r="AZ51" i="4" s="1"/>
  <c r="AZ50" i="4"/>
  <c r="AZ188" i="4"/>
  <c r="AZ209" i="4"/>
  <c r="AZ134" i="4"/>
  <c r="AZ64" i="42" s="1"/>
  <c r="DR39" i="3" s="1"/>
  <c r="AZ609" i="41"/>
  <c r="AZ61" i="42"/>
  <c r="AZ37" i="42"/>
  <c r="DR16" i="3" l="1"/>
  <c r="AZ191" i="4"/>
  <c r="DR38" i="3"/>
  <c r="AZ149" i="4"/>
  <c r="AZ151" i="4" s="1"/>
  <c r="AZ52" i="4"/>
  <c r="AZ65" i="4"/>
  <c r="AZ254" i="4"/>
  <c r="AZ44" i="42"/>
  <c r="AZ122" i="4"/>
  <c r="AZ125" i="4" s="1"/>
  <c r="AZ39" i="42"/>
  <c r="AZ45" i="42" s="1"/>
  <c r="AZ78" i="4" s="1"/>
  <c r="AZ79" i="4" s="1"/>
  <c r="AZ253" i="4"/>
  <c r="AZ63" i="42"/>
  <c r="AZ610" i="41"/>
  <c r="AZ615" i="41" s="1"/>
  <c r="AZ152" i="4" l="1"/>
  <c r="AZ73" i="42"/>
  <c r="DR62" i="3"/>
  <c r="AZ174" i="4"/>
  <c r="AZ611" i="41"/>
  <c r="AZ617" i="41"/>
  <c r="AZ72" i="42" l="1"/>
  <c r="AZ256" i="4"/>
  <c r="AZ257" i="4" s="1"/>
  <c r="AZ75" i="42"/>
  <c r="AZ178" i="4"/>
  <c r="AZ183" i="4" s="1"/>
  <c r="AZ193" i="4" s="1"/>
  <c r="AZ201" i="4"/>
  <c r="AZ157" i="4"/>
  <c r="BA150" i="4"/>
  <c r="AZ619" i="41"/>
  <c r="BA584" i="41"/>
  <c r="AZ199" i="4" l="1"/>
  <c r="DR9" i="3" s="1"/>
  <c r="AZ161" i="4"/>
  <c r="AZ172" i="4" s="1"/>
  <c r="AZ195" i="4" s="1"/>
  <c r="AZ203" i="4"/>
  <c r="DR11" i="3"/>
  <c r="DR13" i="3" s="1"/>
  <c r="DR18" i="3" s="1"/>
  <c r="BA95" i="4"/>
  <c r="AZ628" i="41"/>
  <c r="AZ629" i="41" s="1"/>
  <c r="AZ109" i="4"/>
  <c r="BA24" i="41"/>
  <c r="BB584" i="41"/>
  <c r="BA98" i="4" l="1"/>
  <c r="BA30" i="4" s="1"/>
  <c r="BA25" i="42" s="1"/>
  <c r="BB95" i="4"/>
  <c r="BB98" i="4" s="1"/>
  <c r="AZ212" i="4"/>
  <c r="BA26" i="41"/>
  <c r="BA28" i="41" s="1"/>
  <c r="BB24" i="41"/>
  <c r="CQ43" i="61" s="1"/>
  <c r="AZ111" i="4"/>
  <c r="AZ112" i="4" s="1"/>
  <c r="AZ623" i="41"/>
  <c r="AZ626" i="41"/>
  <c r="AZ620" i="41"/>
  <c r="AZ204" i="4" l="1"/>
  <c r="AZ207" i="4"/>
  <c r="AZ210" i="4"/>
  <c r="AZ213" i="4"/>
  <c r="BA32" i="4"/>
  <c r="BA34" i="4" s="1"/>
  <c r="BB30" i="4"/>
  <c r="CQ44" i="61"/>
  <c r="CQ45" i="61" s="1"/>
  <c r="CQ52" i="61" s="1"/>
  <c r="CQ53" i="61" s="1"/>
  <c r="CQ57" i="61" s="1"/>
  <c r="AZ115" i="4"/>
  <c r="BB636" i="41"/>
  <c r="BB647" i="41" s="1"/>
  <c r="BB26" i="41"/>
  <c r="BB28" i="41" s="1"/>
  <c r="CR43" i="72"/>
  <c r="BA30" i="41"/>
  <c r="BA31" i="41" s="1"/>
  <c r="BA34" i="41" s="1"/>
  <c r="BA27" i="42"/>
  <c r="BA29" i="42" s="1"/>
  <c r="BA31" i="42" s="1"/>
  <c r="BB25" i="42"/>
  <c r="BB27" i="42" s="1"/>
  <c r="BB29" i="42" s="1"/>
  <c r="BA36" i="4" l="1"/>
  <c r="BA38" i="4" s="1"/>
  <c r="BB32" i="4"/>
  <c r="BB34" i="4" s="1"/>
  <c r="BB221" i="4"/>
  <c r="BB235" i="4" s="1"/>
  <c r="DT28" i="3" s="1"/>
  <c r="BA41" i="41"/>
  <c r="BA593" i="41"/>
  <c r="BA36" i="41"/>
  <c r="BA42" i="41" s="1"/>
  <c r="BA76" i="4" s="1"/>
  <c r="BA575" i="41"/>
  <c r="BB31" i="42"/>
  <c r="BB33" i="42" s="1"/>
  <c r="BB37" i="42" s="1"/>
  <c r="BB30" i="41"/>
  <c r="BB575" i="41" s="1"/>
  <c r="CR44" i="72"/>
  <c r="CR45" i="72" s="1"/>
  <c r="CR52" i="72" s="1"/>
  <c r="AR10" i="72"/>
  <c r="BA104" i="4" l="1"/>
  <c r="BB36" i="4"/>
  <c r="BB38" i="4" s="1"/>
  <c r="BB42" i="4" s="1"/>
  <c r="BA129" i="4"/>
  <c r="BA42" i="4"/>
  <c r="BA249" i="4"/>
  <c r="DR7" i="61"/>
  <c r="BB44" i="42"/>
  <c r="BB122" i="4"/>
  <c r="BB125" i="4" s="1"/>
  <c r="BB39" i="42"/>
  <c r="CR60" i="72"/>
  <c r="CR53" i="72"/>
  <c r="CR57" i="72" s="1"/>
  <c r="BB31" i="41"/>
  <c r="BB34" i="41" s="1"/>
  <c r="AR11" i="72"/>
  <c r="AR12" i="72" s="1"/>
  <c r="AR19" i="72" s="1"/>
  <c r="AR20" i="72" s="1"/>
  <c r="AR24" i="72" s="1"/>
  <c r="BA33" i="42"/>
  <c r="BA597" i="41"/>
  <c r="BB593" i="41"/>
  <c r="BB597" i="41" s="1"/>
  <c r="BA625" i="41"/>
  <c r="BB104" i="4" l="1"/>
  <c r="BB249" i="4"/>
  <c r="DR15" i="61"/>
  <c r="DR14" i="61" s="1"/>
  <c r="DR12" i="61"/>
  <c r="BA44" i="4"/>
  <c r="BA51" i="4" s="1"/>
  <c r="BA50" i="4"/>
  <c r="BA188" i="4"/>
  <c r="BA209" i="4"/>
  <c r="BB50" i="4"/>
  <c r="BB44" i="4"/>
  <c r="BA134" i="4"/>
  <c r="BA64" i="42" s="1"/>
  <c r="BA254" i="4" s="1"/>
  <c r="BB129" i="4"/>
  <c r="BB134" i="4" s="1"/>
  <c r="BB58" i="61"/>
  <c r="BB59" i="61" s="1"/>
  <c r="BB61" i="61" s="1"/>
  <c r="BB66" i="61" s="1"/>
  <c r="BB69" i="61" s="1"/>
  <c r="BB72" i="61" s="1"/>
  <c r="BB74" i="61" s="1"/>
  <c r="BB47" i="39"/>
  <c r="BB609" i="41"/>
  <c r="BB625" i="41"/>
  <c r="BA609" i="41"/>
  <c r="BA61" i="42"/>
  <c r="BB61" i="42" s="1"/>
  <c r="BA37" i="42"/>
  <c r="BB253" i="4"/>
  <c r="BB41" i="41"/>
  <c r="BB36" i="41"/>
  <c r="BB45" i="42"/>
  <c r="BA52" i="4" l="1"/>
  <c r="BA65" i="4"/>
  <c r="BB149" i="4"/>
  <c r="DT41" i="3"/>
  <c r="DT39" i="3" s="1"/>
  <c r="DT51" i="3" s="1"/>
  <c r="DT53" i="3" s="1"/>
  <c r="DT56" i="3" s="1"/>
  <c r="BB223" i="4"/>
  <c r="BB224" i="4" s="1"/>
  <c r="DS16" i="3"/>
  <c r="BB209" i="4"/>
  <c r="DS38" i="3"/>
  <c r="BA149" i="4"/>
  <c r="BA191" i="4"/>
  <c r="BB188" i="4"/>
  <c r="BB51" i="4"/>
  <c r="BB222" i="4"/>
  <c r="BB217" i="4"/>
  <c r="BB234" i="4" s="1"/>
  <c r="DT27" i="3" s="1"/>
  <c r="BB78" i="4"/>
  <c r="BB10" i="61" s="1"/>
  <c r="BB46" i="39"/>
  <c r="DS39" i="3"/>
  <c r="BB633" i="41"/>
  <c r="BB637" i="41"/>
  <c r="BB42" i="41"/>
  <c r="BA44" i="42"/>
  <c r="BA122" i="4"/>
  <c r="BA125" i="4" s="1"/>
  <c r="BA39" i="42"/>
  <c r="BA45" i="42" s="1"/>
  <c r="BA78" i="4" s="1"/>
  <c r="BA79" i="4" s="1"/>
  <c r="BA253" i="4"/>
  <c r="BA63" i="42"/>
  <c r="BB63" i="42" s="1"/>
  <c r="BB64" i="42" s="1"/>
  <c r="BA610" i="41"/>
  <c r="BA151" i="4" l="1"/>
  <c r="BA152" i="4" s="1"/>
  <c r="BA157" i="4" s="1"/>
  <c r="DT16" i="3"/>
  <c r="BB54" i="3" s="1"/>
  <c r="BB52" i="4"/>
  <c r="BB65" i="4"/>
  <c r="BB191" i="4"/>
  <c r="BB13" i="3"/>
  <c r="BB39" i="3" s="1"/>
  <c r="BB254" i="4"/>
  <c r="BA611" i="41"/>
  <c r="BB611" i="41" s="1"/>
  <c r="BB610" i="41"/>
  <c r="BA617" i="41"/>
  <c r="BA615" i="41"/>
  <c r="BB615" i="41" s="1"/>
  <c r="CA198" i="41"/>
  <c r="BB43" i="41"/>
  <c r="BB76" i="4"/>
  <c r="BB8" i="61" s="1"/>
  <c r="BB11" i="61" s="1"/>
  <c r="BB18" i="61" s="1"/>
  <c r="BB20" i="61" s="1"/>
  <c r="BB22" i="61" s="1"/>
  <c r="BB218" i="4"/>
  <c r="BB646" i="41"/>
  <c r="BB157" i="4" l="1"/>
  <c r="BA199" i="4"/>
  <c r="DS9" i="3" s="1"/>
  <c r="BA161" i="4"/>
  <c r="BA172" i="4" s="1"/>
  <c r="DS62" i="3"/>
  <c r="BA73" i="42"/>
  <c r="BB151" i="4"/>
  <c r="BA174" i="4"/>
  <c r="BB79" i="4"/>
  <c r="BB11" i="3"/>
  <c r="BA619" i="41"/>
  <c r="BB617" i="41"/>
  <c r="BA256" i="4" l="1"/>
  <c r="BA257" i="4" s="1"/>
  <c r="BA72" i="42"/>
  <c r="BB72" i="42" s="1"/>
  <c r="BB73" i="42" s="1"/>
  <c r="BA75" i="42"/>
  <c r="BA178" i="4"/>
  <c r="BA183" i="4" s="1"/>
  <c r="BA193" i="4" s="1"/>
  <c r="BA195" i="4" s="1"/>
  <c r="BB174" i="4"/>
  <c r="BA201" i="4"/>
  <c r="DT62" i="3"/>
  <c r="DT64" i="3" s="1"/>
  <c r="BB152" i="4"/>
  <c r="BC150" i="4" s="1"/>
  <c r="BB199" i="4"/>
  <c r="DT9" i="3" s="1"/>
  <c r="BB161" i="4"/>
  <c r="BB172" i="4" s="1"/>
  <c r="BA628" i="41"/>
  <c r="BA629" i="41" s="1"/>
  <c r="BA109" i="4"/>
  <c r="BC584" i="41"/>
  <c r="BB619" i="41"/>
  <c r="CQ74" i="61" s="1"/>
  <c r="CQ75" i="61" s="1"/>
  <c r="CQ78" i="61" s="1"/>
  <c r="BB14" i="3"/>
  <c r="BB19" i="3" s="1"/>
  <c r="DS11" i="3" l="1"/>
  <c r="DS13" i="3" s="1"/>
  <c r="DS18" i="3" s="1"/>
  <c r="BA203" i="4"/>
  <c r="BA111" i="4" s="1"/>
  <c r="BA115" i="4" s="1"/>
  <c r="BB201" i="4"/>
  <c r="BB256" i="4"/>
  <c r="BB257" i="4" s="1"/>
  <c r="BB75" i="42"/>
  <c r="BC95" i="4"/>
  <c r="BB178" i="4"/>
  <c r="BB183" i="4" s="1"/>
  <c r="BB193" i="4" s="1"/>
  <c r="BB195" i="4" s="1"/>
  <c r="BB57" i="3"/>
  <c r="BG150" i="4"/>
  <c r="BC24" i="41"/>
  <c r="BB56" i="3"/>
  <c r="BB18" i="3"/>
  <c r="CA199" i="41"/>
  <c r="BB51" i="3"/>
  <c r="BB58" i="3"/>
  <c r="BB642" i="41"/>
  <c r="BB628" i="41"/>
  <c r="BB620" i="41" s="1"/>
  <c r="BV64" i="72"/>
  <c r="X32" i="72" s="1"/>
  <c r="BB109" i="4"/>
  <c r="BB643" i="41"/>
  <c r="BA623" i="41"/>
  <c r="BA626" i="41"/>
  <c r="BA620" i="41"/>
  <c r="BB203" i="4" l="1"/>
  <c r="BB111" i="4" s="1"/>
  <c r="BB115" i="4" s="1"/>
  <c r="DT11" i="3"/>
  <c r="DT13" i="3" s="1"/>
  <c r="BC98" i="4"/>
  <c r="BC30" i="4" s="1"/>
  <c r="BC25" i="42" s="1"/>
  <c r="BA212" i="4"/>
  <c r="BA112" i="4"/>
  <c r="BB641" i="41"/>
  <c r="BC26" i="41"/>
  <c r="BC28" i="41" s="1"/>
  <c r="BB623" i="41"/>
  <c r="BB640" i="41"/>
  <c r="BB626" i="41"/>
  <c r="BB629" i="41"/>
  <c r="BA213" i="4" l="1"/>
  <c r="BA207" i="4"/>
  <c r="BA210" i="4"/>
  <c r="BA204" i="4"/>
  <c r="BB229" i="4"/>
  <c r="DT23" i="3" s="1"/>
  <c r="BB212" i="4"/>
  <c r="BB230" i="4"/>
  <c r="DT24" i="3" s="1"/>
  <c r="BC32" i="4"/>
  <c r="BC34" i="4" s="1"/>
  <c r="DT18" i="3"/>
  <c r="BB63" i="3"/>
  <c r="BB64" i="3" s="1"/>
  <c r="BB52" i="3" s="1"/>
  <c r="BB112" i="4"/>
  <c r="BC27" i="42"/>
  <c r="BC29" i="42" s="1"/>
  <c r="BC31" i="42" s="1"/>
  <c r="BC30" i="41"/>
  <c r="BC36" i="4" l="1"/>
  <c r="BC38" i="4" s="1"/>
  <c r="BB213" i="4"/>
  <c r="BB207" i="4"/>
  <c r="BB227" i="4"/>
  <c r="DT21" i="3" s="1"/>
  <c r="BB210" i="4"/>
  <c r="BB204" i="4"/>
  <c r="BB228" i="4"/>
  <c r="DT22" i="3" s="1"/>
  <c r="BC575" i="41"/>
  <c r="BC33" i="42"/>
  <c r="BC31" i="41"/>
  <c r="BC34" i="41" s="1"/>
  <c r="BC249" i="4" l="1"/>
  <c r="BC42" i="4"/>
  <c r="BC129" i="4"/>
  <c r="BC104" i="4"/>
  <c r="BC37" i="42"/>
  <c r="BC61" i="42"/>
  <c r="BC41" i="41"/>
  <c r="BC36" i="41"/>
  <c r="BC42" i="41" s="1"/>
  <c r="BC76" i="4" s="1"/>
  <c r="BC593" i="41"/>
  <c r="BC253" i="4" l="1"/>
  <c r="BC134" i="4"/>
  <c r="BC50" i="4"/>
  <c r="BC44" i="4"/>
  <c r="BC51" i="4" s="1"/>
  <c r="BC188" i="4"/>
  <c r="BC209" i="4"/>
  <c r="BC597" i="41"/>
  <c r="BC625" i="41"/>
  <c r="BC44" i="42"/>
  <c r="BC122" i="4"/>
  <c r="BC125" i="4" s="1"/>
  <c r="BC39" i="42"/>
  <c r="BC45" i="42" s="1"/>
  <c r="BC78" i="4" s="1"/>
  <c r="BC79" i="4" s="1"/>
  <c r="BC65" i="4" l="1"/>
  <c r="BC52" i="4"/>
  <c r="DU16" i="3"/>
  <c r="BC191" i="4"/>
  <c r="DU38" i="3"/>
  <c r="BC149" i="4"/>
  <c r="BC609" i="41"/>
  <c r="BC64" i="42"/>
  <c r="BC254" i="4" s="1"/>
  <c r="BC151" i="4" l="1"/>
  <c r="BC152" i="4" s="1"/>
  <c r="BC610" i="41"/>
  <c r="BC615" i="41" s="1"/>
  <c r="BC63" i="42"/>
  <c r="DU39" i="3"/>
  <c r="BC157" i="4" l="1"/>
  <c r="BD150" i="4"/>
  <c r="DU62" i="3"/>
  <c r="BC73" i="42"/>
  <c r="BC174" i="4"/>
  <c r="BC611" i="41"/>
  <c r="BC617" i="41"/>
  <c r="BC199" i="4" l="1"/>
  <c r="DU9" i="3" s="1"/>
  <c r="BC161" i="4"/>
  <c r="BC172" i="4" s="1"/>
  <c r="BC72" i="42"/>
  <c r="BC256" i="4"/>
  <c r="BC257" i="4" s="1"/>
  <c r="BC75" i="42"/>
  <c r="BC201" i="4"/>
  <c r="BC178" i="4"/>
  <c r="BC183" i="4" s="1"/>
  <c r="BC193" i="4" s="1"/>
  <c r="BD95" i="4"/>
  <c r="BD584" i="41"/>
  <c r="BC619" i="41"/>
  <c r="BD98" i="4" l="1"/>
  <c r="BD30" i="4" s="1"/>
  <c r="BC195" i="4"/>
  <c r="BC203" i="4"/>
  <c r="DU11" i="3"/>
  <c r="DU13" i="3" s="1"/>
  <c r="DU18" i="3" s="1"/>
  <c r="BD24" i="41"/>
  <c r="BC628" i="41"/>
  <c r="BC629" i="41" s="1"/>
  <c r="BC109" i="4"/>
  <c r="BC212" i="4" l="1"/>
  <c r="BD32" i="4"/>
  <c r="BD34" i="4" s="1"/>
  <c r="BC620" i="41"/>
  <c r="BC111" i="4"/>
  <c r="BC112" i="4" s="1"/>
  <c r="BC623" i="41"/>
  <c r="BC626" i="41"/>
  <c r="BD25" i="42"/>
  <c r="BD26" i="41"/>
  <c r="BD28" i="41" s="1"/>
  <c r="BC213" i="4" l="1"/>
  <c r="BC207" i="4"/>
  <c r="BC210" i="4"/>
  <c r="BC204" i="4"/>
  <c r="BC115" i="4"/>
  <c r="BD27" i="42"/>
  <c r="BD29" i="42" s="1"/>
  <c r="BD31" i="42" s="1"/>
  <c r="BD30" i="41"/>
  <c r="BD31" i="41" s="1"/>
  <c r="BD34" i="41" s="1"/>
  <c r="BD36" i="4" l="1"/>
  <c r="BD38" i="4" s="1"/>
  <c r="BD249" i="4" s="1"/>
  <c r="BD41" i="41"/>
  <c r="BD593" i="41"/>
  <c r="BD36" i="41"/>
  <c r="BD42" i="41" s="1"/>
  <c r="BD76" i="4" s="1"/>
  <c r="BD575" i="41"/>
  <c r="BD129" i="4" l="1"/>
  <c r="BD134" i="4" s="1"/>
  <c r="BD42" i="4"/>
  <c r="BD44" i="4" s="1"/>
  <c r="BD51" i="4" s="1"/>
  <c r="BD104" i="4"/>
  <c r="BD50" i="4"/>
  <c r="BD33" i="42"/>
  <c r="BD597" i="41"/>
  <c r="BD625" i="41"/>
  <c r="BD188" i="4" l="1"/>
  <c r="BD191" i="4" s="1"/>
  <c r="BD209" i="4"/>
  <c r="DV16" i="3"/>
  <c r="DV38" i="3"/>
  <c r="BD149" i="4"/>
  <c r="BD52" i="4"/>
  <c r="BD65" i="4"/>
  <c r="BD609" i="41"/>
  <c r="BD64" i="42"/>
  <c r="BD61" i="42"/>
  <c r="BD37" i="42"/>
  <c r="BD151" i="4" l="1"/>
  <c r="BD152" i="4" s="1"/>
  <c r="BD44" i="42"/>
  <c r="BD39" i="42"/>
  <c r="BD45" i="42" s="1"/>
  <c r="BD78" i="4" s="1"/>
  <c r="BD79" i="4" s="1"/>
  <c r="BD122" i="4"/>
  <c r="BD125" i="4" s="1"/>
  <c r="BD253" i="4"/>
  <c r="BD63" i="42"/>
  <c r="DV39" i="3"/>
  <c r="BD610" i="41"/>
  <c r="BD615" i="41" s="1"/>
  <c r="BD254" i="4"/>
  <c r="BD157" i="4" l="1"/>
  <c r="BE150" i="4"/>
  <c r="DV62" i="3"/>
  <c r="BD73" i="42"/>
  <c r="BD174" i="4"/>
  <c r="BD611" i="41"/>
  <c r="BD617" i="41"/>
  <c r="BD178" i="4" l="1"/>
  <c r="BD183" i="4" s="1"/>
  <c r="BD193" i="4" s="1"/>
  <c r="BD201" i="4"/>
  <c r="BD72" i="42"/>
  <c r="BD256" i="4"/>
  <c r="BD257" i="4" s="1"/>
  <c r="BD75" i="42"/>
  <c r="BE95" i="4"/>
  <c r="BD161" i="4"/>
  <c r="BD172" i="4" s="1"/>
  <c r="BD199" i="4"/>
  <c r="DV9" i="3" s="1"/>
  <c r="BE584" i="41"/>
  <c r="BD619" i="41"/>
  <c r="BD195" i="4" l="1"/>
  <c r="BE98" i="4"/>
  <c r="BE30" i="4" s="1"/>
  <c r="DV11" i="3"/>
  <c r="DV13" i="3" s="1"/>
  <c r="DV18" i="3" s="1"/>
  <c r="BD203" i="4"/>
  <c r="BD628" i="41"/>
  <c r="BD109" i="4"/>
  <c r="BE24" i="41"/>
  <c r="BD212" i="4" l="1"/>
  <c r="BE32" i="4"/>
  <c r="BE34" i="4" s="1"/>
  <c r="BD623" i="41"/>
  <c r="BD626" i="41"/>
  <c r="BD111" i="4"/>
  <c r="BD115" i="4" s="1"/>
  <c r="BE25" i="42"/>
  <c r="BE26" i="41"/>
  <c r="BE28" i="41" s="1"/>
  <c r="BD629" i="41"/>
  <c r="BD620" i="41"/>
  <c r="BD213" i="4" l="1"/>
  <c r="BD207" i="4"/>
  <c r="BD210" i="4"/>
  <c r="BD204" i="4"/>
  <c r="BE27" i="42"/>
  <c r="BE29" i="42" s="1"/>
  <c r="BE31" i="42" s="1"/>
  <c r="BE30" i="41"/>
  <c r="BE31" i="41" s="1"/>
  <c r="BE34" i="41" s="1"/>
  <c r="BD112" i="4"/>
  <c r="BE36" i="4" l="1"/>
  <c r="BE104" i="4" s="1"/>
  <c r="BE41" i="41"/>
  <c r="BE593" i="41"/>
  <c r="BE36" i="41"/>
  <c r="BE42" i="41" s="1"/>
  <c r="BE76" i="4" s="1"/>
  <c r="BE575" i="41"/>
  <c r="BE33" i="42"/>
  <c r="BE38" i="4" l="1"/>
  <c r="BE42" i="4" s="1"/>
  <c r="BE188" i="4" s="1"/>
  <c r="BE61" i="42"/>
  <c r="BE37" i="42"/>
  <c r="BE597" i="41"/>
  <c r="BE625" i="41"/>
  <c r="BE44" i="4" l="1"/>
  <c r="BE51" i="4" s="1"/>
  <c r="BE65" i="4" s="1"/>
  <c r="BE50" i="4"/>
  <c r="BE209" i="4"/>
  <c r="DW16" i="3" s="1"/>
  <c r="BE129" i="4"/>
  <c r="BE134" i="4" s="1"/>
  <c r="BE149" i="4" s="1"/>
  <c r="BE151" i="4" s="1"/>
  <c r="BE249" i="4"/>
  <c r="BE191" i="4"/>
  <c r="BE44" i="42"/>
  <c r="BE122" i="4"/>
  <c r="BE125" i="4" s="1"/>
  <c r="BE39" i="42"/>
  <c r="BE45" i="42" s="1"/>
  <c r="BE78" i="4" s="1"/>
  <c r="BE79" i="4" s="1"/>
  <c r="BE253" i="4"/>
  <c r="BE609" i="41"/>
  <c r="BE52" i="4" l="1"/>
  <c r="DW38" i="3"/>
  <c r="BE64" i="42"/>
  <c r="DW39" i="3" s="1"/>
  <c r="BE152" i="4"/>
  <c r="BE73" i="42"/>
  <c r="DW62" i="3"/>
  <c r="BE174" i="4"/>
  <c r="BE610" i="41"/>
  <c r="BE63" i="42" l="1"/>
  <c r="BE75" i="42"/>
  <c r="BE254" i="4"/>
  <c r="BE256" i="4"/>
  <c r="BE72" i="42"/>
  <c r="BE201" i="4"/>
  <c r="BE178" i="4"/>
  <c r="BE183" i="4" s="1"/>
  <c r="BE193" i="4" s="1"/>
  <c r="BF150" i="4"/>
  <c r="BE157" i="4"/>
  <c r="BF95" i="4" s="1"/>
  <c r="BE611" i="41"/>
  <c r="BE617" i="41"/>
  <c r="BE615" i="41"/>
  <c r="BE257" i="4" l="1"/>
  <c r="BF98" i="4"/>
  <c r="BF30" i="4" s="1"/>
  <c r="BG95" i="4"/>
  <c r="BG98" i="4" s="1"/>
  <c r="BE161" i="4"/>
  <c r="BE172" i="4" s="1"/>
  <c r="BE195" i="4" s="1"/>
  <c r="BE199" i="4"/>
  <c r="DW9" i="3" s="1"/>
  <c r="BE203" i="4"/>
  <c r="DW11" i="3"/>
  <c r="DW13" i="3" s="1"/>
  <c r="DW18" i="3" s="1"/>
  <c r="BF584" i="41"/>
  <c r="BE619" i="41"/>
  <c r="BE212" i="4" l="1"/>
  <c r="BE213" i="4" s="1"/>
  <c r="BF32" i="4"/>
  <c r="BF34" i="4" s="1"/>
  <c r="BG30" i="4"/>
  <c r="BE628" i="41"/>
  <c r="BE109" i="4"/>
  <c r="BF24" i="41"/>
  <c r="BG584" i="41"/>
  <c r="BE207" i="4" l="1"/>
  <c r="BE210" i="4"/>
  <c r="BG32" i="4"/>
  <c r="BG34" i="4" s="1"/>
  <c r="BG221" i="4"/>
  <c r="BG235" i="4" s="1"/>
  <c r="DY28" i="3" s="1"/>
  <c r="BE204" i="4"/>
  <c r="BE111" i="4"/>
  <c r="BE112" i="4" s="1"/>
  <c r="BE623" i="41"/>
  <c r="BE626" i="41"/>
  <c r="BF25" i="42"/>
  <c r="BF26" i="41"/>
  <c r="BF28" i="41" s="1"/>
  <c r="BG24" i="41"/>
  <c r="CV43" i="61" s="1"/>
  <c r="CV44" i="61" s="1"/>
  <c r="CV45" i="61" s="1"/>
  <c r="CV52" i="61" s="1"/>
  <c r="CV53" i="61" s="1"/>
  <c r="CV57" i="61" s="1"/>
  <c r="BE629" i="41"/>
  <c r="BE620" i="41"/>
  <c r="BE115" i="4" l="1"/>
  <c r="BF27" i="42"/>
  <c r="BF29" i="42" s="1"/>
  <c r="BF31" i="42" s="1"/>
  <c r="BG25" i="42"/>
  <c r="BG27" i="42" s="1"/>
  <c r="BG29" i="42" s="1"/>
  <c r="BG636" i="41"/>
  <c r="BG647" i="41" s="1"/>
  <c r="CW43" i="72"/>
  <c r="BG26" i="41"/>
  <c r="BG28" i="41" s="1"/>
  <c r="DS7" i="61" s="1"/>
  <c r="BF30" i="41"/>
  <c r="BF31" i="41" s="1"/>
  <c r="BF34" i="41" s="1"/>
  <c r="BF36" i="4" l="1"/>
  <c r="BF38" i="4" s="1"/>
  <c r="DS12" i="61"/>
  <c r="DS15" i="61"/>
  <c r="BF41" i="41"/>
  <c r="BF36" i="41"/>
  <c r="BF42" i="41" s="1"/>
  <c r="BF76" i="4" s="1"/>
  <c r="BF593" i="41"/>
  <c r="BG31" i="42"/>
  <c r="BG33" i="42" s="1"/>
  <c r="BG37" i="42" s="1"/>
  <c r="BF575" i="41"/>
  <c r="BG30" i="41"/>
  <c r="BG575" i="41" s="1"/>
  <c r="CW44" i="72"/>
  <c r="CW45" i="72" s="1"/>
  <c r="CW52" i="72" s="1"/>
  <c r="AW10" i="72"/>
  <c r="BG36" i="4" l="1"/>
  <c r="BG104" i="4" s="1"/>
  <c r="BF104" i="4"/>
  <c r="BF249" i="4"/>
  <c r="BF129" i="4"/>
  <c r="BF42" i="4"/>
  <c r="DS14" i="61"/>
  <c r="BF33" i="42"/>
  <c r="BF37" i="42" s="1"/>
  <c r="BG44" i="42"/>
  <c r="BG122" i="4"/>
  <c r="BG125" i="4" s="1"/>
  <c r="BG39" i="42"/>
  <c r="AW11" i="72"/>
  <c r="AW12" i="72" s="1"/>
  <c r="AW19" i="72" s="1"/>
  <c r="CW60" i="72"/>
  <c r="CW53" i="72"/>
  <c r="CW57" i="72" s="1"/>
  <c r="BG31" i="41"/>
  <c r="BG34" i="41" s="1"/>
  <c r="BF597" i="41"/>
  <c r="BG593" i="41"/>
  <c r="BG597" i="41" s="1"/>
  <c r="BF625" i="41"/>
  <c r="BG38" i="4" l="1"/>
  <c r="BG42" i="4" s="1"/>
  <c r="BG253" i="4" s="1"/>
  <c r="BG129" i="4"/>
  <c r="BG134" i="4" s="1"/>
  <c r="BG223" i="4" s="1"/>
  <c r="BG224" i="4" s="1"/>
  <c r="BF134" i="4"/>
  <c r="BF64" i="42" s="1"/>
  <c r="BF44" i="4"/>
  <c r="BF51" i="4" s="1"/>
  <c r="BF188" i="4"/>
  <c r="BF209" i="4"/>
  <c r="BF50" i="4"/>
  <c r="BG58" i="61"/>
  <c r="BG59" i="61" s="1"/>
  <c r="BG61" i="61" s="1"/>
  <c r="BG66" i="61" s="1"/>
  <c r="BG69" i="61" s="1"/>
  <c r="BG72" i="61" s="1"/>
  <c r="BG74" i="61" s="1"/>
  <c r="BG47" i="39"/>
  <c r="BF61" i="42"/>
  <c r="BG61" i="42" s="1"/>
  <c r="AW20" i="72"/>
  <c r="AW24" i="72" s="1"/>
  <c r="BF44" i="42"/>
  <c r="BF39" i="42"/>
  <c r="BF45" i="42" s="1"/>
  <c r="BF78" i="4" s="1"/>
  <c r="BF79" i="4" s="1"/>
  <c r="BF122" i="4"/>
  <c r="BF125" i="4" s="1"/>
  <c r="BF253" i="4"/>
  <c r="BG625" i="41"/>
  <c r="BF609" i="41"/>
  <c r="BG609" i="41"/>
  <c r="BG41" i="41"/>
  <c r="BG36" i="41"/>
  <c r="BG45" i="42"/>
  <c r="CG8" i="61" l="1"/>
  <c r="BG249" i="4"/>
  <c r="DX16" i="3"/>
  <c r="BG209" i="4"/>
  <c r="DY16" i="3" s="1"/>
  <c r="BG54" i="3" s="1"/>
  <c r="BG44" i="4"/>
  <c r="BG50" i="4"/>
  <c r="BG188" i="4"/>
  <c r="BG191" i="4" s="1"/>
  <c r="BF191" i="4"/>
  <c r="DX38" i="3"/>
  <c r="BF149" i="4"/>
  <c r="BF52" i="4"/>
  <c r="BF65" i="4"/>
  <c r="DY41" i="3"/>
  <c r="DY39" i="3" s="1"/>
  <c r="DY51" i="3" s="1"/>
  <c r="DY53" i="3" s="1"/>
  <c r="DY56" i="3" s="1"/>
  <c r="BG149" i="4"/>
  <c r="CB8" i="61"/>
  <c r="CB13" i="61" s="1"/>
  <c r="CB17" i="61" s="1"/>
  <c r="CB21" i="61" s="1"/>
  <c r="CB23" i="61" s="1"/>
  <c r="BG78" i="4"/>
  <c r="BG10" i="61" s="1"/>
  <c r="BG46" i="39"/>
  <c r="BF63" i="42"/>
  <c r="BG63" i="42" s="1"/>
  <c r="BG64" i="42" s="1"/>
  <c r="DX39" i="3"/>
  <c r="BG637" i="41"/>
  <c r="BG633" i="41"/>
  <c r="BG42" i="41"/>
  <c r="BF610" i="41"/>
  <c r="BF615" i="41" s="1"/>
  <c r="BG615" i="41" s="1"/>
  <c r="BF254" i="4"/>
  <c r="BF151" i="4" l="1"/>
  <c r="BF152" i="4" s="1"/>
  <c r="BF157" i="4" s="1"/>
  <c r="BG222" i="4"/>
  <c r="BG217" i="4"/>
  <c r="BG234" i="4" s="1"/>
  <c r="DY27" i="3" s="1"/>
  <c r="BG51" i="4"/>
  <c r="CG13" i="61"/>
  <c r="CL8" i="61"/>
  <c r="CL13" i="61" s="1"/>
  <c r="CL17" i="61" s="1"/>
  <c r="CL21" i="61" s="1"/>
  <c r="CL23" i="61" s="1"/>
  <c r="BG13" i="3"/>
  <c r="BG39" i="3" s="1"/>
  <c r="BG43" i="41"/>
  <c r="CB198" i="41"/>
  <c r="BG76" i="4"/>
  <c r="BG8" i="61" s="1"/>
  <c r="BG11" i="61" s="1"/>
  <c r="BG18" i="61" s="1"/>
  <c r="BG20" i="61" s="1"/>
  <c r="BG22" i="61" s="1"/>
  <c r="BG254" i="4"/>
  <c r="BF611" i="41"/>
  <c r="BG611" i="41" s="1"/>
  <c r="BG610" i="41"/>
  <c r="BF617" i="41"/>
  <c r="BG646" i="41"/>
  <c r="BG218" i="4" l="1"/>
  <c r="BF199" i="4"/>
  <c r="DX9" i="3" s="1"/>
  <c r="BG157" i="4"/>
  <c r="BF161" i="4"/>
  <c r="BF172" i="4" s="1"/>
  <c r="BG52" i="4"/>
  <c r="BG65" i="4"/>
  <c r="DX62" i="3"/>
  <c r="BF73" i="42"/>
  <c r="BG151" i="4"/>
  <c r="BF174" i="4"/>
  <c r="CG17" i="61"/>
  <c r="CG21" i="61" s="1"/>
  <c r="CG23" i="61" s="1"/>
  <c r="BW80" i="61"/>
  <c r="CB80" i="61" s="1"/>
  <c r="CG80" i="61" s="1"/>
  <c r="CL80" i="61" s="1"/>
  <c r="CQ80" i="61" s="1"/>
  <c r="CV80" i="61" s="1"/>
  <c r="DA80" i="61" s="1"/>
  <c r="DF80" i="61" s="1"/>
  <c r="AC46" i="72"/>
  <c r="AC48" i="72" s="1"/>
  <c r="AC53" i="72" s="1"/>
  <c r="BF619" i="41"/>
  <c r="BG617" i="41"/>
  <c r="BG79" i="4"/>
  <c r="BG11" i="3"/>
  <c r="BF72" i="42" l="1"/>
  <c r="BG72" i="42" s="1"/>
  <c r="BG73" i="42" s="1"/>
  <c r="BF75" i="42"/>
  <c r="BF256" i="4"/>
  <c r="BF257" i="4" s="1"/>
  <c r="BF178" i="4"/>
  <c r="BF183" i="4" s="1"/>
  <c r="BF193" i="4" s="1"/>
  <c r="BF195" i="4" s="1"/>
  <c r="BF201" i="4"/>
  <c r="BG174" i="4"/>
  <c r="BG199" i="4"/>
  <c r="DY9" i="3" s="1"/>
  <c r="BG161" i="4"/>
  <c r="BG172" i="4" s="1"/>
  <c r="DY62" i="3"/>
  <c r="DY64" i="3" s="1"/>
  <c r="BG152" i="4"/>
  <c r="BH150" i="4" s="1"/>
  <c r="BL150" i="4" s="1"/>
  <c r="BH584" i="41"/>
  <c r="BG619" i="41"/>
  <c r="CV74" i="61" s="1"/>
  <c r="CV75" i="61" s="1"/>
  <c r="CV78" i="61" s="1"/>
  <c r="BG14" i="3"/>
  <c r="BG19" i="3" s="1"/>
  <c r="BF628" i="41"/>
  <c r="BF620" i="41" s="1"/>
  <c r="BF109" i="4"/>
  <c r="AC55" i="72"/>
  <c r="BH95" i="4" l="1"/>
  <c r="BH98" i="4" s="1"/>
  <c r="BH30" i="4" s="1"/>
  <c r="BH32" i="4" s="1"/>
  <c r="BH34" i="4" s="1"/>
  <c r="BG178" i="4"/>
  <c r="BG183" i="4" s="1"/>
  <c r="BG193" i="4" s="1"/>
  <c r="BG195" i="4" s="1"/>
  <c r="BG201" i="4"/>
  <c r="BF203" i="4"/>
  <c r="BF111" i="4" s="1"/>
  <c r="BF115" i="4" s="1"/>
  <c r="DX11" i="3"/>
  <c r="DX13" i="3" s="1"/>
  <c r="DX18" i="3" s="1"/>
  <c r="BG57" i="3"/>
  <c r="BG256" i="4"/>
  <c r="BG257" i="4" s="1"/>
  <c r="BG75" i="42"/>
  <c r="BF629" i="41"/>
  <c r="BG642" i="41"/>
  <c r="BG628" i="41"/>
  <c r="BG629" i="41" s="1"/>
  <c r="BG109" i="4"/>
  <c r="BG643" i="41"/>
  <c r="BF623" i="41"/>
  <c r="BF626" i="41"/>
  <c r="BG51" i="3"/>
  <c r="BG18" i="3"/>
  <c r="CB199" i="41"/>
  <c r="BG56" i="3"/>
  <c r="BG58" i="3"/>
  <c r="C5" i="27"/>
  <c r="BH24" i="41"/>
  <c r="BF212" i="4" l="1"/>
  <c r="BF204" i="4" s="1"/>
  <c r="BG203" i="4"/>
  <c r="BG111" i="4" s="1"/>
  <c r="BG115" i="4" s="1"/>
  <c r="DY11" i="3"/>
  <c r="DY13" i="3" s="1"/>
  <c r="BF112" i="4"/>
  <c r="BG623" i="41"/>
  <c r="BG640" i="41"/>
  <c r="BG626" i="41"/>
  <c r="BG620" i="41"/>
  <c r="BH26" i="41"/>
  <c r="BH28" i="41" s="1"/>
  <c r="BH25" i="42"/>
  <c r="BG641" i="41"/>
  <c r="BF213" i="4" l="1"/>
  <c r="BG212" i="4"/>
  <c r="BG204" i="4" s="1"/>
  <c r="BG229" i="4"/>
  <c r="DY23" i="3" s="1"/>
  <c r="BG230" i="4"/>
  <c r="DY24" i="3" s="1"/>
  <c r="BG63" i="3"/>
  <c r="BG64" i="3" s="1"/>
  <c r="BG52" i="3" s="1"/>
  <c r="DY18" i="3"/>
  <c r="BF207" i="4"/>
  <c r="BF210" i="4"/>
  <c r="BG112" i="4"/>
  <c r="BH27" i="42"/>
  <c r="BH29" i="42" s="1"/>
  <c r="BH31" i="42" s="1"/>
  <c r="BH30" i="41"/>
  <c r="BH31" i="41" s="1"/>
  <c r="BH34" i="41" s="1"/>
  <c r="BH36" i="4" l="1"/>
  <c r="BH38" i="4" s="1"/>
  <c r="BG228" i="4"/>
  <c r="DY22" i="3" s="1"/>
  <c r="BG227" i="4"/>
  <c r="DY21" i="3" s="1"/>
  <c r="BG210" i="4"/>
  <c r="BG207" i="4"/>
  <c r="BG213" i="4"/>
  <c r="BH41" i="41"/>
  <c r="BH593" i="41"/>
  <c r="BH36" i="41"/>
  <c r="BH42" i="41" s="1"/>
  <c r="BH76" i="4" s="1"/>
  <c r="BH33" i="42"/>
  <c r="BH575" i="41"/>
  <c r="BH104" i="4" l="1"/>
  <c r="BH249" i="4"/>
  <c r="BH42" i="4"/>
  <c r="BH129" i="4"/>
  <c r="BH134" i="4" s="1"/>
  <c r="BH37" i="42"/>
  <c r="BH61" i="42"/>
  <c r="BH597" i="41"/>
  <c r="BH625" i="41"/>
  <c r="BH188" i="4" l="1"/>
  <c r="BH191" i="4" s="1"/>
  <c r="BH209" i="4"/>
  <c r="DZ16" i="3" s="1"/>
  <c r="BH50" i="4"/>
  <c r="BH44" i="4"/>
  <c r="BH51" i="4" s="1"/>
  <c r="BH149" i="4"/>
  <c r="DZ38" i="3"/>
  <c r="BH609" i="41"/>
  <c r="BH64" i="42"/>
  <c r="BH122" i="4"/>
  <c r="BH125" i="4" s="1"/>
  <c r="BH39" i="42"/>
  <c r="BH45" i="42" s="1"/>
  <c r="BH78" i="4" s="1"/>
  <c r="BH79" i="4" s="1"/>
  <c r="BH44" i="42"/>
  <c r="BH253" i="4"/>
  <c r="BH65" i="4" l="1"/>
  <c r="BH52" i="4"/>
  <c r="BH151" i="4"/>
  <c r="BH63" i="42"/>
  <c r="DZ39" i="3"/>
  <c r="BH610" i="41"/>
  <c r="BH615" i="41" s="1"/>
  <c r="BH254" i="4"/>
  <c r="DZ62" i="3" l="1"/>
  <c r="BH73" i="42"/>
  <c r="BH174" i="4"/>
  <c r="BH152" i="4"/>
  <c r="BH611" i="41"/>
  <c r="BH617" i="41"/>
  <c r="BH256" i="4" l="1"/>
  <c r="BH257" i="4" s="1"/>
  <c r="BH75" i="42"/>
  <c r="BH72" i="42"/>
  <c r="BH157" i="4"/>
  <c r="BI150" i="4"/>
  <c r="BH178" i="4"/>
  <c r="BH183" i="4" s="1"/>
  <c r="BH193" i="4" s="1"/>
  <c r="BH201" i="4"/>
  <c r="BI584" i="41"/>
  <c r="BH619" i="41"/>
  <c r="BH203" i="4" l="1"/>
  <c r="BH212" i="4" s="1"/>
  <c r="BH207" i="4" s="1"/>
  <c r="DZ11" i="3"/>
  <c r="DZ13" i="3" s="1"/>
  <c r="DZ18" i="3" s="1"/>
  <c r="BH161" i="4"/>
  <c r="BH172" i="4" s="1"/>
  <c r="BH195" i="4" s="1"/>
  <c r="BH199" i="4"/>
  <c r="DZ9" i="3" s="1"/>
  <c r="BI95" i="4"/>
  <c r="BI98" i="4" s="1"/>
  <c r="BI30" i="4" s="1"/>
  <c r="BI32" i="4" s="1"/>
  <c r="BI34" i="4" s="1"/>
  <c r="BH628" i="41"/>
  <c r="BH109" i="4"/>
  <c r="BI24" i="41"/>
  <c r="BH204" i="4" l="1"/>
  <c r="BH210" i="4"/>
  <c r="BH213" i="4"/>
  <c r="BH111" i="4"/>
  <c r="BH112" i="4" s="1"/>
  <c r="BH623" i="41"/>
  <c r="BH626" i="41"/>
  <c r="BI26" i="41"/>
  <c r="BI28" i="41" s="1"/>
  <c r="BI25" i="42"/>
  <c r="BH629" i="41"/>
  <c r="BH620" i="41"/>
  <c r="BH115" i="4" l="1"/>
  <c r="BI30" i="41"/>
  <c r="BI31" i="41" s="1"/>
  <c r="BI34" i="41" s="1"/>
  <c r="BI27" i="42"/>
  <c r="BI29" i="42" s="1"/>
  <c r="BI31" i="42" s="1"/>
  <c r="BI36" i="4" s="1"/>
  <c r="BI38" i="4" l="1"/>
  <c r="BI104" i="4"/>
  <c r="BI41" i="41"/>
  <c r="BI593" i="41"/>
  <c r="BI36" i="41"/>
  <c r="BI42" i="41" s="1"/>
  <c r="BI76" i="4" s="1"/>
  <c r="BI575" i="41"/>
  <c r="BI129" i="4" l="1"/>
  <c r="BI134" i="4" s="1"/>
  <c r="BI249" i="4"/>
  <c r="BI42" i="4"/>
  <c r="BI597" i="41"/>
  <c r="BI625" i="41"/>
  <c r="BI33" i="42"/>
  <c r="BI44" i="4" l="1"/>
  <c r="BI51" i="4" s="1"/>
  <c r="BI188" i="4"/>
  <c r="BI191" i="4" s="1"/>
  <c r="BI50" i="4"/>
  <c r="BI209" i="4"/>
  <c r="EA16" i="3" s="1"/>
  <c r="BI149" i="4"/>
  <c r="EA38" i="3"/>
  <c r="BI61" i="42"/>
  <c r="BI37" i="42"/>
  <c r="BI609" i="41"/>
  <c r="BI64" i="42"/>
  <c r="BI151" i="4" l="1"/>
  <c r="BI65" i="4"/>
  <c r="BI52" i="4"/>
  <c r="BI63" i="42"/>
  <c r="BI44" i="42"/>
  <c r="BI122" i="4"/>
  <c r="BI125" i="4" s="1"/>
  <c r="BI39" i="42"/>
  <c r="BI45" i="42" s="1"/>
  <c r="BI78" i="4" s="1"/>
  <c r="BI79" i="4" s="1"/>
  <c r="BI253" i="4"/>
  <c r="BI610" i="41"/>
  <c r="BI615" i="41" s="1"/>
  <c r="BI254" i="4"/>
  <c r="EA39" i="3"/>
  <c r="BI73" i="42" l="1"/>
  <c r="EA62" i="3"/>
  <c r="BI174" i="4"/>
  <c r="BI152" i="4"/>
  <c r="BI611" i="41"/>
  <c r="BI617" i="41"/>
  <c r="BI157" i="4" l="1"/>
  <c r="BJ95" i="4" s="1"/>
  <c r="BJ98" i="4" s="1"/>
  <c r="BJ30" i="4" s="1"/>
  <c r="BJ32" i="4" s="1"/>
  <c r="BJ34" i="4" s="1"/>
  <c r="BJ150" i="4"/>
  <c r="BI201" i="4"/>
  <c r="BI178" i="4"/>
  <c r="BI183" i="4" s="1"/>
  <c r="BI193" i="4" s="1"/>
  <c r="BI72" i="42"/>
  <c r="BI75" i="42"/>
  <c r="BI256" i="4"/>
  <c r="BI257" i="4" s="1"/>
  <c r="BJ584" i="41"/>
  <c r="BI619" i="41"/>
  <c r="BI203" i="4" l="1"/>
  <c r="BI212" i="4" s="1"/>
  <c r="BI207" i="4" s="1"/>
  <c r="EA11" i="3"/>
  <c r="EA13" i="3" s="1"/>
  <c r="EA18" i="3" s="1"/>
  <c r="BI161" i="4"/>
  <c r="BI172" i="4" s="1"/>
  <c r="BI195" i="4" s="1"/>
  <c r="BI199" i="4"/>
  <c r="EA9" i="3" s="1"/>
  <c r="BI628" i="41"/>
  <c r="BI109" i="4"/>
  <c r="BJ24" i="41"/>
  <c r="BI213" i="4" l="1"/>
  <c r="BI204" i="4"/>
  <c r="BI210" i="4"/>
  <c r="BI111" i="4"/>
  <c r="BI115" i="4" s="1"/>
  <c r="BI623" i="41"/>
  <c r="BI626" i="41"/>
  <c r="BJ26" i="41"/>
  <c r="BJ28" i="41" s="1"/>
  <c r="BJ25" i="42"/>
  <c r="BI620" i="41"/>
  <c r="BI629" i="41"/>
  <c r="BJ30" i="41" l="1"/>
  <c r="BJ31" i="41" s="1"/>
  <c r="BJ34" i="41" s="1"/>
  <c r="BJ27" i="42"/>
  <c r="BJ29" i="42" s="1"/>
  <c r="BJ31" i="42" s="1"/>
  <c r="BI112" i="4"/>
  <c r="BJ36" i="4" l="1"/>
  <c r="BJ38" i="4" s="1"/>
  <c r="BJ41" i="41"/>
  <c r="BJ36" i="41"/>
  <c r="BJ42" i="41" s="1"/>
  <c r="BJ76" i="4" s="1"/>
  <c r="BJ593" i="41"/>
  <c r="BJ575" i="41"/>
  <c r="BJ104" i="4" l="1"/>
  <c r="BJ249" i="4"/>
  <c r="BJ42" i="4"/>
  <c r="BJ129" i="4"/>
  <c r="BJ134" i="4" s="1"/>
  <c r="BJ597" i="41"/>
  <c r="BJ625" i="41"/>
  <c r="BJ33" i="42"/>
  <c r="EB38" i="3" l="1"/>
  <c r="BJ149" i="4"/>
  <c r="BJ50" i="4"/>
  <c r="BJ44" i="4"/>
  <c r="BJ51" i="4" s="1"/>
  <c r="BJ188" i="4"/>
  <c r="BJ191" i="4" s="1"/>
  <c r="BJ209" i="4"/>
  <c r="EB16" i="3" s="1"/>
  <c r="BJ61" i="42"/>
  <c r="BJ37" i="42"/>
  <c r="BJ609" i="41"/>
  <c r="BJ64" i="42"/>
  <c r="BJ65" i="4" l="1"/>
  <c r="BJ52" i="4"/>
  <c r="BJ151" i="4"/>
  <c r="BJ63" i="42"/>
  <c r="BJ610" i="41"/>
  <c r="BJ615" i="41" s="1"/>
  <c r="BJ122" i="4"/>
  <c r="BJ125" i="4" s="1"/>
  <c r="BJ39" i="42"/>
  <c r="BJ45" i="42" s="1"/>
  <c r="BJ78" i="4" s="1"/>
  <c r="BJ79" i="4" s="1"/>
  <c r="BJ44" i="42"/>
  <c r="BJ253" i="4"/>
  <c r="EB39" i="3"/>
  <c r="BJ254" i="4"/>
  <c r="EB62" i="3" l="1"/>
  <c r="BJ73" i="42"/>
  <c r="BJ174" i="4"/>
  <c r="BJ152" i="4"/>
  <c r="BJ611" i="41"/>
  <c r="BJ617" i="41"/>
  <c r="BJ157" i="4" l="1"/>
  <c r="BK95" i="4" s="1"/>
  <c r="BK150" i="4"/>
  <c r="BJ256" i="4"/>
  <c r="BJ257" i="4" s="1"/>
  <c r="BJ75" i="42"/>
  <c r="BJ72" i="42"/>
  <c r="BJ178" i="4"/>
  <c r="BJ183" i="4" s="1"/>
  <c r="BJ193" i="4" s="1"/>
  <c r="BJ201" i="4"/>
  <c r="BK584" i="41"/>
  <c r="BJ619" i="41"/>
  <c r="EB11" i="3" l="1"/>
  <c r="EB13" i="3" s="1"/>
  <c r="EB18" i="3" s="1"/>
  <c r="BJ203" i="4"/>
  <c r="BK98" i="4"/>
  <c r="BK30" i="4" s="1"/>
  <c r="BL95" i="4"/>
  <c r="BL98" i="4" s="1"/>
  <c r="BJ199" i="4"/>
  <c r="EB9" i="3" s="1"/>
  <c r="BJ161" i="4"/>
  <c r="BJ172" i="4" s="1"/>
  <c r="BJ195" i="4" s="1"/>
  <c r="BJ628" i="41"/>
  <c r="BJ620" i="41" s="1"/>
  <c r="BJ109" i="4"/>
  <c r="BK24" i="41"/>
  <c r="BL584" i="41"/>
  <c r="BK32" i="4" l="1"/>
  <c r="BK34" i="4" s="1"/>
  <c r="BL30" i="4"/>
  <c r="BJ212" i="4"/>
  <c r="BJ204" i="4" s="1"/>
  <c r="BK25" i="42"/>
  <c r="BK26" i="41"/>
  <c r="BK28" i="41" s="1"/>
  <c r="BL24" i="41"/>
  <c r="DA43" i="61" s="1"/>
  <c r="BJ111" i="4"/>
  <c r="BJ115" i="4" s="1"/>
  <c r="BJ623" i="41"/>
  <c r="BJ626" i="41"/>
  <c r="BJ629" i="41"/>
  <c r="BJ207" i="4" l="1"/>
  <c r="BJ210" i="4"/>
  <c r="BL32" i="4"/>
  <c r="BL34" i="4" s="1"/>
  <c r="BL221" i="4"/>
  <c r="BL235" i="4" s="1"/>
  <c r="ED28" i="3" s="1"/>
  <c r="BJ213" i="4"/>
  <c r="DA44" i="61"/>
  <c r="DA45" i="61" s="1"/>
  <c r="DA52" i="61" s="1"/>
  <c r="DA53" i="61" s="1"/>
  <c r="DA57" i="61" s="1"/>
  <c r="BJ112" i="4"/>
  <c r="BL636" i="41"/>
  <c r="BL647" i="41" s="1"/>
  <c r="DB43" i="72"/>
  <c r="BL26" i="41"/>
  <c r="BL28" i="41" s="1"/>
  <c r="BK30" i="41"/>
  <c r="BK31" i="41" s="1"/>
  <c r="BK34" i="41" s="1"/>
  <c r="BK27" i="42"/>
  <c r="BK29" i="42" s="1"/>
  <c r="BK31" i="42" s="1"/>
  <c r="BL25" i="42"/>
  <c r="BL27" i="42" s="1"/>
  <c r="BL29" i="42" s="1"/>
  <c r="BK36" i="4" l="1"/>
  <c r="BK104" i="4" s="1"/>
  <c r="DT7" i="61"/>
  <c r="DT15" i="61" s="1"/>
  <c r="BK41" i="41"/>
  <c r="BK36" i="41"/>
  <c r="BK42" i="41" s="1"/>
  <c r="BK76" i="4" s="1"/>
  <c r="BK593" i="41"/>
  <c r="DB44" i="72"/>
  <c r="DB45" i="72" s="1"/>
  <c r="DB52" i="72" s="1"/>
  <c r="BB10" i="72"/>
  <c r="BL31" i="42"/>
  <c r="BL33" i="42" s="1"/>
  <c r="BL37" i="42" s="1"/>
  <c r="BK575" i="41"/>
  <c r="BL30" i="41"/>
  <c r="BL575" i="41" s="1"/>
  <c r="BK38" i="4" l="1"/>
  <c r="BK249" i="4" s="1"/>
  <c r="BL36" i="4"/>
  <c r="BL104" i="4" s="1"/>
  <c r="DT12" i="61"/>
  <c r="DT14" i="61"/>
  <c r="BL44" i="42"/>
  <c r="BL122" i="4"/>
  <c r="BL125" i="4" s="1"/>
  <c r="BL39" i="42"/>
  <c r="DB60" i="72"/>
  <c r="DB53" i="72"/>
  <c r="BK597" i="41"/>
  <c r="BL593" i="41"/>
  <c r="BL597" i="41" s="1"/>
  <c r="BK625" i="41"/>
  <c r="BL31" i="41"/>
  <c r="BL34" i="41" s="1"/>
  <c r="BB11" i="72"/>
  <c r="BB12" i="72" s="1"/>
  <c r="BB19" i="72" s="1"/>
  <c r="BK33" i="42"/>
  <c r="BK129" i="4" l="1"/>
  <c r="BK134" i="4" s="1"/>
  <c r="BK64" i="42" s="1"/>
  <c r="BK254" i="4" s="1"/>
  <c r="BK42" i="4"/>
  <c r="BK50" i="4" s="1"/>
  <c r="BL38" i="4"/>
  <c r="BL249" i="4" s="1"/>
  <c r="BK188" i="4"/>
  <c r="BK209" i="4"/>
  <c r="BL58" i="61"/>
  <c r="BL59" i="61" s="1"/>
  <c r="BL61" i="61" s="1"/>
  <c r="BL66" i="61" s="1"/>
  <c r="BL69" i="61" s="1"/>
  <c r="BL72" i="61" s="1"/>
  <c r="BL74" i="61" s="1"/>
  <c r="BL47" i="39"/>
  <c r="BL48" i="39" s="1"/>
  <c r="BB20" i="72"/>
  <c r="BK37" i="42"/>
  <c r="BK61" i="42"/>
  <c r="BL61" i="42" s="1"/>
  <c r="BL625" i="41"/>
  <c r="BL41" i="41"/>
  <c r="BL36" i="41"/>
  <c r="BL609" i="41"/>
  <c r="BL45" i="42"/>
  <c r="BK609" i="41"/>
  <c r="BK44" i="4" l="1"/>
  <c r="BK51" i="4" s="1"/>
  <c r="BK65" i="4" s="1"/>
  <c r="BL129" i="4"/>
  <c r="BL134" i="4" s="1"/>
  <c r="BL223" i="4" s="1"/>
  <c r="BL224" i="4" s="1"/>
  <c r="BL42" i="4"/>
  <c r="BL253" i="4" s="1"/>
  <c r="BL209" i="4"/>
  <c r="ED16" i="3" s="1"/>
  <c r="BL54" i="3" s="1"/>
  <c r="EC16" i="3"/>
  <c r="BK149" i="4"/>
  <c r="EC38" i="3"/>
  <c r="BK191" i="4"/>
  <c r="BL188" i="4"/>
  <c r="BL191" i="4" s="1"/>
  <c r="BL78" i="4"/>
  <c r="BL10" i="61" s="1"/>
  <c r="BL46" i="39"/>
  <c r="EC39" i="3"/>
  <c r="BK63" i="42"/>
  <c r="BL63" i="42" s="1"/>
  <c r="BL64" i="42" s="1"/>
  <c r="BK610" i="41"/>
  <c r="BK615" i="41" s="1"/>
  <c r="BL615" i="41" s="1"/>
  <c r="BL633" i="41"/>
  <c r="BL637" i="41"/>
  <c r="BL42" i="41"/>
  <c r="BK44" i="42"/>
  <c r="BK122" i="4"/>
  <c r="BK125" i="4" s="1"/>
  <c r="BK39" i="42"/>
  <c r="BK45" i="42" s="1"/>
  <c r="BK78" i="4" s="1"/>
  <c r="BK79" i="4" s="1"/>
  <c r="BK253" i="4"/>
  <c r="BL50" i="4" l="1"/>
  <c r="BK52" i="4"/>
  <c r="ED41" i="3"/>
  <c r="ED39" i="3" s="1"/>
  <c r="ED51" i="3" s="1"/>
  <c r="ED53" i="3" s="1"/>
  <c r="ED56" i="3" s="1"/>
  <c r="BL149" i="4"/>
  <c r="BL44" i="4"/>
  <c r="BL217" i="4" s="1"/>
  <c r="BL234" i="4" s="1"/>
  <c r="ED27" i="3" s="1"/>
  <c r="BK151" i="4"/>
  <c r="BK152" i="4" s="1"/>
  <c r="BK157" i="4" s="1"/>
  <c r="BL13" i="3"/>
  <c r="BL39" i="3" s="1"/>
  <c r="BL646" i="41"/>
  <c r="CC198" i="41"/>
  <c r="BL43" i="41"/>
  <c r="BL76" i="4"/>
  <c r="BL8" i="61" s="1"/>
  <c r="BL11" i="61" s="1"/>
  <c r="BL18" i="61" s="1"/>
  <c r="BL20" i="61" s="1"/>
  <c r="BL22" i="61" s="1"/>
  <c r="BL254" i="4"/>
  <c r="BK611" i="41"/>
  <c r="BL611" i="41" s="1"/>
  <c r="BL610" i="41"/>
  <c r="BK617" i="41"/>
  <c r="BL222" i="4" l="1"/>
  <c r="BL51" i="4"/>
  <c r="BL218" i="4"/>
  <c r="BK161" i="4"/>
  <c r="BK172" i="4" s="1"/>
  <c r="BL157" i="4"/>
  <c r="BK199" i="4"/>
  <c r="EC9" i="3" s="1"/>
  <c r="BL52" i="4"/>
  <c r="BL65" i="4"/>
  <c r="BK174" i="4"/>
  <c r="EC62" i="3"/>
  <c r="BK73" i="42"/>
  <c r="BL151" i="4"/>
  <c r="BL79" i="4"/>
  <c r="BL11" i="3"/>
  <c r="BK619" i="41"/>
  <c r="BL617" i="41"/>
  <c r="BK178" i="4" l="1"/>
  <c r="BK183" i="4" s="1"/>
  <c r="BK193" i="4" s="1"/>
  <c r="BK195" i="4" s="1"/>
  <c r="BL174" i="4"/>
  <c r="BK201" i="4"/>
  <c r="ED62" i="3"/>
  <c r="ED64" i="3" s="1"/>
  <c r="BL152" i="4"/>
  <c r="BM150" i="4" s="1"/>
  <c r="BQ150" i="4" s="1"/>
  <c r="BL199" i="4"/>
  <c r="ED9" i="3" s="1"/>
  <c r="BL161" i="4"/>
  <c r="BL172" i="4" s="1"/>
  <c r="BK256" i="4"/>
  <c r="BK257" i="4" s="1"/>
  <c r="BK72" i="42"/>
  <c r="BL72" i="42" s="1"/>
  <c r="BL73" i="42" s="1"/>
  <c r="BK75" i="42"/>
  <c r="BM584" i="41"/>
  <c r="BL619" i="41"/>
  <c r="DA74" i="61" s="1"/>
  <c r="DA75" i="61" s="1"/>
  <c r="DA78" i="61" s="1"/>
  <c r="BK628" i="41"/>
  <c r="BK629" i="41" s="1"/>
  <c r="BK109" i="4"/>
  <c r="BL14" i="3"/>
  <c r="BL57" i="3" l="1"/>
  <c r="BL201" i="4"/>
  <c r="EC11" i="3"/>
  <c r="EC13" i="3" s="1"/>
  <c r="EC18" i="3" s="1"/>
  <c r="BK203" i="4"/>
  <c r="BK111" i="4" s="1"/>
  <c r="BK112" i="4" s="1"/>
  <c r="BL178" i="4"/>
  <c r="BL183" i="4" s="1"/>
  <c r="BL193" i="4" s="1"/>
  <c r="BL195" i="4" s="1"/>
  <c r="BM95" i="4"/>
  <c r="BM98" i="4" s="1"/>
  <c r="BM30" i="4" s="1"/>
  <c r="BM32" i="4" s="1"/>
  <c r="BM34" i="4" s="1"/>
  <c r="BL256" i="4"/>
  <c r="BL257" i="4" s="1"/>
  <c r="BL75" i="42"/>
  <c r="BL18" i="3"/>
  <c r="BL51" i="3"/>
  <c r="BL56" i="3"/>
  <c r="BL58" i="3"/>
  <c r="CC199" i="41"/>
  <c r="BM24" i="41"/>
  <c r="BL19" i="3"/>
  <c r="BK623" i="41"/>
  <c r="BK626" i="41"/>
  <c r="BK620" i="41"/>
  <c r="BL642" i="41"/>
  <c r="BL628" i="41"/>
  <c r="BL629" i="41" s="1"/>
  <c r="BL109" i="4"/>
  <c r="BL643" i="41"/>
  <c r="ED11" i="3" l="1"/>
  <c r="ED13" i="3" s="1"/>
  <c r="BL203" i="4"/>
  <c r="BL111" i="4" s="1"/>
  <c r="BL115" i="4" s="1"/>
  <c r="BK212" i="4"/>
  <c r="BL620" i="41"/>
  <c r="BL623" i="41"/>
  <c r="BL640" i="41"/>
  <c r="BL626" i="41"/>
  <c r="BL641" i="41"/>
  <c r="BM25" i="42"/>
  <c r="BM26" i="41"/>
  <c r="BM28" i="41" s="1"/>
  <c r="BK115" i="4"/>
  <c r="BK210" i="4" l="1"/>
  <c r="BK207" i="4"/>
  <c r="BK213" i="4"/>
  <c r="ED18" i="3"/>
  <c r="BL63" i="3"/>
  <c r="BL64" i="3" s="1"/>
  <c r="BL52" i="3" s="1"/>
  <c r="BL229" i="4"/>
  <c r="ED23" i="3" s="1"/>
  <c r="BL212" i="4"/>
  <c r="BL228" i="4" s="1"/>
  <c r="ED22" i="3" s="1"/>
  <c r="BL230" i="4"/>
  <c r="ED24" i="3" s="1"/>
  <c r="BK204" i="4"/>
  <c r="BL112" i="4"/>
  <c r="BM27" i="42"/>
  <c r="BM29" i="42" s="1"/>
  <c r="BM31" i="42" s="1"/>
  <c r="BM30" i="41"/>
  <c r="BM31" i="41" s="1"/>
  <c r="BM34" i="41" s="1"/>
  <c r="BM36" i="4" l="1"/>
  <c r="BM38" i="4" s="1"/>
  <c r="BM104" i="4"/>
  <c r="BL227" i="4"/>
  <c r="ED21" i="3" s="1"/>
  <c r="BL207" i="4"/>
  <c r="BL210" i="4"/>
  <c r="BL213" i="4"/>
  <c r="BL204" i="4"/>
  <c r="BM41" i="41"/>
  <c r="BM36" i="41"/>
  <c r="BM42" i="41" s="1"/>
  <c r="BM76" i="4" s="1"/>
  <c r="BM593" i="41"/>
  <c r="BM33" i="42"/>
  <c r="BM575" i="41"/>
  <c r="BM129" i="4" l="1"/>
  <c r="BM134" i="4" s="1"/>
  <c r="BM249" i="4"/>
  <c r="BM42" i="4"/>
  <c r="BM37" i="42"/>
  <c r="BM61" i="42"/>
  <c r="BM597" i="41"/>
  <c r="BM625" i="41"/>
  <c r="BM188" i="4" l="1"/>
  <c r="BM191" i="4" s="1"/>
  <c r="BM209" i="4"/>
  <c r="EE16" i="3" s="1"/>
  <c r="BM44" i="4"/>
  <c r="BM51" i="4" s="1"/>
  <c r="BM50" i="4"/>
  <c r="EE38" i="3"/>
  <c r="BM149" i="4"/>
  <c r="BM609" i="41"/>
  <c r="BM64" i="42"/>
  <c r="EE39" i="3" s="1"/>
  <c r="BM44" i="42"/>
  <c r="BM122" i="4"/>
  <c r="BM125" i="4" s="1"/>
  <c r="BM39" i="42"/>
  <c r="BM45" i="42" s="1"/>
  <c r="BM78" i="4" s="1"/>
  <c r="BM79" i="4" s="1"/>
  <c r="BM253" i="4"/>
  <c r="BM151" i="4" l="1"/>
  <c r="BM152" i="4" s="1"/>
  <c r="BM52" i="4"/>
  <c r="BM65" i="4"/>
  <c r="BM254" i="4"/>
  <c r="BM63" i="42"/>
  <c r="BM610" i="41"/>
  <c r="BM157" i="4" l="1"/>
  <c r="BN150" i="4"/>
  <c r="EE62" i="3"/>
  <c r="BM174" i="4"/>
  <c r="BM73" i="42"/>
  <c r="BM611" i="41"/>
  <c r="BM617" i="41"/>
  <c r="BM615" i="41"/>
  <c r="BM72" i="42" l="1"/>
  <c r="BM256" i="4"/>
  <c r="BM257" i="4" s="1"/>
  <c r="BM75" i="42"/>
  <c r="BM178" i="4"/>
  <c r="BM183" i="4" s="1"/>
  <c r="BM193" i="4" s="1"/>
  <c r="BN95" i="4"/>
  <c r="BN98" i="4" s="1"/>
  <c r="BN30" i="4" s="1"/>
  <c r="BN32" i="4" s="1"/>
  <c r="BN34" i="4" s="1"/>
  <c r="BM201" i="4"/>
  <c r="BM161" i="4"/>
  <c r="BM172" i="4" s="1"/>
  <c r="BM199" i="4"/>
  <c r="EE9" i="3" s="1"/>
  <c r="BN584" i="41"/>
  <c r="BM619" i="41"/>
  <c r="BM195" i="4" l="1"/>
  <c r="BM203" i="4"/>
  <c r="EE11" i="3"/>
  <c r="EE13" i="3" s="1"/>
  <c r="EE18" i="3" s="1"/>
  <c r="BM628" i="41"/>
  <c r="BM620" i="41" s="1"/>
  <c r="BM109" i="4"/>
  <c r="BN24" i="41"/>
  <c r="BM212" i="4" l="1"/>
  <c r="BM213" i="4" s="1"/>
  <c r="BN25" i="42"/>
  <c r="BN26" i="41"/>
  <c r="BN28" i="41" s="1"/>
  <c r="BM111" i="4"/>
  <c r="BM115" i="4" s="1"/>
  <c r="BM623" i="41"/>
  <c r="BM626" i="41"/>
  <c r="BM629" i="41"/>
  <c r="BM204" i="4" l="1"/>
  <c r="BM207" i="4"/>
  <c r="BM210" i="4"/>
  <c r="BM112" i="4"/>
  <c r="BN30" i="41"/>
  <c r="BN31" i="41" s="1"/>
  <c r="BN34" i="41" s="1"/>
  <c r="BN27" i="42"/>
  <c r="BN29" i="42" s="1"/>
  <c r="BN31" i="42" s="1"/>
  <c r="BN36" i="4" s="1"/>
  <c r="BN104" i="4" l="1"/>
  <c r="BN38" i="4"/>
  <c r="BN41" i="41"/>
  <c r="BN593" i="41"/>
  <c r="BN36" i="41"/>
  <c r="BN42" i="41" s="1"/>
  <c r="BN76" i="4" s="1"/>
  <c r="BN575" i="41"/>
  <c r="BN249" i="4" l="1"/>
  <c r="BN42" i="4"/>
  <c r="BN129" i="4"/>
  <c r="BN134" i="4" s="1"/>
  <c r="BN597" i="41"/>
  <c r="BN625" i="41"/>
  <c r="BN33" i="42"/>
  <c r="EF38" i="3" l="1"/>
  <c r="BN149" i="4"/>
  <c r="BN44" i="4"/>
  <c r="BN51" i="4" s="1"/>
  <c r="BN209" i="4"/>
  <c r="EF16" i="3" s="1"/>
  <c r="BN188" i="4"/>
  <c r="BN191" i="4" s="1"/>
  <c r="BN50" i="4"/>
  <c r="BN61" i="42"/>
  <c r="BN37" i="42"/>
  <c r="BN609" i="41"/>
  <c r="BN64" i="42"/>
  <c r="EF39" i="3" s="1"/>
  <c r="BN52" i="4" l="1"/>
  <c r="BN65" i="4"/>
  <c r="BN151" i="4"/>
  <c r="BN63" i="42"/>
  <c r="BN254" i="4"/>
  <c r="BN44" i="42"/>
  <c r="BN122" i="4"/>
  <c r="BN125" i="4" s="1"/>
  <c r="BN39" i="42"/>
  <c r="BN45" i="42" s="1"/>
  <c r="BN78" i="4" s="1"/>
  <c r="BN79" i="4" s="1"/>
  <c r="BN253" i="4"/>
  <c r="BN610" i="41"/>
  <c r="BN615" i="41" s="1"/>
  <c r="EF62" i="3" l="1"/>
  <c r="BN174" i="4"/>
  <c r="BN73" i="42"/>
  <c r="BN152" i="4"/>
  <c r="BN611" i="41"/>
  <c r="BN617" i="41"/>
  <c r="BO150" i="4" l="1"/>
  <c r="BN157" i="4"/>
  <c r="BN72" i="42"/>
  <c r="BN256" i="4"/>
  <c r="BN257" i="4" s="1"/>
  <c r="BN75" i="42"/>
  <c r="BN178" i="4"/>
  <c r="BN183" i="4" s="1"/>
  <c r="BN193" i="4" s="1"/>
  <c r="BN201" i="4"/>
  <c r="BO584" i="41"/>
  <c r="BN619" i="41"/>
  <c r="BN203" i="4" l="1"/>
  <c r="EF11" i="3"/>
  <c r="EF13" i="3" s="1"/>
  <c r="EF18" i="3" s="1"/>
  <c r="BO95" i="4"/>
  <c r="BO98" i="4" s="1"/>
  <c r="BO30" i="4" s="1"/>
  <c r="BO32" i="4" s="1"/>
  <c r="BO34" i="4" s="1"/>
  <c r="BN161" i="4"/>
  <c r="BN172" i="4" s="1"/>
  <c r="BN195" i="4" s="1"/>
  <c r="BN199" i="4"/>
  <c r="EF9" i="3" s="1"/>
  <c r="BO24" i="41"/>
  <c r="BN628" i="41"/>
  <c r="BN629" i="41" s="1"/>
  <c r="BN109" i="4"/>
  <c r="BN212" i="4" l="1"/>
  <c r="BN213" i="4" s="1"/>
  <c r="BN620" i="41"/>
  <c r="BN111" i="4"/>
  <c r="BN112" i="4" s="1"/>
  <c r="BN623" i="41"/>
  <c r="BN626" i="41"/>
  <c r="BO25" i="42"/>
  <c r="BO26" i="41"/>
  <c r="BO28" i="41" s="1"/>
  <c r="BN207" i="4" l="1"/>
  <c r="BN210" i="4"/>
  <c r="BN204" i="4"/>
  <c r="BN115" i="4"/>
  <c r="BO30" i="41"/>
  <c r="BO31" i="41" s="1"/>
  <c r="BO34" i="41" s="1"/>
  <c r="BO27" i="42"/>
  <c r="BO29" i="42" s="1"/>
  <c r="BO31" i="42" s="1"/>
  <c r="BO36" i="4" l="1"/>
  <c r="BO104" i="4" s="1"/>
  <c r="BO41" i="41"/>
  <c r="BO593" i="41"/>
  <c r="BO36" i="41"/>
  <c r="BO42" i="41" s="1"/>
  <c r="BO76" i="4" s="1"/>
  <c r="BO575" i="41"/>
  <c r="BO38" i="4" l="1"/>
  <c r="BO249" i="4" s="1"/>
  <c r="BO33" i="42"/>
  <c r="BO597" i="41"/>
  <c r="BO625" i="41"/>
  <c r="BO129" i="4" l="1"/>
  <c r="BO134" i="4" s="1"/>
  <c r="EG38" i="3" s="1"/>
  <c r="BO42" i="4"/>
  <c r="BO188" i="4" s="1"/>
  <c r="BO191" i="4" s="1"/>
  <c r="BO44" i="4"/>
  <c r="BO51" i="4" s="1"/>
  <c r="BO609" i="41"/>
  <c r="BO61" i="42"/>
  <c r="BO37" i="42"/>
  <c r="BO50" i="4" l="1"/>
  <c r="BO209" i="4"/>
  <c r="EG16" i="3" s="1"/>
  <c r="BO64" i="42"/>
  <c r="EG39" i="3" s="1"/>
  <c r="BO149" i="4"/>
  <c r="BO151" i="4" s="1"/>
  <c r="BO152" i="4" s="1"/>
  <c r="BO52" i="4"/>
  <c r="BO65" i="4"/>
  <c r="BO610" i="41"/>
  <c r="BO615" i="41" s="1"/>
  <c r="BO44" i="42"/>
  <c r="BO122" i="4"/>
  <c r="BO125" i="4" s="1"/>
  <c r="BO39" i="42"/>
  <c r="BO45" i="42" s="1"/>
  <c r="BO78" i="4" s="1"/>
  <c r="BO79" i="4" s="1"/>
  <c r="BO253" i="4"/>
  <c r="BO254" i="4" l="1"/>
  <c r="BO63" i="42"/>
  <c r="BP150" i="4"/>
  <c r="BO157" i="4"/>
  <c r="BO174" i="4"/>
  <c r="BO73" i="42"/>
  <c r="EG62" i="3"/>
  <c r="BO611" i="41"/>
  <c r="BO617" i="41"/>
  <c r="BO72" i="42" l="1"/>
  <c r="BO256" i="4"/>
  <c r="BO257" i="4" s="1"/>
  <c r="BO75" i="42"/>
  <c r="BO178" i="4"/>
  <c r="BO183" i="4" s="1"/>
  <c r="BO193" i="4" s="1"/>
  <c r="BO201" i="4"/>
  <c r="BP95" i="4"/>
  <c r="BO161" i="4"/>
  <c r="BO172" i="4" s="1"/>
  <c r="BO199" i="4"/>
  <c r="EG9" i="3" s="1"/>
  <c r="BP584" i="41"/>
  <c r="BO619" i="41"/>
  <c r="BO195" i="4" l="1"/>
  <c r="BP98" i="4"/>
  <c r="BP30" i="4" s="1"/>
  <c r="BQ95" i="4"/>
  <c r="BQ98" i="4" s="1"/>
  <c r="EG11" i="3"/>
  <c r="EG13" i="3" s="1"/>
  <c r="EG18" i="3" s="1"/>
  <c r="BO203" i="4"/>
  <c r="BO628" i="41"/>
  <c r="BO629" i="41" s="1"/>
  <c r="BO109" i="4"/>
  <c r="BP24" i="41"/>
  <c r="BQ584" i="41"/>
  <c r="BP32" i="4" l="1"/>
  <c r="BP34" i="4" s="1"/>
  <c r="BQ30" i="4"/>
  <c r="BO212" i="4"/>
  <c r="BP26" i="41"/>
  <c r="BP28" i="41" s="1"/>
  <c r="BP25" i="42"/>
  <c r="BQ24" i="41"/>
  <c r="DF43" i="61" s="1"/>
  <c r="BO111" i="4"/>
  <c r="BO115" i="4" s="1"/>
  <c r="BO623" i="41"/>
  <c r="BO626" i="41"/>
  <c r="BO620" i="41"/>
  <c r="BO207" i="4" l="1"/>
  <c r="BO210" i="4"/>
  <c r="BO213" i="4"/>
  <c r="BQ221" i="4"/>
  <c r="BQ235" i="4" s="1"/>
  <c r="EI28" i="3" s="1"/>
  <c r="BQ32" i="4"/>
  <c r="BQ34" i="4" s="1"/>
  <c r="BO204" i="4"/>
  <c r="DF44" i="61"/>
  <c r="DF45" i="61" s="1"/>
  <c r="DF52" i="61" s="1"/>
  <c r="DF53" i="61" s="1"/>
  <c r="DF57" i="61" s="1"/>
  <c r="BW62" i="61" s="1"/>
  <c r="BO112" i="4"/>
  <c r="BP27" i="42"/>
  <c r="BP29" i="42" s="1"/>
  <c r="BP31" i="42" s="1"/>
  <c r="BQ25" i="42"/>
  <c r="BQ27" i="42" s="1"/>
  <c r="BQ29" i="42" s="1"/>
  <c r="BQ636" i="41"/>
  <c r="BQ647" i="41" s="1"/>
  <c r="DG43" i="72"/>
  <c r="BQ26" i="41"/>
  <c r="BQ28" i="41" s="1"/>
  <c r="BP30" i="41"/>
  <c r="BP31" i="41" s="1"/>
  <c r="BP34" i="41" s="1"/>
  <c r="BP36" i="4" l="1"/>
  <c r="BP38" i="4" s="1"/>
  <c r="BP42" i="4" s="1"/>
  <c r="DU7" i="61"/>
  <c r="DV7" i="61" s="1"/>
  <c r="DF59" i="61"/>
  <c r="CL59" i="61"/>
  <c r="DA59" i="61"/>
  <c r="CG59" i="61"/>
  <c r="CV59" i="61"/>
  <c r="CB59" i="61"/>
  <c r="BW65" i="61"/>
  <c r="BW59" i="61"/>
  <c r="CQ59" i="61"/>
  <c r="BQ31" i="42"/>
  <c r="BQ33" i="42" s="1"/>
  <c r="BQ37" i="42" s="1"/>
  <c r="BP575" i="41"/>
  <c r="BQ30" i="41"/>
  <c r="BQ575" i="41" s="1"/>
  <c r="DG44" i="72"/>
  <c r="DG45" i="72" s="1"/>
  <c r="DG52" i="72" s="1"/>
  <c r="DG53" i="72" s="1"/>
  <c r="BP41" i="41"/>
  <c r="BP593" i="41"/>
  <c r="BP36" i="41"/>
  <c r="BP42" i="41" s="1"/>
  <c r="BP76" i="4" s="1"/>
  <c r="BP249" i="4" l="1"/>
  <c r="BP104" i="4"/>
  <c r="BP129" i="4"/>
  <c r="BQ129" i="4" s="1"/>
  <c r="BQ134" i="4" s="1"/>
  <c r="BQ36" i="4"/>
  <c r="BQ104" i="4" s="1"/>
  <c r="DU15" i="61"/>
  <c r="DU14" i="61" s="1"/>
  <c r="DU12" i="61"/>
  <c r="BP188" i="4"/>
  <c r="BP44" i="4"/>
  <c r="BP51" i="4" s="1"/>
  <c r="BP209" i="4"/>
  <c r="BP50" i="4"/>
  <c r="BW67" i="61"/>
  <c r="CQ60" i="61"/>
  <c r="BW60" i="61"/>
  <c r="DF60" i="61"/>
  <c r="CL60" i="61"/>
  <c r="DA60" i="61"/>
  <c r="CG60" i="61"/>
  <c r="CV60" i="61"/>
  <c r="CB60" i="61"/>
  <c r="DW7" i="61"/>
  <c r="DV12" i="61"/>
  <c r="BP597" i="41"/>
  <c r="BQ593" i="41"/>
  <c r="BQ597" i="41" s="1"/>
  <c r="BP625" i="41"/>
  <c r="BP33" i="42"/>
  <c r="BQ31" i="41"/>
  <c r="BQ34" i="41" s="1"/>
  <c r="BQ44" i="42"/>
  <c r="BQ39" i="42"/>
  <c r="BQ122" i="4"/>
  <c r="BQ125" i="4" s="1"/>
  <c r="DG57" i="72"/>
  <c r="DB54" i="72"/>
  <c r="BQ38" i="4" l="1"/>
  <c r="BQ249" i="4" s="1"/>
  <c r="BP134" i="4"/>
  <c r="BP149" i="4" s="1"/>
  <c r="EI41" i="3"/>
  <c r="EI39" i="3" s="1"/>
  <c r="EI51" i="3" s="1"/>
  <c r="EI53" i="3" s="1"/>
  <c r="EI56" i="3" s="1"/>
  <c r="BQ149" i="4"/>
  <c r="BQ223" i="4"/>
  <c r="BQ224" i="4" s="1"/>
  <c r="BQ209" i="4"/>
  <c r="EI16" i="3" s="1"/>
  <c r="BQ54" i="3" s="1"/>
  <c r="EH16" i="3"/>
  <c r="EH38" i="3"/>
  <c r="BP65" i="4"/>
  <c r="BP52" i="4"/>
  <c r="BP191" i="4"/>
  <c r="BQ188" i="4"/>
  <c r="BQ191" i="4" s="1"/>
  <c r="BQ58" i="61"/>
  <c r="BQ59" i="61" s="1"/>
  <c r="BQ61" i="61" s="1"/>
  <c r="BQ66" i="61" s="1"/>
  <c r="BQ69" i="61" s="1"/>
  <c r="BQ72" i="61" s="1"/>
  <c r="BQ74" i="61" s="1"/>
  <c r="BQ47" i="39"/>
  <c r="BQ48" i="39" s="1"/>
  <c r="DX7" i="61"/>
  <c r="DW12" i="61"/>
  <c r="DV15" i="61"/>
  <c r="BB21" i="72"/>
  <c r="BB24" i="72" s="1"/>
  <c r="X29" i="72" s="1"/>
  <c r="DB57" i="72"/>
  <c r="BV62" i="72" s="1"/>
  <c r="BV65" i="72" s="1"/>
  <c r="BP61" i="42"/>
  <c r="BQ61" i="42" s="1"/>
  <c r="BP37" i="42"/>
  <c r="BQ625" i="41"/>
  <c r="BP609" i="41"/>
  <c r="BP64" i="42"/>
  <c r="BP254" i="4" s="1"/>
  <c r="BQ45" i="42"/>
  <c r="BQ41" i="41"/>
  <c r="BQ36" i="41"/>
  <c r="BQ609" i="41"/>
  <c r="BV67" i="72"/>
  <c r="BQ42" i="4" l="1"/>
  <c r="BQ253" i="4" s="1"/>
  <c r="BP151" i="4"/>
  <c r="BP152" i="4" s="1"/>
  <c r="BP157" i="4" s="1"/>
  <c r="BQ78" i="4"/>
  <c r="BQ10" i="61" s="1"/>
  <c r="BQ46" i="39"/>
  <c r="DV14" i="61"/>
  <c r="DW15" i="61" s="1"/>
  <c r="DW14" i="61" s="1"/>
  <c r="DY7" i="61"/>
  <c r="DX12" i="61"/>
  <c r="BQ633" i="41"/>
  <c r="BQ637" i="41"/>
  <c r="BQ42" i="41"/>
  <c r="BP63" i="42"/>
  <c r="BQ63" i="42" s="1"/>
  <c r="BQ64" i="42" s="1"/>
  <c r="EH39" i="3"/>
  <c r="BP39" i="42"/>
  <c r="BP45" i="42" s="1"/>
  <c r="BP78" i="4" s="1"/>
  <c r="BP79" i="4" s="1"/>
  <c r="BP44" i="42"/>
  <c r="BP122" i="4"/>
  <c r="BP125" i="4" s="1"/>
  <c r="BP253" i="4"/>
  <c r="BP610" i="41"/>
  <c r="BP615" i="41" s="1"/>
  <c r="BQ615" i="41" s="1"/>
  <c r="AM26" i="72"/>
  <c r="AH26" i="72"/>
  <c r="BB26" i="72"/>
  <c r="AW26" i="72"/>
  <c r="AR26" i="72"/>
  <c r="X31" i="72"/>
  <c r="X33" i="72"/>
  <c r="AW27" i="72" s="1"/>
  <c r="BQ50" i="4" l="1"/>
  <c r="BQ44" i="4"/>
  <c r="BQ217" i="4" s="1"/>
  <c r="BQ51" i="4"/>
  <c r="BQ222" i="4"/>
  <c r="BP161" i="4"/>
  <c r="BP172" i="4" s="1"/>
  <c r="BQ157" i="4"/>
  <c r="BP199" i="4"/>
  <c r="EH9" i="3" s="1"/>
  <c r="BP73" i="42"/>
  <c r="BP174" i="4"/>
  <c r="BQ151" i="4"/>
  <c r="EH62" i="3"/>
  <c r="BQ13" i="3"/>
  <c r="BQ39" i="3" s="1"/>
  <c r="DZ7" i="61"/>
  <c r="DY12" i="61"/>
  <c r="DX15" i="61"/>
  <c r="DX14" i="61" s="1"/>
  <c r="DY15" i="61" s="1"/>
  <c r="DY14" i="61" s="1"/>
  <c r="AC36" i="72"/>
  <c r="AC37" i="72"/>
  <c r="BB27" i="72"/>
  <c r="BQ254" i="4"/>
  <c r="BP611" i="41"/>
  <c r="BQ611" i="41" s="1"/>
  <c r="BQ610" i="41"/>
  <c r="BP617" i="41"/>
  <c r="BQ43" i="41"/>
  <c r="BQ76" i="4"/>
  <c r="BQ8" i="61" s="1"/>
  <c r="BQ11" i="61" s="1"/>
  <c r="BQ18" i="61" s="1"/>
  <c r="BQ20" i="61" s="1"/>
  <c r="BQ22" i="61" s="1"/>
  <c r="BQ646" i="41"/>
  <c r="BQ234" i="4" l="1"/>
  <c r="EI27" i="3" s="1"/>
  <c r="BQ218" i="4"/>
  <c r="BP72" i="42"/>
  <c r="BQ72" i="42" s="1"/>
  <c r="BQ73" i="42" s="1"/>
  <c r="BP256" i="4"/>
  <c r="BP257" i="4" s="1"/>
  <c r="BP75" i="42"/>
  <c r="EI62" i="3"/>
  <c r="EI64" i="3" s="1"/>
  <c r="BQ152" i="4"/>
  <c r="BQ174" i="4"/>
  <c r="BQ178" i="4" s="1"/>
  <c r="BQ183" i="4" s="1"/>
  <c r="BQ193" i="4" s="1"/>
  <c r="BP201" i="4"/>
  <c r="BP178" i="4"/>
  <c r="BP183" i="4" s="1"/>
  <c r="BP193" i="4" s="1"/>
  <c r="BP195" i="4" s="1"/>
  <c r="BQ199" i="4"/>
  <c r="EI9" i="3" s="1"/>
  <c r="BQ161" i="4"/>
  <c r="BQ172" i="4" s="1"/>
  <c r="BQ52" i="4"/>
  <c r="BQ65" i="4"/>
  <c r="DZ15" i="61"/>
  <c r="DZ14" i="61" s="1"/>
  <c r="EA7" i="61"/>
  <c r="DZ12" i="61"/>
  <c r="BQ79" i="4"/>
  <c r="BQ11" i="3"/>
  <c r="BQ617" i="41"/>
  <c r="BQ619" i="41" s="1"/>
  <c r="DF74" i="61" s="1"/>
  <c r="DF75" i="61" s="1"/>
  <c r="DF78" i="61" s="1"/>
  <c r="BP619" i="41"/>
  <c r="AM37" i="72"/>
  <c r="AC58" i="72"/>
  <c r="AM36" i="72"/>
  <c r="AC85" i="72"/>
  <c r="BQ195" i="4" l="1"/>
  <c r="BQ57" i="3"/>
  <c r="BP203" i="4"/>
  <c r="BQ201" i="4"/>
  <c r="EH11" i="3"/>
  <c r="EH13" i="3" s="1"/>
  <c r="EH18" i="3" s="1"/>
  <c r="BQ256" i="4"/>
  <c r="BQ257" i="4" s="1"/>
  <c r="BQ75" i="42"/>
  <c r="EA15" i="61"/>
  <c r="EA14" i="61" s="1"/>
  <c r="EB15" i="61" s="1"/>
  <c r="EB14" i="61" s="1"/>
  <c r="EB7" i="61"/>
  <c r="EA12" i="61"/>
  <c r="BQ642" i="41"/>
  <c r="BQ628" i="41"/>
  <c r="BQ629" i="41" s="1"/>
  <c r="BQ109" i="4"/>
  <c r="BQ643" i="41"/>
  <c r="AC86" i="72"/>
  <c r="AC87" i="72" s="1"/>
  <c r="AC89" i="72"/>
  <c r="AC61" i="72"/>
  <c r="AC62" i="72" s="1"/>
  <c r="BP628" i="41"/>
  <c r="BP629" i="41" s="1"/>
  <c r="BP109" i="4"/>
  <c r="BQ14" i="3"/>
  <c r="BQ19" i="3" s="1"/>
  <c r="EI11" i="3" l="1"/>
  <c r="EI13" i="3" s="1"/>
  <c r="BQ203" i="4"/>
  <c r="BQ111" i="4" s="1"/>
  <c r="BQ112" i="4" s="1"/>
  <c r="BP212" i="4"/>
  <c r="BP204" i="4" s="1"/>
  <c r="EC7" i="61"/>
  <c r="EB12" i="61"/>
  <c r="EC15" i="61"/>
  <c r="EC14" i="61" s="1"/>
  <c r="BP623" i="41"/>
  <c r="BP626" i="41"/>
  <c r="BP620" i="41"/>
  <c r="BQ641" i="41"/>
  <c r="BQ58" i="3"/>
  <c r="BQ18" i="3"/>
  <c r="BQ51" i="3"/>
  <c r="X15" i="3"/>
  <c r="BQ56" i="3"/>
  <c r="BP111" i="4"/>
  <c r="BP112" i="4" s="1"/>
  <c r="BQ623" i="41"/>
  <c r="BQ640" i="41"/>
  <c r="BQ626" i="41"/>
  <c r="BQ620" i="41"/>
  <c r="BP207" i="4" l="1"/>
  <c r="BP210" i="4"/>
  <c r="BQ229" i="4"/>
  <c r="EI23" i="3" s="1"/>
  <c r="BQ212" i="4"/>
  <c r="BQ228" i="4" s="1"/>
  <c r="EI22" i="3" s="1"/>
  <c r="BQ230" i="4"/>
  <c r="EI24" i="3" s="1"/>
  <c r="BP213" i="4"/>
  <c r="BQ63" i="3"/>
  <c r="BQ64" i="3" s="1"/>
  <c r="BQ52" i="3" s="1"/>
  <c r="EI18" i="3"/>
  <c r="DU17" i="61"/>
  <c r="DV17" i="61"/>
  <c r="ED15" i="61"/>
  <c r="ED14" i="61" s="1"/>
  <c r="EE15" i="61" s="1"/>
  <c r="EE14" i="61" s="1"/>
  <c r="DR17" i="61"/>
  <c r="DS18" i="61" s="1"/>
  <c r="DP17" i="61"/>
  <c r="DQ17" i="61"/>
  <c r="DO17" i="61"/>
  <c r="DS17" i="61"/>
  <c r="DT17" i="61"/>
  <c r="ED7" i="61"/>
  <c r="EC12" i="61"/>
  <c r="BQ115" i="4"/>
  <c r="BP115" i="4"/>
  <c r="BQ213" i="4" l="1"/>
  <c r="BQ207" i="4"/>
  <c r="BQ227" i="4"/>
  <c r="EI21" i="3" s="1"/>
  <c r="BQ210" i="4"/>
  <c r="BQ204" i="4"/>
  <c r="EF15" i="61"/>
  <c r="EF14" i="61" s="1"/>
  <c r="EG15" i="61" s="1"/>
  <c r="EG14" i="61" s="1"/>
  <c r="EE7" i="61"/>
  <c r="ED12" i="61"/>
  <c r="EH15" i="61" l="1"/>
  <c r="EH14" i="61" s="1"/>
  <c r="EF7" i="61"/>
  <c r="EE12" i="61"/>
  <c r="EG7" i="61" l="1"/>
  <c r="EF12" i="61"/>
  <c r="EH7" i="61" l="1"/>
  <c r="EH12" i="61" s="1"/>
  <c r="EG12" i="61"/>
  <c r="AC60" i="72" l="1"/>
  <c r="AC64" i="72" s="1"/>
</calcChain>
</file>

<file path=xl/comments1.xml><?xml version="1.0" encoding="utf-8"?>
<comments xmlns="http://schemas.openxmlformats.org/spreadsheetml/2006/main">
  <authors>
    <author>rajeevl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卟䙄_x0001_＀＀앳亲_x0011_䕎幅彐佃彍䡓当問챔_x0018_＀＀_x0018_＀＀_x0008_＀＀_x0001_＀＀_x0001_＀＀ਾꏗ数䁺뺹仓_x000D_䕎幅彐䥄彖䱙채_x0018_＀＀_x0018_＀＀_x0008_＀＀_x0001_＀＀_x0001_＀＀ꔖ悄뵕䀐뺵仓	䕎幅牰捩챥_x0018_＀＀_x0018_＀＀_x0008_＀＀_x0001_＀＀_x0001_＀＀尩슏䣵䁊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92</t>
        </r>
      </text>
    </comment>
  </commentList>
</comments>
</file>

<file path=xl/comments2.xml><?xml version="1.0" encoding="utf-8"?>
<comments xmlns="http://schemas.openxmlformats.org/spreadsheetml/2006/main">
  <authors>
    <author>rajeevl</author>
    <author>McDermott, Devin (Research)</author>
    <author>Arcaro, David (Research)</author>
  </authors>
  <commentList>
    <comment ref="CB8" authorId="0">
      <text>
        <r>
          <rPr>
            <b/>
            <sz val="8"/>
            <color indexed="81"/>
            <rFont val="Tahoma"/>
            <family val="2"/>
          </rPr>
          <t>DA:</t>
        </r>
        <r>
          <rPr>
            <sz val="8"/>
            <color indexed="81"/>
            <rFont val="Tahoma"/>
            <family val="2"/>
          </rPr>
          <t xml:space="preserve">
10.25% ROE and 50% equity ratio</t>
        </r>
      </text>
    </comment>
    <comment ref="CL8" authorId="1">
      <text>
        <r>
          <rPr>
            <sz val="9"/>
            <color indexed="81"/>
            <rFont val="Tahoma"/>
            <family val="2"/>
          </rPr>
          <t>Upper end of 2019 guidance ex-DMR</t>
        </r>
      </text>
    </comment>
    <comment ref="DN14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 stock basis for FES of $4.3b
Adds $712m FES pension funding which increases NOL
Adds existing $4.3b NOL from the 2017 10-k</t>
        </r>
      </text>
    </comment>
    <comment ref="CB15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Assumes no tax benefits</t>
        </r>
      </text>
    </comment>
    <comment ref="CG15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No longer deduct merchant liabilities</t>
        </r>
      </text>
    </comment>
    <comment ref="CL15" authorId="1">
      <text>
        <r>
          <rPr>
            <sz val="9"/>
            <color indexed="81"/>
            <rFont val="Tahoma"/>
            <family val="2"/>
          </rPr>
          <t>Assumes only pension liability from FES</t>
        </r>
      </text>
    </comment>
    <comment ref="DL19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this flows through the the cash flow statement and is used to avoid a circular reference</t>
        </r>
      </text>
    </comment>
    <comment ref="CQ42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Adds amortization (within Other Income) </t>
        </r>
      </text>
    </comment>
    <comment ref="CV42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Adds amortization (within Other Income) </t>
        </r>
      </text>
    </comment>
    <comment ref="DA42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Adds amortization (within Other Income) </t>
        </r>
      </text>
    </comment>
    <comment ref="DF42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Adds amortization (within Other Income) </t>
        </r>
      </text>
    </comment>
    <comment ref="DO46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tax basis based on price paid for the business</t>
        </r>
      </text>
    </comment>
    <comment ref="DO48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asset degredation partially offsets inflation</t>
        </r>
      </text>
    </comment>
    <comment ref="DZ56" authorId="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$7bil is the estimated difference tax and GAAP basis in PP&amp;E.
Net PP&amp;E of about $11bil and deferred tax of $1.7bil (see generation and utility detail tabs)</t>
        </r>
      </text>
    </comment>
    <comment ref="BW64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Adds proceeds from asset sale</t>
        </r>
      </text>
    </comment>
    <comment ref="BW87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slides
Subtracts pension contribution and improvement ($1.75b * 20%)</t>
        </r>
      </text>
    </comment>
    <comment ref="BW88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Assumes FE liable for $72m remaining settlement payment of contract dispute #1 (3.5m tons/yr, $109m total settlement) 
Assumes FE liable for full amount of contract dispute #2 (2.5m tons/yr)</t>
        </r>
      </text>
    </comment>
    <comment ref="BW89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$500m line of credit and $200m surety bond provided to FES</t>
        </r>
      </text>
    </comment>
    <comment ref="BW90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2Q17 earnings slides: $120m shortfall in NDT (slide 21)</t>
        </r>
      </text>
    </comment>
    <comment ref="DR90" authorId="1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20 year remaining life</t>
        </r>
      </text>
    </comment>
    <comment ref="BW91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MSe based on $1b costs over 10 years, reimbursed by DOE on 1-year lag</t>
        </r>
      </text>
    </comment>
    <comment ref="BW95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NPV of tax loss: $4.3b basis in FES, $712m in FES pension funding</t>
        </r>
      </text>
    </comment>
    <comment ref="BW96" authorId="2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factbook
Proceeds after paying down all AES debt</t>
        </r>
      </text>
    </comment>
  </commentList>
</comments>
</file>

<file path=xl/comments3.xml><?xml version="1.0" encoding="utf-8"?>
<comments xmlns="http://schemas.openxmlformats.org/spreadsheetml/2006/main">
  <authors>
    <author>ancsan</author>
    <author>vinayv</author>
    <author>sunilt</author>
    <author>jasoriya</author>
    <author>Jasoriya, Prateek (Research)</author>
    <author>Kapoor, Vishal (Research)</author>
    <author>Ananth, Manoj (Research)</author>
    <author>$</author>
    <author>Arcaro, David (Research)</author>
    <author>Jacob, Abey (Research)</author>
  </authors>
  <commentList>
    <comment ref="I12" authorId="0">
      <text>
        <r>
          <rPr>
            <sz val="8"/>
            <color indexed="81"/>
            <rFont val="Tahoma"/>
            <family val="2"/>
          </rPr>
          <t xml:space="preserve">146 adjustment for the accounting change </t>
        </r>
      </text>
    </comment>
    <comment ref="N12" authorId="0">
      <text>
        <r>
          <rPr>
            <sz val="8"/>
            <color indexed="81"/>
            <rFont val="Tahoma"/>
            <family val="2"/>
          </rPr>
          <t>154 adjustment for the accounting change</t>
        </r>
        <r>
          <rPr>
            <b/>
            <sz val="8"/>
            <color indexed="81"/>
            <rFont val="Tahoma"/>
            <family val="2"/>
          </rPr>
          <t xml:space="preserve"> </t>
        </r>
      </text>
    </comment>
    <comment ref="N13" authorId="0">
      <text>
        <r>
          <rPr>
            <sz val="8"/>
            <color indexed="81"/>
            <rFont val="Tahoma"/>
            <family val="2"/>
          </rPr>
          <t>22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Tahoma"/>
            <family val="2"/>
          </rPr>
          <t>adjustment for the accounting change</t>
        </r>
      </text>
    </comment>
    <comment ref="I14" authorId="1">
      <text>
        <r>
          <rPr>
            <sz val="8"/>
            <color indexed="81"/>
            <rFont val="Tahoma"/>
            <family val="2"/>
          </rPr>
          <t>Includes: Amortization of regulatory assets(1155) less Deferral of regulatory assets(136)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2">
      <text>
        <r>
          <rPr>
            <sz val="8"/>
            <color indexed="81"/>
            <rFont val="Tahoma"/>
            <family val="2"/>
          </rPr>
          <t>Includes:
$473m : Impairment of long-lived assets
$24m : Loss on debt redemptions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25" authorId="2">
      <text>
        <r>
          <rPr>
            <sz val="8"/>
            <color indexed="81"/>
            <rFont val="Tahoma"/>
            <family val="2"/>
          </rPr>
          <t>Includes:
$9m : Loss on debt redemptions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25" authorId="2">
      <text>
        <r>
          <rPr>
            <sz val="8"/>
            <color indexed="81"/>
            <rFont val="Tahoma"/>
            <family val="2"/>
          </rPr>
          <t>Includes:
$795m : Impairment of long-lived assets
$132m : Loss on debt redemptions</t>
        </r>
        <r>
          <rPr>
            <sz val="8"/>
            <color indexed="81"/>
            <rFont val="Tahoma"/>
            <family val="2"/>
          </rPr>
          <t xml:space="preserve">
$256m : Pensions and OPEB mark-to-market adjustment</t>
        </r>
      </text>
    </comment>
    <comment ref="AD25" authorId="3">
      <text>
        <r>
          <rPr>
            <sz val="8"/>
            <color indexed="81"/>
            <rFont val="Tahoma"/>
            <family val="2"/>
          </rPr>
          <t>$7 Mn: Loss on debt redemptions</t>
        </r>
      </text>
    </comment>
    <comment ref="AE25" authorId="3">
      <text>
        <r>
          <rPr>
            <sz val="8"/>
            <color indexed="81"/>
            <rFont val="Tahoma"/>
            <family val="2"/>
          </rPr>
          <t xml:space="preserve">$1 Mn: Loss on debt redemptions </t>
        </r>
      </text>
    </comment>
    <comment ref="AH25" authorId="4">
      <text>
        <r>
          <rPr>
            <sz val="9"/>
            <color indexed="81"/>
            <rFont val="Tahoma"/>
            <family val="2"/>
          </rPr>
          <t>$835m :Pension and OPEB mark-to-market adjustment
$8m : Loss on debt redemptions
$72m: Investment income</t>
        </r>
      </text>
    </comment>
    <comment ref="AM25" authorId="4">
      <text>
        <r>
          <rPr>
            <sz val="9"/>
            <color indexed="81"/>
            <rFont val="Tahoma"/>
            <family val="2"/>
          </rPr>
          <t>$242m :Pension and OPEB mark-to-market adjustment
$362m : Impairment of equity method investments
$22m: Investment income
$42m: Impairment of long-lived assets</t>
        </r>
      </text>
    </comment>
    <comment ref="AO25" authorId="5">
      <text>
        <r>
          <rPr>
            <sz val="8"/>
            <color indexed="81"/>
            <rFont val="Tahoma"/>
            <family val="2"/>
          </rPr>
          <t>$1,447m: Impairment of assets
$19m: Investment income (loss)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25" authorId="4">
      <text>
        <r>
          <rPr>
            <sz val="9"/>
            <color indexed="81"/>
            <rFont val="Tahoma"/>
            <family val="2"/>
          </rPr>
          <t>$147m :Pension and OPEB mark-to-market adjustment
$84m: Investment income
$10665m: Impairment of long-lived assets</t>
        </r>
      </text>
    </comment>
    <comment ref="AT25" authorId="5">
      <text>
        <r>
          <rPr>
            <sz val="8"/>
            <color indexed="81"/>
            <rFont val="Tahoma"/>
            <family val="2"/>
          </rPr>
          <t>$131m: Impairment of assets
$17m: Investment income (loss)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25" authorId="6">
      <text>
        <r>
          <rPr>
            <sz val="9"/>
            <color indexed="81"/>
            <rFont val="Tahoma"/>
            <family val="2"/>
          </rPr>
          <t xml:space="preserve">$31m: Impairment of assets
$37m: Investment income (loss)
</t>
        </r>
      </text>
    </comment>
    <comment ref="AW25" authorId="4">
      <text>
        <r>
          <rPr>
            <sz val="9"/>
            <color indexed="81"/>
            <rFont val="Tahoma"/>
            <family val="2"/>
          </rPr>
          <t xml:space="preserve">$141m : Pension and OPEB mark-to-market adjustment
$98m: Investment income
$2,406m: Impairment of long-lived assets
</t>
        </r>
      </text>
    </comment>
    <comment ref="I31" authorId="0">
      <text>
        <r>
          <rPr>
            <sz val="8"/>
            <color indexed="81"/>
            <rFont val="Tahoma"/>
            <family val="2"/>
          </rPr>
          <t xml:space="preserve">1 adjustment for the accounting change </t>
        </r>
      </text>
    </comment>
    <comment ref="I36" authorId="0">
      <text>
        <r>
          <rPr>
            <sz val="8"/>
            <color indexed="81"/>
            <rFont val="Tahoma"/>
            <family val="2"/>
          </rPr>
          <t xml:space="preserve">61 adjustment for the accounting change </t>
        </r>
      </text>
    </comment>
    <comment ref="N36" authorId="0">
      <text>
        <r>
          <rPr>
            <sz val="8"/>
            <color indexed="81"/>
            <rFont val="Tahoma"/>
            <family val="2"/>
          </rPr>
          <t xml:space="preserve">20 adjustment for the accounting change </t>
        </r>
      </text>
    </comment>
    <comment ref="X43" authorId="2">
      <text>
        <r>
          <rPr>
            <sz val="8"/>
            <color indexed="81"/>
            <rFont val="Tahoma"/>
            <family val="2"/>
          </rPr>
          <t xml:space="preserve">Source : Consolidated Report to the Financial Community 4Q12, page 18
</t>
        </r>
      </text>
    </comment>
    <comment ref="Z43" authorId="2">
      <text>
        <r>
          <rPr>
            <sz val="8"/>
            <color indexed="81"/>
            <rFont val="Tahoma"/>
            <family val="2"/>
          </rPr>
          <t xml:space="preserve">Source : Consolidated Report to the Financial Community 2Q13, page 17
</t>
        </r>
      </text>
    </comment>
    <comment ref="AA43" authorId="2">
      <text>
        <r>
          <rPr>
            <sz val="8"/>
            <color indexed="81"/>
            <rFont val="Tahoma"/>
            <family val="2"/>
          </rPr>
          <t xml:space="preserve">Source : Consolidated Report to the Financial Community 3Q13, page 18
</t>
        </r>
      </text>
    </comment>
    <comment ref="AC43" authorId="2">
      <text>
        <r>
          <rPr>
            <sz val="8"/>
            <color indexed="81"/>
            <rFont val="Tahoma"/>
            <family val="2"/>
          </rPr>
          <t xml:space="preserve">Source : Consolidated Report to the Financial Community 4Q13, page 19
</t>
        </r>
      </text>
    </comment>
    <comment ref="AD43" authorId="2">
      <text>
        <r>
          <rPr>
            <sz val="8"/>
            <color indexed="81"/>
            <rFont val="Tahoma"/>
            <family val="2"/>
          </rPr>
          <t xml:space="preserve">Source :  8-K 1Q14, page 18
</t>
        </r>
      </text>
    </comment>
    <comment ref="AE43" authorId="2">
      <text>
        <r>
          <rPr>
            <sz val="8"/>
            <color indexed="81"/>
            <rFont val="Tahoma"/>
            <family val="2"/>
          </rPr>
          <t xml:space="preserve">Source :  8-K 2Q14, page 21
</t>
        </r>
      </text>
    </comment>
    <comment ref="AF43" authorId="2">
      <text>
        <r>
          <rPr>
            <sz val="8"/>
            <color indexed="81"/>
            <rFont val="Tahoma"/>
            <family val="2"/>
          </rPr>
          <t xml:space="preserve">Source :  8-K 3Q14, page 20
</t>
        </r>
      </text>
    </comment>
    <comment ref="AH43" authorId="2">
      <text>
        <r>
          <rPr>
            <sz val="8"/>
            <color indexed="81"/>
            <rFont val="Tahoma"/>
            <family val="2"/>
          </rPr>
          <t xml:space="preserve">Source : 8-K  4Q14, page 26
</t>
        </r>
      </text>
    </comment>
    <comment ref="AI43" authorId="2">
      <text>
        <r>
          <rPr>
            <sz val="8"/>
            <color indexed="81"/>
            <rFont val="Tahoma"/>
            <family val="2"/>
          </rPr>
          <t xml:space="preserve">Source : 8-K  1Q15, page 18
</t>
        </r>
      </text>
    </comment>
    <comment ref="AJ43" authorId="2">
      <text>
        <r>
          <rPr>
            <sz val="8"/>
            <color indexed="81"/>
            <rFont val="Tahoma"/>
            <family val="2"/>
          </rPr>
          <t>Source : 8-K  2Q15</t>
        </r>
      </text>
    </comment>
    <comment ref="AK43" authorId="2">
      <text>
        <r>
          <rPr>
            <sz val="8"/>
            <color indexed="81"/>
            <rFont val="Tahoma"/>
            <family val="2"/>
          </rPr>
          <t>Source : 8-K  3Q15 (Exhibit 99.2)</t>
        </r>
      </text>
    </comment>
    <comment ref="AM43" authorId="2">
      <text>
        <r>
          <rPr>
            <sz val="8"/>
            <color indexed="81"/>
            <rFont val="Tahoma"/>
            <family val="2"/>
          </rPr>
          <t>Source : 8-K  4Q15 (Exhibit 99.2) dated 02/16/16</t>
        </r>
      </text>
    </comment>
    <comment ref="AN43" authorId="2">
      <text>
        <r>
          <rPr>
            <sz val="8"/>
            <color indexed="81"/>
            <rFont val="Tahoma"/>
            <family val="2"/>
          </rPr>
          <t>Source : 8-K  1Q16 (Exhibit 99.2) dated 04/26/16</t>
        </r>
      </text>
    </comment>
    <comment ref="AO43" authorId="5">
      <text>
        <r>
          <rPr>
            <sz val="9"/>
            <color indexed="81"/>
            <rFont val="Tahoma"/>
            <family val="2"/>
          </rPr>
          <t xml:space="preserve">Source : 8-K  2Q16  (Exhibit 99.2) dated 07/28/16 </t>
        </r>
      </text>
    </comment>
    <comment ref="AP43" authorId="5">
      <text>
        <r>
          <rPr>
            <sz val="9"/>
            <color indexed="81"/>
            <rFont val="Tahoma"/>
            <family val="2"/>
          </rPr>
          <t>Source : 8-K  3Q16 dated 11/04/16  (Exhibit 99.2)</t>
        </r>
      </text>
    </comment>
    <comment ref="AR43" authorId="7">
      <text>
        <r>
          <rPr>
            <sz val="9"/>
            <color indexed="81"/>
            <rFont val="Tahoma"/>
            <family val="2"/>
          </rPr>
          <t>Regulatory charges
Source :  8-K 4Q16(ex992), page 25 dated 02/21/17</t>
        </r>
      </text>
    </comment>
    <comment ref="AS43" authorId="2">
      <text>
        <r>
          <rPr>
            <sz val="8"/>
            <color indexed="81"/>
            <rFont val="Tahoma"/>
            <family val="2"/>
          </rPr>
          <t>Source : 8-K  1Q17 Pg No: 21
Dated 04/27/17</t>
        </r>
      </text>
    </comment>
    <comment ref="AT43" authorId="5">
      <text>
        <r>
          <rPr>
            <sz val="9"/>
            <color indexed="81"/>
            <rFont val="Tahoma"/>
            <family val="2"/>
          </rPr>
          <t xml:space="preserve">Source : 8-K  2Q17  (Exhibit 99.2) dated 07/27/17 </t>
        </r>
      </text>
    </comment>
    <comment ref="AU43" authorId="6">
      <text>
        <r>
          <rPr>
            <sz val="9"/>
            <color indexed="81"/>
            <rFont val="Tahoma"/>
            <family val="2"/>
          </rPr>
          <t xml:space="preserve">Source : 8-K  3Q17  (Exhibit 99.2) dated 10/26/17 </t>
        </r>
      </text>
    </comment>
    <comment ref="AW43" authorId="7">
      <text>
        <r>
          <rPr>
            <sz val="9"/>
            <color indexed="81"/>
            <rFont val="Tahoma"/>
            <family val="2"/>
          </rPr>
          <t>Special Items - Regulatory charges
Source :  8-K 4Q17 (ex99.2), page 25 dated 02/20/18</t>
        </r>
      </text>
    </comment>
    <comment ref="BQ48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545m</t>
        </r>
      </text>
    </comment>
    <comment ref="AD61" authorId="2">
      <text>
        <r>
          <rPr>
            <sz val="8"/>
            <color indexed="81"/>
            <rFont val="Tahoma"/>
            <family val="2"/>
          </rPr>
          <t>$.36 : Delcared on 21 January 2014</t>
        </r>
        <r>
          <rPr>
            <sz val="8"/>
            <color indexed="81"/>
            <rFont val="Tahoma"/>
            <family val="2"/>
          </rPr>
          <t xml:space="preserve">
$.36 : Delcared on 18 March 2014</t>
        </r>
      </text>
    </comment>
    <comment ref="AE61" authorId="3">
      <text>
        <r>
          <rPr>
            <sz val="8"/>
            <color indexed="81"/>
            <rFont val="Tahoma"/>
            <family val="2"/>
          </rPr>
          <t>The six months ended June 30, 2014 includes a dividend declared of $0.36 per share on January 21, 2014, paid on March 1, 2014 and a dividend declared of $0.36 per share on March 18, 2014, paid on June 1, 2014</t>
        </r>
      </text>
    </comment>
    <comment ref="AF61" authorId="3">
      <text>
        <r>
          <rPr>
            <sz val="8"/>
            <color indexed="81"/>
            <rFont val="Tahoma"/>
            <family val="2"/>
          </rPr>
          <t>The nine months ended September 30, 2014 includes a dividend declared of $0.36 per share on each of January 21, 2014; March 18, 2014; July 15, 2014; and September 16, 2014 paid or payable on March 1, 2014; June 1 2014; September 1, 2014; and December 1, 2014, respectively</t>
        </r>
      </text>
    </comment>
    <comment ref="AI61" authorId="4">
      <text>
        <r>
          <rPr>
            <sz val="9"/>
            <color indexed="81"/>
            <rFont val="Tahoma"/>
            <family val="2"/>
          </rPr>
          <t>Source: 
http://investors.firstenergycorp.com/divs.aspx?iid=4056944</t>
        </r>
      </text>
    </comment>
    <comment ref="AJ61" authorId="4">
      <text>
        <r>
          <rPr>
            <sz val="9"/>
            <color indexed="81"/>
            <rFont val="Tahoma"/>
            <family val="2"/>
          </rPr>
          <t>Source: 
http://investors.firstenergycorp.com/divs.aspx?iid=4056944</t>
        </r>
      </text>
    </comment>
    <comment ref="AK61" authorId="4">
      <text>
        <r>
          <rPr>
            <sz val="9"/>
            <color indexed="81"/>
            <rFont val="Tahoma"/>
            <family val="2"/>
          </rPr>
          <t>Source: 
http://investors.firstenergycorp.com/divs.aspx?iid=4056944</t>
        </r>
      </text>
    </comment>
    <comment ref="AN61" authorId="4">
      <text>
        <r>
          <rPr>
            <sz val="9"/>
            <color indexed="81"/>
            <rFont val="Tahoma"/>
            <family val="2"/>
          </rPr>
          <t>Source: 
http://investors.firstenergycorp.com/IRW/Dividend/4056944</t>
        </r>
      </text>
    </comment>
    <comment ref="AO61" authorId="5">
      <text>
        <r>
          <rPr>
            <sz val="8"/>
            <color indexed="81"/>
            <rFont val="Tahoma"/>
            <family val="2"/>
          </rPr>
          <t>Source: 
http://investors.firstenergycorp.com/divs.aspx?iid=4056944</t>
        </r>
      </text>
    </comment>
    <comment ref="AP61" authorId="5">
      <text>
        <r>
          <rPr>
            <sz val="8"/>
            <color indexed="81"/>
            <rFont val="Tahoma"/>
            <family val="2"/>
          </rPr>
          <t>Source: 
http://investors.firstenergycorp.com/divs.aspx?iid=4056944</t>
        </r>
      </text>
    </comment>
    <comment ref="AS61" authorId="4">
      <text>
        <r>
          <rPr>
            <sz val="9"/>
            <color indexed="81"/>
            <rFont val="Tahoma"/>
            <family val="2"/>
          </rPr>
          <t>Source: 
http://investors.firstenergycorp.com/IRW/Dividend/4056944</t>
        </r>
      </text>
    </comment>
    <comment ref="AT61" authorId="4">
      <text>
        <r>
          <rPr>
            <sz val="9"/>
            <color indexed="81"/>
            <rFont val="Tahoma"/>
            <family val="2"/>
          </rPr>
          <t>Source: 
http://investors.firstenergycorp.com/IRW/Dividend/4056944</t>
        </r>
      </text>
    </comment>
    <comment ref="AU61" authorId="4">
      <text>
        <r>
          <rPr>
            <sz val="9"/>
            <color indexed="81"/>
            <rFont val="Tahoma"/>
            <family val="2"/>
          </rPr>
          <t>Source: 
http://investors.firstenergycorp.com/IRW/Dividend/4056944</t>
        </r>
      </text>
    </comment>
    <comment ref="AZ70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$100m annual issuance through employee benefit plans</t>
        </r>
      </text>
    </comment>
    <comment ref="BE70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Stock issuance from convertible preferred</t>
        </r>
      </text>
    </comment>
    <comment ref="BB10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28%</t>
        </r>
      </text>
    </comment>
    <comment ref="AX133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$1.25b Pension contribution</t>
        </r>
      </text>
    </comment>
    <comment ref="AY146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Assumed $500m cash outflow for FES credit support, $72m payment of rail settlement, and $225m payment to creditors</t>
        </r>
      </text>
    </comment>
    <comment ref="AS171" authorId="9">
      <text>
        <r>
          <rPr>
            <sz val="9"/>
            <color indexed="81"/>
            <rFont val="Tahoma"/>
            <family val="2"/>
          </rPr>
          <t>Asset held for sale included</t>
        </r>
      </text>
    </comment>
    <comment ref="AT171" authorId="9">
      <text>
        <r>
          <rPr>
            <sz val="9"/>
            <color indexed="81"/>
            <rFont val="Tahoma"/>
            <family val="2"/>
          </rPr>
          <t>Asset held for sale included</t>
        </r>
      </text>
    </comment>
    <comment ref="AU171" authorId="9">
      <text>
        <r>
          <rPr>
            <sz val="9"/>
            <color indexed="81"/>
            <rFont val="Tahoma"/>
            <family val="2"/>
          </rPr>
          <t>Asset held for sale included</t>
        </r>
      </text>
    </comment>
    <comment ref="AV171" authorId="6">
      <text>
        <r>
          <rPr>
            <sz val="9"/>
            <color indexed="81"/>
            <rFont val="Tahoma"/>
            <family val="2"/>
          </rPr>
          <t>$375mn of Asset held for sale included</t>
        </r>
      </text>
    </comment>
    <comment ref="AW22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Subtracts assumed pension contribution</t>
        </r>
      </text>
    </comment>
    <comment ref="BB22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for 1Q18 pension contribution
Subtracts assumed FES pension contribution</t>
        </r>
      </text>
    </comment>
    <comment ref="BG22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Subtracts assumed pension contribution</t>
        </r>
      </text>
    </comment>
    <comment ref="BL22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Subtracts assumed pension contribution</t>
        </r>
      </text>
    </comment>
    <comment ref="BQ224" authorId="8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Subtracts assumed pension contribution</t>
        </r>
      </text>
    </comment>
  </commentList>
</comments>
</file>

<file path=xl/comments4.xml><?xml version="1.0" encoding="utf-8"?>
<comments xmlns="http://schemas.openxmlformats.org/spreadsheetml/2006/main">
  <authors>
    <author>ancsan</author>
    <author>rajeevl</author>
    <author>sunilt</author>
    <author>Arcaro, David (Research)</author>
    <author>Michael Dandurand</author>
    <author>jasoriya</author>
    <author>Jasoriya, Prateek (Research)</author>
    <author>Kapoor, Vishal (Research)</author>
    <author>$</author>
    <author>Ananth, Manoj (Research)</author>
    <author>McDermott, Devin (Research)</author>
    <author>Tammannavar, Sunil (Research)</author>
    <author>RL</author>
    <author>Magajwala, Vatsal (Research)</author>
    <author>DM</author>
  </authors>
  <commentList>
    <comment ref="O5" authorId="0">
      <text>
        <r>
          <rPr>
            <sz val="8"/>
            <color indexed="81"/>
            <rFont val="Tahoma"/>
            <family val="2"/>
          </rPr>
          <t>IS, Electric Margins  are restated based on 2Q12 filings, however BS is not restated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5" authorId="0">
      <text>
        <r>
          <rPr>
            <sz val="8"/>
            <color indexed="81"/>
            <rFont val="Tahoma"/>
            <family val="2"/>
          </rPr>
          <t>IS, Electric Margins  are restated based on 2Q12 filings, however BS is not restated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5" authorId="0">
      <text>
        <r>
          <rPr>
            <sz val="8"/>
            <color indexed="81"/>
            <rFont val="Tahoma"/>
            <family val="2"/>
          </rPr>
          <t>IS, Electric Margins  are restated based on 3Q12 filings, however BS is not restated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5" authorId="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in 2Q12 accounting was changed to reflect the transmission ops under separate segment. We carry back 1Q.</t>
        </r>
      </text>
    </comment>
    <comment ref="U5" authorId="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in 2Q12 accounting was changed to reflect the transmission ops under separate segment. We carry back 1Q.</t>
        </r>
      </text>
    </comment>
    <comment ref="AC20" authorId="2">
      <text>
        <r>
          <rPr>
            <sz val="8"/>
            <color indexed="81"/>
            <rFont val="Tahoma"/>
            <family val="2"/>
          </rPr>
          <t xml:space="preserve">Includes:
$322m : Impairment of long-lived assets
</t>
        </r>
        <r>
          <rPr>
            <sz val="8"/>
            <color indexed="81"/>
            <rFont val="Tahoma"/>
            <family val="2"/>
          </rPr>
          <t>$149m : Pensions and OPEB mark-to-market adjustment</t>
        </r>
      </text>
    </comment>
    <comment ref="AR20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$101m pension/OPEB MTM  - Special item (removed going forward</t>
        </r>
      </text>
    </comment>
    <comment ref="AW20" authorId="3">
      <text>
        <r>
          <rPr>
            <sz val="9"/>
            <color indexed="81"/>
            <rFont val="Tahoma"/>
            <family val="2"/>
          </rPr>
          <t>$102m pension/OPEB MTM  - Special item</t>
        </r>
      </text>
    </comment>
    <comment ref="AX20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Adds benefit from lower pension deficit</t>
        </r>
      </text>
    </comment>
    <comment ref="BA20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press release: Adjusts for $102m pension MTM</t>
        </r>
      </text>
    </comment>
    <comment ref="J34" authorId="0">
      <text>
        <r>
          <rPr>
            <sz val="8"/>
            <color indexed="81"/>
            <rFont val="Tahoma"/>
            <family val="2"/>
          </rPr>
          <t>Includes : 
40mn Regulatory charges, this is included in Operations and Maintenance.
13mn Merger transaction/integration costs, this is included in Operations and Maintenance.
-7mn Litigation resolution
13mn Income tax charge/income tax resolution
17mn Income tax effect of pre-tax items
These are 6month cumulative numbers taken and subtracted from 2Q numbers ( as 3months numbers are not reported)
Source : Consolidated Report to the Financial Community 2Q11, page 17</t>
        </r>
      </text>
    </comment>
    <comment ref="K34" authorId="0">
      <text>
        <r>
          <rPr>
            <sz val="8"/>
            <color indexed="81"/>
            <rFont val="Tahoma"/>
            <family val="2"/>
          </rPr>
          <t>Includes :
4mn Merger transaction/integration,  this is included in Operations and Maintenance.
7mn Litigation resolution,  this is included in Operations and Maintenance.
2mn Income taxes
Source : Consolidated Report to the Financial Community 2Q11, page 17</t>
        </r>
      </text>
    </comment>
    <comment ref="L34" authorId="0">
      <text>
        <r>
          <rPr>
            <sz val="8"/>
            <color indexed="81"/>
            <rFont val="Tahoma"/>
            <family val="2"/>
          </rPr>
          <t>Includes :
12mn Regulatory charges,  this is included in Operations and Maintenance.
9mn Merger transaction/integration costs,  this is included in Operations and Maintenance.
6mn Income taxes
Source : Consolidated Report to the Financial Community 3Q11, page 17</t>
        </r>
      </text>
    </comment>
    <comment ref="N34" authorId="0">
      <text>
        <r>
          <rPr>
            <sz val="8"/>
            <color indexed="81"/>
            <rFont val="Tahoma"/>
            <family val="2"/>
          </rPr>
          <t>Includes :
52mn Regulatory charges, this is included in Operations and Maintenance.
41mn Merger transaction/integration costs,  this is included in Operations and Maintenance.
78mn Pensions/OPEB actuarial assumptions 
2mn Non-core asset sales/impairments
-7mn Litigation resolution,  this is included in Operations and Maintenance.
15mn Income tax charge (retiree drug subsidy)
35mn Income tax effect of pre-tax items
Source : Consolidated Report to the Financial Community 4Q11, page 17</t>
        </r>
      </text>
    </comment>
    <comment ref="P34" authorId="0">
      <text>
        <r>
          <rPr>
            <sz val="8"/>
            <color indexed="81"/>
            <rFont val="Tahoma"/>
            <family val="2"/>
          </rPr>
          <t>Includes :
8mn Merger transaction/integration
2mn Merger accounting - commodity
1mn Litigation resolution
Source : Consolidated Report to the Financial Community 2Q12, page 17</t>
        </r>
      </text>
    </comment>
    <comment ref="Q34" authorId="0">
      <text>
        <r>
          <rPr>
            <sz val="8"/>
            <color indexed="81"/>
            <rFont val="Tahoma"/>
            <family val="2"/>
          </rPr>
          <t>Includes :
3mn Regulatory charges
1mn Trust securities impairment
2mn Merger transaction/integration costs,  this is included in Operations and Maintenance.
2mn Merger accounting - commodity contracts
-1mn Litigation resolution
3mn Income taxes
Source : Consolidated Report to the Financial Community 3Q12, page 18</t>
        </r>
      </text>
    </comment>
    <comment ref="S34" authorId="0">
      <text>
        <r>
          <rPr>
            <sz val="8"/>
            <color indexed="81"/>
            <rFont val="Tahoma"/>
            <family val="2"/>
          </rPr>
          <t xml:space="preserve">Includes:
$26mm Regulatory charges,  this is included in Operations and Maintenance.
$2mm Trust securities impairment
$78mm Merger integration , this is included in Operations and Maintenance.
$291mm Pension/OPEB actuarial assumptions
$6mm Merger accounting - commodity contracts
$(2)mm Litigation resolution
$87mm Generating plant charges
(181)mn Income taxes
Source : Consolidated Report to the Financial Community 4Q12, page 18
</t>
        </r>
      </text>
    </comment>
    <comment ref="T34" authorId="0">
      <text>
        <r>
          <rPr>
            <sz val="8"/>
            <color indexed="81"/>
            <rFont val="Tahoma"/>
            <family val="2"/>
          </rPr>
          <t xml:space="preserve">Includes:
(6)mn Regulatory charges,  this is included in Operations and Maintenance.
(1)mn Trust securities impairment
(1)mn Merger integration , this is included in Operations and Maintenance.
(4)mn Merger accounting - commodity contracts
(5)mm Plant deactivation costs
(6)mn Income tax legislative changes
12mn Income taxes
Source : Consolidated Report to the Financial Community 1Q13, page 15
</t>
        </r>
      </text>
    </comment>
    <comment ref="U34" authorId="0">
      <text>
        <r>
          <rPr>
            <sz val="8"/>
            <color indexed="81"/>
            <rFont val="Tahoma"/>
            <family val="2"/>
          </rPr>
          <t xml:space="preserve">Includes:
9mn Regulatory charges,  this is included in Operations and Maintenance.
2mn Merger transaction/integration costs,   this is included in Operations and Maintenance.
2mn Merger accounting - commodity contracts
6mn Plant closing costs
7mn Income taxes
Source : Consolidated Report to the Financial Community – 2nd  Quarter 2012. Page 19
</t>
        </r>
      </text>
    </comment>
    <comment ref="V34" authorId="4">
      <text>
        <r>
          <rPr>
            <sz val="8"/>
            <color indexed="81"/>
            <rFont val="Tahoma"/>
            <family val="2"/>
          </rPr>
          <t>Includes:
$21mm regulatory charges
$1mm merger costs
$2mm merger accounting
$5mm plant closings
$7mm retiree prescription drug subsidy
$(11)mm income taxes
Source : Consolidated Report to the Financial Community 3Q12, page 18</t>
        </r>
      </text>
    </comment>
    <comment ref="X34" authorId="0">
      <text>
        <r>
          <rPr>
            <sz val="8"/>
            <color indexed="81"/>
            <rFont val="Tahoma"/>
            <family val="2"/>
          </rPr>
          <t xml:space="preserve">Includes:
50mn Regulatory charges,  this is included in Operations and Maintenance.
1mn Trust securities impairment
4mn Merger integration , this is included in Operations and Maintenance.
$17mm Impact of non-core asset sales/ impairments
$406mm Pension/OPEB actuarial assumptions
7mn Merger accounting - commodity contracts
5mm Restructuring costs
22mn Plant closing costs
(188)mn Income taxes
Source : Consolidated Report to the Financial Community 4Q12, page 18
</t>
        </r>
      </text>
    </comment>
    <comment ref="Y34" authorId="0">
      <text>
        <r>
          <rPr>
            <sz val="8"/>
            <color indexed="81"/>
            <rFont val="Tahoma"/>
            <family val="2"/>
          </rPr>
          <t xml:space="preserve">Includes:
(12)mn Regulatory charges,  this is included in Operations and Maintenance.
(2)mm Plant deactivation costs
5mn Income taxes
Source : Consolidated Report to the Financial Community 1Q13, page 14
</t>
        </r>
      </text>
    </comment>
    <comment ref="Z34" authorId="2">
      <text>
        <r>
          <rPr>
            <sz val="8"/>
            <color indexed="81"/>
            <rFont val="Tahoma"/>
            <family val="2"/>
          </rPr>
          <t xml:space="preserve">Includes:
$12m : Regulatory charges 
$7m : Trust securities impairment 
$(2)m : Mark-to-market adjustments 
$1m : Plant deactivation costs 
$(7)m : Income taxes 
Source : Consolidated Report to the Financial Community 2Q13, page 17
</t>
        </r>
      </text>
    </comment>
    <comment ref="AA34" authorId="2">
      <text>
        <r>
          <rPr>
            <sz val="8"/>
            <color indexed="81"/>
            <rFont val="Tahoma"/>
            <family val="2"/>
          </rPr>
          <t xml:space="preserve">Includes:
$264m : Regulatory charges 
$1m : Trust securities impairment 
$1m : Restructuring
$1m : Plant deactivation costs 
$(100)m : Income taxes 
Source : Consolidated Report to the Financial Community 3Q13, page 18
</t>
        </r>
      </text>
    </comment>
    <comment ref="AC34" authorId="2">
      <text>
        <r>
          <rPr>
            <sz val="8"/>
            <color indexed="81"/>
            <rFont val="Tahoma"/>
            <family val="2"/>
          </rPr>
          <t xml:space="preserve">Includes:
$356m : Regulatory charges 
$10m : Trust securities impairment 
$152m : Pension/OPEB actuarial assumptions </t>
        </r>
        <r>
          <rPr>
            <sz val="8"/>
            <color indexed="81"/>
            <rFont val="Tahoma"/>
            <family val="2"/>
          </rPr>
          <t xml:space="preserve">
$2m : Other
$2m : Restructuring
$4m : Plant deactivation costs 
$350m : WV asset transfer charges 
$1m : Gain/ loss on debt redemptions 
$214m : Income taxes 
Source : Consolidated Report to the Financial Community 4Q13, page 19
</t>
        </r>
      </text>
    </comment>
    <comment ref="AD34" authorId="5">
      <text>
        <r>
          <rPr>
            <sz val="8"/>
            <color indexed="81"/>
            <rFont val="Tahoma"/>
            <family val="2"/>
          </rPr>
          <t>Regulatory charges:  $1 Mn included in Revenues; ($10) Mn included in "Other operating expenses"; ($1) Mn included in "Amortization of regulatory assets, net" 
pre tax
Source :  8-K 1Q14, page 19</t>
        </r>
      </text>
    </comment>
    <comment ref="AE34" authorId="5">
      <text>
        <r>
          <rPr>
            <sz val="8"/>
            <color indexed="81"/>
            <rFont val="Tahoma"/>
            <family val="2"/>
          </rPr>
          <t>Regulatory charges: ($11) Mn included in "Other operating expenses"
 pre tax
Source :  8-K 2Q14, page 23</t>
        </r>
      </text>
    </comment>
    <comment ref="AF34" authorId="5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Regulatory charges: $3 Mn included in Revenues; $1 Mn included in "Purchased power"; and (9) Mn included in "Other operating expenses"
Trust securities impairment: $1 Mn included in "Investment income"
Impact of non-core asset sales/impairments: ($1) Mn included in "Other operating expenses".
Numbers are  pre tax
Source :  8-K 3Q14, page 22</t>
        </r>
      </text>
    </comment>
    <comment ref="AH34" authorId="6">
      <text>
        <r>
          <rPr>
            <sz val="9"/>
            <color indexed="81"/>
            <rFont val="Tahoma"/>
            <family val="2"/>
          </rPr>
          <t>Includes 
$4 m :Revenue
$1 m : Purchased power
$42 m :Other operating expenses
$506 m :Pension and OPEB mark-to-market
$1 m :Amortization (deferral) of regulatory assets, net
$4 m :Investment income
$212 m :Income taxes
Source: 8-K 4Q14</t>
        </r>
      </text>
    </comment>
    <comment ref="AI34" authorId="6">
      <text>
        <r>
          <rPr>
            <sz val="9"/>
            <color indexed="81"/>
            <rFont val="Tahoma"/>
            <family val="2"/>
          </rPr>
          <t>Includes 
$1 m :Revenue
$13 m :Other operating expenses
$1 m :Amortization (deferral) of regulatory assets, net
$1 m :Investment income
$6 m :Income taxes
Source: 8-K 1Q15</t>
        </r>
      </text>
    </comment>
    <comment ref="AJ34" authorId="6">
      <text>
        <r>
          <rPr>
            <sz val="9"/>
            <color indexed="81"/>
            <rFont val="Tahoma"/>
            <family val="2"/>
          </rPr>
          <t>Includes 
$11 m :Other operating expenses
$1 m :Amortization (deferral) of regulatory assets, net
$1 m :Investment income
$5 m :Income taxes
Source: 8-K 2Q15</t>
        </r>
      </text>
    </comment>
    <comment ref="AK34" authorId="5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Regulatory charges: $1 million included in "Revenues"; and ($10) million included in "Other operating expenses"
Trust securities impairment: $6 million included in "Investment income (loss)
Impact of non-core asset sales/impairments: ($8) million included in "Other operating expenses".
Numbers are  pre tax
Source :  8-K 3Q15, page 25</t>
        </r>
      </text>
    </comment>
    <comment ref="AM34" authorId="5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MTM Pension/OPEB actuarial assumptions: $179m
Regulatory charges: $2m in "Revenues", ($41)m in "Other operating expenses" ($2) m in "Amortization of regulatory assets, net"
Impact of non-core asset sales/impairment:$8m
Trust securities impairment: $12m:
Numbers are pretax
Source :  8-K 4Q15(ex992), page 27 dated 02/16/16</t>
        </r>
      </text>
    </comment>
    <comment ref="AN34" authorId="6">
      <text>
        <r>
          <rPr>
            <sz val="9"/>
            <color indexed="81"/>
            <rFont val="Tahoma"/>
            <family val="2"/>
          </rPr>
          <t>Includes 
($61) m :Other operating expenses
$1 m :Investment income
$22 m :Income taxes
Source : 8-K  1Q16 (Exhibit 99.2) dated 04/26/16</t>
        </r>
      </text>
    </comment>
    <comment ref="AO34" authorId="7">
      <text>
        <r>
          <rPr>
            <sz val="8"/>
            <color indexed="81"/>
            <rFont val="Tahoma"/>
            <family val="2"/>
          </rPr>
          <t>Includes:
$10 m :Other operating expenses
$4 m :Income taxes
Source: 8-K 2Q16</t>
        </r>
      </text>
    </comment>
    <comment ref="AP34" authorId="7">
      <text>
        <r>
          <rPr>
            <sz val="8"/>
            <color indexed="81"/>
            <rFont val="Tahoma"/>
            <family val="2"/>
          </rPr>
          <t xml:space="preserve">Includes:
$8 m :Other operating expenses
$3 m :Income taxes
Source : 8-K  3Q16 dated 11/04/16  (Exhibit 99.2)
</t>
        </r>
      </text>
    </comment>
    <comment ref="AR34" authorId="8">
      <text>
        <r>
          <rPr>
            <sz val="9"/>
            <color indexed="81"/>
            <rFont val="Tahoma"/>
            <family val="2"/>
          </rPr>
          <t>Regulatory charges
Source :  8-K 4Q16(ex992), page 27 dated 02/21/17</t>
        </r>
      </text>
    </comment>
    <comment ref="AS34" authorId="6">
      <text>
        <r>
          <rPr>
            <sz val="9"/>
            <color indexed="81"/>
            <rFont val="Tahoma"/>
            <family val="2"/>
          </rPr>
          <t>Includes 
($8) m :Other operating expenses
$2 m :Income taxes
Source : 8-K  1Q177 Page No: 22 
Dated 04/27/17</t>
        </r>
      </text>
    </comment>
    <comment ref="AT34" authorId="7">
      <text>
        <r>
          <rPr>
            <sz val="8"/>
            <color indexed="81"/>
            <rFont val="Tahoma"/>
            <family val="2"/>
          </rPr>
          <t>Includes:
$9 m :Other operating expenses
$3 m :Income taxes
Source: 8-K 2Q17 dated 07/27/17</t>
        </r>
      </text>
    </comment>
    <comment ref="AU34" authorId="9">
      <text>
        <r>
          <rPr>
            <sz val="9"/>
            <color indexed="81"/>
            <rFont val="Tahoma"/>
            <family val="2"/>
          </rPr>
          <t>Includes:
$8 m :Other operating expenses
$3 m :Income taxes
Source: 8-K 3Q17 dated 10/26/17</t>
        </r>
      </text>
    </comment>
    <comment ref="AW34" authorId="8">
      <text>
        <r>
          <rPr>
            <sz val="9"/>
            <color indexed="81"/>
            <rFont val="Tahoma"/>
            <family val="2"/>
          </rPr>
          <t>Special Items
Source :  8-K 4Q17 (ex99.2), page 27 dated 02/20/18</t>
        </r>
      </text>
    </comment>
    <comment ref="BB35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$1,130-1,240m</t>
        </r>
      </text>
    </comment>
    <comment ref="AR45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2016 weather-adjusted operating EPS (Distribution + transmission - 0.13 of weather)</t>
        </r>
      </text>
    </comment>
    <comment ref="AX47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$320-375m</t>
        </r>
      </text>
    </comment>
    <comment ref="BG48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Excludes DMR, uses fully diluted share count</t>
        </r>
      </text>
    </comment>
    <comment ref="BB50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Includes DMR</t>
        </r>
      </text>
    </comment>
    <comment ref="BG50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Excludes DMR, uses fully diluted share count</t>
        </r>
      </text>
    </comment>
    <comment ref="BB55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Unlocking the future slides: 0.1% through 2021</t>
        </r>
      </text>
    </comment>
    <comment ref="AX59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Includes one month of new PA rates and one quarter of JCP&amp;L</t>
        </r>
      </text>
    </comment>
    <comment ref="BB59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OH Grid Mod: $100m, $150m, $200m in 2018-2020
Also assumed $100m/yr for NJ infrastructure investment program</t>
        </r>
      </text>
    </comment>
    <comment ref="BG59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OH Grid Mod: $100m, $150m, $200m in 2018-2020
Also assumed $100m/yr for NJ infrastructure investment program</t>
        </r>
      </text>
    </comment>
    <comment ref="BL59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OH Grid Mod: $100m, $150m, $200m in 2018-2020
Also assumed $100m/yr for NJ infrastructure investment program
Adds $30m assumed rate case to slow the decline in ROEs (reduces 50bp ROE drag to 25)</t>
        </r>
      </text>
    </comment>
    <comment ref="AW60" authorId="10">
      <text>
        <r>
          <rPr>
            <sz val="9"/>
            <color indexed="81"/>
            <rFont val="Tahoma"/>
            <family val="2"/>
          </rPr>
          <t xml:space="preserve">
PUCO Order for $204m for 3 years</t>
        </r>
      </text>
    </comment>
    <comment ref="BL60" authorId="1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PUCO Order for $204m for 3 years</t>
        </r>
      </text>
    </comment>
    <comment ref="BU66" authorId="1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Based on the request</t>
        </r>
      </text>
    </comment>
    <comment ref="BV66" authorId="1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Based on the request</t>
        </r>
      </text>
    </comment>
    <comment ref="BW66" authorId="1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Based on the request</t>
        </r>
      </text>
    </comment>
    <comment ref="BX66" authorId="1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Based on the request</t>
        </r>
      </text>
    </comment>
    <comment ref="BB67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26%</t>
        </r>
      </text>
    </comment>
    <comment ref="BT85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$80m</t>
        </r>
      </text>
    </comment>
    <comment ref="BU85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$67m</t>
        </r>
      </text>
    </comment>
    <comment ref="BV85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$74m</t>
        </r>
      </text>
    </comment>
    <comment ref="BW85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$22m</t>
        </r>
      </text>
    </comment>
    <comment ref="BX85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earnings slides: $40m</t>
        </r>
      </text>
    </comment>
    <comment ref="AK103" authorId="1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heat index low despite high degree days vs normal</t>
        </r>
      </text>
    </comment>
    <comment ref="AN103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approximate full-year weather impact</t>
        </r>
      </text>
    </comment>
    <comment ref="AP103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to achieve sales similar to 5-year average</t>
        </r>
      </text>
    </comment>
    <comment ref="AQ103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approximate full-year weather impact</t>
        </r>
      </text>
    </comment>
    <comment ref="AT103" authorId="11">
      <text>
        <r>
          <rPr>
            <sz val="9"/>
            <color indexed="81"/>
            <rFont val="Tahoma"/>
            <family val="2"/>
          </rPr>
          <t xml:space="preserve">Weather was extremely mild across our service area with heating degree days 30% lower than the same period of 2016 and 24% below
normal.
</t>
        </r>
      </text>
    </comment>
    <comment ref="AU103" authorId="11">
      <text>
        <r>
          <rPr>
            <sz val="9"/>
            <color indexed="81"/>
            <rFont val="Tahoma"/>
            <family val="2"/>
          </rPr>
          <t>Cooling degree days were 3% above normal but 27% lower than the same period of 2016. This drove a 7% decrease in total distribution deliveries compared to the third quarter of 2016, with sales to residential customers decreasing 14% and commercial deliveries down 6%.
Source : Call Transcript</t>
        </r>
      </text>
    </comment>
    <comment ref="AV103" authorId="9">
      <text>
        <r>
          <rPr>
            <sz val="9"/>
            <color indexed="81"/>
            <rFont val="Tahoma"/>
            <family val="2"/>
          </rPr>
          <t>Heating degree days were normal for the quarter, but 9% higher than the same period of 2016. This drove a nearly 2% increase in total distribution
deliveries compared to the fourth quarter of 2016.
Source: 2017 Q4 Earnings Call transcript dated 02/21/18</t>
        </r>
      </text>
    </comment>
    <comment ref="J108" authorId="0">
      <text>
        <r>
          <rPr>
            <sz val="8"/>
            <color indexed="81"/>
            <rFont val="Tahoma"/>
            <family val="2"/>
          </rPr>
          <t>$5mn Regulatory charges
$9mn Merger transaction/integration costs
Source : Consolidated Report to the Financial Community 2Q11, page 17 and 
Consolidated Report to the Financial Community 1Q11, page 13</t>
        </r>
      </text>
    </comment>
    <comment ref="K108" authorId="0">
      <text>
        <r>
          <rPr>
            <sz val="8"/>
            <color indexed="81"/>
            <rFont val="Tahoma"/>
            <family val="2"/>
          </rPr>
          <t>$4 mn Merger transaction/integration costs
$7mn Litigation resolution
Source : Consolidated Report to the Financial Community 2Q11, page 17 and 
Consolidated Report to the Financial Community 1Q11, page 13</t>
        </r>
      </text>
    </comment>
    <comment ref="L108" authorId="0">
      <text>
        <r>
          <rPr>
            <sz val="8"/>
            <color indexed="81"/>
            <rFont val="Tahoma"/>
            <family val="2"/>
          </rPr>
          <t>$12mn Regulatory charges
$9mn Merger transaction/integration costs
Source : Consolidated Report to the Financial Community 3Q11, page 18 and 
Consolidated Report to the Financial Community 2Q11, page 17</t>
        </r>
      </text>
    </comment>
    <comment ref="N108" authorId="0">
      <text>
        <r>
          <rPr>
            <sz val="8"/>
            <color indexed="81"/>
            <rFont val="Tahoma"/>
            <family val="2"/>
          </rPr>
          <t>$17mn Regulatory charges
$41mn Merger transaction/integration costs
$-7mn Litigation resolution
Source : Consolidated Report to the Financial Community 4Q11, page 18</t>
        </r>
      </text>
    </comment>
    <comment ref="O108" authorId="0">
      <text>
        <r>
          <rPr>
            <sz val="8"/>
            <color indexed="81"/>
            <rFont val="Tahoma"/>
            <family val="2"/>
          </rPr>
          <t>$12mn Regulatory charges
$66 mn Merger transaction/integration costs
Source : Consolidated Report to the Financial Community – 1st Quarter 2012. Page 14</t>
        </r>
      </text>
    </comment>
    <comment ref="P108" authorId="0">
      <text>
        <r>
          <rPr>
            <sz val="8"/>
            <color indexed="81"/>
            <rFont val="Tahoma"/>
            <family val="2"/>
          </rPr>
          <t xml:space="preserve">$8mn Merger transaction/integration costs
Source : Consolidated Report to the Financial Community – 2nd Quarter 2012.  Page 19
</t>
        </r>
      </text>
    </comment>
    <comment ref="Q108" authorId="0">
      <text>
        <r>
          <rPr>
            <sz val="8"/>
            <color indexed="81"/>
            <rFont val="Tahoma"/>
            <family val="2"/>
          </rPr>
          <t>$2mn Merger transaction/integration costs
Source : Consolidated Report to the Financial Community 3Q11, page 18 and 
Consolidated Report to the Financial Community 2Q11, page 17</t>
        </r>
      </text>
    </comment>
    <comment ref="S108" authorId="0">
      <text>
        <r>
          <rPr>
            <sz val="8"/>
            <color indexed="81"/>
            <rFont val="Tahoma"/>
            <family val="2"/>
          </rPr>
          <t>$13mn Regulatory charges
$78mn Merger transaction/integration costs
Source : Consolidated Report to the Financial Community 4Q11, page 18</t>
        </r>
      </text>
    </comment>
    <comment ref="T108" authorId="0">
      <text>
        <r>
          <rPr>
            <sz val="8"/>
            <color indexed="81"/>
            <rFont val="Tahoma"/>
            <family val="2"/>
          </rPr>
          <t xml:space="preserve">$6mn Regulatory charges
$1mn Merger transaction/integration costs
Source : Consolidated Report to the Financial Community – 2nd  Quarter 2012. Page 19
</t>
        </r>
      </text>
    </comment>
    <comment ref="U108" authorId="0">
      <text>
        <r>
          <rPr>
            <sz val="8"/>
            <color indexed="81"/>
            <rFont val="Tahoma"/>
            <family val="2"/>
          </rPr>
          <t xml:space="preserve">$9mn Regulatory charges
$2mn Merger transaction/integration costs
Source : Consolidated Report to the Financial Community – 2nd  Quarter 2012. Page 19
</t>
        </r>
      </text>
    </comment>
    <comment ref="V108" authorId="4">
      <text>
        <r>
          <rPr>
            <b/>
            <sz val="8"/>
            <color indexed="81"/>
            <rFont val="Tahoma"/>
            <family val="2"/>
          </rPr>
          <t>Michael Dandurand:</t>
        </r>
        <r>
          <rPr>
            <sz val="8"/>
            <color indexed="81"/>
            <rFont val="Tahoma"/>
            <family val="2"/>
          </rPr>
          <t xml:space="preserve">
$21mm regulatory charges
$1mm merger costs
$5mm plant closing costs
</t>
        </r>
      </text>
    </comment>
    <comment ref="X108" authorId="0">
      <text>
        <r>
          <rPr>
            <sz val="8"/>
            <color indexed="81"/>
            <rFont val="Tahoma"/>
            <family val="2"/>
          </rPr>
          <t>$43mn Regulatory charges
$1mn Merger transaction/integration costs
$17mn Impact of non-core asset sales /impairments
$17mn Pension/OPEB actuarial assumptions
$5mn Restructuring
$370mil storm deferral backed out.</t>
        </r>
      </text>
    </comment>
    <comment ref="Y108" authorId="0">
      <text>
        <r>
          <rPr>
            <sz val="8"/>
            <color indexed="81"/>
            <rFont val="Tahoma"/>
            <family val="2"/>
          </rPr>
          <t xml:space="preserve">$12mn Regulatory charges
</t>
        </r>
      </text>
    </comment>
    <comment ref="Z108" authorId="0">
      <text>
        <r>
          <rPr>
            <sz val="8"/>
            <color indexed="81"/>
            <rFont val="Tahoma"/>
            <family val="2"/>
          </rPr>
          <t xml:space="preserve">$10mn Regulatory charges
$(2)m : Mark-to-market adjustments
</t>
        </r>
      </text>
    </comment>
    <comment ref="AA108" authorId="0">
      <text>
        <r>
          <rPr>
            <sz val="8"/>
            <color indexed="81"/>
            <rFont val="Tahoma"/>
            <family val="2"/>
          </rPr>
          <t xml:space="preserve">$(3)mn Regulatory charges
</t>
        </r>
      </text>
    </comment>
    <comment ref="AC108" authorId="2">
      <text>
        <r>
          <rPr>
            <sz val="8"/>
            <color indexed="81"/>
            <rFont val="Tahoma"/>
            <family val="2"/>
          </rPr>
          <t xml:space="preserve">Includes:
$52m : Regulatory charges 
$2m : Pension/OPEB actuarial assumptions </t>
        </r>
        <r>
          <rPr>
            <sz val="8"/>
            <color indexed="81"/>
            <rFont val="Tahoma"/>
            <family val="2"/>
          </rPr>
          <t xml:space="preserve">
$2m : Other
$2m : Restructuring
$5m : WV asset transfer charges 
Source : Consolidated Report to the Financial Community 4Q13, page 19
</t>
        </r>
      </text>
    </comment>
    <comment ref="AD108" authorId="5">
      <text>
        <r>
          <rPr>
            <sz val="8"/>
            <color indexed="81"/>
            <rFont val="Tahoma"/>
            <family val="2"/>
          </rPr>
          <t>$10 Mn: Regulatory charges
Source : 8-K 1Q14, page 19</t>
        </r>
      </text>
    </comment>
    <comment ref="AE108" authorId="5">
      <text>
        <r>
          <rPr>
            <sz val="8"/>
            <color indexed="81"/>
            <rFont val="Tahoma"/>
            <family val="2"/>
          </rPr>
          <t>$11 Mn: Regulatory charge
Source :  8-K 2Q14, page 23</t>
        </r>
      </text>
    </comment>
    <comment ref="AF108" authorId="5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Regulatory charges: (9) million
Impact of non-core asset sales/impairments: ($1)
Source :  8-K 3Q14, page 22</t>
        </r>
      </text>
    </comment>
    <comment ref="AH108" authorId="2">
      <text>
        <r>
          <rPr>
            <sz val="8"/>
            <color indexed="81"/>
            <rFont val="Tahoma"/>
            <family val="2"/>
          </rPr>
          <t xml:space="preserve">Includes:
$40m : Regulatory charges 
$1m : Impairment
$1m : Restructuring
Source : Consolidated Report to the Financial Community 4Q14, page 28
</t>
        </r>
      </text>
    </comment>
    <comment ref="AI108" authorId="2">
      <text>
        <r>
          <rPr>
            <sz val="8"/>
            <color indexed="81"/>
            <rFont val="Tahoma"/>
            <family val="2"/>
          </rPr>
          <t xml:space="preserve">Includes:
$13m : Regulatory charges 
Source : Consolidated Report to the Financial Community 1Q15, page 19
</t>
        </r>
      </text>
    </comment>
    <comment ref="AJ108" authorId="2">
      <text>
        <r>
          <rPr>
            <sz val="8"/>
            <color indexed="81"/>
            <rFont val="Tahoma"/>
            <family val="2"/>
          </rPr>
          <t xml:space="preserve">Includes:
$11m : Regulatory charges 
Source : Consolidated Report to the Financial Community 2Q15, page 24
</t>
        </r>
      </text>
    </comment>
    <comment ref="AK108" authorId="5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Regulatory charges: (10) million
Impact of non-core asset sales/impairments: ($8)
Source :  8-K 3Q15, page 25</t>
        </r>
      </text>
    </comment>
    <comment ref="AM108" authorId="8">
      <text>
        <r>
          <rPr>
            <sz val="9"/>
            <color indexed="81"/>
            <rFont val="Tahoma"/>
            <family val="2"/>
          </rPr>
          <t>Regulatory charges
Source :  8-K 4Q15(ex992), page 27 dated 02/16/16</t>
        </r>
      </text>
    </comment>
    <comment ref="AN108" authorId="6">
      <text>
        <r>
          <rPr>
            <sz val="9"/>
            <color indexed="81"/>
            <rFont val="Tahoma"/>
            <family val="2"/>
          </rPr>
          <t>Regulatory charges
Source : 8-K  1Q16 (Exhibit 99.2) dated 04/26/16</t>
        </r>
      </text>
    </comment>
    <comment ref="AO108" authorId="7">
      <text>
        <r>
          <rPr>
            <sz val="8"/>
            <color indexed="81"/>
            <rFont val="Tahoma"/>
            <family val="2"/>
          </rPr>
          <t>Regulatory charges
Source :  8-K 2Q16 (ex992), page 25 dated 07/28/16</t>
        </r>
      </text>
    </comment>
    <comment ref="AP108" authorId="7">
      <text>
        <r>
          <rPr>
            <sz val="8"/>
            <color indexed="81"/>
            <rFont val="Tahoma"/>
            <family val="2"/>
          </rPr>
          <t>Regulatory charges
Source :  8-K 2Q16, page 25 dated 11/04/16</t>
        </r>
      </text>
    </comment>
    <comment ref="AR108" authorId="8">
      <text>
        <r>
          <rPr>
            <sz val="9"/>
            <color indexed="81"/>
            <rFont val="Tahoma"/>
            <family val="2"/>
          </rPr>
          <t>Regulatory charges
Source :  8-K 4Q16(ex992), page 27 dated 02/21/17</t>
        </r>
      </text>
    </comment>
    <comment ref="AS108" authorId="6">
      <text>
        <r>
          <rPr>
            <sz val="9"/>
            <color indexed="81"/>
            <rFont val="Tahoma"/>
            <family val="2"/>
          </rPr>
          <t>Regulatory charges
Source : 8-K  1Q17 Page No: 21 
dated 04/27/17</t>
        </r>
      </text>
    </comment>
    <comment ref="AT108" authorId="7">
      <text>
        <r>
          <rPr>
            <sz val="8"/>
            <color indexed="81"/>
            <rFont val="Tahoma"/>
            <family val="2"/>
          </rPr>
          <t>Regulatory charges
Source :  8-K 2Q17 (ex992), page 26 dated 07/27/17</t>
        </r>
      </text>
    </comment>
    <comment ref="AU108" authorId="7">
      <text>
        <r>
          <rPr>
            <sz val="8"/>
            <color indexed="81"/>
            <rFont val="Tahoma"/>
            <family val="2"/>
          </rPr>
          <t>Regulatory charges
Source :  8-K 3Q17 (ex99.2), page 24 dated 10/26/17</t>
        </r>
      </text>
    </comment>
    <comment ref="AW108" authorId="8">
      <text>
        <r>
          <rPr>
            <sz val="9"/>
            <color indexed="81"/>
            <rFont val="Tahoma"/>
            <family val="2"/>
          </rPr>
          <t>Special Items - Regulatory Charges
Source :  8-K 4Q17 (ex 99.2), page 27 dated 02/20/18</t>
        </r>
      </text>
    </comment>
    <comment ref="V109" authorId="1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Less $40mil of retroactive adjustments at the utility per IR.</t>
        </r>
      </text>
    </comment>
    <comment ref="X122" authorId="12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assumed D&amp;A rate based on 10K data</t>
        </r>
      </text>
    </comment>
    <comment ref="AL122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Adjusted to align gross PP&amp;E with prior levels</t>
        </r>
      </text>
    </comment>
    <comment ref="BB127" authorId="13">
      <text>
        <r>
          <rPr>
            <sz val="9"/>
            <color indexed="81"/>
            <rFont val="Tahoma"/>
            <family val="2"/>
          </rPr>
          <t>Through 2021 based on 4Q17 unlocking the future slides</t>
        </r>
      </text>
    </comment>
    <comment ref="AC147" authorId="14">
      <text>
        <r>
          <rPr>
            <b/>
            <sz val="8"/>
            <color indexed="81"/>
            <rFont val="Tahoma"/>
            <family val="2"/>
          </rPr>
          <t>DM:</t>
        </r>
        <r>
          <rPr>
            <sz val="8"/>
            <color indexed="81"/>
            <rFont val="Tahoma"/>
            <family val="2"/>
          </rPr>
          <t xml:space="preserve">
Bonus Depreciation. Set to hit company guidance.</t>
        </r>
      </text>
    </comment>
    <comment ref="AH147" authorId="14">
      <text>
        <r>
          <rPr>
            <b/>
            <sz val="8"/>
            <color indexed="81"/>
            <rFont val="Tahoma"/>
            <family val="2"/>
          </rPr>
          <t>DM:</t>
        </r>
        <r>
          <rPr>
            <sz val="8"/>
            <color indexed="81"/>
            <rFont val="Tahoma"/>
            <family val="2"/>
          </rPr>
          <t xml:space="preserve">
Bonus Depreciation. Set to hit company guidance.</t>
        </r>
      </text>
    </comment>
    <comment ref="BB148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call: $400m bonus D lost in 2018-2019, $2.3b excess DT l (assume returned over 30yrs)</t>
        </r>
      </text>
    </comment>
    <comment ref="BG148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call: $400m bonus D lost in 2018-2019, $2.3b excess DT l (assume returned over 30yrs)</t>
        </r>
      </text>
    </comment>
    <comment ref="BL148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call: $400m bonus D lost in 2018-2019, $2.3b excess DT l (assume returned over 30yrs)</t>
        </r>
      </text>
    </comment>
    <comment ref="BQ148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earnings call: $400m bonus D lost in 2018-2019, $2.3b excess DT l (assume returned over 30yrs)</t>
        </r>
      </text>
    </comment>
    <comment ref="BA207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Assumption to tie to guidance (EEI slides)</t>
        </r>
      </text>
    </comment>
    <comment ref="BF207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Assumption to tie to guidance </t>
        </r>
      </text>
    </comment>
    <comment ref="BP207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Assumption to tie to guidance </t>
        </r>
      </text>
    </comment>
    <comment ref="S208" authorId="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An assumption based on net PP&amp;E and deferred taxes. Confirmed with company.</t>
        </r>
      </text>
    </comment>
    <comment ref="BB210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about $14.5b</t>
        </r>
      </text>
    </comment>
    <comment ref="BG210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about $15b</t>
        </r>
      </text>
    </comment>
    <comment ref="BL210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about $16b</t>
        </r>
      </text>
    </comment>
    <comment ref="BQ210" authorId="3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about $16.5b</t>
        </r>
      </text>
    </comment>
    <comment ref="S213" authorId="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this is high end of the range, but in the event of rate case filing the equity ratio will likely be improved. </t>
        </r>
      </text>
    </comment>
  </commentList>
</comments>
</file>

<file path=xl/comments5.xml><?xml version="1.0" encoding="utf-8"?>
<comments xmlns="http://schemas.openxmlformats.org/spreadsheetml/2006/main">
  <authors>
    <author>rajeevl</author>
    <author>ancsan</author>
    <author>singapun</author>
    <author>Ananth, Manoj (Research)</author>
    <author>Jasoriya, Prateek (Research)</author>
    <author>jasoriya</author>
    <author>$</author>
    <author>Arcaro, David (Research)</author>
    <author>RL</author>
  </authors>
  <commentList>
    <comment ref="B3" authorId="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Includes three sets of assets:
TrAILCo
ATSI
Utility Transmission (legally still part of each regulated utility)</t>
        </r>
      </text>
    </comment>
    <comment ref="O5" authorId="1">
      <text>
        <r>
          <rPr>
            <sz val="8"/>
            <color indexed="81"/>
            <rFont val="Tahoma"/>
            <family val="2"/>
          </rPr>
          <t>IS is restated based on 2Q12 filings, however BS is not restated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5" authorId="1">
      <text>
        <r>
          <rPr>
            <sz val="8"/>
            <color indexed="81"/>
            <rFont val="Tahoma"/>
            <family val="2"/>
          </rPr>
          <t>IS is restated based on  restated based on 2Q12 filings, however BS is not restated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5" authorId="1">
      <text>
        <r>
          <rPr>
            <sz val="8"/>
            <color indexed="81"/>
            <rFont val="Tahoma"/>
            <family val="2"/>
          </rPr>
          <t>IS is restated based on restated based on 3Q12 filings, however BS is not restated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5" authorId="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in 2Q12 accounting was changed to reflect the transmission ops under this segment. We carry back 1Q</t>
        </r>
      </text>
    </comment>
    <comment ref="U5" authorId="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in 2Q12 accounting was changed to reflect the transmission ops under this segment. We carry back 1Q</t>
        </r>
      </text>
    </comment>
    <comment ref="I18" authorId="1">
      <text>
        <r>
          <rPr>
            <sz val="8"/>
            <color indexed="81"/>
            <rFont val="Tahoma"/>
            <family val="2"/>
          </rPr>
          <t>Pensions and OPEB mark-to-market adjustment</t>
        </r>
      </text>
    </comment>
    <comment ref="N18" authorId="1">
      <text>
        <r>
          <rPr>
            <sz val="8"/>
            <color indexed="81"/>
            <rFont val="Tahoma"/>
            <family val="2"/>
          </rPr>
          <t>Pensions and OPEB mark-to-market adjustment</t>
        </r>
      </text>
    </comment>
    <comment ref="S18" authorId="1">
      <text>
        <r>
          <rPr>
            <sz val="8"/>
            <color indexed="81"/>
            <rFont val="Tahoma"/>
            <family val="2"/>
          </rPr>
          <t>Pensions and OPEB mark-to-market adjustment</t>
        </r>
      </text>
    </comment>
    <comment ref="X18" authorId="2">
      <text>
        <r>
          <rPr>
            <sz val="8"/>
            <color indexed="81"/>
            <rFont val="Tahoma"/>
            <family val="2"/>
          </rPr>
          <t>Includes:
$(2)mm: Pension and OPEB mark-to-market
$5mm: Deferral of storm costs
$1mm: Investment income</t>
        </r>
      </text>
    </comment>
    <comment ref="AU18" authorId="3">
      <text>
        <r>
          <rPr>
            <sz val="9"/>
            <color indexed="81"/>
            <rFont val="Tahoma"/>
            <family val="2"/>
          </rPr>
          <t>Impairment of assets</t>
        </r>
      </text>
    </comment>
    <comment ref="AW18" authorId="3">
      <text>
        <r>
          <rPr>
            <sz val="9"/>
            <color indexed="81"/>
            <rFont val="Tahoma"/>
            <family val="2"/>
          </rPr>
          <t>Impairment of assets - $41mn</t>
        </r>
      </text>
    </comment>
    <comment ref="J32" authorId="1">
      <text>
        <r>
          <rPr>
            <sz val="8"/>
            <color indexed="81"/>
            <rFont val="Tahoma"/>
            <family val="2"/>
          </rPr>
          <t>Includes : 
1mn Merger transaction/integration costs,  this is included in Operations and Maintenance.
These are 6month cumulative numbers taken and subtracted from 2Q numbers ( as 3months numbers are not reported)
Source : Consolidated Report to the Financial Community 2Q11, page 17</t>
        </r>
      </text>
    </comment>
    <comment ref="K32" authorId="1">
      <text>
        <r>
          <rPr>
            <sz val="8"/>
            <color indexed="81"/>
            <rFont val="Tahoma"/>
            <family val="2"/>
          </rPr>
          <t>Source : Consolidated Report to the Financial Community 2Q11, page 17</t>
        </r>
      </text>
    </comment>
    <comment ref="L32" authorId="1">
      <text>
        <r>
          <rPr>
            <sz val="8"/>
            <color indexed="81"/>
            <rFont val="Tahoma"/>
            <family val="2"/>
          </rPr>
          <t>1mn Merger transaction/integration costs,  this is included in Operations and Maintenance.
Source : Consolidated Report to the Financial Community 3Q11, page 17</t>
        </r>
      </text>
    </comment>
    <comment ref="N32" authorId="1">
      <text>
        <r>
          <rPr>
            <sz val="8"/>
            <color indexed="81"/>
            <rFont val="Tahoma"/>
            <family val="2"/>
          </rPr>
          <t>Includes :
3mn Merger transaction/integration costs
2mn Pensions/OPEB actuarial assumptions
1mn Income tax effect of pre-tax items
Source : Consolidated Report to the Financial Community 4Q11, page 17</t>
        </r>
      </text>
    </comment>
    <comment ref="P32" authorId="1">
      <text>
        <r>
          <rPr>
            <sz val="8"/>
            <color indexed="81"/>
            <rFont val="Tahoma"/>
            <family val="2"/>
          </rPr>
          <t>Includes :
1mn Merger transaction/integration costs,  this is included in Operations and Maintenance.
Source : Consolidated Report to the Financial Community 2Q11, page 17</t>
        </r>
      </text>
    </comment>
    <comment ref="S32" authorId="1">
      <text>
        <r>
          <rPr>
            <sz val="8"/>
            <color indexed="81"/>
            <rFont val="Tahoma"/>
            <family val="2"/>
          </rPr>
          <t>Includes :
4mn Merger transaction/integration costs,  this is included in Operations and Maintenance.
2mn Pensions/OPEB actuarial assumptions
2mn Income tax effect of pre-tax items
Source : Consolidated Report to the Financial Community 4Q11, page 17</t>
        </r>
      </text>
    </comment>
    <comment ref="X32" authorId="2">
      <text>
        <r>
          <rPr>
            <sz val="8"/>
            <color indexed="81"/>
            <rFont val="Tahoma"/>
            <family val="2"/>
          </rPr>
          <t>Includes : 
3mn Merger transaction/integration costs,  this is included in Operations and Maintenance.
2mn Income tax effect of pre-tax items
2mn Pension/ OPEB acturial assumption
Source : Consolidated Report to the Financial Community 4Q12, page 18</t>
        </r>
      </text>
    </comment>
    <comment ref="AH32" authorId="4">
      <text>
        <r>
          <rPr>
            <sz val="9"/>
            <color indexed="81"/>
            <rFont val="Tahoma"/>
            <family val="2"/>
          </rPr>
          <t>Includes 
$3 m :Mark-to-market adjustments-Pension/OPEB
Numbers are pretax
Source :  8-K 4Q15(ex992), page 29 dated 02/16/16</t>
        </r>
      </text>
    </comment>
    <comment ref="AM32" authorId="5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MTM Pension/OPEB actuarial assumptions: $179m
Regulatory charges: $2m in "Revenues", ($41)m in "Other operating expenses" ($2) m in "Amortization of regulatory assets, net"
Impact of non-core asset sales/impairment:$8m
Trust securities impairment: $12m:
Numbers are pretax
Source :  8-K 4Q15(ex992), page 27 </t>
        </r>
      </text>
    </comment>
    <comment ref="AR32" authorId="6">
      <text>
        <r>
          <rPr>
            <sz val="9"/>
            <color indexed="81"/>
            <rFont val="Tahoma"/>
            <family val="2"/>
          </rPr>
          <t>Regulatory charges
Source :  8-K 4Q16(ex992), page 29 dated 02/21/17</t>
        </r>
      </text>
    </comment>
    <comment ref="AW32" authorId="6">
      <text>
        <r>
          <rPr>
            <sz val="9"/>
            <color indexed="81"/>
            <rFont val="Tahoma"/>
            <family val="2"/>
          </rPr>
          <t>Special Items
Source :  8-K 4Q17 (ex99.2), page 29 dated 02/20/18</t>
        </r>
      </text>
    </comment>
    <comment ref="BB33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$370-410m</t>
        </r>
      </text>
    </comment>
    <comment ref="BB43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Uses fully diluted share count</t>
        </r>
      </text>
    </comment>
    <comment ref="BU49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10.75% assumed weighted average ROE for new investment </t>
        </r>
      </text>
    </comment>
    <comment ref="BB56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26%</t>
        </r>
      </text>
    </comment>
    <comment ref="J64" authorId="1">
      <text>
        <r>
          <rPr>
            <sz val="8"/>
            <color indexed="81"/>
            <rFont val="Tahoma"/>
            <family val="2"/>
          </rPr>
          <t>$1 mn Merger transaction/integration costs
Source : Consolidated Report to the Financial Community 2Q11, page 17 and 
Consolidated Report to the Financial Community 1Q11, page 13</t>
        </r>
      </text>
    </comment>
    <comment ref="K64" authorId="1">
      <text>
        <r>
          <rPr>
            <sz val="8"/>
            <color indexed="81"/>
            <rFont val="Tahoma"/>
            <family val="2"/>
          </rPr>
          <t>Source : Consolidated Report to the Financial Community 2Q11, page 17 and 
Consolidated Report to the Financial Community 1Q11, page 13</t>
        </r>
      </text>
    </comment>
    <comment ref="L64" authorId="1">
      <text>
        <r>
          <rPr>
            <sz val="8"/>
            <color indexed="81"/>
            <rFont val="Tahoma"/>
            <family val="2"/>
          </rPr>
          <t>$1 mn Merger transaction/integration costs
Source : Consolidated Report to the Financial Community 3Q11, page 18 and 
Consolidated Report to the Financial Community 2Q11, page 17</t>
        </r>
      </text>
    </comment>
    <comment ref="N64" authorId="1">
      <text>
        <r>
          <rPr>
            <sz val="8"/>
            <color indexed="81"/>
            <rFont val="Tahoma"/>
            <family val="2"/>
          </rPr>
          <t>$3mn Merger transaction/integration costs
Source : Consolidated Report to the Financial Community 4Q11, page 18</t>
        </r>
      </text>
    </comment>
    <comment ref="O64" authorId="1">
      <text>
        <r>
          <rPr>
            <sz val="8"/>
            <color indexed="81"/>
            <rFont val="Tahoma"/>
            <family val="2"/>
          </rPr>
          <t xml:space="preserve">$2 mn Merger transaction/integration costs
Source : Consolidated Report to the Financial Community – 1Q12 Page 14
</t>
        </r>
      </text>
    </comment>
    <comment ref="P64" authorId="1">
      <text>
        <r>
          <rPr>
            <sz val="8"/>
            <color indexed="81"/>
            <rFont val="Tahoma"/>
            <family val="2"/>
          </rPr>
          <t>$1mn Merger transaction/integration costs
Source : Consolidated Report to the Financial Community – 2nd Quarter 2012.  Page 19</t>
        </r>
      </text>
    </comment>
    <comment ref="S64" authorId="1">
      <text>
        <r>
          <rPr>
            <sz val="8"/>
            <color indexed="81"/>
            <rFont val="Tahoma"/>
            <family val="2"/>
          </rPr>
          <t>$4 mn Merger transaction/integration costs
Source : Consolidated Report to the Financial Community 4Q11, page 18</t>
        </r>
      </text>
    </comment>
    <comment ref="X77" authorId="8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assumed D&amp;A rate based on 10K data</t>
        </r>
      </text>
    </comment>
    <comment ref="AC80" authorId="8">
      <text>
        <r>
          <rPr>
            <b/>
            <sz val="9"/>
            <color indexed="81"/>
            <rFont val="Tahoma"/>
            <family val="2"/>
          </rPr>
          <t>RL:</t>
        </r>
        <r>
          <rPr>
            <sz val="9"/>
            <color indexed="81"/>
            <rFont val="Tahoma"/>
            <family val="2"/>
          </rPr>
          <t xml:space="preserve">
assumed allocation</t>
        </r>
      </text>
    </comment>
    <comment ref="AH80" authorId="8">
      <text>
        <r>
          <rPr>
            <b/>
            <sz val="9"/>
            <color indexed="81"/>
            <rFont val="Tahoma"/>
            <family val="2"/>
          </rPr>
          <t xml:space="preserve">DA
</t>
        </r>
        <r>
          <rPr>
            <sz val="9"/>
            <color indexed="81"/>
            <rFont val="Tahoma"/>
            <family val="2"/>
          </rPr>
          <t>2Q15 factbook: $246m</t>
        </r>
      </text>
    </comment>
    <comment ref="AC81" authorId="8">
      <text>
        <r>
          <rPr>
            <b/>
            <sz val="9"/>
            <color indexed="81"/>
            <rFont val="Tahoma"/>
            <family val="2"/>
          </rPr>
          <t>RL:</t>
        </r>
        <r>
          <rPr>
            <sz val="9"/>
            <color indexed="81"/>
            <rFont val="Tahoma"/>
            <family val="2"/>
          </rPr>
          <t xml:space="preserve">
assumed allocation</t>
        </r>
      </text>
    </comment>
    <comment ref="AH81" authorId="8">
      <text>
        <r>
          <rPr>
            <b/>
            <sz val="9"/>
            <color indexed="81"/>
            <rFont val="Tahoma"/>
            <family val="2"/>
          </rPr>
          <t>RL:</t>
        </r>
        <r>
          <rPr>
            <sz val="9"/>
            <color indexed="81"/>
            <rFont val="Tahoma"/>
            <family val="2"/>
          </rPr>
          <t xml:space="preserve">
assumed allocation</t>
        </r>
      </text>
    </comment>
    <comment ref="AC82" authorId="8">
      <text>
        <r>
          <rPr>
            <b/>
            <sz val="9"/>
            <color indexed="81"/>
            <rFont val="Tahoma"/>
            <family val="2"/>
          </rPr>
          <t>RL:</t>
        </r>
        <r>
          <rPr>
            <sz val="9"/>
            <color indexed="81"/>
            <rFont val="Tahoma"/>
            <family val="2"/>
          </rPr>
          <t xml:space="preserve">
assumed allocation</t>
        </r>
      </text>
    </comment>
    <comment ref="AH82" authorId="8">
      <text>
        <r>
          <rPr>
            <b/>
            <sz val="9"/>
            <color indexed="81"/>
            <rFont val="Tahoma"/>
            <family val="2"/>
          </rPr>
          <t>RL:</t>
        </r>
        <r>
          <rPr>
            <sz val="9"/>
            <color indexed="81"/>
            <rFont val="Tahoma"/>
            <family val="2"/>
          </rPr>
          <t xml:space="preserve">
assumed allocation</t>
        </r>
      </text>
    </comment>
    <comment ref="BB83" authorId="3">
      <text>
        <r>
          <rPr>
            <sz val="9"/>
            <color indexed="81"/>
            <rFont val="Tahoma"/>
            <family val="2"/>
          </rPr>
          <t>Guidance: $1,000-1,200mn through 2021
Source: 2017 10-K dated 02/20/18</t>
        </r>
      </text>
    </comment>
    <comment ref="S100" authorId="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we estimate based on the capital structure. This is also a reasonable estimate range per IR since details for full business are not provided.</t>
        </r>
      </text>
    </comment>
    <comment ref="S109" authorId="0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We assume 12%. ATSI and TrAILCo are 12.2% and 12.4%, respectively. They are about 50% of the transmission business. This implies rest is about 11.5%, consistent with PJM peers.</t>
        </r>
      </text>
    </comment>
    <comment ref="AK109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ATSI ROE reduced from 12.38% to 11.06% per settlement ($1.3b rate base)</t>
        </r>
      </text>
    </comment>
    <comment ref="AN109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ATSI ROE reduced to 10.38% per settlement </t>
        </r>
      </text>
    </comment>
  </commentList>
</comments>
</file>

<file path=xl/comments6.xml><?xml version="1.0" encoding="utf-8"?>
<comments xmlns="http://schemas.openxmlformats.org/spreadsheetml/2006/main">
  <authors>
    <author>ancsan</author>
    <author>Magajwala, Vatsal (Research)</author>
    <author>sunilt</author>
    <author>jasoriya</author>
    <author>Kapoor, Vishal (Research)</author>
    <author>Jasoriya, Prateek (Research)</author>
    <author>Ananth, Manoj (Research)</author>
    <author>Arcaro, David (Research)</author>
    <author>Michael Dandurand</author>
    <author>Jacob, Abey (Research)</author>
    <author>$</author>
    <author>rajeevl</author>
    <author>McDermott, Devin (Research)</author>
    <author>RL</author>
    <author>ramrama</author>
    <author>farrih</author>
    <author>DM</author>
  </authors>
  <commentList>
    <comment ref="O5" authorId="0">
      <text>
        <r>
          <rPr>
            <sz val="8"/>
            <color indexed="81"/>
            <rFont val="Tahoma"/>
            <family val="2"/>
          </rPr>
          <t>IS is restated based on 2Q12 filings, however BS is not restated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5" authorId="0">
      <text>
        <r>
          <rPr>
            <sz val="8"/>
            <color indexed="81"/>
            <rFont val="Tahoma"/>
            <family val="2"/>
          </rPr>
          <t>IS is restated based on  restated based on 2Q12 filings, however BS is not restated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5" authorId="0">
      <text>
        <r>
          <rPr>
            <sz val="8"/>
            <color indexed="81"/>
            <rFont val="Tahoma"/>
            <family val="2"/>
          </rPr>
          <t>IS is restated based on restated based on 3Q12 filings, however BS is not restated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3" authorId="1">
      <text>
        <r>
          <rPr>
            <sz val="9"/>
            <color indexed="81"/>
            <rFont val="Tahoma"/>
            <family val="2"/>
          </rPr>
          <t xml:space="preserve">Depreciation: 130-135
Source: 3Q17 slides
</t>
        </r>
      </text>
    </comment>
    <comment ref="Y19" authorId="0">
      <text>
        <r>
          <rPr>
            <sz val="8"/>
            <color indexed="81"/>
            <rFont val="Tahoma"/>
            <family val="2"/>
          </rPr>
          <t>$119 mn Loss on debt redemptions</t>
        </r>
      </text>
    </comment>
    <comment ref="Z19" authorId="2">
      <text>
        <r>
          <rPr>
            <sz val="8"/>
            <color indexed="81"/>
            <rFont val="Tahoma"/>
            <family val="2"/>
          </rPr>
          <t>Includes:
$473m : Impairment of long-lived assets
$32m : Loss on debt redemptions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19" authorId="2">
      <text>
        <r>
          <rPr>
            <sz val="8"/>
            <color indexed="81"/>
            <rFont val="Tahoma"/>
            <family val="2"/>
          </rPr>
          <t xml:space="preserve">Includes:
$473m : Impairment of long-lived assets
</t>
        </r>
        <r>
          <rPr>
            <sz val="8"/>
            <color indexed="81"/>
            <rFont val="Tahoma"/>
            <family val="2"/>
          </rPr>
          <t>$107m : Pensions and OPEB mark-to-market adjustment
$149m : Gain (loss) on debt redemptions</t>
        </r>
      </text>
    </comment>
    <comment ref="AD19" authorId="3">
      <text>
        <r>
          <rPr>
            <sz val="8"/>
            <color indexed="81"/>
            <rFont val="Tahoma"/>
            <family val="2"/>
          </rPr>
          <t>$7 Mn: Loss on debt redemptions</t>
        </r>
      </text>
    </comment>
    <comment ref="AE19" authorId="3">
      <text>
        <r>
          <rPr>
            <sz val="8"/>
            <color indexed="81"/>
            <rFont val="Tahoma"/>
            <family val="2"/>
          </rPr>
          <t>$1 Mn: Loss on debt redemptions</t>
        </r>
      </text>
    </comment>
    <comment ref="AO19" authorId="4">
      <text>
        <r>
          <rPr>
            <sz val="8"/>
            <color indexed="81"/>
            <rFont val="Tahoma"/>
            <family val="2"/>
          </rPr>
          <t>$1,447m: Impairment of assets
$18m: Investment income (loss)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9" authorId="5">
      <text>
        <r>
          <rPr>
            <sz val="9"/>
            <color indexed="81"/>
            <rFont val="Tahoma"/>
            <family val="2"/>
          </rPr>
          <t>$45m :Pension and OPEB mark-to-market adjustment
$66m: Investment income
$10,665m: Impairment of long-lived assets</t>
        </r>
      </text>
    </comment>
    <comment ref="AT19" authorId="4">
      <text>
        <r>
          <rPr>
            <sz val="8"/>
            <color indexed="81"/>
            <rFont val="Tahoma"/>
            <family val="2"/>
          </rPr>
          <t>$131m: Impairment of assets
$12m: Investment income (loss)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19" authorId="6">
      <text>
        <r>
          <rPr>
            <sz val="9"/>
            <color indexed="81"/>
            <rFont val="Tahoma"/>
            <family val="2"/>
          </rPr>
          <t xml:space="preserve">$18m: Impairment of assets
$34m: Investment income (loss)
</t>
        </r>
      </text>
    </comment>
    <comment ref="AW19" authorId="5">
      <text>
        <r>
          <rPr>
            <sz val="9"/>
            <color indexed="81"/>
            <rFont val="Tahoma"/>
            <family val="2"/>
          </rPr>
          <t>$39m :Pension and OPEB mark-to-market adjustment
$81m: Investment income
$2,365m: Impairment of long-lived assets</t>
        </r>
      </text>
    </comment>
    <comment ref="BB19" authorId="7">
      <text>
        <r>
          <rPr>
            <sz val="9"/>
            <color indexed="81"/>
            <rFont val="Tahoma"/>
            <family val="2"/>
          </rPr>
          <t xml:space="preserve">2Q17 slides: $(55)m investment income, $55m amortization </t>
        </r>
      </text>
    </comment>
    <comment ref="BB26" authorId="7">
      <text>
        <r>
          <rPr>
            <sz val="9"/>
            <color indexed="81"/>
            <rFont val="Tahoma"/>
            <family val="2"/>
          </rPr>
          <t>3Q17 slides: $115-125m</t>
        </r>
      </text>
    </comment>
    <comment ref="BB30" authorId="7">
      <text>
        <r>
          <rPr>
            <sz val="9"/>
            <color indexed="81"/>
            <rFont val="Tahoma"/>
            <family val="2"/>
          </rPr>
          <t>3Q17 slides: -$(35)-(85)m</t>
        </r>
      </text>
    </comment>
    <comment ref="J35" authorId="0">
      <text>
        <r>
          <rPr>
            <sz val="8"/>
            <color indexed="81"/>
            <rFont val="Tahoma"/>
            <family val="2"/>
          </rPr>
          <t>Includes : 
9mn Trust securities impairment
6mn Merger transaction/integration, this is included in Operations and Maintenance.
9mn Non-core asset sales/impairments
17mn Mark-to-market adjustments
19mn Income taxes
These are 6month cumulative numbers taken and subtracted from 2Q numbers ( as 3months numbers are not reported)
Source : Consolidated Report to the Financial Community 2Q11, page 17</t>
        </r>
      </text>
    </comment>
    <comment ref="K35" authorId="0">
      <text>
        <r>
          <rPr>
            <sz val="8"/>
            <color indexed="81"/>
            <rFont val="Tahoma"/>
            <family val="2"/>
          </rPr>
          <t>Includes :
9mn Trust securities impairment
2mn Merger transaction/integration, this is included in Operations and Maintenance
35 mn Mark-to-market adjustments
9mn Income tax
Source : Consolidated Report to the Financial Community 2Q11, page 17</t>
        </r>
      </text>
    </comment>
    <comment ref="L35" authorId="0">
      <text>
        <r>
          <rPr>
            <sz val="8"/>
            <color indexed="81"/>
            <rFont val="Tahoma"/>
            <family val="2"/>
          </rPr>
          <t>Includes :
2mn Trust securities impairment
4mn Merger transaction/integration, this is included in Operations and Maintenance
13mn Mark-to-market adjustments
292mn Lake plant charges
116mn Income taxes
Source : Consolidated Report to the Financial Community 3Q11, page 17</t>
        </r>
      </text>
    </comment>
    <comment ref="N35" authorId="0">
      <text>
        <r>
          <rPr>
            <sz val="8"/>
            <color indexed="81"/>
            <rFont val="Tahoma"/>
            <family val="2"/>
          </rPr>
          <t>Includes :
32mn Trust securities impairment
19mn Merger transaction/integration, this is included in Operations and Maintenance
Mark-to-market adjustments
107mn   Pensions/OPEB actuarial
30mn    Other
76mn Non-core asset sales
380mn Generating plant charges
Source : Consolidated Report to the Financial Community 4Q11, page 17</t>
        </r>
      </text>
    </comment>
    <comment ref="P35" authorId="0">
      <text>
        <r>
          <rPr>
            <sz val="8"/>
            <color indexed="81"/>
            <rFont val="Tahoma"/>
            <family val="2"/>
          </rPr>
          <t>Includes :
3mn Trust securities impairment
8mn Merger transaction/integration costs
7mn Non-core asset sales/impairments
20mn Mark-to-market adjustments
49mn Merger accounting - commodity contracts
5mn Litigation resolution
1mn Debt redemption costs
36mn Income taxes
Source : Consolidated Report to the Financial Community 2Q12, page 17</t>
        </r>
      </text>
    </comment>
    <comment ref="Q35" authorId="0">
      <text>
        <r>
          <rPr>
            <sz val="8"/>
            <color indexed="81"/>
            <rFont val="Tahoma"/>
            <family val="2"/>
          </rPr>
          <t>Includes :
8mn Trust securities impairment
2mn Merger transaction/integration, this is included in Operations and Maintenance
1mn Non-core asset sales/impairments,
6mn Mark-to-market adjustments, this is included in Operations and Maintenance
39mn Merger accounting - commodity,this is included in Operations and Maintenance
5mn Litigation resolution
23mn Income taxes
Source : Consolidated Report to the Financial Community 3Q12, page 18</t>
        </r>
      </text>
    </comment>
    <comment ref="S35" authorId="0">
      <text>
        <r>
          <rPr>
            <sz val="8"/>
            <color indexed="81"/>
            <rFont val="Tahoma"/>
            <family val="2"/>
          </rPr>
          <t>Includes :
17mn Trust securities impairment
100mn Merger transaction/integration costs, this is included in Operations and Maintenance.
504mn Non-core asset sales/impairments
Mark-to-market adjustments,  this is included in Operations and Maintenance.
214mn  Pensions/OPEB actuarial assumptions
14mn  Mark-to-market adjustments Other, this is included in Operations and Maintenance
161mn Merger accounting - commodity contracts, this is included in Operations and Maintenance
10mn Litigation resolution
1mn Debt redemption costs
247mn Generating plant charges
Source : Consolidated Report to the Financial Community 4Q11, page 17</t>
        </r>
      </text>
    </comment>
    <comment ref="T35" authorId="0">
      <text>
        <r>
          <rPr>
            <sz val="8"/>
            <color indexed="81"/>
            <rFont val="Tahoma"/>
            <family val="2"/>
          </rPr>
          <t xml:space="preserve">(3)mn Trust securities impairment
(1)mn Merger transaction/integration costs,  this is included in Operations and Maintenance.
(5)mn Non-core asset sales/impairments
39mn Mark-to-market adjustments ,  this is included in Operations and Maintenance.
(26)mn Merger accounting - commodity contracts
(31)mn Plant deactivation costs
10mn Income taxes
Source: Consolidated Report to the Financial Community - 1st Quarter 2013, Pg: 15
</t>
        </r>
      </text>
    </comment>
    <comment ref="U35" authorId="0">
      <text>
        <r>
          <rPr>
            <sz val="8"/>
            <color indexed="81"/>
            <rFont val="Tahoma"/>
            <family val="2"/>
          </rPr>
          <t xml:space="preserve">3mn Trust securities impairment
1mn Merger transaction/integration costs, this is included in Operations and Maintenance.
12mn Non-core asset sales/impairments
9mn Mark-to-market adjustments,  this is included in Operations and Maintenance.
21mn Mark-to-market adjustments
42mn Plant closing costs , this is included in Operations and Maintenance.
1mn Income tax charge - retiree prescription drug subsidy
17mn Income taxes
Source : Consolidated Report to the Financial Community – 2nd  Quarter 2012. Page 19
</t>
        </r>
      </text>
    </comment>
    <comment ref="V35" authorId="8">
      <text>
        <r>
          <rPr>
            <sz val="8"/>
            <color indexed="81"/>
            <rFont val="Tahoma"/>
            <family val="2"/>
          </rPr>
          <t>Includes:
$2mm trust securities
$2mm impairments
($4mm) mark-to-market
$17mm merger accounting
$1mm debt redemption costs
$1mm restructuring
$19mm plant closing
$2mm Income tax charge - retiree prescription drug subsidy
$(14)mm income taxes
Source : Consolidated Report to the Financial Community 3Q12, page 18</t>
        </r>
      </text>
    </comment>
    <comment ref="X35" authorId="8">
      <text>
        <r>
          <rPr>
            <sz val="8"/>
            <color indexed="81"/>
            <rFont val="Tahoma"/>
            <family val="2"/>
          </rPr>
          <t xml:space="preserve">Includes:
$14mm trust securities
$3mn merger transaction
$5mm impairments
$215mm mark-to-market
$(75)mm others
$85mm merger accounting
$2mm debt redemption costs
$6mm restructuring
$168mm plant closing
$(160)mm income taxes
Source: Consolidated Report to the Financial Community - 4th Quarter 2012, Pg:18                   </t>
        </r>
      </text>
    </comment>
    <comment ref="Y35" authorId="8">
      <text>
        <r>
          <rPr>
            <sz val="8"/>
            <color indexed="81"/>
            <rFont val="Tahoma"/>
            <family val="2"/>
          </rPr>
          <t>Includes:
$(16)mm regulatory charges
$(7)mm trust securities
$(1)mn merger transaction
$(6)mm impairments
($4mm) mark-to-market
$(19)mm merger accounting
$(119)mm debt redemption costs
$(8)mm plant closing
$68mm income taxes
Source: Consolidated Report to the Financial Community - 1st Quarter 2013, Pg: 14</t>
        </r>
      </text>
    </comment>
    <comment ref="Z35" authorId="2">
      <text>
        <r>
          <rPr>
            <sz val="8"/>
            <color indexed="81"/>
            <rFont val="Tahoma"/>
            <family val="2"/>
          </rPr>
          <t xml:space="preserve">Includes:
$5m : Regulatory charges 
$30m : Trust securities impairment 
$(1)m : Impact of non-core asset sales/impairments 
$15m : Merger accounting 
$536m : Plant deactivation costs 
$33m : Debt redemption costs 
$(235)m : Income taxes 
Source : Consolidated Report to the Financial Community 2Q13, page 17
</t>
        </r>
      </text>
    </comment>
    <comment ref="AA35" authorId="2">
      <text>
        <r>
          <rPr>
            <sz val="8"/>
            <color indexed="81"/>
            <rFont val="Tahoma"/>
            <family val="2"/>
          </rPr>
          <t xml:space="preserve">Includes:
$(11)m : Regulatory charges 
$21m : Trust securities impairment 
$3m : Impact of non-core asset sales/impairments 
$(5) : Mark-to-market adjustments 
$11m : Merger accounting 
$1m : Restructuring
$14m : Plant deactivation costs 
$(13)m : Income taxes 
Source : Consolidated Report to the Financial Community 3Q13, page 18
</t>
        </r>
      </text>
    </comment>
    <comment ref="AC35" authorId="2">
      <text>
        <r>
          <rPr>
            <sz val="8"/>
            <color indexed="81"/>
            <rFont val="Tahoma"/>
            <family val="2"/>
          </rPr>
          <t xml:space="preserve">Includes:
$18m : Regulatory charges 
$72m : Trust securities impairment 
$20m : Merger transaction/integration costs 
$22m : Impact of non-core asset sales/impairments 
$106m : Pension/OPEB actuarial assumptions </t>
        </r>
        <r>
          <rPr>
            <sz val="8"/>
            <color indexed="81"/>
            <rFont val="Tahoma"/>
            <family val="2"/>
          </rPr>
          <t xml:space="preserve">
$24m : Other
$56m : Merger accounting - commodity contracts 
$1m : Restructuring
$649m : Plant deactivation costs 
$152m : Gain) loss on debt redemptions 
$315m : Income taxes 
Source : Consolidated Report to the Financial Community 4Q13, page 19
</t>
        </r>
      </text>
    </comment>
    <comment ref="AD35" authorId="3">
      <text>
        <r>
          <rPr>
            <b/>
            <sz val="8"/>
            <color indexed="81"/>
            <rFont val="Tahoma"/>
            <family val="2"/>
          </rPr>
          <t xml:space="preserve">Includes:
</t>
        </r>
        <r>
          <rPr>
            <sz val="8"/>
            <color indexed="81"/>
            <rFont val="Tahoma"/>
            <family val="2"/>
          </rPr>
          <t xml:space="preserve">
Plant deactivation costs: ($23) Mn  included in "Fuel"; ($11) Mn  included in "Other operating expenses"; ($1) Mn  included in "General taxes"
Merger accounting - commodity contracts: ($11) Mn  included in "Fuel", $1 Mn  included in "Other operating expenses"
Mark-to-market adjustments: $17 Mn  included in "Other operating expenses"
Impact of non-core asset sales/impairments: $2 Mn  included in "Investment income" and ($78) Mn  included in "Discontinued operations (net of income taxes)"
Trust securities impairment: $2 Mn  included in "Investment income"
Loss on debt redemptions: $7 Mn  included in "Loss on debt redemptions
Numbers are  pre tax
Source :  8-K 1Q14, page 21</t>
        </r>
      </text>
    </comment>
    <comment ref="AE35" authorId="3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Regulatory charges: $1 Mn included in "Other operating expenses"
Plant deactivation costs: ($68) Mn included in "Fuel"; ($14) Mn included in "Other operating expenses"
Merger accounting - commodity contracts: ($10) Mn included in "Fuel"
Mark-to-market adjustments: ($62) Mn included in "Other operating expenses".
Impact of non-core asset sales/impairments: $6 Mn included in "Investment income (loss)" 
Trust securities impairment: $1 Mn included in "Investment income (loss)"
Loss on debt redemptions:$1 Mn included in "Loss on debt redemptions"
Retail repositioning charges: ($46) Mn included in "Other operating expenses".
Numbers are  pre tax
Source :  8-K 2Q14, page 27</t>
        </r>
      </text>
    </comment>
    <comment ref="AF35" authorId="3">
      <text>
        <r>
          <rPr>
            <b/>
            <sz val="8"/>
            <color indexed="81"/>
            <rFont val="Tahoma"/>
            <family val="2"/>
          </rPr>
          <t xml:space="preserve">Includes:
</t>
        </r>
        <r>
          <rPr>
            <sz val="8"/>
            <color indexed="81"/>
            <rFont val="Tahoma"/>
            <family val="2"/>
          </rPr>
          <t>Plant deactivation costs: ($1) Mn  included in "General taxes"
Merger accounting - commodity contracts: ($10) Mn  included in "Fuel"
Mark-to-market adjustments: ($23) Mn  included in "Other operating expenses"
Impact of non-core asset sales/impairments: $4 Mn  included in "Investment income (loss)"
Trust securities impairment: $6 Mn  included in "Investment income (loss)"
Retail repositioning charges: ($13) Mn  included in "Other operating expenses"
Numbers are  pre tax
Source :  8-K 3Q14, page 26</t>
        </r>
      </text>
    </comment>
    <comment ref="AH35" authorId="5">
      <text>
        <r>
          <rPr>
            <sz val="9"/>
            <color indexed="81"/>
            <rFont val="Tahoma"/>
            <family val="2"/>
          </rPr>
          <t>Includes 
$220 m : Fuel
$174 m :Other operating expenses
$327 m :Pension and OPEB mark-to-market
$2 m: General tax
$8 m: Loss on debt redemptions
$53 m: Investment income
$270 m :Income taxes
$78 m: Discontinued operations (net of income taxes)
Source: 8-K 4Q14</t>
        </r>
      </text>
    </comment>
    <comment ref="AI35" authorId="5">
      <text>
        <r>
          <rPr>
            <sz val="9"/>
            <color indexed="81"/>
            <rFont val="Tahoma"/>
            <family val="2"/>
          </rPr>
          <t>Includes 
$22 m : Fuel
$11 m :Other operating expenses
$10 m: Investment income
$15 m :Income taxes
Source: 8-K 1Q15</t>
        </r>
      </text>
    </comment>
    <comment ref="AJ35" authorId="5">
      <text>
        <r>
          <rPr>
            <sz val="9"/>
            <color indexed="81"/>
            <rFont val="Tahoma"/>
            <family val="2"/>
          </rPr>
          <t>Includes 
$3 m : Revenue
$14 m : Fuel
$17 m :Other operating expenses
$1 m : General tax
$18 m: Investment income
$17 m :Income taxes
Source: 8-K 2Q15</t>
        </r>
      </text>
    </comment>
    <comment ref="AK35" authorId="3">
      <text>
        <r>
          <rPr>
            <b/>
            <sz val="8"/>
            <color indexed="81"/>
            <rFont val="Tahoma"/>
            <family val="2"/>
          </rPr>
          <t xml:space="preserve">Includes:
</t>
        </r>
        <r>
          <rPr>
            <sz val="8"/>
            <color indexed="81"/>
            <rFont val="Tahoma"/>
            <family val="2"/>
          </rPr>
          <t>Plant deactivation costs:($2) million included in "Revenues"; and ($4) million in "Other operating expenses"
Merger accounting - commodity contracts: ($11) Mn  included in "Fuel"
Mark-to-market adjustments:  $57 million included in "Other operating expenses"
Impact of non-core asset sales/impairments: $5 Mn  included in "Investment income (loss)"
Trust securities impairment: $41 Mn  included in "Investment income (loss)"
Retail repositioning charges: ($4) Mn  included in "Other operating expenses"
Numbers are  pre tax
Source :  8-K 3Q15, page 29</t>
        </r>
      </text>
    </comment>
    <comment ref="AM35" authorId="3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Regulatory charges:($1) m
Plant deactivation costs:($2)m in "Revenues", ($13) m in "Fuel", ($9)m in "Other operating expenses", and ($2)m in "General taxes". 
Merger accounting - commodity contracts:($110)m
MTM Pension/OPEB actuarial assumptions:($60) m 
Impact of non-core asset sales/impairments:($3) m 
Trust securities impairment:$90 m 
Retail repositioning charges:($31) m 
Mark-to-market adjustments-Other:$73 m 
Source :  8-K 4Q15(ex992), page 31 dated 02/16/16</t>
        </r>
      </text>
    </comment>
    <comment ref="AN35" authorId="5">
      <text>
        <r>
          <rPr>
            <sz val="9"/>
            <color indexed="81"/>
            <rFont val="Tahoma"/>
            <family val="2"/>
          </rPr>
          <t>Includes 
($8) m : Fuel
$164m :Other operating expenses
$6 m: Investment income
($19) m :Income taxes
Source : 8-K  1Q16 (Exhibit 99.2) dated 04/26/16</t>
        </r>
      </text>
    </comment>
    <comment ref="AO35" authorId="4">
      <text>
        <r>
          <rPr>
            <sz val="8"/>
            <color indexed="81"/>
            <rFont val="Tahoma"/>
            <family val="2"/>
          </rPr>
          <t>Includes 
$66 m : Fuel
$70 m :Other operating expenses
$1447m: Impairment of assets
$2 m: Investment income
$2 m: Interest expense
$267 m :Income taxes
Source: 8-K 2Q16 dated 07/28/16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35" authorId="9">
      <text>
        <r>
          <rPr>
            <sz val="9"/>
            <color indexed="81"/>
            <rFont val="Tahoma"/>
            <family val="2"/>
          </rPr>
          <t xml:space="preserve">$8M - Fuel
$16 - Other Operating expenses
$2M - Investment Income
$2M - Interest Expense
$2M - Income Taxes
</t>
        </r>
      </text>
    </comment>
    <comment ref="AR35" authorId="10">
      <text>
        <r>
          <rPr>
            <sz val="9"/>
            <color indexed="81"/>
            <rFont val="Tahoma"/>
            <family val="2"/>
          </rPr>
          <t xml:space="preserve">
Source :  8-K 4Q16(ex992), page 31 dated 02/21/17</t>
        </r>
      </text>
    </comment>
    <comment ref="AS35" authorId="5">
      <text>
        <r>
          <rPr>
            <sz val="9"/>
            <color indexed="81"/>
            <rFont val="Tahoma"/>
            <family val="2"/>
          </rPr>
          <t>Includes 
$211m :Other operating expenses
$3 m: Investment income
75 m :Income taxes
Source : 8-K  1Q17 (Exhibit 99.2) dated 04/27/17</t>
        </r>
      </text>
    </comment>
    <comment ref="AT35" authorId="4">
      <text>
        <r>
          <rPr>
            <sz val="8"/>
            <color indexed="81"/>
            <rFont val="Tahoma"/>
            <family val="2"/>
          </rPr>
          <t>Includes 
$6 m :Other operating expenses
$131m: Impairment of assets
$4m: Investment income
$51 m :Income taxes
Source: 8-K 2Q17 dated 07/27/17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35" authorId="6">
      <text>
        <r>
          <rPr>
            <sz val="9"/>
            <color indexed="81"/>
            <rFont val="Tahoma"/>
            <family val="2"/>
          </rPr>
          <t xml:space="preserve">Includes 
$10 m :Other operating expenses
$18m: Impairment of assets
$3m: Investment income
$11 m :Income taxes
Source: 8-K 3Q17 dated 10/26/17
</t>
        </r>
      </text>
    </comment>
    <comment ref="AW35" authorId="10">
      <text>
        <r>
          <rPr>
            <sz val="9"/>
            <color indexed="81"/>
            <rFont val="Tahoma"/>
            <family val="2"/>
          </rPr>
          <t>Special Items
Source :  8-K 4Q17 (ex99.2), page 31 dated 02/20/18</t>
        </r>
      </text>
    </comment>
    <comment ref="BB36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slides: -$60m to -$145m</t>
        </r>
      </text>
    </comment>
    <comment ref="C86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we assume the incremental delivery cost is offset by the difference in coal pricing. </t>
        </r>
      </text>
    </comment>
    <comment ref="AW114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Includes 67MW of OVEC</t>
        </r>
      </text>
    </comment>
    <comment ref="AW115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Includes 67MW of OVEC</t>
        </r>
      </text>
    </comment>
    <comment ref="AW121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Includes 67MW of OVEC</t>
        </r>
      </text>
    </comment>
    <comment ref="BW134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SNL: $6.760761m operating expense, $6.610709m maintenance expense, 3,003MW plant</t>
        </r>
      </text>
    </comment>
    <comment ref="AM157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2Q15 factbook: 80-85</t>
        </r>
      </text>
    </comment>
    <comment ref="AR157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2Q15 factbook: 80-85</t>
        </r>
      </text>
    </comment>
    <comment ref="AW157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2Q15 factbook: 80-85</t>
        </r>
      </text>
    </comment>
    <comment ref="AM176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72mil currently committed</t>
        </r>
      </text>
    </comment>
    <comment ref="AR176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64TWh currently committed</t>
        </r>
      </text>
    </comment>
    <comment ref="AW179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32TWh retail, 16TWh financial hedge, assume 55TWh total retail + financial hedge</t>
        </r>
      </text>
    </comment>
    <comment ref="AO180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shaping</t>
        </r>
      </text>
    </comment>
    <comment ref="AP180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shaping</t>
        </r>
      </text>
    </comment>
    <comment ref="AW182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slides: 42TWh</t>
        </r>
      </text>
    </comment>
    <comment ref="BB182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slides: 26TWh</t>
        </r>
      </text>
    </comment>
    <comment ref="AW183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slides: 5TWh</t>
        </r>
      </text>
    </comment>
    <comment ref="BB183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slides: 1TWh</t>
        </r>
      </text>
    </comment>
    <comment ref="AN185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shaping based on actual reported results</t>
        </r>
      </text>
    </comment>
    <comment ref="AR185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4Q15 slides</t>
        </r>
      </text>
    </comment>
    <comment ref="AW185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slides: $50 contract rate</t>
        </r>
      </text>
    </comment>
    <comment ref="BB185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2Q17 slides: $50/MWh contract rate</t>
        </r>
      </text>
    </comment>
    <comment ref="AW187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 $1-2/MWh for 4Q</t>
        </r>
      </text>
    </comment>
    <comment ref="BB187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2Q17 slides: $0-1</t>
        </r>
      </text>
    </comment>
    <comment ref="AS188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EEI slides show $1-2/MWh financial gain, plus AD hub ATC price as of 12/31</t>
        </r>
      </text>
    </comment>
    <comment ref="AT188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EEI slides show $1-2/MWh financial gain, plus AD hub ATC price as of 12/31</t>
        </r>
      </text>
    </comment>
    <comment ref="AU188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2Q17 slides show $1-2/MWh financial gain, plus AD hub ATC price as of 6/30</t>
        </r>
      </text>
    </comment>
    <comment ref="AV188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Source: 2Q17 slides show $1-2/MWh financial gain, plus AD hub ATC price as of 6/30</t>
        </r>
      </text>
    </comment>
    <comment ref="AX188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 equal to 9/30 AD hub ATC price plus $0.5/MWh</t>
        </r>
      </text>
    </comment>
    <comment ref="AY188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 equal to 9/30 AD hub ATC price plus $0.5/MWh</t>
        </r>
      </text>
    </comment>
    <comment ref="BW192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an assumption</t>
        </r>
      </text>
    </comment>
    <comment ref="BX192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an assumption</t>
        </r>
      </text>
    </comment>
    <comment ref="BZ192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an assumption</t>
        </r>
      </text>
    </comment>
    <comment ref="CA192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an assumption</t>
        </r>
      </text>
    </comment>
    <comment ref="AM199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Guidance for 10,400 GWh purchased power at $41.50/MWh. </t>
        </r>
      </text>
    </comment>
    <comment ref="AR199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Guidance for 4,700 GWh purchased power at $43/MWh.</t>
        </r>
      </text>
    </comment>
    <comment ref="AW199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3.1 TWh of purchased power at $51/MWh. Includes renewables and OVEC</t>
        </r>
      </text>
    </comment>
    <comment ref="BB199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3.1 TWh of purchased power at $51/MWh. Includes renewables and OVEC</t>
        </r>
      </text>
    </comment>
    <comment ref="AM20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hedged price for purchased power</t>
        </r>
      </text>
    </comment>
    <comment ref="AR20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hedged price for purchased power</t>
        </r>
      </text>
    </comment>
    <comment ref="AW20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hedged price for purchased power</t>
        </r>
      </text>
    </comment>
    <comment ref="BB20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hedged price for purchased power</t>
        </r>
      </text>
    </comment>
    <comment ref="BG20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hedged price for purchased power</t>
        </r>
      </text>
    </comment>
    <comment ref="BX202" authorId="13">
      <text>
        <r>
          <rPr>
            <b/>
            <sz val="9"/>
            <color indexed="81"/>
            <rFont val="Tahoma"/>
            <family val="2"/>
          </rPr>
          <t>DM:</t>
        </r>
        <r>
          <rPr>
            <sz val="9"/>
            <color indexed="81"/>
            <rFont val="Tahoma"/>
            <family val="2"/>
          </rPr>
          <t xml:space="preserve">
1Q15 slides</t>
        </r>
      </text>
    </comment>
    <comment ref="BY202" authorId="13">
      <text>
        <r>
          <rPr>
            <b/>
            <sz val="9"/>
            <color indexed="81"/>
            <rFont val="Tahoma"/>
            <family val="2"/>
          </rPr>
          <t>DM:</t>
        </r>
        <r>
          <rPr>
            <sz val="9"/>
            <color indexed="81"/>
            <rFont val="Tahoma"/>
            <family val="2"/>
          </rPr>
          <t xml:space="preserve">
2Q16 guidance slides</t>
        </r>
      </text>
    </comment>
    <comment ref="C203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55% load factor per IR</t>
        </r>
      </text>
    </comment>
    <comment ref="C204" authorId="13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normally it's about 10% but we assume FE has a location advantage</t>
        </r>
      </text>
    </comment>
    <comment ref="C205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per IR roughly breaks down into:
Line Losses = 5% of Energy Costs
Renewables = $1/mwh
Balancing = $1/mwh</t>
        </r>
      </text>
    </comment>
    <comment ref="C206" authorId="13">
      <text>
        <r>
          <rPr>
            <b/>
            <sz val="9"/>
            <color indexed="81"/>
            <rFont val="Tahoma"/>
            <family val="2"/>
          </rPr>
          <t>RL:</t>
        </r>
        <r>
          <rPr>
            <sz val="9"/>
            <color indexed="81"/>
            <rFont val="Tahoma"/>
            <family val="2"/>
          </rPr>
          <t xml:space="preserve">
includes RTO costs</t>
        </r>
      </text>
    </comment>
    <comment ref="AH206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 to tie to guidance - hedging and insurance costs</t>
        </r>
      </text>
    </comment>
    <comment ref="AM206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Set to tie to guidance. The $4 is RTO/Transmission cost.</t>
        </r>
      </text>
    </comment>
    <comment ref="AW206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set equal to 2015-16 avg</t>
        </r>
      </text>
    </comment>
    <comment ref="C212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to avoid double counting we exclude revs from generation.</t>
        </r>
      </text>
    </comment>
    <comment ref="AH212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Calculation differs from 2015-18 to tie to old guidance methodology</t>
        </r>
      </text>
    </comment>
    <comment ref="AM213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Purchased power cost of ~$430mil in 2015 as per guidance</t>
        </r>
      </text>
    </comment>
    <comment ref="AO214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requested to begin in June 2016</t>
        </r>
      </text>
    </comment>
    <comment ref="AW214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EEI slides: $75m other revenue</t>
        </r>
      </text>
    </comment>
    <comment ref="BB214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earnings slides: $15m other revenue</t>
        </r>
      </text>
    </comment>
    <comment ref="AP22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Q22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S22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U221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Removes 1,527MW of AES capacity </t>
        </r>
      </text>
    </comment>
    <comment ref="AX22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Z221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Slide deck: CP cleared MW
Removes 1.3GW Pleasants plant</t>
        </r>
      </text>
    </comment>
    <comment ref="AU226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Removes AES capacity</t>
        </r>
      </text>
    </comment>
    <comment ref="AZ226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Slide deck: CP cleared MW</t>
        </r>
      </text>
    </comment>
    <comment ref="AP23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Q23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S23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U23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V23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X23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50% of available capacity clears via IA or PPAs</t>
        </r>
      </text>
    </comment>
    <comment ref="AZ23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Slide deck: CP cleared MW
 </t>
        </r>
      </text>
    </comment>
    <comment ref="BA231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Slide deck: CP cleared MW
Assume equal to 9/30 AD hub ATC price plus $0.5/MWh</t>
        </r>
      </text>
    </comment>
    <comment ref="AU236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Remoevs AES capacity</t>
        </r>
      </text>
    </comment>
    <comment ref="AM240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2Q15 factbook: $890m</t>
        </r>
      </text>
    </comment>
    <comment ref="AR240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9/10/2015 Barclays conference: $810m</t>
        </r>
      </text>
    </comment>
    <comment ref="AW240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slides: $575m</t>
        </r>
      </text>
    </comment>
    <comment ref="BB240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earnings slidesk: $475m</t>
        </r>
      </text>
    </comment>
    <comment ref="AR248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4Q15 factbook</t>
        </r>
      </text>
    </comment>
    <comment ref="AW248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4Q15 factbook</t>
        </r>
      </text>
    </comment>
    <comment ref="AM249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hedge guidance includes gas and hydro</t>
        </r>
      </text>
    </comment>
    <comment ref="AR249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hedge guidance includes gas and hydro</t>
        </r>
      </text>
    </comment>
    <comment ref="AW249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4Q15 factbook</t>
        </r>
      </text>
    </comment>
    <comment ref="I270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company guidance</t>
        </r>
      </text>
    </comment>
    <comment ref="AH270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waste storage fee</t>
        </r>
      </text>
    </comment>
    <comment ref="AM274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Set to tie to guidance of 31 TWh of nuclear generation in 2015</t>
        </r>
      </text>
    </comment>
    <comment ref="AX274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Assumed due to refueling outages</t>
        </r>
      </text>
    </comment>
    <comment ref="AH283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waste storage fee</t>
        </r>
      </text>
    </comment>
    <comment ref="AD287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Adjusted to account for outages</t>
        </r>
      </text>
    </comment>
    <comment ref="AM287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Set to tie to guidance of 31 TWh of nuclear generation in 2015</t>
        </r>
      </text>
    </comment>
    <comment ref="AX287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Assumed due to refueling outages</t>
        </r>
      </text>
    </comment>
    <comment ref="AD315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Adjusted to account for outages</t>
        </r>
      </text>
    </comment>
    <comment ref="AH318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 fixed 30% off-peak utilization to meet retial needs and tie to generation guidance. We assume economic dispation in 2016+ as retail book shrinks</t>
        </r>
      </text>
    </comment>
    <comment ref="AM318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 fixed 30% off-peak utilization to meet retial needs and tie to generation guidance. We assume economic dispation in 2016+ as retail book shrinks</t>
        </r>
      </text>
    </comment>
    <comment ref="AD335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Adjusted to account for outages</t>
        </r>
      </text>
    </comment>
    <comment ref="AH338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 fixed 30% off-peak utilization to meet retial needs and tie to generation guidance. We assume economic dispation in 2016+ as retail book shrinks</t>
        </r>
      </text>
    </comment>
    <comment ref="AM338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 fixed 30% off-peak utilization to meet retial needs and tie to generation guidance. We assume economic dispation in 2016+ as retail book shrinks</t>
        </r>
      </text>
    </comment>
    <comment ref="AR338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 fixed 30% off-peak utilization to meet retial needs and tie to generation guidance. We assume economic dispation in 2016+ as retail book shrinks</t>
        </r>
      </text>
    </comment>
    <comment ref="I362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Fuel cost is a multiple of off-peak, which includes some losses</t>
        </r>
      </text>
    </comment>
    <comment ref="I424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max level for quarter</t>
        </r>
      </text>
    </comment>
    <comment ref="I433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based on an $80/bbl oil price</t>
        </r>
      </text>
    </comment>
    <comment ref="I437" authorId="14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these units will not run owning to high fuel costs</t>
        </r>
      </text>
    </comment>
    <comment ref="I457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low PPA price because they are buying and reselling this energy for retail. This price only reflects the margin</t>
        </r>
      </text>
    </comment>
    <comment ref="I469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Assumed low PPA price because they are buying and reselling this energy for retail. This price only reflects the margin</t>
        </r>
      </text>
    </comment>
    <comment ref="AB509" authorId="13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transferred</t>
        </r>
      </text>
    </comment>
    <comment ref="AB510" authorId="13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to be retired</t>
        </r>
      </text>
    </comment>
    <comment ref="AB511" authorId="13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as part of transfer</t>
        </r>
      </text>
    </comment>
    <comment ref="AB514" authorId="13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to be retired</t>
        </r>
      </text>
    </comment>
    <comment ref="J543" authorId="0">
      <text>
        <r>
          <rPr>
            <sz val="8"/>
            <color indexed="81"/>
            <rFont val="Tahoma"/>
            <family val="2"/>
          </rPr>
          <t>$4 mn Merger transaction/integration costs
Source : Consolidated Report to the Financial Community 2Q11, page 17 and 
Consolidated Report to the Financial Community 1Q11, page 13</t>
        </r>
      </text>
    </comment>
    <comment ref="K543" authorId="0">
      <text>
        <r>
          <rPr>
            <sz val="8"/>
            <color indexed="81"/>
            <rFont val="Tahoma"/>
            <family val="2"/>
          </rPr>
          <t>$2 mn Merger transaction/integration costs
Source : Consolidated Report to the Financial Community 2Q11, page 17 and 
Consolidated Report to the Financial Community 1Q11, page 13</t>
        </r>
      </text>
    </comment>
    <comment ref="L543" authorId="0">
      <text>
        <r>
          <rPr>
            <sz val="8"/>
            <color indexed="81"/>
            <rFont val="Tahoma"/>
            <family val="2"/>
          </rPr>
          <t>$4 mn Merger transaction/integration costs
Source : Consolidated Report to the Financial Community 3Q11, page 18 and 
Consolidated Report to the Financial Community 2Q11, page 17</t>
        </r>
      </text>
    </comment>
    <comment ref="N543" authorId="0">
      <text>
        <r>
          <rPr>
            <sz val="8"/>
            <color indexed="81"/>
            <rFont val="Tahoma"/>
            <family val="2"/>
          </rPr>
          <t>$19mn Merger transaction/integration costs
Source : Consolidated Report to the Financial Community 4Q11, page 18</t>
        </r>
      </text>
    </comment>
    <comment ref="O543" authorId="0">
      <text>
        <r>
          <rPr>
            <sz val="8"/>
            <color indexed="81"/>
            <rFont val="Tahoma"/>
            <family val="2"/>
          </rPr>
          <t xml:space="preserve">$87 mn Merger transaction/integration costs
$14mn Non-core asset sales/impairments
$12mn Mark-to-market adjustments
$6mn Merger accounting - commodity contracts
Source : Consolidated Report to the Financial Community 1Q12, page 14
 </t>
        </r>
      </text>
    </comment>
    <comment ref="P543" authorId="0">
      <text>
        <r>
          <rPr>
            <sz val="8"/>
            <color indexed="81"/>
            <rFont val="Tahoma"/>
            <family val="2"/>
          </rPr>
          <t xml:space="preserve">$8mn Merger transaction/integration costs
$7mn Non-core asset sales/impairments
$20mn Mark-to-market adjustments
$8mn Merger accounting - commodity contracts
Source : Consolidated Report to the Financial Community – 2nd Quarter 2012.  Page 19
</t>
        </r>
      </text>
    </comment>
    <comment ref="Q543" authorId="0">
      <text>
        <r>
          <rPr>
            <sz val="8"/>
            <color indexed="81"/>
            <rFont val="Tahoma"/>
            <family val="2"/>
          </rPr>
          <t>$2mn Merger transaction/integration costs
$6mn Mark-to-market adjustments
$7mn Merger accounting - commodity contracts
Source : Consolidated Report to the Financial Community 3Q11, page 18 and 
Consolidated Report to the Financial Community 2Q11, page 17</t>
        </r>
      </text>
    </comment>
    <comment ref="S543" authorId="0">
      <text>
        <r>
          <rPr>
            <sz val="8"/>
            <color indexed="81"/>
            <rFont val="Tahoma"/>
            <family val="2"/>
          </rPr>
          <t>$94mn Merger transaction/integration costs
$2mn Non-core asset sales/impairments
$14mn Mark-to-market adjustments
$60mn Merger accounting - commodity contracts
Source : Consolidated Report to the Financial Community 4Q11, page 18</t>
        </r>
      </text>
    </comment>
    <comment ref="T543" authorId="0">
      <text>
        <r>
          <rPr>
            <sz val="8"/>
            <color indexed="81"/>
            <rFont val="Tahoma"/>
            <family val="2"/>
          </rPr>
          <t>1mn - Merger transaction/integration costs 
39mn - Mark-to-market adjustments 
Plant closings  - $22 million.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Tahoma"/>
            <family val="2"/>
          </rPr>
          <t xml:space="preserve">
Source : Consolidated Report to the Financial Community – 1st Quarter 2012. Page 14
</t>
        </r>
      </text>
    </comment>
    <comment ref="U543" authorId="0">
      <text>
        <r>
          <rPr>
            <sz val="8"/>
            <color indexed="81"/>
            <rFont val="Tahoma"/>
            <family val="2"/>
          </rPr>
          <t xml:space="preserve">1mn - Merger transaction/integration costs .
9mn- Mark-to-market adjustments.
18mn Plant closings
Source : Consolidated Report to the Financial Community – 2nd  Quarter 2012. Page 19
</t>
        </r>
      </text>
    </comment>
    <comment ref="V543" authorId="0">
      <text>
        <r>
          <rPr>
            <sz val="8"/>
            <color indexed="81"/>
            <rFont val="Tahoma"/>
            <family val="2"/>
          </rPr>
          <t xml:space="preserve">+9mn- Mark-to-market adjustments.
-19mn Plant closings
Source : Consolidated Report to the Financial Community – 3nd  Quarter 2012. Page 20
</t>
        </r>
      </text>
    </comment>
    <comment ref="X543" authorId="0">
      <text>
        <r>
          <rPr>
            <sz val="8"/>
            <color indexed="81"/>
            <rFont val="Tahoma"/>
            <family val="2"/>
          </rPr>
          <t>$3mn Merger transaction/integration costs
$75mn Mark-to-market adjustments
$6mn Restructuring
$81 Plant closing costs</t>
        </r>
      </text>
    </comment>
    <comment ref="Y543" authorId="0">
      <text>
        <r>
          <rPr>
            <sz val="8"/>
            <color indexed="81"/>
            <rFont val="Tahoma"/>
            <family val="2"/>
          </rPr>
          <t xml:space="preserve">$16mn Regulatory charges
$4mn Mark-to-market adjustments 
$1mn Merger accounting - commodity contracts 
$2mn Plant deactivation costs </t>
        </r>
      </text>
    </comment>
    <comment ref="Z543" authorId="0">
      <text>
        <r>
          <rPr>
            <sz val="8"/>
            <color indexed="81"/>
            <rFont val="Tahoma"/>
            <family val="2"/>
          </rPr>
          <t xml:space="preserve">$2mn Regulatory charges
$(1)mn Merger accounting - commodity contracts 
$15mn Plant deactivation costs </t>
        </r>
      </text>
    </comment>
    <comment ref="AA543" authorId="0">
      <text>
        <r>
          <rPr>
            <sz val="8"/>
            <color indexed="81"/>
            <rFont val="Tahoma"/>
            <family val="2"/>
          </rPr>
          <t>$(1)mn Merger accounting - commodity contracts 
$(5)mn Plant deactivation costs 
$(5)mn Mark-to-market adjustments</t>
        </r>
      </text>
    </comment>
    <comment ref="AC543" authorId="2">
      <text>
        <r>
          <rPr>
            <sz val="8"/>
            <color indexed="81"/>
            <rFont val="Tahoma"/>
            <family val="2"/>
          </rPr>
          <t xml:space="preserve">Includes:
$1m :  Merger transaction/integration costs 
$24m :  Other
$1m :  Retsructuring 
$5m :  Merger accounting - commodity contracts 
$34m : Plant deactivation costs </t>
        </r>
        <r>
          <rPr>
            <sz val="8"/>
            <color indexed="81"/>
            <rFont val="Tahoma"/>
            <family val="2"/>
          </rPr>
          <t xml:space="preserve">
Source : Consolidated Report to the Financial Community 4Q13, page 19
</t>
        </r>
      </text>
    </comment>
    <comment ref="AD543" authorId="3">
      <text>
        <r>
          <rPr>
            <b/>
            <sz val="8"/>
            <color indexed="81"/>
            <rFont val="Tahoma"/>
            <family val="2"/>
          </rPr>
          <t xml:space="preserve">Includes:
</t>
        </r>
        <r>
          <rPr>
            <sz val="8"/>
            <color indexed="81"/>
            <rFont val="Tahoma"/>
            <family val="2"/>
          </rPr>
          <t xml:space="preserve">
$16 Mn: Regulatory charges
$11 Mn: Plant deactivation costs
$1 Mn: Merger accounting - commodity contracts
$17 Mn:Mark-to-market adjustments
Source :  8-K 1Q14, page 21</t>
        </r>
      </text>
    </comment>
    <comment ref="AE543" authorId="3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$1 Mn: Regulatory charges
$14 Mn: Plant deactivation costs
$62 Mn:Mark-to-market adjustments
$46 Mn:Retail repositioning charges
Source :  8-K 2Q14, page 27</t>
        </r>
      </text>
    </comment>
    <comment ref="AF543" authorId="3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($13) Mn: Retail repositioning charges
($23) Mn: Mark-to-market adjustments
Source :  8-K 3Q14, page 26</t>
        </r>
      </text>
    </comment>
    <comment ref="AH543" authorId="2">
      <text>
        <r>
          <rPr>
            <sz val="8"/>
            <color indexed="81"/>
            <rFont val="Tahoma"/>
            <family val="2"/>
          </rPr>
          <t xml:space="preserve">Includes:
$4m : Regulatory charges 
$4m : Plant deactivation costs 
$70m :  Retail repositioning charges
$74m :  Mark-to-market adjustments-Other
Source : Consolidated Report to the Financial Community 4Q14, page 32
</t>
        </r>
      </text>
    </comment>
    <comment ref="AI543" authorId="2">
      <text>
        <r>
          <rPr>
            <sz val="8"/>
            <color indexed="81"/>
            <rFont val="Tahoma"/>
            <family val="2"/>
          </rPr>
          <t xml:space="preserve">Includes:
$1m : Regulatory charges 
$2m :  Mark-to-market adjustments-Other
$8m :  Retail repositioning charges
Source : Consolidated Report to the Financial Community 1Q15, page 21
</t>
        </r>
      </text>
    </comment>
    <comment ref="AJ543" authorId="2">
      <text>
        <r>
          <rPr>
            <sz val="8"/>
            <color indexed="81"/>
            <rFont val="Tahoma"/>
            <family val="2"/>
          </rPr>
          <t>Includes:
$6m : Plant deactivation costs 
$9m :  Mark-to-market adjustments-Other
$16m :  Impact of non-core asset sales/impairments
$4m :  Retail repositioning charges
Source : Consolidated Report to the Financial Community 2Q15</t>
        </r>
      </text>
    </comment>
    <comment ref="AK543" authorId="3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($4) Mn: Plant deactivation costs
($4) Mn: Retail repositioning charges
$57 Mn: Mark-to-market adjustments
Source :  8-K 3Q15, page 29</t>
        </r>
      </text>
    </comment>
    <comment ref="AM543" authorId="10">
      <text>
        <r>
          <rPr>
            <sz val="9"/>
            <color indexed="81"/>
            <rFont val="Tahoma"/>
            <family val="2"/>
          </rPr>
          <t xml:space="preserve"> 
Regulatory charges: ($1)m
Plant deactivation costs:($9)
Retail repositioning charges: ($31)m
MTM adjustments-Other: $73m
Source :  8-K 4Q15(ex992), page 31</t>
        </r>
      </text>
    </comment>
    <comment ref="AN543" authorId="5">
      <text>
        <r>
          <rPr>
            <sz val="9"/>
            <color indexed="81"/>
            <rFont val="Tahoma"/>
            <family val="2"/>
          </rPr>
          <t>Other operating expenses
Source : 8-K  1Q16 (Exhibit 99.2) dated 04/26/16</t>
        </r>
      </text>
    </comment>
    <comment ref="AO543" authorId="4">
      <text>
        <r>
          <rPr>
            <sz val="8"/>
            <color indexed="81"/>
            <rFont val="Tahoma"/>
            <family val="2"/>
          </rPr>
          <t>Mark-to-market adjustments
Source :  8-K 2Q16 (ex992), page 29 dated 07/28/16</t>
        </r>
      </text>
    </comment>
    <comment ref="AP543" authorId="4">
      <text>
        <r>
          <rPr>
            <sz val="8"/>
            <color indexed="81"/>
            <rFont val="Tahoma"/>
            <family val="2"/>
          </rPr>
          <t>Mark-to-market adjustments
Source :  8-K 2Q16 (ex992), page 29 dated 11/24/16</t>
        </r>
      </text>
    </comment>
    <comment ref="AR543" authorId="10">
      <text>
        <r>
          <rPr>
            <sz val="9"/>
            <color indexed="81"/>
            <rFont val="Tahoma"/>
            <family val="2"/>
          </rPr>
          <t>Mark-to-market adjustments
Source :  8-K 4Q16(ex992), page 29 dated 02/21/17</t>
        </r>
      </text>
    </comment>
    <comment ref="AS543" authorId="5">
      <text>
        <r>
          <rPr>
            <sz val="9"/>
            <color indexed="81"/>
            <rFont val="Tahoma"/>
            <family val="2"/>
          </rPr>
          <t>Other operating expenses
Source : 8-K  1Q17 (Exhibit 99.2) dated 04/26/17</t>
        </r>
      </text>
    </comment>
    <comment ref="AT543" authorId="4">
      <text>
        <r>
          <rPr>
            <sz val="8"/>
            <color indexed="81"/>
            <rFont val="Tahoma"/>
            <family val="2"/>
          </rPr>
          <t>Mark-to-market adjustments
Source :  8-K 2Q17 (ex992), page 30 dated 07/27/17</t>
        </r>
      </text>
    </comment>
    <comment ref="AU543" authorId="6">
      <text>
        <r>
          <rPr>
            <sz val="9"/>
            <color indexed="81"/>
            <rFont val="Tahoma"/>
            <family val="2"/>
          </rPr>
          <t>Mark-to-market adjustments
Source :  8-K 3Q17 (ex992), page 30 dated 10/26/17</t>
        </r>
      </text>
    </comment>
    <comment ref="AW543" authorId="10">
      <text>
        <r>
          <rPr>
            <sz val="9"/>
            <color indexed="81"/>
            <rFont val="Tahoma"/>
            <family val="2"/>
          </rPr>
          <t>Mark-to-market adjustments and Asset Impairment/Plant exit costs
Source :  8-K 4Q17 (ex99.2), page 31 dated 02/20/18</t>
        </r>
      </text>
    </comment>
    <comment ref="S545" authorId="15">
      <text>
        <r>
          <rPr>
            <b/>
            <sz val="8"/>
            <color indexed="81"/>
            <rFont val="Tahoma"/>
            <family val="2"/>
          </rPr>
          <t>farrih:</t>
        </r>
        <r>
          <rPr>
            <sz val="8"/>
            <color indexed="81"/>
            <rFont val="Tahoma"/>
            <family val="2"/>
          </rPr>
          <t xml:space="preserve">
Due to merger with  Allegheny Energy</t>
        </r>
      </text>
    </comment>
    <comment ref="W545" authorId="11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to acct for ~2GW of plant retirements and fewer nuclear outages vs 1H12</t>
        </r>
      </text>
    </comment>
    <comment ref="BB545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slides: $1,280m other operating expenses (assume includes O&amp;M and TOTI)</t>
        </r>
      </text>
    </comment>
    <comment ref="BG546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assumes reversal of pension hit</t>
        </r>
      </text>
    </comment>
    <comment ref="S549" authorId="15">
      <text>
        <r>
          <rPr>
            <b/>
            <sz val="8"/>
            <color indexed="81"/>
            <rFont val="Tahoma"/>
            <family val="2"/>
          </rPr>
          <t>farrih:</t>
        </r>
        <r>
          <rPr>
            <sz val="8"/>
            <color indexed="81"/>
            <rFont val="Tahoma"/>
            <family val="2"/>
          </rPr>
          <t xml:space="preserve">
Due to merger with  Allegheny Energy</t>
        </r>
      </text>
    </comment>
    <comment ref="C553" authorId="0">
      <text>
        <r>
          <rPr>
            <sz val="8"/>
            <color indexed="81"/>
            <rFont val="Tahoma"/>
            <family val="2"/>
          </rPr>
          <t>Includes numbers of the following companies :
Allegheny Energy Supply Company
First Energy Solutions
http://investors.firstenergycorp.com/phoenix.zhtml?c=102230&amp;p=irol-ufi</t>
        </r>
      </text>
    </comment>
    <comment ref="N553" authorId="0">
      <text>
        <r>
          <rPr>
            <sz val="8"/>
            <color indexed="81"/>
            <rFont val="Tahoma"/>
            <family val="2"/>
          </rPr>
          <t>Does not include 
Allegheny Energy Supply Company numbers</t>
        </r>
      </text>
    </comment>
    <comment ref="C554" authorId="0">
      <text>
        <r>
          <rPr>
            <sz val="8"/>
            <color indexed="81"/>
            <rFont val="Tahoma"/>
            <family val="2"/>
          </rPr>
          <t>Includes numbers of the following companies :
Allegheny Energy Supply Company
First Energy Solutions
http://investors.firstenergycorp.com/phoenix.zhtml?c=102230&amp;p=irol-ufi</t>
        </r>
      </text>
    </comment>
    <comment ref="N554" authorId="0">
      <text>
        <r>
          <rPr>
            <sz val="8"/>
            <color indexed="81"/>
            <rFont val="Tahoma"/>
            <family val="2"/>
          </rPr>
          <t>Does not include 
Allegheny Energy Supply Company numbers</t>
        </r>
      </text>
    </comment>
    <comment ref="AO554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calculated value, actuals not yet reported</t>
        </r>
      </text>
    </comment>
    <comment ref="C557" authorId="0">
      <text>
        <r>
          <rPr>
            <sz val="8"/>
            <color indexed="81"/>
            <rFont val="Tahoma"/>
            <family val="2"/>
          </rPr>
          <t>Includes numbers of the following companies :
Allegheny Energy Supply Company
First Energy Solutions
http://investors.firstenergycorp.com/phoenix.zhtml?c=102230&amp;p=irol-ufi</t>
        </r>
      </text>
    </comment>
    <comment ref="N557" authorId="0">
      <text>
        <r>
          <rPr>
            <sz val="8"/>
            <color indexed="81"/>
            <rFont val="Tahoma"/>
            <family val="2"/>
          </rPr>
          <t>Does not include 
Allegheny Energy Supply Company numbers</t>
        </r>
      </text>
    </comment>
    <comment ref="AO557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FES only</t>
        </r>
      </text>
    </comment>
    <comment ref="BB561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3Q17 slides: $130-135m</t>
        </r>
      </text>
    </comment>
    <comment ref="AX563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Set to approximate annual guidance</t>
        </r>
      </text>
    </comment>
    <comment ref="AS564" authorId="1">
      <text>
        <r>
          <rPr>
            <sz val="9"/>
            <color indexed="81"/>
            <rFont val="Tahoma"/>
            <family val="2"/>
          </rPr>
          <t xml:space="preserve">We have not changed the formula as CWIP is turning negative from 2Q17 onwards
</t>
        </r>
      </text>
    </comment>
    <comment ref="BB566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4Q16 factbook</t>
        </r>
      </text>
    </comment>
    <comment ref="BB567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EEI 2016 guidance</t>
        </r>
      </text>
    </comment>
    <comment ref="AC595" authorId="16">
      <text>
        <r>
          <rPr>
            <b/>
            <sz val="8"/>
            <color indexed="81"/>
            <rFont val="Tahoma"/>
            <family val="2"/>
          </rPr>
          <t>DM:</t>
        </r>
        <r>
          <rPr>
            <sz val="8"/>
            <color indexed="81"/>
            <rFont val="Tahoma"/>
            <family val="2"/>
          </rPr>
          <t xml:space="preserve">
Bonus Depreciation. Set to hit company guidance.</t>
        </r>
      </text>
    </comment>
    <comment ref="AH595" authorId="16">
      <text>
        <r>
          <rPr>
            <b/>
            <sz val="8"/>
            <color indexed="81"/>
            <rFont val="Tahoma"/>
            <family val="2"/>
          </rPr>
          <t>DM:</t>
        </r>
        <r>
          <rPr>
            <sz val="8"/>
            <color indexed="81"/>
            <rFont val="Tahoma"/>
            <family val="2"/>
          </rPr>
          <t xml:space="preserve">
Bonus Depreciation. Set to hit company guidance.</t>
        </r>
      </text>
    </comment>
    <comment ref="AW596" authorId="12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4Q16 factbook: Cash tax impact ($30-60m), amortization ($55m), make whole payment ($110m), lease payments (-$75m), other (+$80m), sale-leaseback repurchases (-$40m), collateral ($70m), working capital (-$270m)</t>
        </r>
      </text>
    </comment>
    <comment ref="BB596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factbook: Cash tax impact ($220-225m), amortization ($55m), lease payments (-$100m), other (+$110-125m), working capital (-$15m)
Also assume $1b pension is funded over 5 years</t>
        </r>
      </text>
    </comment>
    <comment ref="BG596" authorId="7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Assumed pension funding</t>
        </r>
      </text>
    </comment>
    <comment ref="C615" authorId="0">
      <text>
        <r>
          <rPr>
            <sz val="8"/>
            <color indexed="81"/>
            <rFont val="Tahoma"/>
            <family val="2"/>
          </rPr>
          <t>Includes numbers of the following companies :
Allegheny Energy Supply Company
First Energy Solutions
http://investors.firstenergycorp.com/phoenix.zhtml?c=102230&amp;p=irol-ufi</t>
        </r>
      </text>
    </comment>
    <comment ref="N615" authorId="0">
      <text>
        <r>
          <rPr>
            <sz val="8"/>
            <color indexed="81"/>
            <rFont val="Tahoma"/>
            <family val="2"/>
          </rPr>
          <t>Does not include 
Allegheny Energy Supply Company numbers</t>
        </r>
      </text>
    </comment>
    <comment ref="C617" authorId="0">
      <text>
        <r>
          <rPr>
            <sz val="8"/>
            <color indexed="81"/>
            <rFont val="Tahoma"/>
            <family val="2"/>
          </rPr>
          <t>Includes numbers of the following companies :
Allegheny Energy Supply Company
First Energy Solutions
http://investors.firstenergycorp.com/phoenix.zhtml?c=102230&amp;p=irol-ufi</t>
        </r>
      </text>
    </comment>
    <comment ref="N617" authorId="0">
      <text>
        <r>
          <rPr>
            <sz val="8"/>
            <color indexed="81"/>
            <rFont val="Tahoma"/>
            <family val="2"/>
          </rPr>
          <t>Does not include 
Allegheny Energy Supply Company numbers</t>
        </r>
      </text>
    </comment>
    <comment ref="C618" authorId="0">
      <text>
        <r>
          <rPr>
            <sz val="8"/>
            <color indexed="81"/>
            <rFont val="Tahoma"/>
            <family val="2"/>
          </rPr>
          <t>Includes numbers of the following companies :
Allegheny Energy Supply Company
First Energy Solutions
http://investors.firstenergycorp.com/phoenix.zhtml?c=102230&amp;p=irol-ufi</t>
        </r>
      </text>
    </comment>
    <comment ref="N618" authorId="0">
      <text>
        <r>
          <rPr>
            <sz val="8"/>
            <color indexed="81"/>
            <rFont val="Tahoma"/>
            <family val="2"/>
          </rPr>
          <t>Does not include 
Allegheny Energy Supply Company numbers</t>
        </r>
      </text>
    </comment>
    <comment ref="C622" authorId="0">
      <text>
        <r>
          <rPr>
            <sz val="8"/>
            <color indexed="81"/>
            <rFont val="Tahoma"/>
            <family val="2"/>
          </rPr>
          <t>Includes numbers of the following companies :
Allegheny Energy Supply Company
First Energy Solutions
http://investors.firstenergycorp.com/phoenix.zhtml?c=102230&amp;p=irol-ufi</t>
        </r>
      </text>
    </comment>
    <comment ref="C625" authorId="0">
      <text>
        <r>
          <rPr>
            <sz val="8"/>
            <color indexed="81"/>
            <rFont val="Tahoma"/>
            <family val="2"/>
          </rPr>
          <t>Includes numbers of the following companies :
Allegheny Energy Supply Company
First Energy Solutions
http://investors.firstenergycorp.com/phoenix.zhtml?c=102230&amp;p=irol-ufi</t>
        </r>
      </text>
    </comment>
    <comment ref="N625" authorId="0">
      <text>
        <r>
          <rPr>
            <sz val="8"/>
            <color indexed="81"/>
            <rFont val="Tahoma"/>
            <family val="2"/>
          </rPr>
          <t>Does not include 
Allegheny Energy Supply Company numbers</t>
        </r>
      </text>
    </comment>
  </commentList>
</comments>
</file>

<file path=xl/comments7.xml><?xml version="1.0" encoding="utf-8"?>
<comments xmlns="http://schemas.openxmlformats.org/spreadsheetml/2006/main">
  <authors>
    <author>Arcaro, David (Research)</author>
    <author>jasoriya</author>
  </authors>
  <commentList>
    <comment ref="AX12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Reduces drag by $0.03 YoY - The $0.06 increase in drag from EEI slides to 4Q16 slides was described as half being one-time</t>
        </r>
      </text>
    </comment>
    <comment ref="AM38" authorId="1">
      <text>
        <r>
          <rPr>
            <b/>
            <sz val="8"/>
            <color indexed="81"/>
            <rFont val="Tahoma"/>
            <family val="2"/>
          </rPr>
          <t>Includes:</t>
        </r>
        <r>
          <rPr>
            <sz val="8"/>
            <color indexed="81"/>
            <rFont val="Tahoma"/>
            <family val="2"/>
          </rPr>
          <t xml:space="preserve">
Impact of non-core asset sales/impairments:  $13 m in "Investment income (loss)", and $362m in "Impairment of equity method investment.
Numbers are pre tax
Source :  8-K 4Q15(ex992), page 33 dated 02/16/16</t>
        </r>
      </text>
    </comment>
    <comment ref="BB39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-$295 to -285m</t>
        </r>
      </text>
    </comment>
    <comment ref="BB48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Uses fully diluted share count</t>
        </r>
      </text>
    </comment>
    <comment ref="BB5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28%</t>
        </r>
      </text>
    </comment>
    <comment ref="AZ6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Coal settlement payment</t>
        </r>
      </text>
    </comment>
    <comment ref="BB6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4Q17 unlocking the future slides: $100m through 2021</t>
        </r>
      </text>
    </comment>
    <comment ref="BE66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Coal settlement payment</t>
        </r>
      </text>
    </comment>
  </commentList>
</comments>
</file>

<file path=xl/comments8.xml><?xml version="1.0" encoding="utf-8"?>
<comments xmlns="http://schemas.openxmlformats.org/spreadsheetml/2006/main">
  <authors>
    <author>McDermott, Devin (Research)</author>
    <author>RL</author>
    <author>mcderdev</author>
    <author>ramrama</author>
  </authors>
  <commentList>
    <comment ref="BZ35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CA36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is ventyx 2015 target</t>
        </r>
      </text>
    </comment>
    <comment ref="CA37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using market as prices would still need to move up to incent new generation from here.</t>
        </r>
      </text>
    </comment>
    <comment ref="BW58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includes:
- TETCO M3
- TCO
- Lebanon</t>
        </r>
      </text>
    </comment>
    <comment ref="BW59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includes:
- TETCO M3
- TCO
- Lebanon</t>
        </r>
      </text>
    </comment>
    <comment ref="BW62" authorId="1">
      <text>
        <r>
          <rPr>
            <b/>
            <sz val="8"/>
            <color indexed="81"/>
            <rFont val="Tahoma"/>
            <family val="2"/>
          </rPr>
          <t>RL:</t>
        </r>
        <r>
          <rPr>
            <sz val="8"/>
            <color indexed="81"/>
            <rFont val="Tahoma"/>
            <family val="2"/>
          </rPr>
          <t xml:space="preserve">
This includes:
- TETCO M3
- TCO
- Lebanon</t>
        </r>
      </text>
    </comment>
    <comment ref="BY106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we model IL separately</t>
        </r>
      </text>
    </comment>
    <comment ref="AG11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J114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N114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G115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J115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N115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C116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11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K11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O11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C117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11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K11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O11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G11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K11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O11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G119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K119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O119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G120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K120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O120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G121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K121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O121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G12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K12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O12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S12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Winter 2012-13 Strip Auction Clearing Price</t>
        </r>
      </text>
    </comment>
    <comment ref="U12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Summer 2013 Strip Auction Clearing Price</t>
        </r>
      </text>
    </comment>
    <comment ref="W12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Y12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Summer 2014 Strip Auction results</t>
        </r>
      </text>
    </comment>
    <comment ref="AA12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3/10/14</t>
        </r>
      </text>
    </comment>
    <comment ref="AC12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3/10/14</t>
        </r>
      </text>
    </comment>
    <comment ref="S12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Winter 2012-13 Strip Auction Clearing Price</t>
        </r>
      </text>
    </comment>
    <comment ref="U12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Summer 2013 Strip Auction Clearing Price</t>
        </r>
      </text>
    </comment>
    <comment ref="W12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Y12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Summer 2014 Strip Auction results</t>
        </r>
      </text>
    </comment>
    <comment ref="AA12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3/10/14</t>
        </r>
      </text>
    </comment>
    <comment ref="AC12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3/10/14</t>
        </r>
      </text>
    </comment>
    <comment ref="AC125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125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K125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AO125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2017/18 Auction</t>
        </r>
      </text>
    </comment>
    <comment ref="U12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2013/2014 auction clearing price</t>
        </r>
      </text>
    </comment>
    <comment ref="AG12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J127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N127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G12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J128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N128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Updated for 2017/18 Auction</t>
        </r>
      </text>
    </comment>
    <comment ref="AG25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5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C259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259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C260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260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1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2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3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4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65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S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Winter 2012-13 Strip Auction Clearing Price</t>
        </r>
      </text>
    </comment>
    <comment ref="U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ROS Summer 2013 Strip Auction Clearing Price</t>
        </r>
      </text>
    </comment>
    <comment ref="W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Y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A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C266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S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Winter 2012-13 Strip Auction Clearing Price</t>
        </r>
      </text>
    </comment>
    <comment ref="U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NYISO NYC Summer 2013 Strip Auction Clearing Price</t>
        </r>
      </text>
    </comment>
    <comment ref="W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Y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A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C267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OTC forward capacity quote provided by TFS on 6/14/2013</t>
        </r>
      </text>
    </comment>
    <comment ref="AC268" authorId="3">
      <text>
        <r>
          <rPr>
            <b/>
            <sz val="8"/>
            <color indexed="81"/>
            <rFont val="Tahoma"/>
            <family val="2"/>
          </rPr>
          <t>ramrama:</t>
        </r>
        <r>
          <rPr>
            <sz val="8"/>
            <color indexed="81"/>
            <rFont val="Tahoma"/>
            <family val="2"/>
          </rPr>
          <t xml:space="preserve">
Updated for 2015/2016 auction</t>
        </r>
      </text>
    </comment>
    <comment ref="AG268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U269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2013/2014 auction clearing price</t>
        </r>
      </text>
    </comment>
    <comment ref="AG270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  <comment ref="AG271" authorId="2">
      <text>
        <r>
          <rPr>
            <b/>
            <sz val="8"/>
            <color indexed="81"/>
            <rFont val="Tahoma"/>
            <family val="2"/>
          </rPr>
          <t>mcderdev:</t>
        </r>
        <r>
          <rPr>
            <sz val="8"/>
            <color indexed="81"/>
            <rFont val="Tahoma"/>
            <family val="2"/>
          </rPr>
          <t xml:space="preserve">
Updated for 2016/17 auction</t>
        </r>
      </text>
    </comment>
  </commentList>
</comments>
</file>

<file path=xl/comments9.xml><?xml version="1.0" encoding="utf-8"?>
<comments xmlns="http://schemas.openxmlformats.org/spreadsheetml/2006/main">
  <authors>
    <author>Arcaro, David (Research)</author>
  </authors>
  <commentList>
    <comment ref="I20" authorId="0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Assumed to be weighted average rate </t>
        </r>
      </text>
    </comment>
  </commentList>
</comments>
</file>

<file path=xl/comments10.xml><?xml version="1.0" encoding="utf-8"?>
<comments xmlns="http://schemas.openxmlformats.org/spreadsheetml/2006/main">
  <authors>
    <author>McDermott, Devin (Research)</author>
    <author>Arcaro, David (Research)</author>
    <author>DM</author>
    <author>rajeevl</author>
  </authors>
  <commentList>
    <comment ref="DO8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set to hit 50/50 cap structure, in line with actual post spin</t>
        </r>
      </text>
    </comment>
    <comment ref="BB21" authorId="1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Sums terminal values separately to capture FE 2021 estimates</t>
        </r>
      </text>
    </comment>
    <comment ref="BV31" authorId="2">
      <text>
        <r>
          <rPr>
            <b/>
            <sz val="8"/>
            <color indexed="81"/>
            <rFont val="Tahoma"/>
            <family val="2"/>
          </rPr>
          <t>DM:</t>
        </r>
        <r>
          <rPr>
            <sz val="8"/>
            <color indexed="81"/>
            <rFont val="Tahoma"/>
            <family val="2"/>
          </rPr>
          <t xml:space="preserve">
Begins in 2017 to match term of Ute/Parent valuation (avoid double counting of cash dividends to and from parent)</t>
        </r>
      </text>
    </comment>
    <comment ref="DY31" authorId="3">
      <text>
        <r>
          <rPr>
            <b/>
            <sz val="8"/>
            <color indexed="81"/>
            <rFont val="Tahoma"/>
            <family val="2"/>
          </rPr>
          <t>rajeevl:</t>
        </r>
        <r>
          <rPr>
            <sz val="8"/>
            <color indexed="81"/>
            <rFont val="Tahoma"/>
            <family val="2"/>
          </rPr>
          <t xml:space="preserve">
Net PP&amp;E less grossed up deferred taxes</t>
        </r>
      </text>
    </comment>
    <comment ref="ED31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+ FES</t>
        </r>
      </text>
    </comment>
    <comment ref="BV34" authorId="2">
      <text>
        <r>
          <rPr>
            <b/>
            <sz val="8"/>
            <color indexed="81"/>
            <rFont val="Tahoma"/>
            <family val="2"/>
          </rPr>
          <t>DA:</t>
        </r>
        <r>
          <rPr>
            <sz val="8"/>
            <color indexed="81"/>
            <rFont val="Tahoma"/>
            <family val="2"/>
          </rPr>
          <t xml:space="preserve">
2015 net debt</t>
        </r>
      </text>
    </comment>
    <comment ref="X37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based on stand-alone DCF on the valuation tab</t>
        </r>
      </text>
    </comment>
    <comment ref="CR41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includes synergy value</t>
        </r>
      </text>
    </comment>
    <comment ref="CW41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includes synergy value</t>
        </r>
      </text>
    </comment>
    <comment ref="DB41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includes synergy value</t>
        </r>
      </text>
    </comment>
    <comment ref="DG41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includes synergy value</t>
        </r>
      </text>
    </comment>
    <comment ref="AC59" authorId="1">
      <text>
        <r>
          <rPr>
            <b/>
            <sz val="9"/>
            <color indexed="81"/>
            <rFont val="Tahoma"/>
            <family val="2"/>
          </rPr>
          <t>Arcaro, David (Research):</t>
        </r>
        <r>
          <rPr>
            <sz val="9"/>
            <color indexed="81"/>
            <rFont val="Tahoma"/>
            <family val="2"/>
          </rPr>
          <t xml:space="preserve">
4Q16 transcript: $1b</t>
        </r>
      </text>
    </comment>
    <comment ref="DR65" authorId="0">
      <text>
        <r>
          <rPr>
            <b/>
            <sz val="9"/>
            <color indexed="81"/>
            <rFont val="Tahoma"/>
            <family val="2"/>
          </rPr>
          <t>McDermott, Devin (Research):</t>
        </r>
        <r>
          <rPr>
            <sz val="9"/>
            <color indexed="81"/>
            <rFont val="Tahoma"/>
            <family val="2"/>
          </rPr>
          <t xml:space="preserve">
25 yr life</t>
        </r>
      </text>
    </comment>
  </commentList>
</comments>
</file>

<file path=xl/comments11.xml><?xml version="1.0" encoding="utf-8"?>
<comments xmlns="http://schemas.openxmlformats.org/spreadsheetml/2006/main">
  <authors>
    <author>farrih</author>
    <author>$</author>
    <author>Ananth, Manoj (Research)</author>
    <author>ancsan</author>
  </authors>
  <commentList>
    <comment ref="N14" authorId="0">
      <text>
        <r>
          <rPr>
            <b/>
            <sz val="8"/>
            <color indexed="81"/>
            <rFont val="Tahoma"/>
            <family val="2"/>
          </rPr>
          <t>farrih:</t>
        </r>
        <r>
          <rPr>
            <sz val="8"/>
            <color indexed="81"/>
            <rFont val="Tahoma"/>
            <family val="2"/>
          </rPr>
          <t xml:space="preserve">
Uses historical net PPE from balance sheet</t>
        </r>
      </text>
    </comment>
    <comment ref="AH61" authorId="1">
      <text>
        <r>
          <rPr>
            <sz val="9"/>
            <color indexed="81"/>
            <rFont val="Tahoma"/>
            <family val="2"/>
          </rPr>
          <t xml:space="preserve">Impairment of long-lived assets: $8.045m
</t>
        </r>
      </text>
    </comment>
    <comment ref="AM61" authorId="1">
      <text>
        <r>
          <rPr>
            <sz val="9"/>
            <color indexed="81"/>
            <rFont val="Tahoma"/>
            <family val="2"/>
          </rPr>
          <t xml:space="preserve">Impairment of long-lived assets: $.4m
</t>
        </r>
      </text>
    </comment>
    <comment ref="AR61" authorId="2">
      <text>
        <r>
          <rPr>
            <sz val="9"/>
            <color indexed="81"/>
            <rFont val="Tahoma"/>
            <family val="2"/>
          </rPr>
          <t xml:space="preserve"> Company reporing has changed. No impairment shown anymore. Only Pension costs and Miscellaneous Income adjustments to be made</t>
        </r>
      </text>
    </comment>
    <comment ref="N62" authorId="0">
      <text>
        <r>
          <rPr>
            <sz val="8"/>
            <color indexed="81"/>
            <rFont val="Tahoma"/>
            <family val="2"/>
          </rPr>
          <t>60 = expense for Pensions and OPEM mark-to-market adjustment.
11 = miscellaneous income</t>
        </r>
      </text>
    </comment>
    <comment ref="N65" authorId="3">
      <text>
        <r>
          <rPr>
            <sz val="8"/>
            <color indexed="81"/>
            <rFont val="Tahoma"/>
            <family val="2"/>
          </rPr>
          <t>86.897 Impairment of long-lived assets</t>
        </r>
      </text>
    </comment>
  </commentList>
</comments>
</file>

<file path=xl/sharedStrings.xml><?xml version="1.0" encoding="utf-8"?>
<sst xmlns="http://schemas.openxmlformats.org/spreadsheetml/2006/main" count="3263" uniqueCount="1600">
  <si>
    <t>Long Term Deferred Tax Liabilities</t>
  </si>
  <si>
    <t>Ticker:</t>
  </si>
  <si>
    <t>Valuation Summary</t>
  </si>
  <si>
    <t>$m, unless stated otherwise</t>
  </si>
  <si>
    <t>2010A</t>
  </si>
  <si>
    <t>BULL-BEAR CASE VALUATION</t>
  </si>
  <si>
    <t>BEAR</t>
  </si>
  <si>
    <t>BASE</t>
  </si>
  <si>
    <t>BULL</t>
  </si>
  <si>
    <t>Valuation Year</t>
  </si>
  <si>
    <t>Group Average P/E</t>
  </si>
  <si>
    <t>Current Stock Price</t>
  </si>
  <si>
    <t>Price Return Potential</t>
  </si>
  <si>
    <t>Dividend</t>
  </si>
  <si>
    <t>Total Return Potential</t>
  </si>
  <si>
    <t>Assumed Allowed Equity Ratio</t>
  </si>
  <si>
    <t>Assumed Earned ROE</t>
  </si>
  <si>
    <t>Dividend Yield</t>
  </si>
  <si>
    <t>Dividend Growth Rate</t>
  </si>
  <si>
    <t>Dividend Per Share</t>
  </si>
  <si>
    <t>Discount Factor</t>
  </si>
  <si>
    <t>Financial Summary</t>
  </si>
  <si>
    <t>Period Ended</t>
  </si>
  <si>
    <t>EPS AND EBITDA PROFILE</t>
  </si>
  <si>
    <t>Income After Tax</t>
  </si>
  <si>
    <t xml:space="preserve">Gross PPE </t>
  </si>
  <si>
    <t>Delivery Capital Rider (DCR) for Ohio investments</t>
  </si>
  <si>
    <t>CAPITALIZATION PROFILE</t>
  </si>
  <si>
    <t>EPS by Business Segment</t>
  </si>
  <si>
    <t>Cash</t>
  </si>
  <si>
    <t>Short Term Debt</t>
  </si>
  <si>
    <t>Long Term Debt</t>
  </si>
  <si>
    <t>Total Debt</t>
  </si>
  <si>
    <t>Consolidated EPS</t>
  </si>
  <si>
    <t>Preferred Equity</t>
  </si>
  <si>
    <t>Common Equity</t>
  </si>
  <si>
    <t>Regulated / Unregulated EPS</t>
  </si>
  <si>
    <t>Earned ROE</t>
  </si>
  <si>
    <t>Total Capitalization</t>
  </si>
  <si>
    <t>Other (Non-Utility / Power operations)</t>
  </si>
  <si>
    <t>Leverage Ratios</t>
  </si>
  <si>
    <t>CASH FLOW STATEMENT</t>
  </si>
  <si>
    <t>LT Debt  / Total Cap</t>
  </si>
  <si>
    <t>EBITDA by Business Segment</t>
  </si>
  <si>
    <t>Total Debt / Total Cap</t>
  </si>
  <si>
    <t>Net Debt / LTM EBITDA</t>
  </si>
  <si>
    <t>FFO / Total Debt</t>
  </si>
  <si>
    <t>Coverage Ratios</t>
  </si>
  <si>
    <t>Consolidated EBITDA</t>
  </si>
  <si>
    <t>FFO Interest Coverage ((FFO + Int.) / Int.)</t>
  </si>
  <si>
    <t>Pretax Interest Coverage (EBIT / Int.)</t>
  </si>
  <si>
    <t>RETAIL MARGIN CALCULATION</t>
  </si>
  <si>
    <t>Portion of Annual Sales in Each Quarter</t>
  </si>
  <si>
    <t>% Retail Sales Forecast Committed</t>
  </si>
  <si>
    <t>Uncommitted Volume for Retail Sales (gwh)</t>
  </si>
  <si>
    <t>Other Changes (includes rate decrease)</t>
  </si>
  <si>
    <t>FE Generation</t>
  </si>
  <si>
    <t>FES Shortage (market purchases) - gwh</t>
  </si>
  <si>
    <t>Total Retail Price ($/mwh) - uncommitted</t>
  </si>
  <si>
    <t>Total Retail Price ($/mwh) - committed</t>
  </si>
  <si>
    <t>Blended Purchase Price ($/mwh)</t>
  </si>
  <si>
    <t>Blended Retail Price ($/mwh)</t>
  </si>
  <si>
    <t>Volumes &amp; Pricing - Committed / Uncommitted</t>
  </si>
  <si>
    <t>Market Purchases - Volumes &amp; Pricing</t>
  </si>
  <si>
    <t>Net Revenues (purchased power &amp; margin)</t>
  </si>
  <si>
    <t>Margin</t>
  </si>
  <si>
    <t>Retail (includes transmission and other costs)</t>
  </si>
  <si>
    <t>Springdale Allegh. En. CC 3-5: Gas, PJM-W, RTO</t>
  </si>
  <si>
    <t>Electric Fuel and Purchased Power</t>
  </si>
  <si>
    <t>Regulated / Unregulated EBITDA</t>
  </si>
  <si>
    <t>DIVIDEND AND SHARE COUNT DATA</t>
  </si>
  <si>
    <t>2.75% Series  senior  notes, due 03/15/18</t>
  </si>
  <si>
    <t>4.25% Series  senior  notes, due 03/15/23</t>
  </si>
  <si>
    <t>PCN 2.15% Series due March 1, 2017</t>
  </si>
  <si>
    <t>PCN 2.5% Series due December 1, 2041</t>
  </si>
  <si>
    <t xml:space="preserve">Discontinued operations </t>
  </si>
  <si>
    <t>2Q2013A</t>
  </si>
  <si>
    <t>3Q2013A</t>
  </si>
  <si>
    <t>SLB 9% TE BV2 Series due June 1, 2017</t>
  </si>
  <si>
    <t>SLB 12% TE BV2 Series due June 1, 2017</t>
  </si>
  <si>
    <t>SLB 8.89% OE BV2 Series due June 1, 2017</t>
  </si>
  <si>
    <t>6.8% Senior unsecured notes, due 08/15/39</t>
  </si>
  <si>
    <t>3.5% Senior notes, due 03/15/23</t>
  </si>
  <si>
    <t>Ohio Gas</t>
  </si>
  <si>
    <t>% Gas on Margin</t>
  </si>
  <si>
    <t>HR Assumption at $4 Gas</t>
  </si>
  <si>
    <t>Assumed Gas ($/mmBtu)</t>
  </si>
  <si>
    <t>Target Power Price Move ($/MWh)</t>
  </si>
  <si>
    <t>Modeled</t>
  </si>
  <si>
    <t>MS Power/Basis View ("No" uses forwards)</t>
  </si>
  <si>
    <t>1Q2014A</t>
  </si>
  <si>
    <t>2Q2014A</t>
  </si>
  <si>
    <t>3Q2014A</t>
  </si>
  <si>
    <t>5.2325% Series A-2 secured environmental control bonds, due 07/15/19</t>
  </si>
  <si>
    <t>5.4625% Series A-3 secured environmental control bonds, due 07/15/26</t>
  </si>
  <si>
    <t>5.5225% Series A-4 secured environmental control bonds, due 07/15/27</t>
  </si>
  <si>
    <t>3.34% First mortgage bonds, due 04/15/22</t>
  </si>
  <si>
    <t>CASH FLOW PROFILE</t>
  </si>
  <si>
    <t>Regulated / Unregulated OCF</t>
  </si>
  <si>
    <t>Consolidated OCF</t>
  </si>
  <si>
    <t>Actual Shares Outstanding</t>
  </si>
  <si>
    <t>Average Shares Outstanding</t>
  </si>
  <si>
    <t>Regulated / Unregulated CapEx</t>
  </si>
  <si>
    <t>Distribution</t>
  </si>
  <si>
    <t>Diluted Average Shares Outstanding</t>
  </si>
  <si>
    <t>Consolidated CapEx</t>
  </si>
  <si>
    <t>VALUATION PROFILE</t>
  </si>
  <si>
    <t>MS Competitive EPS</t>
  </si>
  <si>
    <t>MS FE EPS</t>
  </si>
  <si>
    <t>Free Cash Flow</t>
  </si>
  <si>
    <t>Price to Earnings</t>
  </si>
  <si>
    <t>EV / EBITDA</t>
  </si>
  <si>
    <t>Consolidated FCF (Pre-Dividends)</t>
  </si>
  <si>
    <t>Electric Retail Sales Growth (YoY)</t>
  </si>
  <si>
    <t>Book Value Per Share</t>
  </si>
  <si>
    <t>Dividends</t>
  </si>
  <si>
    <t>Return on Average Equity</t>
  </si>
  <si>
    <t>Free Cash Flow (Post Dividends)</t>
  </si>
  <si>
    <t>Return on Invested Capital</t>
  </si>
  <si>
    <t>Return on Average Assets</t>
  </si>
  <si>
    <t>Other Financing Activities</t>
  </si>
  <si>
    <t>Equity Issuance / Buyback, Net</t>
  </si>
  <si>
    <t>Merchant / Parent Valuation</t>
  </si>
  <si>
    <t>Regulated Distribution Debt</t>
  </si>
  <si>
    <t xml:space="preserve">Equity </t>
  </si>
  <si>
    <t>Debt</t>
  </si>
  <si>
    <t>FE Implied Valuation</t>
  </si>
  <si>
    <t>Current Share Price:</t>
  </si>
  <si>
    <t>LT Debt Issuance</t>
  </si>
  <si>
    <t>Current Shares Outstanding</t>
  </si>
  <si>
    <t>1Q2018E</t>
  </si>
  <si>
    <t>2Q2018E</t>
  </si>
  <si>
    <t>3Q2018E</t>
  </si>
  <si>
    <t>4Q2018E</t>
  </si>
  <si>
    <t>1Q18</t>
  </si>
  <si>
    <t>2Q18</t>
  </si>
  <si>
    <t>3Q18</t>
  </si>
  <si>
    <t>4Q18</t>
  </si>
  <si>
    <t>2018E</t>
  </si>
  <si>
    <t>Assumed Issuance 2018</t>
  </si>
  <si>
    <t>LT Debt Retirement</t>
  </si>
  <si>
    <t>Equity Market Capitalization</t>
  </si>
  <si>
    <t>ST Debt Change, Net</t>
  </si>
  <si>
    <t>Weekly Price Deck</t>
  </si>
  <si>
    <t>Market Adjustment</t>
  </si>
  <si>
    <t>TEXAS</t>
  </si>
  <si>
    <t>HR Adjusted Gas</t>
  </si>
  <si>
    <t>Market HR</t>
  </si>
  <si>
    <t>MIDWEST</t>
  </si>
  <si>
    <t>Target Peak HR</t>
  </si>
  <si>
    <t>Market Peak HR</t>
  </si>
  <si>
    <t>Differential in Peak HR</t>
  </si>
  <si>
    <t>Appalachian Basis</t>
  </si>
  <si>
    <t>MS Target Basis - PJM/AD</t>
  </si>
  <si>
    <t>Market Basis - PJM</t>
  </si>
  <si>
    <t>Differential (PJM)</t>
  </si>
  <si>
    <t>Market Basis - AD</t>
  </si>
  <si>
    <t>Differential (AD)</t>
  </si>
  <si>
    <t>Target</t>
  </si>
  <si>
    <t>Delta</t>
  </si>
  <si>
    <t>Net Debt (Forecasted)</t>
  </si>
  <si>
    <t>Other</t>
  </si>
  <si>
    <t>Enterprise Value</t>
  </si>
  <si>
    <t>Annual Change in Cash</t>
  </si>
  <si>
    <t>Consolidated</t>
  </si>
  <si>
    <t>1Q2009A</t>
  </si>
  <si>
    <t>2Q2009A</t>
  </si>
  <si>
    <t>PP&amp;E, D&amp;A, AND CAPEX</t>
  </si>
  <si>
    <t>DEBT AND PREFERRED CALCULATIONS</t>
  </si>
  <si>
    <t>DEBT CALCULATIONS</t>
  </si>
  <si>
    <t>3Q2009A</t>
  </si>
  <si>
    <t>4Q2009A</t>
  </si>
  <si>
    <t>1Q2010A</t>
  </si>
  <si>
    <t>2Q2010A</t>
  </si>
  <si>
    <t>Sales Growth Assumption</t>
  </si>
  <si>
    <t>PJM West Off Peak</t>
  </si>
  <si>
    <t>PJM Gas Basis ($/mmbtu)</t>
  </si>
  <si>
    <t>3Q2010A</t>
  </si>
  <si>
    <t>4Q2010A</t>
  </si>
  <si>
    <t>One-Time Items</t>
  </si>
  <si>
    <t>Net Income reported</t>
  </si>
  <si>
    <t>1Q2011A</t>
  </si>
  <si>
    <t>2Q2011A</t>
  </si>
  <si>
    <t>3Q2012E</t>
  </si>
  <si>
    <t>4Q2012E</t>
  </si>
  <si>
    <t>INCOME STATEMENT</t>
  </si>
  <si>
    <t>Total Operating Revenue</t>
  </si>
  <si>
    <t>Gross Margin</t>
  </si>
  <si>
    <t>Operating and Maintenance</t>
  </si>
  <si>
    <t>1Q17</t>
  </si>
  <si>
    <t>2Q17</t>
  </si>
  <si>
    <t>3Q17</t>
  </si>
  <si>
    <t>4Q17</t>
  </si>
  <si>
    <t>Pumped Storage - RTO &amp; MAAC</t>
  </si>
  <si>
    <t>Taxes Other Than Income</t>
  </si>
  <si>
    <t>Operating Expense</t>
  </si>
  <si>
    <t>Total Operating Income</t>
  </si>
  <si>
    <t>Check</t>
  </si>
  <si>
    <t>EBIT</t>
  </si>
  <si>
    <t>EBITDA</t>
  </si>
  <si>
    <t>Interest Expense</t>
  </si>
  <si>
    <t>Profit Before Taxes</t>
  </si>
  <si>
    <t>Income Tax</t>
  </si>
  <si>
    <t>Adjusted/On-Going Net Income</t>
  </si>
  <si>
    <t>GAAP Reported EPS (diluted)</t>
  </si>
  <si>
    <t>Adjusted / Operating EPS (diluted)</t>
  </si>
  <si>
    <t>YoY EPS Growth</t>
  </si>
  <si>
    <t>Long-Term Debt Issuance/Maturity</t>
  </si>
  <si>
    <t>Long-Term Debt Issuance</t>
  </si>
  <si>
    <t>Other (includes pension funding)</t>
  </si>
  <si>
    <t>Long-Term Debt Maturity/Redemption</t>
  </si>
  <si>
    <t>Increased Interest from LT Debt Issuance</t>
  </si>
  <si>
    <t>Decreased Interest from LT Debt Reduction</t>
  </si>
  <si>
    <t>Net Change in Interest Expense</t>
  </si>
  <si>
    <t>Interest Rate on Short Term Debt/Cash</t>
  </si>
  <si>
    <t>Total</t>
  </si>
  <si>
    <t>FY2009A</t>
  </si>
  <si>
    <t>FY2010A</t>
  </si>
  <si>
    <t>4Q2011A</t>
  </si>
  <si>
    <t>FY2011A</t>
  </si>
  <si>
    <t>Net Income</t>
  </si>
  <si>
    <t>D&amp;A</t>
  </si>
  <si>
    <t>Deferred Income Taxes</t>
  </si>
  <si>
    <t>Working Capital, Net</t>
  </si>
  <si>
    <t>Operating Cash Flow</t>
  </si>
  <si>
    <t>Investing Cash Flow</t>
  </si>
  <si>
    <t>Issuance of LT Debt</t>
  </si>
  <si>
    <t>Retirement of LT Debt</t>
  </si>
  <si>
    <t>Financing Cash Flow</t>
  </si>
  <si>
    <t>Net Change in Cash</t>
  </si>
  <si>
    <t xml:space="preserve">Deferred Taxes </t>
  </si>
  <si>
    <t>Other Adjustments</t>
  </si>
  <si>
    <t>Beginning Cash Balance</t>
  </si>
  <si>
    <t>Ending Cash Balance</t>
  </si>
  <si>
    <t>BALANCE SHEET</t>
  </si>
  <si>
    <t>Accounts Receivable</t>
  </si>
  <si>
    <t>Other Current Assets</t>
  </si>
  <si>
    <t>Total Current Assets</t>
  </si>
  <si>
    <t>Accumulated Depreciation</t>
  </si>
  <si>
    <t>CWIP</t>
  </si>
  <si>
    <t>Investments</t>
  </si>
  <si>
    <t>Other Non-Current Assets</t>
  </si>
  <si>
    <t>Total Assets</t>
  </si>
  <si>
    <t>Accounts Payable</t>
  </si>
  <si>
    <t>Other Current Liabilities</t>
  </si>
  <si>
    <t>Total Current Liabilities</t>
  </si>
  <si>
    <t>Other Non-Current Liabilities</t>
  </si>
  <si>
    <t>Retained Earnings</t>
  </si>
  <si>
    <t>Total Liabilities and Equity</t>
  </si>
  <si>
    <t>Balance Check</t>
  </si>
  <si>
    <t>Regulatory Asset Amortization</t>
  </si>
  <si>
    <t>Capitalized interest</t>
  </si>
  <si>
    <t>Basic Shares Outstanding</t>
  </si>
  <si>
    <t>Diluted Shares Outstanding</t>
  </si>
  <si>
    <t>Operations and Maintenance</t>
  </si>
  <si>
    <t>Cash Flow From Operations</t>
  </si>
  <si>
    <t>Plant Additions</t>
  </si>
  <si>
    <t>Other Investment Cash Flow</t>
  </si>
  <si>
    <t>Residential</t>
  </si>
  <si>
    <t>Commercial and Agricultural</t>
  </si>
  <si>
    <t>ASSUMPTIONS AND DRIVERS</t>
  </si>
  <si>
    <t>O&amp;M Growth (YoY)</t>
  </si>
  <si>
    <t>Taxes Other Than Income (YoY)</t>
  </si>
  <si>
    <t>Electric Rate Change (YoY)</t>
  </si>
  <si>
    <t>Cash Flow From Investing</t>
  </si>
  <si>
    <t>Change in ST debt</t>
  </si>
  <si>
    <t>Equity Issuance / (Distributions)</t>
  </si>
  <si>
    <t>Other Financing Cash Flow</t>
  </si>
  <si>
    <t>Cash Flow From Financing</t>
  </si>
  <si>
    <t>Increase / (Decrease) in Cash</t>
  </si>
  <si>
    <t>Regulatory Assets</t>
  </si>
  <si>
    <t>Net PP&amp;E</t>
  </si>
  <si>
    <t>OPERATING EXPENSES</t>
  </si>
  <si>
    <t>General Taxes</t>
  </si>
  <si>
    <t>YTD CF Data (To Calculate Quarterly)</t>
  </si>
  <si>
    <t>2009A</t>
  </si>
  <si>
    <t>Regulatory Amortization</t>
  </si>
  <si>
    <t>FirstEnergy Corp</t>
  </si>
  <si>
    <t>Operating Income - Regulated Distribution</t>
  </si>
  <si>
    <t>Operating Income - Regulated Transmission</t>
  </si>
  <si>
    <t>Operating Income -Parent &amp; Other</t>
  </si>
  <si>
    <t>Mass Hub / Transco Z6</t>
  </si>
  <si>
    <t>PJM East / Tetco M3</t>
  </si>
  <si>
    <t>ISO-NE Maine</t>
  </si>
  <si>
    <t>MISO</t>
  </si>
  <si>
    <t>ISO-NE Connecticut</t>
  </si>
  <si>
    <t>ISO-NE NEMA-Boston</t>
  </si>
  <si>
    <t>Operating Income -Competitive Energy Services</t>
  </si>
  <si>
    <t>Retirement of Debt</t>
  </si>
  <si>
    <t>Common Equity Issuance/Reduction</t>
  </si>
  <si>
    <t>Operating Income</t>
  </si>
  <si>
    <t>GAAP Reported EPS</t>
  </si>
  <si>
    <t>Adjusted / Operating EPS</t>
  </si>
  <si>
    <t>Equity Ratio</t>
  </si>
  <si>
    <t>Tax Rate</t>
  </si>
  <si>
    <t>Price Target</t>
  </si>
  <si>
    <t>Debt Profile</t>
  </si>
  <si>
    <t>Model</t>
  </si>
  <si>
    <t>Mty/Issue</t>
  </si>
  <si>
    <t>Rate</t>
  </si>
  <si>
    <t>Month</t>
  </si>
  <si>
    <t>Principal</t>
  </si>
  <si>
    <t>Interest</t>
  </si>
  <si>
    <t>First Energy (Consolidated)</t>
  </si>
  <si>
    <t>Total Debt Issuances/Maturities and Interest Change</t>
  </si>
  <si>
    <t>Maturities</t>
  </si>
  <si>
    <t>New Issues</t>
  </si>
  <si>
    <t>Net Annual Change</t>
  </si>
  <si>
    <t>Parent Level Debt (First Energy and Allegheny Corp)</t>
  </si>
  <si>
    <t>Debt Maturities/Retirements</t>
  </si>
  <si>
    <t>Net Issuances (Maturities) and Interest Change</t>
  </si>
  <si>
    <t>Allegheny Energy Supply Company, LLC</t>
  </si>
  <si>
    <t>Allegheny Generating Company</t>
  </si>
  <si>
    <t>FirstEnergy Generation Corp.</t>
  </si>
  <si>
    <t>FirstEnergy Nuclear Generation Corp.</t>
  </si>
  <si>
    <t>Distribution Rate Base</t>
  </si>
  <si>
    <t>Transmission Rate Base</t>
  </si>
  <si>
    <t>MERCHANT / PARENT VALUATION</t>
  </si>
  <si>
    <t>Implied FE Valuation</t>
  </si>
  <si>
    <t>FirstEnergy Solutions Corporation</t>
  </si>
  <si>
    <t>Cleveland Electric Illuminating Company</t>
  </si>
  <si>
    <t>Jersey Central Power &amp; Light Company</t>
  </si>
  <si>
    <t>Metropolitan Edison Company</t>
  </si>
  <si>
    <t>Monongahela Power Company</t>
  </si>
  <si>
    <t>Ohio Edison Company</t>
  </si>
  <si>
    <t>Pennsylvania Electric Company</t>
  </si>
  <si>
    <t>Pennsylvania Power Company</t>
  </si>
  <si>
    <t>Potomac Edison Company</t>
  </si>
  <si>
    <t>Toledo Edison Company</t>
  </si>
  <si>
    <t>West Penn Power Company</t>
  </si>
  <si>
    <t>The Toledo Edison Company</t>
  </si>
  <si>
    <t>ELECTRIC MARGINS</t>
  </si>
  <si>
    <t>The Potomac Edison Company</t>
  </si>
  <si>
    <t>Capital lease obligations</t>
  </si>
  <si>
    <t>Checks at Consolidated Level</t>
  </si>
  <si>
    <t>Sum of Checks</t>
  </si>
  <si>
    <t>Dividend Payout Ratio</t>
  </si>
  <si>
    <t>Regulated Distribution</t>
  </si>
  <si>
    <t>Competitive Energy Services</t>
  </si>
  <si>
    <t>Regulated Transmission</t>
  </si>
  <si>
    <t>5.060% Senior unsecured notes, due 07/14/21</t>
  </si>
  <si>
    <t>USD</t>
  </si>
  <si>
    <t>NAPP</t>
  </si>
  <si>
    <t>ILB</t>
  </si>
  <si>
    <t>FirstEnergy</t>
  </si>
  <si>
    <t>FirstEnergy Corp.</t>
  </si>
  <si>
    <t>Net Issuance</t>
  </si>
  <si>
    <t>Statutory Tax Rate</t>
  </si>
  <si>
    <t>Change in ST Debt</t>
  </si>
  <si>
    <t>Preferred Stock</t>
  </si>
  <si>
    <t>D&amp;A Rate</t>
  </si>
  <si>
    <t>CapEx</t>
  </si>
  <si>
    <t>RATE BASE AND ROEs</t>
  </si>
  <si>
    <t>Beginning Rate Base</t>
  </si>
  <si>
    <t>Capex</t>
  </si>
  <si>
    <t>Ending Rate Base</t>
  </si>
  <si>
    <t>West Lorain  CT 1A-1B : Oil, AEP, ATSI</t>
  </si>
  <si>
    <t>Mad River CT A-B:     Oil, AEP, ATSI</t>
  </si>
  <si>
    <t>Eastlake CT:     Oil, AEP, ATSI</t>
  </si>
  <si>
    <t>Bay Shore CT:     Oil, AEP, ATSI</t>
  </si>
  <si>
    <t>Mtichtell ST 2:     Oil, AEP, RTO</t>
  </si>
  <si>
    <t>West Lorain  CT 2-6: Gas, AEP, ATSI</t>
  </si>
  <si>
    <t>Chambersburg AE CT 12-13: Gas, PJM-W, RTO</t>
  </si>
  <si>
    <t>Pleasants 1-2: Coal, PJM-W, RTO</t>
  </si>
  <si>
    <t>R. Paul Smith 9 &amp; 11: Coal, PJM-W, RTO</t>
  </si>
  <si>
    <t>ROEs</t>
  </si>
  <si>
    <t>Authorized/Assumed ROE</t>
  </si>
  <si>
    <t>Long-Term Debt (w/ current portion &amp; leases)</t>
  </si>
  <si>
    <t>Average</t>
  </si>
  <si>
    <t>CWIP Rate (% of FY capex)</t>
  </si>
  <si>
    <t>Competitive Energy Services (First Energy Solutions, Allegheny Energy Supply)</t>
  </si>
  <si>
    <t>Equity</t>
  </si>
  <si>
    <t>Hydro - Traditional (RTO)</t>
  </si>
  <si>
    <t>Currency</t>
  </si>
  <si>
    <t>Count</t>
  </si>
  <si>
    <t>Utilities (Formula Rate Recoverable)</t>
  </si>
  <si>
    <t>4.10% First mortgage secured bonds, due 4/15/24</t>
  </si>
  <si>
    <t>5.40% First mortgage secured bonds, due 12/15/43</t>
  </si>
  <si>
    <t>TrAILCo</t>
  </si>
  <si>
    <t>MS</t>
  </si>
  <si>
    <t>Company</t>
  </si>
  <si>
    <t>Guidance 2014-17</t>
  </si>
  <si>
    <t>MATS / Environmental / Mansfield Disposal</t>
  </si>
  <si>
    <t>Other Major Projects (Mainly Nuclear)</t>
  </si>
  <si>
    <t>DIVIDEND AND EQUITY ASSUMPTIONS</t>
  </si>
  <si>
    <t>Growth Rate (YoY)</t>
  </si>
  <si>
    <t>Dividends Paid</t>
  </si>
  <si>
    <t>Stock Price Estimate</t>
  </si>
  <si>
    <t>Share Issuance/(Repurchase) - mil shares</t>
  </si>
  <si>
    <t>Share Issuance/(Repurchase)</t>
  </si>
  <si>
    <t>EPS AND CAPEX BY BUSINESS SEGMENT</t>
  </si>
  <si>
    <t>Segment EPS</t>
  </si>
  <si>
    <t>Total EPS</t>
  </si>
  <si>
    <t>Segment CapEx</t>
  </si>
  <si>
    <t>Total CapEx</t>
  </si>
  <si>
    <t>DEBT AND TAX ASSUMPTIONS</t>
  </si>
  <si>
    <t>Interest on Short Term Debt</t>
  </si>
  <si>
    <t>Tax Items</t>
  </si>
  <si>
    <t>Reported Tax Rate</t>
  </si>
  <si>
    <t>Regulated Dividend, Net</t>
  </si>
  <si>
    <t>Net Interest Expense</t>
  </si>
  <si>
    <t>Unlevered Free Cash Flow</t>
  </si>
  <si>
    <r>
      <t xml:space="preserve">Net PPE </t>
    </r>
    <r>
      <rPr>
        <b/>
        <i/>
        <u/>
        <sz val="10"/>
        <rFont val="Arial"/>
        <family val="2"/>
      </rPr>
      <t>minus</t>
    </r>
    <r>
      <rPr>
        <b/>
        <u/>
        <sz val="10"/>
        <rFont val="Arial"/>
        <family val="2"/>
      </rPr>
      <t xml:space="preserve"> Accum. Deferred Income Taxes</t>
    </r>
  </si>
  <si>
    <r>
      <t xml:space="preserve">Net Income </t>
    </r>
    <r>
      <rPr>
        <b/>
        <i/>
        <u/>
        <sz val="10"/>
        <rFont val="Arial"/>
        <family val="2"/>
      </rPr>
      <t>adjusted for non-recurring items</t>
    </r>
  </si>
  <si>
    <t>CAPITALIZATION</t>
  </si>
  <si>
    <t>Cash &amp; Equivalents</t>
  </si>
  <si>
    <t>Short-Term Debt</t>
  </si>
  <si>
    <t>Long-Term Debt</t>
  </si>
  <si>
    <t xml:space="preserve">      % of Total</t>
  </si>
  <si>
    <t>CREDIT STATS</t>
  </si>
  <si>
    <t>LTM FFO (Net Income + D&amp;A)</t>
  </si>
  <si>
    <t>LTM EBIT</t>
  </si>
  <si>
    <t>LTM EBITDA</t>
  </si>
  <si>
    <t>LTM Interest Expense</t>
  </si>
  <si>
    <t>LTM Net Income</t>
  </si>
  <si>
    <t>LT Debt  / Total Capitaliztion</t>
  </si>
  <si>
    <t>Total Debt / Total Capitalization</t>
  </si>
  <si>
    <t>FE.N</t>
  </si>
  <si>
    <t>Other Modelware Items</t>
  </si>
  <si>
    <t>Unrecorded Goodwill from poolings,etc.</t>
  </si>
  <si>
    <t>Common Dividends, Total</t>
  </si>
  <si>
    <t xml:space="preserve"> </t>
  </si>
  <si>
    <t>TAX ITEMS</t>
  </si>
  <si>
    <t>Adjusted Tax Rate</t>
  </si>
  <si>
    <t>Parent</t>
  </si>
  <si>
    <t>Reported Net Income</t>
  </si>
  <si>
    <t>Parent Level Equity Issuance</t>
  </si>
  <si>
    <t>Debt Maturity / Issuance, Net (Parent)</t>
  </si>
  <si>
    <t>Corporate Dividend Requirement</t>
  </si>
  <si>
    <t>Utility Debt</t>
  </si>
  <si>
    <t>Non-Utility Debt</t>
  </si>
  <si>
    <t>PARENT LEVEL CASH FLOWS</t>
  </si>
  <si>
    <t>Reconciliation to Adjusted Earnings</t>
  </si>
  <si>
    <t>Net Loss and Capex (Parent)</t>
  </si>
  <si>
    <t>Competitive Energy Services Dividend, Net</t>
  </si>
  <si>
    <t>RTO</t>
  </si>
  <si>
    <t>Cinergy / HH</t>
  </si>
  <si>
    <t>NI Hub / HH</t>
  </si>
  <si>
    <t>ERCOT Houston / HH</t>
  </si>
  <si>
    <t>ERCOT North / HH</t>
  </si>
  <si>
    <t>ERCOT South / HH</t>
  </si>
  <si>
    <t>Palo Verde / SCAL</t>
  </si>
  <si>
    <t>SP 15 / SCAL</t>
  </si>
  <si>
    <t>NP 15 / SCAL</t>
  </si>
  <si>
    <t>Mid C / SCAL</t>
  </si>
  <si>
    <t>Power Price Sensitivity (from valuation summary)</t>
  </si>
  <si>
    <t>Undhedged Retail Price Assumption</t>
  </si>
  <si>
    <t>Undhedged Retail Margin Assumption</t>
  </si>
  <si>
    <t>Existing Customer</t>
  </si>
  <si>
    <t>New Customers</t>
  </si>
  <si>
    <t>Hedged (%)</t>
  </si>
  <si>
    <t>Average Margin ($/mwh)</t>
  </si>
  <si>
    <t>Plant in Service &amp; Other</t>
  </si>
  <si>
    <t>Hydro</t>
  </si>
  <si>
    <t>Solar</t>
  </si>
  <si>
    <t>RENEWABLES ENERGY MARGIN CALCULATION - AT MARKET</t>
  </si>
  <si>
    <t>Solar -PJM</t>
  </si>
  <si>
    <t>Wind - PJM</t>
  </si>
  <si>
    <t>Assumed Contract Price ($/mwh)</t>
  </si>
  <si>
    <t>PJM Renewables</t>
  </si>
  <si>
    <t>Wind/Solar</t>
  </si>
  <si>
    <t>Renewables (contracted)</t>
  </si>
  <si>
    <t>Guidance (Cleared Revenue Only)</t>
  </si>
  <si>
    <t>Delivery &amp; Capacity Cost Guidance</t>
  </si>
  <si>
    <t>Capacity Cost Adjustment</t>
  </si>
  <si>
    <t>Delivery Costs</t>
  </si>
  <si>
    <t>Other Delivery Costs</t>
  </si>
  <si>
    <t>Other Delivery Costs ($/MWh)</t>
  </si>
  <si>
    <t>Implied $/MWh (total delivery)</t>
  </si>
  <si>
    <t>Purchased Power Price ($/MWh)</t>
  </si>
  <si>
    <t>Implied Margin ($/mwh)</t>
  </si>
  <si>
    <t>Additional Purchased Power Costs</t>
  </si>
  <si>
    <t>Regulated Group Average P/E</t>
  </si>
  <si>
    <t>Cleveland Electric Illuminating Company,</t>
  </si>
  <si>
    <t>Transmission</t>
  </si>
  <si>
    <t>1Q2012A</t>
  </si>
  <si>
    <t>DIVERSIFIED P/E VALUATION</t>
  </si>
  <si>
    <t>Consensus</t>
  </si>
  <si>
    <t>Assumed Premium/Discount</t>
  </si>
  <si>
    <t>Adjusted P/E</t>
  </si>
  <si>
    <t>Utilities Valuation</t>
  </si>
  <si>
    <t>Implied Valuation</t>
  </si>
  <si>
    <t>TERMINAL ASSUMPTIONS</t>
  </si>
  <si>
    <t>HH Natural Gas Price Assumption ($/mmcf)</t>
  </si>
  <si>
    <t>Natural Gas ($/mmbtu)</t>
  </si>
  <si>
    <t>Gas Price Sensitivity ($/mmcf)</t>
  </si>
  <si>
    <t>RTO ($/mw-day)</t>
  </si>
  <si>
    <t>Power Price Sensitivity ($/mwh)</t>
  </si>
  <si>
    <t>MERCHANT GENERATION VALUATION ASSUMPTIONS</t>
  </si>
  <si>
    <t>WACC for Genco</t>
  </si>
  <si>
    <t>Electric Sales Growth</t>
  </si>
  <si>
    <t>O&amp;M Growth</t>
  </si>
  <si>
    <t>Implied Debt Value as a % of Ent Value</t>
  </si>
  <si>
    <t>Implied Equity Value as a % of Ent Value</t>
  </si>
  <si>
    <t>Assumed Allowed ROE</t>
  </si>
  <si>
    <t>Assumed Beta of Merchant Generation</t>
  </si>
  <si>
    <t>Estimated WACC</t>
  </si>
  <si>
    <t>Total Capex (ex nuclear fuel)</t>
  </si>
  <si>
    <t>Levered Free Cash Flow</t>
  </si>
  <si>
    <t>Terminal Year Debt/EBITDA</t>
  </si>
  <si>
    <t>Implied EV / EBITDA</t>
  </si>
  <si>
    <t>Equity Value</t>
  </si>
  <si>
    <t>Equity Value Per Share</t>
  </si>
  <si>
    <t>Total Utiility Rate Base ($mil)</t>
  </si>
  <si>
    <t>DCF-Driven EV/EBITDA Multiple</t>
  </si>
  <si>
    <t>Adjusted EV</t>
  </si>
  <si>
    <t>Implied Utility Earnings Potential ($mil)</t>
  </si>
  <si>
    <t>Projected Diluted Shares Count ($mil)</t>
  </si>
  <si>
    <t>Shares Outstanding (mil)</t>
  </si>
  <si>
    <t>Per Share Value</t>
  </si>
  <si>
    <t>Implied in Share Price</t>
  </si>
  <si>
    <t>MARKET PRICES &amp; SENSITIVITIES</t>
  </si>
  <si>
    <t>Natural Gas ($/mmcf)</t>
  </si>
  <si>
    <t>MS Gas Assumption</t>
  </si>
  <si>
    <t>Gas Price Sensitivity (from valuation summary)</t>
  </si>
  <si>
    <t>Gas Basis ($/mmcf)</t>
  </si>
  <si>
    <t>TETCO M3</t>
  </si>
  <si>
    <t>Power Prices ($/MWh)</t>
  </si>
  <si>
    <t>PJM West ATC Price</t>
  </si>
  <si>
    <t>Market Heat Rates (btu/kwh)</t>
  </si>
  <si>
    <t>Capacity Price ($/mw-day)</t>
  </si>
  <si>
    <t>Coal Prices</t>
  </si>
  <si>
    <t>PJM CAPP Coal Prices - FOB ($)</t>
  </si>
  <si>
    <t>PJM Delivered CAAP Coal Prices ($)</t>
  </si>
  <si>
    <t>PJM Delivered NAPP Coal Prices ($)</t>
  </si>
  <si>
    <t>West PRB Coal Prices - FOB ($)</t>
  </si>
  <si>
    <t>Delivered PRB Coal Prices ($)</t>
  </si>
  <si>
    <t>AD Hub On Peak</t>
  </si>
  <si>
    <t>AD Hub Off Peak</t>
  </si>
  <si>
    <t>AD Hub ATC Price</t>
  </si>
  <si>
    <t>ATSI ($/mw-day)</t>
  </si>
  <si>
    <t>Seneca: Pumped Storage, PJM-W, MAAC</t>
  </si>
  <si>
    <t>Bath County: Hydro, Cin, RTO</t>
  </si>
  <si>
    <t>Lake Lynn: Hydro, PJM-W, RTO</t>
  </si>
  <si>
    <t>Other Hydro: Hydro, PJM-W, RTO</t>
  </si>
  <si>
    <t>Davis Besse: Nuclear, AEP, ATSI</t>
  </si>
  <si>
    <t>Perry: Nuclear, AEP, ATSI</t>
  </si>
  <si>
    <t>Beaver Valley 1-2: Nuclear, PJM-W, RTO</t>
  </si>
  <si>
    <t>Bay Shore 1: Coal, AEP, ATSI</t>
  </si>
  <si>
    <t>Bay Shore 2-4: Coal, AEP, ATSI</t>
  </si>
  <si>
    <t>Ashtabula 5: Coal, AEP, ATSI</t>
  </si>
  <si>
    <t>Lake Shore 18: Coal, AEP, ATSI</t>
  </si>
  <si>
    <t>Mansfield 1-3: Coal, AEP, ATSI</t>
  </si>
  <si>
    <t>Eastlake 5: Coal, AEP, ATSI</t>
  </si>
  <si>
    <t>Eastlake 1-3: Coal, AEP, ATSI</t>
  </si>
  <si>
    <t>Eastlake 4: Coal, AEP, ATSI</t>
  </si>
  <si>
    <t>Sammis 6-7: Coal, PJM-W, ATSI</t>
  </si>
  <si>
    <t>Sammis 1-5: Coal, PJM-W, ATSI</t>
  </si>
  <si>
    <t>OVEC: Coal, Cin, RTO</t>
  </si>
  <si>
    <t>Mitchell ST 3: Coal, AEP, RTO</t>
  </si>
  <si>
    <t>Armstrong 1-2: Coal, PJM-W, RTO</t>
  </si>
  <si>
    <t>Harrison 1-3: Coal, PJM-W, RTO</t>
  </si>
  <si>
    <t>Hatfield 1-3: Coal, PJM-W, RTO</t>
  </si>
  <si>
    <t>Buchanan 1-2: Gas, Cin, RTO</t>
  </si>
  <si>
    <t>Other Gas/Oil: Gas/Oil, PJM-W, RTO</t>
  </si>
  <si>
    <t>Gans Allegh. En. CT 8-9: Gas, PJM-W, RTO</t>
  </si>
  <si>
    <t>Springdale Allegh. En. CT 1-2: Gas, PJM-W, RTO</t>
  </si>
  <si>
    <t>Hunlock 4: Gas, PJM-W, MAAC</t>
  </si>
  <si>
    <t>Hydro (ex Pumped Storage) - RTO</t>
  </si>
  <si>
    <t>Nuclear - ATSI</t>
  </si>
  <si>
    <t>Coal - RTO</t>
  </si>
  <si>
    <t>Coal - ATSI</t>
  </si>
  <si>
    <t>Gas CTs - PJM</t>
  </si>
  <si>
    <t>Oil Units - PJM</t>
  </si>
  <si>
    <t>NUCLEAR ENERGY MARGIN CALCULATION - AT MARKET</t>
  </si>
  <si>
    <t>Nuclear Summary</t>
  </si>
  <si>
    <t xml:space="preserve">Revenues </t>
  </si>
  <si>
    <t>Margins</t>
  </si>
  <si>
    <t>Capacity (MW)</t>
  </si>
  <si>
    <t>Production (gwh)</t>
  </si>
  <si>
    <t>Capacity Factor (%)</t>
  </si>
  <si>
    <t>LTM FFO (Net Income + D&amp;A + Nuclear Fuel)</t>
  </si>
  <si>
    <t>Assumed Price (ATC) ($/mwh)</t>
  </si>
  <si>
    <t>Assumed Fuel Price ($/mwh)</t>
  </si>
  <si>
    <t>Total MW On-Line</t>
  </si>
  <si>
    <t>Capacity Factor</t>
  </si>
  <si>
    <t>Nuclear - RTO</t>
  </si>
  <si>
    <t>COAL ENERGY MARGIN CALCULATION - AT MARKET</t>
  </si>
  <si>
    <t>Coal Summary</t>
  </si>
  <si>
    <t>Assumed Price (Peak) ($/mwh)</t>
  </si>
  <si>
    <t>FE Assumed Blended Coal Price ($/ton)</t>
  </si>
  <si>
    <t>Capacity Factor (%) - Peak</t>
  </si>
  <si>
    <t>Revenues</t>
  </si>
  <si>
    <t xml:space="preserve">Oil - PJM </t>
  </si>
  <si>
    <t>Assumed Price (Off-Peak) ($/mwh)</t>
  </si>
  <si>
    <t>Peak Production (gwh)</t>
  </si>
  <si>
    <t>Capacity Factor (%) - Off-Peak</t>
  </si>
  <si>
    <t>Off Peak Production (gwh)</t>
  </si>
  <si>
    <t>Total Capacity Factor (%) - All-Hours</t>
  </si>
  <si>
    <t>Total Production (gwh)</t>
  </si>
  <si>
    <t>Gas CCs - RTO</t>
  </si>
  <si>
    <t>GAS &amp; OIL ENERGY MARGIN CALCULATION - AT MARKET</t>
  </si>
  <si>
    <t>HYDRO ENERGY MARGIN CALCULATION - AT MARKET</t>
  </si>
  <si>
    <t>Hydro Summary</t>
  </si>
  <si>
    <t>Gas/Oil Summary</t>
  </si>
  <si>
    <t>Hydro - Pumped Storage (RTO)</t>
  </si>
  <si>
    <t>MARGIN SUMMARY</t>
  </si>
  <si>
    <t>Nuclear (energy only)</t>
  </si>
  <si>
    <t>Gas and Oil (energy only)</t>
  </si>
  <si>
    <t>Hydro (energy only)</t>
  </si>
  <si>
    <t>Coal (energy only)</t>
  </si>
  <si>
    <t>PRODUCTION AND CAPACITY SUMMARY</t>
  </si>
  <si>
    <t>Generation (GWH) - Region</t>
  </si>
  <si>
    <t>Generation (GWH) - Fuel</t>
  </si>
  <si>
    <t>Gas and Oil</t>
  </si>
  <si>
    <t>Capacity (MW) - Fuel/Technology</t>
  </si>
  <si>
    <t>Capacity Market (MW)</t>
  </si>
  <si>
    <t>Capacity Revenues (PJM)</t>
  </si>
  <si>
    <t>RTO / PJM West</t>
  </si>
  <si>
    <t>Gas CTs- PJM</t>
  </si>
  <si>
    <t>PLANT LIST / GROUPING (MW)</t>
  </si>
  <si>
    <t>MW On-Line</t>
  </si>
  <si>
    <t>Total Capacity Revenues</t>
  </si>
  <si>
    <t>CAPACITY REVENUE CALCULATION - AT MARKET</t>
  </si>
  <si>
    <t>YoY Change in Capacity Revenues</t>
  </si>
  <si>
    <t>4% senior notes due 2025</t>
  </si>
  <si>
    <t>4.15% senior notes due 2025</t>
  </si>
  <si>
    <t>Adjusted Basic EPS - Low End</t>
  </si>
  <si>
    <t>Adjusted Basic EPS - High End</t>
  </si>
  <si>
    <t>RETAIL SUPPLY MARGINS</t>
  </si>
  <si>
    <t>Retail COGS / Generator Revs</t>
  </si>
  <si>
    <t>Retail COGS</t>
  </si>
  <si>
    <t>I/S Line Item</t>
  </si>
  <si>
    <t>Line Losses, Renewables, Balancing</t>
  </si>
  <si>
    <t>Net Retailer Margin - net of RTO Costs</t>
  </si>
  <si>
    <t>Fuel and Purchased Power</t>
  </si>
  <si>
    <t xml:space="preserve">Industrial / Large C&amp;I / Public </t>
  </si>
  <si>
    <t>Fuel and Purchased Power Cost</t>
  </si>
  <si>
    <t>Degree Days versus Normal</t>
  </si>
  <si>
    <t>Assumed Impact on Sales</t>
  </si>
  <si>
    <t>&lt;&lt;&lt;&lt; Revenue Increase for Rider Capex</t>
  </si>
  <si>
    <t>Capacity Price Needed</t>
  </si>
  <si>
    <t>$/MW-d</t>
  </si>
  <si>
    <t>Regulatory Asset Amortization - EPS Neutral</t>
  </si>
  <si>
    <t>CASH FLOW STATEMENT (INCLUDES TRANSMISSION)</t>
  </si>
  <si>
    <t>CAPITALIZATION (INCLUDES TRANSMISSION)</t>
  </si>
  <si>
    <t>ATSI - 5.250% Senior unsecured notes, due 01/15/22</t>
  </si>
  <si>
    <t>Transmission (ATSI &amp; TrAILCo)</t>
  </si>
  <si>
    <t>Allocated Interest to Transmission</t>
  </si>
  <si>
    <t>YoY Change</t>
  </si>
  <si>
    <t>Modeled ROE (actual capital structure)</t>
  </si>
  <si>
    <t>Modeled ROE (assumed capital structure)</t>
  </si>
  <si>
    <t>Authorized Equity Ratio - target is 45-50%</t>
  </si>
  <si>
    <t>Assumed Equity Ratio - 50 to 60% target</t>
  </si>
  <si>
    <t>Total Other Income (includes charges/ impairments)</t>
  </si>
  <si>
    <t>SUBSIDIARY NET DEBT</t>
  </si>
  <si>
    <t>Tax Rate (adjusted)</t>
  </si>
  <si>
    <t>Other (includes regulatory amortization)</t>
  </si>
  <si>
    <t>Dividends/Equity and Other (includes ST Debt)</t>
  </si>
  <si>
    <t>EBITDA (ex regulatory amortization)</t>
  </si>
  <si>
    <t>DISTRIBUTION &amp; TRANSMISSION SUMMARY</t>
  </si>
  <si>
    <t>DISTRIBUTION &amp; TRANSMISSION SENSITIVITY</t>
  </si>
  <si>
    <t>Parent Loss ($mil)</t>
  </si>
  <si>
    <t>Implied Utility/Parent EPS</t>
  </si>
  <si>
    <t>Utility/Parent Net Income</t>
  </si>
  <si>
    <t>Utilities/Parent EPS</t>
  </si>
  <si>
    <t>Current Net Debt</t>
  </si>
  <si>
    <t>GENERATION EV / EBITDA VALUATION</t>
  </si>
  <si>
    <t>Generation EBITDA</t>
  </si>
  <si>
    <t>Forecasted Debt</t>
  </si>
  <si>
    <t>Company Guidance / Build Up</t>
  </si>
  <si>
    <t>EARNED ROE ESTIMATE DISTRIBUTION</t>
  </si>
  <si>
    <t>PP&amp;E and Tax Detail</t>
  </si>
  <si>
    <t>O&amp;M</t>
  </si>
  <si>
    <t>7.375% Series C senior unsecured notes, due 11/15/31</t>
  </si>
  <si>
    <t>6.750% Senior unsecured notes, due 10/15/39</t>
  </si>
  <si>
    <t>5.750% Senior unsecured notes, due 10/15/19</t>
  </si>
  <si>
    <t>5.500% Series D unsecured tax-exempt refunding bonds, due 10/15/37</t>
  </si>
  <si>
    <t>5.250% Series F unsecured pollution control bonds, due 10/15/37</t>
  </si>
  <si>
    <t>2013A</t>
  </si>
  <si>
    <t>4Q2013A</t>
  </si>
  <si>
    <t>FY2013A</t>
  </si>
  <si>
    <t>Coal (Delivery Cost $/t)</t>
  </si>
  <si>
    <t>Fuel Hedges (coal)</t>
  </si>
  <si>
    <t>Company Guidance for Coal Costs ($/mwh)</t>
  </si>
  <si>
    <t>Assumed Hedged %</t>
  </si>
  <si>
    <t>Coal Generation Estimate (gwh)</t>
  </si>
  <si>
    <t>Forward Coal Price ($/mwh)</t>
  </si>
  <si>
    <t>Benefit / Loss ($mil)</t>
  </si>
  <si>
    <t>COAL HEDGE IMPACT</t>
  </si>
  <si>
    <t>Adjusted Basic EPS</t>
  </si>
  <si>
    <t>PJM West On Peak</t>
  </si>
  <si>
    <t>Total Retail Sales Forecast</t>
  </si>
  <si>
    <t>Fuel Costs</t>
  </si>
  <si>
    <t>Updated as of</t>
  </si>
  <si>
    <t>ATSI</t>
  </si>
  <si>
    <t>Nuclear</t>
  </si>
  <si>
    <t>Wind</t>
  </si>
  <si>
    <t>Gas</t>
  </si>
  <si>
    <t>Coal</t>
  </si>
  <si>
    <t>PA</t>
  </si>
  <si>
    <t>Implied Equity / FCF</t>
  </si>
  <si>
    <t>MAAC</t>
  </si>
  <si>
    <t>PJM East</t>
  </si>
  <si>
    <t>Average Capacity Revenue ($/mw-day)</t>
  </si>
  <si>
    <t xml:space="preserve">  </t>
  </si>
  <si>
    <t>ATC Energy Prices</t>
  </si>
  <si>
    <t>Capacity @ 55% Load Factor</t>
  </si>
  <si>
    <t>EPS Growth (%)</t>
  </si>
  <si>
    <t>Energy Margins (with hedges)</t>
  </si>
  <si>
    <t>Price Uplift</t>
  </si>
  <si>
    <t>Terminal Peak Spark</t>
  </si>
  <si>
    <t>Terminal Peak HR</t>
  </si>
  <si>
    <t>btu/kwh</t>
  </si>
  <si>
    <t>Yes</t>
  </si>
  <si>
    <t>Asset Sale/Transfer</t>
  </si>
  <si>
    <t>6.050% Senior unsecured notes, due 08/15/21</t>
  </si>
  <si>
    <t>5.500% First mortgage secured bonds, due 08/15/24</t>
  </si>
  <si>
    <t>8.875% First mortgage secured bonds, due 11/15/18</t>
  </si>
  <si>
    <t>5.700% Senior unsecured notes, due 04/01/17</t>
  </si>
  <si>
    <t>5.950% Senior unsecured notes, due 12/15/36</t>
  </si>
  <si>
    <t>7.880% Senior secured notes, due 11/01/17</t>
  </si>
  <si>
    <t>First Energy Transmission</t>
  </si>
  <si>
    <t>Deferred Taxes</t>
  </si>
  <si>
    <t>RATE BASE AND ROEs (DISTRIBUTION ONLY)</t>
  </si>
  <si>
    <t>JCP&amp;L Transition Funding II LLC</t>
  </si>
  <si>
    <t>Composite Heating-Degree-Days</t>
  </si>
  <si>
    <t>Composite Cooling-Degree-Days</t>
  </si>
  <si>
    <t>Actual</t>
  </si>
  <si>
    <t>Normal</t>
  </si>
  <si>
    <t>JCP&amp;L Transition Funding LLC</t>
  </si>
  <si>
    <t>7.350% Senior unsecured notes, due 02/01/19</t>
  </si>
  <si>
    <t>6.150% Senior unsecured notes, due 06/01/37</t>
  </si>
  <si>
    <t>5.650% Senior unsecured notes, due 06/01/17</t>
  </si>
  <si>
    <t>6.400% Senior unsecured notes, due 05/15/36</t>
  </si>
  <si>
    <t>4.800% First mortgage bonds collateralizing senior secured notes, due 06/15/18</t>
  </si>
  <si>
    <t>7.700% Senior unsecured notes, due 01/15/19</t>
  </si>
  <si>
    <t>Guidance:</t>
  </si>
  <si>
    <t>Adjusted Basic EPS - Low End of Guidance Range</t>
  </si>
  <si>
    <t>Adjusted Basic EPS - High End of Guidance Range</t>
  </si>
  <si>
    <t>5.700% First mortgage secured bonds, due 03/15/17</t>
  </si>
  <si>
    <t>MP Environmental Funding, LLC</t>
  </si>
  <si>
    <t>NY Zone J / Transco Z6</t>
  </si>
  <si>
    <t>NY Zone G / Transco Z6</t>
  </si>
  <si>
    <t>5.127% Series B secured environmental control bonds, due 01/15/31</t>
  </si>
  <si>
    <t>8.250% Secured series 2008 secured first mortgage bonds, due 10/15/38</t>
  </si>
  <si>
    <t>8.250% Secured series 2008 secured first mortgage bonds, due 10/15/18</t>
  </si>
  <si>
    <t>6.875% Senior unsecured notes, due 07/15/36</t>
  </si>
  <si>
    <t>PE Environmental Funding, LLC</t>
  </si>
  <si>
    <t>5.200% Senior unsecured notes, due 04/01/20</t>
  </si>
  <si>
    <t>6.150% Senior unsecured notes, due 10/01/38</t>
  </si>
  <si>
    <t>Committed Volume for Retail Sales (gwh)</t>
  </si>
  <si>
    <t>3Q2012A</t>
  </si>
  <si>
    <t>6.050% Senior unsecured notes, due 09/01/17</t>
  </si>
  <si>
    <t>AEP-Dayton / Tetco M3</t>
  </si>
  <si>
    <t>MAAC ($/mw-day)</t>
  </si>
  <si>
    <t>6.625% Series C senior unsecured notes, due 04/01/19</t>
  </si>
  <si>
    <t>6.090% First mortgage bonds, due 06/30/22</t>
  </si>
  <si>
    <t>9.740% Secured first mortgage bonds, due 11/01/19</t>
  </si>
  <si>
    <t>7.250% Senior secured notes, due 05/01/20</t>
  </si>
  <si>
    <t>6.150% Senior secured notes, due 05/15/37</t>
  </si>
  <si>
    <t>5.950% First mortgage bonds, due 12/15/17</t>
  </si>
  <si>
    <t>FE</t>
  </si>
  <si>
    <t>Maintenance Capex</t>
  </si>
  <si>
    <t>Fuel Cost per Total Sales ($/mwh)</t>
  </si>
  <si>
    <t>Modeled Equity Ratio</t>
  </si>
  <si>
    <t>Total Electric Sales (GWh)</t>
  </si>
  <si>
    <t>Total Electric Revenue</t>
  </si>
  <si>
    <t>Rate ($/mwh)</t>
  </si>
  <si>
    <t>Capitalized Interest</t>
  </si>
  <si>
    <t>KEY ASSUMPTIONS AND DRIVERS</t>
  </si>
  <si>
    <t>Loss (Gain) Attributable to Noncontrolling interest</t>
  </si>
  <si>
    <t>Year</t>
  </si>
  <si>
    <t>NA</t>
  </si>
  <si>
    <t>Energy Price ($/mwh)</t>
  </si>
  <si>
    <t>Capacity @ 55% Load Factor ($/mwh)</t>
  </si>
  <si>
    <t>Line Losses, Renewables, Balancing ($/mwh)</t>
  </si>
  <si>
    <t>4Q2012A</t>
  </si>
  <si>
    <t>2012A</t>
  </si>
  <si>
    <t>1Q2013A</t>
  </si>
  <si>
    <t>FY2012A</t>
  </si>
  <si>
    <t>3Q2011A</t>
  </si>
  <si>
    <t>2011A</t>
  </si>
  <si>
    <t/>
  </si>
  <si>
    <t>Total Liabilities</t>
  </si>
  <si>
    <t>Morgan Stanley Price Deck</t>
  </si>
  <si>
    <t>1Q11</t>
  </si>
  <si>
    <t>2Q11</t>
  </si>
  <si>
    <t>3Q11</t>
  </si>
  <si>
    <t>4Q11</t>
  </si>
  <si>
    <t>1Q12</t>
  </si>
  <si>
    <t>2Q12</t>
  </si>
  <si>
    <t>3Q12</t>
  </si>
  <si>
    <t>Utilities</t>
  </si>
  <si>
    <t>2013/2014 MWs Clearing Auction</t>
  </si>
  <si>
    <t>2012/2013 MWs Clearing Auction</t>
  </si>
  <si>
    <t>Shaping Cost @ 5% - location advantage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</si>
  <si>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</si>
  <si>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</si>
  <si>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</si>
  <si>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</si>
  <si>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</si>
  <si>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</si>
  <si>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</si>
  <si>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</si>
  <si>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</si>
  <si>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</si>
  <si>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</si>
  <si>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</si>
  <si>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</si>
  <si>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Fuel Prices</t>
  </si>
  <si>
    <t>CAPP Coal</t>
  </si>
  <si>
    <t>PRB Coal</t>
  </si>
  <si>
    <t>Mass Hub</t>
  </si>
  <si>
    <t>NY Zone A</t>
  </si>
  <si>
    <t>NY Zone G</t>
  </si>
  <si>
    <t>NY Zone J</t>
  </si>
  <si>
    <t>PJM West</t>
  </si>
  <si>
    <t>AEP Dayton</t>
  </si>
  <si>
    <t>Cinergy</t>
  </si>
  <si>
    <t>NI Hub</t>
  </si>
  <si>
    <t>ERCOT Houston</t>
  </si>
  <si>
    <t>ERCOT North</t>
  </si>
  <si>
    <t>ERCOT South</t>
  </si>
  <si>
    <t>Palo Verde</t>
  </si>
  <si>
    <t>SP 15</t>
  </si>
  <si>
    <t>NP 15</t>
  </si>
  <si>
    <t>Mid C</t>
  </si>
  <si>
    <t>Natural Gas Basis/Coal Delivery Cost Assumptions</t>
  </si>
  <si>
    <t>NY Zone A / Tetco M3</t>
  </si>
  <si>
    <t>PJM West / Tetco M3</t>
  </si>
  <si>
    <t>CAPP Coal (Delivery Cost $/t)</t>
  </si>
  <si>
    <t>PRB Coal (Delivery Cost $/t)</t>
  </si>
  <si>
    <t>ISO-NE</t>
  </si>
  <si>
    <t>PJM RTO</t>
  </si>
  <si>
    <t>PJM MAAC</t>
  </si>
  <si>
    <t>PJM SW MAAC</t>
  </si>
  <si>
    <t>PJM EMAAC</t>
  </si>
  <si>
    <t>PJM DPL-South</t>
  </si>
  <si>
    <t xml:space="preserve">PJM </t>
  </si>
  <si>
    <t>PSEG North</t>
  </si>
  <si>
    <t>NY ROS</t>
  </si>
  <si>
    <t>NYC</t>
  </si>
  <si>
    <t>CO2</t>
  </si>
  <si>
    <t>RGGI CO2</t>
  </si>
  <si>
    <t>CSAPR 1 SOX</t>
  </si>
  <si>
    <t>CSAPR 2 SOX</t>
  </si>
  <si>
    <t>CSAPR 1 NOX</t>
  </si>
  <si>
    <t>CSAPR 2 NOX</t>
  </si>
  <si>
    <t>NOX SEASONAL</t>
  </si>
  <si>
    <t>Cash Taxes</t>
  </si>
  <si>
    <t>Total Capex</t>
  </si>
  <si>
    <t>Terminal Value</t>
  </si>
  <si>
    <t>Base Spending</t>
  </si>
  <si>
    <t>Other (includes amortization, storm, pension)</t>
  </si>
  <si>
    <t>Discounted Value of Cash Flows</t>
  </si>
  <si>
    <t>Debt/EBITDA</t>
  </si>
  <si>
    <t>Implied Market Aggregate Value/EBITDA</t>
  </si>
  <si>
    <t>Cost of Long-Term Debt</t>
  </si>
  <si>
    <t>Risk-Free Rate</t>
  </si>
  <si>
    <t>This sheet contains Factset binary data for use with this workbook's =FDS codes.  Modifying the worksheet's contents may damage the workbook's =FDS functionality.</t>
  </si>
  <si>
    <t>Equity Risk Premium</t>
  </si>
  <si>
    <t>Terminal EBITDA Multiple Calculation</t>
  </si>
  <si>
    <t>WACC</t>
  </si>
  <si>
    <t>Term. Year Tax Basis as Multiple of EBITDA</t>
  </si>
  <si>
    <t>Maintenance Capex as a % of EBITDA</t>
  </si>
  <si>
    <t>Inflation Rate</t>
  </si>
  <si>
    <t>Resulting Term. Value EBITDA Multiple</t>
  </si>
  <si>
    <t>Discounted Cash Flow - Key Assumptions</t>
  </si>
  <si>
    <t>Weighted Average Cost of Capital</t>
  </si>
  <si>
    <t>Terminal Value Approach Used</t>
  </si>
  <si>
    <t xml:space="preserve">    Approach A - Perp. Growth Rate of</t>
  </si>
  <si>
    <t xml:space="preserve">    Approach B - Terminal EBITDA of</t>
  </si>
  <si>
    <t>Maint. Capex</t>
  </si>
  <si>
    <t>UFCF</t>
  </si>
  <si>
    <t>Discounted</t>
  </si>
  <si>
    <t>MACRS</t>
  </si>
  <si>
    <t xml:space="preserve">Year 1 </t>
  </si>
  <si>
    <t>1Q16</t>
  </si>
  <si>
    <t>2Q16</t>
  </si>
  <si>
    <t>3Q16</t>
  </si>
  <si>
    <t>4Q16</t>
  </si>
  <si>
    <t>$ / mmbtu (Basis Differential to Henry Hub)</t>
  </si>
  <si>
    <t>Depreciation</t>
  </si>
  <si>
    <t>Regulated Utilities</t>
  </si>
  <si>
    <t>Merchant Power (includes parent)</t>
  </si>
  <si>
    <t>Other Investing Activities</t>
  </si>
  <si>
    <t>Rating:</t>
  </si>
  <si>
    <t>Price Target:</t>
  </si>
  <si>
    <t>Date:</t>
  </si>
  <si>
    <t>Stephen Byrd</t>
  </si>
  <si>
    <t>(212) 761-3865</t>
  </si>
  <si>
    <t>stephen.byrd@morganstanley.com</t>
  </si>
  <si>
    <t>Parent &amp; Other</t>
  </si>
  <si>
    <t>Utility Dividend Payout Ratio</t>
  </si>
  <si>
    <t>Modeled Utility Equity Ratio (w/ transmission)</t>
  </si>
  <si>
    <t>Assumed Equity Ratio</t>
  </si>
  <si>
    <t>Taxes Paid</t>
  </si>
  <si>
    <t>Average Capacity Price ($/mw-day)</t>
  </si>
  <si>
    <t>Baseline</t>
  </si>
  <si>
    <t>MATS / Environmental / Major Projects</t>
  </si>
  <si>
    <t>Shaping Cost @ 5% ($/mwh)</t>
  </si>
  <si>
    <t>4.700% Senior unsecured notes, due Apr 1, 2024</t>
  </si>
  <si>
    <t>On-Peak Regional Power Prices ($/MWh)</t>
  </si>
  <si>
    <t>Off-Peak Regional Power Prices ($/MWh)</t>
  </si>
  <si>
    <t>Coal Delivery Costs</t>
  </si>
  <si>
    <t>On-Peak Regional Heat Rates (btu/kWh)</t>
  </si>
  <si>
    <t>Off-Peak Regional Heat Rates (btu/kWh)</t>
  </si>
  <si>
    <t>Capacity Prices ($/MW-day)</t>
  </si>
  <si>
    <t xml:space="preserve">Modeled ROE </t>
  </si>
  <si>
    <t>Electric Rate Change - Transmission</t>
  </si>
  <si>
    <t>Assumed D&amp;A Rate</t>
  </si>
  <si>
    <t>DEPRECIATION AND CAPEX</t>
  </si>
  <si>
    <t>D&amp;A and PP&amp;E</t>
  </si>
  <si>
    <t>Transmission Sales Growth</t>
  </si>
  <si>
    <t>Assumed Allocated Debt</t>
  </si>
  <si>
    <t>Assumed Interest Rate (%)</t>
  </si>
  <si>
    <t>Modeled ROE</t>
  </si>
  <si>
    <t>Growth (%)</t>
  </si>
  <si>
    <t>&lt;&lt;&lt;&lt; Revenue Increase for Capex (net of D&amp;A)</t>
  </si>
  <si>
    <t>Emissions Prices ($/ton)</t>
  </si>
  <si>
    <t>Fuel and Puchased Power Costs</t>
  </si>
  <si>
    <t>Electric Margins</t>
  </si>
  <si>
    <t>Change in Margins (YoY)</t>
  </si>
  <si>
    <t>Total O&amp;M</t>
  </si>
  <si>
    <t>Other Non-Recurring Items</t>
  </si>
  <si>
    <t>1Q10</t>
  </si>
  <si>
    <t>2Q10</t>
  </si>
  <si>
    <t>3Q10</t>
  </si>
  <si>
    <t>4Q10</t>
  </si>
  <si>
    <t>NYMEX Natural Gas - HH</t>
  </si>
  <si>
    <t>$/mwh</t>
  </si>
  <si>
    <t>Base O&amp;M</t>
  </si>
  <si>
    <t>Growth (YoY)</t>
  </si>
  <si>
    <t>Asset Sales/Other Investments</t>
  </si>
  <si>
    <t>Common Dividends</t>
  </si>
  <si>
    <t>Cash/Cash equivalents</t>
  </si>
  <si>
    <t>Inventories</t>
  </si>
  <si>
    <t>Gross PP&amp;E In Service</t>
  </si>
  <si>
    <t>2Q2012A</t>
  </si>
  <si>
    <t>Minority Interests</t>
  </si>
  <si>
    <t>Common Stock</t>
  </si>
  <si>
    <t>Additional Paid in Capital</t>
  </si>
  <si>
    <t>Net Goodwill</t>
  </si>
  <si>
    <t>Current portion of LT Debt</t>
  </si>
  <si>
    <t>GAAP D&amp;A</t>
  </si>
  <si>
    <t>D&amp;A Adjustment for Guidance</t>
  </si>
  <si>
    <t>Total D&amp;A</t>
  </si>
  <si>
    <t>David Arcaro</t>
  </si>
  <si>
    <t>(212) 761-1817</t>
  </si>
  <si>
    <t>david.arcaro@morganstanley.com</t>
  </si>
  <si>
    <t>Carbon Price Impact</t>
  </si>
  <si>
    <t>Carbon Price ($/Ton)</t>
  </si>
  <si>
    <t>Coal Emissions Rate (ton/MWh)</t>
  </si>
  <si>
    <t>Marginal Gas Emissions Rate (ton/MWh)</t>
  </si>
  <si>
    <t>Gas Price:</t>
  </si>
  <si>
    <t>Texas</t>
  </si>
  <si>
    <t>Power Price Impact</t>
  </si>
  <si>
    <t>Power Price Impact for Model ($/MWh):</t>
  </si>
  <si>
    <t>Heat Rate Adder (btu/kWh)</t>
  </si>
  <si>
    <t>PJM / Texas Carbon Price ($/ton)</t>
  </si>
  <si>
    <t>Incl. Carbon</t>
  </si>
  <si>
    <t>Differential vs 2018</t>
  </si>
  <si>
    <t>PJM/TX Carbon</t>
  </si>
  <si>
    <t>Carbon Allowance Cost ($/Ton)</t>
  </si>
  <si>
    <t>Gas Peaker Allowance Cost ($/MWh)</t>
  </si>
  <si>
    <t>Carbon Intensity (Tons/MWh)</t>
  </si>
  <si>
    <t>CCGT Allowance Cost ($/MWh)</t>
  </si>
  <si>
    <t>Coal Plant Allowance Cost ($/MWh)</t>
  </si>
  <si>
    <t>Post-2015 revenue increase</t>
  </si>
  <si>
    <t>4Q2014A</t>
  </si>
  <si>
    <t>FY2014A</t>
  </si>
  <si>
    <t>1Q2015A</t>
  </si>
  <si>
    <t>2Q2015A</t>
  </si>
  <si>
    <t>2014A</t>
  </si>
  <si>
    <t>4.44% Series due November 15, 2044</t>
  </si>
  <si>
    <t>5.5% Series due October 15, 2037</t>
  </si>
  <si>
    <t>4.35% Series due January 15, 2025</t>
  </si>
  <si>
    <t>5.45% Series due July 15, 2044</t>
  </si>
  <si>
    <t>2019E</t>
  </si>
  <si>
    <t>2020E</t>
  </si>
  <si>
    <t>1Q2019E</t>
  </si>
  <si>
    <t>2Q2019E</t>
  </si>
  <si>
    <t>3Q2019E</t>
  </si>
  <si>
    <t>4Q2019E</t>
  </si>
  <si>
    <t>1Q2020E</t>
  </si>
  <si>
    <t>2Q2020E</t>
  </si>
  <si>
    <t>3Q2020E</t>
  </si>
  <si>
    <t>4Q2020E</t>
  </si>
  <si>
    <t>1Q19</t>
  </si>
  <si>
    <t>2Q19</t>
  </si>
  <si>
    <t>3Q19</t>
  </si>
  <si>
    <t>4Q19</t>
  </si>
  <si>
    <t>1Q20</t>
  </si>
  <si>
    <t>2Q20</t>
  </si>
  <si>
    <t>3Q20</t>
  </si>
  <si>
    <t>4Q20</t>
  </si>
  <si>
    <t>Assumed Issuance 2019</t>
  </si>
  <si>
    <t>Assumed Issuance 2020</t>
  </si>
  <si>
    <t>Senior Note 3.85% Series due June 1, 2025</t>
  </si>
  <si>
    <t xml:space="preserve">0.679% Phase-In Recovery Bond due January 15, 2017 </t>
  </si>
  <si>
    <t>3.450% Phase-In Recovery Bond due January 15, 2034</t>
  </si>
  <si>
    <t>1.726% Phase-In Recovery Bond due January 15, 2020</t>
  </si>
  <si>
    <t xml:space="preserve">OE Funding LLC </t>
  </si>
  <si>
    <t>CEI Funding LLC</t>
  </si>
  <si>
    <t>TE Funding LLC</t>
  </si>
  <si>
    <t>Gas/Power Sensitivity Assumption:</t>
  </si>
  <si>
    <t>Renewables Summary</t>
  </si>
  <si>
    <t>Transition Auction Uplift</t>
  </si>
  <si>
    <t>Capacity Price Uplift ($/mw-day)</t>
  </si>
  <si>
    <t>N/A</t>
  </si>
  <si>
    <t>Share Count</t>
  </si>
  <si>
    <t>Arman Tabatabai</t>
  </si>
  <si>
    <t>(212) 761-6358</t>
  </si>
  <si>
    <t>arman.tabatabai@morganstanley.com</t>
  </si>
  <si>
    <t>3Q2015A</t>
  </si>
  <si>
    <t>4.30% senior notes due January 2026</t>
  </si>
  <si>
    <t>West Penn 4.45% FMBs due September 2045</t>
  </si>
  <si>
    <t xml:space="preserve">Potomac Edison 4.47% FMBs due August 2045. </t>
  </si>
  <si>
    <t>4Q2015A</t>
  </si>
  <si>
    <t>FY2015A</t>
  </si>
  <si>
    <t>2015A</t>
  </si>
  <si>
    <t>3.75% Series due December 1, 2040</t>
  </si>
  <si>
    <t>3.625% Series due December 1, 2033</t>
  </si>
  <si>
    <t>3.75% Series due June 1, 2033</t>
  </si>
  <si>
    <t>4.0% Series due January 1, 2034</t>
  </si>
  <si>
    <t>3.125% Series due January 1, 2034</t>
  </si>
  <si>
    <t>4.0% Series due January 1, 2035</t>
  </si>
  <si>
    <t>3.75% Series due July 1, 2033</t>
  </si>
  <si>
    <t>3.125% Series due July 1, 2033</t>
  </si>
  <si>
    <t>ATSI - 4.00% Series due April 15, 2026</t>
  </si>
  <si>
    <t>ATSI - 5.23% Series due October 15, 2045</t>
  </si>
  <si>
    <t>TrAILCo - 3.76% Series due May 30, 2025</t>
  </si>
  <si>
    <t>EPS 2015-2020 CAGR</t>
  </si>
  <si>
    <t>Pension adjustment</t>
  </si>
  <si>
    <t>Rate Case Calcs</t>
  </si>
  <si>
    <t>JCP&amp;L</t>
  </si>
  <si>
    <t>Current</t>
  </si>
  <si>
    <t>Request</t>
  </si>
  <si>
    <t>Allowed ROE</t>
  </si>
  <si>
    <t>MS Assumption</t>
  </si>
  <si>
    <t xml:space="preserve">Earnings Benefit </t>
  </si>
  <si>
    <t>MetEd</t>
  </si>
  <si>
    <t>Penelec</t>
  </si>
  <si>
    <t>Power</t>
  </si>
  <si>
    <t>Penn</t>
  </si>
  <si>
    <t>West Penn</t>
  </si>
  <si>
    <t>OE</t>
  </si>
  <si>
    <t>CEI</t>
  </si>
  <si>
    <t>TE</t>
  </si>
  <si>
    <t>Ohio Utility Earnings Calcs</t>
  </si>
  <si>
    <t>Implied Pre-Tax Profit Increase ($m)</t>
  </si>
  <si>
    <t>Implied Earned ROE</t>
  </si>
  <si>
    <t>2015 Net Income</t>
  </si>
  <si>
    <t>Rate Base ($m)</t>
  </si>
  <si>
    <t>Assumed New Net Investment ($m)</t>
  </si>
  <si>
    <t>Adjusted Rate Base ($m)</t>
  </si>
  <si>
    <t>Implied Earnings Potential ($m)</t>
  </si>
  <si>
    <t>Actual 2015 Net Income ($m)</t>
  </si>
  <si>
    <t>PPA NI Benefit</t>
  </si>
  <si>
    <t>New ROE</t>
  </si>
  <si>
    <t>2009 Rate Base ($m)</t>
  </si>
  <si>
    <t>Pre-tax Profit Guidance ($m)</t>
  </si>
  <si>
    <t>Pre-tax ROE / Rate Base Benefit ($m)</t>
  </si>
  <si>
    <t>Total Pre-tax Profit Increase ($m)</t>
  </si>
  <si>
    <t>Implied "Other" Pre-Tax Items ($m)</t>
  </si>
  <si>
    <t>Assumed Recovery of "Other" Items ($m)</t>
  </si>
  <si>
    <t>NI Benetit</t>
  </si>
  <si>
    <t>Pre-tax Profit</t>
  </si>
  <si>
    <t>Total Revenue Request</t>
  </si>
  <si>
    <t>1Q2016A</t>
  </si>
  <si>
    <t>Distribution Modernization Rider (Credit Support Payment)</t>
  </si>
  <si>
    <t>2Q2016A</t>
  </si>
  <si>
    <t>Energy Efficiency and SmartMeters / Other Formula Rate</t>
  </si>
  <si>
    <t>TWh</t>
  </si>
  <si>
    <t>Implied Committed Rate</t>
  </si>
  <si>
    <t>Source: 2Q16 guidance slides. Slide 21</t>
  </si>
  <si>
    <t>New $/Sh Valuation</t>
  </si>
  <si>
    <t>$/sh</t>
  </si>
  <si>
    <t>Value Creation ($m)</t>
  </si>
  <si>
    <t>FE SpinCo Value ($m)</t>
  </si>
  <si>
    <t>FE Cash Proceeds</t>
  </si>
  <si>
    <t>Implied Genco Value ($m)</t>
  </si>
  <si>
    <t>Stand-Alone Utility Value</t>
  </si>
  <si>
    <t>Adjusted Utility &amp; Parent EPS</t>
  </si>
  <si>
    <t>Dis-Synergies</t>
  </si>
  <si>
    <t>Utility and Parent EPS</t>
  </si>
  <si>
    <t>Equity Value Using Stand-Alone DCF Assumptions</t>
  </si>
  <si>
    <t>Equity injection needed to reduce debt to 3.5x</t>
  </si>
  <si>
    <t>Current Market Cap</t>
  </si>
  <si>
    <t>Post Spin Net Debt</t>
  </si>
  <si>
    <t>FE Valuation Impact</t>
  </si>
  <si>
    <t>Book Value</t>
  </si>
  <si>
    <t>PEG SpinCo Value ($m)</t>
  </si>
  <si>
    <t>PEG Cash Proceeds</t>
  </si>
  <si>
    <t>FES VALUATION</t>
  </si>
  <si>
    <t>PEG Valuation Impact</t>
  </si>
  <si>
    <t>FE %</t>
  </si>
  <si>
    <t>PEG %</t>
  </si>
  <si>
    <t>Total Value</t>
  </si>
  <si>
    <t>Cash Value</t>
  </si>
  <si>
    <t>Genco Value</t>
  </si>
  <si>
    <t>Organic Cash</t>
  </si>
  <si>
    <t>Cash out to PSEG:</t>
  </si>
  <si>
    <t>Cash Flow NPV</t>
  </si>
  <si>
    <t>Term. Value EBITDA Multiple</t>
  </si>
  <si>
    <t>Unlevered Free Cash Flow (w/o interest)</t>
  </si>
  <si>
    <t>Growth Capex</t>
  </si>
  <si>
    <t>Estimated Genco WACC</t>
  </si>
  <si>
    <t>Environmental Capex</t>
  </si>
  <si>
    <t>Taxes Paid @ 40%</t>
  </si>
  <si>
    <t>PSEG POWER VALUATION</t>
  </si>
  <si>
    <t>Power/FES Valuation</t>
  </si>
  <si>
    <t>PEG</t>
  </si>
  <si>
    <t>PEG Power / FES Val</t>
  </si>
  <si>
    <t>NOL Value</t>
  </si>
  <si>
    <t>Ethan Ellison</t>
  </si>
  <si>
    <t>(212) 296-5124</t>
  </si>
  <si>
    <t>ethan.ellison@morganstanley.com</t>
  </si>
  <si>
    <t>NOL NPV</t>
  </si>
  <si>
    <t>Tax Rate (%)</t>
  </si>
  <si>
    <t>AMT Rate (%)</t>
  </si>
  <si>
    <t>Net Tax Rate (%)</t>
  </si>
  <si>
    <t>NOL Balance</t>
  </si>
  <si>
    <t>NOL Usage</t>
  </si>
  <si>
    <t>NPV</t>
  </si>
  <si>
    <t>NOL Use Values</t>
  </si>
  <si>
    <t>Pension Funding Need</t>
  </si>
  <si>
    <t>Rail Contract Liability</t>
  </si>
  <si>
    <t>Rail Liability</t>
  </si>
  <si>
    <t>AES</t>
  </si>
  <si>
    <t>Energy Margin</t>
  </si>
  <si>
    <t>Retail/Hedge Allocation</t>
  </si>
  <si>
    <t>Capacity Revenue</t>
  </si>
  <si>
    <t>PJM cleared capacity (% of total)</t>
  </si>
  <si>
    <t>Coal hedge allocation</t>
  </si>
  <si>
    <t>O&amp;M ($/kW)</t>
  </si>
  <si>
    <t>Maintenance capex ($/kW)</t>
  </si>
  <si>
    <t>TOTI</t>
  </si>
  <si>
    <t>Tax rate</t>
  </si>
  <si>
    <t>Gas CCs</t>
  </si>
  <si>
    <t>Percentage of CES Capacity</t>
  </si>
  <si>
    <t>Hydro Pumped Storage - RTO &amp; MAAC</t>
  </si>
  <si>
    <t>Transition auction uplift allocation</t>
  </si>
  <si>
    <t>3Q2016A</t>
  </si>
  <si>
    <t>2021E</t>
  </si>
  <si>
    <t>2021 Forward Gas</t>
  </si>
  <si>
    <t>1Q2021E</t>
  </si>
  <si>
    <t>2Q2021E</t>
  </si>
  <si>
    <t>3Q2021E</t>
  </si>
  <si>
    <t>4Q2021E</t>
  </si>
  <si>
    <t>1Q21</t>
  </si>
  <si>
    <t>2Q21</t>
  </si>
  <si>
    <t>3Q21</t>
  </si>
  <si>
    <t>4Q21</t>
  </si>
  <si>
    <t>Assumed Issuance 2021</t>
  </si>
  <si>
    <t xml:space="preserve">$2.55 </t>
  </si>
  <si>
    <t xml:space="preserve">$2.54 </t>
  </si>
  <si>
    <t xml:space="preserve">$2.49 </t>
  </si>
  <si>
    <t xml:space="preserve">$2.41 </t>
  </si>
  <si>
    <t>Differential</t>
  </si>
  <si>
    <t>% Financially-Hedged</t>
  </si>
  <si>
    <t>Gain on Financial Hedges</t>
  </si>
  <si>
    <t>Financial Hedge Price</t>
  </si>
  <si>
    <t>Financially-Hedged Volume</t>
  </si>
  <si>
    <t>Financial Hedge Margin</t>
  </si>
  <si>
    <t>Other revenue</t>
  </si>
  <si>
    <t>4Q2016A</t>
  </si>
  <si>
    <t>2016A</t>
  </si>
  <si>
    <t>FY2016A</t>
  </si>
  <si>
    <t>Term Loan due May 29, 2021</t>
  </si>
  <si>
    <t>2.55% Series due November 1, 2041</t>
  </si>
  <si>
    <t>N 5.625% Series due June 1, 2018</t>
  </si>
  <si>
    <t>3.75% Series due December 1, 2023</t>
  </si>
  <si>
    <t>3.10% Series due March 1, 2023</t>
  </si>
  <si>
    <t xml:space="preserve"> 3.0% Series due May 15, 2019</t>
  </si>
  <si>
    <t xml:space="preserve"> 3.50% Series due April 1, 2041</t>
  </si>
  <si>
    <t>5.7% Series due August 1, 2020</t>
  </si>
  <si>
    <t>4.50% Series due June 1, 2028</t>
  </si>
  <si>
    <t>4.25% Series due October 1, 2047</t>
  </si>
  <si>
    <t>4.25% Series due August 1, 2029</t>
  </si>
  <si>
    <t xml:space="preserve">2.7% Series due April 1, 2035 </t>
  </si>
  <si>
    <t>4.0% Series due December 1, 2033</t>
  </si>
  <si>
    <t>4.0% Series due June 1, 2033</t>
  </si>
  <si>
    <t>3.625% Series due October 1, 2033</t>
  </si>
  <si>
    <t>3.95% Series due November 1, 2032</t>
  </si>
  <si>
    <t>3.5% Series due December 1, 2035</t>
  </si>
  <si>
    <t>4.375% Series due June 1, 2033</t>
  </si>
  <si>
    <t xml:space="preserve">4.375% Series due January 1, 2035 </t>
  </si>
  <si>
    <t>4.240% Secured first mortgage bonds, due 07/11/56</t>
  </si>
  <si>
    <t>5.520% Series A-3 secured transition bonds, due 06/05/18</t>
  </si>
  <si>
    <t>5.610% Series A-4 secured transition bonds, due 06/05/21</t>
  </si>
  <si>
    <t>6.160% Class A-4 secured transition bonds, due 06/05/17</t>
  </si>
  <si>
    <t xml:space="preserve">Potomac Edison 3.89% FMBs due October 2046. </t>
  </si>
  <si>
    <t>3.84% FMBs due December 2046</t>
  </si>
  <si>
    <t>5.00% senior notes due 2044</t>
  </si>
  <si>
    <t>Overweight</t>
  </si>
  <si>
    <t>1Q2017A</t>
  </si>
  <si>
    <t>Term loan due Feb 2020</t>
  </si>
  <si>
    <t>Coal transport liability</t>
  </si>
  <si>
    <t>Credit support</t>
  </si>
  <si>
    <t>Nuclear decommissioning trust funding</t>
  </si>
  <si>
    <t>Nuclear fuel storage</t>
  </si>
  <si>
    <t>Positives</t>
  </si>
  <si>
    <t>Negatives</t>
  </si>
  <si>
    <t>Tax benefit</t>
  </si>
  <si>
    <t>Net impact</t>
  </si>
  <si>
    <t>Merchant Valuation</t>
  </si>
  <si>
    <t>MERCHANT VALUATION</t>
  </si>
  <si>
    <t>Valuation</t>
  </si>
  <si>
    <t>2Q2017A</t>
  </si>
  <si>
    <t>2.85% Series A senior notes due 2022</t>
  </si>
  <si>
    <t>3.90% Series B senior notes due 2027</t>
  </si>
  <si>
    <t>4.85% Series C senior notes due 2047</t>
  </si>
  <si>
    <t xml:space="preserve">3.55% FMBs due 2027. </t>
  </si>
  <si>
    <t>Pension, OPEB, benefits, and other guarantees</t>
  </si>
  <si>
    <t>FFO / Total Debt (Operating Cash Flow - REGULATED/PARENT)</t>
  </si>
  <si>
    <t>3Q2017A</t>
  </si>
  <si>
    <t>4.09% FMBs due 2047</t>
  </si>
  <si>
    <t>PN - 3.25% senior notes due 2028</t>
  </si>
  <si>
    <t>3.66% senior unsecured notes due, 2032</t>
  </si>
  <si>
    <t>CEI - 3.5% senior notes due 2028</t>
  </si>
  <si>
    <t>Mandatory preferred</t>
  </si>
  <si>
    <t>LTM Net Income + D&amp;A + Nuclear Fuel</t>
  </si>
  <si>
    <t>LTM Net Income + D&amp;A + Nuclear Fuel  - (Regulated/Parent Only)</t>
  </si>
  <si>
    <t>LTM FFO (Operating Cash Flow)</t>
  </si>
  <si>
    <t xml:space="preserve">LTM FFO (Regulated/Parent Only) </t>
  </si>
  <si>
    <t>FFO / Total Debt (Regulated/Parent)</t>
  </si>
  <si>
    <t>4Q2017A</t>
  </si>
  <si>
    <t>FY2017A</t>
  </si>
  <si>
    <t>2017A</t>
  </si>
  <si>
    <t xml:space="preserve"> 3.55% Series due May 15, 2027</t>
  </si>
  <si>
    <t>4.14% Series due December 15, 2047</t>
  </si>
  <si>
    <t>Other formula rate capex</t>
  </si>
  <si>
    <t xml:space="preserve">Assumed debt paydown </t>
  </si>
  <si>
    <t>AES net proceeds: Gas, hydro assets</t>
  </si>
  <si>
    <t>DMR earnings</t>
  </si>
  <si>
    <t>Tax reform adjustment</t>
  </si>
  <si>
    <t>EPS: Distribution+ Transmission</t>
  </si>
  <si>
    <t>EPS: Distribution+ Transmission + Parent</t>
  </si>
  <si>
    <t>Net Income: Distribution+ Transmission + Parent</t>
  </si>
  <si>
    <t>EPS: For guidance comparison</t>
  </si>
  <si>
    <t>EPS Guidance - Low</t>
  </si>
  <si>
    <t>EPS Guidance - High</t>
  </si>
  <si>
    <t>Research</t>
  </si>
  <si>
    <t>MSA54148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</si>
  <si>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</si>
  <si>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</si>
  <si>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</si>
  <si>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</si>
  <si>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</si>
  <si>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</si>
  <si>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</si>
  <si>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Stephen Byrd</t>
  </si>
  <si>
    <t>Date: 25 Apr 2018</t>
  </si>
  <si>
    <t>Ticker: FE.N</t>
  </si>
  <si>
    <t>Stock Rating: Overweight</t>
  </si>
  <si>
    <t>Industry: Diversified Utilities / IPPs</t>
  </si>
  <si>
    <t>Industry View: Attractive</t>
  </si>
  <si>
    <t>Price as of 25 Apr 2018: 34.04</t>
  </si>
  <si>
    <t>Target Price: 38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</si>
  <si>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</si>
  <si>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</si>
  <si>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</si>
  <si>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</si>
  <si>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FirstEnergy Corp.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</si>
  <si>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</si>
  <si>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</si>
  <si>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</si>
  <si>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</si>
  <si>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</si>
  <si>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</si>
  <si>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</si>
  <si>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</si>
  <si>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</si>
  <si>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</si>
  <si>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</si>
  <si>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</si>
  <si>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</si>
  <si>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</si>
  <si>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</si>
  <si>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</si>
  <si>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</si>
  <si>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</si>
  <si>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</si>
  <si>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</si>
  <si>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</si>
  <si>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</si>
  <si>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</si>
  <si>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</si>
  <si>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</si>
  <si>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</si>
  <si>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</si>
  <si>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</si>
  <si>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</si>
  <si>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</si>
  <si>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</si>
  <si>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</si>
  <si>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</si>
  <si>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</si>
  <si>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</si>
  <si>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</si>
  <si>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</si>
  <si>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</si>
  <si>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</si>
  <si>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</si>
  <si>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</si>
  <si>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</si>
  <si>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</si>
  <si>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</si>
  <si>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</si>
  <si>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</si>
  <si>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</si>
  <si>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</si>
  <si>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</si>
  <si>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</si>
  <si>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</si>
  <si>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</si>
  <si>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</si>
  <si>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</si>
  <si>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</si>
  <si>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</si>
  <si>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</si>
  <si>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</si>
  <si>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</si>
  <si>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</si>
  <si>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</si>
  <si>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</si>
  <si>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</si>
  <si>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</si>
  <si>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</si>
  <si>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</si>
  <si>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</si>
  <si>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</si>
  <si>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</si>
  <si>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</si>
  <si>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</si>
  <si>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</si>
  <si>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</si>
  <si>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</si>
  <si>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</si>
  <si>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</si>
  <si>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</si>
  <si>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</si>
  <si>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</si>
  <si>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</si>
  <si>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</si>
  <si>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</si>
  <si>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</si>
  <si>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</si>
  <si>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</si>
  <si>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</si>
  <si>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</si>
  <si>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</si>
  <si>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</si>
  <si>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</si>
  <si>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</si>
  <si>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</si>
  <si>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</si>
  <si>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</si>
  <si>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</si>
  <si>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</si>
  <si>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</si>
  <si>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</si>
  <si>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</si>
  <si>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</si>
  <si>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</si>
  <si>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</si>
  <si>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</si>
  <si>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</si>
  <si>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</si>
  <si>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</si>
  <si>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</si>
  <si>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</si>
  <si>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</si>
  <si>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</si>
  <si>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</si>
  <si>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</si>
  <si>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</si>
  <si>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</si>
  <si>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</si>
  <si>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</si>
  <si>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</si>
  <si>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</si>
  <si>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</si>
  <si>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</si>
  <si>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</si>
  <si>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</si>
  <si>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</si>
  <si>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</si>
  <si>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</si>
  <si>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</si>
  <si>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</si>
  <si>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</si>
  <si>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</si>
  <si>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</si>
  <si>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</si>
  <si>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</si>
  <si>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</si>
  <si>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</si>
  <si>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</si>
  <si>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</si>
  <si>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</si>
  <si>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</si>
  <si>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</si>
  <si>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</si>
  <si>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</si>
  <si>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</si>
  <si>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</si>
  <si>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</si>
  <si>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</si>
  <si>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</si>
  <si>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</si>
  <si>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</si>
  <si>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</si>
  <si>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</si>
  <si>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</si>
  <si>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</si>
  <si>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</si>
  <si>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</si>
  <si>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</si>
  <si>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</si>
  <si>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</si>
  <si>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</si>
  <si>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</si>
  <si>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</si>
  <si>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</si>
  <si>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</si>
  <si>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</si>
  <si>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</si>
  <si>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</si>
  <si>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</si>
  <si>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</si>
  <si>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</si>
  <si>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</si>
  <si>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</si>
  <si>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</si>
  <si>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</si>
  <si>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</si>
  <si>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</si>
  <si>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</si>
  <si>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</si>
  <si>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FirstEnergy Corp.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</si>
  <si>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</si>
  <si>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</si>
  <si>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</si>
  <si>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</si>
  <si>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</si>
  <si>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</si>
  <si>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</si>
  <si>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</si>
  <si>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</si>
  <si>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</si>
  <si>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</si>
  <si>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</si>
  <si>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</si>
  <si>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</si>
  <si>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</si>
  <si>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</si>
  <si>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</si>
  <si>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</si>
  <si>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</si>
  <si>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</si>
  <si>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</si>
  <si>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</si>
  <si>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</si>
  <si>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</si>
  <si>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</si>
  <si>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</si>
  <si>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</si>
  <si>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</si>
  <si>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</si>
  <si>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</si>
  <si>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</si>
  <si>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</si>
  <si>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</si>
  <si>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</si>
  <si>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</si>
  <si>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</si>
  <si>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</si>
  <si>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</si>
  <si>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</si>
  <si>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</si>
  <si>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</si>
  <si>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</si>
  <si>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</si>
  <si>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</si>
  <si>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</si>
  <si>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</si>
  <si>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</si>
  <si>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</si>
  <si>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</si>
  <si>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</si>
  <si>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</si>
  <si>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</si>
  <si>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</si>
  <si>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</si>
  <si>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</si>
  <si>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</si>
  <si>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</si>
  <si>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</si>
  <si>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</si>
  <si>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</si>
  <si>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</si>
  <si>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</si>
  <si>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</si>
  <si>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</si>
  <si>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</si>
  <si>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</si>
  <si>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</si>
  <si>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</si>
  <si>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FirstEnergy Corp.</t>
  </si>
  <si>
    <t>Within the last 12 months, Morgan Stanley has provided or is providing investment banking services to,</t>
  </si>
  <si>
    <t>or has an investment banking client relationship with, the following company: FirstEnergy Corp.</t>
  </si>
  <si>
    <t>Within the last 12 months, Morgan Stanley has received compensation for products and services other than</t>
  </si>
  <si>
    <t>investment banking services from FirstEnergy Corp.</t>
  </si>
  <si>
    <t>In the next 3 months, Morgan Stanley expects to receive or intends to seek compensation for investment</t>
  </si>
  <si>
    <t>banking services from FirstEnergy Corp.</t>
  </si>
  <si>
    <t>Within the last 12 months, Morgan Stanley has received compensation for investment banking services from</t>
  </si>
  <si>
    <t>Within the last 12 months, Morgan Stanley managed or co-managed a public offering (or 144A offering) of</t>
  </si>
  <si>
    <t>securities of FirstEnergy Corp.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</si>
  <si>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</si>
  <si>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</si>
  <si>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</si>
  <si>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</si>
  <si>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</si>
  <si>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Stephen C Byrd.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</si>
  <si>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</si>
  <si>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</si>
  <si>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</si>
  <si>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</si>
  <si>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</si>
  <si>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</si>
  <si>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</si>
  <si>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</si>
  <si>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</si>
  <si>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</si>
  <si>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</si>
  <si>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</si>
  <si>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</si>
  <si>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</si>
  <si>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</si>
  <si>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</si>
  <si>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</si>
  <si>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</si>
  <si>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</si>
  <si>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</si>
  <si>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</si>
  <si>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</si>
  <si>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</si>
  <si>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</si>
  <si>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</si>
  <si>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</si>
  <si>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</si>
  <si>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</si>
  <si>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</si>
  <si>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</si>
  <si>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</si>
  <si>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</si>
  <si>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</si>
  <si>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</si>
  <si>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</si>
  <si>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</si>
  <si>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</si>
  <si>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</si>
  <si>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</si>
  <si>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</si>
  <si>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</si>
  <si>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</si>
  <si>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</si>
  <si>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</si>
  <si>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</si>
  <si>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</si>
  <si>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</si>
  <si>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</si>
  <si>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</si>
  <si>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</si>
  <si>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</si>
  <si>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</si>
  <si>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</si>
  <si>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</si>
  <si>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</si>
  <si>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</si>
  <si>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</si>
  <si>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</si>
  <si>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</si>
  <si>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</si>
  <si>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</si>
  <si>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</si>
  <si>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</si>
  <si>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</si>
  <si>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</si>
  <si>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Attractive</t>
  </si>
  <si>
    <t>Regular Update</t>
  </si>
  <si>
    <t>NorthAmerica</t>
  </si>
  <si>
    <t>arcaro</t>
  </si>
  <si>
    <t>L:\UTILITIES\Models\FE\FE Model WIP.xlsm</t>
  </si>
  <si>
    <t>[BRO MSA]</t>
  </si>
  <si>
    <t>[PRODUCT MODEL]</t>
  </si>
  <si>
    <t>[EMAIL_ALERT YES]</t>
  </si>
  <si>
    <t>[DISCIPLINE Company]</t>
  </si>
  <si>
    <t>[SUPPRESSED NO]</t>
  </si>
  <si>
    <t>[DOCDAT 2018-04-25]</t>
  </si>
  <si>
    <t>[DOCTIME 10:03]</t>
  </si>
  <si>
    <t>[PSYM FE.N(S&amp;P) (None)]</t>
  </si>
  <si>
    <t>[COU 1]</t>
  </si>
  <si>
    <t>[ANA ]</t>
  </si>
  <si>
    <t>[HL FE.N Model]</t>
  </si>
  <si>
    <t>[IND ELECCO]</t>
  </si>
  <si>
    <t>[PANA MSA54148]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</si>
</sst>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[$-F400]h:mm:ss\ AM/PM"/>
    <numFmt numFmtId="167" formatCode="mmm\ yy"/>
    <numFmt numFmtId="168" formatCode="0.0\x"/>
    <numFmt numFmtId="169" formatCode="0.0%"/>
    <numFmt numFmtId="170" formatCode="_(* #,##0_);_(* \(#,##0\);_(* &quot;-&quot;??_);_(@_)"/>
    <numFmt numFmtId="171" formatCode="0&quot;A&quot;"/>
    <numFmt numFmtId="172" formatCode="0&quot;E&quot;"/>
    <numFmt numFmtId="173" formatCode="#,##0.0_);[Red]\(#,##0.0\)"/>
    <numFmt numFmtId="174" formatCode="0000&quot;A&quot;"/>
    <numFmt numFmtId="175" formatCode="0000&quot;E&quot;"/>
    <numFmt numFmtId="176" formatCode="#,##0.0%_);\(#,##0.0%\)"/>
    <numFmt numFmtId="177" formatCode="_(* #,##0.0_);_(* \(#,##0.0\);_(* &quot;-&quot;??_);_(@_)"/>
    <numFmt numFmtId="178" formatCode="0_);\(0\)"/>
    <numFmt numFmtId="179" formatCode="0.0_);[Red]\(0.0\)"/>
    <numFmt numFmtId="180" formatCode="m/d/yy;@"/>
    <numFmt numFmtId="181" formatCode="0.00_);\(0.00\)"/>
    <numFmt numFmtId="184" formatCode="&quot;$&quot;#,##0.00"/>
    <numFmt numFmtId="187" formatCode="#,##0.0"/>
    <numFmt numFmtId="188" formatCode="0.000%"/>
    <numFmt numFmtId="189" formatCode="[$-409]d\-mmm;@"/>
    <numFmt numFmtId="193" formatCode="[$-409]mmmm\ d\,\ yyyy;@"/>
    <numFmt numFmtId="195" formatCode="0.00\x"/>
    <numFmt numFmtId="196" formatCode="&quot;$&quot;#,##0.0000_);\(&quot;$&quot;#,##0.0000\)"/>
    <numFmt numFmtId="197" formatCode="0.0"/>
    <numFmt numFmtId="199" formatCode="_(* #,##0.000_);_(* \(#,##0.000\);_(* &quot;-&quot;??_);_(@_)"/>
    <numFmt numFmtId="200" formatCode="#,##0.000"/>
    <numFmt numFmtId="201" formatCode="&quot;$&quot;#,##0.0_);[Red]\(&quot;$&quot;#,##0.0\)"/>
    <numFmt numFmtId="202" formatCode="####&quot;A&quot;"/>
    <numFmt numFmtId="203" formatCode="&quot;$&quot;#,##0.000_);\(&quot;$&quot;#,##0.000\)"/>
    <numFmt numFmtId="209" formatCode="mm/dd/yy\ hh:mm"/>
  </numFmts>
  <fonts count="146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4"/>
      <color indexed="9"/>
      <name val="Arial"/>
      <family val="2"/>
    </font>
    <font>
      <b/>
      <sz val="12"/>
      <color indexed="16"/>
      <name val="Arial"/>
      <family val="2"/>
    </font>
    <font>
      <sz val="12"/>
      <color indexed="16"/>
      <name val="Arial"/>
      <family val="2"/>
    </font>
    <font>
      <b/>
      <sz val="12"/>
      <color indexed="12"/>
      <name val="Arial"/>
      <family val="2"/>
    </font>
    <font>
      <b/>
      <sz val="12"/>
      <color indexed="9"/>
      <name val="Arial"/>
      <family val="2"/>
    </font>
    <font>
      <b/>
      <sz val="10"/>
      <color indexed="16"/>
      <name val="Arial"/>
      <family val="2"/>
    </font>
    <font>
      <i/>
      <sz val="10"/>
      <color indexed="9"/>
      <name val="Arial"/>
      <family val="2"/>
    </font>
    <font>
      <sz val="10"/>
      <color indexed="16"/>
      <name val="Arial"/>
      <family val="2"/>
    </font>
    <font>
      <b/>
      <sz val="10"/>
      <color indexed="9"/>
      <name val="Arial"/>
      <family val="2"/>
    </font>
    <font>
      <b/>
      <sz val="8"/>
      <color indexed="16"/>
      <name val="Arial"/>
      <family val="2"/>
    </font>
    <font>
      <sz val="10"/>
      <color indexed="10"/>
      <name val="Arial"/>
      <family val="2"/>
    </font>
    <font>
      <sz val="10"/>
      <color indexed="6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0"/>
      <color indexed="63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sz val="7"/>
      <name val="Arial"/>
      <family val="2"/>
    </font>
    <font>
      <sz val="12"/>
      <name val="Arial"/>
      <family val="2"/>
    </font>
    <font>
      <sz val="10"/>
      <color indexed="46"/>
      <name val="Arial"/>
      <family val="2"/>
    </font>
    <font>
      <sz val="10"/>
      <color indexed="8"/>
      <name val="Arial"/>
      <family val="2"/>
    </font>
    <font>
      <sz val="10"/>
      <color indexed="52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i/>
      <sz val="10"/>
      <color indexed="55"/>
      <name val="Arial"/>
      <family val="2"/>
    </font>
    <font>
      <sz val="10"/>
      <color indexed="63"/>
      <name val="Arial"/>
      <family val="2"/>
    </font>
    <font>
      <sz val="10"/>
      <color indexed="60"/>
      <name val="Arial"/>
      <family val="2"/>
    </font>
    <font>
      <sz val="10"/>
      <color indexed="54"/>
      <name val="Arial"/>
      <family val="2"/>
    </font>
    <font>
      <b/>
      <u/>
      <sz val="10"/>
      <name val="Arial"/>
      <family val="2"/>
    </font>
    <font>
      <b/>
      <sz val="14"/>
      <color indexed="9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8"/>
      <color indexed="22"/>
      <name val="Arial"/>
      <family val="2"/>
    </font>
    <font>
      <sz val="8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8"/>
      <color indexed="81"/>
      <name val="Tahoma"/>
      <family val="2"/>
    </font>
    <font>
      <sz val="10"/>
      <name val="MS Sans Serif"/>
      <family val="2"/>
    </font>
    <font>
      <sz val="10"/>
      <color indexed="52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2"/>
      <color indexed="53"/>
      <name val="Arial"/>
      <family val="2"/>
    </font>
    <font>
      <b/>
      <sz val="12"/>
      <color indexed="12"/>
      <name val="Arial"/>
      <family val="2"/>
    </font>
    <font>
      <sz val="12"/>
      <color indexed="16"/>
      <name val="Arial"/>
      <family val="2"/>
    </font>
    <font>
      <b/>
      <sz val="10"/>
      <color indexed="16"/>
      <name val="Arial"/>
      <family val="2"/>
    </font>
    <font>
      <sz val="10"/>
      <color indexed="53"/>
      <name val="Arial"/>
      <family val="2"/>
    </font>
    <font>
      <u/>
      <sz val="10"/>
      <name val="Arial"/>
      <family val="2"/>
    </font>
    <font>
      <sz val="10"/>
      <color indexed="16"/>
      <name val="Arial"/>
      <family val="2"/>
    </font>
    <font>
      <b/>
      <sz val="7"/>
      <color indexed="16"/>
      <name val="Arial"/>
      <family val="2"/>
    </font>
    <font>
      <sz val="10"/>
      <color indexed="9"/>
      <name val="Arial"/>
      <family val="2"/>
    </font>
    <font>
      <sz val="10"/>
      <color indexed="60"/>
      <name val="Arial"/>
      <family val="2"/>
    </font>
    <font>
      <b/>
      <sz val="18"/>
      <color indexed="9"/>
      <name val="Arial"/>
      <family val="2"/>
    </font>
    <font>
      <b/>
      <sz val="11"/>
      <color indexed="16"/>
      <name val="Arial"/>
      <family val="2"/>
    </font>
    <font>
      <i/>
      <sz val="10"/>
      <color indexed="9"/>
      <name val="Arial"/>
      <family val="2"/>
    </font>
    <font>
      <b/>
      <sz val="10"/>
      <color indexed="9"/>
      <name val="Arial"/>
      <family val="2"/>
    </font>
    <font>
      <sz val="11"/>
      <name val="Arial"/>
      <family val="2"/>
    </font>
    <font>
      <b/>
      <sz val="12"/>
      <color indexed="9"/>
      <name val="Arial"/>
      <family val="2"/>
    </font>
    <font>
      <sz val="10"/>
      <color indexed="17"/>
      <name val="Arial"/>
      <family val="2"/>
    </font>
    <font>
      <sz val="10"/>
      <color indexed="50"/>
      <name val="Arial"/>
      <family val="2"/>
    </font>
    <font>
      <sz val="10"/>
      <name val="Arial"/>
      <family val="2"/>
    </font>
    <font>
      <i/>
      <sz val="10"/>
      <color indexed="16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  <font>
      <b/>
      <sz val="10"/>
      <color indexed="52"/>
      <name val="Arial"/>
      <family val="2"/>
    </font>
    <font>
      <b/>
      <sz val="10"/>
      <color indexed="17"/>
      <name val="Arial"/>
      <family val="2"/>
    </font>
    <font>
      <b/>
      <i/>
      <sz val="10"/>
      <name val="Arial"/>
      <family val="2"/>
    </font>
    <font>
      <b/>
      <sz val="10"/>
      <color indexed="52"/>
      <name val="Arial"/>
      <family val="2"/>
    </font>
    <font>
      <b/>
      <i/>
      <sz val="10"/>
      <color indexed="16"/>
      <name val="Arial"/>
      <family val="2"/>
    </font>
    <font>
      <b/>
      <sz val="10"/>
      <color indexed="63"/>
      <name val="Arial"/>
      <family val="2"/>
    </font>
    <font>
      <sz val="8"/>
      <color indexed="63"/>
      <name val="Arial"/>
      <family val="2"/>
    </font>
    <font>
      <sz val="9"/>
      <name val="Arial"/>
      <family val="2"/>
    </font>
    <font>
      <b/>
      <i/>
      <u/>
      <sz val="10"/>
      <name val="Arial"/>
      <family val="2"/>
    </font>
    <font>
      <sz val="10"/>
      <color indexed="12"/>
      <name val="Arial"/>
      <family val="2"/>
    </font>
    <font>
      <sz val="8"/>
      <color indexed="9"/>
      <name val="Arial"/>
      <family val="2"/>
    </font>
    <font>
      <b/>
      <i/>
      <sz val="10"/>
      <color indexed="9"/>
      <name val="Arial"/>
      <family val="2"/>
    </font>
    <font>
      <sz val="7"/>
      <color indexed="22"/>
      <name val="Arial"/>
      <family val="2"/>
    </font>
    <font>
      <b/>
      <u/>
      <sz val="10"/>
      <color indexed="63"/>
      <name val="Arial"/>
      <family val="2"/>
    </font>
    <font>
      <b/>
      <u/>
      <sz val="10"/>
      <color indexed="52"/>
      <name val="Arial"/>
      <family val="2"/>
    </font>
    <font>
      <b/>
      <sz val="10"/>
      <color indexed="60"/>
      <name val="Arial"/>
      <family val="2"/>
    </font>
    <font>
      <b/>
      <i/>
      <sz val="10"/>
      <color indexed="52"/>
      <name val="Arial"/>
      <family val="2"/>
    </font>
    <font>
      <sz val="10"/>
      <color indexed="17"/>
      <name val="Arial"/>
      <family val="2"/>
    </font>
    <font>
      <i/>
      <sz val="10"/>
      <color indexed="63"/>
      <name val="Arial"/>
      <family val="2"/>
    </font>
    <font>
      <b/>
      <sz val="10"/>
      <color indexed="16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color indexed="10"/>
      <name val="Arial"/>
      <family val="2"/>
    </font>
    <font>
      <sz val="10"/>
      <color indexed="11"/>
      <name val="Arial"/>
      <family val="2"/>
    </font>
    <font>
      <sz val="10"/>
      <color indexed="63"/>
      <name val="Arial"/>
      <family val="2"/>
    </font>
    <font>
      <u/>
      <sz val="10"/>
      <color indexed="9"/>
      <name val="Arial"/>
      <family val="2"/>
    </font>
    <font>
      <sz val="10"/>
      <color indexed="8"/>
      <name val="MS Sans Serif"/>
      <family val="2"/>
    </font>
    <font>
      <b/>
      <sz val="14"/>
      <color indexed="9"/>
      <name val="Arial"/>
      <family val="2"/>
    </font>
    <font>
      <sz val="12"/>
      <color indexed="53"/>
      <name val="Arial"/>
      <family val="2"/>
    </font>
    <font>
      <b/>
      <sz val="12"/>
      <color indexed="9"/>
      <name val="Arial"/>
      <family val="2"/>
    </font>
    <font>
      <sz val="10"/>
      <color indexed="60"/>
      <name val="Arial"/>
      <family val="2"/>
    </font>
    <font>
      <sz val="10"/>
      <color indexed="20"/>
      <name val="Arial"/>
      <family val="2"/>
    </font>
    <font>
      <sz val="10"/>
      <color indexed="51"/>
      <name val="Arial"/>
      <family val="2"/>
    </font>
    <font>
      <b/>
      <sz val="10"/>
      <color indexed="51"/>
      <name val="Arial"/>
      <family val="2"/>
    </font>
    <font>
      <b/>
      <sz val="8"/>
      <color indexed="6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24"/>
      <name val="Arial"/>
      <family val="2"/>
    </font>
    <font>
      <sz val="10"/>
      <color indexed="2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24"/>
      <name val="Arial"/>
      <family val="2"/>
    </font>
    <font>
      <sz val="10"/>
      <name val="Arial"/>
      <family val="2"/>
    </font>
    <font>
      <sz val="12"/>
      <name val="바탕체"/>
      <family val="3"/>
      <charset val="129"/>
    </font>
    <font>
      <sz val="12"/>
      <name val="바탕체"/>
      <family val="3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Segoe UI"/>
      <family val="2"/>
    </font>
    <font>
      <sz val="10"/>
      <color indexed="4"/>
      <name val="Segoe UI"/>
      <family val="2"/>
    </font>
    <font>
      <b/>
      <sz val="10"/>
      <color indexed="0"/>
      <name val="Segoe UI"/>
      <family val="2"/>
    </font>
    <font>
      <sz val="10"/>
      <color indexed="2"/>
      <name val="Segoe UI"/>
      <family val="2"/>
    </font>
    <font>
      <b/>
      <i/>
      <sz val="10"/>
      <color indexed="4"/>
      <name val="Segoe UI"/>
      <family val="2"/>
    </font>
    <font>
      <sz val="10"/>
      <color rgb="FF0070C0"/>
      <name val="Arial"/>
      <family val="2"/>
    </font>
    <font>
      <i/>
      <sz val="10"/>
      <color rgb="FF00B050"/>
      <name val="Arial"/>
      <family val="2"/>
    </font>
    <font>
      <b/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theme="0" tint="-0.249977111117893"/>
      <name val="Arial"/>
      <family val="2"/>
    </font>
    <font>
      <b/>
      <sz val="10"/>
      <color rgb="FF0000FF"/>
      <name val="Arial"/>
      <family val="2"/>
    </font>
    <font>
      <sz val="10"/>
      <color theme="3"/>
      <name val="Arial"/>
      <family val="2"/>
    </font>
    <font>
      <b/>
      <sz val="10"/>
      <color theme="3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8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5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6"/>
      </left>
      <right/>
      <top style="thin">
        <color indexed="9"/>
      </top>
      <bottom style="thin">
        <color indexed="16"/>
      </bottom>
      <diagonal/>
    </border>
    <border>
      <left/>
      <right/>
      <top style="thin">
        <color indexed="9"/>
      </top>
      <bottom style="thin">
        <color indexed="16"/>
      </bottom>
      <diagonal/>
    </border>
    <border>
      <left style="thin">
        <color indexed="64"/>
      </left>
      <right/>
      <top style="thin">
        <color indexed="64"/>
      </top>
      <bottom style="thin">
        <color indexed="16"/>
      </bottom>
      <diagonal/>
    </border>
    <border>
      <left/>
      <right/>
      <top style="thin">
        <color indexed="64"/>
      </top>
      <bottom style="thin">
        <color indexed="16"/>
      </bottom>
      <diagonal/>
    </border>
    <border>
      <left/>
      <right style="thin">
        <color indexed="64"/>
      </right>
      <top style="thin">
        <color indexed="64"/>
      </top>
      <bottom style="thin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16"/>
      </left>
      <right/>
      <top style="thin">
        <color indexed="9"/>
      </top>
      <bottom/>
      <diagonal/>
    </border>
    <border>
      <left/>
      <right style="thin">
        <color indexed="16"/>
      </right>
      <top style="thin">
        <color indexed="9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16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dashDot">
        <color indexed="16"/>
      </right>
      <top/>
      <bottom/>
      <diagonal/>
    </border>
    <border>
      <left style="medium">
        <color indexed="16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thin">
        <color indexed="64"/>
      </right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dashDot">
        <color indexed="16"/>
      </right>
      <top/>
      <bottom style="medium">
        <color rgb="FFFF0000"/>
      </bottom>
      <diagonal/>
    </border>
    <border>
      <left/>
      <right style="dashDot">
        <color indexed="16"/>
      </right>
      <top/>
      <bottom style="medium">
        <color rgb="FFFF0000"/>
      </bottom>
      <diagonal/>
    </border>
    <border>
      <left style="thin">
        <color indexed="16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63">
    <xf numFmtId="0" fontId="0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2" fillId="0" borderId="0"/>
    <xf numFmtId="0" fontId="124" fillId="0" borderId="0"/>
    <xf numFmtId="0" fontId="36" fillId="0" borderId="0"/>
    <xf numFmtId="0" fontId="125" fillId="0" borderId="0"/>
    <xf numFmtId="0" fontId="44" fillId="0" borderId="0"/>
    <xf numFmtId="0" fontId="44" fillId="0" borderId="0"/>
    <xf numFmtId="0" fontId="36" fillId="0" borderId="0"/>
    <xf numFmtId="0" fontId="125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7" fillId="0" borderId="0"/>
    <xf numFmtId="0" fontId="126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31" fillId="0" borderId="0"/>
    <xf numFmtId="0" fontId="130" fillId="2" borderId="0"/>
    <xf numFmtId="0" fontId="128" fillId="0" borderId="0">
      <alignment wrapText="1"/>
    </xf>
    <xf numFmtId="0" fontId="130" fillId="0" borderId="0"/>
    <xf numFmtId="0" fontId="132" fillId="0" borderId="0"/>
    <xf numFmtId="0" fontId="129" fillId="0" borderId="0"/>
    <xf numFmtId="0" fontId="2" fillId="0" borderId="0"/>
    <xf numFmtId="0" fontId="128" fillId="0" borderId="0"/>
    <xf numFmtId="0" fontId="102" fillId="0" borderId="0" applyNumberFormat="0" applyFont="0" applyFill="0" applyBorder="0" applyAlignment="0" applyProtection="0"/>
    <xf numFmtId="0" fontId="39" fillId="0" borderId="0"/>
    <xf numFmtId="0" fontId="2" fillId="0" borderId="0"/>
    <xf numFmtId="0" fontId="2" fillId="0" borderId="0" applyNumberFormat="0" applyFont="0" applyFill="0" applyBorder="0" applyAlignment="0" applyProtection="0"/>
    <xf numFmtId="0" fontId="116" fillId="0" borderId="0"/>
    <xf numFmtId="0" fontId="3" fillId="0" borderId="0"/>
    <xf numFmtId="0" fontId="121" fillId="0" borderId="0"/>
    <xf numFmtId="0" fontId="2" fillId="0" borderId="0"/>
    <xf numFmtId="0" fontId="2" fillId="0" borderId="0"/>
    <xf numFmtId="0" fontId="3" fillId="0" borderId="0"/>
    <xf numFmtId="0" fontId="39" fillId="0" borderId="0"/>
    <xf numFmtId="0" fontId="40" fillId="0" borderId="0">
      <alignment vertical="center"/>
    </xf>
    <xf numFmtId="0" fontId="129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3" borderId="0" applyNumberFormat="0" applyFont="0" applyBorder="0" applyAlignment="0" applyProtection="0"/>
    <xf numFmtId="0" fontId="41" fillId="0" borderId="0"/>
    <xf numFmtId="0" fontId="127" fillId="0" borderId="0"/>
    <xf numFmtId="0" fontId="41" fillId="0" borderId="1">
      <alignment horizontal="centerContinuous"/>
    </xf>
    <xf numFmtId="0" fontId="127" fillId="0" borderId="1">
      <alignment horizontal="centerContinuous"/>
    </xf>
    <xf numFmtId="0" fontId="42" fillId="0" borderId="1"/>
    <xf numFmtId="0" fontId="3" fillId="0" borderId="0" applyFont="0" applyFill="0" applyBorder="0" applyAlignment="0" applyProtection="0"/>
    <xf numFmtId="0" fontId="122" fillId="0" borderId="0" applyFont="0" applyFill="0" applyBorder="0" applyAlignment="0" applyProtection="0"/>
    <xf numFmtId="0" fontId="123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143" fillId="0" borderId="0"/>
  </cellStyleXfs>
  <cellXfs count="2362">
    <xf numFmtId="0" fontId="0" fillId="0" borderId="0" xfId="0"/>
    <xf numFmtId="166" fontId="5" fillId="4" borderId="0" xfId="1" applyNumberFormat="1" applyFont="1" applyFill="1"/>
    <xf numFmtId="166" fontId="6" fillId="4" borderId="0" xfId="1" applyNumberFormat="1" applyFont="1" applyFill="1"/>
    <xf numFmtId="166" fontId="7" fillId="4" borderId="0" xfId="1" applyNumberFormat="1" applyFont="1" applyFill="1"/>
    <xf numFmtId="166" fontId="8" fillId="4" borderId="0" xfId="1" applyNumberFormat="1" applyFont="1" applyFill="1"/>
    <xf numFmtId="166" fontId="9" fillId="4" borderId="0" xfId="1" applyNumberFormat="1" applyFont="1" applyFill="1"/>
    <xf numFmtId="166" fontId="10" fillId="4" borderId="0" xfId="1" applyNumberFormat="1" applyFont="1" applyFill="1"/>
    <xf numFmtId="166" fontId="11" fillId="4" borderId="0" xfId="1" applyNumberFormat="1" applyFont="1" applyFill="1"/>
    <xf numFmtId="0" fontId="12" fillId="0" borderId="0" xfId="1" applyFont="1"/>
    <xf numFmtId="166" fontId="12" fillId="4" borderId="0" xfId="1" applyNumberFormat="1" applyFont="1" applyFill="1"/>
    <xf numFmtId="0" fontId="13" fillId="4" borderId="0" xfId="1" applyFont="1" applyFill="1"/>
    <xf numFmtId="0" fontId="0" fillId="4" borderId="0" xfId="1" applyFont="1" applyFill="1"/>
    <xf numFmtId="0" fontId="4" fillId="0" borderId="0" xfId="1" applyFont="1"/>
    <xf numFmtId="0" fontId="17" fillId="0" borderId="0" xfId="1" applyFont="1"/>
    <xf numFmtId="0" fontId="17" fillId="5" borderId="3" xfId="1" applyFont="1" applyFill="1" applyBorder="1"/>
    <xf numFmtId="3" fontId="0" fillId="0" borderId="0" xfId="1" applyNumberFormat="1" applyFont="1"/>
    <xf numFmtId="8" fontId="0" fillId="0" borderId="0" xfId="1" applyNumberFormat="1" applyFont="1"/>
    <xf numFmtId="169" fontId="0" fillId="0" borderId="0" xfId="1" applyNumberFormat="1" applyFont="1"/>
    <xf numFmtId="43" fontId="0" fillId="0" borderId="0" xfId="1" applyNumberFormat="1" applyFont="1"/>
    <xf numFmtId="37" fontId="17" fillId="0" borderId="0" xfId="1" applyNumberFormat="1" applyFont="1"/>
    <xf numFmtId="170" fontId="0" fillId="0" borderId="0" xfId="18" applyNumberFormat="1" applyFont="1"/>
    <xf numFmtId="170" fontId="0" fillId="0" borderId="0" xfId="18" applyNumberFormat="1" applyFont="1" applyBorder="1"/>
    <xf numFmtId="0" fontId="18" fillId="0" borderId="0" xfId="1" applyFont="1"/>
    <xf numFmtId="37" fontId="0" fillId="0" borderId="0" xfId="1" applyNumberFormat="1" applyFont="1"/>
    <xf numFmtId="8" fontId="4" fillId="0" borderId="0" xfId="1" applyNumberFormat="1" applyFont="1"/>
    <xf numFmtId="0" fontId="4" fillId="0" borderId="0" xfId="1" applyFont="1" applyAlignment="1">
      <alignment horizontal="left"/>
    </xf>
    <xf numFmtId="9" fontId="0" fillId="0" borderId="0" xfId="1" applyNumberFormat="1" applyFont="1"/>
    <xf numFmtId="0" fontId="0" fillId="0" borderId="0" xfId="1" applyFont="1" applyAlignment="1">
      <alignment horizontal="left"/>
    </xf>
    <xf numFmtId="8" fontId="17" fillId="0" borderId="0" xfId="1" applyNumberFormat="1" applyFont="1"/>
    <xf numFmtId="7" fontId="0" fillId="0" borderId="0" xfId="1" applyNumberFormat="1" applyFont="1"/>
    <xf numFmtId="0" fontId="17" fillId="0" borderId="0" xfId="1" applyFont="1" applyAlignment="1">
      <alignment horizontal="left"/>
    </xf>
    <xf numFmtId="167" fontId="10" fillId="0" borderId="5" xfId="1" applyNumberFormat="1" applyFont="1" applyBorder="1"/>
    <xf numFmtId="0" fontId="20" fillId="4" borderId="0" xfId="1" applyFont="1" applyFill="1"/>
    <xf numFmtId="4" fontId="0" fillId="0" borderId="0" xfId="1" applyNumberFormat="1" applyFont="1"/>
    <xf numFmtId="0" fontId="21" fillId="0" borderId="0" xfId="1" applyFont="1"/>
    <xf numFmtId="0" fontId="21" fillId="0" borderId="0" xfId="1" applyFont="1" applyAlignment="1">
      <alignment horizontal="left"/>
    </xf>
    <xf numFmtId="0" fontId="22" fillId="0" borderId="0" xfId="1" applyFont="1" applyAlignment="1">
      <alignment horizontal="center"/>
    </xf>
    <xf numFmtId="3" fontId="17" fillId="0" borderId="0" xfId="1" applyNumberFormat="1" applyFont="1"/>
    <xf numFmtId="0" fontId="23" fillId="0" borderId="0" xfId="1" applyFont="1" applyAlignment="1">
      <alignment horizontal="left"/>
    </xf>
    <xf numFmtId="38" fontId="4" fillId="0" borderId="0" xfId="19" applyFont="1"/>
    <xf numFmtId="9" fontId="12" fillId="0" borderId="0" xfId="1" applyNumberFormat="1" applyFont="1" applyAlignment="1">
      <alignment horizontal="center"/>
    </xf>
    <xf numFmtId="0" fontId="4" fillId="0" borderId="0" xfId="1" applyFont="1" applyAlignment="1">
      <alignment horizontal="left" indent="1"/>
    </xf>
    <xf numFmtId="0" fontId="17" fillId="5" borderId="3" xfId="1" applyFont="1" applyFill="1" applyBorder="1" applyAlignment="1">
      <alignment horizontal="left"/>
    </xf>
    <xf numFmtId="0" fontId="4" fillId="5" borderId="4" xfId="1" applyFont="1" applyFill="1" applyBorder="1"/>
    <xf numFmtId="0" fontId="17" fillId="0" borderId="0" xfId="1" applyFont="1" applyAlignment="1">
      <alignment horizontal="left" indent="1"/>
    </xf>
    <xf numFmtId="9" fontId="4" fillId="0" borderId="0" xfId="1" applyNumberFormat="1" applyFont="1"/>
    <xf numFmtId="168" fontId="4" fillId="0" borderId="0" xfId="1" applyNumberFormat="1" applyFont="1"/>
    <xf numFmtId="170" fontId="4" fillId="0" borderId="0" xfId="18" applyNumberFormat="1" applyFont="1"/>
    <xf numFmtId="3" fontId="4" fillId="0" borderId="0" xfId="1" applyNumberFormat="1" applyFont="1"/>
    <xf numFmtId="170" fontId="17" fillId="5" borderId="4" xfId="18" applyNumberFormat="1" applyFont="1" applyFill="1" applyBorder="1"/>
    <xf numFmtId="0" fontId="10" fillId="0" borderId="0" xfId="1" applyFont="1" applyAlignment="1">
      <alignment horizontal="left"/>
    </xf>
    <xf numFmtId="170" fontId="17" fillId="0" borderId="0" xfId="18" applyNumberFormat="1" applyFont="1" applyBorder="1"/>
    <xf numFmtId="170" fontId="17" fillId="0" borderId="0" xfId="18" applyNumberFormat="1" applyFont="1"/>
    <xf numFmtId="173" fontId="4" fillId="0" borderId="0" xfId="19" quotePrefix="1" applyNumberFormat="1" applyFont="1" applyAlignment="1">
      <alignment horizontal="left"/>
    </xf>
    <xf numFmtId="169" fontId="4" fillId="0" borderId="0" xfId="1" applyNumberFormat="1" applyFont="1"/>
    <xf numFmtId="170" fontId="17" fillId="5" borderId="6" xfId="18" applyNumberFormat="1" applyFont="1" applyFill="1" applyBorder="1"/>
    <xf numFmtId="170" fontId="4" fillId="0" borderId="0" xfId="18" applyNumberFormat="1" applyFont="1" applyAlignment="1">
      <alignment horizontal="left" indent="1"/>
    </xf>
    <xf numFmtId="170" fontId="10" fillId="0" borderId="0" xfId="18" applyNumberFormat="1" applyFont="1"/>
    <xf numFmtId="170" fontId="10" fillId="0" borderId="0" xfId="18" applyNumberFormat="1" applyFont="1" applyBorder="1"/>
    <xf numFmtId="4" fontId="16" fillId="0" borderId="0" xfId="1" applyNumberFormat="1" applyFont="1"/>
    <xf numFmtId="170" fontId="17" fillId="0" borderId="0" xfId="1" applyNumberFormat="1" applyFont="1"/>
    <xf numFmtId="0" fontId="24" fillId="0" borderId="0" xfId="1" applyFont="1"/>
    <xf numFmtId="0" fontId="25" fillId="0" borderId="0" xfId="1" applyFont="1"/>
    <xf numFmtId="167" fontId="10" fillId="0" borderId="7" xfId="1" applyNumberFormat="1" applyFont="1" applyBorder="1"/>
    <xf numFmtId="167" fontId="10" fillId="0" borderId="8" xfId="1" applyNumberFormat="1" applyFont="1" applyBorder="1"/>
    <xf numFmtId="167" fontId="14" fillId="0" borderId="8" xfId="1" applyNumberFormat="1" applyFont="1" applyBorder="1" applyAlignment="1">
      <alignment horizontal="right"/>
    </xf>
    <xf numFmtId="167" fontId="10" fillId="5" borderId="9" xfId="1" applyNumberFormat="1" applyFont="1" applyFill="1" applyBorder="1" applyAlignment="1">
      <alignment horizontal="right"/>
    </xf>
    <xf numFmtId="167" fontId="10" fillId="5" borderId="10" xfId="1" applyNumberFormat="1" applyFont="1" applyFill="1" applyBorder="1" applyAlignment="1">
      <alignment horizontal="right"/>
    </xf>
    <xf numFmtId="167" fontId="10" fillId="5" borderId="11" xfId="1" applyNumberFormat="1" applyFont="1" applyFill="1" applyBorder="1" applyAlignment="1">
      <alignment horizontal="right"/>
    </xf>
    <xf numFmtId="174" fontId="10" fillId="0" borderId="8" xfId="1" applyNumberFormat="1" applyFont="1" applyBorder="1" applyAlignment="1">
      <alignment horizontal="right"/>
    </xf>
    <xf numFmtId="175" fontId="10" fillId="0" borderId="8" xfId="1" applyNumberFormat="1" applyFont="1" applyBorder="1" applyAlignment="1">
      <alignment horizontal="right"/>
    </xf>
    <xf numFmtId="167" fontId="10" fillId="5" borderId="12" xfId="1" applyNumberFormat="1" applyFont="1" applyFill="1" applyBorder="1" applyAlignment="1">
      <alignment horizontal="right"/>
    </xf>
    <xf numFmtId="167" fontId="10" fillId="5" borderId="13" xfId="1" applyNumberFormat="1" applyFont="1" applyFill="1" applyBorder="1" applyAlignment="1">
      <alignment horizontal="right"/>
    </xf>
    <xf numFmtId="167" fontId="10" fillId="5" borderId="14" xfId="1" applyNumberFormat="1" applyFont="1" applyFill="1" applyBorder="1" applyAlignment="1">
      <alignment horizontal="right"/>
    </xf>
    <xf numFmtId="167" fontId="0" fillId="0" borderId="8" xfId="1" applyNumberFormat="1" applyFont="1" applyBorder="1"/>
    <xf numFmtId="170" fontId="27" fillId="5" borderId="0" xfId="18" applyNumberFormat="1" applyFont="1" applyFill="1" applyBorder="1"/>
    <xf numFmtId="170" fontId="17" fillId="5" borderId="0" xfId="18" applyNumberFormat="1" applyFont="1" applyFill="1" applyBorder="1"/>
    <xf numFmtId="170" fontId="4" fillId="5" borderId="0" xfId="18" applyNumberFormat="1" applyFont="1" applyFill="1" applyBorder="1"/>
    <xf numFmtId="170" fontId="16" fillId="5" borderId="0" xfId="18" applyNumberFormat="1" applyFont="1" applyFill="1" applyBorder="1"/>
    <xf numFmtId="170" fontId="4" fillId="0" borderId="0" xfId="18" applyNumberFormat="1" applyFont="1" applyBorder="1"/>
    <xf numFmtId="170" fontId="27" fillId="0" borderId="0" xfId="18" applyNumberFormat="1" applyFont="1" applyBorder="1"/>
    <xf numFmtId="170" fontId="0" fillId="0" borderId="0" xfId="1" applyNumberFormat="1" applyFont="1"/>
    <xf numFmtId="170" fontId="12" fillId="5" borderId="0" xfId="18" applyNumberFormat="1" applyFont="1" applyFill="1" applyBorder="1"/>
    <xf numFmtId="170" fontId="33" fillId="5" borderId="0" xfId="18" applyNumberFormat="1" applyFont="1" applyFill="1" applyBorder="1"/>
    <xf numFmtId="169" fontId="4" fillId="5" borderId="0" xfId="44" applyNumberFormat="1" applyFont="1" applyFill="1" applyBorder="1"/>
    <xf numFmtId="175" fontId="10" fillId="0" borderId="15" xfId="1" applyNumberFormat="1" applyFont="1" applyBorder="1" applyAlignment="1">
      <alignment horizontal="right"/>
    </xf>
    <xf numFmtId="0" fontId="9" fillId="4" borderId="0" xfId="1" applyFont="1" applyFill="1"/>
    <xf numFmtId="0" fontId="4" fillId="0" borderId="0" xfId="1" applyFont="1" applyFill="1" applyBorder="1"/>
    <xf numFmtId="0" fontId="17" fillId="0" borderId="0" xfId="1" applyFont="1" applyFill="1" applyBorder="1"/>
    <xf numFmtId="0" fontId="0" fillId="0" borderId="0" xfId="1" applyFont="1" applyFill="1" applyBorder="1"/>
    <xf numFmtId="0" fontId="17" fillId="0" borderId="0" xfId="1" applyFont="1" applyFill="1" applyAlignment="1">
      <alignment horizontal="center"/>
    </xf>
    <xf numFmtId="0" fontId="4" fillId="0" borderId="0" xfId="1" applyFont="1" applyFill="1"/>
    <xf numFmtId="0" fontId="0" fillId="0" borderId="0" xfId="1" applyFont="1" applyFill="1"/>
    <xf numFmtId="170" fontId="17" fillId="0" borderId="0" xfId="18" applyNumberFormat="1" applyFont="1" applyFill="1" applyBorder="1"/>
    <xf numFmtId="0" fontId="0" fillId="0" borderId="0" xfId="1" applyFont="1" applyBorder="1"/>
    <xf numFmtId="170" fontId="2" fillId="0" borderId="0" xfId="18" applyNumberFormat="1" applyFont="1" applyBorder="1"/>
    <xf numFmtId="170" fontId="4" fillId="0" borderId="0" xfId="18" applyNumberFormat="1" applyFont="1" applyFill="1" applyBorder="1"/>
    <xf numFmtId="38" fontId="4" fillId="0" borderId="0" xfId="19" applyNumberFormat="1" applyFont="1"/>
    <xf numFmtId="0" fontId="18" fillId="0" borderId="0" xfId="1" applyFont="1" applyFill="1" applyBorder="1"/>
    <xf numFmtId="4" fontId="4" fillId="5" borderId="0" xfId="1" applyNumberFormat="1" applyFont="1" applyFill="1" applyBorder="1"/>
    <xf numFmtId="178" fontId="4" fillId="0" borderId="0" xfId="1" applyNumberFormat="1" applyFont="1" applyFill="1" applyBorder="1"/>
    <xf numFmtId="170" fontId="27" fillId="5" borderId="16" xfId="18" applyNumberFormat="1" applyFont="1" applyFill="1" applyBorder="1"/>
    <xf numFmtId="170" fontId="4" fillId="5" borderId="17" xfId="18" applyNumberFormat="1" applyFont="1" applyFill="1" applyBorder="1"/>
    <xf numFmtId="170" fontId="27" fillId="0" borderId="0" xfId="18" applyNumberFormat="1" applyFont="1" applyFill="1" applyBorder="1"/>
    <xf numFmtId="170" fontId="4" fillId="5" borderId="16" xfId="18" applyNumberFormat="1" applyFont="1" applyFill="1" applyBorder="1"/>
    <xf numFmtId="170" fontId="2" fillId="5" borderId="17" xfId="18" applyNumberFormat="1" applyFont="1" applyFill="1" applyBorder="1"/>
    <xf numFmtId="170" fontId="17" fillId="5" borderId="16" xfId="18" applyNumberFormat="1" applyFont="1" applyFill="1" applyBorder="1"/>
    <xf numFmtId="170" fontId="17" fillId="5" borderId="17" xfId="18" applyNumberFormat="1" applyFont="1" applyFill="1" applyBorder="1"/>
    <xf numFmtId="170" fontId="28" fillId="5" borderId="17" xfId="18" applyNumberFormat="1" applyFont="1" applyFill="1" applyBorder="1"/>
    <xf numFmtId="170" fontId="28" fillId="0" borderId="0" xfId="18" applyNumberFormat="1" applyFont="1" applyFill="1" applyBorder="1"/>
    <xf numFmtId="170" fontId="28" fillId="5" borderId="16" xfId="18" applyNumberFormat="1" applyFont="1" applyFill="1" applyBorder="1"/>
    <xf numFmtId="170" fontId="16" fillId="5" borderId="17" xfId="18" applyNumberFormat="1" applyFont="1" applyFill="1" applyBorder="1"/>
    <xf numFmtId="170" fontId="16" fillId="5" borderId="16" xfId="18" applyNumberFormat="1" applyFont="1" applyFill="1" applyBorder="1"/>
    <xf numFmtId="170" fontId="2" fillId="0" borderId="0" xfId="18" applyNumberFormat="1" applyFont="1" applyFill="1" applyBorder="1"/>
    <xf numFmtId="170" fontId="2" fillId="5" borderId="16" xfId="18" applyNumberFormat="1" applyFont="1" applyFill="1" applyBorder="1"/>
    <xf numFmtId="170" fontId="2" fillId="5" borderId="0" xfId="18" applyNumberFormat="1" applyFont="1" applyFill="1" applyBorder="1"/>
    <xf numFmtId="7" fontId="4" fillId="5" borderId="16" xfId="1" applyNumberFormat="1" applyFont="1" applyFill="1" applyBorder="1"/>
    <xf numFmtId="7" fontId="4" fillId="5" borderId="0" xfId="1" applyNumberFormat="1" applyFont="1" applyFill="1" applyBorder="1"/>
    <xf numFmtId="7" fontId="4" fillId="5" borderId="17" xfId="1" applyNumberFormat="1" applyFont="1" applyFill="1" applyBorder="1"/>
    <xf numFmtId="7" fontId="4" fillId="0" borderId="0" xfId="1" applyNumberFormat="1" applyFont="1" applyFill="1" applyBorder="1"/>
    <xf numFmtId="0" fontId="2" fillId="0" borderId="0" xfId="1" applyFont="1" applyFill="1" applyBorder="1"/>
    <xf numFmtId="7" fontId="17" fillId="5" borderId="3" xfId="1" applyNumberFormat="1" applyFont="1" applyFill="1" applyBorder="1"/>
    <xf numFmtId="7" fontId="17" fillId="5" borderId="4" xfId="1" applyNumberFormat="1" applyFont="1" applyFill="1" applyBorder="1"/>
    <xf numFmtId="7" fontId="17" fillId="5" borderId="6" xfId="1" applyNumberFormat="1" applyFont="1" applyFill="1" applyBorder="1"/>
    <xf numFmtId="0" fontId="4" fillId="0" borderId="0" xfId="1" applyFont="1" applyBorder="1"/>
    <xf numFmtId="4" fontId="17" fillId="0" borderId="0" xfId="1" applyNumberFormat="1" applyFont="1" applyFill="1" applyBorder="1"/>
    <xf numFmtId="0" fontId="13" fillId="4" borderId="0" xfId="1" applyFont="1" applyFill="1" applyBorder="1"/>
    <xf numFmtId="0" fontId="20" fillId="4" borderId="0" xfId="1" applyFont="1" applyFill="1" applyBorder="1"/>
    <xf numFmtId="0" fontId="0" fillId="4" borderId="0" xfId="1" applyFont="1" applyFill="1" applyBorder="1"/>
    <xf numFmtId="178" fontId="10" fillId="5" borderId="0" xfId="1" applyNumberFormat="1" applyFont="1" applyFill="1" applyBorder="1" applyAlignment="1">
      <alignment horizontal="right"/>
    </xf>
    <xf numFmtId="3" fontId="2" fillId="5" borderId="16" xfId="1" applyNumberFormat="1" applyFont="1" applyFill="1" applyBorder="1"/>
    <xf numFmtId="3" fontId="2" fillId="5" borderId="0" xfId="1" applyNumberFormat="1" applyFont="1" applyFill="1" applyBorder="1"/>
    <xf numFmtId="3" fontId="2" fillId="5" borderId="17" xfId="1" applyNumberFormat="1" applyFont="1" applyFill="1" applyBorder="1"/>
    <xf numFmtId="3" fontId="0" fillId="5" borderId="16" xfId="1" applyNumberFormat="1" applyFont="1" applyFill="1" applyBorder="1"/>
    <xf numFmtId="3" fontId="0" fillId="5" borderId="0" xfId="1" applyNumberFormat="1" applyFont="1" applyFill="1" applyBorder="1"/>
    <xf numFmtId="3" fontId="0" fillId="5" borderId="17" xfId="1" applyNumberFormat="1" applyFont="1" applyFill="1" applyBorder="1"/>
    <xf numFmtId="0" fontId="17" fillId="0" borderId="0" xfId="1" applyFont="1" applyFill="1"/>
    <xf numFmtId="38" fontId="4" fillId="0" borderId="0" xfId="19" applyNumberFormat="1" applyFont="1" applyFill="1"/>
    <xf numFmtId="7" fontId="4" fillId="0" borderId="0" xfId="1" applyNumberFormat="1" applyFont="1" applyBorder="1"/>
    <xf numFmtId="0" fontId="2" fillId="0" borderId="0" xfId="1" applyFont="1" applyFill="1"/>
    <xf numFmtId="7" fontId="17" fillId="0" borderId="4" xfId="1" applyNumberFormat="1" applyFont="1" applyBorder="1"/>
    <xf numFmtId="169" fontId="4" fillId="5" borderId="16" xfId="44" applyNumberFormat="1" applyFont="1" applyFill="1" applyBorder="1"/>
    <xf numFmtId="169" fontId="4" fillId="5" borderId="17" xfId="44" applyNumberFormat="1" applyFont="1" applyFill="1" applyBorder="1"/>
    <xf numFmtId="169" fontId="28" fillId="0" borderId="0" xfId="44" applyNumberFormat="1" applyFont="1" applyBorder="1"/>
    <xf numFmtId="176" fontId="28" fillId="0" borderId="0" xfId="1" applyNumberFormat="1" applyFont="1" applyBorder="1"/>
    <xf numFmtId="0" fontId="0" fillId="5" borderId="16" xfId="1" applyFont="1" applyFill="1" applyBorder="1"/>
    <xf numFmtId="0" fontId="0" fillId="5" borderId="0" xfId="1" applyFont="1" applyFill="1" applyBorder="1"/>
    <xf numFmtId="0" fontId="0" fillId="5" borderId="17" xfId="1" applyFont="1" applyFill="1" applyBorder="1"/>
    <xf numFmtId="0" fontId="17" fillId="5" borderId="0" xfId="1" applyFont="1" applyFill="1" applyBorder="1"/>
    <xf numFmtId="0" fontId="17" fillId="0" borderId="0" xfId="1" applyFont="1" applyBorder="1"/>
    <xf numFmtId="7" fontId="0" fillId="5" borderId="0" xfId="1" applyNumberFormat="1" applyFont="1" applyFill="1" applyBorder="1"/>
    <xf numFmtId="7" fontId="17" fillId="5" borderId="0" xfId="1" applyNumberFormat="1" applyFont="1" applyFill="1" applyBorder="1"/>
    <xf numFmtId="3" fontId="12" fillId="5" borderId="16" xfId="1" applyNumberFormat="1" applyFont="1" applyFill="1" applyBorder="1"/>
    <xf numFmtId="3" fontId="12" fillId="5" borderId="0" xfId="1" applyNumberFormat="1" applyFont="1" applyFill="1" applyBorder="1"/>
    <xf numFmtId="3" fontId="12" fillId="5" borderId="17" xfId="1" applyNumberFormat="1" applyFont="1" applyFill="1" applyBorder="1"/>
    <xf numFmtId="3" fontId="16" fillId="5" borderId="0" xfId="1" applyNumberFormat="1" applyFont="1" applyFill="1" applyBorder="1"/>
    <xf numFmtId="170" fontId="12" fillId="5" borderId="16" xfId="18" applyNumberFormat="1" applyFont="1" applyFill="1" applyBorder="1"/>
    <xf numFmtId="170" fontId="12" fillId="5" borderId="17" xfId="18" applyNumberFormat="1" applyFont="1" applyFill="1" applyBorder="1"/>
    <xf numFmtId="170" fontId="26" fillId="5" borderId="16" xfId="18" applyNumberFormat="1" applyFont="1" applyFill="1" applyBorder="1"/>
    <xf numFmtId="0" fontId="0" fillId="0" borderId="0" xfId="1" applyFont="1" applyFill="1" applyBorder="1" applyAlignment="1">
      <alignment horizontal="left"/>
    </xf>
    <xf numFmtId="170" fontId="33" fillId="5" borderId="16" xfId="18" applyNumberFormat="1" applyFont="1" applyFill="1" applyBorder="1"/>
    <xf numFmtId="170" fontId="33" fillId="5" borderId="17" xfId="18" applyNumberFormat="1" applyFont="1" applyFill="1" applyBorder="1"/>
    <xf numFmtId="0" fontId="2" fillId="0" borderId="0" xfId="1" applyFont="1"/>
    <xf numFmtId="3" fontId="0" fillId="5" borderId="12" xfId="1" applyNumberFormat="1" applyFont="1" applyFill="1" applyBorder="1"/>
    <xf numFmtId="3" fontId="0" fillId="5" borderId="13" xfId="1" applyNumberFormat="1" applyFont="1" applyFill="1" applyBorder="1"/>
    <xf numFmtId="3" fontId="0" fillId="5" borderId="14" xfId="1" applyNumberFormat="1" applyFont="1" applyFill="1" applyBorder="1"/>
    <xf numFmtId="170" fontId="0" fillId="0" borderId="0" xfId="18" applyNumberFormat="1" applyFont="1" applyFill="1" applyBorder="1"/>
    <xf numFmtId="170" fontId="0" fillId="5" borderId="0" xfId="18" applyNumberFormat="1" applyFont="1" applyFill="1" applyBorder="1"/>
    <xf numFmtId="170" fontId="0" fillId="5" borderId="17" xfId="18" applyNumberFormat="1" applyFont="1" applyFill="1" applyBorder="1"/>
    <xf numFmtId="170" fontId="0" fillId="5" borderId="16" xfId="18" applyNumberFormat="1" applyFont="1" applyFill="1" applyBorder="1"/>
    <xf numFmtId="170" fontId="0" fillId="4" borderId="0" xfId="18" applyNumberFormat="1" applyFont="1" applyFill="1" applyBorder="1"/>
    <xf numFmtId="0" fontId="47" fillId="0" borderId="0" xfId="1" applyFont="1" applyFill="1" applyBorder="1"/>
    <xf numFmtId="170" fontId="31" fillId="0" borderId="0" xfId="18" applyNumberFormat="1" applyFont="1" applyFill="1"/>
    <xf numFmtId="170" fontId="4" fillId="0" borderId="0" xfId="1" applyNumberFormat="1" applyFont="1"/>
    <xf numFmtId="10" fontId="31" fillId="0" borderId="0" xfId="44" applyNumberFormat="1" applyFont="1" applyFill="1"/>
    <xf numFmtId="43" fontId="31" fillId="0" borderId="0" xfId="18" applyFont="1" applyFill="1"/>
    <xf numFmtId="169" fontId="31" fillId="0" borderId="0" xfId="44" applyNumberFormat="1" applyFont="1" applyFill="1"/>
    <xf numFmtId="3" fontId="0" fillId="0" borderId="0" xfId="1" applyNumberFormat="1" applyFont="1" applyFill="1"/>
    <xf numFmtId="3" fontId="0" fillId="0" borderId="0" xfId="1" applyNumberFormat="1" applyFont="1" applyFill="1" applyBorder="1"/>
    <xf numFmtId="7" fontId="2" fillId="0" borderId="0" xfId="1" applyNumberFormat="1" applyFont="1"/>
    <xf numFmtId="166" fontId="51" fillId="4" borderId="0" xfId="1" applyNumberFormat="1" applyFont="1" applyFill="1" applyBorder="1"/>
    <xf numFmtId="7" fontId="0" fillId="0" borderId="0" xfId="1" applyNumberFormat="1" applyFont="1" applyFill="1"/>
    <xf numFmtId="0" fontId="26" fillId="0" borderId="0" xfId="1" applyFont="1"/>
    <xf numFmtId="4" fontId="2" fillId="0" borderId="0" xfId="1" applyNumberFormat="1" applyFont="1"/>
    <xf numFmtId="3" fontId="2" fillId="0" borderId="0" xfId="1" applyNumberFormat="1" applyFont="1"/>
    <xf numFmtId="9" fontId="2" fillId="0" borderId="0" xfId="1" applyNumberFormat="1" applyFont="1"/>
    <xf numFmtId="0" fontId="2" fillId="0" borderId="0" xfId="1" applyFont="1" applyAlignment="1">
      <alignment horizontal="left"/>
    </xf>
    <xf numFmtId="0" fontId="2" fillId="0" borderId="0" xfId="1" applyFont="1" applyAlignment="1">
      <alignment horizontal="left" indent="1"/>
    </xf>
    <xf numFmtId="170" fontId="2" fillId="0" borderId="0" xfId="18" applyNumberFormat="1" applyFont="1"/>
    <xf numFmtId="43" fontId="2" fillId="0" borderId="0" xfId="1" applyNumberFormat="1" applyFont="1"/>
    <xf numFmtId="169" fontId="2" fillId="0" borderId="0" xfId="1" applyNumberFormat="1" applyFont="1"/>
    <xf numFmtId="0" fontId="2" fillId="5" borderId="4" xfId="1" applyFont="1" applyFill="1" applyBorder="1"/>
    <xf numFmtId="8" fontId="2" fillId="0" borderId="0" xfId="1" applyNumberFormat="1" applyFont="1"/>
    <xf numFmtId="0" fontId="56" fillId="4" borderId="0" xfId="1" applyFont="1" applyFill="1"/>
    <xf numFmtId="0" fontId="58" fillId="4" borderId="0" xfId="1" applyFont="1" applyFill="1"/>
    <xf numFmtId="0" fontId="0" fillId="6" borderId="0" xfId="1" applyFont="1" applyFill="1"/>
    <xf numFmtId="0" fontId="54" fillId="6" borderId="0" xfId="1" applyFont="1" applyFill="1"/>
    <xf numFmtId="0" fontId="59" fillId="6" borderId="0" xfId="1" applyFont="1" applyFill="1"/>
    <xf numFmtId="0" fontId="10" fillId="6" borderId="0" xfId="1" applyFont="1" applyFill="1"/>
    <xf numFmtId="0" fontId="17" fillId="6" borderId="0" xfId="1" applyFont="1" applyFill="1"/>
    <xf numFmtId="170" fontId="17" fillId="0" borderId="0" xfId="1" applyNumberFormat="1" applyFont="1" applyBorder="1"/>
    <xf numFmtId="9" fontId="2" fillId="0" borderId="0" xfId="44" applyFont="1" applyFill="1"/>
    <xf numFmtId="170" fontId="2" fillId="0" borderId="0" xfId="1" applyNumberFormat="1" applyFont="1" applyFill="1"/>
    <xf numFmtId="2" fontId="0" fillId="0" borderId="0" xfId="1" applyNumberFormat="1" applyFont="1"/>
    <xf numFmtId="166" fontId="35" fillId="4" borderId="0" xfId="1" applyNumberFormat="1" applyFont="1" applyFill="1"/>
    <xf numFmtId="166" fontId="49" fillId="4" borderId="0" xfId="1" applyNumberFormat="1" applyFont="1" applyFill="1"/>
    <xf numFmtId="166" fontId="50" fillId="4" borderId="0" xfId="1" applyNumberFormat="1" applyFont="1" applyFill="1"/>
    <xf numFmtId="166" fontId="51" fillId="4" borderId="0" xfId="1" applyNumberFormat="1" applyFont="1" applyFill="1"/>
    <xf numFmtId="0" fontId="12" fillId="4" borderId="0" xfId="1" applyFont="1" applyFill="1" applyBorder="1"/>
    <xf numFmtId="0" fontId="17" fillId="5" borderId="12" xfId="1" applyFont="1" applyFill="1" applyBorder="1" applyAlignment="1">
      <alignment horizontal="left"/>
    </xf>
    <xf numFmtId="8" fontId="17" fillId="5" borderId="13" xfId="1" applyNumberFormat="1" applyFont="1" applyFill="1" applyBorder="1"/>
    <xf numFmtId="7" fontId="17" fillId="5" borderId="13" xfId="1" applyNumberFormat="1" applyFont="1" applyFill="1" applyBorder="1"/>
    <xf numFmtId="7" fontId="17" fillId="5" borderId="14" xfId="1" applyNumberFormat="1" applyFont="1" applyFill="1" applyBorder="1"/>
    <xf numFmtId="0" fontId="17" fillId="5" borderId="13" xfId="1" applyFont="1" applyFill="1" applyBorder="1"/>
    <xf numFmtId="0" fontId="17" fillId="5" borderId="16" xfId="1" applyFont="1" applyFill="1" applyBorder="1"/>
    <xf numFmtId="0" fontId="17" fillId="5" borderId="17" xfId="1" applyFont="1" applyFill="1" applyBorder="1"/>
    <xf numFmtId="0" fontId="17" fillId="5" borderId="18" xfId="1" applyFont="1" applyFill="1" applyBorder="1"/>
    <xf numFmtId="0" fontId="17" fillId="5" borderId="19" xfId="1" applyFont="1" applyFill="1" applyBorder="1"/>
    <xf numFmtId="9" fontId="17" fillId="5" borderId="19" xfId="1" applyNumberFormat="1" applyFont="1" applyFill="1" applyBorder="1"/>
    <xf numFmtId="9" fontId="17" fillId="5" borderId="20" xfId="1" applyNumberFormat="1" applyFont="1" applyFill="1" applyBorder="1"/>
    <xf numFmtId="9" fontId="17" fillId="5" borderId="19" xfId="44" applyNumberFormat="1" applyFont="1" applyFill="1" applyBorder="1"/>
    <xf numFmtId="170" fontId="0" fillId="0" borderId="0" xfId="1" applyNumberFormat="1" applyFont="1" applyFill="1"/>
    <xf numFmtId="8" fontId="9" fillId="4" borderId="0" xfId="1" applyNumberFormat="1" applyFont="1" applyFill="1" applyAlignment="1">
      <alignment horizontal="left"/>
    </xf>
    <xf numFmtId="14" fontId="9" fillId="4" borderId="0" xfId="1" applyNumberFormat="1" applyFont="1" applyFill="1" applyAlignment="1">
      <alignment horizontal="left"/>
    </xf>
    <xf numFmtId="166" fontId="63" fillId="4" borderId="0" xfId="1" applyNumberFormat="1" applyFont="1" applyFill="1"/>
    <xf numFmtId="166" fontId="54" fillId="4" borderId="0" xfId="1" applyNumberFormat="1" applyFont="1" applyFill="1"/>
    <xf numFmtId="0" fontId="4" fillId="6" borderId="15" xfId="1" applyFont="1" applyFill="1" applyBorder="1"/>
    <xf numFmtId="0" fontId="4" fillId="6" borderId="0" xfId="1" applyFont="1" applyFill="1"/>
    <xf numFmtId="0" fontId="0" fillId="5" borderId="12" xfId="1" applyFont="1" applyFill="1" applyBorder="1"/>
    <xf numFmtId="0" fontId="0" fillId="5" borderId="13" xfId="1" applyFont="1" applyFill="1" applyBorder="1"/>
    <xf numFmtId="0" fontId="0" fillId="5" borderId="14" xfId="1" applyFont="1" applyFill="1" applyBorder="1"/>
    <xf numFmtId="3" fontId="17" fillId="5" borderId="16" xfId="1" applyNumberFormat="1" applyFont="1" applyFill="1" applyBorder="1"/>
    <xf numFmtId="3" fontId="17" fillId="5" borderId="0" xfId="1" applyNumberFormat="1" applyFont="1" applyFill="1" applyBorder="1"/>
    <xf numFmtId="3" fontId="17" fillId="0" borderId="0" xfId="1" applyNumberFormat="1" applyFont="1" applyFill="1" applyBorder="1"/>
    <xf numFmtId="3" fontId="17" fillId="5" borderId="17" xfId="1" applyNumberFormat="1" applyFont="1" applyFill="1" applyBorder="1"/>
    <xf numFmtId="3" fontId="4" fillId="5" borderId="16" xfId="1" applyNumberFormat="1" applyFont="1" applyFill="1" applyBorder="1"/>
    <xf numFmtId="3" fontId="4" fillId="5" borderId="0" xfId="1" applyNumberFormat="1" applyFont="1" applyFill="1" applyBorder="1"/>
    <xf numFmtId="3" fontId="4" fillId="0" borderId="0" xfId="1" applyNumberFormat="1" applyFont="1" applyFill="1" applyBorder="1"/>
    <xf numFmtId="3" fontId="4" fillId="5" borderId="17" xfId="1" applyNumberFormat="1" applyFont="1" applyFill="1" applyBorder="1"/>
    <xf numFmtId="3" fontId="2" fillId="0" borderId="0" xfId="1" applyNumberFormat="1" applyFont="1" applyFill="1" applyBorder="1"/>
    <xf numFmtId="37" fontId="17" fillId="5" borderId="16" xfId="1" applyNumberFormat="1" applyFont="1" applyFill="1" applyBorder="1"/>
    <xf numFmtId="37" fontId="17" fillId="5" borderId="0" xfId="1" applyNumberFormat="1" applyFont="1" applyFill="1" applyBorder="1"/>
    <xf numFmtId="37" fontId="17" fillId="0" borderId="0" xfId="1" applyNumberFormat="1" applyFont="1" applyFill="1" applyBorder="1"/>
    <xf numFmtId="3" fontId="16" fillId="5" borderId="16" xfId="1" applyNumberFormat="1" applyFont="1" applyFill="1" applyBorder="1"/>
    <xf numFmtId="3" fontId="16" fillId="5" borderId="17" xfId="1" applyNumberFormat="1" applyFont="1" applyFill="1" applyBorder="1"/>
    <xf numFmtId="37" fontId="4" fillId="5" borderId="16" xfId="1" applyNumberFormat="1" applyFont="1" applyFill="1" applyBorder="1"/>
    <xf numFmtId="37" fontId="4" fillId="5" borderId="0" xfId="1" applyNumberFormat="1" applyFont="1" applyFill="1" applyBorder="1"/>
    <xf numFmtId="0" fontId="17" fillId="0" borderId="15" xfId="1" applyFont="1" applyFill="1" applyBorder="1"/>
    <xf numFmtId="0" fontId="4" fillId="0" borderId="15" xfId="1" applyFont="1" applyFill="1" applyBorder="1"/>
    <xf numFmtId="189" fontId="4" fillId="0" borderId="0" xfId="1" applyNumberFormat="1" applyFont="1" applyFill="1" applyBorder="1"/>
    <xf numFmtId="166" fontId="11" fillId="4" borderId="0" xfId="1" applyNumberFormat="1" applyFont="1" applyFill="1" applyBorder="1"/>
    <xf numFmtId="166" fontId="54" fillId="4" borderId="0" xfId="1" applyNumberFormat="1" applyFont="1" applyFill="1" applyBorder="1"/>
    <xf numFmtId="0" fontId="17" fillId="0" borderId="8" xfId="1" applyFont="1" applyFill="1" applyBorder="1"/>
    <xf numFmtId="3" fontId="2" fillId="0" borderId="0" xfId="20" applyNumberFormat="1" applyFont="1"/>
    <xf numFmtId="3" fontId="0" fillId="0" borderId="0" xfId="1" applyNumberFormat="1" applyFont="1" applyBorder="1"/>
    <xf numFmtId="37" fontId="4" fillId="0" borderId="0" xfId="18" applyNumberFormat="1" applyFont="1" applyFill="1" applyBorder="1"/>
    <xf numFmtId="37" fontId="4" fillId="0" borderId="0" xfId="1" applyNumberFormat="1" applyFont="1" applyFill="1" applyBorder="1"/>
    <xf numFmtId="37" fontId="4" fillId="0" borderId="0" xfId="1" applyNumberFormat="1" applyFont="1"/>
    <xf numFmtId="37" fontId="0" fillId="0" borderId="0" xfId="1" applyNumberFormat="1" applyFont="1" applyFill="1" applyBorder="1"/>
    <xf numFmtId="37" fontId="17" fillId="0" borderId="0" xfId="1" applyNumberFormat="1" applyFont="1" applyFill="1"/>
    <xf numFmtId="37" fontId="17" fillId="0" borderId="0" xfId="18" applyNumberFormat="1" applyFont="1" applyFill="1" applyBorder="1"/>
    <xf numFmtId="37" fontId="0" fillId="0" borderId="0" xfId="1" applyNumberFormat="1" applyFont="1" applyFill="1"/>
    <xf numFmtId="37" fontId="0" fillId="0" borderId="0" xfId="18" applyNumberFormat="1" applyFont="1" applyFill="1" applyBorder="1"/>
    <xf numFmtId="37" fontId="2" fillId="0" borderId="0" xfId="18" applyNumberFormat="1" applyFont="1" applyFill="1" applyBorder="1"/>
    <xf numFmtId="37" fontId="4" fillId="0" borderId="0" xfId="19" applyNumberFormat="1" applyFont="1"/>
    <xf numFmtId="37" fontId="17" fillId="0" borderId="0" xfId="19" applyNumberFormat="1" applyFont="1"/>
    <xf numFmtId="37" fontId="30" fillId="0" borderId="0" xfId="19" applyNumberFormat="1" applyFont="1"/>
    <xf numFmtId="37" fontId="30" fillId="0" borderId="0" xfId="18" applyNumberFormat="1" applyFont="1" applyFill="1" applyBorder="1"/>
    <xf numFmtId="37" fontId="30" fillId="0" borderId="0" xfId="1" applyNumberFormat="1" applyFont="1"/>
    <xf numFmtId="37" fontId="4" fillId="0" borderId="0" xfId="1" applyNumberFormat="1" applyFont="1" applyFill="1"/>
    <xf numFmtId="37" fontId="2" fillId="0" borderId="0" xfId="1" applyNumberFormat="1" applyFont="1" applyFill="1" applyBorder="1"/>
    <xf numFmtId="37" fontId="4" fillId="0" borderId="0" xfId="19" applyNumberFormat="1" applyFont="1" applyFill="1"/>
    <xf numFmtId="37" fontId="4" fillId="0" borderId="0" xfId="19" quotePrefix="1" applyNumberFormat="1" applyFont="1" applyAlignment="1">
      <alignment horizontal="left"/>
    </xf>
    <xf numFmtId="3" fontId="17" fillId="0" borderId="0" xfId="20" applyNumberFormat="1" applyFont="1"/>
    <xf numFmtId="7" fontId="17" fillId="0" borderId="0" xfId="1" applyNumberFormat="1" applyFont="1" applyFill="1" applyBorder="1"/>
    <xf numFmtId="0" fontId="66" fillId="0" borderId="0" xfId="1" applyFont="1"/>
    <xf numFmtId="3" fontId="10" fillId="0" borderId="0" xfId="1" applyNumberFormat="1" applyFont="1" applyFill="1"/>
    <xf numFmtId="0" fontId="10" fillId="4" borderId="0" xfId="1" applyFont="1" applyFill="1" applyBorder="1"/>
    <xf numFmtId="0" fontId="56" fillId="4" borderId="0" xfId="1" applyFont="1" applyFill="1" applyBorder="1"/>
    <xf numFmtId="0" fontId="13" fillId="4" borderId="0" xfId="1" applyFont="1" applyFill="1" applyBorder="1" applyAlignment="1">
      <alignment horizontal="left"/>
    </xf>
    <xf numFmtId="37" fontId="13" fillId="4" borderId="0" xfId="1" applyNumberFormat="1" applyFont="1" applyFill="1" applyBorder="1"/>
    <xf numFmtId="166" fontId="54" fillId="4" borderId="17" xfId="1" applyNumberFormat="1" applyFont="1" applyFill="1" applyBorder="1"/>
    <xf numFmtId="169" fontId="31" fillId="0" borderId="0" xfId="1" applyNumberFormat="1" applyFont="1" applyFill="1" applyBorder="1"/>
    <xf numFmtId="9" fontId="31" fillId="0" borderId="0" xfId="1" applyNumberFormat="1" applyFont="1" applyFill="1" applyBorder="1"/>
    <xf numFmtId="0" fontId="4" fillId="4" borderId="0" xfId="1" applyFont="1" applyFill="1" applyBorder="1"/>
    <xf numFmtId="170" fontId="4" fillId="0" borderId="0" xfId="1" applyNumberFormat="1" applyFont="1" applyFill="1" applyBorder="1"/>
    <xf numFmtId="3" fontId="17" fillId="5" borderId="20" xfId="1" applyNumberFormat="1" applyFont="1" applyFill="1" applyBorder="1"/>
    <xf numFmtId="0" fontId="18" fillId="0" borderId="0" xfId="1" applyFont="1" applyFill="1"/>
    <xf numFmtId="170" fontId="45" fillId="5" borderId="16" xfId="1" applyNumberFormat="1" applyFont="1" applyFill="1" applyBorder="1"/>
    <xf numFmtId="170" fontId="45" fillId="5" borderId="0" xfId="1" applyNumberFormat="1" applyFont="1" applyFill="1" applyBorder="1"/>
    <xf numFmtId="170" fontId="2" fillId="5" borderId="17" xfId="1" applyNumberFormat="1" applyFont="1" applyFill="1" applyBorder="1"/>
    <xf numFmtId="170" fontId="45" fillId="0" borderId="0" xfId="1" applyNumberFormat="1" applyFont="1" applyFill="1" applyBorder="1"/>
    <xf numFmtId="170" fontId="30" fillId="5" borderId="16" xfId="18" applyNumberFormat="1" applyFont="1" applyFill="1" applyBorder="1"/>
    <xf numFmtId="170" fontId="30" fillId="5" borderId="0" xfId="18" applyNumberFormat="1" applyFont="1" applyFill="1" applyBorder="1"/>
    <xf numFmtId="170" fontId="30" fillId="5" borderId="17" xfId="18" applyNumberFormat="1" applyFont="1" applyFill="1" applyBorder="1"/>
    <xf numFmtId="170" fontId="30" fillId="0" borderId="0" xfId="18" applyNumberFormat="1" applyFont="1" applyBorder="1"/>
    <xf numFmtId="170" fontId="2" fillId="5" borderId="16" xfId="1" applyNumberFormat="1" applyFont="1" applyFill="1" applyBorder="1"/>
    <xf numFmtId="170" fontId="2" fillId="5" borderId="0" xfId="1" applyNumberFormat="1" applyFont="1" applyFill="1" applyBorder="1"/>
    <xf numFmtId="170" fontId="2" fillId="0" borderId="0" xfId="1" applyNumberFormat="1" applyFont="1" applyFill="1" applyBorder="1"/>
    <xf numFmtId="170" fontId="45" fillId="5" borderId="17" xfId="1" applyNumberFormat="1" applyFont="1" applyFill="1" applyBorder="1"/>
    <xf numFmtId="170" fontId="27" fillId="0" borderId="0" xfId="1" applyNumberFormat="1" applyFont="1" applyFill="1" applyBorder="1"/>
    <xf numFmtId="170" fontId="27" fillId="5" borderId="16" xfId="1" applyNumberFormat="1" applyFont="1" applyFill="1" applyBorder="1"/>
    <xf numFmtId="170" fontId="27" fillId="5" borderId="0" xfId="1" applyNumberFormat="1" applyFont="1" applyFill="1" applyBorder="1"/>
    <xf numFmtId="170" fontId="27" fillId="5" borderId="17" xfId="1" applyNumberFormat="1" applyFont="1" applyFill="1" applyBorder="1"/>
    <xf numFmtId="170" fontId="65" fillId="5" borderId="0" xfId="1" applyNumberFormat="1" applyFont="1" applyFill="1" applyBorder="1"/>
    <xf numFmtId="170" fontId="17" fillId="5" borderId="16" xfId="1" applyNumberFormat="1" applyFont="1" applyFill="1" applyBorder="1"/>
    <xf numFmtId="170" fontId="17" fillId="5" borderId="0" xfId="1" applyNumberFormat="1" applyFont="1" applyFill="1" applyBorder="1"/>
    <xf numFmtId="170" fontId="17" fillId="5" borderId="17" xfId="1" applyNumberFormat="1" applyFont="1" applyFill="1" applyBorder="1"/>
    <xf numFmtId="170" fontId="17" fillId="0" borderId="0" xfId="1" applyNumberFormat="1" applyFont="1" applyFill="1" applyBorder="1"/>
    <xf numFmtId="170" fontId="4" fillId="5" borderId="16" xfId="1" applyNumberFormat="1" applyFont="1" applyFill="1" applyBorder="1"/>
    <xf numFmtId="170" fontId="4" fillId="5" borderId="0" xfId="1" applyNumberFormat="1" applyFont="1" applyFill="1" applyBorder="1"/>
    <xf numFmtId="170" fontId="4" fillId="5" borderId="17" xfId="1" applyNumberFormat="1" applyFont="1" applyFill="1" applyBorder="1"/>
    <xf numFmtId="170" fontId="0" fillId="5" borderId="0" xfId="1" applyNumberFormat="1" applyFont="1" applyFill="1" applyBorder="1"/>
    <xf numFmtId="170" fontId="45" fillId="0" borderId="0" xfId="1" applyNumberFormat="1" applyFont="1"/>
    <xf numFmtId="170" fontId="47" fillId="5" borderId="17" xfId="1" applyNumberFormat="1" applyFont="1" applyFill="1" applyBorder="1"/>
    <xf numFmtId="170" fontId="0" fillId="0" borderId="0" xfId="1" applyNumberFormat="1" applyFont="1" applyFill="1" applyBorder="1"/>
    <xf numFmtId="170" fontId="0" fillId="5" borderId="16" xfId="1" applyNumberFormat="1" applyFont="1" applyFill="1" applyBorder="1"/>
    <xf numFmtId="170" fontId="0" fillId="5" borderId="17" xfId="1" applyNumberFormat="1" applyFont="1" applyFill="1" applyBorder="1"/>
    <xf numFmtId="170" fontId="47" fillId="5" borderId="16" xfId="1" applyNumberFormat="1" applyFont="1" applyFill="1" applyBorder="1"/>
    <xf numFmtId="170" fontId="47" fillId="5" borderId="0" xfId="1" applyNumberFormat="1" applyFont="1" applyFill="1" applyBorder="1"/>
    <xf numFmtId="170" fontId="47" fillId="0" borderId="0" xfId="1" applyNumberFormat="1" applyFont="1" applyFill="1" applyBorder="1"/>
    <xf numFmtId="170" fontId="66" fillId="5" borderId="16" xfId="1" applyNumberFormat="1" applyFont="1" applyFill="1" applyBorder="1"/>
    <xf numFmtId="170" fontId="66" fillId="5" borderId="0" xfId="1" applyNumberFormat="1" applyFont="1" applyFill="1" applyBorder="1"/>
    <xf numFmtId="170" fontId="66" fillId="5" borderId="17" xfId="1" applyNumberFormat="1" applyFont="1" applyFill="1" applyBorder="1"/>
    <xf numFmtId="170" fontId="66" fillId="0" borderId="0" xfId="1" applyNumberFormat="1" applyFont="1" applyFill="1" applyBorder="1"/>
    <xf numFmtId="170" fontId="2" fillId="0" borderId="0" xfId="1" applyNumberFormat="1" applyFont="1"/>
    <xf numFmtId="170" fontId="31" fillId="0" borderId="0" xfId="1" applyNumberFormat="1" applyFont="1"/>
    <xf numFmtId="7" fontId="0" fillId="0" borderId="0" xfId="1" applyNumberFormat="1" applyFont="1" applyFill="1" applyBorder="1"/>
    <xf numFmtId="7" fontId="2" fillId="0" borderId="0" xfId="1" applyNumberFormat="1" applyFont="1" applyFill="1"/>
    <xf numFmtId="7" fontId="2" fillId="0" borderId="0" xfId="1" applyNumberFormat="1" applyFont="1" applyFill="1" applyBorder="1"/>
    <xf numFmtId="166" fontId="50" fillId="0" borderId="0" xfId="1" applyNumberFormat="1" applyFont="1" applyFill="1"/>
    <xf numFmtId="166" fontId="54" fillId="0" borderId="0" xfId="1" applyNumberFormat="1" applyFont="1" applyFill="1"/>
    <xf numFmtId="167" fontId="10" fillId="5" borderId="21" xfId="1" applyNumberFormat="1" applyFont="1" applyFill="1" applyBorder="1" applyAlignment="1">
      <alignment horizontal="right"/>
    </xf>
    <xf numFmtId="167" fontId="10" fillId="5" borderId="15" xfId="1" applyNumberFormat="1" applyFont="1" applyFill="1" applyBorder="1" applyAlignment="1">
      <alignment horizontal="right"/>
    </xf>
    <xf numFmtId="167" fontId="10" fillId="5" borderId="22" xfId="1" applyNumberFormat="1" applyFont="1" applyFill="1" applyBorder="1" applyAlignment="1">
      <alignment horizontal="right"/>
    </xf>
    <xf numFmtId="0" fontId="10" fillId="0" borderId="15" xfId="1" applyFont="1" applyFill="1" applyBorder="1" applyAlignment="1">
      <alignment horizontal="right"/>
    </xf>
    <xf numFmtId="169" fontId="0" fillId="0" borderId="0" xfId="1" applyNumberFormat="1" applyFont="1" applyBorder="1"/>
    <xf numFmtId="43" fontId="27" fillId="5" borderId="0" xfId="18" applyNumberFormat="1" applyFont="1" applyFill="1" applyBorder="1"/>
    <xf numFmtId="38" fontId="17" fillId="0" borderId="0" xfId="19" applyNumberFormat="1" applyFont="1"/>
    <xf numFmtId="38" fontId="18" fillId="0" borderId="0" xfId="19" applyNumberFormat="1" applyFont="1"/>
    <xf numFmtId="38" fontId="17" fillId="0" borderId="0" xfId="19" applyNumberFormat="1" applyFont="1" applyFill="1"/>
    <xf numFmtId="7" fontId="0" fillId="0" borderId="0" xfId="1" applyNumberFormat="1" applyFont="1" applyBorder="1"/>
    <xf numFmtId="7" fontId="0" fillId="5" borderId="16" xfId="1" applyNumberFormat="1" applyFont="1" applyFill="1" applyBorder="1"/>
    <xf numFmtId="7" fontId="0" fillId="5" borderId="17" xfId="1" applyNumberFormat="1" applyFont="1" applyFill="1" applyBorder="1"/>
    <xf numFmtId="7" fontId="17" fillId="5" borderId="16" xfId="1" applyNumberFormat="1" applyFont="1" applyFill="1" applyBorder="1"/>
    <xf numFmtId="7" fontId="17" fillId="5" borderId="17" xfId="1" applyNumberFormat="1" applyFont="1" applyFill="1" applyBorder="1"/>
    <xf numFmtId="7" fontId="17" fillId="0" borderId="0" xfId="1" applyNumberFormat="1" applyFont="1" applyBorder="1"/>
    <xf numFmtId="7" fontId="0" fillId="0" borderId="4" xfId="1" applyNumberFormat="1" applyFont="1" applyBorder="1"/>
    <xf numFmtId="7" fontId="17" fillId="0" borderId="4" xfId="1" applyNumberFormat="1" applyFont="1" applyFill="1" applyBorder="1"/>
    <xf numFmtId="7" fontId="17" fillId="0" borderId="3" xfId="1" applyNumberFormat="1" applyFont="1" applyFill="1" applyBorder="1"/>
    <xf numFmtId="4" fontId="4" fillId="5" borderId="16" xfId="1" applyNumberFormat="1" applyFont="1" applyFill="1" applyBorder="1"/>
    <xf numFmtId="4" fontId="4" fillId="5" borderId="17" xfId="1" applyNumberFormat="1" applyFont="1" applyFill="1" applyBorder="1"/>
    <xf numFmtId="4" fontId="4" fillId="0" borderId="0" xfId="1" applyNumberFormat="1" applyFont="1" applyFill="1" applyBorder="1"/>
    <xf numFmtId="4" fontId="15" fillId="5" borderId="16" xfId="1" applyNumberFormat="1" applyFont="1" applyFill="1" applyBorder="1"/>
    <xf numFmtId="4" fontId="15" fillId="5" borderId="0" xfId="1" applyNumberFormat="1" applyFont="1" applyFill="1" applyBorder="1"/>
    <xf numFmtId="4" fontId="15" fillId="5" borderId="17" xfId="1" applyNumberFormat="1" applyFont="1" applyFill="1" applyBorder="1"/>
    <xf numFmtId="4" fontId="15" fillId="0" borderId="0" xfId="1" applyNumberFormat="1" applyFont="1" applyFill="1" applyBorder="1"/>
    <xf numFmtId="6" fontId="4" fillId="0" borderId="0" xfId="21" applyFont="1"/>
    <xf numFmtId="6" fontId="17" fillId="0" borderId="0" xfId="21" applyFont="1"/>
    <xf numFmtId="9" fontId="18" fillId="0" borderId="0" xfId="44" applyFont="1"/>
    <xf numFmtId="9" fontId="18" fillId="5" borderId="16" xfId="1" applyNumberFormat="1" applyFont="1" applyFill="1" applyBorder="1"/>
    <xf numFmtId="9" fontId="18" fillId="5" borderId="0" xfId="1" applyNumberFormat="1" applyFont="1" applyFill="1" applyBorder="1"/>
    <xf numFmtId="9" fontId="18" fillId="5" borderId="17" xfId="1" applyNumberFormat="1" applyFont="1" applyFill="1" applyBorder="1"/>
    <xf numFmtId="9" fontId="18" fillId="0" borderId="0" xfId="1" applyNumberFormat="1" applyFont="1" applyFill="1" applyBorder="1"/>
    <xf numFmtId="0" fontId="27" fillId="0" borderId="0" xfId="1" applyFont="1" applyFill="1" applyBorder="1"/>
    <xf numFmtId="9" fontId="18" fillId="0" borderId="0" xfId="44" applyFont="1" applyBorder="1"/>
    <xf numFmtId="38" fontId="4" fillId="0" borderId="0" xfId="19" applyNumberFormat="1" applyFont="1" applyBorder="1"/>
    <xf numFmtId="6" fontId="17" fillId="0" borderId="0" xfId="21" applyFont="1" applyBorder="1"/>
    <xf numFmtId="9" fontId="4" fillId="5" borderId="16" xfId="1" applyNumberFormat="1" applyFont="1" applyFill="1" applyBorder="1"/>
    <xf numFmtId="9" fontId="4" fillId="5" borderId="0" xfId="1" applyNumberFormat="1" applyFont="1" applyFill="1" applyBorder="1"/>
    <xf numFmtId="9" fontId="4" fillId="5" borderId="17" xfId="1" applyNumberFormat="1" applyFont="1" applyFill="1" applyBorder="1"/>
    <xf numFmtId="9" fontId="4" fillId="0" borderId="0" xfId="1" applyNumberFormat="1" applyFont="1" applyFill="1" applyBorder="1"/>
    <xf numFmtId="168" fontId="4" fillId="5" borderId="17" xfId="1" applyNumberFormat="1" applyFont="1" applyFill="1" applyBorder="1"/>
    <xf numFmtId="168" fontId="4" fillId="0" borderId="0" xfId="1" applyNumberFormat="1" applyFont="1" applyFill="1" applyBorder="1"/>
    <xf numFmtId="168" fontId="4" fillId="5" borderId="16" xfId="1" applyNumberFormat="1" applyFont="1" applyFill="1" applyBorder="1"/>
    <xf numFmtId="168" fontId="4" fillId="5" borderId="0" xfId="1" applyNumberFormat="1" applyFont="1" applyFill="1" applyBorder="1"/>
    <xf numFmtId="169" fontId="18" fillId="0" borderId="0" xfId="44" applyNumberFormat="1" applyFont="1" applyFill="1" applyBorder="1"/>
    <xf numFmtId="170" fontId="28" fillId="5" borderId="0" xfId="18" applyNumberFormat="1" applyFont="1" applyFill="1" applyBorder="1"/>
    <xf numFmtId="170" fontId="32" fillId="5" borderId="16" xfId="18" applyNumberFormat="1" applyFont="1" applyFill="1" applyBorder="1"/>
    <xf numFmtId="170" fontId="32" fillId="5" borderId="0" xfId="18" applyNumberFormat="1" applyFont="1" applyFill="1" applyBorder="1"/>
    <xf numFmtId="38" fontId="17" fillId="0" borderId="0" xfId="19" applyNumberFormat="1" applyFont="1" applyBorder="1"/>
    <xf numFmtId="166" fontId="60" fillId="4" borderId="0" xfId="1" applyNumberFormat="1" applyFont="1" applyFill="1"/>
    <xf numFmtId="166" fontId="54" fillId="4" borderId="0" xfId="1" applyNumberFormat="1" applyFont="1" applyFill="1" applyAlignment="1">
      <alignment horizontal="right"/>
    </xf>
    <xf numFmtId="166" fontId="54" fillId="4" borderId="17" xfId="1" applyNumberFormat="1" applyFont="1" applyFill="1" applyBorder="1" applyAlignment="1">
      <alignment horizontal="right"/>
    </xf>
    <xf numFmtId="167" fontId="10" fillId="0" borderId="19" xfId="1" applyNumberFormat="1" applyFont="1" applyFill="1" applyBorder="1"/>
    <xf numFmtId="0" fontId="17" fillId="0" borderId="2" xfId="1" applyFont="1" applyFill="1" applyBorder="1" applyAlignment="1"/>
    <xf numFmtId="0" fontId="17" fillId="0" borderId="0" xfId="1" applyFont="1" applyFill="1" applyBorder="1" applyAlignment="1"/>
    <xf numFmtId="170" fontId="17" fillId="0" borderId="17" xfId="18" applyNumberFormat="1" applyFont="1" applyFill="1" applyBorder="1" applyAlignment="1"/>
    <xf numFmtId="170" fontId="17" fillId="0" borderId="13" xfId="18" applyNumberFormat="1" applyFont="1" applyFill="1" applyBorder="1" applyAlignment="1">
      <alignment horizontal="right"/>
    </xf>
    <xf numFmtId="170" fontId="17" fillId="0" borderId="0" xfId="18" applyNumberFormat="1" applyFont="1" applyFill="1" applyBorder="1" applyAlignment="1">
      <alignment horizontal="right"/>
    </xf>
    <xf numFmtId="170" fontId="17" fillId="5" borderId="16" xfId="18" applyNumberFormat="1" applyFont="1" applyFill="1" applyBorder="1" applyAlignment="1">
      <alignment horizontal="right"/>
    </xf>
    <xf numFmtId="170" fontId="17" fillId="5" borderId="0" xfId="18" applyNumberFormat="1" applyFont="1" applyFill="1" applyBorder="1" applyAlignment="1">
      <alignment horizontal="right"/>
    </xf>
    <xf numFmtId="170" fontId="17" fillId="5" borderId="17" xfId="18" applyNumberFormat="1" applyFont="1" applyFill="1" applyBorder="1" applyAlignment="1">
      <alignment horizontal="right"/>
    </xf>
    <xf numFmtId="0" fontId="4" fillId="0" borderId="2" xfId="1" applyFont="1" applyBorder="1" applyAlignment="1"/>
    <xf numFmtId="38" fontId="17" fillId="0" borderId="0" xfId="19" applyNumberFormat="1" applyFont="1" applyBorder="1" applyAlignment="1"/>
    <xf numFmtId="0" fontId="64" fillId="0" borderId="0" xfId="41" applyFont="1" applyFill="1"/>
    <xf numFmtId="166" fontId="61" fillId="4" borderId="0" xfId="1" applyNumberFormat="1" applyFont="1" applyFill="1"/>
    <xf numFmtId="166" fontId="69" fillId="4" borderId="0" xfId="1" applyNumberFormat="1" applyFont="1" applyFill="1"/>
    <xf numFmtId="167" fontId="61" fillId="0" borderId="19" xfId="1" applyNumberFormat="1" applyFont="1" applyFill="1" applyBorder="1"/>
    <xf numFmtId="0" fontId="70" fillId="0" borderId="23" xfId="1" applyFont="1" applyBorder="1" applyAlignment="1"/>
    <xf numFmtId="0" fontId="47" fillId="0" borderId="0" xfId="1" applyFont="1" applyFill="1" applyBorder="1" applyAlignment="1"/>
    <xf numFmtId="0" fontId="66" fillId="0" borderId="0" xfId="1" applyFont="1" applyFill="1" applyBorder="1" applyAlignment="1"/>
    <xf numFmtId="0" fontId="66" fillId="0" borderId="19" xfId="1" applyFont="1" applyFill="1" applyBorder="1" applyAlignment="1"/>
    <xf numFmtId="0" fontId="66" fillId="0" borderId="2" xfId="1" applyFont="1" applyBorder="1" applyAlignment="1"/>
    <xf numFmtId="38" fontId="71" fillId="0" borderId="0" xfId="19" applyNumberFormat="1" applyFont="1" applyBorder="1" applyAlignment="1"/>
    <xf numFmtId="180" fontId="70" fillId="0" borderId="0" xfId="1" applyNumberFormat="1" applyFont="1"/>
    <xf numFmtId="0" fontId="47" fillId="0" borderId="0" xfId="41" applyFont="1" applyFill="1" applyAlignment="1">
      <alignment horizontal="left"/>
    </xf>
    <xf numFmtId="0" fontId="66" fillId="0" borderId="0" xfId="41" applyNumberFormat="1" applyFont="1" applyFill="1" applyAlignment="1">
      <alignment horizontal="left"/>
    </xf>
    <xf numFmtId="0" fontId="71" fillId="0" borderId="0" xfId="1" applyFont="1" applyBorder="1" applyAlignment="1"/>
    <xf numFmtId="38" fontId="47" fillId="0" borderId="0" xfId="19" applyNumberFormat="1" applyFont="1" applyBorder="1" applyAlignment="1"/>
    <xf numFmtId="0" fontId="66" fillId="0" borderId="0" xfId="1" applyFont="1" applyBorder="1" applyAlignment="1"/>
    <xf numFmtId="0" fontId="47" fillId="0" borderId="2" xfId="1" applyFont="1" applyFill="1" applyBorder="1" applyAlignment="1"/>
    <xf numFmtId="0" fontId="47" fillId="0" borderId="0" xfId="1" applyFont="1" applyBorder="1" applyAlignment="1"/>
    <xf numFmtId="0" fontId="16" fillId="0" borderId="0" xfId="41" applyFont="1" applyFill="1" applyAlignment="1">
      <alignment horizontal="right"/>
    </xf>
    <xf numFmtId="0" fontId="16" fillId="0" borderId="0" xfId="41" applyFont="1" applyFill="1" applyAlignment="1">
      <alignment horizontal="right" indent="1"/>
    </xf>
    <xf numFmtId="170" fontId="17" fillId="0" borderId="17" xfId="18" applyNumberFormat="1" applyFont="1" applyFill="1" applyBorder="1" applyAlignment="1">
      <alignment horizontal="right"/>
    </xf>
    <xf numFmtId="167" fontId="51" fillId="5" borderId="3" xfId="1" applyNumberFormat="1" applyFont="1" applyFill="1" applyBorder="1" applyAlignment="1">
      <alignment horizontal="right"/>
    </xf>
    <xf numFmtId="167" fontId="51" fillId="5" borderId="4" xfId="1" applyNumberFormat="1" applyFont="1" applyFill="1" applyBorder="1" applyAlignment="1">
      <alignment horizontal="right"/>
    </xf>
    <xf numFmtId="167" fontId="51" fillId="5" borderId="6" xfId="1" applyNumberFormat="1" applyFont="1" applyFill="1" applyBorder="1" applyAlignment="1">
      <alignment horizontal="right"/>
    </xf>
    <xf numFmtId="175" fontId="51" fillId="0" borderId="24" xfId="1" applyNumberFormat="1" applyFont="1" applyFill="1" applyBorder="1" applyAlignment="1">
      <alignment horizontal="right"/>
    </xf>
    <xf numFmtId="0" fontId="51" fillId="0" borderId="25" xfId="1" applyNumberFormat="1" applyFont="1" applyFill="1" applyBorder="1" applyAlignment="1">
      <alignment horizontal="right"/>
    </xf>
    <xf numFmtId="0" fontId="70" fillId="0" borderId="23" xfId="1" applyFont="1" applyBorder="1" applyAlignment="1">
      <alignment horizontal="right"/>
    </xf>
    <xf numFmtId="0" fontId="70" fillId="5" borderId="26" xfId="1" applyFont="1" applyFill="1" applyBorder="1" applyAlignment="1">
      <alignment horizontal="right"/>
    </xf>
    <xf numFmtId="0" fontId="70" fillId="5" borderId="23" xfId="1" applyFont="1" applyFill="1" applyBorder="1" applyAlignment="1">
      <alignment horizontal="right"/>
    </xf>
    <xf numFmtId="0" fontId="70" fillId="5" borderId="27" xfId="1" applyFont="1" applyFill="1" applyBorder="1" applyAlignment="1">
      <alignment horizontal="right"/>
    </xf>
    <xf numFmtId="0" fontId="70" fillId="0" borderId="27" xfId="1" applyFont="1" applyBorder="1" applyAlignment="1">
      <alignment horizontal="right"/>
    </xf>
    <xf numFmtId="170" fontId="72" fillId="0" borderId="0" xfId="18" applyNumberFormat="1" applyFont="1" applyFill="1" applyBorder="1" applyAlignment="1">
      <alignment horizontal="right"/>
    </xf>
    <xf numFmtId="170" fontId="72" fillId="5" borderId="16" xfId="18" applyNumberFormat="1" applyFont="1" applyFill="1" applyBorder="1" applyAlignment="1">
      <alignment horizontal="right"/>
    </xf>
    <xf numFmtId="170" fontId="72" fillId="5" borderId="0" xfId="18" applyNumberFormat="1" applyFont="1" applyFill="1" applyBorder="1" applyAlignment="1">
      <alignment horizontal="right"/>
    </xf>
    <xf numFmtId="170" fontId="72" fillId="5" borderId="17" xfId="18" applyNumberFormat="1" applyFont="1" applyFill="1" applyBorder="1" applyAlignment="1">
      <alignment horizontal="right"/>
    </xf>
    <xf numFmtId="170" fontId="47" fillId="0" borderId="0" xfId="18" applyNumberFormat="1" applyFont="1" applyFill="1" applyBorder="1" applyAlignment="1">
      <alignment horizontal="right"/>
    </xf>
    <xf numFmtId="170" fontId="47" fillId="5" borderId="16" xfId="18" applyNumberFormat="1" applyFont="1" applyFill="1" applyBorder="1" applyAlignment="1">
      <alignment horizontal="right"/>
    </xf>
    <xf numFmtId="170" fontId="47" fillId="5" borderId="0" xfId="18" applyNumberFormat="1" applyFont="1" applyFill="1" applyBorder="1" applyAlignment="1">
      <alignment horizontal="right"/>
    </xf>
    <xf numFmtId="170" fontId="47" fillId="5" borderId="17" xfId="18" applyNumberFormat="1" applyFont="1" applyFill="1" applyBorder="1" applyAlignment="1">
      <alignment horizontal="right"/>
    </xf>
    <xf numFmtId="170" fontId="66" fillId="0" borderId="2" xfId="18" applyNumberFormat="1" applyFont="1" applyBorder="1" applyAlignment="1">
      <alignment horizontal="right"/>
    </xf>
    <xf numFmtId="170" fontId="66" fillId="5" borderId="18" xfId="18" applyNumberFormat="1" applyFont="1" applyFill="1" applyBorder="1" applyAlignment="1">
      <alignment horizontal="right"/>
    </xf>
    <xf numFmtId="170" fontId="66" fillId="5" borderId="19" xfId="18" applyNumberFormat="1" applyFont="1" applyFill="1" applyBorder="1" applyAlignment="1">
      <alignment horizontal="right"/>
    </xf>
    <xf numFmtId="170" fontId="66" fillId="5" borderId="20" xfId="18" applyNumberFormat="1" applyFont="1" applyFill="1" applyBorder="1" applyAlignment="1">
      <alignment horizontal="right"/>
    </xf>
    <xf numFmtId="0" fontId="66" fillId="0" borderId="0" xfId="1" applyFont="1" applyFill="1" applyBorder="1" applyAlignment="1">
      <alignment horizontal="right"/>
    </xf>
    <xf numFmtId="0" fontId="66" fillId="0" borderId="0" xfId="1" applyFont="1" applyBorder="1" applyAlignment="1">
      <alignment horizontal="right"/>
    </xf>
    <xf numFmtId="170" fontId="66" fillId="0" borderId="0" xfId="18" applyNumberFormat="1" applyFont="1" applyFill="1" applyBorder="1" applyAlignment="1">
      <alignment horizontal="right"/>
    </xf>
    <xf numFmtId="170" fontId="66" fillId="5" borderId="16" xfId="18" applyNumberFormat="1" applyFont="1" applyFill="1" applyBorder="1" applyAlignment="1">
      <alignment horizontal="right"/>
    </xf>
    <xf numFmtId="170" fontId="66" fillId="5" borderId="0" xfId="18" applyNumberFormat="1" applyFont="1" applyFill="1" applyBorder="1" applyAlignment="1">
      <alignment horizontal="right"/>
    </xf>
    <xf numFmtId="170" fontId="66" fillId="5" borderId="17" xfId="18" applyNumberFormat="1" applyFont="1" applyFill="1" applyBorder="1" applyAlignment="1">
      <alignment horizontal="right"/>
    </xf>
    <xf numFmtId="170" fontId="66" fillId="0" borderId="19" xfId="18" applyNumberFormat="1" applyFont="1" applyFill="1" applyBorder="1" applyAlignment="1">
      <alignment horizontal="right"/>
    </xf>
    <xf numFmtId="170" fontId="66" fillId="0" borderId="0" xfId="41" applyNumberFormat="1" applyFont="1" applyFill="1" applyAlignment="1">
      <alignment horizontal="right"/>
    </xf>
    <xf numFmtId="170" fontId="73" fillId="0" borderId="19" xfId="18" applyNumberFormat="1" applyFont="1" applyFill="1" applyBorder="1" applyAlignment="1">
      <alignment horizontal="right"/>
    </xf>
    <xf numFmtId="170" fontId="73" fillId="5" borderId="18" xfId="18" applyNumberFormat="1" applyFont="1" applyFill="1" applyBorder="1" applyAlignment="1">
      <alignment horizontal="right"/>
    </xf>
    <xf numFmtId="170" fontId="73" fillId="5" borderId="19" xfId="18" applyNumberFormat="1" applyFont="1" applyFill="1" applyBorder="1" applyAlignment="1">
      <alignment horizontal="right"/>
    </xf>
    <xf numFmtId="170" fontId="73" fillId="5" borderId="20" xfId="18" applyNumberFormat="1" applyFont="1" applyFill="1" applyBorder="1" applyAlignment="1">
      <alignment horizontal="right"/>
    </xf>
    <xf numFmtId="170" fontId="66" fillId="5" borderId="28" xfId="18" applyNumberFormat="1" applyFont="1" applyFill="1" applyBorder="1" applyAlignment="1">
      <alignment horizontal="right"/>
    </xf>
    <xf numFmtId="170" fontId="66" fillId="5" borderId="2" xfId="18" applyNumberFormat="1" applyFont="1" applyFill="1" applyBorder="1" applyAlignment="1">
      <alignment horizontal="right"/>
    </xf>
    <xf numFmtId="170" fontId="66" fillId="5" borderId="29" xfId="18" applyNumberFormat="1" applyFont="1" applyFill="1" applyBorder="1" applyAlignment="1">
      <alignment horizontal="right"/>
    </xf>
    <xf numFmtId="170" fontId="74" fillId="0" borderId="19" xfId="18" applyNumberFormat="1" applyFont="1" applyFill="1" applyBorder="1" applyAlignment="1">
      <alignment horizontal="right"/>
    </xf>
    <xf numFmtId="170" fontId="74" fillId="5" borderId="18" xfId="18" applyNumberFormat="1" applyFont="1" applyFill="1" applyBorder="1" applyAlignment="1">
      <alignment horizontal="right"/>
    </xf>
    <xf numFmtId="170" fontId="74" fillId="5" borderId="19" xfId="18" applyNumberFormat="1" applyFont="1" applyFill="1" applyBorder="1" applyAlignment="1">
      <alignment horizontal="right"/>
    </xf>
    <xf numFmtId="170" fontId="74" fillId="5" borderId="20" xfId="18" applyNumberFormat="1" applyFont="1" applyFill="1" applyBorder="1" applyAlignment="1">
      <alignment horizontal="right"/>
    </xf>
    <xf numFmtId="170" fontId="66" fillId="0" borderId="2" xfId="18" applyNumberFormat="1" applyFont="1" applyFill="1" applyBorder="1" applyAlignment="1">
      <alignment horizontal="right"/>
    </xf>
    <xf numFmtId="170" fontId="66" fillId="0" borderId="29" xfId="1" applyNumberFormat="1" applyFont="1" applyBorder="1" applyAlignment="1">
      <alignment horizontal="right"/>
    </xf>
    <xf numFmtId="170" fontId="66" fillId="0" borderId="0" xfId="1" applyNumberFormat="1" applyFont="1" applyFill="1" applyBorder="1" applyAlignment="1">
      <alignment horizontal="right"/>
    </xf>
    <xf numFmtId="170" fontId="66" fillId="5" borderId="16" xfId="1" applyNumberFormat="1" applyFont="1" applyFill="1" applyBorder="1" applyAlignment="1">
      <alignment horizontal="right"/>
    </xf>
    <xf numFmtId="170" fontId="66" fillId="5" borderId="0" xfId="1" applyNumberFormat="1" applyFont="1" applyFill="1" applyBorder="1" applyAlignment="1">
      <alignment horizontal="right"/>
    </xf>
    <xf numFmtId="170" fontId="66" fillId="5" borderId="17" xfId="1" applyNumberFormat="1" applyFont="1" applyFill="1" applyBorder="1" applyAlignment="1">
      <alignment horizontal="right"/>
    </xf>
    <xf numFmtId="170" fontId="66" fillId="0" borderId="17" xfId="1" applyNumberFormat="1" applyFont="1" applyFill="1" applyBorder="1" applyAlignment="1">
      <alignment horizontal="right"/>
    </xf>
    <xf numFmtId="170" fontId="66" fillId="0" borderId="0" xfId="1" applyNumberFormat="1" applyFont="1" applyBorder="1" applyAlignment="1">
      <alignment horizontal="right"/>
    </xf>
    <xf numFmtId="170" fontId="66" fillId="0" borderId="17" xfId="1" applyNumberFormat="1" applyFont="1" applyBorder="1" applyAlignment="1">
      <alignment horizontal="right"/>
    </xf>
    <xf numFmtId="170" fontId="66" fillId="0" borderId="0" xfId="41" applyNumberFormat="1" applyFont="1" applyFill="1" applyAlignment="1">
      <alignment horizontal="left"/>
    </xf>
    <xf numFmtId="170" fontId="66" fillId="0" borderId="20" xfId="1" applyNumberFormat="1" applyFont="1" applyFill="1" applyBorder="1" applyAlignment="1">
      <alignment horizontal="right"/>
    </xf>
    <xf numFmtId="170" fontId="73" fillId="0" borderId="20" xfId="1" applyNumberFormat="1" applyFont="1" applyFill="1" applyBorder="1" applyAlignment="1">
      <alignment horizontal="right"/>
    </xf>
    <xf numFmtId="170" fontId="47" fillId="0" borderId="17" xfId="1" applyNumberFormat="1" applyFont="1" applyFill="1" applyBorder="1" applyAlignment="1">
      <alignment horizontal="right"/>
    </xf>
    <xf numFmtId="170" fontId="66" fillId="0" borderId="17" xfId="19" applyNumberFormat="1" applyFont="1" applyFill="1" applyBorder="1" applyAlignment="1">
      <alignment horizontal="right"/>
    </xf>
    <xf numFmtId="170" fontId="66" fillId="0" borderId="29" xfId="1" applyNumberFormat="1" applyFont="1" applyFill="1" applyBorder="1" applyAlignment="1">
      <alignment horizontal="right"/>
    </xf>
    <xf numFmtId="170" fontId="66" fillId="0" borderId="0" xfId="1" applyNumberFormat="1" applyFont="1"/>
    <xf numFmtId="170" fontId="66" fillId="0" borderId="17" xfId="1" applyNumberFormat="1" applyFont="1" applyBorder="1"/>
    <xf numFmtId="174" fontId="51" fillId="0" borderId="24" xfId="1" applyNumberFormat="1" applyFont="1" applyFill="1" applyBorder="1" applyAlignment="1">
      <alignment horizontal="right"/>
    </xf>
    <xf numFmtId="170" fontId="17" fillId="0" borderId="17" xfId="19" applyNumberFormat="1" applyFont="1" applyFill="1" applyBorder="1" applyAlignment="1">
      <alignment horizontal="right"/>
    </xf>
    <xf numFmtId="170" fontId="4" fillId="5" borderId="0" xfId="18" applyNumberFormat="1" applyFont="1" applyFill="1"/>
    <xf numFmtId="170" fontId="75" fillId="0" borderId="0" xfId="1" applyNumberFormat="1" applyFont="1" applyFill="1" applyBorder="1"/>
    <xf numFmtId="170" fontId="75" fillId="5" borderId="16" xfId="1" applyNumberFormat="1" applyFont="1" applyFill="1" applyBorder="1"/>
    <xf numFmtId="170" fontId="75" fillId="5" borderId="0" xfId="1" applyNumberFormat="1" applyFont="1" applyFill="1" applyBorder="1"/>
    <xf numFmtId="170" fontId="75" fillId="5" borderId="17" xfId="1" applyNumberFormat="1" applyFont="1" applyFill="1" applyBorder="1"/>
    <xf numFmtId="43" fontId="17" fillId="0" borderId="0" xfId="18" applyFont="1" applyFill="1" applyBorder="1"/>
    <xf numFmtId="43" fontId="0" fillId="5" borderId="16" xfId="18" applyFont="1" applyFill="1" applyBorder="1"/>
    <xf numFmtId="43" fontId="0" fillId="5" borderId="0" xfId="18" applyFont="1" applyFill="1" applyBorder="1"/>
    <xf numFmtId="43" fontId="0" fillId="5" borderId="17" xfId="18" applyFont="1" applyFill="1" applyBorder="1"/>
    <xf numFmtId="170" fontId="31" fillId="5" borderId="0" xfId="1" applyNumberFormat="1" applyFont="1" applyFill="1" applyBorder="1"/>
    <xf numFmtId="170" fontId="31" fillId="5" borderId="17" xfId="1" applyNumberFormat="1" applyFont="1" applyFill="1" applyBorder="1"/>
    <xf numFmtId="170" fontId="17" fillId="5" borderId="16" xfId="44" applyNumberFormat="1" applyFont="1" applyFill="1" applyBorder="1"/>
    <xf numFmtId="170" fontId="0" fillId="0" borderId="0" xfId="1" applyNumberFormat="1" applyFont="1" applyBorder="1"/>
    <xf numFmtId="170" fontId="10" fillId="0" borderId="0" xfId="1" applyNumberFormat="1" applyFont="1" applyFill="1"/>
    <xf numFmtId="170" fontId="17" fillId="0" borderId="0" xfId="1" applyNumberFormat="1" applyFont="1" applyFill="1"/>
    <xf numFmtId="170" fontId="4" fillId="0" borderId="0" xfId="1" applyNumberFormat="1" applyFont="1" applyFill="1"/>
    <xf numFmtId="7" fontId="10" fillId="0" borderId="0" xfId="1" applyNumberFormat="1" applyFont="1" applyFill="1"/>
    <xf numFmtId="3" fontId="0" fillId="5" borderId="18" xfId="1" applyNumberFormat="1" applyFont="1" applyFill="1" applyBorder="1"/>
    <xf numFmtId="3" fontId="0" fillId="5" borderId="19" xfId="1" applyNumberFormat="1" applyFont="1" applyFill="1" applyBorder="1"/>
    <xf numFmtId="3" fontId="0" fillId="5" borderId="20" xfId="1" applyNumberFormat="1" applyFont="1" applyFill="1" applyBorder="1"/>
    <xf numFmtId="4" fontId="17" fillId="0" borderId="19" xfId="1" applyNumberFormat="1" applyFont="1" applyFill="1" applyBorder="1"/>
    <xf numFmtId="169" fontId="4" fillId="0" borderId="0" xfId="44" applyNumberFormat="1" applyFont="1" applyFill="1"/>
    <xf numFmtId="169" fontId="4" fillId="0" borderId="0" xfId="44" applyNumberFormat="1" applyFont="1" applyFill="1" applyBorder="1"/>
    <xf numFmtId="169" fontId="12" fillId="0" borderId="0" xfId="44" applyNumberFormat="1" applyFont="1" applyFill="1"/>
    <xf numFmtId="3" fontId="12" fillId="0" borderId="0" xfId="1" applyNumberFormat="1" applyFont="1" applyFill="1"/>
    <xf numFmtId="3" fontId="4" fillId="0" borderId="0" xfId="1" applyNumberFormat="1" applyFont="1" applyFill="1"/>
    <xf numFmtId="169" fontId="16" fillId="0" borderId="0" xfId="44" applyNumberFormat="1" applyFont="1" applyFill="1" applyBorder="1"/>
    <xf numFmtId="170" fontId="12" fillId="0" borderId="0" xfId="1" applyNumberFormat="1" applyFont="1" applyFill="1"/>
    <xf numFmtId="170" fontId="16" fillId="5" borderId="16" xfId="1" applyNumberFormat="1" applyFont="1" applyFill="1" applyBorder="1"/>
    <xf numFmtId="170" fontId="16" fillId="5" borderId="0" xfId="1" applyNumberFormat="1" applyFont="1" applyFill="1" applyBorder="1"/>
    <xf numFmtId="170" fontId="16" fillId="5" borderId="17" xfId="1" applyNumberFormat="1" applyFont="1" applyFill="1" applyBorder="1"/>
    <xf numFmtId="8" fontId="4" fillId="0" borderId="0" xfId="1" applyNumberFormat="1" applyFont="1" applyFill="1"/>
    <xf numFmtId="8" fontId="4" fillId="0" borderId="0" xfId="1" applyNumberFormat="1" applyFont="1" applyFill="1" applyBorder="1"/>
    <xf numFmtId="8" fontId="4" fillId="5" borderId="16" xfId="1" applyNumberFormat="1" applyFont="1" applyFill="1" applyBorder="1"/>
    <xf numFmtId="8" fontId="4" fillId="5" borderId="0" xfId="1" applyNumberFormat="1" applyFont="1" applyFill="1" applyBorder="1"/>
    <xf numFmtId="8" fontId="4" fillId="5" borderId="17" xfId="1" applyNumberFormat="1" applyFont="1" applyFill="1" applyBorder="1"/>
    <xf numFmtId="9" fontId="18" fillId="0" borderId="0" xfId="44" applyNumberFormat="1" applyFont="1" applyFill="1" applyBorder="1"/>
    <xf numFmtId="9" fontId="18" fillId="0" borderId="0" xfId="44" applyNumberFormat="1" applyFont="1" applyFill="1"/>
    <xf numFmtId="9" fontId="18" fillId="5" borderId="16" xfId="44" applyNumberFormat="1" applyFont="1" applyFill="1" applyBorder="1"/>
    <xf numFmtId="9" fontId="18" fillId="5" borderId="0" xfId="44" applyNumberFormat="1" applyFont="1" applyFill="1" applyBorder="1"/>
    <xf numFmtId="9" fontId="18" fillId="5" borderId="17" xfId="44" applyNumberFormat="1" applyFont="1" applyFill="1" applyBorder="1"/>
    <xf numFmtId="9" fontId="67" fillId="0" borderId="0" xfId="44" applyNumberFormat="1" applyFont="1" applyFill="1"/>
    <xf numFmtId="167" fontId="51" fillId="0" borderId="19" xfId="1" applyNumberFormat="1" applyFont="1" applyFill="1" applyBorder="1" applyAlignment="1">
      <alignment horizontal="right"/>
    </xf>
    <xf numFmtId="0" fontId="51" fillId="0" borderId="18" xfId="19" applyNumberFormat="1" applyFont="1" applyBorder="1" applyAlignment="1">
      <alignment horizontal="center"/>
    </xf>
    <xf numFmtId="0" fontId="51" fillId="0" borderId="19" xfId="19" applyNumberFormat="1" applyFont="1" applyBorder="1" applyAlignment="1">
      <alignment horizontal="center"/>
    </xf>
    <xf numFmtId="167" fontId="66" fillId="0" borderId="20" xfId="1" applyNumberFormat="1" applyFont="1" applyFill="1" applyBorder="1"/>
    <xf numFmtId="0" fontId="70" fillId="0" borderId="26" xfId="19" applyNumberFormat="1" applyFont="1" applyBorder="1" applyAlignment="1">
      <alignment horizontal="center"/>
    </xf>
    <xf numFmtId="0" fontId="70" fillId="0" borderId="23" xfId="19" applyNumberFormat="1" applyFont="1" applyBorder="1" applyAlignment="1">
      <alignment horizontal="center"/>
    </xf>
    <xf numFmtId="0" fontId="70" fillId="0" borderId="27" xfId="1" applyFont="1" applyBorder="1" applyAlignment="1">
      <alignment horizontal="left"/>
    </xf>
    <xf numFmtId="0" fontId="66" fillId="4" borderId="0" xfId="1" applyFont="1" applyFill="1" applyBorder="1"/>
    <xf numFmtId="38" fontId="66" fillId="0" borderId="16" xfId="1" applyNumberFormat="1" applyFont="1" applyFill="1" applyBorder="1" applyAlignment="1">
      <alignment horizontal="center"/>
    </xf>
    <xf numFmtId="38" fontId="66" fillId="0" borderId="0" xfId="1" applyNumberFormat="1" applyFont="1" applyFill="1" applyBorder="1" applyAlignment="1">
      <alignment horizontal="center"/>
    </xf>
    <xf numFmtId="170" fontId="66" fillId="0" borderId="17" xfId="18" applyNumberFormat="1" applyFont="1" applyFill="1" applyBorder="1" applyAlignment="1"/>
    <xf numFmtId="179" fontId="66" fillId="0" borderId="30" xfId="1" applyNumberFormat="1" applyFont="1" applyFill="1" applyBorder="1" applyAlignment="1">
      <alignment horizontal="right"/>
    </xf>
    <xf numFmtId="177" fontId="66" fillId="0" borderId="0" xfId="18" applyNumberFormat="1" applyFont="1" applyFill="1" applyBorder="1" applyAlignment="1">
      <alignment horizontal="right"/>
    </xf>
    <xf numFmtId="177" fontId="66" fillId="5" borderId="16" xfId="18" applyNumberFormat="1" applyFont="1" applyFill="1" applyBorder="1" applyAlignment="1">
      <alignment horizontal="right"/>
    </xf>
    <xf numFmtId="177" fontId="66" fillId="5" borderId="0" xfId="18" applyNumberFormat="1" applyFont="1" applyFill="1" applyBorder="1" applyAlignment="1">
      <alignment horizontal="right"/>
    </xf>
    <xf numFmtId="177" fontId="66" fillId="5" borderId="17" xfId="18" applyNumberFormat="1" applyFont="1" applyFill="1" applyBorder="1" applyAlignment="1">
      <alignment horizontal="right"/>
    </xf>
    <xf numFmtId="179" fontId="66" fillId="0" borderId="17" xfId="1" applyNumberFormat="1" applyFont="1" applyFill="1" applyBorder="1" applyAlignment="1">
      <alignment horizontal="right"/>
    </xf>
    <xf numFmtId="170" fontId="66" fillId="0" borderId="0" xfId="1" applyNumberFormat="1" applyFont="1" applyFill="1" applyBorder="1" applyAlignment="1">
      <alignment horizontal="center"/>
    </xf>
    <xf numFmtId="170" fontId="66" fillId="0" borderId="20" xfId="18" applyNumberFormat="1" applyFont="1" applyFill="1" applyBorder="1" applyAlignment="1"/>
    <xf numFmtId="170" fontId="47" fillId="0" borderId="17" xfId="18" applyNumberFormat="1" applyFont="1" applyFill="1" applyBorder="1" applyAlignment="1"/>
    <xf numFmtId="170" fontId="66" fillId="0" borderId="16" xfId="1" applyNumberFormat="1" applyFont="1" applyFill="1" applyBorder="1" applyAlignment="1">
      <alignment horizontal="center"/>
    </xf>
    <xf numFmtId="170" fontId="66" fillId="0" borderId="28" xfId="1" applyNumberFormat="1" applyFont="1" applyFill="1" applyBorder="1" applyAlignment="1">
      <alignment horizontal="center"/>
    </xf>
    <xf numFmtId="170" fontId="66" fillId="0" borderId="2" xfId="1" applyNumberFormat="1" applyFont="1" applyFill="1" applyBorder="1" applyAlignment="1">
      <alignment horizontal="center"/>
    </xf>
    <xf numFmtId="170" fontId="66" fillId="0" borderId="29" xfId="18" applyNumberFormat="1" applyFont="1" applyBorder="1" applyAlignment="1"/>
    <xf numFmtId="0" fontId="66" fillId="0" borderId="17" xfId="1" applyFont="1" applyFill="1" applyBorder="1" applyAlignment="1">
      <alignment horizontal="center"/>
    </xf>
    <xf numFmtId="170" fontId="66" fillId="0" borderId="16" xfId="1" applyNumberFormat="1" applyFont="1" applyBorder="1" applyAlignment="1">
      <alignment horizontal="center"/>
    </xf>
    <xf numFmtId="170" fontId="66" fillId="0" borderId="0" xfId="1" applyNumberFormat="1" applyFont="1" applyBorder="1" applyAlignment="1">
      <alignment horizontal="center"/>
    </xf>
    <xf numFmtId="38" fontId="66" fillId="0" borderId="17" xfId="1" applyNumberFormat="1" applyFont="1" applyBorder="1" applyAlignment="1">
      <alignment horizontal="center"/>
    </xf>
    <xf numFmtId="170" fontId="72" fillId="0" borderId="16" xfId="19" applyNumberFormat="1" applyFont="1" applyBorder="1" applyAlignment="1">
      <alignment horizontal="center"/>
    </xf>
    <xf numFmtId="38" fontId="53" fillId="0" borderId="17" xfId="19" applyNumberFormat="1" applyFont="1" applyBorder="1" applyAlignment="1">
      <alignment horizontal="center"/>
    </xf>
    <xf numFmtId="14" fontId="66" fillId="0" borderId="0" xfId="41" applyNumberFormat="1" applyFont="1" applyFill="1" applyAlignment="1">
      <alignment horizontal="right" indent="1"/>
    </xf>
    <xf numFmtId="2" fontId="66" fillId="0" borderId="17" xfId="41" applyNumberFormat="1" applyFont="1" applyFill="1" applyBorder="1" applyAlignment="1"/>
    <xf numFmtId="3" fontId="66" fillId="0" borderId="0" xfId="41" applyNumberFormat="1" applyFont="1" applyFill="1" applyAlignment="1">
      <alignment horizontal="right"/>
    </xf>
    <xf numFmtId="0" fontId="66" fillId="0" borderId="0" xfId="41" applyFont="1" applyFill="1" applyAlignment="1">
      <alignment horizontal="right"/>
    </xf>
    <xf numFmtId="0" fontId="66" fillId="0" borderId="17" xfId="1" applyFont="1" applyBorder="1" applyAlignment="1"/>
    <xf numFmtId="170" fontId="72" fillId="0" borderId="16" xfId="1" applyNumberFormat="1" applyFont="1" applyFill="1" applyBorder="1" applyAlignment="1">
      <alignment horizontal="center"/>
    </xf>
    <xf numFmtId="170" fontId="72" fillId="0" borderId="0" xfId="1" applyNumberFormat="1" applyFont="1" applyFill="1" applyBorder="1" applyAlignment="1">
      <alignment horizontal="center"/>
    </xf>
    <xf numFmtId="170" fontId="72" fillId="0" borderId="17" xfId="18" applyNumberFormat="1" applyFont="1" applyFill="1" applyBorder="1" applyAlignment="1"/>
    <xf numFmtId="170" fontId="72" fillId="0" borderId="0" xfId="18" applyNumberFormat="1" applyFont="1" applyBorder="1" applyAlignment="1">
      <alignment horizontal="right"/>
    </xf>
    <xf numFmtId="170" fontId="72" fillId="0" borderId="0" xfId="1" applyNumberFormat="1" applyFont="1"/>
    <xf numFmtId="170" fontId="68" fillId="0" borderId="0" xfId="19" applyNumberFormat="1" applyFont="1" applyFill="1" applyBorder="1" applyAlignment="1">
      <alignment horizontal="center"/>
    </xf>
    <xf numFmtId="170" fontId="45" fillId="0" borderId="0" xfId="19" applyNumberFormat="1" applyFont="1" applyFill="1" applyBorder="1" applyAlignment="1">
      <alignment horizontal="center"/>
    </xf>
    <xf numFmtId="0" fontId="66" fillId="0" borderId="0" xfId="1" applyFont="1" applyBorder="1" applyAlignment="1">
      <alignment horizontal="left"/>
    </xf>
    <xf numFmtId="0" fontId="66" fillId="0" borderId="19" xfId="1" applyFont="1" applyFill="1" applyBorder="1" applyAlignment="1">
      <alignment horizontal="left"/>
    </xf>
    <xf numFmtId="0" fontId="73" fillId="0" borderId="19" xfId="1" applyFont="1" applyFill="1" applyBorder="1" applyAlignment="1">
      <alignment horizontal="left"/>
    </xf>
    <xf numFmtId="170" fontId="74" fillId="0" borderId="18" xfId="1" applyNumberFormat="1" applyFont="1" applyFill="1" applyBorder="1" applyAlignment="1">
      <alignment horizontal="center"/>
    </xf>
    <xf numFmtId="170" fontId="74" fillId="0" borderId="19" xfId="1" applyNumberFormat="1" applyFont="1" applyFill="1" applyBorder="1" applyAlignment="1">
      <alignment horizontal="center"/>
    </xf>
    <xf numFmtId="170" fontId="73" fillId="0" borderId="20" xfId="18" applyNumberFormat="1" applyFont="1" applyFill="1" applyBorder="1" applyAlignment="1"/>
    <xf numFmtId="14" fontId="72" fillId="0" borderId="0" xfId="1" applyNumberFormat="1" applyFont="1"/>
    <xf numFmtId="170" fontId="53" fillId="0" borderId="17" xfId="18" applyNumberFormat="1" applyFont="1" applyFill="1" applyBorder="1" applyAlignment="1">
      <alignment horizontal="center"/>
    </xf>
    <xf numFmtId="0" fontId="66" fillId="0" borderId="17" xfId="1" applyFont="1" applyBorder="1"/>
    <xf numFmtId="170" fontId="66" fillId="0" borderId="17" xfId="18" applyNumberFormat="1" applyFont="1" applyFill="1" applyBorder="1" applyAlignment="1">
      <alignment horizontal="right"/>
    </xf>
    <xf numFmtId="170" fontId="72" fillId="0" borderId="0" xfId="1" applyNumberFormat="1" applyFont="1" applyFill="1"/>
    <xf numFmtId="170" fontId="66" fillId="0" borderId="0" xfId="20" applyNumberFormat="1" applyFont="1" applyFill="1" applyBorder="1" applyAlignment="1">
      <alignment horizontal="center"/>
    </xf>
    <xf numFmtId="170" fontId="66" fillId="0" borderId="29" xfId="18" applyNumberFormat="1" applyFont="1" applyFill="1" applyBorder="1" applyAlignment="1"/>
    <xf numFmtId="170" fontId="72" fillId="0" borderId="0" xfId="19" applyNumberFormat="1" applyFont="1" applyFill="1" applyBorder="1" applyAlignment="1">
      <alignment horizontal="center"/>
    </xf>
    <xf numFmtId="0" fontId="66" fillId="0" borderId="0" xfId="1" applyFont="1" applyFill="1" applyBorder="1" applyAlignment="1">
      <alignment horizontal="left"/>
    </xf>
    <xf numFmtId="170" fontId="45" fillId="0" borderId="19" xfId="19" applyNumberFormat="1" applyFont="1" applyFill="1" applyBorder="1" applyAlignment="1">
      <alignment horizontal="center"/>
    </xf>
    <xf numFmtId="169" fontId="51" fillId="0" borderId="19" xfId="19" applyNumberFormat="1" applyFont="1" applyBorder="1" applyAlignment="1">
      <alignment horizontal="right"/>
    </xf>
    <xf numFmtId="169" fontId="70" fillId="0" borderId="23" xfId="19" applyNumberFormat="1" applyFont="1" applyBorder="1" applyAlignment="1">
      <alignment horizontal="right"/>
    </xf>
    <xf numFmtId="1" fontId="66" fillId="0" borderId="0" xfId="1" applyNumberFormat="1" applyFont="1" applyFill="1" applyBorder="1" applyAlignment="1">
      <alignment horizontal="right"/>
    </xf>
    <xf numFmtId="1" fontId="66" fillId="0" borderId="19" xfId="1" applyNumberFormat="1" applyFont="1" applyFill="1" applyBorder="1" applyAlignment="1">
      <alignment horizontal="right"/>
    </xf>
    <xf numFmtId="1" fontId="47" fillId="0" borderId="0" xfId="1" applyNumberFormat="1" applyFont="1" applyFill="1" applyBorder="1" applyAlignment="1">
      <alignment horizontal="right"/>
    </xf>
    <xf numFmtId="1" fontId="66" fillId="0" borderId="2" xfId="1" applyNumberFormat="1" applyFont="1" applyFill="1" applyBorder="1" applyAlignment="1">
      <alignment horizontal="right"/>
    </xf>
    <xf numFmtId="37" fontId="72" fillId="0" borderId="0" xfId="19" applyNumberFormat="1" applyFont="1" applyBorder="1" applyAlignment="1">
      <alignment horizontal="right"/>
    </xf>
    <xf numFmtId="1" fontId="72" fillId="0" borderId="0" xfId="1" applyNumberFormat="1" applyFont="1" applyFill="1" applyBorder="1" applyAlignment="1">
      <alignment horizontal="right"/>
    </xf>
    <xf numFmtId="1" fontId="73" fillId="0" borderId="19" xfId="1" applyNumberFormat="1" applyFont="1" applyFill="1" applyBorder="1" applyAlignment="1">
      <alignment horizontal="right"/>
    </xf>
    <xf numFmtId="38" fontId="53" fillId="0" borderId="0" xfId="19" applyNumberFormat="1" applyFont="1" applyFill="1" applyBorder="1" applyAlignment="1">
      <alignment horizontal="right"/>
    </xf>
    <xf numFmtId="3" fontId="72" fillId="0" borderId="0" xfId="1" applyNumberFormat="1" applyFont="1" applyAlignment="1">
      <alignment horizontal="right"/>
    </xf>
    <xf numFmtId="0" fontId="66" fillId="0" borderId="0" xfId="1" applyFont="1" applyAlignment="1">
      <alignment horizontal="right"/>
    </xf>
    <xf numFmtId="1" fontId="53" fillId="0" borderId="0" xfId="19" applyNumberFormat="1" applyFont="1" applyFill="1" applyBorder="1" applyAlignment="1">
      <alignment horizontal="right"/>
    </xf>
    <xf numFmtId="1" fontId="72" fillId="0" borderId="0" xfId="19" applyNumberFormat="1" applyFont="1" applyFill="1" applyBorder="1" applyAlignment="1">
      <alignment horizontal="right"/>
    </xf>
    <xf numFmtId="0" fontId="72" fillId="0" borderId="0" xfId="1" applyFont="1" applyAlignment="1">
      <alignment horizontal="right"/>
    </xf>
    <xf numFmtId="1" fontId="45" fillId="0" borderId="19" xfId="19" applyNumberFormat="1" applyFont="1" applyFill="1" applyBorder="1" applyAlignment="1">
      <alignment horizontal="right"/>
    </xf>
    <xf numFmtId="1" fontId="71" fillId="0" borderId="0" xfId="19" applyNumberFormat="1" applyFont="1" applyFill="1" applyBorder="1" applyAlignment="1">
      <alignment horizontal="right"/>
    </xf>
    <xf numFmtId="1" fontId="66" fillId="0" borderId="0" xfId="1" applyNumberFormat="1" applyFont="1" applyBorder="1" applyAlignment="1">
      <alignment horizontal="right"/>
    </xf>
    <xf numFmtId="170" fontId="45" fillId="0" borderId="0" xfId="41" applyNumberFormat="1" applyFont="1" applyFill="1" applyAlignment="1">
      <alignment horizontal="right"/>
    </xf>
    <xf numFmtId="0" fontId="45" fillId="0" borderId="0" xfId="41" applyFont="1" applyFill="1" applyAlignment="1">
      <alignment horizontal="right"/>
    </xf>
    <xf numFmtId="170" fontId="66" fillId="0" borderId="20" xfId="18" applyNumberFormat="1" applyFont="1" applyFill="1" applyBorder="1" applyAlignment="1">
      <alignment horizontal="right"/>
    </xf>
    <xf numFmtId="170" fontId="72" fillId="0" borderId="17" xfId="1" applyNumberFormat="1" applyFont="1" applyBorder="1" applyAlignment="1">
      <alignment horizontal="right"/>
    </xf>
    <xf numFmtId="170" fontId="72" fillId="0" borderId="17" xfId="1" applyNumberFormat="1" applyFont="1" applyFill="1" applyBorder="1" applyAlignment="1">
      <alignment horizontal="right"/>
    </xf>
    <xf numFmtId="170" fontId="72" fillId="0" borderId="17" xfId="19" applyNumberFormat="1" applyFont="1" applyFill="1" applyBorder="1" applyAlignment="1">
      <alignment horizontal="right"/>
    </xf>
    <xf numFmtId="169" fontId="66" fillId="0" borderId="0" xfId="1" applyNumberFormat="1" applyFont="1" applyFill="1" applyBorder="1" applyAlignment="1">
      <alignment horizontal="right"/>
    </xf>
    <xf numFmtId="169" fontId="66" fillId="0" borderId="19" xfId="1" applyNumberFormat="1" applyFont="1" applyFill="1" applyBorder="1" applyAlignment="1">
      <alignment horizontal="right"/>
    </xf>
    <xf numFmtId="169" fontId="47" fillId="0" borderId="0" xfId="1" applyNumberFormat="1" applyFont="1" applyFill="1" applyBorder="1" applyAlignment="1">
      <alignment horizontal="right"/>
    </xf>
    <xf numFmtId="169" fontId="66" fillId="0" borderId="2" xfId="1" applyNumberFormat="1" applyFont="1" applyFill="1" applyBorder="1" applyAlignment="1">
      <alignment horizontal="right"/>
    </xf>
    <xf numFmtId="169" fontId="53" fillId="0" borderId="0" xfId="19" applyNumberFormat="1" applyFont="1" applyFill="1" applyBorder="1" applyAlignment="1">
      <alignment horizontal="right"/>
    </xf>
    <xf numFmtId="169" fontId="53" fillId="0" borderId="0" xfId="19" applyNumberFormat="1" applyFont="1" applyBorder="1" applyAlignment="1">
      <alignment horizontal="right"/>
    </xf>
    <xf numFmtId="0" fontId="72" fillId="0" borderId="0" xfId="1" applyFont="1" applyBorder="1" applyAlignment="1">
      <alignment horizontal="right"/>
    </xf>
    <xf numFmtId="0" fontId="66" fillId="0" borderId="0" xfId="41" applyNumberFormat="1" applyFont="1" applyFill="1" applyAlignment="1">
      <alignment horizontal="right"/>
    </xf>
    <xf numFmtId="169" fontId="72" fillId="0" borderId="0" xfId="1" applyNumberFormat="1" applyFont="1" applyFill="1" applyBorder="1" applyAlignment="1">
      <alignment horizontal="right"/>
    </xf>
    <xf numFmtId="169" fontId="73" fillId="0" borderId="19" xfId="1" applyNumberFormat="1" applyFont="1" applyFill="1" applyBorder="1" applyAlignment="1">
      <alignment horizontal="right"/>
    </xf>
    <xf numFmtId="2" fontId="72" fillId="0" borderId="0" xfId="1" applyNumberFormat="1" applyFont="1" applyAlignment="1">
      <alignment horizontal="right"/>
    </xf>
    <xf numFmtId="10" fontId="45" fillId="0" borderId="0" xfId="44" applyNumberFormat="1" applyFont="1" applyFill="1" applyAlignment="1">
      <alignment horizontal="right"/>
    </xf>
    <xf numFmtId="10" fontId="72" fillId="0" borderId="0" xfId="1" applyNumberFormat="1" applyFont="1" applyAlignment="1">
      <alignment horizontal="right"/>
    </xf>
    <xf numFmtId="169" fontId="45" fillId="0" borderId="19" xfId="44" applyNumberFormat="1" applyFont="1" applyFill="1" applyBorder="1" applyAlignment="1">
      <alignment horizontal="right"/>
    </xf>
    <xf numFmtId="169" fontId="71" fillId="0" borderId="0" xfId="19" applyNumberFormat="1" applyFont="1" applyFill="1" applyBorder="1" applyAlignment="1">
      <alignment horizontal="right"/>
    </xf>
    <xf numFmtId="169" fontId="66" fillId="0" borderId="0" xfId="1" applyNumberFormat="1" applyFont="1" applyBorder="1" applyAlignment="1">
      <alignment horizontal="right"/>
    </xf>
    <xf numFmtId="170" fontId="66" fillId="0" borderId="19" xfId="1" applyNumberFormat="1" applyFont="1" applyFill="1" applyBorder="1" applyAlignment="1">
      <alignment horizontal="right"/>
    </xf>
    <xf numFmtId="170" fontId="47" fillId="0" borderId="0" xfId="1" applyNumberFormat="1" applyFont="1" applyFill="1" applyBorder="1" applyAlignment="1">
      <alignment horizontal="right"/>
    </xf>
    <xf numFmtId="170" fontId="66" fillId="0" borderId="2" xfId="1" applyNumberFormat="1" applyFont="1" applyFill="1" applyBorder="1" applyAlignment="1">
      <alignment horizontal="right"/>
    </xf>
    <xf numFmtId="170" fontId="53" fillId="0" borderId="0" xfId="19" applyNumberFormat="1" applyFont="1" applyFill="1" applyBorder="1" applyAlignment="1">
      <alignment horizontal="right"/>
    </xf>
    <xf numFmtId="170" fontId="53" fillId="0" borderId="0" xfId="19" applyNumberFormat="1" applyFont="1" applyBorder="1" applyAlignment="1">
      <alignment horizontal="right"/>
    </xf>
    <xf numFmtId="170" fontId="72" fillId="0" borderId="0" xfId="1" applyNumberFormat="1" applyFont="1" applyBorder="1" applyAlignment="1">
      <alignment horizontal="right"/>
    </xf>
    <xf numFmtId="170" fontId="72" fillId="0" borderId="0" xfId="1" applyNumberFormat="1" applyFont="1" applyFill="1" applyBorder="1" applyAlignment="1">
      <alignment horizontal="right"/>
    </xf>
    <xf numFmtId="170" fontId="73" fillId="0" borderId="19" xfId="1" applyNumberFormat="1" applyFont="1" applyFill="1" applyBorder="1" applyAlignment="1">
      <alignment horizontal="right"/>
    </xf>
    <xf numFmtId="170" fontId="72" fillId="0" borderId="0" xfId="1" applyNumberFormat="1" applyFont="1" applyAlignment="1">
      <alignment horizontal="right"/>
    </xf>
    <xf numFmtId="170" fontId="66" fillId="0" borderId="0" xfId="1" applyNumberFormat="1" applyFont="1" applyAlignment="1">
      <alignment horizontal="right"/>
    </xf>
    <xf numFmtId="170" fontId="45" fillId="0" borderId="19" xfId="19" applyNumberFormat="1" applyFont="1" applyFill="1" applyBorder="1" applyAlignment="1">
      <alignment horizontal="right"/>
    </xf>
    <xf numFmtId="170" fontId="71" fillId="0" borderId="0" xfId="19" applyNumberFormat="1" applyFont="1" applyFill="1" applyBorder="1" applyAlignment="1">
      <alignment horizontal="right"/>
    </xf>
    <xf numFmtId="169" fontId="51" fillId="0" borderId="19" xfId="19" applyNumberFormat="1" applyFont="1" applyBorder="1" applyAlignment="1">
      <alignment horizontal="right" indent="1"/>
    </xf>
    <xf numFmtId="1" fontId="17" fillId="0" borderId="0" xfId="19" applyNumberFormat="1" applyFont="1" applyFill="1" applyBorder="1" applyAlignment="1">
      <alignment horizontal="right"/>
    </xf>
    <xf numFmtId="169" fontId="17" fillId="0" borderId="0" xfId="19" applyNumberFormat="1" applyFont="1" applyFill="1" applyBorder="1" applyAlignment="1">
      <alignment horizontal="right"/>
    </xf>
    <xf numFmtId="170" fontId="17" fillId="0" borderId="0" xfId="19" applyNumberFormat="1" applyFont="1" applyFill="1" applyBorder="1" applyAlignment="1">
      <alignment horizontal="right"/>
    </xf>
    <xf numFmtId="1" fontId="17" fillId="0" borderId="0" xfId="1" applyNumberFormat="1" applyFont="1" applyFill="1" applyBorder="1" applyAlignment="1">
      <alignment horizontal="right"/>
    </xf>
    <xf numFmtId="169" fontId="17" fillId="0" borderId="0" xfId="1" applyNumberFormat="1" applyFont="1" applyFill="1" applyBorder="1" applyAlignment="1">
      <alignment horizontal="right"/>
    </xf>
    <xf numFmtId="170" fontId="17" fillId="0" borderId="0" xfId="1" applyNumberFormat="1" applyFont="1" applyFill="1" applyBorder="1" applyAlignment="1">
      <alignment horizontal="right"/>
    </xf>
    <xf numFmtId="0" fontId="2" fillId="0" borderId="0" xfId="32" applyNumberFormat="1" applyFont="1" applyFill="1" applyAlignment="1">
      <alignment horizontal="left"/>
    </xf>
    <xf numFmtId="170" fontId="17" fillId="0" borderId="16" xfId="19" applyNumberFormat="1" applyFont="1" applyFill="1" applyBorder="1" applyAlignment="1">
      <alignment horizontal="center"/>
    </xf>
    <xf numFmtId="170" fontId="17" fillId="0" borderId="0" xfId="19" applyNumberFormat="1" applyFont="1" applyFill="1" applyBorder="1" applyAlignment="1">
      <alignment horizontal="center"/>
    </xf>
    <xf numFmtId="170" fontId="75" fillId="0" borderId="0" xfId="19" applyNumberFormat="1" applyFont="1" applyFill="1" applyBorder="1" applyAlignment="1">
      <alignment horizontal="right"/>
    </xf>
    <xf numFmtId="0" fontId="17" fillId="0" borderId="13" xfId="41" applyNumberFormat="1" applyFont="1" applyFill="1" applyBorder="1" applyAlignment="1">
      <alignment horizontal="left"/>
    </xf>
    <xf numFmtId="0" fontId="76" fillId="0" borderId="13" xfId="41" applyFont="1" applyFill="1" applyBorder="1"/>
    <xf numFmtId="170" fontId="17" fillId="0" borderId="13" xfId="41" applyNumberFormat="1" applyFont="1" applyFill="1" applyBorder="1" applyAlignment="1">
      <alignment horizontal="right"/>
    </xf>
    <xf numFmtId="0" fontId="17" fillId="0" borderId="13" xfId="41" applyFont="1" applyFill="1" applyBorder="1" applyAlignment="1">
      <alignment horizontal="right" indent="1"/>
    </xf>
    <xf numFmtId="10" fontId="17" fillId="0" borderId="13" xfId="41" applyNumberFormat="1" applyFont="1" applyFill="1" applyBorder="1" applyAlignment="1">
      <alignment horizontal="right"/>
    </xf>
    <xf numFmtId="2" fontId="17" fillId="0" borderId="14" xfId="41" applyNumberFormat="1" applyFont="1" applyFill="1" applyBorder="1" applyAlignment="1"/>
    <xf numFmtId="170" fontId="17" fillId="5" borderId="12" xfId="41" applyNumberFormat="1" applyFont="1" applyFill="1" applyBorder="1" applyAlignment="1">
      <alignment horizontal="right"/>
    </xf>
    <xf numFmtId="170" fontId="17" fillId="5" borderId="13" xfId="41" applyNumberFormat="1" applyFont="1" applyFill="1" applyBorder="1" applyAlignment="1">
      <alignment horizontal="right"/>
    </xf>
    <xf numFmtId="170" fontId="17" fillId="5" borderId="14" xfId="41" applyNumberFormat="1" applyFont="1" applyFill="1" applyBorder="1" applyAlignment="1">
      <alignment horizontal="right"/>
    </xf>
    <xf numFmtId="170" fontId="17" fillId="0" borderId="14" xfId="1" applyNumberFormat="1" applyFont="1" applyFill="1" applyBorder="1" applyAlignment="1">
      <alignment horizontal="right"/>
    </xf>
    <xf numFmtId="170" fontId="27" fillId="0" borderId="0" xfId="18" applyNumberFormat="1" applyFont="1" applyAlignment="1">
      <alignment horizontal="right"/>
    </xf>
    <xf numFmtId="10" fontId="16" fillId="0" borderId="0" xfId="44" applyNumberFormat="1" applyFont="1" applyFill="1" applyAlignment="1">
      <alignment horizontal="right"/>
    </xf>
    <xf numFmtId="170" fontId="27" fillId="0" borderId="0" xfId="1" applyNumberFormat="1" applyFont="1" applyFill="1" applyAlignment="1">
      <alignment horizontal="right"/>
    </xf>
    <xf numFmtId="10" fontId="16" fillId="0" borderId="0" xfId="44" applyNumberFormat="1" applyFont="1" applyFill="1" applyAlignment="1"/>
    <xf numFmtId="170" fontId="54" fillId="4" borderId="0" xfId="1" applyNumberFormat="1" applyFont="1" applyFill="1" applyAlignment="1">
      <alignment horizontal="right"/>
    </xf>
    <xf numFmtId="170" fontId="70" fillId="0" borderId="23" xfId="19" applyNumberFormat="1" applyFont="1" applyBorder="1" applyAlignment="1">
      <alignment horizontal="right"/>
    </xf>
    <xf numFmtId="170" fontId="16" fillId="0" borderId="0" xfId="41" applyNumberFormat="1" applyFont="1" applyFill="1" applyAlignment="1"/>
    <xf numFmtId="170" fontId="16" fillId="0" borderId="0" xfId="41" applyNumberFormat="1" applyFont="1" applyFill="1" applyAlignment="1">
      <alignment horizontal="right"/>
    </xf>
    <xf numFmtId="170" fontId="51" fillId="0" borderId="19" xfId="19" applyNumberFormat="1" applyFont="1" applyBorder="1" applyAlignment="1"/>
    <xf numFmtId="170" fontId="17" fillId="5" borderId="12" xfId="18" applyNumberFormat="1" applyFont="1" applyFill="1" applyBorder="1" applyAlignment="1">
      <alignment horizontal="right"/>
    </xf>
    <xf numFmtId="170" fontId="17" fillId="5" borderId="13" xfId="18" applyNumberFormat="1" applyFont="1" applyFill="1" applyBorder="1" applyAlignment="1">
      <alignment horizontal="right"/>
    </xf>
    <xf numFmtId="170" fontId="17" fillId="5" borderId="14" xfId="18" applyNumberFormat="1" applyFont="1" applyFill="1" applyBorder="1" applyAlignment="1">
      <alignment horizontal="right"/>
    </xf>
    <xf numFmtId="170" fontId="17" fillId="0" borderId="14" xfId="18" applyNumberFormat="1" applyFont="1" applyFill="1" applyBorder="1" applyAlignment="1">
      <alignment horizontal="right"/>
    </xf>
    <xf numFmtId="0" fontId="31" fillId="0" borderId="0" xfId="41" applyFont="1" applyFill="1" applyAlignment="1">
      <alignment horizontal="right"/>
    </xf>
    <xf numFmtId="14" fontId="17" fillId="0" borderId="13" xfId="41" applyNumberFormat="1" applyFont="1" applyFill="1" applyBorder="1" applyAlignment="1">
      <alignment horizontal="right" indent="1"/>
    </xf>
    <xf numFmtId="0" fontId="17" fillId="0" borderId="13" xfId="41" applyNumberFormat="1" applyFont="1" applyFill="1" applyBorder="1" applyAlignment="1">
      <alignment horizontal="right"/>
    </xf>
    <xf numFmtId="0" fontId="0" fillId="4" borderId="19" xfId="1" applyFont="1" applyFill="1" applyBorder="1"/>
    <xf numFmtId="170" fontId="0" fillId="4" borderId="0" xfId="1" applyNumberFormat="1" applyFont="1" applyFill="1"/>
    <xf numFmtId="170" fontId="31" fillId="5" borderId="16" xfId="1" applyNumberFormat="1" applyFont="1" applyFill="1" applyBorder="1"/>
    <xf numFmtId="178" fontId="13" fillId="4" borderId="0" xfId="1" applyNumberFormat="1" applyFont="1" applyFill="1" applyBorder="1"/>
    <xf numFmtId="170" fontId="4" fillId="0" borderId="0" xfId="19" applyNumberFormat="1" applyFont="1"/>
    <xf numFmtId="170" fontId="17" fillId="0" borderId="0" xfId="19" applyNumberFormat="1" applyFont="1"/>
    <xf numFmtId="170" fontId="13" fillId="4" borderId="0" xfId="1" applyNumberFormat="1" applyFont="1" applyFill="1" applyBorder="1"/>
    <xf numFmtId="9" fontId="18" fillId="0" borderId="0" xfId="44" applyFont="1" applyFill="1" applyBorder="1"/>
    <xf numFmtId="9" fontId="0" fillId="0" borderId="0" xfId="44" applyFont="1" applyFill="1"/>
    <xf numFmtId="9" fontId="0" fillId="5" borderId="16" xfId="44" applyFont="1" applyFill="1" applyBorder="1"/>
    <xf numFmtId="9" fontId="0" fillId="5" borderId="0" xfId="44" applyFont="1" applyFill="1" applyBorder="1"/>
    <xf numFmtId="9" fontId="0" fillId="5" borderId="17" xfId="44" applyFont="1" applyFill="1" applyBorder="1"/>
    <xf numFmtId="9" fontId="17" fillId="0" borderId="0" xfId="44" applyFont="1" applyFill="1" applyBorder="1"/>
    <xf numFmtId="9" fontId="10" fillId="0" borderId="0" xfId="44" applyFont="1" applyFill="1"/>
    <xf numFmtId="9" fontId="4" fillId="0" borderId="0" xfId="44" applyFont="1" applyFill="1" applyBorder="1"/>
    <xf numFmtId="9" fontId="66" fillId="5" borderId="17" xfId="44" applyFont="1" applyFill="1" applyBorder="1"/>
    <xf numFmtId="3" fontId="66" fillId="5" borderId="17" xfId="1" applyNumberFormat="1" applyFont="1" applyFill="1" applyBorder="1"/>
    <xf numFmtId="9" fontId="4" fillId="0" borderId="0" xfId="44" applyFont="1" applyFill="1"/>
    <xf numFmtId="169" fontId="2" fillId="0" borderId="0" xfId="44" applyNumberFormat="1" applyFont="1" applyFill="1"/>
    <xf numFmtId="169" fontId="0" fillId="0" borderId="0" xfId="44" applyNumberFormat="1" applyFont="1" applyFill="1"/>
    <xf numFmtId="169" fontId="0" fillId="5" borderId="16" xfId="44" applyNumberFormat="1" applyFont="1" applyFill="1" applyBorder="1"/>
    <xf numFmtId="169" fontId="0" fillId="5" borderId="0" xfId="44" applyNumberFormat="1" applyFont="1" applyFill="1" applyBorder="1"/>
    <xf numFmtId="169" fontId="0" fillId="5" borderId="17" xfId="44" applyNumberFormat="1" applyFont="1" applyFill="1" applyBorder="1"/>
    <xf numFmtId="169" fontId="17" fillId="0" borderId="0" xfId="44" applyNumberFormat="1" applyFont="1" applyFill="1" applyBorder="1"/>
    <xf numFmtId="169" fontId="66" fillId="5" borderId="17" xfId="44" applyNumberFormat="1" applyFont="1" applyFill="1" applyBorder="1"/>
    <xf numFmtId="169" fontId="10" fillId="0" borderId="0" xfId="44" applyNumberFormat="1" applyFont="1" applyFill="1"/>
    <xf numFmtId="170" fontId="17" fillId="0" borderId="0" xfId="44" applyNumberFormat="1" applyFont="1" applyFill="1" applyBorder="1"/>
    <xf numFmtId="170" fontId="10" fillId="0" borderId="0" xfId="44" applyNumberFormat="1" applyFont="1" applyFill="1"/>
    <xf numFmtId="170" fontId="17" fillId="0" borderId="0" xfId="44" applyNumberFormat="1" applyFont="1" applyFill="1"/>
    <xf numFmtId="170" fontId="17" fillId="5" borderId="0" xfId="44" applyNumberFormat="1" applyFont="1" applyFill="1" applyBorder="1"/>
    <xf numFmtId="170" fontId="17" fillId="5" borderId="17" xfId="44" applyNumberFormat="1" applyFont="1" applyFill="1" applyBorder="1"/>
    <xf numFmtId="169" fontId="2" fillId="5" borderId="16" xfId="44" applyNumberFormat="1" applyFont="1" applyFill="1" applyBorder="1"/>
    <xf numFmtId="169" fontId="2" fillId="5" borderId="0" xfId="44" applyNumberFormat="1" applyFont="1" applyFill="1" applyBorder="1"/>
    <xf numFmtId="169" fontId="2" fillId="5" borderId="17" xfId="44" applyNumberFormat="1" applyFont="1" applyFill="1" applyBorder="1"/>
    <xf numFmtId="9" fontId="2" fillId="5" borderId="16" xfId="44" applyFont="1" applyFill="1" applyBorder="1"/>
    <xf numFmtId="9" fontId="2" fillId="5" borderId="0" xfId="44" applyFont="1" applyFill="1" applyBorder="1"/>
    <xf numFmtId="9" fontId="2" fillId="5" borderId="17" xfId="44" applyFont="1" applyFill="1" applyBorder="1"/>
    <xf numFmtId="9" fontId="4" fillId="5" borderId="16" xfId="44" applyFont="1" applyFill="1" applyBorder="1"/>
    <xf numFmtId="9" fontId="4" fillId="5" borderId="0" xfId="44" applyFont="1" applyFill="1" applyBorder="1"/>
    <xf numFmtId="9" fontId="4" fillId="5" borderId="17" xfId="44" applyFont="1" applyFill="1" applyBorder="1"/>
    <xf numFmtId="169" fontId="4" fillId="5" borderId="18" xfId="44" applyNumberFormat="1" applyFont="1" applyFill="1" applyBorder="1"/>
    <xf numFmtId="169" fontId="4" fillId="5" borderId="19" xfId="44" applyNumberFormat="1" applyFont="1" applyFill="1" applyBorder="1"/>
    <xf numFmtId="169" fontId="4" fillId="5" borderId="20" xfId="44" applyNumberFormat="1" applyFont="1" applyFill="1" applyBorder="1"/>
    <xf numFmtId="169" fontId="4" fillId="0" borderId="0" xfId="44" applyNumberFormat="1" applyFont="1"/>
    <xf numFmtId="3" fontId="17" fillId="5" borderId="18" xfId="1" applyNumberFormat="1" applyFont="1" applyFill="1" applyBorder="1"/>
    <xf numFmtId="3" fontId="17" fillId="5" borderId="19" xfId="1" applyNumberFormat="1" applyFont="1" applyFill="1" applyBorder="1"/>
    <xf numFmtId="170" fontId="17" fillId="5" borderId="18" xfId="1" applyNumberFormat="1" applyFont="1" applyFill="1" applyBorder="1"/>
    <xf numFmtId="170" fontId="17" fillId="5" borderId="19" xfId="1" applyNumberFormat="1" applyFont="1" applyFill="1" applyBorder="1"/>
    <xf numFmtId="170" fontId="17" fillId="5" borderId="20" xfId="1" applyNumberFormat="1" applyFont="1" applyFill="1" applyBorder="1"/>
    <xf numFmtId="170" fontId="17" fillId="5" borderId="18" xfId="44" applyNumberFormat="1" applyFont="1" applyFill="1" applyBorder="1"/>
    <xf numFmtId="170" fontId="0" fillId="5" borderId="16" xfId="44" applyNumberFormat="1" applyFont="1" applyFill="1" applyBorder="1"/>
    <xf numFmtId="170" fontId="0" fillId="5" borderId="0" xfId="44" applyNumberFormat="1" applyFont="1" applyFill="1" applyBorder="1"/>
    <xf numFmtId="170" fontId="66" fillId="5" borderId="17" xfId="44" applyNumberFormat="1" applyFont="1" applyFill="1" applyBorder="1"/>
    <xf numFmtId="170" fontId="4" fillId="0" borderId="0" xfId="44" applyNumberFormat="1" applyFont="1" applyFill="1" applyBorder="1"/>
    <xf numFmtId="169" fontId="0" fillId="0" borderId="0" xfId="44" applyNumberFormat="1" applyFont="1" applyFill="1" applyBorder="1"/>
    <xf numFmtId="169" fontId="0" fillId="0" borderId="0" xfId="44" applyNumberFormat="1" applyFont="1"/>
    <xf numFmtId="170" fontId="18" fillId="0" borderId="0" xfId="1" applyNumberFormat="1" applyFont="1" applyFill="1" applyBorder="1"/>
    <xf numFmtId="170" fontId="78" fillId="0" borderId="0" xfId="1" applyNumberFormat="1" applyFont="1" applyFill="1" applyBorder="1"/>
    <xf numFmtId="9" fontId="18" fillId="5" borderId="16" xfId="44" applyFont="1" applyFill="1" applyBorder="1"/>
    <xf numFmtId="9" fontId="18" fillId="5" borderId="0" xfId="44" applyFont="1" applyFill="1" applyBorder="1"/>
    <xf numFmtId="9" fontId="18" fillId="5" borderId="17" xfId="44" applyFont="1" applyFill="1" applyBorder="1"/>
    <xf numFmtId="9" fontId="18" fillId="0" borderId="0" xfId="44" applyFont="1" applyFill="1"/>
    <xf numFmtId="9" fontId="67" fillId="0" borderId="0" xfId="44" applyFont="1" applyFill="1"/>
    <xf numFmtId="9" fontId="77" fillId="0" borderId="0" xfId="44" applyFont="1" applyFill="1" applyBorder="1"/>
    <xf numFmtId="9" fontId="79" fillId="0" borderId="0" xfId="44" applyFont="1" applyFill="1"/>
    <xf numFmtId="170" fontId="31" fillId="0" borderId="0" xfId="1" applyNumberFormat="1" applyFont="1" applyFill="1" applyBorder="1"/>
    <xf numFmtId="170" fontId="2" fillId="0" borderId="0" xfId="44" applyNumberFormat="1" applyFont="1" applyFill="1"/>
    <xf numFmtId="170" fontId="0" fillId="0" borderId="0" xfId="44" applyNumberFormat="1" applyFont="1" applyFill="1"/>
    <xf numFmtId="170" fontId="0" fillId="5" borderId="17" xfId="44" applyNumberFormat="1" applyFont="1" applyFill="1" applyBorder="1"/>
    <xf numFmtId="170" fontId="31" fillId="5" borderId="16" xfId="44" applyNumberFormat="1" applyFont="1" applyFill="1" applyBorder="1"/>
    <xf numFmtId="170" fontId="31" fillId="5" borderId="0" xfId="44" applyNumberFormat="1" applyFont="1" applyFill="1" applyBorder="1"/>
    <xf numFmtId="170" fontId="31" fillId="5" borderId="17" xfId="44" applyNumberFormat="1" applyFont="1" applyFill="1" applyBorder="1"/>
    <xf numFmtId="170" fontId="13" fillId="0" borderId="0" xfId="1" applyNumberFormat="1" applyFont="1" applyFill="1" applyBorder="1"/>
    <xf numFmtId="3" fontId="17" fillId="5" borderId="18" xfId="44" applyNumberFormat="1" applyFont="1" applyFill="1" applyBorder="1"/>
    <xf numFmtId="170" fontId="19" fillId="0" borderId="0" xfId="1" applyNumberFormat="1" applyFont="1" applyFill="1" applyBorder="1"/>
    <xf numFmtId="0" fontId="0" fillId="0" borderId="13" xfId="1" applyFont="1" applyFill="1" applyBorder="1"/>
    <xf numFmtId="4" fontId="17" fillId="0" borderId="13" xfId="1" applyNumberFormat="1" applyFont="1" applyFill="1" applyBorder="1"/>
    <xf numFmtId="170" fontId="4" fillId="0" borderId="0" xfId="19" applyNumberFormat="1" applyFont="1" applyFill="1"/>
    <xf numFmtId="178" fontId="0" fillId="4" borderId="0" xfId="1" applyNumberFormat="1" applyFont="1" applyFill="1" applyBorder="1"/>
    <xf numFmtId="9" fontId="0" fillId="0" borderId="0" xfId="44" applyFont="1" applyFill="1" applyBorder="1"/>
    <xf numFmtId="9" fontId="0" fillId="0" borderId="0" xfId="44" applyFont="1" applyBorder="1"/>
    <xf numFmtId="9" fontId="0" fillId="0" borderId="0" xfId="44" applyFont="1"/>
    <xf numFmtId="169" fontId="4" fillId="0" borderId="0" xfId="44" applyNumberFormat="1" applyFont="1" applyBorder="1"/>
    <xf numFmtId="169" fontId="0" fillId="0" borderId="0" xfId="44" applyNumberFormat="1" applyFont="1" applyBorder="1"/>
    <xf numFmtId="169" fontId="31" fillId="0" borderId="0" xfId="44" applyNumberFormat="1" applyFont="1" applyBorder="1"/>
    <xf numFmtId="170" fontId="31" fillId="5" borderId="0" xfId="18" applyNumberFormat="1" applyFont="1" applyFill="1" applyBorder="1"/>
    <xf numFmtId="170" fontId="28" fillId="0" borderId="0" xfId="18" applyNumberFormat="1" applyFont="1"/>
    <xf numFmtId="169" fontId="18" fillId="0" borderId="0" xfId="44" applyNumberFormat="1" applyFont="1"/>
    <xf numFmtId="169" fontId="31" fillId="5" borderId="0" xfId="44" applyNumberFormat="1" applyFont="1" applyFill="1" applyBorder="1"/>
    <xf numFmtId="7" fontId="4" fillId="0" borderId="0" xfId="1" applyNumberFormat="1" applyFont="1" applyFill="1"/>
    <xf numFmtId="7" fontId="4" fillId="0" borderId="0" xfId="1" applyNumberFormat="1" applyFont="1"/>
    <xf numFmtId="7" fontId="4" fillId="0" borderId="4" xfId="1" applyNumberFormat="1" applyFont="1" applyFill="1" applyBorder="1"/>
    <xf numFmtId="7" fontId="4" fillId="0" borderId="0" xfId="19" applyNumberFormat="1" applyFont="1"/>
    <xf numFmtId="7" fontId="27" fillId="5" borderId="16" xfId="1" applyNumberFormat="1" applyFont="1" applyFill="1" applyBorder="1"/>
    <xf numFmtId="7" fontId="27" fillId="5" borderId="0" xfId="1" applyNumberFormat="1" applyFont="1" applyFill="1" applyBorder="1"/>
    <xf numFmtId="7" fontId="27" fillId="0" borderId="0" xfId="1" applyNumberFormat="1" applyFont="1" applyBorder="1"/>
    <xf numFmtId="170" fontId="17" fillId="0" borderId="0" xfId="19" applyNumberFormat="1" applyFont="1" applyFill="1"/>
    <xf numFmtId="9" fontId="4" fillId="0" borderId="0" xfId="44" applyFont="1"/>
    <xf numFmtId="3" fontId="17" fillId="0" borderId="0" xfId="1" applyNumberFormat="1" applyFont="1" applyFill="1"/>
    <xf numFmtId="0" fontId="75" fillId="0" borderId="0" xfId="1" applyFont="1" applyFill="1" applyBorder="1"/>
    <xf numFmtId="38" fontId="17" fillId="0" borderId="0" xfId="19" applyFont="1"/>
    <xf numFmtId="170" fontId="0" fillId="5" borderId="18" xfId="1" applyNumberFormat="1" applyFont="1" applyFill="1" applyBorder="1"/>
    <xf numFmtId="170" fontId="0" fillId="5" borderId="19" xfId="1" applyNumberFormat="1" applyFont="1" applyFill="1" applyBorder="1"/>
    <xf numFmtId="170" fontId="0" fillId="5" borderId="20" xfId="1" applyNumberFormat="1" applyFont="1" applyFill="1" applyBorder="1"/>
    <xf numFmtId="0" fontId="2" fillId="0" borderId="0" xfId="34" applyNumberFormat="1" applyFont="1" applyFill="1" applyBorder="1" applyAlignment="1"/>
    <xf numFmtId="0" fontId="2" fillId="4" borderId="0" xfId="1" applyFont="1" applyFill="1"/>
    <xf numFmtId="0" fontId="0" fillId="0" borderId="0" xfId="1" applyFont="1" applyAlignment="1">
      <alignment horizontal="right"/>
    </xf>
    <xf numFmtId="170" fontId="2" fillId="4" borderId="0" xfId="18" applyNumberFormat="1" applyFont="1" applyFill="1" applyBorder="1"/>
    <xf numFmtId="9" fontId="0" fillId="4" borderId="0" xfId="44" applyFont="1" applyFill="1"/>
    <xf numFmtId="3" fontId="18" fillId="5" borderId="16" xfId="1" applyNumberFormat="1" applyFont="1" applyFill="1" applyBorder="1"/>
    <xf numFmtId="3" fontId="18" fillId="5" borderId="0" xfId="1" applyNumberFormat="1" applyFont="1" applyFill="1" applyBorder="1"/>
    <xf numFmtId="3" fontId="18" fillId="5" borderId="17" xfId="1" applyNumberFormat="1" applyFont="1" applyFill="1" applyBorder="1"/>
    <xf numFmtId="3" fontId="77" fillId="0" borderId="0" xfId="1" applyNumberFormat="1" applyFont="1" applyFill="1" applyBorder="1"/>
    <xf numFmtId="3" fontId="18" fillId="0" borderId="0" xfId="1" applyNumberFormat="1" applyFont="1" applyFill="1" applyBorder="1"/>
    <xf numFmtId="3" fontId="18" fillId="0" borderId="0" xfId="1" applyNumberFormat="1" applyFont="1"/>
    <xf numFmtId="0" fontId="4" fillId="0" borderId="0" xfId="1" applyNumberFormat="1" applyFont="1" applyAlignment="1">
      <alignment horizontal="left"/>
    </xf>
    <xf numFmtId="170" fontId="2" fillId="0" borderId="0" xfId="19" applyNumberFormat="1" applyFont="1" applyFill="1" applyBorder="1" applyAlignment="1">
      <alignment horizontal="center"/>
    </xf>
    <xf numFmtId="170" fontId="16" fillId="0" borderId="0" xfId="1" applyNumberFormat="1" applyFont="1" applyFill="1" applyBorder="1"/>
    <xf numFmtId="9" fontId="45" fillId="5" borderId="16" xfId="44" applyFont="1" applyFill="1" applyBorder="1"/>
    <xf numFmtId="9" fontId="45" fillId="5" borderId="0" xfId="44" applyFont="1" applyFill="1" applyBorder="1"/>
    <xf numFmtId="9" fontId="45" fillId="5" borderId="17" xfId="44" applyFont="1" applyFill="1" applyBorder="1"/>
    <xf numFmtId="9" fontId="45" fillId="0" borderId="0" xfId="44" applyFont="1" applyFill="1" applyBorder="1"/>
    <xf numFmtId="9" fontId="2" fillId="0" borderId="0" xfId="44" applyFont="1" applyFill="1" applyBorder="1"/>
    <xf numFmtId="169" fontId="31" fillId="5" borderId="16" xfId="44" applyNumberFormat="1" applyFont="1" applyFill="1" applyBorder="1"/>
    <xf numFmtId="169" fontId="31" fillId="5" borderId="17" xfId="44" applyNumberFormat="1" applyFont="1" applyFill="1" applyBorder="1"/>
    <xf numFmtId="170" fontId="31" fillId="5" borderId="16" xfId="18" applyNumberFormat="1" applyFont="1" applyFill="1" applyBorder="1"/>
    <xf numFmtId="170" fontId="31" fillId="5" borderId="17" xfId="18" applyNumberFormat="1" applyFont="1" applyFill="1" applyBorder="1"/>
    <xf numFmtId="170" fontId="31" fillId="0" borderId="0" xfId="18" applyNumberFormat="1" applyFont="1" applyFill="1" applyBorder="1"/>
    <xf numFmtId="170" fontId="16" fillId="0" borderId="0" xfId="1" applyNumberFormat="1" applyFont="1"/>
    <xf numFmtId="170" fontId="19" fillId="0" borderId="0" xfId="44" applyNumberFormat="1" applyFont="1" applyFill="1" applyBorder="1"/>
    <xf numFmtId="170" fontId="75" fillId="5" borderId="16" xfId="44" applyNumberFormat="1" applyFont="1" applyFill="1" applyBorder="1"/>
    <xf numFmtId="169" fontId="31" fillId="0" borderId="0" xfId="44" applyNumberFormat="1" applyFont="1" applyFill="1" applyBorder="1"/>
    <xf numFmtId="0" fontId="66" fillId="0" borderId="0" xfId="1" applyFont="1" applyFill="1" applyBorder="1"/>
    <xf numFmtId="3" fontId="66" fillId="0" borderId="0" xfId="1" applyNumberFormat="1" applyFont="1" applyFill="1" applyBorder="1"/>
    <xf numFmtId="0" fontId="31" fillId="0" borderId="0" xfId="1" applyFont="1"/>
    <xf numFmtId="0" fontId="4" fillId="5" borderId="0" xfId="1" applyFont="1" applyFill="1" applyBorder="1"/>
    <xf numFmtId="170" fontId="75" fillId="5" borderId="0" xfId="18" applyNumberFormat="1" applyFont="1" applyFill="1" applyBorder="1"/>
    <xf numFmtId="170" fontId="75" fillId="0" borderId="0" xfId="18" applyNumberFormat="1" applyFont="1" applyFill="1" applyBorder="1"/>
    <xf numFmtId="169" fontId="0" fillId="5" borderId="0" xfId="44" applyNumberFormat="1" applyFont="1" applyFill="1" applyBorder="1" applyAlignment="1">
      <alignment horizontal="right"/>
    </xf>
    <xf numFmtId="170" fontId="0" fillId="5" borderId="19" xfId="18" applyNumberFormat="1" applyFont="1" applyFill="1" applyBorder="1"/>
    <xf numFmtId="170" fontId="0" fillId="5" borderId="20" xfId="18" applyNumberFormat="1" applyFont="1" applyFill="1" applyBorder="1"/>
    <xf numFmtId="170" fontId="0" fillId="5" borderId="18" xfId="18" applyNumberFormat="1" applyFont="1" applyFill="1" applyBorder="1"/>
    <xf numFmtId="0" fontId="13" fillId="4" borderId="3" xfId="1" applyFont="1" applyFill="1" applyBorder="1"/>
    <xf numFmtId="169" fontId="66" fillId="0" borderId="0" xfId="44" applyNumberFormat="1" applyFont="1" applyFill="1" applyBorder="1"/>
    <xf numFmtId="43" fontId="27" fillId="0" borderId="0" xfId="18" applyNumberFormat="1" applyFont="1" applyBorder="1"/>
    <xf numFmtId="43" fontId="27" fillId="5" borderId="16" xfId="18" applyNumberFormat="1" applyFont="1" applyFill="1" applyBorder="1"/>
    <xf numFmtId="43" fontId="27" fillId="5" borderId="17" xfId="18" applyNumberFormat="1" applyFont="1" applyFill="1" applyBorder="1"/>
    <xf numFmtId="43" fontId="31" fillId="5" borderId="0" xfId="1" applyNumberFormat="1" applyFont="1" applyFill="1" applyBorder="1"/>
    <xf numFmtId="43" fontId="31" fillId="5" borderId="17" xfId="1" applyNumberFormat="1" applyFont="1" applyFill="1" applyBorder="1"/>
    <xf numFmtId="43" fontId="31" fillId="0" borderId="0" xfId="1" applyNumberFormat="1" applyFont="1" applyFill="1" applyBorder="1"/>
    <xf numFmtId="43" fontId="31" fillId="5" borderId="16" xfId="1" applyNumberFormat="1" applyFont="1" applyFill="1" applyBorder="1"/>
    <xf numFmtId="0" fontId="77" fillId="0" borderId="0" xfId="1" applyFont="1"/>
    <xf numFmtId="0" fontId="45" fillId="0" borderId="0" xfId="1" applyFont="1"/>
    <xf numFmtId="9" fontId="31" fillId="5" borderId="0" xfId="1" applyNumberFormat="1" applyFont="1" applyFill="1" applyBorder="1"/>
    <xf numFmtId="9" fontId="31" fillId="5" borderId="17" xfId="1" applyNumberFormat="1" applyFont="1" applyFill="1" applyBorder="1"/>
    <xf numFmtId="9" fontId="31" fillId="5" borderId="16" xfId="1" applyNumberFormat="1" applyFont="1" applyFill="1" applyBorder="1"/>
    <xf numFmtId="0" fontId="2" fillId="0" borderId="0" xfId="1" applyFont="1" applyAlignment="1">
      <alignment horizontal="center"/>
    </xf>
    <xf numFmtId="170" fontId="45" fillId="5" borderId="0" xfId="18" applyNumberFormat="1" applyFont="1" applyFill="1" applyBorder="1"/>
    <xf numFmtId="170" fontId="45" fillId="5" borderId="17" xfId="18" applyNumberFormat="1" applyFont="1" applyFill="1" applyBorder="1"/>
    <xf numFmtId="170" fontId="45" fillId="0" borderId="0" xfId="18" applyNumberFormat="1" applyFont="1" applyFill="1" applyBorder="1"/>
    <xf numFmtId="170" fontId="45" fillId="5" borderId="16" xfId="18" applyNumberFormat="1" applyFont="1" applyFill="1" applyBorder="1"/>
    <xf numFmtId="9" fontId="0" fillId="0" borderId="0" xfId="1" applyNumberFormat="1" applyFont="1" applyFill="1" applyBorder="1"/>
    <xf numFmtId="9" fontId="16" fillId="0" borderId="0" xfId="44" applyFont="1" applyFill="1" applyBorder="1"/>
    <xf numFmtId="170" fontId="75" fillId="5" borderId="16" xfId="18" applyNumberFormat="1" applyFont="1" applyFill="1" applyBorder="1"/>
    <xf numFmtId="170" fontId="75" fillId="5" borderId="17" xfId="18" applyNumberFormat="1" applyFont="1" applyFill="1" applyBorder="1"/>
    <xf numFmtId="170" fontId="17" fillId="5" borderId="18" xfId="18" applyNumberFormat="1" applyFont="1" applyFill="1" applyBorder="1"/>
    <xf numFmtId="170" fontId="17" fillId="5" borderId="19" xfId="18" applyNumberFormat="1" applyFont="1" applyFill="1" applyBorder="1"/>
    <xf numFmtId="170" fontId="17" fillId="5" borderId="20" xfId="18" applyNumberFormat="1" applyFont="1" applyFill="1" applyBorder="1"/>
    <xf numFmtId="9" fontId="0" fillId="5" borderId="16" xfId="1" applyNumberFormat="1" applyFont="1" applyFill="1" applyBorder="1"/>
    <xf numFmtId="9" fontId="0" fillId="5" borderId="0" xfId="1" applyNumberFormat="1" applyFont="1" applyFill="1" applyBorder="1"/>
    <xf numFmtId="9" fontId="0" fillId="5" borderId="17" xfId="1" applyNumberFormat="1" applyFont="1" applyFill="1" applyBorder="1"/>
    <xf numFmtId="169" fontId="0" fillId="5" borderId="16" xfId="1" applyNumberFormat="1" applyFont="1" applyFill="1" applyBorder="1"/>
    <xf numFmtId="169" fontId="0" fillId="5" borderId="0" xfId="1" applyNumberFormat="1" applyFont="1" applyFill="1" applyBorder="1"/>
    <xf numFmtId="169" fontId="0" fillId="5" borderId="17" xfId="1" applyNumberFormat="1" applyFont="1" applyFill="1" applyBorder="1"/>
    <xf numFmtId="169" fontId="45" fillId="0" borderId="0" xfId="1" applyNumberFormat="1" applyFont="1" applyFill="1" applyBorder="1"/>
    <xf numFmtId="8" fontId="4" fillId="5" borderId="16" xfId="18" applyNumberFormat="1" applyFont="1" applyFill="1" applyBorder="1"/>
    <xf numFmtId="8" fontId="4" fillId="5" borderId="0" xfId="18" applyNumberFormat="1" applyFont="1" applyFill="1" applyBorder="1"/>
    <xf numFmtId="8" fontId="4" fillId="5" borderId="17" xfId="18" applyNumberFormat="1" applyFont="1" applyFill="1" applyBorder="1"/>
    <xf numFmtId="8" fontId="4" fillId="0" borderId="0" xfId="18" applyNumberFormat="1" applyFont="1" applyFill="1" applyBorder="1"/>
    <xf numFmtId="8" fontId="17" fillId="0" borderId="0" xfId="18" applyNumberFormat="1" applyFont="1" applyFill="1" applyBorder="1"/>
    <xf numFmtId="169" fontId="27" fillId="0" borderId="0" xfId="1" applyNumberFormat="1" applyFont="1" applyAlignment="1">
      <alignment horizontal="right"/>
    </xf>
    <xf numFmtId="169" fontId="4" fillId="5" borderId="16" xfId="1" applyNumberFormat="1" applyFont="1" applyFill="1" applyBorder="1"/>
    <xf numFmtId="169" fontId="4" fillId="5" borderId="0" xfId="1" applyNumberFormat="1" applyFont="1" applyFill="1" applyBorder="1"/>
    <xf numFmtId="169" fontId="4" fillId="5" borderId="17" xfId="1" applyNumberFormat="1" applyFont="1" applyFill="1" applyBorder="1"/>
    <xf numFmtId="169" fontId="4" fillId="0" borderId="0" xfId="1" applyNumberFormat="1" applyFont="1" applyFill="1" applyBorder="1"/>
    <xf numFmtId="169" fontId="16" fillId="0" borderId="0" xfId="1" applyNumberFormat="1" applyFont="1" applyFill="1" applyBorder="1"/>
    <xf numFmtId="7" fontId="12" fillId="0" borderId="0" xfId="1" applyNumberFormat="1" applyFont="1" applyFill="1"/>
    <xf numFmtId="170" fontId="4" fillId="0" borderId="0" xfId="18" applyNumberFormat="1" applyFont="1" applyBorder="1" applyAlignment="1">
      <alignment horizontal="right"/>
    </xf>
    <xf numFmtId="169" fontId="2" fillId="0" borderId="0" xfId="44" applyNumberFormat="1" applyFont="1" applyFill="1" applyBorder="1"/>
    <xf numFmtId="37" fontId="19" fillId="0" borderId="0" xfId="1" applyNumberFormat="1" applyFont="1" applyFill="1" applyBorder="1"/>
    <xf numFmtId="37" fontId="16" fillId="0" borderId="0" xfId="18" applyNumberFormat="1" applyFont="1" applyFill="1" applyBorder="1"/>
    <xf numFmtId="37" fontId="16" fillId="5" borderId="16" xfId="18" applyNumberFormat="1" applyFont="1" applyFill="1" applyBorder="1"/>
    <xf numFmtId="37" fontId="16" fillId="5" borderId="0" xfId="18" applyNumberFormat="1" applyFont="1" applyFill="1" applyBorder="1"/>
    <xf numFmtId="37" fontId="16" fillId="5" borderId="17" xfId="18" applyNumberFormat="1" applyFont="1" applyFill="1" applyBorder="1"/>
    <xf numFmtId="37" fontId="19" fillId="0" borderId="0" xfId="18" applyNumberFormat="1" applyFont="1" applyBorder="1"/>
    <xf numFmtId="37" fontId="16" fillId="0" borderId="0" xfId="1" applyNumberFormat="1" applyFont="1"/>
    <xf numFmtId="37" fontId="16" fillId="5" borderId="16" xfId="1" applyNumberFormat="1" applyFont="1" applyFill="1" applyBorder="1"/>
    <xf numFmtId="37" fontId="16" fillId="5" borderId="0" xfId="1" applyNumberFormat="1" applyFont="1" applyFill="1" applyBorder="1"/>
    <xf numFmtId="9" fontId="2" fillId="0" borderId="0" xfId="44" applyFont="1"/>
    <xf numFmtId="39" fontId="19" fillId="0" borderId="0" xfId="18" applyNumberFormat="1" applyFont="1" applyBorder="1"/>
    <xf numFmtId="170" fontId="2" fillId="0" borderId="0" xfId="18" applyNumberFormat="1" applyFont="1" applyFill="1"/>
    <xf numFmtId="0" fontId="4" fillId="0" borderId="13" xfId="1" applyFont="1" applyFill="1" applyBorder="1"/>
    <xf numFmtId="177" fontId="31" fillId="0" borderId="0" xfId="18" applyNumberFormat="1" applyFont="1" applyFill="1"/>
    <xf numFmtId="167" fontId="10" fillId="5" borderId="3" xfId="1" applyNumberFormat="1" applyFont="1" applyFill="1" applyBorder="1" applyAlignment="1">
      <alignment horizontal="right"/>
    </xf>
    <xf numFmtId="167" fontId="10" fillId="5" borderId="4" xfId="1" applyNumberFormat="1" applyFont="1" applyFill="1" applyBorder="1" applyAlignment="1">
      <alignment horizontal="right"/>
    </xf>
    <xf numFmtId="0" fontId="10" fillId="5" borderId="4" xfId="1" applyFont="1" applyFill="1" applyBorder="1" applyAlignment="1">
      <alignment horizontal="right"/>
    </xf>
    <xf numFmtId="167" fontId="10" fillId="5" borderId="6" xfId="1" applyNumberFormat="1" applyFont="1" applyFill="1" applyBorder="1" applyAlignment="1">
      <alignment horizontal="right"/>
    </xf>
    <xf numFmtId="0" fontId="4" fillId="5" borderId="16" xfId="1" applyFont="1" applyFill="1" applyBorder="1"/>
    <xf numFmtId="43" fontId="4" fillId="5" borderId="16" xfId="18" applyFont="1" applyFill="1" applyBorder="1"/>
    <xf numFmtId="170" fontId="19" fillId="5" borderId="16" xfId="18" applyNumberFormat="1" applyFont="1" applyFill="1" applyBorder="1"/>
    <xf numFmtId="170" fontId="19" fillId="5" borderId="0" xfId="18" applyNumberFormat="1" applyFont="1" applyFill="1" applyBorder="1"/>
    <xf numFmtId="10" fontId="17" fillId="0" borderId="0" xfId="1" applyNumberFormat="1" applyFont="1" applyFill="1" applyBorder="1"/>
    <xf numFmtId="169" fontId="16" fillId="5" borderId="0" xfId="44" applyNumberFormat="1" applyFont="1" applyFill="1" applyBorder="1"/>
    <xf numFmtId="169" fontId="16" fillId="5" borderId="17" xfId="44" applyNumberFormat="1" applyFont="1" applyFill="1" applyBorder="1"/>
    <xf numFmtId="170" fontId="16" fillId="0" borderId="0" xfId="18" applyNumberFormat="1" applyFont="1" applyBorder="1"/>
    <xf numFmtId="170" fontId="19" fillId="0" borderId="0" xfId="18" applyNumberFormat="1" applyFont="1" applyFill="1" applyBorder="1"/>
    <xf numFmtId="170" fontId="19" fillId="5" borderId="17" xfId="18" applyNumberFormat="1" applyFont="1" applyFill="1" applyBorder="1"/>
    <xf numFmtId="170" fontId="19" fillId="0" borderId="0" xfId="18" applyNumberFormat="1" applyFont="1" applyBorder="1"/>
    <xf numFmtId="170" fontId="80" fillId="0" borderId="0" xfId="18" applyNumberFormat="1" applyFont="1" applyFill="1" applyBorder="1"/>
    <xf numFmtId="170" fontId="31" fillId="0" borderId="0" xfId="18" applyNumberFormat="1" applyFont="1" applyBorder="1"/>
    <xf numFmtId="170" fontId="80" fillId="5" borderId="16" xfId="18" applyNumberFormat="1" applyFont="1" applyFill="1" applyBorder="1"/>
    <xf numFmtId="170" fontId="80" fillId="5" borderId="0" xfId="18" applyNumberFormat="1" applyFont="1" applyFill="1" applyBorder="1"/>
    <xf numFmtId="170" fontId="80" fillId="5" borderId="17" xfId="18" applyNumberFormat="1" applyFont="1" applyFill="1" applyBorder="1"/>
    <xf numFmtId="170" fontId="45" fillId="0" borderId="0" xfId="18" applyNumberFormat="1" applyFont="1"/>
    <xf numFmtId="170" fontId="27" fillId="0" borderId="0" xfId="1" applyNumberFormat="1" applyFont="1"/>
    <xf numFmtId="170" fontId="31" fillId="0" borderId="0" xfId="1" applyNumberFormat="1" applyFont="1" applyFill="1" applyBorder="1" applyAlignment="1">
      <alignment horizontal="right"/>
    </xf>
    <xf numFmtId="170" fontId="16" fillId="0" borderId="0" xfId="18" applyNumberFormat="1" applyFont="1" applyFill="1" applyBorder="1"/>
    <xf numFmtId="166" fontId="5" fillId="4" borderId="0" xfId="33" applyNumberFormat="1" applyFont="1" applyFill="1"/>
    <xf numFmtId="166" fontId="6" fillId="4" borderId="0" xfId="33" applyNumberFormat="1" applyFont="1" applyFill="1"/>
    <xf numFmtId="166" fontId="7" fillId="4" borderId="0" xfId="33" applyNumberFormat="1" applyFont="1" applyFill="1"/>
    <xf numFmtId="0" fontId="2" fillId="0" borderId="0" xfId="33"/>
    <xf numFmtId="166" fontId="9" fillId="4" borderId="0" xfId="33" applyNumberFormat="1" applyFont="1" applyFill="1" applyAlignment="1">
      <alignment horizontal="center"/>
    </xf>
    <xf numFmtId="166" fontId="8" fillId="4" borderId="0" xfId="33" applyNumberFormat="1" applyFont="1" applyFill="1"/>
    <xf numFmtId="166" fontId="9" fillId="4" borderId="0" xfId="33" applyNumberFormat="1" applyFont="1" applyFill="1"/>
    <xf numFmtId="166" fontId="10" fillId="4" borderId="0" xfId="33" applyNumberFormat="1" applyFont="1" applyFill="1"/>
    <xf numFmtId="166" fontId="11" fillId="4" borderId="0" xfId="33" applyNumberFormat="1" applyFont="1" applyFill="1"/>
    <xf numFmtId="166" fontId="12" fillId="4" borderId="0" xfId="33" applyNumberFormat="1" applyFont="1" applyFill="1"/>
    <xf numFmtId="167" fontId="10" fillId="0" borderId="0" xfId="33" applyNumberFormat="1" applyFont="1"/>
    <xf numFmtId="167" fontId="13" fillId="0" borderId="0" xfId="33" applyNumberFormat="1" applyFont="1"/>
    <xf numFmtId="167" fontId="14" fillId="0" borderId="0" xfId="33" applyNumberFormat="1" applyFont="1" applyAlignment="1">
      <alignment horizontal="right"/>
    </xf>
    <xf numFmtId="167" fontId="2" fillId="0" borderId="0" xfId="33" applyNumberFormat="1"/>
    <xf numFmtId="0" fontId="2" fillId="0" borderId="0" xfId="33" applyNumberFormat="1"/>
    <xf numFmtId="167" fontId="2" fillId="0" borderId="0" xfId="33" applyNumberFormat="1" applyFill="1" applyBorder="1"/>
    <xf numFmtId="0" fontId="13" fillId="4" borderId="0" xfId="33" applyFont="1" applyFill="1"/>
    <xf numFmtId="0" fontId="2" fillId="4" borderId="0" xfId="33" applyFill="1"/>
    <xf numFmtId="0" fontId="10" fillId="0" borderId="0" xfId="33" applyFont="1" applyAlignment="1">
      <alignment horizontal="right"/>
    </xf>
    <xf numFmtId="0" fontId="10" fillId="0" borderId="0" xfId="33" applyFont="1" applyFill="1" applyBorder="1" applyAlignment="1">
      <alignment horizontal="right"/>
    </xf>
    <xf numFmtId="7" fontId="2" fillId="0" borderId="0" xfId="33" applyNumberFormat="1"/>
    <xf numFmtId="0" fontId="4" fillId="0" borderId="0" xfId="33" applyFont="1" applyAlignment="1">
      <alignment horizontal="right"/>
    </xf>
    <xf numFmtId="167" fontId="20" fillId="0" borderId="0" xfId="33" applyNumberFormat="1" applyFont="1" applyFill="1" applyBorder="1"/>
    <xf numFmtId="8" fontId="2" fillId="0" borderId="0" xfId="33" applyNumberFormat="1" applyFill="1" applyBorder="1" applyAlignment="1">
      <alignment horizontal="right"/>
    </xf>
    <xf numFmtId="8" fontId="4" fillId="0" borderId="0" xfId="33" applyNumberFormat="1" applyFont="1" applyFill="1" applyAlignment="1">
      <alignment horizontal="right"/>
    </xf>
    <xf numFmtId="8" fontId="16" fillId="0" borderId="0" xfId="33" applyNumberFormat="1" applyFont="1" applyFill="1" applyAlignment="1">
      <alignment horizontal="right"/>
    </xf>
    <xf numFmtId="0" fontId="2" fillId="0" borderId="0" xfId="33" applyFill="1" applyBorder="1"/>
    <xf numFmtId="168" fontId="15" fillId="0" borderId="0" xfId="33" applyNumberFormat="1" applyFont="1" applyFill="1" applyBorder="1" applyAlignment="1">
      <alignment horizontal="right"/>
    </xf>
    <xf numFmtId="0" fontId="4" fillId="0" borderId="0" xfId="33" applyFont="1"/>
    <xf numFmtId="0" fontId="17" fillId="0" borderId="0" xfId="33" applyFont="1"/>
    <xf numFmtId="7" fontId="17" fillId="0" borderId="0" xfId="33" applyNumberFormat="1" applyFont="1"/>
    <xf numFmtId="169" fontId="84" fillId="0" borderId="0" xfId="33" applyNumberFormat="1" applyFont="1" applyFill="1" applyBorder="1" applyAlignment="1">
      <alignment horizontal="right"/>
    </xf>
    <xf numFmtId="168" fontId="2" fillId="0" borderId="0" xfId="33" applyNumberFormat="1" applyFont="1" applyAlignment="1">
      <alignment horizontal="right"/>
    </xf>
    <xf numFmtId="168" fontId="2" fillId="0" borderId="0" xfId="33" applyNumberFormat="1" applyAlignment="1">
      <alignment horizontal="right"/>
    </xf>
    <xf numFmtId="0" fontId="18" fillId="0" borderId="0" xfId="33" applyFont="1"/>
    <xf numFmtId="0" fontId="2" fillId="0" borderId="0" xfId="33" applyFont="1"/>
    <xf numFmtId="168" fontId="2" fillId="0" borderId="0" xfId="33" applyNumberFormat="1" applyFill="1" applyBorder="1" applyAlignment="1">
      <alignment horizontal="right"/>
    </xf>
    <xf numFmtId="169" fontId="16" fillId="0" borderId="0" xfId="33" applyNumberFormat="1" applyFont="1" applyAlignment="1">
      <alignment horizontal="right"/>
    </xf>
    <xf numFmtId="168" fontId="15" fillId="0" borderId="0" xfId="33" applyNumberFormat="1" applyFont="1" applyAlignment="1">
      <alignment horizontal="right"/>
    </xf>
    <xf numFmtId="168" fontId="16" fillId="0" borderId="0" xfId="33" applyNumberFormat="1" applyFont="1" applyAlignment="1">
      <alignment horizontal="right"/>
    </xf>
    <xf numFmtId="8" fontId="17" fillId="0" borderId="0" xfId="33" applyNumberFormat="1" applyFont="1" applyFill="1" applyBorder="1" applyAlignment="1">
      <alignment horizontal="right"/>
    </xf>
    <xf numFmtId="169" fontId="84" fillId="0" borderId="0" xfId="33" applyNumberFormat="1" applyFont="1" applyAlignment="1">
      <alignment horizontal="right"/>
    </xf>
    <xf numFmtId="8" fontId="17" fillId="0" borderId="0" xfId="33" applyNumberFormat="1" applyFont="1"/>
    <xf numFmtId="8" fontId="2" fillId="0" borderId="0" xfId="33" applyNumberFormat="1"/>
    <xf numFmtId="8" fontId="2" fillId="0" borderId="0" xfId="33" applyNumberFormat="1" applyFill="1" applyBorder="1"/>
    <xf numFmtId="0" fontId="2" fillId="0" borderId="0" xfId="33" applyFill="1"/>
    <xf numFmtId="168" fontId="17" fillId="0" borderId="0" xfId="33" applyNumberFormat="1" applyFont="1" applyAlignment="1">
      <alignment horizontal="right"/>
    </xf>
    <xf numFmtId="8" fontId="19" fillId="0" borderId="0" xfId="18" applyNumberFormat="1" applyFont="1" applyFill="1"/>
    <xf numFmtId="0" fontId="17" fillId="5" borderId="3" xfId="33" applyFont="1" applyFill="1" applyBorder="1"/>
    <xf numFmtId="0" fontId="17" fillId="5" borderId="4" xfId="33" applyFont="1" applyFill="1" applyBorder="1"/>
    <xf numFmtId="8" fontId="17" fillId="5" borderId="4" xfId="33" applyNumberFormat="1" applyFont="1" applyFill="1" applyBorder="1" applyAlignment="1">
      <alignment horizontal="right"/>
    </xf>
    <xf numFmtId="8" fontId="2" fillId="0" borderId="4" xfId="33" applyNumberFormat="1" applyBorder="1"/>
    <xf numFmtId="8" fontId="17" fillId="5" borderId="6" xfId="33" applyNumberFormat="1" applyFont="1" applyFill="1" applyBorder="1" applyAlignment="1">
      <alignment horizontal="right"/>
    </xf>
    <xf numFmtId="8" fontId="31" fillId="0" borderId="0" xfId="33" applyNumberFormat="1" applyFont="1"/>
    <xf numFmtId="3" fontId="2" fillId="0" borderId="0" xfId="33" applyNumberFormat="1" applyFill="1"/>
    <xf numFmtId="3" fontId="2" fillId="0" borderId="0" xfId="33" applyNumberFormat="1"/>
    <xf numFmtId="169" fontId="2" fillId="0" borderId="0" xfId="33" applyNumberFormat="1" applyFill="1" applyBorder="1"/>
    <xf numFmtId="0" fontId="17" fillId="0" borderId="0" xfId="33" applyFont="1" applyFill="1" applyBorder="1"/>
    <xf numFmtId="8" fontId="19" fillId="0" borderId="0" xfId="33" applyNumberFormat="1" applyFont="1" applyFill="1"/>
    <xf numFmtId="43" fontId="2" fillId="0" borderId="0" xfId="33" applyNumberFormat="1"/>
    <xf numFmtId="169" fontId="2" fillId="0" borderId="0" xfId="33" applyNumberFormat="1"/>
    <xf numFmtId="169" fontId="4" fillId="0" borderId="0" xfId="33" applyNumberFormat="1" applyFont="1" applyFill="1"/>
    <xf numFmtId="0" fontId="2" fillId="5" borderId="4" xfId="33" applyFill="1" applyBorder="1"/>
    <xf numFmtId="169" fontId="17" fillId="5" borderId="4" xfId="33" applyNumberFormat="1" applyFont="1" applyFill="1" applyBorder="1"/>
    <xf numFmtId="0" fontId="2" fillId="0" borderId="4" xfId="33" applyBorder="1"/>
    <xf numFmtId="169" fontId="17" fillId="5" borderId="6" xfId="33" applyNumberFormat="1" applyFont="1" applyFill="1" applyBorder="1"/>
    <xf numFmtId="14" fontId="85" fillId="0" borderId="0" xfId="33" applyNumberFormat="1" applyFont="1" applyFill="1"/>
    <xf numFmtId="166" fontId="52" fillId="0" borderId="0" xfId="33" applyNumberFormat="1" applyFont="1" applyFill="1" applyBorder="1"/>
    <xf numFmtId="166" fontId="54" fillId="0" borderId="0" xfId="33" applyNumberFormat="1" applyFont="1" applyFill="1" applyBorder="1"/>
    <xf numFmtId="166" fontId="54" fillId="0" borderId="0" xfId="33" applyNumberFormat="1" applyFont="1" applyFill="1" applyBorder="1" applyAlignment="1">
      <alignment horizontal="right"/>
    </xf>
    <xf numFmtId="166" fontId="86" fillId="0" borderId="0" xfId="33" applyNumberFormat="1" applyFont="1" applyFill="1" applyBorder="1"/>
    <xf numFmtId="0" fontId="4" fillId="0" borderId="0" xfId="33" applyFont="1" applyFill="1"/>
    <xf numFmtId="169" fontId="2" fillId="0" borderId="0" xfId="33" applyNumberFormat="1" applyFill="1"/>
    <xf numFmtId="9" fontId="2" fillId="0" borderId="0" xfId="33" applyNumberFormat="1"/>
    <xf numFmtId="0" fontId="13" fillId="4" borderId="3" xfId="33" applyFont="1" applyFill="1" applyBorder="1"/>
    <xf numFmtId="0" fontId="17" fillId="0" borderId="0" xfId="33" applyFont="1" applyFill="1" applyBorder="1" applyAlignment="1">
      <alignment horizontal="right"/>
    </xf>
    <xf numFmtId="7" fontId="31" fillId="0" borderId="0" xfId="33" applyNumberFormat="1" applyFont="1" applyFill="1" applyBorder="1"/>
    <xf numFmtId="7" fontId="31" fillId="0" borderId="0" xfId="33" applyNumberFormat="1" applyFont="1"/>
    <xf numFmtId="0" fontId="4" fillId="0" borderId="0" xfId="33" applyFont="1" applyFill="1" applyBorder="1"/>
    <xf numFmtId="14" fontId="87" fillId="0" borderId="0" xfId="33" applyNumberFormat="1" applyFont="1" applyFill="1" applyAlignment="1">
      <alignment horizontal="left"/>
    </xf>
    <xf numFmtId="0" fontId="56" fillId="0" borderId="0" xfId="33" applyFont="1"/>
    <xf numFmtId="14" fontId="87" fillId="0" borderId="0" xfId="33" applyNumberFormat="1" applyFont="1" applyFill="1"/>
    <xf numFmtId="166" fontId="11" fillId="4" borderId="4" xfId="33" applyNumberFormat="1" applyFont="1" applyFill="1" applyBorder="1"/>
    <xf numFmtId="166" fontId="51" fillId="4" borderId="4" xfId="33" applyNumberFormat="1" applyFont="1" applyFill="1" applyBorder="1"/>
    <xf numFmtId="166" fontId="51" fillId="4" borderId="6" xfId="33" applyNumberFormat="1" applyFont="1" applyFill="1" applyBorder="1"/>
    <xf numFmtId="3" fontId="2" fillId="0" borderId="0" xfId="33" applyNumberFormat="1" applyFill="1" applyBorder="1"/>
    <xf numFmtId="0" fontId="53" fillId="0" borderId="0" xfId="33" quotePrefix="1" applyFont="1" applyFill="1" applyAlignment="1">
      <alignment horizontal="right"/>
    </xf>
    <xf numFmtId="0" fontId="17" fillId="0" borderId="0" xfId="33" applyFont="1" applyFill="1"/>
    <xf numFmtId="169" fontId="2" fillId="0" borderId="0" xfId="44" applyNumberFormat="1" applyFont="1"/>
    <xf numFmtId="43" fontId="10" fillId="0" borderId="0" xfId="33" applyNumberFormat="1" applyFont="1" applyAlignment="1">
      <alignment horizontal="right"/>
    </xf>
    <xf numFmtId="0" fontId="19" fillId="0" borderId="32" xfId="33" applyFont="1" applyFill="1" applyBorder="1"/>
    <xf numFmtId="0" fontId="57" fillId="0" borderId="0" xfId="33" applyFont="1"/>
    <xf numFmtId="0" fontId="17" fillId="0" borderId="0" xfId="33" applyFont="1" applyFill="1" applyAlignment="1">
      <alignment horizontal="centerContinuous"/>
    </xf>
    <xf numFmtId="0" fontId="2" fillId="0" borderId="0" xfId="33" applyFill="1" applyAlignment="1">
      <alignment horizontal="centerContinuous"/>
    </xf>
    <xf numFmtId="169" fontId="17" fillId="5" borderId="6" xfId="44" applyNumberFormat="1" applyFont="1" applyFill="1" applyBorder="1"/>
    <xf numFmtId="177" fontId="2" fillId="0" borderId="0" xfId="33" applyNumberFormat="1" applyFill="1"/>
    <xf numFmtId="170" fontId="17" fillId="0" borderId="0" xfId="33" applyNumberFormat="1" applyFont="1"/>
    <xf numFmtId="170" fontId="4" fillId="0" borderId="0" xfId="33" applyNumberFormat="1" applyFont="1"/>
    <xf numFmtId="170" fontId="2" fillId="0" borderId="0" xfId="33" applyNumberFormat="1"/>
    <xf numFmtId="170" fontId="17" fillId="0" borderId="0" xfId="18" applyNumberFormat="1" applyFont="1" applyFill="1"/>
    <xf numFmtId="177" fontId="17" fillId="5" borderId="6" xfId="33" applyNumberFormat="1" applyFont="1" applyFill="1" applyBorder="1"/>
    <xf numFmtId="177" fontId="2" fillId="0" borderId="0" xfId="18" applyNumberFormat="1" applyFont="1"/>
    <xf numFmtId="0" fontId="77" fillId="0" borderId="0" xfId="33" applyFont="1"/>
    <xf numFmtId="168" fontId="77" fillId="0" borderId="0" xfId="18" applyNumberFormat="1" applyFont="1"/>
    <xf numFmtId="170" fontId="31" fillId="0" borderId="0" xfId="33" applyNumberFormat="1" applyFont="1"/>
    <xf numFmtId="43" fontId="2" fillId="0" borderId="0" xfId="33" applyNumberFormat="1" applyFill="1"/>
    <xf numFmtId="0" fontId="17" fillId="0" borderId="0" xfId="33" applyFont="1" applyAlignment="1">
      <alignment horizontal="right"/>
    </xf>
    <xf numFmtId="43" fontId="2" fillId="0" borderId="0" xfId="18" applyFont="1"/>
    <xf numFmtId="188" fontId="2" fillId="0" borderId="0" xfId="44" applyNumberFormat="1" applyFont="1"/>
    <xf numFmtId="37" fontId="17" fillId="0" borderId="0" xfId="33" applyNumberFormat="1" applyFont="1"/>
    <xf numFmtId="37" fontId="4" fillId="0" borderId="0" xfId="33" applyNumberFormat="1" applyFont="1"/>
    <xf numFmtId="168" fontId="31" fillId="0" borderId="0" xfId="33" applyNumberFormat="1" applyFont="1" applyAlignment="1">
      <alignment horizontal="right"/>
    </xf>
    <xf numFmtId="169" fontId="16" fillId="0" borderId="0" xfId="33" applyNumberFormat="1" applyFont="1"/>
    <xf numFmtId="170" fontId="2" fillId="0" borderId="0" xfId="33" applyNumberFormat="1" applyFill="1"/>
    <xf numFmtId="169" fontId="18" fillId="0" borderId="0" xfId="33" applyNumberFormat="1" applyFont="1"/>
    <xf numFmtId="37" fontId="2" fillId="0" borderId="0" xfId="33" applyNumberFormat="1"/>
    <xf numFmtId="169" fontId="2" fillId="0" borderId="0" xfId="33" applyNumberFormat="1" applyAlignment="1">
      <alignment horizontal="right"/>
    </xf>
    <xf numFmtId="169" fontId="31" fillId="0" borderId="0" xfId="33" applyNumberFormat="1" applyFont="1" applyAlignment="1">
      <alignment horizontal="right"/>
    </xf>
    <xf numFmtId="8" fontId="77" fillId="0" borderId="0" xfId="33" applyNumberFormat="1" applyFont="1"/>
    <xf numFmtId="37" fontId="17" fillId="0" borderId="0" xfId="33" applyNumberFormat="1" applyFont="1" applyFill="1" applyBorder="1"/>
    <xf numFmtId="169" fontId="16" fillId="0" borderId="0" xfId="33" applyNumberFormat="1" applyFont="1" applyFill="1" applyBorder="1"/>
    <xf numFmtId="169" fontId="18" fillId="0" borderId="0" xfId="33" applyNumberFormat="1" applyFont="1" applyFill="1" applyBorder="1"/>
    <xf numFmtId="43" fontId="17" fillId="0" borderId="0" xfId="33" applyNumberFormat="1" applyFont="1"/>
    <xf numFmtId="37" fontId="2" fillId="0" borderId="0" xfId="33" applyNumberFormat="1" applyFill="1" applyBorder="1"/>
    <xf numFmtId="169" fontId="2" fillId="0" borderId="0" xfId="33" applyNumberFormat="1" applyFill="1" applyBorder="1" applyAlignment="1">
      <alignment horizontal="right"/>
    </xf>
    <xf numFmtId="0" fontId="20" fillId="4" borderId="4" xfId="1" applyFont="1" applyFill="1" applyBorder="1"/>
    <xf numFmtId="0" fontId="2" fillId="0" borderId="0" xfId="1" applyFont="1" applyFill="1" applyAlignment="1">
      <alignment horizontal="center"/>
    </xf>
    <xf numFmtId="0" fontId="0" fillId="0" borderId="14" xfId="1" applyFont="1" applyFill="1" applyBorder="1"/>
    <xf numFmtId="7" fontId="17" fillId="5" borderId="16" xfId="18" applyNumberFormat="1" applyFont="1" applyFill="1" applyBorder="1"/>
    <xf numFmtId="0" fontId="16" fillId="0" borderId="0" xfId="1" applyFont="1" applyFill="1" applyBorder="1"/>
    <xf numFmtId="8" fontId="16" fillId="0" borderId="0" xfId="18" applyNumberFormat="1" applyFont="1" applyFill="1" applyBorder="1"/>
    <xf numFmtId="0" fontId="17" fillId="0" borderId="12" xfId="1" applyFont="1" applyBorder="1"/>
    <xf numFmtId="8" fontId="17" fillId="0" borderId="14" xfId="1" applyNumberFormat="1" applyFont="1" applyFill="1" applyBorder="1"/>
    <xf numFmtId="0" fontId="17" fillId="0" borderId="18" xfId="1" applyFont="1" applyBorder="1"/>
    <xf numFmtId="8" fontId="19" fillId="0" borderId="20" xfId="1" applyNumberFormat="1" applyFont="1" applyFill="1" applyBorder="1"/>
    <xf numFmtId="0" fontId="0" fillId="0" borderId="17" xfId="1" applyFont="1" applyFill="1" applyBorder="1"/>
    <xf numFmtId="8" fontId="0" fillId="5" borderId="16" xfId="1" applyNumberFormat="1" applyFont="1" applyFill="1" applyBorder="1"/>
    <xf numFmtId="8" fontId="0" fillId="5" borderId="0" xfId="1" applyNumberFormat="1" applyFont="1" applyFill="1" applyBorder="1"/>
    <xf numFmtId="8" fontId="0" fillId="5" borderId="17" xfId="1" applyNumberFormat="1" applyFont="1" applyFill="1" applyBorder="1"/>
    <xf numFmtId="7" fontId="0" fillId="0" borderId="17" xfId="1" applyNumberFormat="1" applyFont="1" applyFill="1" applyBorder="1"/>
    <xf numFmtId="170" fontId="2" fillId="0" borderId="17" xfId="18" applyNumberFormat="1" applyFont="1" applyFill="1" applyBorder="1"/>
    <xf numFmtId="39" fontId="0" fillId="0" borderId="0" xfId="1" applyNumberFormat="1" applyFont="1" applyFill="1" applyBorder="1"/>
    <xf numFmtId="6" fontId="0" fillId="5" borderId="16" xfId="1" applyNumberFormat="1" applyFont="1" applyFill="1" applyBorder="1"/>
    <xf numFmtId="6" fontId="0" fillId="5" borderId="0" xfId="1" applyNumberFormat="1" applyFont="1" applyFill="1" applyBorder="1"/>
    <xf numFmtId="6" fontId="0" fillId="5" borderId="17" xfId="1" applyNumberFormat="1" applyFont="1" applyFill="1" applyBorder="1"/>
    <xf numFmtId="6" fontId="2" fillId="0" borderId="0" xfId="20" applyNumberFormat="1" applyFont="1" applyFill="1" applyBorder="1"/>
    <xf numFmtId="6" fontId="31" fillId="0" borderId="17" xfId="20" applyNumberFormat="1" applyFont="1" applyFill="1" applyBorder="1"/>
    <xf numFmtId="39" fontId="0" fillId="5" borderId="16" xfId="1" applyNumberFormat="1" applyFont="1" applyFill="1" applyBorder="1"/>
    <xf numFmtId="39" fontId="0" fillId="5" borderId="0" xfId="1" applyNumberFormat="1" applyFont="1" applyFill="1" applyBorder="1"/>
    <xf numFmtId="39" fontId="0" fillId="5" borderId="17" xfId="1" applyNumberFormat="1" applyFont="1" applyFill="1" applyBorder="1"/>
    <xf numFmtId="5" fontId="0" fillId="5" borderId="16" xfId="1" applyNumberFormat="1" applyFont="1" applyFill="1" applyBorder="1"/>
    <xf numFmtId="5" fontId="0" fillId="5" borderId="0" xfId="1" applyNumberFormat="1" applyFont="1" applyFill="1" applyBorder="1"/>
    <xf numFmtId="5" fontId="0" fillId="5" borderId="17" xfId="1" applyNumberFormat="1" applyFont="1" applyFill="1" applyBorder="1"/>
    <xf numFmtId="5" fontId="0" fillId="0" borderId="0" xfId="1" applyNumberFormat="1" applyFont="1" applyFill="1" applyBorder="1"/>
    <xf numFmtId="7" fontId="16" fillId="0" borderId="32" xfId="1" applyNumberFormat="1" applyFont="1" applyFill="1" applyBorder="1"/>
    <xf numFmtId="5" fontId="0" fillId="0" borderId="17" xfId="1" applyNumberFormat="1" applyFont="1" applyFill="1" applyBorder="1"/>
    <xf numFmtId="170" fontId="38" fillId="4" borderId="0" xfId="18" applyNumberFormat="1" applyFont="1" applyFill="1"/>
    <xf numFmtId="0" fontId="4" fillId="0" borderId="0" xfId="1" applyFont="1" applyFill="1" applyAlignment="1">
      <alignment horizontal="center"/>
    </xf>
    <xf numFmtId="0" fontId="4" fillId="0" borderId="0" xfId="1" applyFont="1" applyAlignment="1">
      <alignment horizontal="center"/>
    </xf>
    <xf numFmtId="0" fontId="4" fillId="5" borderId="17" xfId="1" applyFont="1" applyFill="1" applyBorder="1"/>
    <xf numFmtId="0" fontId="32" fillId="0" borderId="0" xfId="1" applyFont="1" applyFill="1" applyBorder="1"/>
    <xf numFmtId="37" fontId="4" fillId="5" borderId="17" xfId="1" applyNumberFormat="1" applyFont="1" applyFill="1" applyBorder="1"/>
    <xf numFmtId="9" fontId="2" fillId="0" borderId="0" xfId="18" applyNumberFormat="1" applyFont="1" applyFill="1" applyBorder="1"/>
    <xf numFmtId="0" fontId="17" fillId="0" borderId="0" xfId="1" applyFont="1" applyAlignment="1">
      <alignment horizontal="center"/>
    </xf>
    <xf numFmtId="8" fontId="16" fillId="0" borderId="32" xfId="1" applyNumberFormat="1" applyFont="1" applyFill="1" applyBorder="1"/>
    <xf numFmtId="9" fontId="16" fillId="0" borderId="32" xfId="1" applyNumberFormat="1" applyFont="1" applyFill="1" applyBorder="1"/>
    <xf numFmtId="0" fontId="90" fillId="0" borderId="0" xfId="1" applyFont="1" applyFill="1" applyBorder="1"/>
    <xf numFmtId="37" fontId="17" fillId="5" borderId="17" xfId="1" applyNumberFormat="1" applyFont="1" applyFill="1" applyBorder="1"/>
    <xf numFmtId="37" fontId="2" fillId="5" borderId="16" xfId="18" applyNumberFormat="1" applyFont="1" applyFill="1" applyBorder="1"/>
    <xf numFmtId="37" fontId="2" fillId="5" borderId="0" xfId="18" applyNumberFormat="1" applyFont="1" applyFill="1" applyBorder="1"/>
    <xf numFmtId="37" fontId="2" fillId="5" borderId="17" xfId="18" applyNumberFormat="1" applyFont="1" applyFill="1" applyBorder="1"/>
    <xf numFmtId="37" fontId="17" fillId="5" borderId="16" xfId="18" applyNumberFormat="1" applyFont="1" applyFill="1" applyBorder="1"/>
    <xf numFmtId="37" fontId="17" fillId="5" borderId="0" xfId="18" applyNumberFormat="1" applyFont="1" applyFill="1" applyBorder="1"/>
    <xf numFmtId="37" fontId="17" fillId="5" borderId="17" xfId="18" applyNumberFormat="1" applyFont="1" applyFill="1" applyBorder="1"/>
    <xf numFmtId="8" fontId="4" fillId="0" borderId="32" xfId="1" applyNumberFormat="1" applyFont="1" applyFill="1" applyBorder="1"/>
    <xf numFmtId="8" fontId="0" fillId="0" borderId="0" xfId="1" applyNumberFormat="1" applyFont="1" applyFill="1" applyBorder="1"/>
    <xf numFmtId="0" fontId="2" fillId="0" borderId="0" xfId="1" applyFont="1" applyFill="1" applyBorder="1" applyAlignment="1">
      <alignment horizontal="center"/>
    </xf>
    <xf numFmtId="0" fontId="2" fillId="0" borderId="0" xfId="1" applyFont="1" applyBorder="1" applyAlignment="1">
      <alignment horizontal="center"/>
    </xf>
    <xf numFmtId="170" fontId="16" fillId="0" borderId="32" xfId="18" applyNumberFormat="1" applyFont="1" applyFill="1" applyBorder="1"/>
    <xf numFmtId="6" fontId="0" fillId="0" borderId="0" xfId="1" applyNumberFormat="1" applyFont="1" applyFill="1" applyBorder="1"/>
    <xf numFmtId="6" fontId="16" fillId="0" borderId="32" xfId="18" applyNumberFormat="1" applyFont="1" applyFill="1" applyBorder="1"/>
    <xf numFmtId="37" fontId="0" fillId="5" borderId="16" xfId="1" applyNumberFormat="1" applyFont="1" applyFill="1" applyBorder="1"/>
    <xf numFmtId="37" fontId="0" fillId="5" borderId="0" xfId="1" applyNumberFormat="1" applyFont="1" applyFill="1" applyBorder="1"/>
    <xf numFmtId="37" fontId="0" fillId="5" borderId="17" xfId="1" applyNumberFormat="1" applyFont="1" applyFill="1" applyBorder="1"/>
    <xf numFmtId="8" fontId="2" fillId="0" borderId="0" xfId="1" applyNumberFormat="1" applyFont="1" applyFill="1"/>
    <xf numFmtId="170" fontId="4" fillId="0" borderId="0" xfId="18" applyNumberFormat="1" applyFont="1" applyFill="1"/>
    <xf numFmtId="3" fontId="18" fillId="0" borderId="0" xfId="1" applyNumberFormat="1" applyFont="1" applyFill="1"/>
    <xf numFmtId="39" fontId="0" fillId="0" borderId="17" xfId="1" applyNumberFormat="1" applyFont="1" applyFill="1" applyBorder="1"/>
    <xf numFmtId="5" fontId="2" fillId="0" borderId="17" xfId="1" applyNumberFormat="1" applyFont="1" applyFill="1" applyBorder="1"/>
    <xf numFmtId="37" fontId="4" fillId="5" borderId="16" xfId="18" applyNumberFormat="1" applyFont="1" applyFill="1" applyBorder="1"/>
    <xf numFmtId="37" fontId="4" fillId="5" borderId="0" xfId="18" applyNumberFormat="1" applyFont="1" applyFill="1" applyBorder="1"/>
    <xf numFmtId="37" fontId="4" fillId="5" borderId="17" xfId="18" applyNumberFormat="1" applyFont="1" applyFill="1" applyBorder="1"/>
    <xf numFmtId="5" fontId="4" fillId="5" borderId="16" xfId="18" applyNumberFormat="1" applyFont="1" applyFill="1" applyBorder="1"/>
    <xf numFmtId="5" fontId="4" fillId="5" borderId="0" xfId="18" applyNumberFormat="1" applyFont="1" applyFill="1" applyBorder="1"/>
    <xf numFmtId="5" fontId="4" fillId="0" borderId="0" xfId="18" applyNumberFormat="1" applyFont="1" applyFill="1" applyBorder="1"/>
    <xf numFmtId="5" fontId="4" fillId="5" borderId="16" xfId="1" applyNumberFormat="1" applyFont="1" applyFill="1" applyBorder="1"/>
    <xf numFmtId="5" fontId="4" fillId="5" borderId="0" xfId="1" applyNumberFormat="1" applyFont="1" applyFill="1" applyBorder="1"/>
    <xf numFmtId="5" fontId="4" fillId="5" borderId="17" xfId="1" applyNumberFormat="1" applyFont="1" applyFill="1" applyBorder="1"/>
    <xf numFmtId="4" fontId="17" fillId="5" borderId="16" xfId="1" applyNumberFormat="1" applyFont="1" applyFill="1" applyBorder="1"/>
    <xf numFmtId="4" fontId="17" fillId="5" borderId="0" xfId="1" applyNumberFormat="1" applyFont="1" applyFill="1" applyBorder="1"/>
    <xf numFmtId="4" fontId="17" fillId="5" borderId="17" xfId="1" applyNumberFormat="1" applyFont="1" applyFill="1" applyBorder="1"/>
    <xf numFmtId="6" fontId="31" fillId="5" borderId="16" xfId="1" applyNumberFormat="1" applyFont="1" applyFill="1" applyBorder="1"/>
    <xf numFmtId="6" fontId="31" fillId="5" borderId="0" xfId="1" applyNumberFormat="1" applyFont="1" applyFill="1" applyBorder="1"/>
    <xf numFmtId="6" fontId="31" fillId="5" borderId="17" xfId="1" applyNumberFormat="1" applyFont="1" applyFill="1" applyBorder="1"/>
    <xf numFmtId="6" fontId="4" fillId="0" borderId="0" xfId="18" applyNumberFormat="1" applyFont="1" applyFill="1" applyBorder="1"/>
    <xf numFmtId="37" fontId="19" fillId="0" borderId="0" xfId="18" applyNumberFormat="1" applyFont="1" applyFill="1" applyBorder="1"/>
    <xf numFmtId="37" fontId="16" fillId="5" borderId="17" xfId="1" applyNumberFormat="1" applyFont="1" applyFill="1" applyBorder="1"/>
    <xf numFmtId="0" fontId="19" fillId="0" borderId="0" xfId="1" applyFont="1"/>
    <xf numFmtId="9" fontId="19" fillId="0" borderId="32" xfId="18" applyNumberFormat="1" applyFont="1" applyFill="1" applyBorder="1"/>
    <xf numFmtId="9" fontId="2" fillId="0" borderId="0" xfId="1" applyNumberFormat="1" applyFont="1" applyFill="1" applyBorder="1"/>
    <xf numFmtId="170" fontId="27" fillId="5" borderId="17" xfId="18" applyNumberFormat="1" applyFont="1" applyFill="1" applyBorder="1"/>
    <xf numFmtId="8" fontId="27" fillId="0" borderId="0" xfId="18" applyNumberFormat="1" applyFont="1" applyFill="1" applyBorder="1"/>
    <xf numFmtId="170" fontId="91" fillId="5" borderId="16" xfId="1" applyNumberFormat="1" applyFont="1" applyFill="1" applyBorder="1"/>
    <xf numFmtId="170" fontId="91" fillId="5" borderId="0" xfId="1" applyNumberFormat="1" applyFont="1" applyFill="1" applyBorder="1"/>
    <xf numFmtId="170" fontId="91" fillId="5" borderId="17" xfId="1" applyNumberFormat="1" applyFont="1" applyFill="1" applyBorder="1"/>
    <xf numFmtId="170" fontId="91" fillId="0" borderId="0" xfId="1" applyNumberFormat="1" applyFont="1" applyFill="1" applyBorder="1"/>
    <xf numFmtId="170" fontId="77" fillId="0" borderId="0" xfId="1" applyNumberFormat="1" applyFont="1" applyFill="1" applyBorder="1"/>
    <xf numFmtId="8" fontId="77" fillId="0" borderId="0" xfId="18" applyNumberFormat="1" applyFont="1" applyFill="1" applyBorder="1"/>
    <xf numFmtId="43" fontId="4" fillId="0" borderId="0" xfId="1" applyNumberFormat="1" applyFont="1" applyFill="1"/>
    <xf numFmtId="43" fontId="17" fillId="0" borderId="0" xfId="1" applyNumberFormat="1" applyFont="1" applyFill="1"/>
    <xf numFmtId="0" fontId="17" fillId="0" borderId="13" xfId="1" applyFont="1" applyBorder="1"/>
    <xf numFmtId="0" fontId="17" fillId="0" borderId="14" xfId="1" applyFont="1" applyBorder="1"/>
    <xf numFmtId="0" fontId="4" fillId="0" borderId="16" xfId="1" applyFont="1" applyBorder="1"/>
    <xf numFmtId="8" fontId="31" fillId="0" borderId="0" xfId="1" applyNumberFormat="1" applyFont="1" applyBorder="1"/>
    <xf numFmtId="8" fontId="0" fillId="0" borderId="0" xfId="1" applyNumberFormat="1" applyFont="1" applyBorder="1"/>
    <xf numFmtId="7" fontId="17" fillId="0" borderId="19" xfId="1" applyNumberFormat="1" applyFont="1" applyBorder="1"/>
    <xf numFmtId="170" fontId="15" fillId="5" borderId="0" xfId="18" applyNumberFormat="1" applyFont="1" applyFill="1" applyBorder="1"/>
    <xf numFmtId="9" fontId="16" fillId="0" borderId="0" xfId="18" applyNumberFormat="1" applyFont="1" applyFill="1" applyBorder="1"/>
    <xf numFmtId="9" fontId="4" fillId="5" borderId="17" xfId="18" applyNumberFormat="1" applyFont="1" applyFill="1" applyBorder="1"/>
    <xf numFmtId="9" fontId="4" fillId="5" borderId="16" xfId="18" applyNumberFormat="1" applyFont="1" applyFill="1" applyBorder="1"/>
    <xf numFmtId="9" fontId="4" fillId="5" borderId="0" xfId="18" applyNumberFormat="1" applyFont="1" applyFill="1" applyBorder="1"/>
    <xf numFmtId="0" fontId="2" fillId="0" borderId="0" xfId="41" applyNumberFormat="1" applyFont="1" applyFill="1" applyAlignment="1">
      <alignment horizontal="left"/>
    </xf>
    <xf numFmtId="43" fontId="18" fillId="5" borderId="17" xfId="18" applyFont="1" applyFill="1" applyBorder="1"/>
    <xf numFmtId="43" fontId="18" fillId="0" borderId="0" xfId="18" applyFont="1" applyFill="1" applyBorder="1"/>
    <xf numFmtId="43" fontId="18" fillId="5" borderId="16" xfId="18" applyFont="1" applyFill="1" applyBorder="1"/>
    <xf numFmtId="43" fontId="18" fillId="5" borderId="0" xfId="18" applyFont="1" applyFill="1" applyBorder="1"/>
    <xf numFmtId="169" fontId="0" fillId="5" borderId="16" xfId="44" applyNumberFormat="1" applyFont="1" applyFill="1" applyBorder="1" applyAlignment="1">
      <alignment horizontal="right"/>
    </xf>
    <xf numFmtId="0" fontId="31" fillId="0" borderId="0" xfId="33" applyFont="1"/>
    <xf numFmtId="8" fontId="27" fillId="0" borderId="0" xfId="18" applyNumberFormat="1" applyFont="1" applyBorder="1"/>
    <xf numFmtId="8" fontId="27" fillId="5" borderId="16" xfId="18" applyNumberFormat="1" applyFont="1" applyFill="1" applyBorder="1"/>
    <xf numFmtId="8" fontId="27" fillId="5" borderId="0" xfId="18" applyNumberFormat="1" applyFont="1" applyFill="1" applyBorder="1"/>
    <xf numFmtId="8" fontId="27" fillId="5" borderId="17" xfId="18" applyNumberFormat="1" applyFont="1" applyFill="1" applyBorder="1"/>
    <xf numFmtId="7" fontId="4" fillId="0" borderId="0" xfId="44" applyNumberFormat="1" applyFont="1" applyFill="1"/>
    <xf numFmtId="7" fontId="4" fillId="0" borderId="0" xfId="44" applyNumberFormat="1" applyFont="1" applyFill="1" applyBorder="1"/>
    <xf numFmtId="7" fontId="4" fillId="5" borderId="16" xfId="44" applyNumberFormat="1" applyFont="1" applyFill="1" applyBorder="1"/>
    <xf numFmtId="7" fontId="4" fillId="5" borderId="0" xfId="44" applyNumberFormat="1" applyFont="1" applyFill="1" applyBorder="1"/>
    <xf numFmtId="7" fontId="4" fillId="5" borderId="17" xfId="44" applyNumberFormat="1" applyFont="1" applyFill="1" applyBorder="1"/>
    <xf numFmtId="7" fontId="27" fillId="0" borderId="0" xfId="18" applyNumberFormat="1" applyFont="1" applyBorder="1"/>
    <xf numFmtId="7" fontId="27" fillId="5" borderId="16" xfId="18" applyNumberFormat="1" applyFont="1" applyFill="1" applyBorder="1"/>
    <xf numFmtId="7" fontId="27" fillId="5" borderId="0" xfId="18" applyNumberFormat="1" applyFont="1" applyFill="1" applyBorder="1"/>
    <xf numFmtId="7" fontId="27" fillId="5" borderId="17" xfId="18" applyNumberFormat="1" applyFont="1" applyFill="1" applyBorder="1"/>
    <xf numFmtId="7" fontId="4" fillId="0" borderId="0" xfId="44" applyNumberFormat="1" applyFont="1"/>
    <xf numFmtId="7" fontId="0" fillId="0" borderId="0" xfId="44" applyNumberFormat="1" applyFont="1"/>
    <xf numFmtId="7" fontId="4" fillId="5" borderId="16" xfId="18" applyNumberFormat="1" applyFont="1" applyFill="1" applyBorder="1"/>
    <xf numFmtId="38" fontId="4" fillId="0" borderId="0" xfId="19" applyNumberFormat="1" applyFont="1" applyBorder="1" applyAlignment="1"/>
    <xf numFmtId="0" fontId="92" fillId="0" borderId="0" xfId="41" applyFont="1" applyFill="1"/>
    <xf numFmtId="170" fontId="4" fillId="0" borderId="0" xfId="41" applyNumberFormat="1" applyFont="1" applyFill="1" applyAlignment="1">
      <alignment horizontal="right"/>
    </xf>
    <xf numFmtId="170" fontId="4" fillId="0" borderId="0" xfId="41" applyNumberFormat="1" applyFont="1" applyFill="1" applyAlignment="1">
      <alignment horizontal="left"/>
    </xf>
    <xf numFmtId="14" fontId="4" fillId="0" borderId="0" xfId="41" applyNumberFormat="1" applyFont="1" applyFill="1" applyAlignment="1">
      <alignment horizontal="right" indent="1"/>
    </xf>
    <xf numFmtId="0" fontId="4" fillId="0" borderId="0" xfId="41" applyNumberFormat="1" applyFont="1" applyFill="1" applyAlignment="1">
      <alignment horizontal="right"/>
    </xf>
    <xf numFmtId="2" fontId="4" fillId="0" borderId="17" xfId="41" applyNumberFormat="1" applyFont="1" applyFill="1" applyBorder="1" applyAlignment="1"/>
    <xf numFmtId="170" fontId="4" fillId="0" borderId="17" xfId="1" applyNumberFormat="1" applyFont="1" applyBorder="1"/>
    <xf numFmtId="166" fontId="56" fillId="4" borderId="0" xfId="1" applyNumberFormat="1" applyFont="1" applyFill="1" applyAlignment="1">
      <alignment horizontal="right"/>
    </xf>
    <xf numFmtId="9" fontId="31" fillId="0" borderId="0" xfId="44" applyFont="1" applyFill="1" applyBorder="1"/>
    <xf numFmtId="8" fontId="4" fillId="0" borderId="0" xfId="18" applyNumberFormat="1" applyFont="1" applyBorder="1"/>
    <xf numFmtId="0" fontId="2" fillId="0" borderId="0" xfId="33" applyFont="1" applyFill="1"/>
    <xf numFmtId="0" fontId="4" fillId="0" borderId="16" xfId="1" applyFont="1" applyFill="1" applyBorder="1"/>
    <xf numFmtId="0" fontId="17" fillId="0" borderId="16" xfId="1" applyFont="1" applyBorder="1"/>
    <xf numFmtId="0" fontId="0" fillId="0" borderId="16" xfId="1" applyFont="1" applyBorder="1"/>
    <xf numFmtId="8" fontId="2" fillId="0" borderId="0" xfId="1" applyNumberFormat="1" applyFont="1" applyBorder="1"/>
    <xf numFmtId="7" fontId="16" fillId="0" borderId="0" xfId="1" applyNumberFormat="1" applyFont="1" applyBorder="1"/>
    <xf numFmtId="0" fontId="17" fillId="0" borderId="16" xfId="1" applyFont="1" applyFill="1" applyBorder="1"/>
    <xf numFmtId="8" fontId="0" fillId="0" borderId="0" xfId="1" applyNumberFormat="1" applyFont="1" applyFill="1"/>
    <xf numFmtId="178" fontId="4" fillId="5" borderId="0" xfId="18" applyNumberFormat="1" applyFont="1" applyFill="1" applyBorder="1"/>
    <xf numFmtId="178" fontId="4" fillId="0" borderId="0" xfId="18" applyNumberFormat="1" applyFont="1" applyFill="1" applyBorder="1"/>
    <xf numFmtId="178" fontId="16" fillId="0" borderId="0" xfId="18" applyNumberFormat="1" applyFont="1" applyFill="1" applyBorder="1"/>
    <xf numFmtId="10" fontId="0" fillId="0" borderId="0" xfId="1" applyNumberFormat="1" applyFont="1" applyFill="1" applyBorder="1"/>
    <xf numFmtId="178" fontId="4" fillId="5" borderId="16" xfId="18" applyNumberFormat="1" applyFont="1" applyFill="1" applyBorder="1"/>
    <xf numFmtId="178" fontId="4" fillId="5" borderId="17" xfId="18" applyNumberFormat="1" applyFont="1" applyFill="1" applyBorder="1"/>
    <xf numFmtId="178" fontId="4" fillId="0" borderId="13" xfId="1" applyNumberFormat="1" applyFont="1" applyFill="1" applyBorder="1"/>
    <xf numFmtId="178" fontId="4" fillId="5" borderId="13" xfId="18" applyNumberFormat="1" applyFont="1" applyFill="1" applyBorder="1"/>
    <xf numFmtId="178" fontId="4" fillId="0" borderId="13" xfId="18" applyNumberFormat="1" applyFont="1" applyFill="1" applyBorder="1"/>
    <xf numFmtId="178" fontId="16" fillId="0" borderId="13" xfId="18" applyNumberFormat="1" applyFont="1" applyFill="1" applyBorder="1"/>
    <xf numFmtId="9" fontId="19" fillId="0" borderId="32" xfId="1" applyNumberFormat="1" applyFont="1" applyFill="1" applyBorder="1" applyAlignment="1">
      <alignment horizontal="center"/>
    </xf>
    <xf numFmtId="10" fontId="0" fillId="0" borderId="0" xfId="1" applyNumberFormat="1" applyFont="1"/>
    <xf numFmtId="169" fontId="16" fillId="5" borderId="16" xfId="44" applyNumberFormat="1" applyFont="1" applyFill="1" applyBorder="1"/>
    <xf numFmtId="0" fontId="0" fillId="0" borderId="0" xfId="44" applyNumberFormat="1" applyFont="1"/>
    <xf numFmtId="0" fontId="4" fillId="0" borderId="0" xfId="1" applyNumberFormat="1" applyFont="1" applyFill="1" applyBorder="1"/>
    <xf numFmtId="0" fontId="35" fillId="4" borderId="0" xfId="1" applyNumberFormat="1" applyFont="1" applyFill="1"/>
    <xf numFmtId="0" fontId="49" fillId="4" borderId="0" xfId="1" applyNumberFormat="1" applyFont="1" applyFill="1"/>
    <xf numFmtId="0" fontId="11" fillId="4" borderId="0" xfId="1" applyNumberFormat="1" applyFont="1" applyFill="1"/>
    <xf numFmtId="0" fontId="17" fillId="0" borderId="15" xfId="1" applyNumberFormat="1" applyFont="1" applyFill="1" applyBorder="1"/>
    <xf numFmtId="0" fontId="0" fillId="0" borderId="0" xfId="1" applyNumberFormat="1" applyFont="1" applyFill="1" applyBorder="1"/>
    <xf numFmtId="0" fontId="20" fillId="4" borderId="0" xfId="1" applyNumberFormat="1" applyFont="1" applyFill="1" applyBorder="1"/>
    <xf numFmtId="0" fontId="17" fillId="0" borderId="0" xfId="1" applyNumberFormat="1" applyFont="1" applyFill="1" applyBorder="1"/>
    <xf numFmtId="0" fontId="2" fillId="0" borderId="0" xfId="1" applyNumberFormat="1" applyFont="1" applyFill="1" applyBorder="1"/>
    <xf numFmtId="0" fontId="19" fillId="0" borderId="0" xfId="1" applyNumberFormat="1" applyFont="1" applyFill="1" applyBorder="1"/>
    <xf numFmtId="0" fontId="17" fillId="0" borderId="3" xfId="1" applyNumberFormat="1" applyFont="1" applyFill="1" applyBorder="1"/>
    <xf numFmtId="0" fontId="19" fillId="0" borderId="0" xfId="18" applyNumberFormat="1" applyFont="1" applyFill="1" applyBorder="1"/>
    <xf numFmtId="0" fontId="18" fillId="0" borderId="0" xfId="44" applyNumberFormat="1" applyFont="1" applyFill="1" applyBorder="1"/>
    <xf numFmtId="0" fontId="4" fillId="0" borderId="0" xfId="44" applyNumberFormat="1" applyFont="1" applyFill="1" applyBorder="1"/>
    <xf numFmtId="0" fontId="20" fillId="4" borderId="19" xfId="1" applyNumberFormat="1" applyFont="1" applyFill="1" applyBorder="1"/>
    <xf numFmtId="0" fontId="18" fillId="0" borderId="0" xfId="1" applyNumberFormat="1" applyFont="1" applyFill="1" applyBorder="1"/>
    <xf numFmtId="0" fontId="17" fillId="0" borderId="0" xfId="44" applyNumberFormat="1" applyFont="1"/>
    <xf numFmtId="0" fontId="13" fillId="4" borderId="0" xfId="1" applyNumberFormat="1" applyFont="1" applyFill="1"/>
    <xf numFmtId="0" fontId="17" fillId="0" borderId="0" xfId="19" applyNumberFormat="1" applyFont="1"/>
    <xf numFmtId="0" fontId="4" fillId="0" borderId="0" xfId="19" applyNumberFormat="1" applyFont="1"/>
    <xf numFmtId="0" fontId="20" fillId="4" borderId="0" xfId="1" applyNumberFormat="1" applyFont="1" applyFill="1"/>
    <xf numFmtId="0" fontId="18" fillId="0" borderId="0" xfId="44" applyNumberFormat="1" applyFont="1"/>
    <xf numFmtId="0" fontId="18" fillId="0" borderId="0" xfId="44" applyNumberFormat="1" applyFont="1" applyBorder="1"/>
    <xf numFmtId="0" fontId="4" fillId="0" borderId="0" xfId="19" applyNumberFormat="1" applyFont="1" applyBorder="1"/>
    <xf numFmtId="0" fontId="17" fillId="0" borderId="0" xfId="1" applyNumberFormat="1" applyFont="1" applyAlignment="1">
      <alignment horizontal="left"/>
    </xf>
    <xf numFmtId="0" fontId="0" fillId="0" borderId="0" xfId="1" applyNumberFormat="1" applyFont="1"/>
    <xf numFmtId="0" fontId="4" fillId="0" borderId="12" xfId="19" applyNumberFormat="1" applyFont="1" applyBorder="1" applyAlignment="1">
      <alignment horizontal="left"/>
    </xf>
    <xf numFmtId="0" fontId="4" fillId="0" borderId="16" xfId="19" applyNumberFormat="1" applyFont="1" applyBorder="1" applyAlignment="1">
      <alignment horizontal="left"/>
    </xf>
    <xf numFmtId="169" fontId="4" fillId="0" borderId="19" xfId="44" applyNumberFormat="1" applyFont="1" applyFill="1" applyBorder="1"/>
    <xf numFmtId="0" fontId="4" fillId="0" borderId="16" xfId="19" applyNumberFormat="1" applyFont="1" applyBorder="1"/>
    <xf numFmtId="0" fontId="4" fillId="0" borderId="18" xfId="19" applyNumberFormat="1" applyFont="1" applyBorder="1"/>
    <xf numFmtId="178" fontId="4" fillId="5" borderId="14" xfId="18" applyNumberFormat="1" applyFont="1" applyFill="1" applyBorder="1"/>
    <xf numFmtId="178" fontId="4" fillId="5" borderId="12" xfId="18" applyNumberFormat="1" applyFont="1" applyFill="1" applyBorder="1"/>
    <xf numFmtId="170" fontId="18" fillId="0" borderId="0" xfId="44" applyNumberFormat="1" applyFont="1" applyFill="1"/>
    <xf numFmtId="170" fontId="18" fillId="0" borderId="0" xfId="18" applyNumberFormat="1" applyFont="1" applyFill="1" applyBorder="1"/>
    <xf numFmtId="0" fontId="18" fillId="0" borderId="0" xfId="1" applyNumberFormat="1" applyFont="1" applyAlignment="1">
      <alignment horizontal="left"/>
    </xf>
    <xf numFmtId="170" fontId="18" fillId="5" borderId="16" xfId="44" applyNumberFormat="1" applyFont="1" applyFill="1" applyBorder="1"/>
    <xf numFmtId="170" fontId="18" fillId="5" borderId="0" xfId="44" applyNumberFormat="1" applyFont="1" applyFill="1" applyBorder="1"/>
    <xf numFmtId="170" fontId="18" fillId="5" borderId="17" xfId="44" applyNumberFormat="1" applyFont="1" applyFill="1" applyBorder="1"/>
    <xf numFmtId="170" fontId="18" fillId="0" borderId="0" xfId="44" applyNumberFormat="1" applyFont="1" applyFill="1" applyBorder="1"/>
    <xf numFmtId="0" fontId="0" fillId="0" borderId="19" xfId="1" applyFont="1" applyBorder="1"/>
    <xf numFmtId="0" fontId="17" fillId="6" borderId="15" xfId="1" applyNumberFormat="1" applyFont="1" applyFill="1" applyBorder="1"/>
    <xf numFmtId="0" fontId="10" fillId="4" borderId="0" xfId="1" applyNumberFormat="1" applyFont="1" applyFill="1" applyBorder="1"/>
    <xf numFmtId="0" fontId="47" fillId="0" borderId="0" xfId="1" applyNumberFormat="1" applyFont="1" applyFill="1" applyBorder="1"/>
    <xf numFmtId="0" fontId="80" fillId="0" borderId="0" xfId="1" applyNumberFormat="1" applyFont="1" applyFill="1" applyBorder="1"/>
    <xf numFmtId="0" fontId="2" fillId="0" borderId="13" xfId="1" applyNumberFormat="1" applyFont="1" applyFill="1" applyBorder="1"/>
    <xf numFmtId="0" fontId="4" fillId="0" borderId="0" xfId="1" applyNumberFormat="1" applyFont="1" applyFill="1"/>
    <xf numFmtId="0" fontId="4" fillId="0" borderId="0" xfId="19" applyNumberFormat="1" applyFont="1" applyFill="1" applyBorder="1"/>
    <xf numFmtId="0" fontId="18" fillId="0" borderId="0" xfId="19" applyNumberFormat="1" applyFont="1" applyBorder="1"/>
    <xf numFmtId="0" fontId="2" fillId="0" borderId="0" xfId="44" applyNumberFormat="1" applyFont="1" applyFill="1" applyBorder="1"/>
    <xf numFmtId="0" fontId="4" fillId="0" borderId="0" xfId="1" applyNumberFormat="1" applyFont="1"/>
    <xf numFmtId="0" fontId="17" fillId="0" borderId="0" xfId="44" applyNumberFormat="1" applyFont="1" applyFill="1" applyBorder="1"/>
    <xf numFmtId="0" fontId="4" fillId="0" borderId="0" xfId="44" applyNumberFormat="1" applyFont="1"/>
    <xf numFmtId="0" fontId="0" fillId="4" borderId="0" xfId="1" applyNumberFormat="1" applyFont="1" applyFill="1" applyAlignment="1">
      <alignment horizontal="right" indent="8"/>
    </xf>
    <xf numFmtId="0" fontId="17" fillId="0" borderId="0" xfId="1" applyNumberFormat="1" applyFont="1"/>
    <xf numFmtId="0" fontId="64" fillId="0" borderId="0" xfId="41" applyFont="1" applyFill="1" applyBorder="1"/>
    <xf numFmtId="0" fontId="17" fillId="0" borderId="0" xfId="41" applyNumberFormat="1" applyFont="1" applyFill="1" applyBorder="1" applyAlignment="1">
      <alignment horizontal="left"/>
    </xf>
    <xf numFmtId="170" fontId="29" fillId="0" borderId="0" xfId="18" applyNumberFormat="1" applyFont="1" applyFill="1" applyBorder="1"/>
    <xf numFmtId="0" fontId="17" fillId="0" borderId="0" xfId="18" applyNumberFormat="1" applyFont="1" applyFill="1" applyBorder="1"/>
    <xf numFmtId="0" fontId="11" fillId="4" borderId="0" xfId="1" applyNumberFormat="1" applyFont="1" applyFill="1" applyBorder="1"/>
    <xf numFmtId="0" fontId="13" fillId="4" borderId="0" xfId="1" applyNumberFormat="1" applyFont="1" applyFill="1" applyBorder="1"/>
    <xf numFmtId="0" fontId="47" fillId="0" borderId="3" xfId="1" applyNumberFormat="1" applyFont="1" applyFill="1" applyBorder="1"/>
    <xf numFmtId="0" fontId="80" fillId="0" borderId="0" xfId="18" applyNumberFormat="1" applyFont="1" applyFill="1" applyBorder="1"/>
    <xf numFmtId="0" fontId="20" fillId="4" borderId="4" xfId="1" applyNumberFormat="1" applyFont="1" applyFill="1" applyBorder="1"/>
    <xf numFmtId="0" fontId="4" fillId="0" borderId="12" xfId="1" applyNumberFormat="1" applyFont="1" applyFill="1" applyBorder="1"/>
    <xf numFmtId="0" fontId="88" fillId="0" borderId="16" xfId="19" applyNumberFormat="1" applyFont="1" applyBorder="1"/>
    <xf numFmtId="0" fontId="4" fillId="0" borderId="16" xfId="1" applyNumberFormat="1" applyFont="1" applyFill="1" applyBorder="1"/>
    <xf numFmtId="0" fontId="0" fillId="0" borderId="16" xfId="1" applyNumberFormat="1" applyFont="1" applyFill="1" applyBorder="1"/>
    <xf numFmtId="0" fontId="0" fillId="4" borderId="0" xfId="1" applyNumberFormat="1" applyFont="1" applyFill="1" applyBorder="1"/>
    <xf numFmtId="0" fontId="17" fillId="0" borderId="0" xfId="19" applyNumberFormat="1" applyFont="1" applyBorder="1"/>
    <xf numFmtId="0" fontId="47" fillId="0" borderId="0" xfId="19" applyNumberFormat="1" applyFont="1" applyBorder="1"/>
    <xf numFmtId="0" fontId="56" fillId="4" borderId="0" xfId="1" applyNumberFormat="1" applyFont="1" applyFill="1"/>
    <xf numFmtId="0" fontId="88" fillId="0" borderId="0" xfId="1" applyNumberFormat="1" applyFont="1" applyFill="1" applyBorder="1"/>
    <xf numFmtId="0" fontId="77" fillId="0" borderId="0" xfId="1" applyNumberFormat="1" applyFont="1" applyFill="1" applyBorder="1"/>
    <xf numFmtId="0" fontId="82" fillId="0" borderId="0" xfId="1" applyNumberFormat="1" applyFont="1" applyFill="1" applyBorder="1"/>
    <xf numFmtId="0" fontId="89" fillId="0" borderId="0" xfId="19" applyNumberFormat="1" applyFont="1" applyBorder="1"/>
    <xf numFmtId="0" fontId="88" fillId="0" borderId="0" xfId="19" applyNumberFormat="1" applyFont="1" applyBorder="1"/>
    <xf numFmtId="9" fontId="19" fillId="0" borderId="0" xfId="1" applyNumberFormat="1" applyFont="1" applyBorder="1"/>
    <xf numFmtId="169" fontId="0" fillId="0" borderId="0" xfId="18" applyNumberFormat="1" applyFont="1" applyBorder="1"/>
    <xf numFmtId="9" fontId="4" fillId="0" borderId="0" xfId="44" applyNumberFormat="1" applyFont="1" applyFill="1" applyBorder="1"/>
    <xf numFmtId="0" fontId="12" fillId="0" borderId="0" xfId="33" applyFont="1" applyAlignment="1">
      <alignment horizontal="right"/>
    </xf>
    <xf numFmtId="37" fontId="4" fillId="0" borderId="0" xfId="18" applyNumberFormat="1" applyFont="1"/>
    <xf numFmtId="4" fontId="0" fillId="0" borderId="0" xfId="1" applyNumberFormat="1" applyFont="1" applyFill="1"/>
    <xf numFmtId="9" fontId="31" fillId="0" borderId="0" xfId="33" applyNumberFormat="1" applyFont="1" applyFill="1"/>
    <xf numFmtId="9" fontId="31" fillId="0" borderId="0" xfId="33" applyNumberFormat="1" applyFont="1" applyAlignment="1">
      <alignment horizontal="right"/>
    </xf>
    <xf numFmtId="177" fontId="17" fillId="0" borderId="0" xfId="18" applyNumberFormat="1" applyFont="1" applyFill="1" applyBorder="1"/>
    <xf numFmtId="0" fontId="9" fillId="4" borderId="0" xfId="1" applyNumberFormat="1" applyFont="1" applyFill="1"/>
    <xf numFmtId="0" fontId="34" fillId="0" borderId="0" xfId="1" applyNumberFormat="1" applyFont="1"/>
    <xf numFmtId="0" fontId="10" fillId="5" borderId="3" xfId="1" applyFont="1" applyFill="1" applyBorder="1" applyAlignment="1">
      <alignment horizontal="right"/>
    </xf>
    <xf numFmtId="0" fontId="0" fillId="0" borderId="19" xfId="1" applyNumberFormat="1" applyFont="1" applyBorder="1"/>
    <xf numFmtId="167" fontId="10" fillId="0" borderId="24" xfId="1" applyNumberFormat="1" applyFont="1" applyBorder="1"/>
    <xf numFmtId="170" fontId="0" fillId="0" borderId="0" xfId="18" applyNumberFormat="1" applyFont="1" applyFill="1"/>
    <xf numFmtId="0" fontId="2" fillId="0" borderId="0" xfId="1" applyFont="1" applyFill="1" applyAlignment="1">
      <alignment horizontal="left"/>
    </xf>
    <xf numFmtId="169" fontId="2" fillId="0" borderId="0" xfId="1" applyNumberFormat="1" applyFont="1" applyFill="1" applyBorder="1"/>
    <xf numFmtId="9" fontId="19" fillId="0" borderId="0" xfId="18" applyNumberFormat="1" applyFont="1" applyFill="1" applyBorder="1"/>
    <xf numFmtId="7" fontId="18" fillId="0" borderId="0" xfId="1" applyNumberFormat="1" applyFont="1" applyFill="1"/>
    <xf numFmtId="0" fontId="93" fillId="0" borderId="0" xfId="18" applyNumberFormat="1" applyFont="1" applyFill="1" applyBorder="1"/>
    <xf numFmtId="170" fontId="93" fillId="0" borderId="0" xfId="18" applyNumberFormat="1" applyFont="1" applyBorder="1"/>
    <xf numFmtId="170" fontId="93" fillId="5" borderId="16" xfId="18" applyNumberFormat="1" applyFont="1" applyFill="1" applyBorder="1"/>
    <xf numFmtId="170" fontId="93" fillId="5" borderId="0" xfId="18" applyNumberFormat="1" applyFont="1" applyFill="1" applyBorder="1"/>
    <xf numFmtId="170" fontId="93" fillId="5" borderId="17" xfId="18" applyNumberFormat="1" applyFont="1" applyFill="1" applyBorder="1"/>
    <xf numFmtId="170" fontId="93" fillId="0" borderId="0" xfId="18" applyNumberFormat="1" applyFont="1" applyFill="1" applyBorder="1"/>
    <xf numFmtId="169" fontId="93" fillId="0" borderId="0" xfId="18" applyNumberFormat="1" applyFont="1" applyFill="1" applyBorder="1"/>
    <xf numFmtId="169" fontId="93" fillId="5" borderId="16" xfId="18" applyNumberFormat="1" applyFont="1" applyFill="1" applyBorder="1"/>
    <xf numFmtId="169" fontId="93" fillId="5" borderId="0" xfId="18" applyNumberFormat="1" applyFont="1" applyFill="1" applyBorder="1"/>
    <xf numFmtId="169" fontId="93" fillId="5" borderId="17" xfId="18" applyNumberFormat="1" applyFont="1" applyFill="1" applyBorder="1"/>
    <xf numFmtId="169" fontId="18" fillId="0" borderId="0" xfId="1" applyNumberFormat="1" applyFont="1"/>
    <xf numFmtId="7" fontId="18" fillId="0" borderId="0" xfId="1" applyNumberFormat="1" applyFont="1"/>
    <xf numFmtId="170" fontId="39" fillId="0" borderId="0" xfId="18" applyNumberFormat="1" applyFont="1" applyFill="1"/>
    <xf numFmtId="9" fontId="17" fillId="0" borderId="0" xfId="18" applyNumberFormat="1" applyFont="1" applyFill="1" applyBorder="1"/>
    <xf numFmtId="0" fontId="18" fillId="0" borderId="0" xfId="18" applyNumberFormat="1" applyFont="1" applyFill="1" applyBorder="1"/>
    <xf numFmtId="170" fontId="18" fillId="0" borderId="0" xfId="18" applyNumberFormat="1" applyFont="1" applyBorder="1"/>
    <xf numFmtId="170" fontId="18" fillId="5" borderId="16" xfId="18" applyNumberFormat="1" applyFont="1" applyFill="1" applyBorder="1"/>
    <xf numFmtId="170" fontId="18" fillId="5" borderId="0" xfId="18" applyNumberFormat="1" applyFont="1" applyFill="1" applyBorder="1"/>
    <xf numFmtId="170" fontId="18" fillId="5" borderId="17" xfId="18" applyNumberFormat="1" applyFont="1" applyFill="1" applyBorder="1"/>
    <xf numFmtId="169" fontId="18" fillId="0" borderId="0" xfId="18" applyNumberFormat="1" applyFont="1" applyFill="1" applyBorder="1"/>
    <xf numFmtId="169" fontId="18" fillId="5" borderId="16" xfId="18" applyNumberFormat="1" applyFont="1" applyFill="1" applyBorder="1"/>
    <xf numFmtId="169" fontId="18" fillId="5" borderId="0" xfId="18" applyNumberFormat="1" applyFont="1" applyFill="1" applyBorder="1"/>
    <xf numFmtId="169" fontId="18" fillId="5" borderId="17" xfId="18" applyNumberFormat="1" applyFont="1" applyFill="1" applyBorder="1"/>
    <xf numFmtId="170" fontId="31" fillId="0" borderId="0" xfId="18" applyNumberFormat="1" applyFont="1"/>
    <xf numFmtId="8" fontId="16" fillId="5" borderId="16" xfId="1" applyNumberFormat="1" applyFont="1" applyFill="1" applyBorder="1"/>
    <xf numFmtId="8" fontId="16" fillId="5" borderId="0" xfId="1" applyNumberFormat="1" applyFont="1" applyFill="1" applyBorder="1"/>
    <xf numFmtId="8" fontId="16" fillId="5" borderId="17" xfId="1" applyNumberFormat="1" applyFont="1" applyFill="1" applyBorder="1"/>
    <xf numFmtId="8" fontId="16" fillId="0" borderId="0" xfId="1" applyNumberFormat="1" applyFont="1" applyFill="1" applyBorder="1"/>
    <xf numFmtId="8" fontId="17" fillId="5" borderId="16" xfId="18" applyNumberFormat="1" applyFont="1" applyFill="1" applyBorder="1"/>
    <xf numFmtId="8" fontId="17" fillId="5" borderId="0" xfId="18" applyNumberFormat="1" applyFont="1" applyFill="1" applyBorder="1"/>
    <xf numFmtId="8" fontId="17" fillId="5" borderId="17" xfId="18" applyNumberFormat="1" applyFont="1" applyFill="1" applyBorder="1"/>
    <xf numFmtId="0" fontId="2" fillId="0" borderId="0" xfId="1" applyFont="1" applyFill="1" applyBorder="1" applyAlignment="1">
      <alignment horizontal="centerContinuous"/>
    </xf>
    <xf numFmtId="9" fontId="16" fillId="5" borderId="0" xfId="1" applyNumberFormat="1" applyFont="1" applyFill="1" applyBorder="1"/>
    <xf numFmtId="0" fontId="27" fillId="0" borderId="0" xfId="41" applyFont="1" applyFill="1" applyAlignment="1">
      <alignment horizontal="right"/>
    </xf>
    <xf numFmtId="43" fontId="2" fillId="0" borderId="0" xfId="18" applyNumberFormat="1" applyFont="1"/>
    <xf numFmtId="170" fontId="16" fillId="0" borderId="0" xfId="18" applyNumberFormat="1" applyFont="1"/>
    <xf numFmtId="43" fontId="81" fillId="0" borderId="0" xfId="18" applyFont="1" applyFill="1"/>
    <xf numFmtId="170" fontId="81" fillId="0" borderId="0" xfId="18" applyNumberFormat="1" applyFont="1" applyFill="1"/>
    <xf numFmtId="0" fontId="96" fillId="0" borderId="0" xfId="1" applyFont="1" applyFill="1"/>
    <xf numFmtId="6" fontId="16" fillId="0" borderId="0" xfId="33" applyNumberFormat="1" applyFont="1" applyFill="1" applyBorder="1" applyAlignment="1">
      <alignment horizontal="center"/>
    </xf>
    <xf numFmtId="0" fontId="10" fillId="0" borderId="0" xfId="33" applyFont="1" applyAlignment="1">
      <alignment horizontal="center"/>
    </xf>
    <xf numFmtId="8" fontId="16" fillId="0" borderId="0" xfId="33" applyNumberFormat="1" applyFont="1" applyFill="1" applyBorder="1" applyAlignment="1">
      <alignment horizontal="center"/>
    </xf>
    <xf numFmtId="8" fontId="19" fillId="5" borderId="32" xfId="33" applyNumberFormat="1" applyFont="1" applyFill="1" applyBorder="1" applyAlignment="1">
      <alignment horizontal="center"/>
    </xf>
    <xf numFmtId="8" fontId="19" fillId="5" borderId="0" xfId="33" applyNumberFormat="1" applyFont="1" applyFill="1" applyBorder="1" applyAlignment="1">
      <alignment horizontal="center"/>
    </xf>
    <xf numFmtId="6" fontId="16" fillId="0" borderId="35" xfId="33" applyNumberFormat="1" applyFont="1" applyFill="1" applyBorder="1" applyAlignment="1">
      <alignment horizontal="center"/>
    </xf>
    <xf numFmtId="8" fontId="17" fillId="0" borderId="0" xfId="1" applyNumberFormat="1" applyFont="1" applyFill="1" applyBorder="1"/>
    <xf numFmtId="166" fontId="104" fillId="4" borderId="0" xfId="38" applyNumberFormat="1" applyFont="1" applyFill="1"/>
    <xf numFmtId="166" fontId="9" fillId="4" borderId="0" xfId="38" applyNumberFormat="1" applyFont="1" applyFill="1"/>
    <xf numFmtId="166" fontId="95" fillId="4" borderId="0" xfId="38" applyNumberFormat="1" applyFont="1" applyFill="1"/>
    <xf numFmtId="195" fontId="16" fillId="0" borderId="32" xfId="1" applyNumberFormat="1" applyFont="1" applyFill="1" applyBorder="1"/>
    <xf numFmtId="9" fontId="16" fillId="5" borderId="16" xfId="1" applyNumberFormat="1" applyFont="1" applyFill="1" applyBorder="1"/>
    <xf numFmtId="9" fontId="16" fillId="5" borderId="17" xfId="1" applyNumberFormat="1" applyFont="1" applyFill="1" applyBorder="1"/>
    <xf numFmtId="170" fontId="16" fillId="0" borderId="0" xfId="18" applyNumberFormat="1" applyFont="1" applyFill="1"/>
    <xf numFmtId="6" fontId="4" fillId="0" borderId="0" xfId="1" applyNumberFormat="1" applyFont="1" applyFill="1"/>
    <xf numFmtId="8" fontId="66" fillId="0" borderId="0" xfId="1" applyNumberFormat="1" applyFont="1"/>
    <xf numFmtId="167" fontId="2" fillId="0" borderId="0" xfId="33" applyNumberFormat="1" applyFont="1"/>
    <xf numFmtId="0" fontId="2" fillId="0" borderId="0" xfId="33" applyAlignment="1">
      <alignment horizontal="center"/>
    </xf>
    <xf numFmtId="43" fontId="4" fillId="0" borderId="0" xfId="1" applyNumberFormat="1" applyFont="1" applyFill="1" applyBorder="1"/>
    <xf numFmtId="7" fontId="17" fillId="0" borderId="6" xfId="1" applyNumberFormat="1" applyFont="1" applyFill="1" applyBorder="1"/>
    <xf numFmtId="8" fontId="90" fillId="0" borderId="17" xfId="18" applyNumberFormat="1" applyFont="1" applyFill="1" applyBorder="1"/>
    <xf numFmtId="8" fontId="28" fillId="0" borderId="0" xfId="1" applyNumberFormat="1" applyFont="1" applyBorder="1"/>
    <xf numFmtId="9" fontId="0" fillId="0" borderId="0" xfId="1" applyNumberFormat="1" applyFont="1" applyBorder="1"/>
    <xf numFmtId="7" fontId="107" fillId="0" borderId="0" xfId="33" applyNumberFormat="1" applyFont="1"/>
    <xf numFmtId="7" fontId="16" fillId="0" borderId="0" xfId="33" applyNumberFormat="1" applyFont="1"/>
    <xf numFmtId="8" fontId="19" fillId="0" borderId="0" xfId="18" applyNumberFormat="1" applyFont="1" applyBorder="1"/>
    <xf numFmtId="8" fontId="19" fillId="5" borderId="16" xfId="18" applyNumberFormat="1" applyFont="1" applyFill="1" applyBorder="1"/>
    <xf numFmtId="8" fontId="19" fillId="5" borderId="0" xfId="18" applyNumberFormat="1" applyFont="1" applyFill="1" applyBorder="1"/>
    <xf numFmtId="8" fontId="19" fillId="5" borderId="17" xfId="18" applyNumberFormat="1" applyFont="1" applyFill="1" applyBorder="1"/>
    <xf numFmtId="0" fontId="2" fillId="0" borderId="4" xfId="33" applyFill="1" applyBorder="1"/>
    <xf numFmtId="169" fontId="2" fillId="0" borderId="4" xfId="33" applyNumberFormat="1" applyFill="1" applyBorder="1"/>
    <xf numFmtId="43" fontId="4" fillId="0" borderId="0" xfId="1" applyNumberFormat="1" applyFont="1" applyBorder="1"/>
    <xf numFmtId="37" fontId="2" fillId="5" borderId="17" xfId="1" applyNumberFormat="1" applyFont="1" applyFill="1" applyBorder="1"/>
    <xf numFmtId="5" fontId="2" fillId="5" borderId="17" xfId="18" applyNumberFormat="1" applyFont="1" applyFill="1" applyBorder="1"/>
    <xf numFmtId="37" fontId="66" fillId="5" borderId="17" xfId="18" applyNumberFormat="1" applyFont="1" applyFill="1" applyBorder="1"/>
    <xf numFmtId="5" fontId="66" fillId="5" borderId="17" xfId="18" applyNumberFormat="1" applyFont="1" applyFill="1" applyBorder="1"/>
    <xf numFmtId="37" fontId="66" fillId="5" borderId="17" xfId="1" applyNumberFormat="1" applyFont="1" applyFill="1" applyBorder="1"/>
    <xf numFmtId="7" fontId="66" fillId="5" borderId="17" xfId="1" applyNumberFormat="1" applyFont="1" applyFill="1" applyBorder="1"/>
    <xf numFmtId="7" fontId="66" fillId="0" borderId="0" xfId="1" applyNumberFormat="1" applyFont="1" applyFill="1" applyBorder="1"/>
    <xf numFmtId="170" fontId="27" fillId="0" borderId="0" xfId="41" applyNumberFormat="1" applyFont="1" applyFill="1" applyAlignment="1"/>
    <xf numFmtId="10" fontId="27" fillId="0" borderId="0" xfId="41" applyNumberFormat="1" applyFont="1" applyFill="1" applyAlignment="1"/>
    <xf numFmtId="170" fontId="27" fillId="0" borderId="0" xfId="1" applyNumberFormat="1" applyFont="1" applyFill="1"/>
    <xf numFmtId="10" fontId="27" fillId="0" borderId="0" xfId="44" applyNumberFormat="1" applyFont="1" applyFill="1" applyAlignment="1">
      <alignment horizontal="right"/>
    </xf>
    <xf numFmtId="170" fontId="27" fillId="0" borderId="0" xfId="41" applyNumberFormat="1" applyFont="1" applyFill="1" applyAlignment="1">
      <alignment horizontal="right"/>
    </xf>
    <xf numFmtId="170" fontId="2" fillId="0" borderId="0" xfId="41" applyNumberFormat="1" applyFont="1" applyFill="1" applyAlignment="1">
      <alignment horizontal="left"/>
    </xf>
    <xf numFmtId="0" fontId="2" fillId="0" borderId="0" xfId="41" applyFont="1" applyFill="1" applyAlignment="1">
      <alignment horizontal="right"/>
    </xf>
    <xf numFmtId="10" fontId="2" fillId="0" borderId="0" xfId="44" applyNumberFormat="1" applyFont="1" applyFill="1" applyAlignment="1">
      <alignment horizontal="right"/>
    </xf>
    <xf numFmtId="170" fontId="2" fillId="0" borderId="0" xfId="41" applyNumberFormat="1" applyFont="1" applyFill="1" applyAlignment="1">
      <alignment horizontal="right"/>
    </xf>
    <xf numFmtId="0" fontId="2" fillId="0" borderId="0" xfId="41" applyFont="1" applyFill="1" applyAlignment="1">
      <alignment horizontal="left"/>
    </xf>
    <xf numFmtId="0" fontId="17" fillId="0" borderId="0" xfId="41" applyFont="1" applyFill="1" applyAlignment="1">
      <alignment horizontal="left"/>
    </xf>
    <xf numFmtId="0" fontId="2" fillId="0" borderId="0" xfId="41" applyFont="1" applyFill="1" applyAlignment="1">
      <alignment horizontal="right" indent="1"/>
    </xf>
    <xf numFmtId="10" fontId="2" fillId="0" borderId="0" xfId="41" applyNumberFormat="1" applyFont="1" applyFill="1" applyAlignment="1">
      <alignment horizontal="right"/>
    </xf>
    <xf numFmtId="0" fontId="27" fillId="0" borderId="0" xfId="41" applyFont="1" applyFill="1" applyAlignment="1">
      <alignment horizontal="right" indent="1"/>
    </xf>
    <xf numFmtId="10" fontId="27" fillId="0" borderId="0" xfId="41" applyNumberFormat="1" applyFont="1" applyFill="1" applyAlignment="1">
      <alignment horizontal="right"/>
    </xf>
    <xf numFmtId="170" fontId="27" fillId="0" borderId="0" xfId="41" applyNumberFormat="1" applyFont="1" applyFill="1" applyAlignment="1">
      <alignment horizontal="left"/>
    </xf>
    <xf numFmtId="0" fontId="2" fillId="0" borderId="0" xfId="41" applyNumberFormat="1" applyFont="1" applyFill="1" applyBorder="1" applyAlignment="1">
      <alignment horizontal="left"/>
    </xf>
    <xf numFmtId="170" fontId="2" fillId="0" borderId="0" xfId="1" applyNumberFormat="1" applyFont="1" applyBorder="1"/>
    <xf numFmtId="0" fontId="27" fillId="0" borderId="0" xfId="41" applyFont="1" applyFill="1" applyBorder="1" applyAlignment="1">
      <alignment horizontal="right" indent="1"/>
    </xf>
    <xf numFmtId="10" fontId="27" fillId="0" borderId="0" xfId="41" applyNumberFormat="1" applyFont="1" applyFill="1" applyBorder="1" applyAlignment="1">
      <alignment horizontal="right"/>
    </xf>
    <xf numFmtId="170" fontId="27" fillId="0" borderId="0" xfId="41" applyNumberFormat="1" applyFont="1" applyFill="1" applyBorder="1" applyAlignment="1">
      <alignment horizontal="right"/>
    </xf>
    <xf numFmtId="0" fontId="27" fillId="0" borderId="0" xfId="41" applyNumberFormat="1" applyFont="1" applyFill="1" applyAlignment="1">
      <alignment horizontal="right" indent="1"/>
    </xf>
    <xf numFmtId="0" fontId="71" fillId="0" borderId="0" xfId="1" applyFont="1" applyFill="1" applyBorder="1" applyAlignment="1"/>
    <xf numFmtId="177" fontId="47" fillId="5" borderId="0" xfId="18" applyNumberFormat="1" applyFont="1" applyFill="1" applyBorder="1" applyAlignment="1">
      <alignment horizontal="right"/>
    </xf>
    <xf numFmtId="0" fontId="0" fillId="0" borderId="0" xfId="44" applyNumberFormat="1" applyFont="1" applyFill="1"/>
    <xf numFmtId="177" fontId="47" fillId="5" borderId="16" xfId="18" applyNumberFormat="1" applyFont="1" applyFill="1" applyBorder="1" applyAlignment="1">
      <alignment horizontal="right"/>
    </xf>
    <xf numFmtId="177" fontId="47" fillId="5" borderId="17" xfId="18" applyNumberFormat="1" applyFont="1" applyFill="1" applyBorder="1" applyAlignment="1">
      <alignment horizontal="right"/>
    </xf>
    <xf numFmtId="3" fontId="66" fillId="5" borderId="16" xfId="1" applyNumberFormat="1" applyFont="1" applyFill="1" applyBorder="1"/>
    <xf numFmtId="3" fontId="66" fillId="5" borderId="0" xfId="1" applyNumberFormat="1" applyFont="1" applyFill="1" applyBorder="1"/>
    <xf numFmtId="3" fontId="66" fillId="0" borderId="0" xfId="1" applyNumberFormat="1" applyFont="1"/>
    <xf numFmtId="0" fontId="66" fillId="0" borderId="0" xfId="44" applyNumberFormat="1" applyFont="1"/>
    <xf numFmtId="3" fontId="66" fillId="0" borderId="0" xfId="1" applyNumberFormat="1" applyFont="1" applyFill="1"/>
    <xf numFmtId="7" fontId="17" fillId="0" borderId="6" xfId="1" applyNumberFormat="1" applyFont="1" applyBorder="1"/>
    <xf numFmtId="171" fontId="10" fillId="0" borderId="5" xfId="1" applyNumberFormat="1" applyFont="1" applyBorder="1" applyAlignment="1">
      <alignment horizontal="right"/>
    </xf>
    <xf numFmtId="172" fontId="10" fillId="0" borderId="5" xfId="1" applyNumberFormat="1" applyFont="1" applyBorder="1" applyAlignment="1">
      <alignment horizontal="right"/>
    </xf>
    <xf numFmtId="167" fontId="10" fillId="0" borderId="5" xfId="1" applyNumberFormat="1" applyFont="1" applyBorder="1" applyAlignment="1">
      <alignment horizontal="right"/>
    </xf>
    <xf numFmtId="167" fontId="12" fillId="0" borderId="5" xfId="1" applyNumberFormat="1" applyFont="1" applyBorder="1" applyAlignment="1">
      <alignment horizontal="right"/>
    </xf>
    <xf numFmtId="0" fontId="34" fillId="0" borderId="0" xfId="33" applyFont="1"/>
    <xf numFmtId="170" fontId="18" fillId="0" borderId="0" xfId="18" applyNumberFormat="1" applyFont="1"/>
    <xf numFmtId="37" fontId="16" fillId="0" borderId="0" xfId="33" applyNumberFormat="1" applyFont="1"/>
    <xf numFmtId="0" fontId="2" fillId="0" borderId="0" xfId="33" applyFont="1" applyFill="1" applyBorder="1"/>
    <xf numFmtId="5" fontId="2" fillId="0" borderId="0" xfId="33" applyNumberFormat="1" applyFont="1"/>
    <xf numFmtId="8" fontId="2" fillId="0" borderId="0" xfId="33" applyNumberFormat="1" applyFont="1"/>
    <xf numFmtId="7" fontId="2" fillId="0" borderId="0" xfId="33" applyNumberFormat="1" applyFont="1" applyAlignment="1">
      <alignment horizontal="right"/>
    </xf>
    <xf numFmtId="170" fontId="16" fillId="0" borderId="0" xfId="1" applyNumberFormat="1" applyFont="1" applyBorder="1"/>
    <xf numFmtId="0" fontId="108" fillId="0" borderId="0" xfId="1" applyFont="1" applyFill="1" applyBorder="1"/>
    <xf numFmtId="0" fontId="109" fillId="0" borderId="0" xfId="1" applyFont="1" applyFill="1" applyBorder="1"/>
    <xf numFmtId="170" fontId="96" fillId="5" borderId="16" xfId="18" applyNumberFormat="1" applyFont="1" applyFill="1" applyBorder="1"/>
    <xf numFmtId="170" fontId="96" fillId="5" borderId="0" xfId="18" applyNumberFormat="1" applyFont="1" applyFill="1" applyBorder="1"/>
    <xf numFmtId="170" fontId="96" fillId="5" borderId="17" xfId="18" applyNumberFormat="1" applyFont="1" applyFill="1" applyBorder="1"/>
    <xf numFmtId="170" fontId="96" fillId="0" borderId="0" xfId="18" applyNumberFormat="1" applyFont="1" applyFill="1" applyBorder="1"/>
    <xf numFmtId="169" fontId="17" fillId="5" borderId="4" xfId="33" applyNumberFormat="1" applyFont="1" applyFill="1" applyBorder="1" applyAlignment="1">
      <alignment horizontal="right"/>
    </xf>
    <xf numFmtId="169" fontId="17" fillId="5" borderId="6" xfId="33" applyNumberFormat="1" applyFont="1" applyFill="1" applyBorder="1" applyAlignment="1">
      <alignment horizontal="right"/>
    </xf>
    <xf numFmtId="14" fontId="81" fillId="0" borderId="0" xfId="33" applyNumberFormat="1" applyFont="1" applyFill="1"/>
    <xf numFmtId="8" fontId="81" fillId="0" borderId="0" xfId="33" applyNumberFormat="1" applyFont="1" applyFill="1"/>
    <xf numFmtId="166" fontId="8" fillId="4" borderId="0" xfId="39" applyNumberFormat="1" applyFont="1" applyFill="1" applyBorder="1"/>
    <xf numFmtId="166" fontId="5" fillId="4" borderId="0" xfId="34" applyNumberFormat="1" applyFont="1" applyFill="1"/>
    <xf numFmtId="166" fontId="6" fillId="4" borderId="0" xfId="34" applyNumberFormat="1" applyFont="1" applyFill="1"/>
    <xf numFmtId="166" fontId="6" fillId="4" borderId="0" xfId="39" applyNumberFormat="1" applyFont="1" applyFill="1" applyAlignment="1">
      <alignment horizontal="center"/>
    </xf>
    <xf numFmtId="166" fontId="6" fillId="4" borderId="0" xfId="39" applyNumberFormat="1" applyFont="1" applyFill="1" applyAlignment="1">
      <alignment horizontal="right"/>
    </xf>
    <xf numFmtId="166" fontId="6" fillId="4" borderId="0" xfId="39" applyNumberFormat="1" applyFont="1" applyFill="1"/>
    <xf numFmtId="166" fontId="48" fillId="4" borderId="0" xfId="39" applyNumberFormat="1" applyFont="1" applyFill="1"/>
    <xf numFmtId="166" fontId="104" fillId="4" borderId="0" xfId="39" applyNumberFormat="1" applyFont="1" applyFill="1"/>
    <xf numFmtId="0" fontId="2" fillId="0" borderId="0" xfId="39"/>
    <xf numFmtId="166" fontId="9" fillId="4" borderId="0" xfId="34" applyNumberFormat="1" applyFont="1" applyFill="1"/>
    <xf numFmtId="166" fontId="8" fillId="4" borderId="0" xfId="34" applyNumberFormat="1" applyFont="1" applyFill="1"/>
    <xf numFmtId="166" fontId="7" fillId="4" borderId="0" xfId="39" applyNumberFormat="1" applyFont="1" applyFill="1" applyAlignment="1">
      <alignment horizontal="center"/>
    </xf>
    <xf numFmtId="166" fontId="7" fillId="4" borderId="0" xfId="39" applyNumberFormat="1" applyFont="1" applyFill="1" applyAlignment="1">
      <alignment horizontal="right"/>
    </xf>
    <xf numFmtId="166" fontId="7" fillId="4" borderId="0" xfId="39" applyNumberFormat="1" applyFont="1" applyFill="1"/>
    <xf numFmtId="166" fontId="10" fillId="4" borderId="0" xfId="39" applyNumberFormat="1" applyFont="1" applyFill="1" applyBorder="1"/>
    <xf numFmtId="166" fontId="11" fillId="4" borderId="0" xfId="31" applyNumberFormat="1" applyFont="1" applyFill="1"/>
    <xf numFmtId="166" fontId="94" fillId="4" borderId="0" xfId="31" applyNumberFormat="1" applyFont="1" applyFill="1"/>
    <xf numFmtId="193" fontId="11" fillId="4" borderId="0" xfId="31" applyNumberFormat="1" applyFont="1" applyFill="1" applyAlignment="1">
      <alignment horizontal="left"/>
    </xf>
    <xf numFmtId="166" fontId="94" fillId="4" borderId="0" xfId="39" applyNumberFormat="1" applyFont="1" applyFill="1"/>
    <xf numFmtId="166" fontId="95" fillId="4" borderId="0" xfId="39" applyNumberFormat="1" applyFont="1" applyFill="1"/>
    <xf numFmtId="166" fontId="95" fillId="4" borderId="0" xfId="39" applyNumberFormat="1" applyFont="1" applyFill="1" applyBorder="1"/>
    <xf numFmtId="167" fontId="10" fillId="0" borderId="36" xfId="39" applyNumberFormat="1" applyFont="1" applyFill="1" applyBorder="1"/>
    <xf numFmtId="167" fontId="10" fillId="0" borderId="8" xfId="39" quotePrefix="1" applyNumberFormat="1" applyFont="1" applyFill="1" applyBorder="1"/>
    <xf numFmtId="167" fontId="90" fillId="0" borderId="33" xfId="39" applyNumberFormat="1" applyFont="1" applyFill="1" applyBorder="1" applyAlignment="1">
      <alignment horizontal="left"/>
    </xf>
    <xf numFmtId="167" fontId="90" fillId="0" borderId="34" xfId="39" applyNumberFormat="1" applyFont="1" applyFill="1" applyBorder="1" applyAlignment="1">
      <alignment horizontal="center"/>
    </xf>
    <xf numFmtId="167" fontId="20" fillId="0" borderId="8" xfId="39" applyNumberFormat="1" applyFont="1" applyFill="1" applyBorder="1"/>
    <xf numFmtId="167" fontId="20" fillId="0" borderId="8" xfId="39" applyNumberFormat="1" applyFont="1" applyFill="1" applyBorder="1" applyAlignment="1">
      <alignment horizontal="center"/>
    </xf>
    <xf numFmtId="171" fontId="10" fillId="5" borderId="16" xfId="39" applyNumberFormat="1" applyFont="1" applyFill="1" applyBorder="1" applyAlignment="1">
      <alignment horizontal="right"/>
    </xf>
    <xf numFmtId="171" fontId="10" fillId="5" borderId="0" xfId="39" applyNumberFormat="1" applyFont="1" applyFill="1" applyBorder="1" applyAlignment="1">
      <alignment horizontal="right"/>
    </xf>
    <xf numFmtId="172" fontId="10" fillId="5" borderId="17" xfId="39" applyNumberFormat="1" applyFont="1" applyFill="1" applyBorder="1" applyAlignment="1">
      <alignment horizontal="right"/>
    </xf>
    <xf numFmtId="171" fontId="10" fillId="5" borderId="17" xfId="39" applyNumberFormat="1" applyFont="1" applyFill="1" applyBorder="1" applyAlignment="1">
      <alignment horizontal="right"/>
    </xf>
    <xf numFmtId="1" fontId="10" fillId="0" borderId="0" xfId="39" applyNumberFormat="1" applyFont="1" applyFill="1" applyBorder="1" applyAlignment="1">
      <alignment horizontal="center"/>
    </xf>
    <xf numFmtId="0" fontId="12" fillId="0" borderId="0" xfId="39" applyFont="1" applyBorder="1" applyAlignment="1"/>
    <xf numFmtId="0" fontId="10" fillId="0" borderId="37" xfId="39" applyFont="1" applyBorder="1" applyAlignment="1"/>
    <xf numFmtId="0" fontId="12" fillId="0" borderId="0" xfId="39" applyFont="1" applyAlignment="1"/>
    <xf numFmtId="0" fontId="12" fillId="0" borderId="0" xfId="39" applyFont="1"/>
    <xf numFmtId="166" fontId="20" fillId="0" borderId="0" xfId="39" applyNumberFormat="1" applyFont="1"/>
    <xf numFmtId="0" fontId="2" fillId="0" borderId="0" xfId="39" applyFill="1" applyBorder="1"/>
    <xf numFmtId="0" fontId="96" fillId="0" borderId="0" xfId="39" applyFont="1" applyFill="1"/>
    <xf numFmtId="167" fontId="90" fillId="0" borderId="0" xfId="39" applyNumberFormat="1" applyFont="1" applyFill="1" applyBorder="1" applyAlignment="1">
      <alignment horizontal="center"/>
    </xf>
    <xf numFmtId="167" fontId="2" fillId="0" borderId="0" xfId="39" applyNumberFormat="1" applyFont="1" applyFill="1" applyBorder="1"/>
    <xf numFmtId="167" fontId="2" fillId="0" borderId="0" xfId="39" applyNumberFormat="1" applyFont="1" applyFill="1" applyBorder="1" applyAlignment="1">
      <alignment horizontal="center"/>
    </xf>
    <xf numFmtId="172" fontId="10" fillId="0" borderId="0" xfId="39" applyNumberFormat="1" applyFont="1" applyFill="1" applyBorder="1" applyAlignment="1">
      <alignment horizontal="center"/>
    </xf>
    <xf numFmtId="0" fontId="13" fillId="4" borderId="18" xfId="39" applyFont="1" applyFill="1" applyBorder="1" applyAlignment="1">
      <alignment horizontal="left"/>
    </xf>
    <xf numFmtId="0" fontId="20" fillId="4" borderId="19" xfId="39" applyFont="1" applyFill="1" applyBorder="1" applyAlignment="1">
      <alignment horizontal="left"/>
    </xf>
    <xf numFmtId="0" fontId="20" fillId="4" borderId="4" xfId="39" applyFont="1" applyFill="1" applyBorder="1" applyAlignment="1">
      <alignment horizontal="left"/>
    </xf>
    <xf numFmtId="0" fontId="20" fillId="4" borderId="6" xfId="39" applyFont="1" applyFill="1" applyBorder="1" applyAlignment="1">
      <alignment horizontal="center"/>
    </xf>
    <xf numFmtId="0" fontId="10" fillId="5" borderId="16" xfId="39" applyFont="1" applyFill="1" applyBorder="1" applyAlignment="1">
      <alignment horizontal="centerContinuous"/>
    </xf>
    <xf numFmtId="0" fontId="12" fillId="5" borderId="0" xfId="39" applyFont="1" applyFill="1" applyBorder="1" applyAlignment="1">
      <alignment horizontal="centerContinuous"/>
    </xf>
    <xf numFmtId="0" fontId="12" fillId="5" borderId="17" xfId="39" applyFont="1" applyFill="1" applyBorder="1" applyAlignment="1">
      <alignment horizontal="centerContinuous"/>
    </xf>
    <xf numFmtId="0" fontId="10" fillId="5" borderId="17" xfId="39" applyFont="1" applyFill="1" applyBorder="1" applyAlignment="1">
      <alignment horizontal="centerContinuous"/>
    </xf>
    <xf numFmtId="0" fontId="10" fillId="5" borderId="0" xfId="39" applyFont="1" applyFill="1" applyBorder="1" applyAlignment="1">
      <alignment horizontal="centerContinuous"/>
    </xf>
    <xf numFmtId="0" fontId="12" fillId="0" borderId="0" xfId="39" applyFont="1" applyFill="1" applyBorder="1" applyAlignment="1">
      <alignment horizontal="centerContinuous"/>
    </xf>
    <xf numFmtId="0" fontId="2" fillId="0" borderId="0" xfId="39" applyBorder="1" applyAlignment="1"/>
    <xf numFmtId="0" fontId="2" fillId="0" borderId="37" xfId="39" applyBorder="1" applyAlignment="1"/>
    <xf numFmtId="0" fontId="2" fillId="0" borderId="0" xfId="39" applyAlignment="1"/>
    <xf numFmtId="0" fontId="88" fillId="0" borderId="0" xfId="39" applyFont="1"/>
    <xf numFmtId="0" fontId="10" fillId="0" borderId="0" xfId="39" applyFont="1" applyFill="1" applyAlignment="1">
      <alignment horizontal="left"/>
    </xf>
    <xf numFmtId="0" fontId="96" fillId="0" borderId="0" xfId="39" applyFont="1" applyFill="1" applyAlignment="1">
      <alignment horizontal="left"/>
    </xf>
    <xf numFmtId="0" fontId="97" fillId="0" borderId="0" xfId="39" applyFont="1" applyFill="1" applyBorder="1" applyAlignment="1">
      <alignment horizontal="center"/>
    </xf>
    <xf numFmtId="4" fontId="98" fillId="5" borderId="16" xfId="39" applyNumberFormat="1" applyFont="1" applyFill="1" applyBorder="1" applyAlignment="1">
      <alignment horizontal="right"/>
    </xf>
    <xf numFmtId="4" fontId="98" fillId="5" borderId="0" xfId="39" applyNumberFormat="1" applyFont="1" applyFill="1" applyBorder="1" applyAlignment="1">
      <alignment horizontal="right"/>
    </xf>
    <xf numFmtId="4" fontId="98" fillId="5" borderId="17" xfId="39" applyNumberFormat="1" applyFont="1" applyFill="1" applyBorder="1" applyAlignment="1">
      <alignment horizontal="right"/>
    </xf>
    <xf numFmtId="4" fontId="99" fillId="5" borderId="17" xfId="39" applyNumberFormat="1" applyFont="1" applyFill="1" applyBorder="1" applyAlignment="1">
      <alignment horizontal="right"/>
    </xf>
    <xf numFmtId="4" fontId="99" fillId="5" borderId="16" xfId="39" applyNumberFormat="1" applyFont="1" applyFill="1" applyBorder="1" applyAlignment="1">
      <alignment horizontal="right"/>
    </xf>
    <xf numFmtId="4" fontId="99" fillId="5" borderId="0" xfId="39" applyNumberFormat="1" applyFont="1" applyFill="1" applyBorder="1" applyAlignment="1">
      <alignment horizontal="right"/>
    </xf>
    <xf numFmtId="4" fontId="99" fillId="0" borderId="0" xfId="39" applyNumberFormat="1" applyFont="1" applyFill="1" applyBorder="1" applyAlignment="1">
      <alignment horizontal="right"/>
    </xf>
    <xf numFmtId="9" fontId="99" fillId="0" borderId="0" xfId="39" applyNumberFormat="1" applyFont="1" applyFill="1" applyBorder="1" applyAlignment="1">
      <alignment horizontal="right"/>
    </xf>
    <xf numFmtId="0" fontId="2" fillId="0" borderId="0" xfId="39" applyBorder="1"/>
    <xf numFmtId="0" fontId="2" fillId="0" borderId="37" xfId="39" applyBorder="1"/>
    <xf numFmtId="8" fontId="2" fillId="0" borderId="14" xfId="39" applyNumberFormat="1" applyFont="1" applyBorder="1"/>
    <xf numFmtId="4" fontId="96" fillId="5" borderId="16" xfId="39" applyNumberFormat="1" applyFont="1" applyFill="1" applyBorder="1" applyAlignment="1">
      <alignment horizontal="right"/>
    </xf>
    <xf numFmtId="4" fontId="96" fillId="5" borderId="0" xfId="39" applyNumberFormat="1" applyFont="1" applyFill="1" applyBorder="1" applyAlignment="1">
      <alignment horizontal="right"/>
    </xf>
    <xf numFmtId="4" fontId="96" fillId="5" borderId="17" xfId="39" applyNumberFormat="1" applyFont="1" applyFill="1" applyBorder="1" applyAlignment="1">
      <alignment horizontal="right"/>
    </xf>
    <xf numFmtId="4" fontId="17" fillId="0" borderId="0" xfId="31" applyNumberFormat="1" applyFont="1" applyFill="1" applyBorder="1" applyAlignment="1">
      <alignment horizontal="right"/>
    </xf>
    <xf numFmtId="0" fontId="2" fillId="0" borderId="16" xfId="39" applyFont="1" applyBorder="1"/>
    <xf numFmtId="8" fontId="2" fillId="0" borderId="17" xfId="39" applyNumberFormat="1" applyFont="1" applyBorder="1"/>
    <xf numFmtId="0" fontId="17" fillId="0" borderId="18" xfId="39" applyFont="1" applyBorder="1"/>
    <xf numFmtId="8" fontId="17" fillId="0" borderId="20" xfId="39" applyNumberFormat="1" applyFont="1" applyBorder="1"/>
    <xf numFmtId="0" fontId="32" fillId="0" borderId="0" xfId="39" applyFont="1"/>
    <xf numFmtId="187" fontId="96" fillId="0" borderId="0" xfId="39" applyNumberFormat="1" applyFont="1" applyFill="1" applyBorder="1" applyAlignment="1">
      <alignment horizontal="center"/>
    </xf>
    <xf numFmtId="4" fontId="2" fillId="0" borderId="0" xfId="31" applyNumberFormat="1" applyFont="1" applyFill="1" applyBorder="1" applyAlignment="1">
      <alignment horizontal="right"/>
    </xf>
    <xf numFmtId="0" fontId="2" fillId="0" borderId="38" xfId="39" applyBorder="1"/>
    <xf numFmtId="0" fontId="19" fillId="0" borderId="0" xfId="39" applyFont="1" applyBorder="1"/>
    <xf numFmtId="0" fontId="17" fillId="0" borderId="0" xfId="39" applyFont="1"/>
    <xf numFmtId="0" fontId="2" fillId="0" borderId="0" xfId="39" applyAlignment="1">
      <alignment horizontal="center"/>
    </xf>
    <xf numFmtId="0" fontId="2" fillId="0" borderId="0" xfId="31" applyFont="1" applyFill="1" applyBorder="1" applyAlignment="1">
      <alignment horizontal="centerContinuous"/>
    </xf>
    <xf numFmtId="0" fontId="2" fillId="0" borderId="12" xfId="31" applyFont="1" applyBorder="1"/>
    <xf numFmtId="8" fontId="16" fillId="0" borderId="13" xfId="31" applyNumberFormat="1" applyFont="1" applyFill="1" applyBorder="1"/>
    <xf numFmtId="0" fontId="2" fillId="0" borderId="14" xfId="31" applyFont="1" applyFill="1" applyBorder="1"/>
    <xf numFmtId="0" fontId="12" fillId="4" borderId="0" xfId="39" applyFont="1" applyFill="1" applyBorder="1" applyAlignment="1">
      <alignment horizontal="center"/>
    </xf>
    <xf numFmtId="4" fontId="2" fillId="0" borderId="0" xfId="31" applyNumberFormat="1" applyFont="1" applyBorder="1" applyAlignment="1">
      <alignment horizontal="right"/>
    </xf>
    <xf numFmtId="9" fontId="2" fillId="0" borderId="0" xfId="31" applyNumberFormat="1" applyFont="1" applyBorder="1" applyAlignment="1">
      <alignment horizontal="right"/>
    </xf>
    <xf numFmtId="0" fontId="100" fillId="0" borderId="0" xfId="39" applyFont="1" applyAlignment="1">
      <alignment horizontal="right"/>
    </xf>
    <xf numFmtId="0" fontId="2" fillId="0" borderId="16" xfId="31" applyFont="1" applyBorder="1"/>
    <xf numFmtId="0" fontId="2" fillId="0" borderId="17" xfId="31" applyFont="1" applyFill="1" applyBorder="1"/>
    <xf numFmtId="4" fontId="2" fillId="0" borderId="37" xfId="31" applyNumberFormat="1" applyFont="1" applyBorder="1" applyAlignment="1">
      <alignment horizontal="right"/>
    </xf>
    <xf numFmtId="170" fontId="2" fillId="0" borderId="19" xfId="31" applyNumberFormat="1" applyFont="1" applyFill="1" applyBorder="1"/>
    <xf numFmtId="0" fontId="2" fillId="0" borderId="20" xfId="31" applyFont="1" applyFill="1" applyBorder="1"/>
    <xf numFmtId="0" fontId="2" fillId="0" borderId="0" xfId="39" applyFont="1" applyFill="1" applyAlignment="1">
      <alignment horizontal="left"/>
    </xf>
    <xf numFmtId="0" fontId="2" fillId="0" borderId="0" xfId="39" applyFont="1" applyBorder="1"/>
    <xf numFmtId="0" fontId="55" fillId="0" borderId="0" xfId="39" applyFont="1" applyFill="1"/>
    <xf numFmtId="0" fontId="96" fillId="0" borderId="0" xfId="39" applyFont="1" applyFill="1" applyBorder="1" applyAlignment="1">
      <alignment horizontal="center"/>
    </xf>
    <xf numFmtId="0" fontId="106" fillId="0" borderId="37" xfId="39" applyFont="1" applyBorder="1"/>
    <xf numFmtId="0" fontId="10" fillId="4" borderId="0" xfId="39" applyFont="1" applyFill="1" applyBorder="1" applyAlignment="1">
      <alignment horizontal="center"/>
    </xf>
    <xf numFmtId="4" fontId="2" fillId="0" borderId="0" xfId="31" applyNumberFormat="1" applyFont="1" applyFill="1" applyBorder="1" applyAlignment="1">
      <alignment horizontal="centerContinuous"/>
    </xf>
    <xf numFmtId="39" fontId="96" fillId="0" borderId="37" xfId="39" applyNumberFormat="1" applyFont="1" applyFill="1" applyBorder="1" applyAlignment="1">
      <alignment horizontal="right"/>
    </xf>
    <xf numFmtId="39" fontId="96" fillId="0" borderId="0" xfId="39" applyNumberFormat="1" applyFont="1" applyFill="1" applyBorder="1" applyAlignment="1">
      <alignment horizontal="right"/>
    </xf>
    <xf numFmtId="3" fontId="2" fillId="0" borderId="0" xfId="39" applyNumberFormat="1" applyFont="1"/>
    <xf numFmtId="0" fontId="101" fillId="4" borderId="0" xfId="39" applyFont="1" applyFill="1" applyBorder="1" applyAlignment="1">
      <alignment horizontal="center"/>
    </xf>
    <xf numFmtId="0" fontId="10" fillId="0" borderId="0" xfId="39" applyFont="1" applyFill="1" applyBorder="1" applyAlignment="1">
      <alignment horizontal="left"/>
    </xf>
    <xf numFmtId="0" fontId="2" fillId="0" borderId="0" xfId="39" applyFont="1"/>
    <xf numFmtId="7" fontId="16" fillId="0" borderId="0" xfId="39" applyNumberFormat="1" applyFont="1"/>
    <xf numFmtId="0" fontId="17" fillId="0" borderId="0" xfId="39" applyFont="1" applyFill="1" applyBorder="1" applyAlignment="1">
      <alignment horizontal="center"/>
    </xf>
    <xf numFmtId="7" fontId="2" fillId="0" borderId="0" xfId="39" applyNumberFormat="1" applyFont="1"/>
    <xf numFmtId="7" fontId="17" fillId="0" borderId="0" xfId="39" applyNumberFormat="1" applyFont="1"/>
    <xf numFmtId="0" fontId="17" fillId="0" borderId="0" xfId="39" applyFont="1" applyAlignment="1">
      <alignment horizontal="right"/>
    </xf>
    <xf numFmtId="170" fontId="2" fillId="0" borderId="0" xfId="39" applyNumberFormat="1" applyFont="1"/>
    <xf numFmtId="3" fontId="96" fillId="5" borderId="16" xfId="39" applyNumberFormat="1" applyFont="1" applyFill="1" applyBorder="1" applyAlignment="1">
      <alignment horizontal="right"/>
    </xf>
    <xf numFmtId="3" fontId="96" fillId="5" borderId="0" xfId="39" applyNumberFormat="1" applyFont="1" applyFill="1" applyBorder="1" applyAlignment="1">
      <alignment horizontal="right"/>
    </xf>
    <xf numFmtId="3" fontId="96" fillId="5" borderId="17" xfId="39" applyNumberFormat="1" applyFont="1" applyFill="1" applyBorder="1" applyAlignment="1">
      <alignment horizontal="right"/>
    </xf>
    <xf numFmtId="3" fontId="2" fillId="0" borderId="0" xfId="31" applyNumberFormat="1" applyFont="1" applyFill="1" applyBorder="1" applyAlignment="1">
      <alignment horizontal="right"/>
    </xf>
    <xf numFmtId="0" fontId="96" fillId="0" borderId="37" xfId="39" applyNumberFormat="1" applyFont="1" applyFill="1" applyBorder="1" applyAlignment="1">
      <alignment horizontal="right"/>
    </xf>
    <xf numFmtId="3" fontId="96" fillId="0" borderId="0" xfId="39" applyNumberFormat="1" applyFont="1" applyFill="1" applyBorder="1" applyAlignment="1">
      <alignment horizontal="right"/>
    </xf>
    <xf numFmtId="0" fontId="96" fillId="0" borderId="0" xfId="39" applyFont="1" applyFill="1" applyBorder="1" applyAlignment="1">
      <alignment horizontal="left"/>
    </xf>
    <xf numFmtId="0" fontId="96" fillId="5" borderId="16" xfId="39" applyFont="1" applyFill="1" applyBorder="1"/>
    <xf numFmtId="4" fontId="96" fillId="0" borderId="0" xfId="39" applyNumberFormat="1" applyFont="1" applyFill="1" applyBorder="1" applyAlignment="1">
      <alignment horizontal="right"/>
    </xf>
    <xf numFmtId="0" fontId="2" fillId="0" borderId="0" xfId="31" applyNumberFormat="1" applyFont="1" applyFill="1" applyBorder="1" applyAlignment="1"/>
    <xf numFmtId="0" fontId="2" fillId="0" borderId="0" xfId="31" applyNumberFormat="1" applyFont="1" applyFill="1" applyBorder="1" applyAlignment="1">
      <alignment horizontal="left"/>
    </xf>
    <xf numFmtId="0" fontId="2" fillId="0" borderId="0" xfId="31" applyNumberFormat="1" applyFont="1" applyFill="1" applyBorder="1" applyAlignment="1">
      <alignment horizontal="center"/>
    </xf>
    <xf numFmtId="0" fontId="96" fillId="5" borderId="0" xfId="39" applyFont="1" applyFill="1" applyBorder="1"/>
    <xf numFmtId="0" fontId="96" fillId="5" borderId="17" xfId="39" applyFont="1" applyFill="1" applyBorder="1"/>
    <xf numFmtId="0" fontId="96" fillId="0" borderId="0" xfId="39" applyFont="1" applyFill="1" applyBorder="1"/>
    <xf numFmtId="0" fontId="2" fillId="4" borderId="39" xfId="39" applyFill="1" applyBorder="1"/>
    <xf numFmtId="0" fontId="2" fillId="4" borderId="39" xfId="39" applyFill="1" applyBorder="1" applyAlignment="1">
      <alignment horizontal="left"/>
    </xf>
    <xf numFmtId="0" fontId="2" fillId="4" borderId="39" xfId="39" applyFill="1" applyBorder="1" applyAlignment="1">
      <alignment horizontal="center"/>
    </xf>
    <xf numFmtId="0" fontId="2" fillId="4" borderId="31" xfId="39" applyFill="1" applyBorder="1"/>
    <xf numFmtId="0" fontId="2" fillId="4" borderId="0" xfId="39" applyFill="1" applyBorder="1"/>
    <xf numFmtId="0" fontId="12" fillId="4" borderId="0" xfId="39" applyFont="1" applyFill="1" applyBorder="1"/>
    <xf numFmtId="0" fontId="17" fillId="0" borderId="0" xfId="39" applyFont="1" applyFill="1" applyBorder="1" applyAlignment="1">
      <alignment horizontal="right"/>
    </xf>
    <xf numFmtId="0" fontId="17" fillId="0" borderId="0" xfId="39" applyFont="1" applyFill="1" applyBorder="1"/>
    <xf numFmtId="0" fontId="96" fillId="0" borderId="0" xfId="31" applyFont="1" applyFill="1"/>
    <xf numFmtId="0" fontId="10" fillId="4" borderId="0" xfId="39" applyFont="1" applyFill="1" applyBorder="1" applyAlignment="1">
      <alignment horizontal="centerContinuous"/>
    </xf>
    <xf numFmtId="3" fontId="96" fillId="5" borderId="16" xfId="0" applyNumberFormat="1" applyFont="1" applyFill="1" applyBorder="1" applyAlignment="1">
      <alignment horizontal="right"/>
    </xf>
    <xf numFmtId="3" fontId="96" fillId="5" borderId="0" xfId="0" applyNumberFormat="1" applyFont="1" applyFill="1" applyBorder="1" applyAlignment="1">
      <alignment horizontal="right"/>
    </xf>
    <xf numFmtId="3" fontId="96" fillId="5" borderId="17" xfId="0" applyNumberFormat="1" applyFont="1" applyFill="1" applyBorder="1" applyAlignment="1">
      <alignment horizontal="right"/>
    </xf>
    <xf numFmtId="0" fontId="96" fillId="0" borderId="0" xfId="31" applyFont="1" applyFill="1" applyBorder="1"/>
    <xf numFmtId="0" fontId="2" fillId="0" borderId="0" xfId="31" applyFont="1" applyFill="1"/>
    <xf numFmtId="4" fontId="96" fillId="5" borderId="16" xfId="0" applyNumberFormat="1" applyFont="1" applyFill="1" applyBorder="1" applyAlignment="1">
      <alignment horizontal="right"/>
    </xf>
    <xf numFmtId="166" fontId="103" fillId="0" borderId="0" xfId="31" applyNumberFormat="1" applyFont="1" applyFill="1"/>
    <xf numFmtId="166" fontId="105" fillId="0" borderId="0" xfId="31" applyNumberFormat="1" applyFont="1" applyFill="1"/>
    <xf numFmtId="166" fontId="11" fillId="0" borderId="0" xfId="31" applyNumberFormat="1" applyFont="1" applyFill="1"/>
    <xf numFmtId="0" fontId="2" fillId="0" borderId="40" xfId="39" applyBorder="1"/>
    <xf numFmtId="0" fontId="2" fillId="0" borderId="0" xfId="31" applyFont="1"/>
    <xf numFmtId="0" fontId="2" fillId="0" borderId="0" xfId="31" applyFont="1" applyAlignment="1">
      <alignment horizontal="center"/>
    </xf>
    <xf numFmtId="0" fontId="2" fillId="0" borderId="0" xfId="31" applyFont="1" applyAlignment="1">
      <alignment horizontal="right"/>
    </xf>
    <xf numFmtId="0" fontId="2" fillId="0" borderId="0" xfId="39" applyAlignment="1">
      <alignment horizontal="right"/>
    </xf>
    <xf numFmtId="43" fontId="110" fillId="0" borderId="0" xfId="18" applyFont="1" applyFill="1"/>
    <xf numFmtId="7" fontId="16" fillId="0" borderId="0" xfId="33" applyNumberFormat="1" applyFont="1" applyAlignment="1">
      <alignment horizontal="right"/>
    </xf>
    <xf numFmtId="168" fontId="16" fillId="0" borderId="0" xfId="33" applyNumberFormat="1" applyFont="1" applyFill="1" applyBorder="1" applyAlignment="1">
      <alignment horizontal="right"/>
    </xf>
    <xf numFmtId="181" fontId="16" fillId="0" borderId="0" xfId="33" applyNumberFormat="1" applyFont="1" applyFill="1" applyBorder="1" applyAlignment="1">
      <alignment horizontal="center"/>
    </xf>
    <xf numFmtId="181" fontId="16" fillId="0" borderId="41" xfId="33" applyNumberFormat="1" applyFont="1" applyFill="1" applyBorder="1" applyAlignment="1">
      <alignment horizontal="center"/>
    </xf>
    <xf numFmtId="0" fontId="2" fillId="0" borderId="16" xfId="39" applyBorder="1"/>
    <xf numFmtId="0" fontId="2" fillId="0" borderId="17" xfId="39" applyBorder="1"/>
    <xf numFmtId="0" fontId="2" fillId="0" borderId="3" xfId="39" applyFont="1" applyBorder="1"/>
    <xf numFmtId="0" fontId="2" fillId="0" borderId="4" xfId="39" applyBorder="1"/>
    <xf numFmtId="6" fontId="2" fillId="0" borderId="4" xfId="20" applyNumberFormat="1" applyFont="1" applyBorder="1"/>
    <xf numFmtId="0" fontId="2" fillId="0" borderId="6" xfId="39" applyFont="1" applyBorder="1"/>
    <xf numFmtId="7" fontId="2" fillId="5" borderId="0" xfId="1" applyNumberFormat="1" applyFont="1" applyFill="1" applyBorder="1"/>
    <xf numFmtId="8" fontId="2" fillId="5" borderId="0" xfId="1" applyNumberFormat="1" applyFont="1" applyFill="1" applyBorder="1"/>
    <xf numFmtId="9" fontId="27" fillId="5" borderId="0" xfId="44" applyFont="1" applyFill="1" applyBorder="1"/>
    <xf numFmtId="169" fontId="2" fillId="5" borderId="0" xfId="1" applyNumberFormat="1" applyFont="1" applyFill="1" applyBorder="1"/>
    <xf numFmtId="168" fontId="2" fillId="5" borderId="0" xfId="1" applyNumberFormat="1" applyFont="1" applyFill="1" applyBorder="1"/>
    <xf numFmtId="170" fontId="16" fillId="5" borderId="0" xfId="44" applyNumberFormat="1" applyFont="1" applyFill="1" applyBorder="1"/>
    <xf numFmtId="37" fontId="2" fillId="5" borderId="16" xfId="1" applyNumberFormat="1" applyFont="1" applyFill="1" applyBorder="1"/>
    <xf numFmtId="37" fontId="2" fillId="5" borderId="0" xfId="1" applyNumberFormat="1" applyFont="1" applyFill="1" applyBorder="1"/>
    <xf numFmtId="37" fontId="2" fillId="0" borderId="0" xfId="1" applyNumberFormat="1" applyFont="1"/>
    <xf numFmtId="4" fontId="2" fillId="5" borderId="0" xfId="1" applyNumberFormat="1" applyFont="1" applyFill="1" applyBorder="1"/>
    <xf numFmtId="4" fontId="2" fillId="0" borderId="0" xfId="39" applyNumberFormat="1" applyBorder="1"/>
    <xf numFmtId="3" fontId="2" fillId="0" borderId="0" xfId="39" applyNumberFormat="1" applyBorder="1"/>
    <xf numFmtId="0" fontId="111" fillId="0" borderId="0" xfId="1" applyFont="1" applyFill="1" applyBorder="1"/>
    <xf numFmtId="170" fontId="0" fillId="0" borderId="0" xfId="0" applyNumberFormat="1"/>
    <xf numFmtId="0" fontId="0" fillId="0" borderId="0" xfId="41" applyNumberFormat="1" applyFont="1" applyFill="1" applyAlignment="1">
      <alignment horizontal="left"/>
    </xf>
    <xf numFmtId="3" fontId="17" fillId="0" borderId="0" xfId="1" applyNumberFormat="1" applyFont="1" applyFill="1" applyAlignment="1"/>
    <xf numFmtId="170" fontId="3" fillId="0" borderId="0" xfId="1" applyNumberFormat="1" applyFont="1" applyAlignment="1"/>
    <xf numFmtId="170" fontId="3" fillId="0" borderId="0" xfId="1" applyNumberFormat="1" applyFont="1" applyFill="1" applyAlignment="1"/>
    <xf numFmtId="170" fontId="3" fillId="0" borderId="0" xfId="1" applyNumberFormat="1" applyFont="1" applyFill="1"/>
    <xf numFmtId="170" fontId="3" fillId="0" borderId="0" xfId="1" applyNumberFormat="1" applyFont="1" applyFill="1" applyBorder="1"/>
    <xf numFmtId="177" fontId="27" fillId="0" borderId="0" xfId="1" applyNumberFormat="1" applyFont="1" applyFill="1"/>
    <xf numFmtId="8" fontId="72" fillId="0" borderId="0" xfId="19" applyNumberFormat="1" applyFont="1" applyFill="1" applyBorder="1" applyAlignment="1">
      <alignment horizontal="center"/>
    </xf>
    <xf numFmtId="170" fontId="27" fillId="0" borderId="0" xfId="1" applyNumberFormat="1" applyFont="1" applyFill="1" applyAlignment="1"/>
    <xf numFmtId="170" fontId="45" fillId="0" borderId="0" xfId="1" applyNumberFormat="1" applyFont="1" applyFill="1"/>
    <xf numFmtId="9" fontId="114" fillId="5" borderId="16" xfId="1" applyNumberFormat="1" applyFont="1" applyFill="1" applyBorder="1"/>
    <xf numFmtId="7" fontId="19" fillId="0" borderId="17" xfId="1" applyNumberFormat="1" applyFont="1" applyBorder="1"/>
    <xf numFmtId="7" fontId="16" fillId="0" borderId="17" xfId="1" applyNumberFormat="1" applyFont="1" applyBorder="1"/>
    <xf numFmtId="8" fontId="0" fillId="0" borderId="17" xfId="1" applyNumberFormat="1" applyFont="1" applyBorder="1"/>
    <xf numFmtId="7" fontId="19" fillId="0" borderId="0" xfId="1" applyNumberFormat="1" applyFont="1" applyBorder="1"/>
    <xf numFmtId="6" fontId="15" fillId="5" borderId="16" xfId="1" applyNumberFormat="1" applyFont="1" applyFill="1" applyBorder="1"/>
    <xf numFmtId="6" fontId="15" fillId="5" borderId="0" xfId="1" applyNumberFormat="1" applyFont="1" applyFill="1" applyBorder="1"/>
    <xf numFmtId="0" fontId="0" fillId="0" borderId="0" xfId="33" applyFont="1" applyAlignment="1">
      <alignment horizontal="right"/>
    </xf>
    <xf numFmtId="0" fontId="0" fillId="0" borderId="12" xfId="39" applyFont="1" applyBorder="1"/>
    <xf numFmtId="7" fontId="115" fillId="0" borderId="0" xfId="1" applyNumberFormat="1" applyFont="1" applyFill="1" applyBorder="1"/>
    <xf numFmtId="169" fontId="4" fillId="0" borderId="16" xfId="44" applyNumberFormat="1" applyFont="1" applyFill="1" applyBorder="1"/>
    <xf numFmtId="4" fontId="4" fillId="0" borderId="16" xfId="1" applyNumberFormat="1" applyFont="1" applyFill="1" applyBorder="1"/>
    <xf numFmtId="170" fontId="4" fillId="0" borderId="16" xfId="1" applyNumberFormat="1" applyFont="1" applyFill="1" applyBorder="1"/>
    <xf numFmtId="6" fontId="3" fillId="5" borderId="16" xfId="1" applyNumberFormat="1" applyFont="1" applyFill="1" applyBorder="1"/>
    <xf numFmtId="6" fontId="3" fillId="5" borderId="0" xfId="1" applyNumberFormat="1" applyFont="1" applyFill="1" applyBorder="1"/>
    <xf numFmtId="3" fontId="0" fillId="0" borderId="16" xfId="1" applyNumberFormat="1" applyFont="1" applyFill="1" applyBorder="1"/>
    <xf numFmtId="178" fontId="4" fillId="0" borderId="16" xfId="1" applyNumberFormat="1" applyFont="1" applyFill="1" applyBorder="1"/>
    <xf numFmtId="7" fontId="93" fillId="0" borderId="0" xfId="1" applyNumberFormat="1" applyFont="1" applyAlignment="1">
      <alignment horizontal="right"/>
    </xf>
    <xf numFmtId="0" fontId="93" fillId="0" borderId="0" xfId="1" applyFont="1" applyAlignment="1">
      <alignment horizontal="right"/>
    </xf>
    <xf numFmtId="0" fontId="117" fillId="0" borderId="0" xfId="33" applyFont="1"/>
    <xf numFmtId="8" fontId="28" fillId="0" borderId="0" xfId="44" applyNumberFormat="1" applyFont="1" applyBorder="1"/>
    <xf numFmtId="0" fontId="0" fillId="0" borderId="0" xfId="19" applyNumberFormat="1" applyFont="1" applyBorder="1"/>
    <xf numFmtId="37" fontId="3" fillId="5" borderId="0" xfId="1" applyNumberFormat="1" applyFont="1" applyFill="1" applyBorder="1"/>
    <xf numFmtId="0" fontId="118" fillId="0" borderId="0" xfId="1" applyNumberFormat="1" applyFont="1" applyFill="1" applyBorder="1"/>
    <xf numFmtId="0" fontId="118" fillId="0" borderId="0" xfId="1" applyFont="1" applyFill="1" applyBorder="1"/>
    <xf numFmtId="4" fontId="118" fillId="5" borderId="16" xfId="1" applyNumberFormat="1" applyFont="1" applyFill="1" applyBorder="1"/>
    <xf numFmtId="4" fontId="118" fillId="5" borderId="0" xfId="1" applyNumberFormat="1" applyFont="1" applyFill="1" applyBorder="1"/>
    <xf numFmtId="4" fontId="118" fillId="5" borderId="17" xfId="1" applyNumberFormat="1" applyFont="1" applyFill="1" applyBorder="1"/>
    <xf numFmtId="170" fontId="119" fillId="0" borderId="0" xfId="18" applyNumberFormat="1" applyFont="1" applyFill="1" applyBorder="1"/>
    <xf numFmtId="170" fontId="119" fillId="5" borderId="16" xfId="18" applyNumberFormat="1" applyFont="1" applyFill="1" applyBorder="1"/>
    <xf numFmtId="170" fontId="119" fillId="5" borderId="0" xfId="18" applyNumberFormat="1" applyFont="1" applyFill="1" applyBorder="1"/>
    <xf numFmtId="170" fontId="119" fillId="5" borderId="17" xfId="18" applyNumberFormat="1" applyFont="1" applyFill="1" applyBorder="1"/>
    <xf numFmtId="37" fontId="118" fillId="5" borderId="16" xfId="18" applyNumberFormat="1" applyFont="1" applyFill="1" applyBorder="1"/>
    <xf numFmtId="37" fontId="118" fillId="5" borderId="0" xfId="18" applyNumberFormat="1" applyFont="1" applyFill="1" applyBorder="1"/>
    <xf numFmtId="37" fontId="118" fillId="5" borderId="17" xfId="18" applyNumberFormat="1" applyFont="1" applyFill="1" applyBorder="1"/>
    <xf numFmtId="37" fontId="118" fillId="0" borderId="0" xfId="18" applyNumberFormat="1" applyFont="1" applyFill="1" applyBorder="1"/>
    <xf numFmtId="37" fontId="118" fillId="5" borderId="16" xfId="1" applyNumberFormat="1" applyFont="1" applyFill="1" applyBorder="1"/>
    <xf numFmtId="37" fontId="118" fillId="5" borderId="0" xfId="1" applyNumberFormat="1" applyFont="1" applyFill="1" applyBorder="1"/>
    <xf numFmtId="37" fontId="118" fillId="5" borderId="17" xfId="1" applyNumberFormat="1" applyFont="1" applyFill="1" applyBorder="1"/>
    <xf numFmtId="6" fontId="118" fillId="0" borderId="0" xfId="18" applyNumberFormat="1" applyFont="1" applyFill="1" applyBorder="1"/>
    <xf numFmtId="8" fontId="0" fillId="0" borderId="0" xfId="0" applyNumberFormat="1"/>
    <xf numFmtId="9" fontId="120" fillId="0" borderId="0" xfId="18" applyNumberFormat="1" applyFont="1" applyFill="1" applyBorder="1"/>
    <xf numFmtId="4" fontId="16" fillId="5" borderId="17" xfId="35" applyNumberFormat="1" applyFont="1" applyFill="1" applyBorder="1" applyAlignment="1">
      <alignment horizontal="right"/>
    </xf>
    <xf numFmtId="4" fontId="16" fillId="5" borderId="0" xfId="35" applyNumberFormat="1" applyFont="1" applyFill="1" applyBorder="1" applyAlignment="1">
      <alignment horizontal="right"/>
    </xf>
    <xf numFmtId="4" fontId="3" fillId="5" borderId="16" xfId="35" applyNumberFormat="1" applyFont="1" applyFill="1" applyBorder="1" applyAlignment="1">
      <alignment horizontal="right"/>
    </xf>
    <xf numFmtId="4" fontId="116" fillId="5" borderId="17" xfId="35" applyNumberFormat="1" applyFont="1" applyFill="1" applyBorder="1" applyAlignment="1">
      <alignment horizontal="right"/>
    </xf>
    <xf numFmtId="4" fontId="116" fillId="5" borderId="0" xfId="35" applyNumberFormat="1" applyFont="1" applyFill="1" applyBorder="1" applyAlignment="1">
      <alignment horizontal="right"/>
    </xf>
    <xf numFmtId="4" fontId="116" fillId="5" borderId="16" xfId="35" applyNumberFormat="1" applyFont="1" applyFill="1" applyBorder="1" applyAlignment="1">
      <alignment horizontal="right"/>
    </xf>
    <xf numFmtId="3" fontId="16" fillId="0" borderId="0" xfId="39" applyNumberFormat="1" applyFont="1" applyFill="1" applyBorder="1" applyAlignment="1">
      <alignment horizontal="center"/>
    </xf>
    <xf numFmtId="0" fontId="116" fillId="0" borderId="0" xfId="39" applyFont="1" applyFill="1" applyBorder="1"/>
    <xf numFmtId="0" fontId="10" fillId="0" borderId="0" xfId="39" applyFont="1" applyFill="1" applyBorder="1"/>
    <xf numFmtId="187" fontId="116" fillId="0" borderId="0" xfId="39" applyNumberFormat="1" applyFont="1" applyFill="1" applyBorder="1" applyAlignment="1">
      <alignment horizontal="center"/>
    </xf>
    <xf numFmtId="4" fontId="16" fillId="5" borderId="16" xfId="35" applyNumberFormat="1" applyFont="1" applyFill="1" applyBorder="1" applyAlignment="1">
      <alignment horizontal="right"/>
    </xf>
    <xf numFmtId="0" fontId="17" fillId="5" borderId="16" xfId="35" applyFont="1" applyFill="1" applyBorder="1" applyAlignment="1">
      <alignment horizontal="centerContinuous"/>
    </xf>
    <xf numFmtId="0" fontId="116" fillId="5" borderId="0" xfId="35" applyFont="1" applyFill="1" applyBorder="1" applyAlignment="1">
      <alignment horizontal="centerContinuous"/>
    </xf>
    <xf numFmtId="0" fontId="116" fillId="5" borderId="17" xfId="35" applyFont="1" applyFill="1" applyBorder="1" applyAlignment="1">
      <alignment horizontal="centerContinuous"/>
    </xf>
    <xf numFmtId="0" fontId="16" fillId="5" borderId="0" xfId="35" applyFont="1" applyFill="1" applyBorder="1" applyAlignment="1">
      <alignment horizontal="centerContinuous"/>
    </xf>
    <xf numFmtId="0" fontId="16" fillId="5" borderId="16" xfId="35" applyFont="1" applyFill="1" applyBorder="1" applyAlignment="1">
      <alignment horizontal="centerContinuous"/>
    </xf>
    <xf numFmtId="0" fontId="16" fillId="5" borderId="17" xfId="35" applyFont="1" applyFill="1" applyBorder="1" applyAlignment="1">
      <alignment horizontal="centerContinuous"/>
    </xf>
    <xf numFmtId="0" fontId="19" fillId="5" borderId="17" xfId="35" applyFont="1" applyFill="1" applyBorder="1" applyAlignment="1">
      <alignment horizontal="centerContinuous"/>
    </xf>
    <xf numFmtId="0" fontId="19" fillId="5" borderId="0" xfId="35" applyFont="1" applyFill="1" applyBorder="1" applyAlignment="1">
      <alignment horizontal="centerContinuous"/>
    </xf>
    <xf numFmtId="0" fontId="13" fillId="4" borderId="0" xfId="39" applyFont="1" applyFill="1" applyBorder="1"/>
    <xf numFmtId="4" fontId="3" fillId="5" borderId="0" xfId="35" applyNumberFormat="1" applyFont="1" applyFill="1" applyBorder="1" applyAlignment="1">
      <alignment horizontal="right"/>
    </xf>
    <xf numFmtId="9" fontId="16" fillId="0" borderId="0" xfId="39" applyNumberFormat="1" applyFont="1" applyFill="1" applyBorder="1" applyAlignment="1">
      <alignment horizontal="center"/>
    </xf>
    <xf numFmtId="4" fontId="3" fillId="5" borderId="17" xfId="35" applyNumberFormat="1" applyFont="1" applyFill="1" applyBorder="1" applyAlignment="1">
      <alignment horizontal="right"/>
    </xf>
    <xf numFmtId="0" fontId="3" fillId="0" borderId="0" xfId="39" applyFont="1" applyFill="1" applyBorder="1"/>
    <xf numFmtId="0" fontId="116" fillId="0" borderId="0" xfId="39" applyFont="1" applyFill="1" applyBorder="1" applyAlignment="1">
      <alignment horizontal="center"/>
    </xf>
    <xf numFmtId="0" fontId="13" fillId="4" borderId="3" xfId="39" applyFont="1" applyFill="1" applyBorder="1"/>
    <xf numFmtId="0" fontId="116" fillId="5" borderId="16" xfId="35" applyFont="1" applyFill="1" applyBorder="1" applyAlignment="1">
      <alignment horizontal="centerContinuous"/>
    </xf>
    <xf numFmtId="2" fontId="116" fillId="5" borderId="16" xfId="35" applyNumberFormat="1" applyFont="1" applyFill="1" applyBorder="1" applyAlignment="1">
      <alignment horizontal="right"/>
    </xf>
    <xf numFmtId="2" fontId="116" fillId="5" borderId="0" xfId="35" applyNumberFormat="1" applyFont="1" applyFill="1" applyBorder="1" applyAlignment="1">
      <alignment horizontal="right"/>
    </xf>
    <xf numFmtId="2" fontId="116" fillId="5" borderId="17" xfId="35" applyNumberFormat="1" applyFont="1" applyFill="1" applyBorder="1" applyAlignment="1">
      <alignment horizontal="right"/>
    </xf>
    <xf numFmtId="2" fontId="3" fillId="5" borderId="17" xfId="35" applyNumberFormat="1" applyFont="1" applyFill="1" applyBorder="1" applyAlignment="1">
      <alignment horizontal="right"/>
    </xf>
    <xf numFmtId="2" fontId="3" fillId="5" borderId="0" xfId="35" applyNumberFormat="1" applyFont="1" applyFill="1" applyBorder="1" applyAlignment="1">
      <alignment horizontal="right"/>
    </xf>
    <xf numFmtId="2" fontId="16" fillId="5" borderId="0" xfId="35" applyNumberFormat="1" applyFont="1" applyFill="1" applyBorder="1" applyAlignment="1">
      <alignment horizontal="right"/>
    </xf>
    <xf numFmtId="2" fontId="16" fillId="5" borderId="17" xfId="35" applyNumberFormat="1" applyFont="1" applyFill="1" applyBorder="1" applyAlignment="1">
      <alignment horizontal="right"/>
    </xf>
    <xf numFmtId="0" fontId="116" fillId="4" borderId="0" xfId="39" applyFont="1" applyFill="1" applyBorder="1"/>
    <xf numFmtId="3" fontId="116" fillId="5" borderId="16" xfId="35" applyNumberFormat="1" applyFont="1" applyFill="1" applyBorder="1" applyAlignment="1">
      <alignment horizontal="right"/>
    </xf>
    <xf numFmtId="3" fontId="116" fillId="5" borderId="0" xfId="35" applyNumberFormat="1" applyFont="1" applyFill="1" applyBorder="1" applyAlignment="1">
      <alignment horizontal="right"/>
    </xf>
    <xf numFmtId="3" fontId="116" fillId="5" borderId="17" xfId="35" applyNumberFormat="1" applyFont="1" applyFill="1" applyBorder="1" applyAlignment="1">
      <alignment horizontal="right"/>
    </xf>
    <xf numFmtId="3" fontId="16" fillId="5" borderId="0" xfId="35" applyNumberFormat="1" applyFont="1" applyFill="1" applyBorder="1" applyAlignment="1">
      <alignment horizontal="right"/>
    </xf>
    <xf numFmtId="3" fontId="16" fillId="5" borderId="17" xfId="35" applyNumberFormat="1" applyFont="1" applyFill="1" applyBorder="1" applyAlignment="1">
      <alignment horizontal="right"/>
    </xf>
    <xf numFmtId="3" fontId="16" fillId="5" borderId="16" xfId="35" applyNumberFormat="1" applyFont="1" applyFill="1" applyBorder="1" applyAlignment="1">
      <alignment horizontal="right"/>
    </xf>
    <xf numFmtId="0" fontId="19" fillId="5" borderId="16" xfId="35" applyFont="1" applyFill="1" applyBorder="1" applyAlignment="1">
      <alignment horizontal="centerContinuous"/>
    </xf>
    <xf numFmtId="3" fontId="27" fillId="5" borderId="16" xfId="35" applyNumberFormat="1" applyFont="1" applyFill="1" applyBorder="1" applyAlignment="1">
      <alignment horizontal="right"/>
    </xf>
    <xf numFmtId="3" fontId="27" fillId="5" borderId="0" xfId="35" applyNumberFormat="1" applyFont="1" applyFill="1" applyBorder="1" applyAlignment="1">
      <alignment horizontal="right"/>
    </xf>
    <xf numFmtId="3" fontId="27" fillId="5" borderId="17" xfId="35" applyNumberFormat="1" applyFont="1" applyFill="1" applyBorder="1" applyAlignment="1">
      <alignment horizontal="right"/>
    </xf>
    <xf numFmtId="3" fontId="27" fillId="5" borderId="0" xfId="36" applyNumberFormat="1" applyFont="1" applyFill="1" applyBorder="1" applyAlignment="1">
      <alignment horizontal="right"/>
    </xf>
    <xf numFmtId="3" fontId="27" fillId="5" borderId="17" xfId="36" applyNumberFormat="1" applyFont="1" applyFill="1" applyBorder="1" applyAlignment="1">
      <alignment horizontal="right"/>
    </xf>
    <xf numFmtId="3" fontId="3" fillId="5" borderId="0" xfId="36" applyNumberFormat="1" applyFont="1" applyFill="1" applyBorder="1" applyAlignment="1">
      <alignment horizontal="right"/>
    </xf>
    <xf numFmtId="3" fontId="3" fillId="5" borderId="17" xfId="36" applyNumberFormat="1" applyFont="1" applyFill="1" applyBorder="1" applyAlignment="1">
      <alignment horizontal="right"/>
    </xf>
    <xf numFmtId="3" fontId="15" fillId="5" borderId="0" xfId="35" applyNumberFormat="1" applyFont="1" applyFill="1" applyBorder="1" applyAlignment="1">
      <alignment horizontal="right"/>
    </xf>
    <xf numFmtId="3" fontId="3" fillId="5" borderId="0" xfId="35" applyNumberFormat="1" applyFont="1" applyFill="1" applyBorder="1" applyAlignment="1">
      <alignment horizontal="right"/>
    </xf>
    <xf numFmtId="3" fontId="3" fillId="5" borderId="17" xfId="35" applyNumberFormat="1" applyFont="1" applyFill="1" applyBorder="1" applyAlignment="1">
      <alignment horizontal="right"/>
    </xf>
    <xf numFmtId="3" fontId="16" fillId="5" borderId="0" xfId="36" applyNumberFormat="1" applyFont="1" applyFill="1" applyBorder="1" applyAlignment="1">
      <alignment horizontal="right"/>
    </xf>
    <xf numFmtId="3" fontId="16" fillId="5" borderId="17" xfId="36" applyNumberFormat="1" applyFont="1" applyFill="1" applyBorder="1" applyAlignment="1">
      <alignment horizontal="right"/>
    </xf>
    <xf numFmtId="3" fontId="15" fillId="5" borderId="17" xfId="35" applyNumberFormat="1" applyFont="1" applyFill="1" applyBorder="1" applyAlignment="1">
      <alignment horizontal="right"/>
    </xf>
    <xf numFmtId="0" fontId="17" fillId="5" borderId="17" xfId="35" applyFont="1" applyFill="1" applyBorder="1" applyAlignment="1">
      <alignment horizontal="centerContinuous"/>
    </xf>
    <xf numFmtId="0" fontId="0" fillId="0" borderId="0" xfId="33" applyFont="1"/>
    <xf numFmtId="4" fontId="19" fillId="5" borderId="0" xfId="35" applyNumberFormat="1" applyFont="1" applyFill="1" applyBorder="1" applyAlignment="1">
      <alignment horizontal="right"/>
    </xf>
    <xf numFmtId="4" fontId="19" fillId="5" borderId="17" xfId="35" applyNumberFormat="1" applyFont="1" applyFill="1" applyBorder="1" applyAlignment="1">
      <alignment horizontal="right"/>
    </xf>
    <xf numFmtId="0" fontId="17" fillId="0" borderId="0" xfId="40" applyFont="1"/>
    <xf numFmtId="8" fontId="3" fillId="0" borderId="0" xfId="40" applyNumberFormat="1"/>
    <xf numFmtId="0" fontId="0" fillId="0" borderId="0" xfId="33" applyFont="1" applyFill="1" applyBorder="1"/>
    <xf numFmtId="4" fontId="121" fillId="5" borderId="0" xfId="37" applyNumberFormat="1" applyFont="1" applyFill="1" applyBorder="1" applyAlignment="1">
      <alignment horizontal="right"/>
    </xf>
    <xf numFmtId="4" fontId="16" fillId="5" borderId="0" xfId="37" applyNumberFormat="1" applyFont="1" applyFill="1" applyBorder="1" applyAlignment="1">
      <alignment horizontal="right"/>
    </xf>
    <xf numFmtId="4" fontId="16" fillId="5" borderId="16" xfId="37" applyNumberFormat="1" applyFont="1" applyFill="1" applyBorder="1" applyAlignment="1">
      <alignment horizontal="right"/>
    </xf>
    <xf numFmtId="4" fontId="16" fillId="5" borderId="17" xfId="37" applyNumberFormat="1" applyFont="1" applyFill="1" applyBorder="1" applyAlignment="1">
      <alignment horizontal="right"/>
    </xf>
    <xf numFmtId="0" fontId="16" fillId="5" borderId="0" xfId="37" applyFont="1" applyFill="1" applyBorder="1" applyAlignment="1">
      <alignment horizontal="centerContinuous"/>
    </xf>
    <xf numFmtId="0" fontId="16" fillId="5" borderId="16" xfId="37" applyFont="1" applyFill="1" applyBorder="1" applyAlignment="1">
      <alignment horizontal="centerContinuous"/>
    </xf>
    <xf numFmtId="0" fontId="19" fillId="5" borderId="16" xfId="37" applyFont="1" applyFill="1" applyBorder="1" applyAlignment="1">
      <alignment horizontal="centerContinuous"/>
    </xf>
    <xf numFmtId="0" fontId="16" fillId="5" borderId="17" xfId="37" applyFont="1" applyFill="1" applyBorder="1" applyAlignment="1">
      <alignment horizontal="centerContinuous"/>
    </xf>
    <xf numFmtId="3" fontId="121" fillId="5" borderId="0" xfId="37" applyNumberFormat="1" applyFont="1" applyFill="1" applyBorder="1" applyAlignment="1">
      <alignment horizontal="right"/>
    </xf>
    <xf numFmtId="3" fontId="16" fillId="5" borderId="0" xfId="37" applyNumberFormat="1" applyFont="1" applyFill="1" applyBorder="1" applyAlignment="1">
      <alignment horizontal="right"/>
    </xf>
    <xf numFmtId="3" fontId="16" fillId="5" borderId="16" xfId="37" applyNumberFormat="1" applyFont="1" applyFill="1" applyBorder="1" applyAlignment="1">
      <alignment horizontal="right"/>
    </xf>
    <xf numFmtId="3" fontId="16" fillId="5" borderId="17" xfId="37" applyNumberFormat="1" applyFont="1" applyFill="1" applyBorder="1" applyAlignment="1">
      <alignment horizontal="right"/>
    </xf>
    <xf numFmtId="3" fontId="121" fillId="5" borderId="16" xfId="37" applyNumberFormat="1" applyFont="1" applyFill="1" applyBorder="1" applyAlignment="1">
      <alignment horizontal="right"/>
    </xf>
    <xf numFmtId="3" fontId="121" fillId="5" borderId="17" xfId="37" applyNumberFormat="1" applyFont="1" applyFill="1" applyBorder="1" applyAlignment="1">
      <alignment horizontal="right"/>
    </xf>
    <xf numFmtId="4" fontId="121" fillId="5" borderId="16" xfId="37" applyNumberFormat="1" applyFont="1" applyFill="1" applyBorder="1" applyAlignment="1">
      <alignment horizontal="right"/>
    </xf>
    <xf numFmtId="4" fontId="121" fillId="5" borderId="17" xfId="37" applyNumberFormat="1" applyFont="1" applyFill="1" applyBorder="1" applyAlignment="1">
      <alignment horizontal="right"/>
    </xf>
    <xf numFmtId="0" fontId="17" fillId="5" borderId="16" xfId="37" applyFont="1" applyFill="1" applyBorder="1" applyAlignment="1">
      <alignment horizontal="centerContinuous"/>
    </xf>
    <xf numFmtId="4" fontId="3" fillId="5" borderId="17" xfId="37" applyNumberFormat="1" applyFont="1" applyFill="1" applyBorder="1" applyAlignment="1">
      <alignment horizontal="right"/>
    </xf>
    <xf numFmtId="2" fontId="3" fillId="5" borderId="17" xfId="37" applyNumberFormat="1" applyFont="1" applyFill="1" applyBorder="1" applyAlignment="1">
      <alignment horizontal="right"/>
    </xf>
    <xf numFmtId="0" fontId="121" fillId="5" borderId="0" xfId="37" applyFont="1" applyFill="1" applyBorder="1" applyAlignment="1">
      <alignment horizontal="centerContinuous"/>
    </xf>
    <xf numFmtId="0" fontId="121" fillId="5" borderId="17" xfId="37" applyFont="1" applyFill="1" applyBorder="1" applyAlignment="1">
      <alignment horizontal="centerContinuous"/>
    </xf>
    <xf numFmtId="2" fontId="121" fillId="5" borderId="16" xfId="37" applyNumberFormat="1" applyFont="1" applyFill="1" applyBorder="1" applyAlignment="1">
      <alignment horizontal="right"/>
    </xf>
    <xf numFmtId="2" fontId="121" fillId="5" borderId="0" xfId="37" applyNumberFormat="1" applyFont="1" applyFill="1" applyBorder="1" applyAlignment="1">
      <alignment horizontal="right"/>
    </xf>
    <xf numFmtId="2" fontId="121" fillId="5" borderId="17" xfId="37" applyNumberFormat="1" applyFont="1" applyFill="1" applyBorder="1" applyAlignment="1">
      <alignment horizontal="right"/>
    </xf>
    <xf numFmtId="0" fontId="121" fillId="5" borderId="16" xfId="37" applyFont="1" applyFill="1" applyBorder="1" applyAlignment="1">
      <alignment horizontal="centerContinuous"/>
    </xf>
    <xf numFmtId="0" fontId="121" fillId="0" borderId="0" xfId="40" applyFont="1" applyFill="1" applyBorder="1"/>
    <xf numFmtId="3" fontId="16" fillId="0" borderId="0" xfId="40" applyNumberFormat="1" applyFont="1" applyFill="1" applyBorder="1" applyAlignment="1">
      <alignment horizontal="center"/>
    </xf>
    <xf numFmtId="187" fontId="121" fillId="0" borderId="0" xfId="40" applyNumberFormat="1" applyFont="1" applyFill="1" applyBorder="1" applyAlignment="1">
      <alignment horizontal="center"/>
    </xf>
    <xf numFmtId="0" fontId="12" fillId="4" borderId="0" xfId="40" applyFont="1" applyFill="1" applyBorder="1"/>
    <xf numFmtId="0" fontId="12" fillId="4" borderId="0" xfId="40" applyFont="1" applyFill="1" applyBorder="1" applyAlignment="1">
      <alignment horizontal="center"/>
    </xf>
    <xf numFmtId="0" fontId="17" fillId="0" borderId="0" xfId="40" applyFont="1" applyFill="1" applyBorder="1" applyAlignment="1">
      <alignment horizontal="right"/>
    </xf>
    <xf numFmtId="9" fontId="16" fillId="0" borderId="0" xfId="40" applyNumberFormat="1" applyFont="1" applyFill="1" applyBorder="1" applyAlignment="1">
      <alignment horizontal="center"/>
    </xf>
    <xf numFmtId="0" fontId="3" fillId="0" borderId="0" xfId="40" applyFont="1" applyFill="1" applyBorder="1"/>
    <xf numFmtId="0" fontId="17" fillId="0" borderId="0" xfId="40" applyFont="1" applyFill="1" applyBorder="1"/>
    <xf numFmtId="0" fontId="121" fillId="0" borderId="0" xfId="40" applyFont="1" applyFill="1" applyBorder="1" applyAlignment="1">
      <alignment horizontal="center"/>
    </xf>
    <xf numFmtId="0" fontId="10" fillId="4" borderId="0" xfId="40" applyFont="1" applyFill="1" applyBorder="1" applyAlignment="1">
      <alignment horizontal="centerContinuous"/>
    </xf>
    <xf numFmtId="0" fontId="10" fillId="4" borderId="0" xfId="40" applyFont="1" applyFill="1" applyBorder="1" applyAlignment="1">
      <alignment horizontal="center"/>
    </xf>
    <xf numFmtId="0" fontId="17" fillId="0" borderId="0" xfId="40" applyFont="1" applyFill="1" applyBorder="1" applyAlignment="1">
      <alignment horizontal="center"/>
    </xf>
    <xf numFmtId="0" fontId="121" fillId="4" borderId="0" xfId="40" applyFont="1" applyFill="1" applyBorder="1"/>
    <xf numFmtId="0" fontId="101" fillId="4" borderId="0" xfId="40" applyFont="1" applyFill="1" applyBorder="1" applyAlignment="1">
      <alignment horizontal="center"/>
    </xf>
    <xf numFmtId="3" fontId="27" fillId="5" borderId="16" xfId="37" applyNumberFormat="1" applyFont="1" applyFill="1" applyBorder="1" applyAlignment="1">
      <alignment horizontal="right"/>
    </xf>
    <xf numFmtId="3" fontId="27" fillId="5" borderId="0" xfId="37" applyNumberFormat="1" applyFont="1" applyFill="1" applyBorder="1" applyAlignment="1">
      <alignment horizontal="right"/>
    </xf>
    <xf numFmtId="3" fontId="27" fillId="5" borderId="17" xfId="37" applyNumberFormat="1" applyFont="1" applyFill="1" applyBorder="1" applyAlignment="1">
      <alignment horizontal="right"/>
    </xf>
    <xf numFmtId="169" fontId="66" fillId="5" borderId="16" xfId="44" applyNumberFormat="1" applyFont="1" applyFill="1" applyBorder="1"/>
    <xf numFmtId="169" fontId="66" fillId="5" borderId="0" xfId="44" applyNumberFormat="1" applyFont="1" applyFill="1" applyBorder="1"/>
    <xf numFmtId="170" fontId="65" fillId="0" borderId="0" xfId="41" applyNumberFormat="1" applyFont="1" applyFill="1" applyAlignment="1">
      <alignment horizontal="right"/>
    </xf>
    <xf numFmtId="0" fontId="65" fillId="0" borderId="0" xfId="41" applyFont="1" applyFill="1" applyAlignment="1">
      <alignment horizontal="center"/>
    </xf>
    <xf numFmtId="0" fontId="16" fillId="0" borderId="0" xfId="41" applyFont="1" applyFill="1" applyAlignment="1">
      <alignment horizontal="center"/>
    </xf>
    <xf numFmtId="1" fontId="45" fillId="0" borderId="19" xfId="19" applyNumberFormat="1" applyFont="1" applyFill="1" applyBorder="1" applyAlignment="1">
      <alignment horizontal="center"/>
    </xf>
    <xf numFmtId="43" fontId="16" fillId="5" borderId="17" xfId="18" applyNumberFormat="1" applyFont="1" applyFill="1" applyBorder="1"/>
    <xf numFmtId="43" fontId="19" fillId="0" borderId="0" xfId="18" applyNumberFormat="1" applyFont="1" applyBorder="1"/>
    <xf numFmtId="43" fontId="16" fillId="5" borderId="16" xfId="18" applyNumberFormat="1" applyFont="1" applyFill="1" applyBorder="1"/>
    <xf numFmtId="43" fontId="16" fillId="5" borderId="0" xfId="18" applyNumberFormat="1" applyFont="1" applyFill="1" applyBorder="1"/>
    <xf numFmtId="170" fontId="65" fillId="0" borderId="0" xfId="19" applyNumberFormat="1" applyFont="1" applyFill="1" applyBorder="1" applyAlignment="1">
      <alignment horizontal="center"/>
    </xf>
    <xf numFmtId="170" fontId="3" fillId="0" borderId="0" xfId="18" applyNumberFormat="1" applyFont="1" applyFill="1" applyBorder="1"/>
    <xf numFmtId="170" fontId="17" fillId="0" borderId="0" xfId="20" applyNumberFormat="1" applyFont="1" applyFill="1" applyBorder="1" applyAlignment="1">
      <alignment horizontal="center"/>
    </xf>
    <xf numFmtId="170" fontId="17" fillId="0" borderId="16" xfId="1" applyNumberFormat="1" applyFont="1" applyFill="1" applyBorder="1" applyAlignment="1">
      <alignment horizontal="center"/>
    </xf>
    <xf numFmtId="0" fontId="13" fillId="4" borderId="42" xfId="39" applyFont="1" applyFill="1" applyBorder="1"/>
    <xf numFmtId="0" fontId="20" fillId="4" borderId="43" xfId="39" applyFont="1" applyFill="1" applyBorder="1"/>
    <xf numFmtId="0" fontId="20" fillId="4" borderId="44" xfId="39" applyFont="1" applyFill="1" applyBorder="1" applyAlignment="1">
      <alignment horizontal="center"/>
    </xf>
    <xf numFmtId="0" fontId="10" fillId="5" borderId="45" xfId="39" applyFont="1" applyFill="1" applyBorder="1" applyAlignment="1">
      <alignment horizontal="centerContinuous"/>
    </xf>
    <xf numFmtId="0" fontId="12" fillId="5" borderId="46" xfId="39" applyFont="1" applyFill="1" applyBorder="1" applyAlignment="1">
      <alignment horizontal="centerContinuous"/>
    </xf>
    <xf numFmtId="0" fontId="12" fillId="5" borderId="47" xfId="39" applyFont="1" applyFill="1" applyBorder="1" applyAlignment="1">
      <alignment horizontal="centerContinuous"/>
    </xf>
    <xf numFmtId="0" fontId="10" fillId="5" borderId="47" xfId="39" applyFont="1" applyFill="1" applyBorder="1" applyAlignment="1">
      <alignment horizontal="centerContinuous"/>
    </xf>
    <xf numFmtId="0" fontId="10" fillId="5" borderId="46" xfId="39" applyFont="1" applyFill="1" applyBorder="1" applyAlignment="1">
      <alignment horizontal="centerContinuous"/>
    </xf>
    <xf numFmtId="0" fontId="10" fillId="5" borderId="48" xfId="39" applyFont="1" applyFill="1" applyBorder="1" applyAlignment="1">
      <alignment horizontal="centerContinuous"/>
    </xf>
    <xf numFmtId="0" fontId="10" fillId="0" borderId="49" xfId="39" applyFont="1" applyFill="1" applyBorder="1"/>
    <xf numFmtId="4" fontId="99" fillId="5" borderId="50" xfId="39" applyNumberFormat="1" applyFont="1" applyFill="1" applyBorder="1" applyAlignment="1">
      <alignment horizontal="right"/>
    </xf>
    <xf numFmtId="0" fontId="10" fillId="0" borderId="49" xfId="40" applyFont="1" applyFill="1" applyBorder="1"/>
    <xf numFmtId="0" fontId="121" fillId="0" borderId="49" xfId="40" applyFont="1" applyFill="1" applyBorder="1"/>
    <xf numFmtId="0" fontId="13" fillId="4" borderId="49" xfId="40" applyFont="1" applyFill="1" applyBorder="1"/>
    <xf numFmtId="0" fontId="3" fillId="0" borderId="49" xfId="40" applyFont="1" applyFill="1" applyBorder="1"/>
    <xf numFmtId="0" fontId="13" fillId="4" borderId="51" xfId="40" applyFont="1" applyFill="1" applyBorder="1"/>
    <xf numFmtId="0" fontId="10" fillId="0" borderId="49" xfId="40" applyFont="1" applyFill="1" applyBorder="1" applyAlignment="1">
      <alignment horizontal="left"/>
    </xf>
    <xf numFmtId="0" fontId="96" fillId="0" borderId="49" xfId="39" applyFont="1" applyFill="1" applyBorder="1"/>
    <xf numFmtId="3" fontId="96" fillId="5" borderId="50" xfId="0" applyNumberFormat="1" applyFont="1" applyFill="1" applyBorder="1" applyAlignment="1">
      <alignment horizontal="right"/>
    </xf>
    <xf numFmtId="4" fontId="96" fillId="5" borderId="50" xfId="39" applyNumberFormat="1" applyFont="1" applyFill="1" applyBorder="1" applyAlignment="1">
      <alignment horizontal="right"/>
    </xf>
    <xf numFmtId="0" fontId="2" fillId="0" borderId="49" xfId="31" applyNumberFormat="1" applyFont="1" applyFill="1" applyBorder="1" applyAlignment="1"/>
    <xf numFmtId="0" fontId="96" fillId="5" borderId="50" xfId="39" applyFont="1" applyFill="1" applyBorder="1"/>
    <xf numFmtId="0" fontId="2" fillId="4" borderId="52" xfId="39" applyFill="1" applyBorder="1"/>
    <xf numFmtId="0" fontId="2" fillId="4" borderId="53" xfId="39" applyFill="1" applyBorder="1"/>
    <xf numFmtId="0" fontId="2" fillId="4" borderId="53" xfId="39" applyFill="1" applyBorder="1" applyAlignment="1">
      <alignment horizontal="center"/>
    </xf>
    <xf numFmtId="0" fontId="2" fillId="4" borderId="54" xfId="39" applyFill="1" applyBorder="1"/>
    <xf numFmtId="0" fontId="2" fillId="4" borderId="55" xfId="39" applyFill="1" applyBorder="1"/>
    <xf numFmtId="0" fontId="2" fillId="4" borderId="56" xfId="39" applyFill="1" applyBorder="1"/>
    <xf numFmtId="170" fontId="3" fillId="5" borderId="16" xfId="18" applyNumberFormat="1" applyFont="1" applyFill="1" applyBorder="1"/>
    <xf numFmtId="170" fontId="3" fillId="5" borderId="0" xfId="18" applyNumberFormat="1" applyFont="1" applyFill="1" applyBorder="1"/>
    <xf numFmtId="170" fontId="3" fillId="5" borderId="17" xfId="18" applyNumberFormat="1" applyFont="1" applyFill="1" applyBorder="1"/>
    <xf numFmtId="9" fontId="3" fillId="0" borderId="0" xfId="1" applyNumberFormat="1" applyFont="1" applyFill="1" applyBorder="1"/>
    <xf numFmtId="43" fontId="16" fillId="0" borderId="0" xfId="1" applyNumberFormat="1" applyFont="1" applyFill="1" applyBorder="1"/>
    <xf numFmtId="43" fontId="16" fillId="5" borderId="16" xfId="1" applyNumberFormat="1" applyFont="1" applyFill="1" applyBorder="1"/>
    <xf numFmtId="43" fontId="16" fillId="5" borderId="0" xfId="1" applyNumberFormat="1" applyFont="1" applyFill="1" applyBorder="1"/>
    <xf numFmtId="43" fontId="16" fillId="5" borderId="17" xfId="1" applyNumberFormat="1" applyFont="1" applyFill="1" applyBorder="1"/>
    <xf numFmtId="169" fontId="3" fillId="0" borderId="0" xfId="1" applyNumberFormat="1" applyFont="1" applyFill="1" applyBorder="1"/>
    <xf numFmtId="8" fontId="3" fillId="5" borderId="16" xfId="18" applyNumberFormat="1" applyFont="1" applyFill="1" applyBorder="1"/>
    <xf numFmtId="8" fontId="3" fillId="5" borderId="0" xfId="18" applyNumberFormat="1" applyFont="1" applyFill="1" applyBorder="1"/>
    <xf numFmtId="8" fontId="3" fillId="5" borderId="17" xfId="18" applyNumberFormat="1" applyFont="1" applyFill="1" applyBorder="1"/>
    <xf numFmtId="170" fontId="114" fillId="0" borderId="0" xfId="18" applyNumberFormat="1" applyFont="1" applyFill="1" applyBorder="1"/>
    <xf numFmtId="8" fontId="114" fillId="0" borderId="0" xfId="1" applyNumberFormat="1" applyFont="1" applyFill="1" applyBorder="1"/>
    <xf numFmtId="8" fontId="16" fillId="0" borderId="0" xfId="1" applyNumberFormat="1" applyFont="1" applyBorder="1"/>
    <xf numFmtId="8" fontId="3" fillId="0" borderId="0" xfId="1" applyNumberFormat="1" applyFont="1" applyBorder="1"/>
    <xf numFmtId="8" fontId="3" fillId="0" borderId="17" xfId="1" applyNumberFormat="1" applyFont="1" applyBorder="1"/>
    <xf numFmtId="170" fontId="114" fillId="0" borderId="0" xfId="18" applyNumberFormat="1" applyFont="1"/>
    <xf numFmtId="6" fontId="114" fillId="0" borderId="0" xfId="0" applyNumberFormat="1" applyFont="1"/>
    <xf numFmtId="8" fontId="114" fillId="0" borderId="0" xfId="0" applyNumberFormat="1" applyFont="1"/>
    <xf numFmtId="170" fontId="133" fillId="0" borderId="0" xfId="1" applyNumberFormat="1" applyFont="1" applyFill="1" applyBorder="1"/>
    <xf numFmtId="170" fontId="3" fillId="5" borderId="16" xfId="1" applyNumberFormat="1" applyFont="1" applyFill="1" applyBorder="1"/>
    <xf numFmtId="170" fontId="3" fillId="5" borderId="0" xfId="1" applyNumberFormat="1" applyFont="1" applyFill="1" applyBorder="1"/>
    <xf numFmtId="170" fontId="3" fillId="5" borderId="17" xfId="1" applyNumberFormat="1" applyFont="1" applyFill="1" applyBorder="1"/>
    <xf numFmtId="7" fontId="134" fillId="0" borderId="0" xfId="1" applyNumberFormat="1" applyFont="1" applyFill="1" applyBorder="1" applyAlignment="1">
      <alignment horizontal="right"/>
    </xf>
    <xf numFmtId="7" fontId="134" fillId="5" borderId="16" xfId="1" applyNumberFormat="1" applyFont="1" applyFill="1" applyBorder="1" applyAlignment="1">
      <alignment horizontal="right"/>
    </xf>
    <xf numFmtId="7" fontId="134" fillId="5" borderId="0" xfId="1" applyNumberFormat="1" applyFont="1" applyFill="1" applyBorder="1" applyAlignment="1">
      <alignment horizontal="right"/>
    </xf>
    <xf numFmtId="7" fontId="134" fillId="5" borderId="17" xfId="1" applyNumberFormat="1" applyFont="1" applyFill="1" applyBorder="1" applyAlignment="1">
      <alignment horizontal="right"/>
    </xf>
    <xf numFmtId="196" fontId="27" fillId="5" borderId="0" xfId="18" applyNumberFormat="1" applyFont="1" applyFill="1" applyBorder="1"/>
    <xf numFmtId="10" fontId="0" fillId="5" borderId="0" xfId="44" applyNumberFormat="1" applyFont="1" applyFill="1" applyBorder="1"/>
    <xf numFmtId="4" fontId="2" fillId="5" borderId="16" xfId="35" applyNumberFormat="1" applyFont="1" applyFill="1" applyBorder="1" applyAlignment="1">
      <alignment horizontal="right"/>
    </xf>
    <xf numFmtId="4" fontId="2" fillId="5" borderId="0" xfId="35" applyNumberFormat="1" applyFont="1" applyFill="1" applyBorder="1" applyAlignment="1">
      <alignment horizontal="right"/>
    </xf>
    <xf numFmtId="4" fontId="2" fillId="5" borderId="17" xfId="35" applyNumberFormat="1" applyFont="1" applyFill="1" applyBorder="1" applyAlignment="1">
      <alignment horizontal="right"/>
    </xf>
    <xf numFmtId="2" fontId="2" fillId="5" borderId="0" xfId="35" applyNumberFormat="1" applyFont="1" applyFill="1" applyBorder="1" applyAlignment="1">
      <alignment horizontal="right"/>
    </xf>
    <xf numFmtId="2" fontId="2" fillId="5" borderId="17" xfId="35" applyNumberFormat="1" applyFont="1" applyFill="1" applyBorder="1" applyAlignment="1">
      <alignment horizontal="right"/>
    </xf>
    <xf numFmtId="3" fontId="2" fillId="5" borderId="16" xfId="35" applyNumberFormat="1" applyFont="1" applyFill="1" applyBorder="1" applyAlignment="1">
      <alignment horizontal="right"/>
    </xf>
    <xf numFmtId="3" fontId="2" fillId="5" borderId="0" xfId="35" applyNumberFormat="1" applyFont="1" applyFill="1" applyBorder="1" applyAlignment="1">
      <alignment horizontal="right"/>
    </xf>
    <xf numFmtId="3" fontId="2" fillId="5" borderId="17" xfId="35" applyNumberFormat="1" applyFont="1" applyFill="1" applyBorder="1" applyAlignment="1">
      <alignment horizontal="right"/>
    </xf>
    <xf numFmtId="0" fontId="2" fillId="5" borderId="0" xfId="35" applyFont="1" applyFill="1" applyBorder="1" applyAlignment="1">
      <alignment horizontal="centerContinuous"/>
    </xf>
    <xf numFmtId="3" fontId="2" fillId="5" borderId="0" xfId="36" applyNumberFormat="1" applyFont="1" applyFill="1" applyBorder="1" applyAlignment="1">
      <alignment horizontal="right"/>
    </xf>
    <xf numFmtId="3" fontId="2" fillId="5" borderId="17" xfId="36" applyNumberFormat="1" applyFont="1" applyFill="1" applyBorder="1" applyAlignment="1">
      <alignment horizontal="right"/>
    </xf>
    <xf numFmtId="3" fontId="19" fillId="5" borderId="0" xfId="35" applyNumberFormat="1" applyFont="1" applyFill="1" applyBorder="1" applyAlignment="1">
      <alignment horizontal="right"/>
    </xf>
    <xf numFmtId="3" fontId="19" fillId="5" borderId="17" xfId="35" applyNumberFormat="1" applyFont="1" applyFill="1" applyBorder="1" applyAlignment="1">
      <alignment horizontal="right"/>
    </xf>
    <xf numFmtId="0" fontId="135" fillId="0" borderId="0" xfId="40" applyFont="1"/>
    <xf numFmtId="0" fontId="2" fillId="0" borderId="0" xfId="39" applyFont="1" applyAlignment="1">
      <alignment horizontal="right"/>
    </xf>
    <xf numFmtId="6" fontId="2" fillId="0" borderId="0" xfId="39" applyNumberFormat="1"/>
    <xf numFmtId="0" fontId="136" fillId="0" borderId="0" xfId="39" applyFont="1"/>
    <xf numFmtId="8" fontId="2" fillId="0" borderId="0" xfId="39" applyNumberFormat="1"/>
    <xf numFmtId="0" fontId="3" fillId="7" borderId="0" xfId="40" applyFill="1"/>
    <xf numFmtId="8" fontId="3" fillId="7" borderId="0" xfId="40" applyNumberFormat="1" applyFill="1"/>
    <xf numFmtId="0" fontId="2" fillId="0" borderId="0" xfId="40" applyFont="1" applyFill="1" applyAlignment="1">
      <alignment horizontal="left"/>
    </xf>
    <xf numFmtId="9" fontId="114" fillId="0" borderId="0" xfId="44" applyFont="1"/>
    <xf numFmtId="170" fontId="137" fillId="0" borderId="0" xfId="18" applyNumberFormat="1" applyFont="1"/>
    <xf numFmtId="44" fontId="114" fillId="0" borderId="0" xfId="20" applyFont="1"/>
    <xf numFmtId="44" fontId="114" fillId="8" borderId="0" xfId="20" applyFont="1" applyFill="1"/>
    <xf numFmtId="0" fontId="2" fillId="0" borderId="0" xfId="33" applyBorder="1"/>
    <xf numFmtId="6" fontId="16" fillId="0" borderId="57" xfId="33" applyNumberFormat="1" applyFont="1" applyFill="1" applyBorder="1" applyAlignment="1">
      <alignment horizontal="center"/>
    </xf>
    <xf numFmtId="0" fontId="0" fillId="0" borderId="18" xfId="31" applyFont="1" applyBorder="1"/>
    <xf numFmtId="0" fontId="2" fillId="0" borderId="0" xfId="0" applyFont="1" applyFill="1"/>
    <xf numFmtId="38" fontId="88" fillId="0" borderId="16" xfId="19" applyNumberFormat="1" applyFont="1" applyBorder="1"/>
    <xf numFmtId="0" fontId="0" fillId="0" borderId="0" xfId="0" applyFill="1" applyBorder="1"/>
    <xf numFmtId="0" fontId="0" fillId="5" borderId="16" xfId="0" applyFill="1" applyBorder="1"/>
    <xf numFmtId="0" fontId="0" fillId="5" borderId="0" xfId="0" applyFill="1" applyBorder="1"/>
    <xf numFmtId="0" fontId="114" fillId="0" borderId="0" xfId="0" applyFont="1" applyFill="1" applyBorder="1"/>
    <xf numFmtId="0" fontId="0" fillId="5" borderId="17" xfId="0" applyFill="1" applyBorder="1"/>
    <xf numFmtId="0" fontId="2" fillId="0" borderId="0" xfId="0" applyFont="1" applyFill="1" applyBorder="1"/>
    <xf numFmtId="7" fontId="0" fillId="5" borderId="16" xfId="0" applyNumberFormat="1" applyFill="1" applyBorder="1"/>
    <xf numFmtId="7" fontId="0" fillId="5" borderId="0" xfId="0" applyNumberFormat="1" applyFill="1" applyBorder="1"/>
    <xf numFmtId="7" fontId="0" fillId="5" borderId="17" xfId="0" applyNumberFormat="1" applyFill="1" applyBorder="1"/>
    <xf numFmtId="5" fontId="0" fillId="0" borderId="0" xfId="0" applyNumberFormat="1" applyFill="1" applyBorder="1"/>
    <xf numFmtId="5" fontId="0" fillId="5" borderId="16" xfId="0" applyNumberFormat="1" applyFill="1" applyBorder="1"/>
    <xf numFmtId="5" fontId="0" fillId="5" borderId="0" xfId="0" applyNumberFormat="1" applyFill="1" applyBorder="1"/>
    <xf numFmtId="5" fontId="0" fillId="5" borderId="17" xfId="0" applyNumberFormat="1" applyFill="1" applyBorder="1"/>
    <xf numFmtId="6" fontId="3" fillId="5" borderId="16" xfId="20" applyNumberFormat="1" applyFill="1" applyBorder="1"/>
    <xf numFmtId="6" fontId="3" fillId="5" borderId="0" xfId="20" applyNumberFormat="1" applyFill="1" applyBorder="1"/>
    <xf numFmtId="6" fontId="3" fillId="5" borderId="17" xfId="20" applyNumberForma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6" xfId="0" applyFont="1" applyFill="1" applyBorder="1"/>
    <xf numFmtId="0" fontId="136" fillId="0" borderId="32" xfId="0" applyFont="1" applyFill="1" applyBorder="1"/>
    <xf numFmtId="0" fontId="2" fillId="0" borderId="58" xfId="1" applyNumberFormat="1" applyFont="1" applyFill="1" applyBorder="1"/>
    <xf numFmtId="0" fontId="2" fillId="0" borderId="59" xfId="1" applyFont="1" applyFill="1" applyBorder="1"/>
    <xf numFmtId="0" fontId="2" fillId="5" borderId="58" xfId="1" applyFont="1" applyFill="1" applyBorder="1"/>
    <xf numFmtId="0" fontId="2" fillId="5" borderId="59" xfId="1" applyFont="1" applyFill="1" applyBorder="1"/>
    <xf numFmtId="0" fontId="2" fillId="5" borderId="60" xfId="1" applyFont="1" applyFill="1" applyBorder="1"/>
    <xf numFmtId="7" fontId="2" fillId="5" borderId="58" xfId="1" applyNumberFormat="1" applyFont="1" applyFill="1" applyBorder="1"/>
    <xf numFmtId="7" fontId="2" fillId="5" borderId="59" xfId="1" applyNumberFormat="1" applyFont="1" applyFill="1" applyBorder="1"/>
    <xf numFmtId="7" fontId="2" fillId="5" borderId="60" xfId="1" applyNumberFormat="1" applyFont="1" applyFill="1" applyBorder="1"/>
    <xf numFmtId="5" fontId="2" fillId="0" borderId="59" xfId="1" applyNumberFormat="1" applyFont="1" applyFill="1" applyBorder="1"/>
    <xf numFmtId="5" fontId="2" fillId="5" borderId="58" xfId="1" applyNumberFormat="1" applyFont="1" applyFill="1" applyBorder="1"/>
    <xf numFmtId="5" fontId="2" fillId="5" borderId="59" xfId="1" applyNumberFormat="1" applyFont="1" applyFill="1" applyBorder="1"/>
    <xf numFmtId="5" fontId="2" fillId="5" borderId="60" xfId="1" applyNumberFormat="1" applyFont="1" applyFill="1" applyBorder="1"/>
    <xf numFmtId="5" fontId="2" fillId="0" borderId="60" xfId="1" applyNumberFormat="1" applyFont="1" applyFill="1" applyBorder="1"/>
    <xf numFmtId="5" fontId="136" fillId="0" borderId="0" xfId="0" applyNumberFormat="1" applyFont="1" applyFill="1" applyBorder="1"/>
    <xf numFmtId="5" fontId="0" fillId="0" borderId="0" xfId="0" applyNumberFormat="1" applyBorder="1"/>
    <xf numFmtId="0" fontId="4" fillId="0" borderId="61" xfId="1" applyFont="1" applyFill="1" applyBorder="1"/>
    <xf numFmtId="0" fontId="0" fillId="0" borderId="0" xfId="40" applyFont="1" applyFill="1" applyAlignment="1">
      <alignment horizontal="left"/>
    </xf>
    <xf numFmtId="169" fontId="136" fillId="5" borderId="0" xfId="44" applyNumberFormat="1" applyFont="1" applyFill="1" applyBorder="1"/>
    <xf numFmtId="169" fontId="136" fillId="5" borderId="16" xfId="44" applyNumberFormat="1" applyFont="1" applyFill="1" applyBorder="1"/>
    <xf numFmtId="170" fontId="136" fillId="0" borderId="0" xfId="18" applyNumberFormat="1" applyFont="1" applyFill="1" applyBorder="1"/>
    <xf numFmtId="4" fontId="2" fillId="0" borderId="0" xfId="1" applyNumberFormat="1" applyFont="1" applyFill="1" applyBorder="1"/>
    <xf numFmtId="169" fontId="2" fillId="5" borderId="19" xfId="44" applyNumberFormat="1" applyFont="1" applyFill="1" applyBorder="1"/>
    <xf numFmtId="169" fontId="2" fillId="5" borderId="20" xfId="44" applyNumberFormat="1" applyFont="1" applyFill="1" applyBorder="1"/>
    <xf numFmtId="169" fontId="2" fillId="0" borderId="19" xfId="44" applyNumberFormat="1" applyFont="1" applyFill="1" applyBorder="1"/>
    <xf numFmtId="169" fontId="2" fillId="5" borderId="18" xfId="44" applyNumberFormat="1" applyFont="1" applyFill="1" applyBorder="1"/>
    <xf numFmtId="170" fontId="138" fillId="5" borderId="0" xfId="18" applyNumberFormat="1" applyFont="1" applyFill="1" applyBorder="1"/>
    <xf numFmtId="170" fontId="138" fillId="5" borderId="17" xfId="18" applyNumberFormat="1" applyFont="1" applyFill="1" applyBorder="1"/>
    <xf numFmtId="170" fontId="138" fillId="0" borderId="0" xfId="18" applyNumberFormat="1" applyFont="1" applyFill="1" applyBorder="1"/>
    <xf numFmtId="170" fontId="138" fillId="5" borderId="16" xfId="18" applyNumberFormat="1" applyFont="1" applyFill="1" applyBorder="1"/>
    <xf numFmtId="0" fontId="0" fillId="0" borderId="0" xfId="41" applyNumberFormat="1" applyFont="1" applyFill="1" applyAlignment="1">
      <alignment horizontal="left" wrapText="1"/>
    </xf>
    <xf numFmtId="170" fontId="136" fillId="5" borderId="0" xfId="1" applyNumberFormat="1" applyFont="1" applyFill="1" applyBorder="1"/>
    <xf numFmtId="170" fontId="136" fillId="5" borderId="17" xfId="1" applyNumberFormat="1" applyFont="1" applyFill="1" applyBorder="1"/>
    <xf numFmtId="165" fontId="0" fillId="5" borderId="16" xfId="1" applyNumberFormat="1" applyFont="1" applyFill="1" applyBorder="1"/>
    <xf numFmtId="165" fontId="0" fillId="5" borderId="0" xfId="1" applyNumberFormat="1" applyFont="1" applyFill="1" applyBorder="1"/>
    <xf numFmtId="165" fontId="66" fillId="0" borderId="0" xfId="18" applyNumberFormat="1" applyFont="1" applyFill="1" applyBorder="1" applyAlignment="1">
      <alignment horizontal="right"/>
    </xf>
    <xf numFmtId="170" fontId="136" fillId="0" borderId="0" xfId="41" applyNumberFormat="1" applyFont="1" applyFill="1" applyAlignment="1">
      <alignment horizontal="right"/>
    </xf>
    <xf numFmtId="4" fontId="16" fillId="5" borderId="50" xfId="35" applyNumberFormat="1" applyFont="1" applyFill="1" applyBorder="1" applyAlignment="1">
      <alignment horizontal="right"/>
    </xf>
    <xf numFmtId="0" fontId="19" fillId="5" borderId="50" xfId="35" applyFont="1" applyFill="1" applyBorder="1" applyAlignment="1">
      <alignment horizontal="centerContinuous"/>
    </xf>
    <xf numFmtId="2" fontId="16" fillId="5" borderId="50" xfId="35" applyNumberFormat="1" applyFont="1" applyFill="1" applyBorder="1" applyAlignment="1">
      <alignment horizontal="right"/>
    </xf>
    <xf numFmtId="3" fontId="16" fillId="5" borderId="50" xfId="35" applyNumberFormat="1" applyFont="1" applyFill="1" applyBorder="1" applyAlignment="1">
      <alignment horizontal="right"/>
    </xf>
    <xf numFmtId="3" fontId="27" fillId="5" borderId="50" xfId="36" applyNumberFormat="1" applyFont="1" applyFill="1" applyBorder="1" applyAlignment="1">
      <alignment horizontal="right"/>
    </xf>
    <xf numFmtId="3" fontId="2" fillId="5" borderId="50" xfId="36" applyNumberFormat="1" applyFont="1" applyFill="1" applyBorder="1" applyAlignment="1">
      <alignment horizontal="right"/>
    </xf>
    <xf numFmtId="3" fontId="2" fillId="5" borderId="50" xfId="35" applyNumberFormat="1" applyFont="1" applyFill="1" applyBorder="1" applyAlignment="1">
      <alignment horizontal="right"/>
    </xf>
    <xf numFmtId="0" fontId="2" fillId="5" borderId="0" xfId="39" applyFont="1" applyFill="1" applyBorder="1" applyAlignment="1">
      <alignment horizontal="centerContinuous"/>
    </xf>
    <xf numFmtId="0" fontId="17" fillId="5" borderId="17" xfId="39" applyFont="1" applyFill="1" applyBorder="1" applyAlignment="1">
      <alignment horizontal="centerContinuous"/>
    </xf>
    <xf numFmtId="0" fontId="17" fillId="5" borderId="0" xfId="39" applyFont="1" applyFill="1" applyBorder="1" applyAlignment="1">
      <alignment horizontal="centerContinuous"/>
    </xf>
    <xf numFmtId="4" fontId="2" fillId="5" borderId="0" xfId="39" applyNumberFormat="1" applyFont="1" applyFill="1" applyBorder="1" applyAlignment="1">
      <alignment horizontal="right"/>
    </xf>
    <xf numFmtId="4" fontId="2" fillId="5" borderId="17" xfId="39" applyNumberFormat="1" applyFont="1" applyFill="1" applyBorder="1" applyAlignment="1">
      <alignment horizontal="right"/>
    </xf>
    <xf numFmtId="170" fontId="136" fillId="0" borderId="0" xfId="1" applyNumberFormat="1" applyFont="1" applyFill="1" applyBorder="1"/>
    <xf numFmtId="0" fontId="27" fillId="0" borderId="0" xfId="1" applyFont="1"/>
    <xf numFmtId="170" fontId="27" fillId="0" borderId="0" xfId="18" applyNumberFormat="1" applyFont="1"/>
    <xf numFmtId="0" fontId="2" fillId="0" borderId="0" xfId="29"/>
    <xf numFmtId="0" fontId="3" fillId="0" borderId="0" xfId="40"/>
    <xf numFmtId="0" fontId="34" fillId="0" borderId="0" xfId="40" applyFont="1"/>
    <xf numFmtId="4" fontId="3" fillId="0" borderId="0" xfId="40" applyNumberFormat="1" applyFill="1"/>
    <xf numFmtId="9" fontId="114" fillId="0" borderId="0" xfId="45" applyFont="1"/>
    <xf numFmtId="9" fontId="2" fillId="0" borderId="0" xfId="45" applyFont="1"/>
    <xf numFmtId="169" fontId="136" fillId="0" borderId="0" xfId="44" applyNumberFormat="1" applyFont="1" applyFill="1" applyBorder="1"/>
    <xf numFmtId="169" fontId="2" fillId="0" borderId="0" xfId="45" applyNumberFormat="1" applyFont="1" applyFill="1" applyBorder="1"/>
    <xf numFmtId="43" fontId="0" fillId="0" borderId="0" xfId="1" applyNumberFormat="1" applyFont="1" applyFill="1" applyBorder="1"/>
    <xf numFmtId="37" fontId="136" fillId="5" borderId="0" xfId="1" applyNumberFormat="1" applyFont="1" applyFill="1" applyBorder="1"/>
    <xf numFmtId="37" fontId="136" fillId="5" borderId="17" xfId="1" applyNumberFormat="1" applyFont="1" applyFill="1" applyBorder="1"/>
    <xf numFmtId="37" fontId="136" fillId="5" borderId="16" xfId="1" applyNumberFormat="1" applyFont="1" applyFill="1" applyBorder="1"/>
    <xf numFmtId="37" fontId="136" fillId="5" borderId="16" xfId="1" applyNumberFormat="1" applyFont="1" applyFill="1" applyBorder="1" applyAlignment="1">
      <alignment horizontal="right"/>
    </xf>
    <xf numFmtId="37" fontId="138" fillId="5" borderId="16" xfId="1" applyNumberFormat="1" applyFont="1" applyFill="1" applyBorder="1"/>
    <xf numFmtId="37" fontId="4" fillId="0" borderId="0" xfId="18" applyNumberFormat="1" applyFont="1" applyFill="1" applyBorder="1" applyAlignment="1">
      <alignment horizontal="right"/>
    </xf>
    <xf numFmtId="5" fontId="4" fillId="0" borderId="0" xfId="18" applyNumberFormat="1" applyFont="1" applyFill="1" applyBorder="1" applyAlignment="1">
      <alignment horizontal="right"/>
    </xf>
    <xf numFmtId="37" fontId="138" fillId="5" borderId="0" xfId="1" applyNumberFormat="1" applyFont="1" applyFill="1" applyBorder="1"/>
    <xf numFmtId="37" fontId="138" fillId="5" borderId="17" xfId="1" applyNumberFormat="1" applyFont="1" applyFill="1" applyBorder="1"/>
    <xf numFmtId="37" fontId="136" fillId="5" borderId="0" xfId="1" applyNumberFormat="1" applyFont="1" applyFill="1" applyBorder="1" applyAlignment="1">
      <alignment horizontal="right"/>
    </xf>
    <xf numFmtId="37" fontId="136" fillId="5" borderId="17" xfId="1" applyNumberFormat="1" applyFont="1" applyFill="1" applyBorder="1" applyAlignment="1">
      <alignment horizontal="right"/>
    </xf>
    <xf numFmtId="170" fontId="136" fillId="0" borderId="0" xfId="1" applyNumberFormat="1" applyFont="1" applyBorder="1"/>
    <xf numFmtId="170" fontId="136" fillId="0" borderId="0" xfId="33" applyNumberFormat="1" applyFont="1"/>
    <xf numFmtId="170" fontId="138" fillId="0" borderId="0" xfId="44" applyNumberFormat="1" applyFont="1" applyFill="1" applyBorder="1"/>
    <xf numFmtId="193" fontId="11" fillId="4" borderId="0" xfId="58" applyNumberFormat="1" applyFont="1" applyFill="1" applyAlignment="1">
      <alignment horizontal="left"/>
    </xf>
    <xf numFmtId="7" fontId="27" fillId="0" borderId="0" xfId="18" applyNumberFormat="1" applyFont="1" applyBorder="1" applyAlignment="1">
      <alignment horizontal="right"/>
    </xf>
    <xf numFmtId="170" fontId="27" fillId="0" borderId="0" xfId="58" applyNumberFormat="1" applyFont="1" applyFill="1"/>
    <xf numFmtId="0" fontId="0" fillId="0" borderId="0" xfId="58" applyFont="1" applyAlignment="1">
      <alignment horizontal="left"/>
    </xf>
    <xf numFmtId="10" fontId="16" fillId="0" borderId="0" xfId="45" applyNumberFormat="1" applyFont="1" applyFill="1" applyAlignment="1">
      <alignment horizontal="right"/>
    </xf>
    <xf numFmtId="10" fontId="27" fillId="0" borderId="0" xfId="45" applyNumberFormat="1" applyFont="1" applyFill="1" applyAlignment="1">
      <alignment horizontal="right"/>
    </xf>
    <xf numFmtId="170" fontId="27" fillId="0" borderId="0" xfId="58" applyNumberFormat="1" applyFont="1" applyFill="1" applyAlignment="1">
      <alignment horizontal="right"/>
    </xf>
    <xf numFmtId="170" fontId="2" fillId="0" borderId="0" xfId="58" applyNumberFormat="1" applyFont="1"/>
    <xf numFmtId="170" fontId="2" fillId="0" borderId="0" xfId="58" applyNumberFormat="1" applyFont="1" applyFill="1"/>
    <xf numFmtId="10" fontId="2" fillId="0" borderId="0" xfId="45" applyNumberFormat="1" applyFont="1" applyFill="1" applyAlignment="1">
      <alignment horizontal="right"/>
    </xf>
    <xf numFmtId="0" fontId="2" fillId="0" borderId="0" xfId="58" applyFont="1" applyFill="1" applyBorder="1" applyAlignment="1">
      <alignment horizontal="left"/>
    </xf>
    <xf numFmtId="170" fontId="2" fillId="0" borderId="0" xfId="58" applyNumberFormat="1" applyFont="1" applyBorder="1"/>
    <xf numFmtId="170" fontId="27" fillId="0" borderId="0" xfId="58" applyNumberFormat="1" applyFont="1" applyFill="1" applyBorder="1"/>
    <xf numFmtId="10" fontId="65" fillId="0" borderId="0" xfId="45" applyNumberFormat="1" applyFont="1" applyFill="1" applyAlignment="1"/>
    <xf numFmtId="0" fontId="0" fillId="0" borderId="0" xfId="0" applyFill="1"/>
    <xf numFmtId="8" fontId="16" fillId="0" borderId="0" xfId="33" applyNumberFormat="1" applyFont="1" applyAlignment="1">
      <alignment horizontal="right"/>
    </xf>
    <xf numFmtId="169" fontId="136" fillId="5" borderId="17" xfId="1" applyNumberFormat="1" applyFont="1" applyFill="1" applyBorder="1"/>
    <xf numFmtId="169" fontId="2" fillId="5" borderId="17" xfId="1" applyNumberFormat="1" applyFont="1" applyFill="1" applyBorder="1"/>
    <xf numFmtId="196" fontId="17" fillId="0" borderId="0" xfId="1" applyNumberFormat="1" applyFont="1" applyFill="1" applyBorder="1"/>
    <xf numFmtId="170" fontId="2" fillId="5" borderId="16" xfId="44" applyNumberFormat="1" applyFont="1" applyFill="1" applyBorder="1"/>
    <xf numFmtId="43" fontId="0" fillId="0" borderId="0" xfId="18" applyFont="1"/>
    <xf numFmtId="199" fontId="17" fillId="0" borderId="0" xfId="1" applyNumberFormat="1" applyFont="1"/>
    <xf numFmtId="199" fontId="0" fillId="0" borderId="0" xfId="1" applyNumberFormat="1" applyFont="1"/>
    <xf numFmtId="2" fontId="0" fillId="0" borderId="0" xfId="0" applyNumberFormat="1"/>
    <xf numFmtId="0" fontId="136" fillId="0" borderId="0" xfId="41" applyFont="1" applyFill="1" applyAlignment="1">
      <alignment horizontal="right"/>
    </xf>
    <xf numFmtId="170" fontId="136" fillId="0" borderId="0" xfId="18" applyNumberFormat="1" applyFont="1" applyFill="1"/>
    <xf numFmtId="169" fontId="136" fillId="0" borderId="0" xfId="44" applyNumberFormat="1" applyFont="1" applyFill="1"/>
    <xf numFmtId="169" fontId="135" fillId="0" borderId="0" xfId="44" applyNumberFormat="1" applyFont="1" applyFill="1"/>
    <xf numFmtId="169" fontId="17" fillId="0" borderId="12" xfId="44" applyNumberFormat="1" applyFont="1" applyFill="1" applyBorder="1"/>
    <xf numFmtId="169" fontId="4" fillId="0" borderId="13" xfId="44" applyNumberFormat="1" applyFont="1" applyFill="1" applyBorder="1"/>
    <xf numFmtId="169" fontId="12" fillId="0" borderId="16" xfId="44" applyNumberFormat="1" applyFont="1" applyFill="1" applyBorder="1" applyAlignment="1">
      <alignment horizontal="right"/>
    </xf>
    <xf numFmtId="200" fontId="12" fillId="0" borderId="16" xfId="1" applyNumberFormat="1" applyFont="1" applyFill="1" applyBorder="1" applyAlignment="1">
      <alignment horizontal="right"/>
    </xf>
    <xf numFmtId="169" fontId="10" fillId="0" borderId="12" xfId="44" applyNumberFormat="1" applyFont="1" applyFill="1" applyBorder="1"/>
    <xf numFmtId="44" fontId="4" fillId="0" borderId="13" xfId="20" applyFont="1" applyFill="1" applyBorder="1"/>
    <xf numFmtId="8" fontId="77" fillId="0" borderId="19" xfId="20" applyNumberFormat="1" applyFont="1" applyFill="1" applyBorder="1"/>
    <xf numFmtId="170" fontId="79" fillId="0" borderId="18" xfId="1" applyNumberFormat="1" applyFont="1" applyFill="1" applyBorder="1" applyAlignment="1">
      <alignment horizontal="right"/>
    </xf>
    <xf numFmtId="169" fontId="10" fillId="0" borderId="16" xfId="44" applyNumberFormat="1" applyFont="1" applyFill="1" applyBorder="1"/>
    <xf numFmtId="169" fontId="139" fillId="0" borderId="16" xfId="44" applyNumberFormat="1" applyFont="1" applyFill="1" applyBorder="1" applyAlignment="1">
      <alignment horizontal="right"/>
    </xf>
    <xf numFmtId="169" fontId="139" fillId="0" borderId="18" xfId="44" applyNumberFormat="1" applyFont="1" applyFill="1" applyBorder="1" applyAlignment="1">
      <alignment horizontal="right"/>
    </xf>
    <xf numFmtId="6" fontId="139" fillId="0" borderId="0" xfId="18" applyNumberFormat="1" applyFont="1" applyFill="1" applyBorder="1"/>
    <xf numFmtId="169" fontId="139" fillId="0" borderId="19" xfId="44" applyNumberFormat="1" applyFont="1" applyFill="1" applyBorder="1"/>
    <xf numFmtId="201" fontId="0" fillId="0" borderId="0" xfId="1" applyNumberFormat="1" applyFont="1" applyFill="1" applyBorder="1"/>
    <xf numFmtId="9" fontId="17" fillId="0" borderId="0" xfId="44" applyFont="1" applyFill="1"/>
    <xf numFmtId="170" fontId="10" fillId="0" borderId="0" xfId="1" applyNumberFormat="1" applyFont="1" applyFill="1" applyAlignment="1">
      <alignment horizontal="right"/>
    </xf>
    <xf numFmtId="170" fontId="17" fillId="0" borderId="41" xfId="1" applyNumberFormat="1" applyFont="1" applyFill="1" applyBorder="1" applyAlignment="1">
      <alignment horizontal="center"/>
    </xf>
    <xf numFmtId="170" fontId="0" fillId="0" borderId="35" xfId="1" applyNumberFormat="1" applyFont="1" applyFill="1" applyBorder="1"/>
    <xf numFmtId="169" fontId="136" fillId="0" borderId="35" xfId="44" applyNumberFormat="1" applyFont="1" applyFill="1" applyBorder="1"/>
    <xf numFmtId="170" fontId="17" fillId="0" borderId="35" xfId="1" applyNumberFormat="1" applyFont="1" applyFill="1" applyBorder="1"/>
    <xf numFmtId="9" fontId="2" fillId="0" borderId="62" xfId="44" applyFont="1" applyFill="1" applyBorder="1"/>
    <xf numFmtId="170" fontId="10" fillId="0" borderId="12" xfId="1" applyNumberFormat="1" applyFont="1" applyFill="1" applyBorder="1"/>
    <xf numFmtId="169" fontId="17" fillId="0" borderId="13" xfId="44" applyNumberFormat="1" applyFont="1" applyFill="1" applyBorder="1" applyAlignment="1">
      <alignment horizontal="center"/>
    </xf>
    <xf numFmtId="170" fontId="139" fillId="0" borderId="16" xfId="1" applyNumberFormat="1" applyFont="1" applyFill="1" applyBorder="1" applyAlignment="1">
      <alignment horizontal="right"/>
    </xf>
    <xf numFmtId="8" fontId="139" fillId="0" borderId="16" xfId="1" applyNumberFormat="1" applyFont="1" applyFill="1" applyBorder="1" applyAlignment="1">
      <alignment horizontal="right"/>
    </xf>
    <xf numFmtId="200" fontId="139" fillId="0" borderId="16" xfId="1" applyNumberFormat="1" applyFont="1" applyFill="1" applyBorder="1" applyAlignment="1">
      <alignment horizontal="right"/>
    </xf>
    <xf numFmtId="8" fontId="2" fillId="0" borderId="0" xfId="1" applyNumberFormat="1" applyFont="1" applyFill="1" applyBorder="1"/>
    <xf numFmtId="8" fontId="4" fillId="0" borderId="16" xfId="1" applyNumberFormat="1" applyFont="1" applyFill="1" applyBorder="1"/>
    <xf numFmtId="170" fontId="139" fillId="0" borderId="18" xfId="1" applyNumberFormat="1" applyFont="1" applyFill="1" applyBorder="1" applyAlignment="1">
      <alignment horizontal="right"/>
    </xf>
    <xf numFmtId="9" fontId="2" fillId="0" borderId="19" xfId="44" applyFont="1" applyFill="1" applyBorder="1"/>
    <xf numFmtId="201" fontId="2" fillId="0" borderId="0" xfId="1" applyNumberFormat="1" applyFont="1" applyFill="1" applyBorder="1"/>
    <xf numFmtId="201" fontId="2" fillId="0" borderId="35" xfId="1" applyNumberFormat="1" applyFont="1" applyFill="1" applyBorder="1"/>
    <xf numFmtId="0" fontId="4" fillId="0" borderId="41" xfId="1" applyFont="1" applyFill="1" applyBorder="1"/>
    <xf numFmtId="169" fontId="17" fillId="0" borderId="35" xfId="44" applyNumberFormat="1" applyFont="1" applyFill="1" applyBorder="1" applyAlignment="1">
      <alignment horizontal="center"/>
    </xf>
    <xf numFmtId="169" fontId="4" fillId="0" borderId="35" xfId="44" applyNumberFormat="1" applyFont="1" applyFill="1" applyBorder="1"/>
    <xf numFmtId="170" fontId="136" fillId="0" borderId="35" xfId="18" applyNumberFormat="1" applyFont="1" applyFill="1" applyBorder="1"/>
    <xf numFmtId="6" fontId="4" fillId="0" borderId="35" xfId="18" applyNumberFormat="1" applyFont="1" applyFill="1" applyBorder="1"/>
    <xf numFmtId="8" fontId="77" fillId="0" borderId="35" xfId="44" applyNumberFormat="1" applyFont="1" applyFill="1" applyBorder="1"/>
    <xf numFmtId="8" fontId="77" fillId="0" borderId="62" xfId="44" applyNumberFormat="1" applyFont="1" applyFill="1" applyBorder="1"/>
    <xf numFmtId="3" fontId="12" fillId="0" borderId="12" xfId="1" applyNumberFormat="1" applyFont="1" applyFill="1" applyBorder="1"/>
    <xf numFmtId="3" fontId="4" fillId="0" borderId="13" xfId="1" applyNumberFormat="1" applyFont="1" applyFill="1" applyBorder="1"/>
    <xf numFmtId="3" fontId="17" fillId="0" borderId="13" xfId="1" applyNumberFormat="1" applyFont="1" applyFill="1" applyBorder="1" applyAlignment="1">
      <alignment horizontal="center"/>
    </xf>
    <xf numFmtId="169" fontId="135" fillId="0" borderId="16" xfId="44" applyNumberFormat="1" applyFont="1" applyFill="1" applyBorder="1"/>
    <xf numFmtId="169" fontId="17" fillId="0" borderId="0" xfId="44" applyNumberFormat="1" applyFont="1" applyFill="1" applyBorder="1" applyAlignment="1">
      <alignment horizontal="center"/>
    </xf>
    <xf numFmtId="170" fontId="136" fillId="0" borderId="0" xfId="41" applyNumberFormat="1" applyFont="1" applyFill="1" applyAlignment="1"/>
    <xf numFmtId="8" fontId="136" fillId="5" borderId="16" xfId="18" applyNumberFormat="1" applyFont="1" applyFill="1" applyBorder="1"/>
    <xf numFmtId="8" fontId="136" fillId="5" borderId="0" xfId="18" applyNumberFormat="1" applyFont="1" applyFill="1" applyBorder="1"/>
    <xf numFmtId="43" fontId="3" fillId="5" borderId="16" xfId="18" applyNumberFormat="1" applyFont="1" applyFill="1" applyBorder="1"/>
    <xf numFmtId="201" fontId="136" fillId="0" borderId="0" xfId="1" applyNumberFormat="1" applyFont="1" applyFill="1" applyBorder="1"/>
    <xf numFmtId="201" fontId="136" fillId="0" borderId="35" xfId="18" applyNumberFormat="1" applyFont="1" applyFill="1" applyBorder="1"/>
    <xf numFmtId="6" fontId="2" fillId="0" borderId="35" xfId="18" applyNumberFormat="1" applyFont="1" applyFill="1" applyBorder="1"/>
    <xf numFmtId="170" fontId="18" fillId="0" borderId="0" xfId="1" applyNumberFormat="1" applyFont="1" applyFill="1"/>
    <xf numFmtId="8" fontId="2" fillId="0" borderId="0" xfId="33" applyNumberFormat="1" applyAlignment="1">
      <alignment horizontal="right"/>
    </xf>
    <xf numFmtId="0" fontId="2" fillId="0" borderId="0" xfId="33" applyAlignment="1">
      <alignment horizontal="right"/>
    </xf>
    <xf numFmtId="0" fontId="0" fillId="0" borderId="16" xfId="19" applyNumberFormat="1" applyFont="1" applyBorder="1"/>
    <xf numFmtId="8" fontId="136" fillId="0" borderId="0" xfId="33" applyNumberFormat="1" applyFont="1" applyFill="1" applyAlignment="1">
      <alignment horizontal="right"/>
    </xf>
    <xf numFmtId="43" fontId="28" fillId="0" borderId="0" xfId="18" applyFont="1" applyBorder="1"/>
    <xf numFmtId="170" fontId="27" fillId="5" borderId="0" xfId="58" applyNumberFormat="1" applyFont="1" applyFill="1" applyBorder="1"/>
    <xf numFmtId="170" fontId="17" fillId="5" borderId="0" xfId="58" applyNumberFormat="1" applyFont="1" applyFill="1" applyBorder="1"/>
    <xf numFmtId="7" fontId="2" fillId="5" borderId="0" xfId="58" applyNumberFormat="1" applyFont="1" applyFill="1" applyBorder="1"/>
    <xf numFmtId="7" fontId="17" fillId="5" borderId="4" xfId="58" applyNumberFormat="1" applyFont="1" applyFill="1" applyBorder="1"/>
    <xf numFmtId="169" fontId="2" fillId="5" borderId="0" xfId="45" applyNumberFormat="1" applyFont="1" applyFill="1" applyBorder="1"/>
    <xf numFmtId="8" fontId="2" fillId="5" borderId="0" xfId="58" applyNumberFormat="1" applyFont="1" applyFill="1" applyBorder="1"/>
    <xf numFmtId="0" fontId="0" fillId="5" borderId="0" xfId="58" applyFont="1" applyFill="1" applyBorder="1"/>
    <xf numFmtId="7" fontId="27" fillId="5" borderId="0" xfId="58" applyNumberFormat="1" applyFont="1" applyFill="1" applyBorder="1"/>
    <xf numFmtId="10" fontId="16" fillId="0" borderId="0" xfId="45" applyNumberFormat="1" applyFont="1" applyFill="1" applyAlignment="1"/>
    <xf numFmtId="7" fontId="2" fillId="0" borderId="0" xfId="1" applyNumberFormat="1" applyFont="1" applyBorder="1"/>
    <xf numFmtId="170" fontId="0" fillId="0" borderId="0" xfId="18" applyNumberFormat="1" applyFont="1" applyFill="1" applyBorder="1" applyAlignment="1">
      <alignment horizontal="right"/>
    </xf>
    <xf numFmtId="4" fontId="4" fillId="5" borderId="16" xfId="1" applyNumberFormat="1" applyFont="1" applyFill="1" applyBorder="1" applyAlignment="1">
      <alignment horizontal="right"/>
    </xf>
    <xf numFmtId="4" fontId="4" fillId="5" borderId="0" xfId="1" applyNumberFormat="1" applyFont="1" applyFill="1" applyBorder="1" applyAlignment="1">
      <alignment horizontal="right"/>
    </xf>
    <xf numFmtId="170" fontId="4" fillId="5" borderId="17" xfId="18" applyNumberFormat="1" applyFont="1" applyFill="1" applyBorder="1" applyAlignment="1">
      <alignment horizontal="right"/>
    </xf>
    <xf numFmtId="0" fontId="0" fillId="10" borderId="0" xfId="0" applyFill="1"/>
    <xf numFmtId="0" fontId="17" fillId="0" borderId="0" xfId="58" applyFont="1"/>
    <xf numFmtId="6" fontId="17" fillId="0" borderId="0" xfId="58" applyNumberFormat="1" applyFont="1"/>
    <xf numFmtId="8" fontId="17" fillId="0" borderId="6" xfId="0" applyNumberFormat="1" applyFont="1" applyBorder="1"/>
    <xf numFmtId="8" fontId="17" fillId="0" borderId="4" xfId="0" applyNumberFormat="1" applyFont="1" applyBorder="1"/>
    <xf numFmtId="8" fontId="17" fillId="0" borderId="3" xfId="0" applyNumberFormat="1" applyFont="1" applyBorder="1"/>
    <xf numFmtId="0" fontId="17" fillId="0" borderId="4" xfId="0" applyFont="1" applyBorder="1"/>
    <xf numFmtId="0" fontId="17" fillId="0" borderId="3" xfId="0" applyFont="1" applyBorder="1"/>
    <xf numFmtId="6" fontId="0" fillId="0" borderId="0" xfId="0" applyNumberFormat="1"/>
    <xf numFmtId="9" fontId="2" fillId="0" borderId="0" xfId="58" applyNumberFormat="1" applyFont="1"/>
    <xf numFmtId="0" fontId="2" fillId="0" borderId="0" xfId="58" applyFont="1"/>
    <xf numFmtId="7" fontId="17" fillId="0" borderId="0" xfId="0" applyNumberFormat="1" applyFont="1"/>
    <xf numFmtId="8" fontId="17" fillId="0" borderId="0" xfId="0" applyNumberFormat="1" applyFont="1"/>
    <xf numFmtId="0" fontId="17" fillId="0" borderId="0" xfId="0" applyFont="1"/>
    <xf numFmtId="168" fontId="0" fillId="0" borderId="0" xfId="58" applyNumberFormat="1" applyFont="1" applyAlignment="1">
      <alignment horizontal="right"/>
    </xf>
    <xf numFmtId="169" fontId="136" fillId="0" borderId="0" xfId="58" applyNumberFormat="1" applyFont="1" applyAlignment="1">
      <alignment horizontal="right"/>
    </xf>
    <xf numFmtId="0" fontId="136" fillId="0" borderId="0" xfId="0" applyFont="1"/>
    <xf numFmtId="168" fontId="136" fillId="0" borderId="0" xfId="58" applyNumberFormat="1" applyFont="1" applyAlignment="1">
      <alignment horizontal="right"/>
    </xf>
    <xf numFmtId="7" fontId="0" fillId="0" borderId="0" xfId="0" applyNumberFormat="1"/>
    <xf numFmtId="8" fontId="136" fillId="0" borderId="0" xfId="58" applyNumberFormat="1" applyFont="1" applyAlignment="1">
      <alignment horizontal="right"/>
    </xf>
    <xf numFmtId="8" fontId="2" fillId="0" borderId="0" xfId="58" applyNumberFormat="1" applyFont="1" applyAlignment="1">
      <alignment horizontal="right"/>
    </xf>
    <xf numFmtId="0" fontId="17" fillId="0" borderId="0" xfId="58" applyFont="1" applyAlignment="1">
      <alignment horizontal="right"/>
    </xf>
    <xf numFmtId="0" fontId="0" fillId="0" borderId="0" xfId="0" applyAlignment="1">
      <alignment horizontal="right"/>
    </xf>
    <xf numFmtId="0" fontId="2" fillId="0" borderId="0" xfId="58" applyFont="1" applyAlignment="1">
      <alignment horizontal="right"/>
    </xf>
    <xf numFmtId="43" fontId="17" fillId="0" borderId="0" xfId="58" applyNumberFormat="1" applyFont="1"/>
    <xf numFmtId="170" fontId="17" fillId="0" borderId="0" xfId="60" applyNumberFormat="1" applyFont="1"/>
    <xf numFmtId="170" fontId="136" fillId="0" borderId="0" xfId="60" applyNumberFormat="1" applyFont="1"/>
    <xf numFmtId="43" fontId="0" fillId="0" borderId="0" xfId="58" applyNumberFormat="1" applyFont="1"/>
    <xf numFmtId="43" fontId="2" fillId="0" borderId="0" xfId="60"/>
    <xf numFmtId="170" fontId="2" fillId="0" borderId="0" xfId="60" applyNumberFormat="1" applyFont="1"/>
    <xf numFmtId="8" fontId="136" fillId="0" borderId="0" xfId="0" applyNumberFormat="1" applyFont="1"/>
    <xf numFmtId="6" fontId="2" fillId="0" borderId="0" xfId="33" applyNumberFormat="1"/>
    <xf numFmtId="0" fontId="13" fillId="9" borderId="0" xfId="58" applyFont="1" applyFill="1"/>
    <xf numFmtId="168" fontId="77" fillId="0" borderId="0" xfId="60" applyNumberFormat="1" applyFont="1"/>
    <xf numFmtId="177" fontId="2" fillId="0" borderId="0" xfId="60" applyNumberFormat="1"/>
    <xf numFmtId="188" fontId="2" fillId="0" borderId="0" xfId="45" applyNumberFormat="1"/>
    <xf numFmtId="170" fontId="19" fillId="0" borderId="0" xfId="60" applyNumberFormat="1" applyFont="1"/>
    <xf numFmtId="170" fontId="17" fillId="0" borderId="0" xfId="60" applyNumberFormat="1" applyFont="1" applyFill="1"/>
    <xf numFmtId="170" fontId="2" fillId="0" borderId="0" xfId="33" applyNumberFormat="1" applyFont="1"/>
    <xf numFmtId="0" fontId="32" fillId="0" borderId="0" xfId="33" applyFont="1"/>
    <xf numFmtId="168" fontId="2" fillId="0" borderId="0" xfId="58" applyNumberFormat="1" applyFont="1" applyAlignment="1">
      <alignment horizontal="right"/>
    </xf>
    <xf numFmtId="170" fontId="2" fillId="0" borderId="0" xfId="60" applyNumberFormat="1"/>
    <xf numFmtId="0" fontId="20" fillId="0" borderId="0" xfId="33" applyFont="1"/>
    <xf numFmtId="0" fontId="18" fillId="0" borderId="0" xfId="58" applyFont="1"/>
    <xf numFmtId="8" fontId="17" fillId="5" borderId="4" xfId="58" applyNumberFormat="1" applyFont="1" applyFill="1" applyBorder="1" applyAlignment="1">
      <alignment horizontal="right"/>
    </xf>
    <xf numFmtId="9" fontId="136" fillId="0" borderId="0" xfId="45" applyFont="1"/>
    <xf numFmtId="37" fontId="0" fillId="0" borderId="0" xfId="58" applyNumberFormat="1" applyFont="1"/>
    <xf numFmtId="0" fontId="0" fillId="0" borderId="0" xfId="58" applyFont="1" applyFill="1"/>
    <xf numFmtId="37" fontId="17" fillId="0" borderId="0" xfId="60" applyNumberFormat="1" applyFont="1"/>
    <xf numFmtId="0" fontId="2" fillId="0" borderId="0" xfId="0" applyFont="1" applyAlignment="1">
      <alignment horizontal="right"/>
    </xf>
    <xf numFmtId="0" fontId="17" fillId="0" borderId="0" xfId="0" applyFont="1" applyAlignment="1">
      <alignment horizontal="center" wrapText="1"/>
    </xf>
    <xf numFmtId="3" fontId="0" fillId="0" borderId="0" xfId="58" applyNumberFormat="1" applyFont="1" applyFill="1" applyBorder="1"/>
    <xf numFmtId="0" fontId="0" fillId="0" borderId="0" xfId="58" applyFont="1" applyFill="1" applyBorder="1"/>
    <xf numFmtId="43" fontId="0" fillId="0" borderId="0" xfId="58" applyNumberFormat="1" applyFont="1" applyFill="1"/>
    <xf numFmtId="170" fontId="0" fillId="0" borderId="0" xfId="58" applyNumberFormat="1" applyFont="1"/>
    <xf numFmtId="170" fontId="17" fillId="0" borderId="0" xfId="58" applyNumberFormat="1" applyFont="1"/>
    <xf numFmtId="1" fontId="0" fillId="0" borderId="0" xfId="0" applyNumberFormat="1"/>
    <xf numFmtId="169" fontId="18" fillId="0" borderId="0" xfId="58" applyNumberFormat="1" applyFont="1"/>
    <xf numFmtId="170" fontId="16" fillId="0" borderId="0" xfId="60" applyNumberFormat="1" applyFont="1"/>
    <xf numFmtId="170" fontId="136" fillId="0" borderId="0" xfId="0" applyNumberFormat="1" applyFont="1"/>
    <xf numFmtId="170" fontId="136" fillId="0" borderId="0" xfId="58" applyNumberFormat="1" applyFont="1"/>
    <xf numFmtId="170" fontId="16" fillId="0" borderId="0" xfId="60" applyNumberFormat="1" applyFont="1" applyFill="1"/>
    <xf numFmtId="169" fontId="16" fillId="0" borderId="0" xfId="58" applyNumberFormat="1" applyFont="1"/>
    <xf numFmtId="43" fontId="0" fillId="0" borderId="0" xfId="0" applyNumberFormat="1"/>
    <xf numFmtId="0" fontId="17" fillId="0" borderId="0" xfId="58" applyFont="1" applyFill="1" applyBorder="1"/>
    <xf numFmtId="9" fontId="77" fillId="0" borderId="0" xfId="60" applyNumberFormat="1" applyFont="1"/>
    <xf numFmtId="37" fontId="17" fillId="0" borderId="0" xfId="58" applyNumberFormat="1" applyFont="1"/>
    <xf numFmtId="0" fontId="77" fillId="0" borderId="0" xfId="58" applyFont="1"/>
    <xf numFmtId="0" fontId="10" fillId="0" borderId="0" xfId="58" applyFont="1" applyAlignment="1">
      <alignment horizontal="right"/>
    </xf>
    <xf numFmtId="177" fontId="17" fillId="5" borderId="6" xfId="58" applyNumberFormat="1" applyFont="1" applyFill="1" applyBorder="1"/>
    <xf numFmtId="0" fontId="17" fillId="5" borderId="4" xfId="58" applyFont="1" applyFill="1" applyBorder="1"/>
    <xf numFmtId="0" fontId="17" fillId="5" borderId="3" xfId="58" applyFont="1" applyFill="1" applyBorder="1"/>
    <xf numFmtId="177" fontId="0" fillId="0" borderId="0" xfId="58" applyNumberFormat="1" applyFont="1" applyFill="1"/>
    <xf numFmtId="169" fontId="0" fillId="0" borderId="0" xfId="58" applyNumberFormat="1" applyFont="1"/>
    <xf numFmtId="169" fontId="16" fillId="0" borderId="0" xfId="45" applyNumberFormat="1" applyFont="1" applyFill="1"/>
    <xf numFmtId="9" fontId="0" fillId="0" borderId="0" xfId="58" applyNumberFormat="1" applyFont="1" applyFill="1"/>
    <xf numFmtId="169" fontId="0" fillId="0" borderId="0" xfId="58" applyNumberFormat="1" applyFont="1" applyFill="1"/>
    <xf numFmtId="169" fontId="17" fillId="5" borderId="6" xfId="45" applyNumberFormat="1" applyFont="1" applyFill="1" applyBorder="1"/>
    <xf numFmtId="169" fontId="136" fillId="0" borderId="0" xfId="45" applyNumberFormat="1" applyFont="1" applyFill="1"/>
    <xf numFmtId="43" fontId="136" fillId="0" borderId="0" xfId="60" applyFont="1" applyFill="1"/>
    <xf numFmtId="10" fontId="136" fillId="0" borderId="0" xfId="45" applyNumberFormat="1" applyFont="1" applyFill="1"/>
    <xf numFmtId="0" fontId="0" fillId="0" borderId="0" xfId="58" applyFont="1" applyFill="1" applyAlignment="1">
      <alignment horizontal="centerContinuous"/>
    </xf>
    <xf numFmtId="0" fontId="17" fillId="0" borderId="0" xfId="58" applyFont="1" applyFill="1" applyAlignment="1">
      <alignment horizontal="centerContinuous"/>
    </xf>
    <xf numFmtId="0" fontId="32" fillId="0" borderId="0" xfId="58" applyFont="1"/>
    <xf numFmtId="177" fontId="16" fillId="0" borderId="0" xfId="60" applyNumberFormat="1" applyFont="1" applyFill="1"/>
    <xf numFmtId="9" fontId="2" fillId="0" borderId="0" xfId="45" applyFill="1"/>
    <xf numFmtId="9" fontId="2" fillId="0" borderId="0" xfId="45" applyFont="1" applyFill="1"/>
    <xf numFmtId="9" fontId="2" fillId="0" borderId="0" xfId="45"/>
    <xf numFmtId="9" fontId="0" fillId="0" borderId="0" xfId="45" applyFont="1" applyFill="1" applyBorder="1"/>
    <xf numFmtId="0" fontId="19" fillId="0" borderId="32" xfId="58" applyFont="1" applyFill="1" applyBorder="1"/>
    <xf numFmtId="9" fontId="18" fillId="0" borderId="0" xfId="45" applyFont="1" applyFill="1"/>
    <xf numFmtId="177" fontId="136" fillId="0" borderId="0" xfId="60" applyNumberFormat="1" applyFont="1" applyFill="1"/>
    <xf numFmtId="0" fontId="0" fillId="4" borderId="0" xfId="58" applyFont="1" applyFill="1"/>
    <xf numFmtId="0" fontId="13" fillId="4" borderId="0" xfId="58" applyFont="1" applyFill="1"/>
    <xf numFmtId="14" fontId="87" fillId="0" borderId="0" xfId="58" applyNumberFormat="1" applyFont="1" applyFill="1"/>
    <xf numFmtId="8" fontId="87" fillId="0" borderId="0" xfId="58" applyNumberFormat="1" applyFont="1" applyFill="1"/>
    <xf numFmtId="0" fontId="20" fillId="0" borderId="0" xfId="58" applyFont="1"/>
    <xf numFmtId="14" fontId="87" fillId="0" borderId="0" xfId="58" applyNumberFormat="1" applyFont="1" applyFill="1" applyAlignment="1">
      <alignment horizontal="left"/>
    </xf>
    <xf numFmtId="0" fontId="17" fillId="0" borderId="0" xfId="58" applyFont="1" applyFill="1"/>
    <xf numFmtId="0" fontId="22" fillId="0" borderId="0" xfId="58" quotePrefix="1" applyFont="1" applyFill="1" applyAlignment="1">
      <alignment horizontal="right"/>
    </xf>
    <xf numFmtId="0" fontId="0" fillId="0" borderId="0" xfId="0" applyBorder="1"/>
    <xf numFmtId="8" fontId="0" fillId="0" borderId="0" xfId="58" applyNumberFormat="1" applyFont="1"/>
    <xf numFmtId="0" fontId="140" fillId="0" borderId="0" xfId="58" applyFont="1" applyAlignment="1">
      <alignment horizontal="right"/>
    </xf>
    <xf numFmtId="170" fontId="139" fillId="0" borderId="0" xfId="60" applyNumberFormat="1" applyFont="1"/>
    <xf numFmtId="0" fontId="139" fillId="0" borderId="0" xfId="0" applyFont="1"/>
    <xf numFmtId="6" fontId="16" fillId="0" borderId="0" xfId="58" applyNumberFormat="1" applyFont="1" applyFill="1" applyBorder="1" applyAlignment="1">
      <alignment horizontal="center"/>
    </xf>
    <xf numFmtId="167" fontId="0" fillId="0" borderId="0" xfId="58" applyNumberFormat="1" applyFont="1"/>
    <xf numFmtId="166" fontId="12" fillId="0" borderId="0" xfId="58" applyNumberFormat="1" applyFont="1" applyFill="1" applyBorder="1" applyAlignment="1">
      <alignment horizontal="right"/>
    </xf>
    <xf numFmtId="166" fontId="86" fillId="0" borderId="0" xfId="58" applyNumberFormat="1" applyFont="1" applyFill="1" applyBorder="1"/>
    <xf numFmtId="166" fontId="12" fillId="0" borderId="0" xfId="58" applyNumberFormat="1" applyFont="1" applyFill="1" applyBorder="1"/>
    <xf numFmtId="166" fontId="52" fillId="0" borderId="0" xfId="58" applyNumberFormat="1" applyFont="1" applyFill="1" applyBorder="1"/>
    <xf numFmtId="166" fontId="10" fillId="4" borderId="6" xfId="58" applyNumberFormat="1" applyFont="1" applyFill="1" applyBorder="1"/>
    <xf numFmtId="166" fontId="10" fillId="4" borderId="4" xfId="58" applyNumberFormat="1" applyFont="1" applyFill="1" applyBorder="1"/>
    <xf numFmtId="166" fontId="11" fillId="4" borderId="4" xfId="58" applyNumberFormat="1" applyFont="1" applyFill="1" applyBorder="1"/>
    <xf numFmtId="0" fontId="13" fillId="4" borderId="3" xfId="58" applyFont="1" applyFill="1" applyBorder="1"/>
    <xf numFmtId="167" fontId="14" fillId="0" borderId="0" xfId="58" applyNumberFormat="1" applyFont="1" applyAlignment="1">
      <alignment horizontal="right"/>
    </xf>
    <xf numFmtId="167" fontId="13" fillId="0" borderId="0" xfId="58" applyNumberFormat="1" applyFont="1"/>
    <xf numFmtId="167" fontId="10" fillId="0" borderId="0" xfId="58" applyNumberFormat="1" applyFont="1"/>
    <xf numFmtId="6" fontId="136" fillId="0" borderId="0" xfId="0" applyNumberFormat="1" applyFont="1"/>
    <xf numFmtId="7" fontId="136" fillId="0" borderId="0" xfId="0" applyNumberFormat="1" applyFont="1"/>
    <xf numFmtId="170" fontId="136" fillId="0" borderId="0" xfId="18" applyNumberFormat="1" applyFont="1"/>
    <xf numFmtId="0" fontId="136" fillId="0" borderId="0" xfId="33" applyFont="1"/>
    <xf numFmtId="0" fontId="13" fillId="4" borderId="3" xfId="0" applyFont="1" applyFill="1" applyBorder="1"/>
    <xf numFmtId="202" fontId="10" fillId="0" borderId="0" xfId="0" applyNumberFormat="1" applyFont="1" applyAlignment="1">
      <alignment horizontal="right"/>
    </xf>
    <xf numFmtId="175" fontId="10" fillId="0" borderId="0" xfId="0" applyNumberFormat="1" applyFont="1" applyAlignment="1">
      <alignment horizontal="righ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41" fontId="12" fillId="0" borderId="0" xfId="0" applyNumberFormat="1" applyFont="1" applyAlignment="1">
      <alignment horizontal="right"/>
    </xf>
    <xf numFmtId="41" fontId="16" fillId="0" borderId="0" xfId="0" applyNumberFormat="1" applyFont="1"/>
    <xf numFmtId="9" fontId="16" fillId="0" borderId="0" xfId="0" applyNumberFormat="1" applyFont="1"/>
    <xf numFmtId="9" fontId="0" fillId="0" borderId="0" xfId="0" applyNumberFormat="1"/>
    <xf numFmtId="9" fontId="17" fillId="0" borderId="0" xfId="0" applyNumberFormat="1" applyFont="1"/>
    <xf numFmtId="169" fontId="2" fillId="0" borderId="0" xfId="45" applyNumberFormat="1" applyFont="1"/>
    <xf numFmtId="169" fontId="2" fillId="0" borderId="0" xfId="45" applyNumberFormat="1"/>
    <xf numFmtId="0" fontId="10" fillId="0" borderId="0" xfId="0" applyFont="1" applyAlignment="1">
      <alignment horizontal="left"/>
    </xf>
    <xf numFmtId="169" fontId="17" fillId="0" borderId="0" xfId="45" applyNumberFormat="1" applyFont="1"/>
    <xf numFmtId="170" fontId="136" fillId="5" borderId="16" xfId="1" applyNumberFormat="1" applyFont="1" applyFill="1" applyBorder="1"/>
    <xf numFmtId="0" fontId="17" fillId="0" borderId="0" xfId="58" applyNumberFormat="1" applyFont="1" applyFill="1" applyBorder="1"/>
    <xf numFmtId="0" fontId="0" fillId="5" borderId="16" xfId="58" applyFont="1" applyFill="1" applyBorder="1"/>
    <xf numFmtId="0" fontId="0" fillId="5" borderId="17" xfId="58" applyFont="1" applyFill="1" applyBorder="1"/>
    <xf numFmtId="0" fontId="2" fillId="0" borderId="0" xfId="58" applyFont="1" applyFill="1" applyBorder="1"/>
    <xf numFmtId="0" fontId="0" fillId="0" borderId="0" xfId="58" applyNumberFormat="1" applyFont="1" applyFill="1" applyBorder="1"/>
    <xf numFmtId="170" fontId="0" fillId="5" borderId="16" xfId="58" applyNumberFormat="1" applyFont="1" applyFill="1" applyBorder="1"/>
    <xf numFmtId="170" fontId="0" fillId="5" borderId="0" xfId="58" applyNumberFormat="1" applyFont="1" applyFill="1" applyBorder="1"/>
    <xf numFmtId="170" fontId="0" fillId="5" borderId="17" xfId="58" applyNumberFormat="1" applyFont="1" applyFill="1" applyBorder="1"/>
    <xf numFmtId="170" fontId="0" fillId="0" borderId="0" xfId="58" applyNumberFormat="1" applyFont="1" applyFill="1" applyBorder="1"/>
    <xf numFmtId="0" fontId="0" fillId="0" borderId="0" xfId="58" applyNumberFormat="1" applyFont="1" applyFill="1" applyBorder="1" applyAlignment="1">
      <alignment horizontal="left" indent="1"/>
    </xf>
    <xf numFmtId="0" fontId="17" fillId="0" borderId="0" xfId="58" applyNumberFormat="1" applyFont="1" applyFill="1" applyBorder="1" applyAlignment="1">
      <alignment horizontal="left"/>
    </xf>
    <xf numFmtId="0" fontId="136" fillId="5" borderId="16" xfId="58" applyFont="1" applyFill="1" applyBorder="1"/>
    <xf numFmtId="0" fontId="136" fillId="5" borderId="0" xfId="58" applyFont="1" applyFill="1" applyBorder="1"/>
    <xf numFmtId="0" fontId="136" fillId="5" borderId="17" xfId="58" applyFont="1" applyFill="1" applyBorder="1"/>
    <xf numFmtId="9" fontId="0" fillId="5" borderId="16" xfId="45" applyFont="1" applyFill="1" applyBorder="1"/>
    <xf numFmtId="9" fontId="0" fillId="5" borderId="0" xfId="45" applyFont="1" applyFill="1" applyBorder="1"/>
    <xf numFmtId="9" fontId="0" fillId="5" borderId="17" xfId="45" applyFont="1" applyFill="1" applyBorder="1"/>
    <xf numFmtId="43" fontId="2" fillId="0" borderId="0" xfId="58" applyNumberFormat="1" applyFont="1"/>
    <xf numFmtId="0" fontId="0" fillId="0" borderId="0" xfId="58" applyFont="1"/>
    <xf numFmtId="1" fontId="0" fillId="5" borderId="16" xfId="58" applyNumberFormat="1" applyFont="1" applyFill="1" applyBorder="1"/>
    <xf numFmtId="1" fontId="0" fillId="5" borderId="0" xfId="58" applyNumberFormat="1" applyFont="1" applyFill="1" applyBorder="1"/>
    <xf numFmtId="1" fontId="0" fillId="5" borderId="17" xfId="58" applyNumberFormat="1" applyFont="1" applyFill="1" applyBorder="1"/>
    <xf numFmtId="1" fontId="0" fillId="0" borderId="0" xfId="58" applyNumberFormat="1" applyFont="1" applyFill="1" applyBorder="1"/>
    <xf numFmtId="0" fontId="17" fillId="0" borderId="0" xfId="58" applyFont="1" applyFill="1" applyBorder="1" applyAlignment="1">
      <alignment horizontal="right"/>
    </xf>
    <xf numFmtId="0" fontId="136" fillId="0" borderId="0" xfId="0" applyFont="1" applyAlignment="1">
      <alignment horizontal="right"/>
    </xf>
    <xf numFmtId="0" fontId="136" fillId="0" borderId="0" xfId="58" applyFont="1" applyAlignment="1">
      <alignment horizontal="right"/>
    </xf>
    <xf numFmtId="197" fontId="136" fillId="0" borderId="0" xfId="58" applyNumberFormat="1" applyFont="1" applyFill="1" applyBorder="1" applyAlignment="1">
      <alignment horizontal="right"/>
    </xf>
    <xf numFmtId="1" fontId="136" fillId="0" borderId="0" xfId="58" applyNumberFormat="1" applyFont="1" applyFill="1" applyBorder="1" applyAlignment="1">
      <alignment horizontal="right"/>
    </xf>
    <xf numFmtId="9" fontId="136" fillId="0" borderId="0" xfId="58" applyNumberFormat="1" applyFont="1"/>
    <xf numFmtId="43" fontId="0" fillId="5" borderId="16" xfId="58" applyNumberFormat="1" applyFont="1" applyFill="1" applyBorder="1"/>
    <xf numFmtId="9" fontId="136" fillId="0" borderId="0" xfId="0" applyNumberFormat="1" applyFont="1"/>
    <xf numFmtId="0" fontId="0" fillId="0" borderId="0" xfId="1" applyNumberFormat="1" applyFont="1" applyAlignment="1">
      <alignment horizontal="left" indent="1"/>
    </xf>
    <xf numFmtId="0" fontId="0" fillId="0" borderId="0" xfId="58" applyNumberFormat="1" applyFont="1" applyFill="1" applyBorder="1" applyAlignment="1">
      <alignment horizontal="left"/>
    </xf>
    <xf numFmtId="0" fontId="136" fillId="0" borderId="0" xfId="58" applyFont="1"/>
    <xf numFmtId="177" fontId="136" fillId="0" borderId="0" xfId="33" applyNumberFormat="1" applyFont="1" applyFill="1"/>
    <xf numFmtId="0" fontId="2" fillId="0" borderId="0" xfId="1" applyFont="1" applyBorder="1"/>
    <xf numFmtId="178" fontId="2" fillId="0" borderId="0" xfId="18" applyNumberFormat="1" applyFont="1" applyFill="1" applyBorder="1"/>
    <xf numFmtId="8" fontId="2" fillId="0" borderId="0" xfId="18" applyNumberFormat="1" applyFont="1" applyFill="1" applyBorder="1"/>
    <xf numFmtId="4" fontId="136" fillId="0" borderId="0" xfId="1" applyNumberFormat="1" applyFont="1" applyFill="1" applyBorder="1"/>
    <xf numFmtId="178" fontId="136" fillId="0" borderId="13" xfId="18" applyNumberFormat="1" applyFont="1" applyFill="1" applyBorder="1"/>
    <xf numFmtId="178" fontId="136" fillId="0" borderId="0" xfId="18" applyNumberFormat="1" applyFont="1" applyFill="1" applyBorder="1"/>
    <xf numFmtId="169" fontId="16" fillId="0" borderId="0" xfId="58" applyNumberFormat="1" applyFont="1" applyFill="1" applyBorder="1"/>
    <xf numFmtId="169" fontId="0" fillId="5" borderId="16" xfId="58" applyNumberFormat="1" applyFont="1" applyFill="1" applyBorder="1"/>
    <xf numFmtId="169" fontId="0" fillId="5" borderId="0" xfId="58" applyNumberFormat="1" applyFont="1" applyFill="1" applyBorder="1"/>
    <xf numFmtId="169" fontId="0" fillId="5" borderId="17" xfId="58" applyNumberFormat="1" applyFont="1" applyFill="1" applyBorder="1"/>
    <xf numFmtId="8" fontId="2" fillId="5" borderId="16" xfId="60" applyNumberFormat="1" applyFont="1" applyFill="1" applyBorder="1"/>
    <xf numFmtId="8" fontId="2" fillId="5" borderId="0" xfId="60" applyNumberFormat="1" applyFont="1" applyFill="1" applyBorder="1"/>
    <xf numFmtId="8" fontId="2" fillId="5" borderId="17" xfId="60" applyNumberFormat="1" applyFont="1" applyFill="1" applyBorder="1"/>
    <xf numFmtId="8" fontId="16" fillId="0" borderId="0" xfId="60" applyNumberFormat="1" applyFont="1" applyFill="1" applyBorder="1"/>
    <xf numFmtId="170" fontId="2" fillId="5" borderId="16" xfId="60" applyNumberFormat="1" applyFont="1" applyFill="1" applyBorder="1"/>
    <xf numFmtId="170" fontId="2" fillId="5" borderId="0" xfId="60" applyNumberFormat="1" applyFont="1" applyFill="1" applyBorder="1"/>
    <xf numFmtId="170" fontId="2" fillId="5" borderId="17" xfId="60" applyNumberFormat="1" applyFont="1" applyFill="1" applyBorder="1"/>
    <xf numFmtId="170" fontId="2" fillId="0" borderId="0" xfId="60" applyNumberFormat="1" applyFont="1" applyFill="1" applyBorder="1"/>
    <xf numFmtId="8" fontId="2" fillId="0" borderId="0" xfId="60" applyNumberFormat="1" applyFont="1" applyFill="1" applyBorder="1"/>
    <xf numFmtId="184" fontId="2" fillId="0" borderId="0" xfId="60" applyNumberFormat="1" applyFont="1" applyFill="1" applyBorder="1"/>
    <xf numFmtId="8" fontId="136" fillId="5" borderId="16" xfId="60" applyNumberFormat="1" applyFont="1" applyFill="1" applyBorder="1"/>
    <xf numFmtId="8" fontId="136" fillId="5" borderId="0" xfId="60" applyNumberFormat="1" applyFont="1" applyFill="1" applyBorder="1"/>
    <xf numFmtId="8" fontId="136" fillId="5" borderId="17" xfId="60" applyNumberFormat="1" applyFont="1" applyFill="1" applyBorder="1"/>
    <xf numFmtId="3" fontId="0" fillId="5" borderId="16" xfId="58" applyNumberFormat="1" applyFont="1" applyFill="1" applyBorder="1"/>
    <xf numFmtId="3" fontId="0" fillId="5" borderId="0" xfId="58" applyNumberFormat="1" applyFont="1" applyFill="1" applyBorder="1"/>
    <xf numFmtId="3" fontId="0" fillId="5" borderId="17" xfId="58" applyNumberFormat="1" applyFont="1" applyFill="1" applyBorder="1"/>
    <xf numFmtId="170" fontId="0" fillId="0" borderId="0" xfId="60" applyNumberFormat="1" applyFont="1" applyFill="1" applyBorder="1"/>
    <xf numFmtId="8" fontId="17" fillId="0" borderId="0" xfId="60" applyNumberFormat="1" applyFont="1" applyFill="1" applyBorder="1"/>
    <xf numFmtId="170" fontId="0" fillId="5" borderId="0" xfId="60" applyNumberFormat="1" applyFont="1" applyFill="1" applyBorder="1"/>
    <xf numFmtId="170" fontId="136" fillId="0" borderId="0" xfId="60" applyNumberFormat="1" applyFont="1" applyFill="1" applyBorder="1"/>
    <xf numFmtId="169" fontId="16" fillId="0" borderId="0" xfId="45" applyNumberFormat="1" applyFont="1" applyFill="1" applyBorder="1"/>
    <xf numFmtId="201" fontId="136" fillId="0" borderId="0" xfId="58" applyNumberFormat="1" applyFont="1" applyFill="1" applyBorder="1"/>
    <xf numFmtId="43" fontId="4" fillId="0" borderId="0" xfId="18" applyNumberFormat="1" applyFont="1" applyFill="1" applyBorder="1"/>
    <xf numFmtId="8" fontId="2" fillId="0" borderId="17" xfId="18" applyNumberFormat="1" applyFont="1" applyFill="1" applyBorder="1"/>
    <xf numFmtId="0" fontId="0" fillId="0" borderId="0" xfId="44" applyNumberFormat="1" applyFont="1" applyFill="1" applyBorder="1"/>
    <xf numFmtId="7" fontId="2" fillId="0" borderId="0" xfId="60" applyNumberFormat="1" applyFont="1" applyBorder="1"/>
    <xf numFmtId="0" fontId="27" fillId="0" borderId="0" xfId="1" applyFont="1" applyFill="1"/>
    <xf numFmtId="170" fontId="27" fillId="0" borderId="0" xfId="18" applyNumberFormat="1" applyFont="1" applyFill="1"/>
    <xf numFmtId="169" fontId="0" fillId="0" borderId="0" xfId="1" applyNumberFormat="1" applyFont="1" applyFill="1"/>
    <xf numFmtId="169" fontId="136" fillId="5" borderId="17" xfId="44" applyNumberFormat="1" applyFont="1" applyFill="1" applyBorder="1"/>
    <xf numFmtId="199" fontId="10" fillId="0" borderId="0" xfId="1" applyNumberFormat="1" applyFont="1" applyFill="1"/>
    <xf numFmtId="0" fontId="0" fillId="0" borderId="17" xfId="0" applyBorder="1"/>
    <xf numFmtId="0" fontId="4" fillId="0" borderId="17" xfId="1" applyFont="1" applyBorder="1"/>
    <xf numFmtId="0" fontId="0" fillId="0" borderId="20" xfId="0" applyBorder="1"/>
    <xf numFmtId="9" fontId="19" fillId="0" borderId="0" xfId="1" applyNumberFormat="1" applyFont="1" applyFill="1" applyBorder="1"/>
    <xf numFmtId="7" fontId="17" fillId="0" borderId="19" xfId="1" applyNumberFormat="1" applyFont="1" applyFill="1" applyBorder="1"/>
    <xf numFmtId="0" fontId="0" fillId="0" borderId="0" xfId="1" applyNumberFormat="1" applyFont="1" applyFill="1"/>
    <xf numFmtId="169" fontId="27" fillId="0" borderId="0" xfId="44" applyNumberFormat="1" applyFont="1" applyBorder="1"/>
    <xf numFmtId="170" fontId="17" fillId="5" borderId="16" xfId="58" applyNumberFormat="1" applyFont="1" applyFill="1" applyBorder="1"/>
    <xf numFmtId="9" fontId="2" fillId="5" borderId="16" xfId="45" applyFont="1" applyFill="1" applyBorder="1"/>
    <xf numFmtId="43" fontId="27" fillId="0" borderId="0" xfId="58" applyNumberFormat="1" applyFont="1" applyFill="1" applyBorder="1"/>
    <xf numFmtId="8" fontId="17" fillId="0" borderId="0" xfId="18" applyNumberFormat="1" applyFont="1" applyFill="1"/>
    <xf numFmtId="43" fontId="136" fillId="5" borderId="0" xfId="1" applyNumberFormat="1" applyFont="1" applyFill="1" applyBorder="1"/>
    <xf numFmtId="203" fontId="2" fillId="0" borderId="0" xfId="33" applyNumberFormat="1"/>
    <xf numFmtId="43" fontId="4" fillId="0" borderId="0" xfId="18" applyFont="1" applyFill="1" applyBorder="1"/>
    <xf numFmtId="4" fontId="2" fillId="5" borderId="16" xfId="58" applyNumberFormat="1" applyFont="1" applyFill="1" applyBorder="1"/>
    <xf numFmtId="4" fontId="2" fillId="5" borderId="0" xfId="58" applyNumberFormat="1" applyFont="1" applyFill="1" applyBorder="1"/>
    <xf numFmtId="170" fontId="17" fillId="5" borderId="0" xfId="60" applyNumberFormat="1" applyFont="1" applyFill="1" applyBorder="1"/>
    <xf numFmtId="9" fontId="2" fillId="5" borderId="17" xfId="58" applyNumberFormat="1" applyFont="1" applyFill="1" applyBorder="1"/>
    <xf numFmtId="170" fontId="0" fillId="0" borderId="0" xfId="60" applyNumberFormat="1" applyFont="1" applyFill="1" applyBorder="1" applyAlignment="1">
      <alignment horizontal="right"/>
    </xf>
    <xf numFmtId="4" fontId="2" fillId="5" borderId="16" xfId="58" applyNumberFormat="1" applyFont="1" applyFill="1" applyBorder="1" applyAlignment="1">
      <alignment horizontal="right"/>
    </xf>
    <xf numFmtId="4" fontId="2" fillId="5" borderId="0" xfId="58" applyNumberFormat="1" applyFont="1" applyFill="1" applyBorder="1" applyAlignment="1">
      <alignment horizontal="right"/>
    </xf>
    <xf numFmtId="170" fontId="17" fillId="5" borderId="0" xfId="60" applyNumberFormat="1" applyFont="1" applyFill="1" applyBorder="1" applyAlignment="1">
      <alignment horizontal="right"/>
    </xf>
    <xf numFmtId="170" fontId="2" fillId="5" borderId="17" xfId="60" applyNumberFormat="1" applyFont="1" applyFill="1" applyBorder="1" applyAlignment="1">
      <alignment horizontal="right"/>
    </xf>
    <xf numFmtId="9" fontId="2" fillId="0" borderId="0" xfId="58" applyNumberFormat="1" applyFont="1" applyFill="1" applyBorder="1"/>
    <xf numFmtId="4" fontId="2" fillId="5" borderId="17" xfId="58" applyNumberFormat="1" applyFont="1" applyFill="1" applyBorder="1"/>
    <xf numFmtId="4" fontId="2" fillId="0" borderId="0" xfId="58" applyNumberFormat="1" applyFont="1" applyFill="1" applyBorder="1"/>
    <xf numFmtId="14" fontId="17" fillId="0" borderId="0" xfId="1" applyNumberFormat="1" applyFont="1" applyFill="1" applyBorder="1"/>
    <xf numFmtId="9" fontId="136" fillId="5" borderId="16" xfId="1" applyNumberFormat="1" applyFont="1" applyFill="1" applyBorder="1"/>
    <xf numFmtId="7" fontId="2" fillId="5" borderId="16" xfId="1" applyNumberFormat="1" applyFont="1" applyFill="1" applyBorder="1"/>
    <xf numFmtId="7" fontId="2" fillId="5" borderId="17" xfId="1" applyNumberFormat="1" applyFont="1" applyFill="1" applyBorder="1"/>
    <xf numFmtId="3" fontId="2" fillId="0" borderId="0" xfId="58" applyNumberFormat="1" applyFont="1" applyFill="1" applyBorder="1"/>
    <xf numFmtId="3" fontId="2" fillId="5" borderId="16" xfId="58" applyNumberFormat="1" applyFont="1" applyFill="1" applyBorder="1"/>
    <xf numFmtId="3" fontId="2" fillId="5" borderId="0" xfId="58" applyNumberFormat="1" applyFont="1" applyFill="1" applyBorder="1"/>
    <xf numFmtId="3" fontId="2" fillId="5" borderId="17" xfId="58" applyNumberFormat="1" applyFont="1" applyFill="1" applyBorder="1"/>
    <xf numFmtId="7" fontId="136" fillId="5" borderId="16" xfId="1" applyNumberFormat="1" applyFont="1" applyFill="1" applyBorder="1"/>
    <xf numFmtId="7" fontId="136" fillId="5" borderId="0" xfId="1" applyNumberFormat="1" applyFont="1" applyFill="1" applyBorder="1"/>
    <xf numFmtId="170" fontId="136" fillId="0" borderId="0" xfId="1" applyNumberFormat="1" applyFont="1" applyFill="1"/>
    <xf numFmtId="10" fontId="136" fillId="0" borderId="0" xfId="41" applyNumberFormat="1" applyFont="1" applyFill="1" applyAlignment="1"/>
    <xf numFmtId="9" fontId="72" fillId="0" borderId="0" xfId="44" applyNumberFormat="1" applyFont="1" applyBorder="1" applyAlignment="1">
      <alignment horizontal="right"/>
    </xf>
    <xf numFmtId="199" fontId="0" fillId="0" borderId="0" xfId="0" applyNumberFormat="1"/>
    <xf numFmtId="196" fontId="0" fillId="0" borderId="0" xfId="0" applyNumberFormat="1"/>
    <xf numFmtId="9" fontId="0" fillId="0" borderId="0" xfId="44" applyNumberFormat="1" applyFont="1"/>
    <xf numFmtId="168" fontId="136" fillId="0" borderId="0" xfId="33" applyNumberFormat="1" applyFont="1" applyAlignment="1">
      <alignment horizontal="right"/>
    </xf>
    <xf numFmtId="0" fontId="0" fillId="0" borderId="0" xfId="1" applyFont="1"/>
    <xf numFmtId="7" fontId="27" fillId="0" borderId="0" xfId="18" applyNumberFormat="1" applyFont="1" applyFill="1" applyBorder="1"/>
    <xf numFmtId="7" fontId="2" fillId="0" borderId="0" xfId="60" applyNumberFormat="1" applyFont="1" applyFill="1" applyBorder="1"/>
    <xf numFmtId="7" fontId="2" fillId="0" borderId="0" xfId="58" applyNumberFormat="1" applyFont="1" applyFill="1" applyBorder="1"/>
    <xf numFmtId="9" fontId="0" fillId="5" borderId="16" xfId="58" applyNumberFormat="1" applyFont="1" applyFill="1" applyBorder="1"/>
    <xf numFmtId="9" fontId="0" fillId="5" borderId="0" xfId="58" applyNumberFormat="1" applyFont="1" applyFill="1" applyBorder="1"/>
    <xf numFmtId="9" fontId="0" fillId="5" borderId="17" xfId="58" applyNumberFormat="1" applyFont="1" applyFill="1" applyBorder="1"/>
    <xf numFmtId="9" fontId="2" fillId="0" borderId="0" xfId="60" applyNumberFormat="1" applyFont="1" applyFill="1" applyBorder="1"/>
    <xf numFmtId="170" fontId="2" fillId="5" borderId="17" xfId="58" applyNumberFormat="1" applyFont="1" applyFill="1" applyBorder="1"/>
    <xf numFmtId="170" fontId="2" fillId="0" borderId="0" xfId="58" applyNumberFormat="1" applyFont="1" applyFill="1" applyBorder="1"/>
    <xf numFmtId="170" fontId="17" fillId="0" borderId="0" xfId="58" applyNumberFormat="1" applyFont="1" applyFill="1" applyBorder="1"/>
    <xf numFmtId="170" fontId="17" fillId="5" borderId="17" xfId="58" applyNumberFormat="1" applyFont="1" applyFill="1" applyBorder="1"/>
    <xf numFmtId="170" fontId="16" fillId="0" borderId="0" xfId="58" applyNumberFormat="1" applyFont="1" applyFill="1" applyBorder="1"/>
    <xf numFmtId="170" fontId="16" fillId="5" borderId="17" xfId="58" applyNumberFormat="1" applyFont="1" applyFill="1" applyBorder="1"/>
    <xf numFmtId="170" fontId="17" fillId="0" borderId="0" xfId="60" applyNumberFormat="1" applyFont="1" applyFill="1" applyBorder="1"/>
    <xf numFmtId="8" fontId="141" fillId="0" borderId="0" xfId="1" applyNumberFormat="1" applyFont="1" applyBorder="1"/>
    <xf numFmtId="7" fontId="142" fillId="0" borderId="0" xfId="1" applyNumberFormat="1" applyFont="1" applyFill="1" applyBorder="1"/>
    <xf numFmtId="5" fontId="142" fillId="0" borderId="0" xfId="1" applyNumberFormat="1" applyFont="1" applyFill="1" applyBorder="1"/>
    <xf numFmtId="170" fontId="2" fillId="0" borderId="0" xfId="60" applyNumberFormat="1" applyFont="1" applyBorder="1"/>
    <xf numFmtId="7" fontId="142" fillId="5" borderId="16" xfId="1" applyNumberFormat="1" applyFont="1" applyFill="1" applyBorder="1"/>
    <xf numFmtId="43" fontId="17" fillId="0" borderId="0" xfId="1" applyNumberFormat="1" applyFont="1"/>
    <xf numFmtId="7" fontId="142" fillId="0" borderId="0" xfId="58" applyNumberFormat="1" applyFont="1" applyFill="1" applyBorder="1"/>
    <xf numFmtId="0" fontId="136" fillId="0" borderId="0" xfId="58" applyFont="1" applyAlignment="1">
      <alignment horizontal="left"/>
    </xf>
    <xf numFmtId="0" fontId="136" fillId="0" borderId="0" xfId="58" applyFont="1" applyFill="1" applyBorder="1" applyAlignment="1">
      <alignment horizontal="left"/>
    </xf>
    <xf numFmtId="170" fontId="136" fillId="0" borderId="0" xfId="58" applyNumberFormat="1" applyFont="1" applyFill="1"/>
    <xf numFmtId="0" fontId="136" fillId="0" borderId="0" xfId="41" applyNumberFormat="1" applyFont="1" applyFill="1" applyAlignment="1">
      <alignment horizontal="left"/>
    </xf>
    <xf numFmtId="200" fontId="17" fillId="0" borderId="0" xfId="1" applyNumberFormat="1" applyFont="1" applyFill="1" applyBorder="1"/>
    <xf numFmtId="7" fontId="2" fillId="0" borderId="0" xfId="18" applyNumberFormat="1" applyFont="1" applyBorder="1"/>
    <xf numFmtId="43" fontId="18" fillId="0" borderId="0" xfId="18" applyFont="1"/>
    <xf numFmtId="43" fontId="19" fillId="5" borderId="16" xfId="18" applyNumberFormat="1" applyFont="1" applyFill="1" applyBorder="1"/>
    <xf numFmtId="9" fontId="0" fillId="5" borderId="18" xfId="44" applyFont="1" applyFill="1" applyBorder="1"/>
    <xf numFmtId="9" fontId="0" fillId="5" borderId="19" xfId="44" applyFont="1" applyFill="1" applyBorder="1"/>
    <xf numFmtId="9" fontId="0" fillId="5" borderId="20" xfId="44" applyFont="1" applyFill="1" applyBorder="1"/>
    <xf numFmtId="0" fontId="0" fillId="0" borderId="16" xfId="19" applyNumberFormat="1" applyFont="1" applyBorder="1" applyAlignment="1">
      <alignment horizontal="left"/>
    </xf>
    <xf numFmtId="178" fontId="136" fillId="5" borderId="16" xfId="18" applyNumberFormat="1" applyFont="1" applyFill="1" applyBorder="1"/>
    <xf numFmtId="178" fontId="136" fillId="5" borderId="0" xfId="18" applyNumberFormat="1" applyFont="1" applyFill="1" applyBorder="1"/>
    <xf numFmtId="178" fontId="136" fillId="5" borderId="17" xfId="18" applyNumberFormat="1" applyFont="1" applyFill="1" applyBorder="1"/>
    <xf numFmtId="43" fontId="17" fillId="0" borderId="0" xfId="18" applyFont="1"/>
    <xf numFmtId="0" fontId="2" fillId="11" borderId="0" xfId="62" applyFont="1" applyFill="1" applyAlignment="1">
      <alignment vertical="top"/>
    </xf>
    <xf numFmtId="0" fontId="2" fillId="11" borderId="0" xfId="29" applyFill="1" applyAlignment="1">
      <alignment vertical="top"/>
    </xf>
    <xf numFmtId="0" fontId="2" fillId="11" borderId="0" xfId="29" applyFill="1"/>
    <xf numFmtId="0" fontId="62" fillId="11" borderId="0" xfId="62" applyFont="1" applyFill="1" applyAlignment="1">
      <alignment horizontal="left" vertical="top"/>
    </xf>
    <xf numFmtId="0" fontId="2" fillId="11" borderId="0" xfId="29" applyFont="1" applyFill="1" applyAlignment="1">
      <alignment vertical="top"/>
    </xf>
    <xf numFmtId="0" fontId="18" fillId="11" borderId="0" xfId="62" applyFont="1" applyFill="1" applyAlignment="1">
      <alignment vertical="top"/>
    </xf>
    <xf numFmtId="0" fontId="0" fillId="11" borderId="0" xfId="0" applyFill="1" applyAlignment="1">
      <alignment vertical="top"/>
    </xf>
    <xf numFmtId="0" fontId="144" fillId="11" borderId="0" xfId="0" applyFont="1" applyFill="1" applyAlignment="1">
      <alignment vertical="top"/>
    </xf>
    <xf numFmtId="0" fontId="145" fillId="11" borderId="0" xfId="0" applyFont="1" applyFill="1" applyAlignment="1">
      <alignment vertical="top"/>
    </xf>
    <xf numFmtId="0" fontId="145" fillId="11" borderId="0" xfId="0" applyFont="1" applyFill="1" applyAlignment="1">
      <alignment vertical="top"/>
    </xf>
    <xf numFmtId="0" fontId="144" fillId="11" borderId="0" xfId="0" applyFont="1" applyFill="1" applyAlignment="1">
      <alignment vertical="top"/>
    </xf>
    <xf numFmtId="0" fontId="0" fillId="11" borderId="0" xfId="0" applyFill="1" applyAlignment="1">
      <alignment vertical="top"/>
    </xf>
    <xf numFmtId="0" fontId="0" fillId="11" borderId="59" xfId="0" applyFill="1" applyBorder="1" applyAlignment="1">
      <alignment vertical="top"/>
    </xf>
    <xf numFmtId="0" fontId="144" fillId="11" borderId="63" xfId="0" applyFont="1" applyFill="1" applyBorder="1" applyAlignment="1">
      <alignment vertical="top"/>
    </xf>
    <xf numFmtId="0" fontId="144" fillId="11" borderId="64" xfId="0" applyFont="1" applyFill="1" applyBorder="1" applyAlignment="1">
      <alignment vertical="top"/>
    </xf>
    <xf numFmtId="0" fontId="144" fillId="11" borderId="65" xfId="0" applyFont="1" applyFill="1" applyBorder="1" applyAlignment="1">
      <alignment vertical="top"/>
    </xf>
    <xf numFmtId="0" fontId="144" fillId="11" borderId="66" xfId="0" applyFont="1" applyFill="1" applyBorder="1" applyAlignment="1">
      <alignment vertical="top"/>
    </xf>
    <xf numFmtId="9" fontId="144" fillId="11" borderId="63" xfId="0" applyNumberFormat="1" applyFont="1" applyFill="1" applyBorder="1" applyAlignment="1">
      <alignment vertical="top"/>
    </xf>
    <xf numFmtId="3" fontId="144" fillId="11" borderId="63" xfId="0" applyNumberFormat="1" applyFont="1" applyFill="1" applyBorder="1" applyAlignment="1">
      <alignment vertical="top"/>
    </xf>
    <xf numFmtId="0" fontId="0" fillId="11" borderId="67" xfId="0" applyFill="1" applyBorder="1" applyAlignment="1">
      <alignment vertical="top"/>
    </xf>
    <xf numFmtId="2" fontId="2" fillId="0" borderId="0" xfId="29" applyNumberFormat="1" applyAlignment="1">
      <alignment horizontal="left"/>
    </xf>
    <xf numFmtId="0" fontId="2" fillId="0" borderId="0" xfId="29" applyNumberFormat="1" applyAlignment="1">
      <alignment horizontal="left"/>
    </xf>
    <xf numFmtId="1" fontId="2" fillId="0" borderId="0" xfId="29" applyNumberFormat="1" applyAlignment="1">
      <alignment horizontal="left"/>
    </xf>
    <xf numFmtId="0" fontId="2" fillId="0" borderId="0" xfId="29" applyFont="1"/>
    <xf numFmtId="209" fontId="2" fillId="0" borderId="0" xfId="29" applyNumberFormat="1" applyAlignment="1">
      <alignment horizontal="left"/>
    </xf>
    <xf numFmtId="49" fontId="2" fillId="0" borderId="0" xfId="29" applyNumberFormat="1"/>
  </cellXfs>
  <cellStyles count="63">
    <cellStyle name="******************************************" xfId="1"/>
    <cellStyle name="****************************************** 2" xfId="58"/>
    <cellStyle name="****************************************** 2 2" xfId="61"/>
    <cellStyle name="_SUMMARY " xfId="2"/>
    <cellStyle name="_SUMMARY _RRST1" xfId="3"/>
    <cellStyle name="0_Capex &amp; Depreciation " xfId="4"/>
    <cellStyle name="0_Capex &amp; Depreciation _RRST1" xfId="5"/>
    <cellStyle name="0_P&amp;L-adj " xfId="6"/>
    <cellStyle name="0_Quarterly " xfId="7"/>
    <cellStyle name="0_Valuing BP " xfId="8"/>
    <cellStyle name="0_Valuing BP _RRST1" xfId="9"/>
    <cellStyle name="ÅëÈ­ [0]_cover " xfId="10"/>
    <cellStyle name="ÅëÈ­_cover " xfId="11"/>
    <cellStyle name="ÄÞ¸¶ [0]_cover " xfId="12"/>
    <cellStyle name="ÄÞ¸¶_cover " xfId="13"/>
    <cellStyle name="c_HardInc " xfId="14"/>
    <cellStyle name="c_HardInc _RRST1" xfId="15"/>
    <cellStyle name="C￥AØ_¿μ¾÷CoE² " xfId="16"/>
    <cellStyle name="Ç¥ÁØ_cover " xfId="17"/>
    <cellStyle name="Comma" xfId="18" builtinId="3"/>
    <cellStyle name="Comma [0]_FORECAST" xfId="19"/>
    <cellStyle name="Comma 2" xfId="56"/>
    <cellStyle name="Comma 3" xfId="60"/>
    <cellStyle name="Currency" xfId="20" builtinId="4"/>
    <cellStyle name="Currency [0]_FORECAST" xfId="21"/>
    <cellStyle name="Currency 2" xfId="22"/>
    <cellStyle name="Currency 3" xfId="59"/>
    <cellStyle name="Fail" xfId="23"/>
    <cellStyle name="FiscalPeriod" xfId="24"/>
    <cellStyle name="Hidden" xfId="25"/>
    <cellStyle name="MetricLabel" xfId="26"/>
    <cellStyle name="MetricLabelBlue" xfId="27"/>
    <cellStyle name="MetricValue" xfId="28"/>
    <cellStyle name="Normal" xfId="0" builtinId="0"/>
    <cellStyle name="Normal 2" xfId="29"/>
    <cellStyle name="Normal 3" xfId="30"/>
    <cellStyle name="Normal 4" xfId="55"/>
    <cellStyle name="Normal_AEP Model WIP 02.01.13" xfId="31"/>
    <cellStyle name="Normal_Debts" xfId="32"/>
    <cellStyle name="Normal_DisclaimerSheet Samples" xfId="62"/>
    <cellStyle name="Normal_EXC Model WIP" xfId="33"/>
    <cellStyle name="Normal_MS Price Deck 3.30.12" xfId="34"/>
    <cellStyle name="Normal_NEE Model 1.10.12" xfId="35"/>
    <cellStyle name="Normal_NEE Model 1.10.12 2" xfId="36"/>
    <cellStyle name="Normal_NEE Model 1.10.12 3" xfId="37"/>
    <cellStyle name="Normal_NEE Model 1.10.12_FE Model 01.31.13 WIP v2" xfId="38"/>
    <cellStyle name="Normal_NEE Model 1.10.12_FE Model 02.01.13 WIP" xfId="39"/>
    <cellStyle name="Normal_NEE Model 1.10.12_FE Model 02.01.13 WIP 2" xfId="40"/>
    <cellStyle name="Normal_SNL_Energy_DebtMaturityProfile_PEG" xfId="41"/>
    <cellStyle name="p " xfId="42"/>
    <cellStyle name="Pass" xfId="43"/>
    <cellStyle name="Percent" xfId="44" builtinId="5"/>
    <cellStyle name="Percent 2" xfId="57"/>
    <cellStyle name="Percent 2 3" xfId="45"/>
    <cellStyle name="RRSInstruction" xfId="46"/>
    <cellStyle name="s_HardInc " xfId="47"/>
    <cellStyle name="s_HardInc _RRST1" xfId="48"/>
    <cellStyle name="s_Valuation " xfId="49"/>
    <cellStyle name="s_Valuation _RRST1" xfId="50"/>
    <cellStyle name="ssp " xfId="51"/>
    <cellStyle name="콤마 [0]_ 2팀층별 " xfId="52"/>
    <cellStyle name="콤마_ 2팀층별 " xfId="53"/>
    <cellStyle name="표준_0N-HANDLING " xfId="5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125A31"/>
      <rgbColor rgb="00E2E7E8"/>
      <rgbColor rgb="009DC9DC"/>
      <rgbColor rgb="00B2122B"/>
      <rgbColor rgb="00FC7114"/>
      <rgbColor rgb="00F8CD14"/>
      <rgbColor rgb="00003366"/>
      <rgbColor rgb="004091BF"/>
      <rgbColor rgb="00FCAE91"/>
      <rgbColor rgb="002270AB"/>
      <rgbColor rgb="00E3EEDE"/>
      <rgbColor rgb="0069ADCA"/>
      <rgbColor rgb="00CED5D7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800080"/>
      <rgbColor rgb="00FFFFCC"/>
      <rgbColor rgb="0097A5BB"/>
      <rgbColor rgb="00F7BEBF"/>
      <rgbColor rgb="00EFC1D2"/>
      <rgbColor rgb="00EFC49F"/>
      <rgbColor rgb="00ECD7B2"/>
      <rgbColor rgb="00A6DAC5"/>
      <rgbColor rgb="00C7E5BE"/>
      <rgbColor rgb="00A1D399"/>
      <rgbColor rgb="0041A95C"/>
      <rgbColor rgb="00E5EEF7"/>
      <rgbColor rgb="00238B45"/>
      <rgbColor rgb="001B4694"/>
      <rgbColor rgb="00C6D9E2"/>
      <rgbColor rgb="00969696"/>
      <rgbColor rgb="00FB9A7A"/>
      <rgbColor rgb="0074BE74"/>
      <rgbColor rgb="00EE7F81"/>
      <rgbColor rgb="00F26163"/>
      <rgbColor rgb="00FF0000"/>
      <rgbColor rgb="00A55628"/>
      <rgbColor rgb="00FDCDB8"/>
      <rgbColor rgb="000000FF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worksheets/sheet15.xml" Type="http://schemas.openxmlformats.org/officeDocument/2006/relationships/worksheet"/>
<Relationship Id="rId16" Target="worksheets/sheet16.xml" Type="http://schemas.openxmlformats.org/officeDocument/2006/relationships/worksheet"/>
<Relationship Id="rId17" Target="externalLinks/externalLink1.xml" Type="http://schemas.openxmlformats.org/officeDocument/2006/relationships/externalLink"/>
<Relationship Id="rId18" Target="externalLinks/externalLink2.xml" Type="http://schemas.openxmlformats.org/officeDocument/2006/relationships/externalLink"/>
<Relationship Id="rId19" Target="externalLinks/externalLink3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4.xml" Type="http://schemas.openxmlformats.org/officeDocument/2006/relationships/externalLink"/>
<Relationship Id="rId21" Target="externalLinks/externalLink5.xml" Type="http://schemas.openxmlformats.org/officeDocument/2006/relationships/externalLink"/>
<Relationship Id="rId22" Target="externalLinks/externalLink6.xml" Type="http://schemas.openxmlformats.org/officeDocument/2006/relationships/externalLink"/>
<Relationship Id="rId23" Target="externalLinks/externalLink7.xml" Type="http://schemas.openxmlformats.org/officeDocument/2006/relationships/externalLink"/>
<Relationship Id="rId24" Target="externalLinks/externalLink8.xml" Type="http://schemas.openxmlformats.org/officeDocument/2006/relationships/externalLink"/>
<Relationship Id="rId25" Target="externalLinks/externalLink9.xml" Type="http://schemas.openxmlformats.org/officeDocument/2006/relationships/externalLink"/>
<Relationship Id="rId26" Target="externalLinks/externalLink10.xml" Type="http://schemas.openxmlformats.org/officeDocument/2006/relationships/externalLink"/>
<Relationship Id="rId27" Target="externalLinks/externalLink11.xml" Type="http://schemas.openxmlformats.org/officeDocument/2006/relationships/externalLink"/>
<Relationship Id="rId28" Target="externalLinks/externalLink12.xml" Type="http://schemas.openxmlformats.org/officeDocument/2006/relationships/externalLink"/>
<Relationship Id="rId29" Target="externalLinks/externalLink13.xml" Type="http://schemas.openxmlformats.org/officeDocument/2006/relationships/externalLink"/>
<Relationship Id="rId3" Target="worksheets/sheet3.xml" Type="http://schemas.openxmlformats.org/officeDocument/2006/relationships/worksheet"/>
<Relationship Id="rId30" Target="externalLinks/externalLink14.xml" Type="http://schemas.openxmlformats.org/officeDocument/2006/relationships/externalLink"/>
<Relationship Id="rId31" Target="externalLinks/externalLink15.xml" Type="http://schemas.openxmlformats.org/officeDocument/2006/relationships/externalLink"/>
<Relationship Id="rId32" Target="theme/theme1.xml" Type="http://schemas.openxmlformats.org/officeDocument/2006/relationships/theme"/>
<Relationship Id="rId33" Target="styles.xml" Type="http://schemas.openxmlformats.org/officeDocument/2006/relationships/styles"/>
<Relationship Id="rId34" Target="sharedStrings.xml" Type="http://schemas.openxmlformats.org/officeDocument/2006/relationships/sharedStrings"/>
<Relationship Id="rId35" Target="calcChain.xml" Type="http://schemas.openxmlformats.org/officeDocument/2006/relationships/calcChain"/>
<Relationship Id="rId36" Target="../customXml/item1.xml" Type="http://schemas.openxmlformats.org/officeDocument/2006/relationships/customXml"/>
<Relationship Id="rId37" Target="../customXml/item2.xml" Type="http://schemas.openxmlformats.org/officeDocument/2006/relationships/customXml"/>
<Relationship Id="rId38" Target="vbaProject.bin" Type="http://schemas.microsoft.com/office/2006/relationships/vbaProjec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6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7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8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9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10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11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12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/Relationships>

</file>

<file path=xl/drawings/_rels/drawing1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783361" name="Picture 1" descr="C:\Users\arcaro\AppData\Local\Temp\MercuryPriceRatingHistoryChart\FE.N_2018_04_24_18_48_15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38100</xdr:rowOff>
    </xdr:from>
    <xdr:to>
      <xdr:col>10</xdr:col>
      <xdr:colOff>266700</xdr:colOff>
      <xdr:row>4</xdr:row>
      <xdr:rowOff>0</xdr:rowOff>
    </xdr:to>
    <xdr:pic>
      <xdr:nvPicPr>
        <xdr:cNvPr id="38684" name="Picture 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561975"/>
          <a:ext cx="3009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2266950</xdr:colOff>
      <xdr:row>1</xdr:row>
      <xdr:rowOff>38100</xdr:rowOff>
    </xdr:from>
    <xdr:to>
      <xdr:col>89</xdr:col>
      <xdr:colOff>581026</xdr:colOff>
      <xdr:row>2</xdr:row>
      <xdr:rowOff>133350</xdr:rowOff>
    </xdr:to>
    <xdr:pic>
      <xdr:nvPicPr>
        <xdr:cNvPr id="82750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77625" y="228600"/>
          <a:ext cx="30003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93</xdr:col>
      <xdr:colOff>238125</xdr:colOff>
      <xdr:row>1</xdr:row>
      <xdr:rowOff>47625</xdr:rowOff>
    </xdr:from>
    <xdr:to>
      <xdr:col>113</xdr:col>
      <xdr:colOff>647700</xdr:colOff>
      <xdr:row>2</xdr:row>
      <xdr:rowOff>142875</xdr:rowOff>
    </xdr:to>
    <xdr:pic>
      <xdr:nvPicPr>
        <xdr:cNvPr id="322332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0225" y="238125"/>
          <a:ext cx="30003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285750</xdr:colOff>
      <xdr:row>1</xdr:row>
      <xdr:rowOff>104775</xdr:rowOff>
    </xdr:from>
    <xdr:to>
      <xdr:col>48</xdr:col>
      <xdr:colOff>649940</xdr:colOff>
      <xdr:row>2</xdr:row>
      <xdr:rowOff>161925</xdr:rowOff>
    </xdr:to>
    <xdr:pic>
      <xdr:nvPicPr>
        <xdr:cNvPr id="1097785" name="Picture 82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0" y="333375"/>
          <a:ext cx="29527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285750</xdr:colOff>
      <xdr:row>1</xdr:row>
      <xdr:rowOff>95250</xdr:rowOff>
    </xdr:from>
    <xdr:to>
      <xdr:col>48</xdr:col>
      <xdr:colOff>647700</xdr:colOff>
      <xdr:row>2</xdr:row>
      <xdr:rowOff>152400</xdr:rowOff>
    </xdr:to>
    <xdr:pic>
      <xdr:nvPicPr>
        <xdr:cNvPr id="415630" name="Picture 82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7025" y="323850"/>
          <a:ext cx="29527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238125</xdr:colOff>
      <xdr:row>1</xdr:row>
      <xdr:rowOff>85725</xdr:rowOff>
    </xdr:from>
    <xdr:to>
      <xdr:col>48</xdr:col>
      <xdr:colOff>638175</xdr:colOff>
      <xdr:row>2</xdr:row>
      <xdr:rowOff>142875</xdr:rowOff>
    </xdr:to>
    <xdr:pic>
      <xdr:nvPicPr>
        <xdr:cNvPr id="1143824" name="Picture 82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314325"/>
          <a:ext cx="29908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276225</xdr:colOff>
      <xdr:row>1</xdr:row>
      <xdr:rowOff>104775</xdr:rowOff>
    </xdr:from>
    <xdr:to>
      <xdr:col>49</xdr:col>
      <xdr:colOff>0</xdr:colOff>
      <xdr:row>2</xdr:row>
      <xdr:rowOff>161925</xdr:rowOff>
    </xdr:to>
    <xdr:pic>
      <xdr:nvPicPr>
        <xdr:cNvPr id="590450" name="Picture 82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7475" y="333375"/>
          <a:ext cx="29622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247650</xdr:colOff>
      <xdr:row>1</xdr:row>
      <xdr:rowOff>104775</xdr:rowOff>
    </xdr:from>
    <xdr:to>
      <xdr:col>49</xdr:col>
      <xdr:colOff>0</xdr:colOff>
      <xdr:row>2</xdr:row>
      <xdr:rowOff>161925</xdr:rowOff>
    </xdr:to>
    <xdr:pic>
      <xdr:nvPicPr>
        <xdr:cNvPr id="1119270" name="Picture 82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33375"/>
          <a:ext cx="29908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342900</xdr:colOff>
      <xdr:row>0</xdr:row>
      <xdr:rowOff>133350</xdr:rowOff>
    </xdr:from>
    <xdr:to>
      <xdr:col>24</xdr:col>
      <xdr:colOff>438150</xdr:colOff>
      <xdr:row>1</xdr:row>
      <xdr:rowOff>180975</xdr:rowOff>
    </xdr:to>
    <xdr:pic>
      <xdr:nvPicPr>
        <xdr:cNvPr id="1021059" name="Picture 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133350"/>
          <a:ext cx="3000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57150</xdr:rowOff>
    </xdr:from>
    <xdr:to>
      <xdr:col>9</xdr:col>
      <xdr:colOff>485775</xdr:colOff>
      <xdr:row>2</xdr:row>
      <xdr:rowOff>152400</xdr:rowOff>
    </xdr:to>
    <xdr:pic>
      <xdr:nvPicPr>
        <xdr:cNvPr id="825662" name="Picture 1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4650" y="247650"/>
          <a:ext cx="30099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71</xdr:col>
      <xdr:colOff>1562100</xdr:colOff>
      <xdr:row>1</xdr:row>
      <xdr:rowOff>85725</xdr:rowOff>
    </xdr:from>
    <xdr:ext cx="2989730" cy="285750"/>
    <xdr:pic>
      <xdr:nvPicPr>
        <xdr:cNvPr id="2" name="Picture 6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43200" y="247650"/>
          <a:ext cx="298973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1</xdr:row>
      <xdr:rowOff>60512</xdr:rowOff>
    </xdr:from>
    <xdr:to>
      <xdr:col>43</xdr:col>
      <xdr:colOff>581025</xdr:colOff>
      <xdr:row>2</xdr:row>
      <xdr:rowOff>146237</xdr:rowOff>
    </xdr:to>
    <xdr:pic>
      <xdr:nvPicPr>
        <xdr:cNvPr id="80673" name="Picture 15" descr="Research Link Banne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4794" y="251012"/>
          <a:ext cx="3001496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NA/NY/LIB/ER/UTILITIES/Models/Rebuild/NVE/NVE%2010.4.11.xls" TargetMode="External" Type="http://schemas.microsoft.com/office/2006/relationships/xlExternalLinkPath/xlAlternateStartup"/>
</Relationships>

</file>

<file path=xl/externalLinks/_rels/externalLink3.xml.rels><?xml version="1.0" encoding="UTF-8" standalone="yes"?>
<Relationships xmlns="http://schemas.openxmlformats.org/package/2006/relationships">
<Relationship Id="rId1" Target="NA/NY/LIB/ER/UTILITIES/Models/Rebuild/NVE/NVE%20Model%2011.14.11.xls" TargetMode="External" Type="http://schemas.microsoft.com/office/2006/relationships/xlExternalLinkPath/xlAlternateStartup"/>
</Relationships>

</file>

<file path=xl/externalLinks/_rels/externalLink4.xml.rels><?xml version="1.0" encoding="UTF-8" standalone="yes"?>
<Relationships xmlns="http://schemas.openxmlformats.org/package/2006/relationships">
<Relationship Id="rId1" Target="UTILITIES/Models/CPN/CPN%20Model%2011.6.12%20WIP%20v2.xls" TargetMode="External" Type="http://schemas.microsoft.com/office/2006/relationships/xlExternalLinkPath/xlStartup"/>
</Relationships>

</file>

<file path=xl/externalLinks/_rels/externalLink5.xml.rels><?xml version="1.0" encoding="UTF-8" standalone="yes"?>
<Relationships xmlns="http://schemas.openxmlformats.org/package/2006/relationships">
<Relationship Id="rId1" Target="UTILITIES/Models/Rebuild/EIX/EMG%205.xls" TargetMode="External" Type="http://schemas.microsoft.com/office/2006/relationships/xlExternalLinkPath/xlStartup"/>
</Relationships>

</file>

<file path=xl/externalLinks/_rels/externalLink6.xml.rels><?xml version="1.0" encoding="UTF-8" standalone="yes"?>
<Relationships xmlns="http://schemas.openxmlformats.org/package/2006/relationships">
<Relationship Id="rId1" Target="C/UTILITY/Power/Utilities/WEC/Models/Initiation/Previous%20JPM%20WEC%20Model%2007%20Apr%2004.xls" TargetMode="External" Type="http://schemas.microsoft.com/office/2006/relationships/xlExternalLinkPath/xlStartup"/>
</Relationships>

</file>

<file path=xl/externalLinks/_rels/externalLink7.xml.rels><?xml version="1.0" encoding="UTF-8" standalone="yes"?>
<Relationships xmlns="http://schemas.openxmlformats.org/package/2006/relationships">
<Relationship Id="rId1" Target="C/UTILITY/Power/Models/Working/PNW%20Model%20Jen.xls" TargetMode="External" Type="http://schemas.microsoft.com/office/2006/relationships/xlExternalLinkPath/xlStartup"/>
</Relationships>

</file>

<file path=xl/externalLinks/_rels/externalLink8.xml.rels><?xml version="1.0" encoding="UTF-8" standalone="yes"?>
<Relationships xmlns="http://schemas.openxmlformats.org/package/2006/relationships">
<Relationship Id="rId1" Target="Volumes/NO%20NAME/UTILITY/Power/Utilities/WEC/Models/Initiation/Previous%20JPM%20WEC%20Model%2007%20Apr%2004.xls" TargetMode="External" Type="http://schemas.microsoft.com/office/2006/relationships/xlExternalLinkPath/xlStartup"/>
</Relationships>

</file>

<file path=xl/externalLinks/_rels/externalLink9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10.xml.rels><?xml version="1.0" encoding="UTF-8" standalone="yes"?>
<Relationships xmlns="http://schemas.openxmlformats.org/package/2006/relationships">
<Relationship Id="rId1" Target="file://///consltdb3/JOBS/F/RefCase%20Spring%202006/Northeast/Report/Tables&amp;Figures/Table%205-4%20Northeast%20Market%20Area%20Summary.xls" TargetMode="External" Type="http://schemas.openxmlformats.org/officeDocument/2006/relationships/externalLinkPath"/>
</Relationships>

</file>

<file path=xl/externalLinks/_rels/externalLink11.xml.rels><?xml version="1.0" encoding="UTF-8" standalone="yes"?>
<Relationships xmlns="http://schemas.openxmlformats.org/package/2006/relationships">
<Relationship Id="rId1" Target="Price%20Deck/MS%20New%20Price%20Deck%20092211.xls" TargetMode="External" Type="http://schemas.microsoft.com/office/2006/relationships/xlExternalLinkPath/xlStartup"/>
</Relationships>

</file>

<file path=xl/externalLinks/_rels/externalLink12.xml.rels><?xml version="1.0" encoding="UTF-8" standalone="yes"?>
<Relationships xmlns="http://schemas.openxmlformats.org/package/2006/relationships">
<Relationship Id="rId1" Target="Price%20Deck/MS%20New%20Price%20Deck%20100711.xls" TargetMode="External" Type="http://schemas.microsoft.com/office/2006/relationships/xlExternalLinkPath/xlStartup"/>
</Relationships>

</file>

<file path=xl/externalLinks/_rels/externalLink13.xml.rels><?xml version="1.0" encoding="UTF-8" standalone="yes"?>
<Relationships xmlns="http://schemas.openxmlformats.org/package/2006/relationships">
<Relationship Id="rId1" Target="UTILITIES/Price%20Deck/MS%20New%20Price%20Deck%20122811.xls" TargetMode="External" Type="http://schemas.microsoft.com/office/2006/relationships/xlExternalLinkPath/xlStartup"/>
</Relationships>

</file>

<file path=xl/externalLinks/_rels/externalLink14.xml.rels><?xml version="1.0" encoding="UTF-8" standalone="yes"?>
<Relationships xmlns="http://schemas.openxmlformats.org/package/2006/relationships">
<Relationship Id="rId1" Target="Program%20Files/MSERXlAddins/Model/ERModelPublish.xla" TargetMode="External" Type="http://schemas.microsoft.com/office/2006/relationships/xlExternalLinkPath/xlStartup"/>
</Relationships>

</file>

<file path=xl/externalLinks/_rels/externalLink15.xml.rels><?xml version="1.0" encoding="UTF-8" standalone="yes"?>
<Relationships xmlns="http://schemas.openxmlformats.org/package/2006/relationships">
<Relationship Id="rId1" Target="TEMPLATE/Excel/LINKTAB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 Flow"/>
      <sheetName val="upside_downside"/>
      <sheetName val="Income Statement"/>
      <sheetName val="Balance Sheet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Good 12-00 (2)"/>
      <sheetName val="Good 11-36"/>
      <sheetName val="Good 11-50"/>
      <sheetName val="Sheet3 (5)"/>
      <sheetName val="Inputs"/>
      <sheetName val="FX"/>
      <sheetName val="Interims"/>
      <sheetName val="Financial Statements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WP Detail "/>
      <sheetName val="Model"/>
      <sheetName val="Sheet4"/>
      <sheetName val="ForeignStake"/>
      <sheetName val="rev change analysis"/>
      <sheetName val="rev contribution analysis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Charts"/>
      <sheetName val="Pension"/>
      <sheetName val="Wal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Valuation Summary"/>
      <sheetName val="__FDSCACHE__"/>
      <sheetName val="Financial Summary"/>
      <sheetName val="NVE - Consolidated"/>
      <sheetName val="Nevada Power"/>
      <sheetName val="Sierra Power"/>
      <sheetName val="Parent"/>
      <sheetName val="Debt"/>
      <sheetName val="EPS Walk"/>
      <sheetName val="MWA RR"/>
      <sheetName val="Note Tables"/>
      <sheetName val="mwareDates"/>
      <sheetName val="Capex Chart"/>
      <sheetName val="FCF-Div. Working Chart"/>
      <sheetName val="MW FDS"/>
      <sheetName val="mwareSettings"/>
      <sheetName val="MW-Cache"/>
      <sheetName val="Summary"/>
      <sheetName val="misc"/>
      <sheetName val="Margins"/>
      <sheetName val="BS"/>
      <sheetName val="Valu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RRS-5.13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  <cell r="G2" t="str">
            <v>Is refreshing chart data too slow? Read below to improve performance.</v>
          </cell>
          <cell r="AQ2" t="str">
            <v>Refer to cell G2 to learn about improving chart refresh performance</v>
          </cell>
        </row>
        <row r="4">
          <cell r="B4" t="str">
            <v>Ticker:</v>
          </cell>
          <cell r="C4" t="str">
            <v>NVE.N</v>
          </cell>
          <cell r="E4" t="str">
            <v>Company Name:</v>
          </cell>
          <cell r="F4" t="str">
            <v>NV Energy Inc.</v>
          </cell>
          <cell r="I4" t="str">
            <v>Sedol:</v>
          </cell>
          <cell r="J4">
            <v>244379</v>
          </cell>
          <cell r="K4" t="str">
            <v>NA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17.5</v>
          </cell>
          <cell r="AA6" t="str">
            <v>mstag:bullCaseValueEstimatePerShare</v>
          </cell>
          <cell r="AB6">
            <v>0</v>
          </cell>
          <cell r="AC6" t="str">
            <v>ISO4217:USD</v>
          </cell>
          <cell r="AD6" t="b">
            <v>0</v>
          </cell>
        </row>
        <row r="7">
          <cell r="B7" t="str">
            <v>Base Case</v>
          </cell>
          <cell r="C7">
            <v>16.5</v>
          </cell>
          <cell r="AA7" t="str">
            <v>mstag:met_12monthIntrinsicValueEstimate</v>
          </cell>
          <cell r="AB7">
            <v>0</v>
          </cell>
          <cell r="AC7" t="str">
            <v>ISO4217:USD</v>
          </cell>
          <cell r="AD7" t="b">
            <v>0</v>
          </cell>
        </row>
        <row r="8">
          <cell r="B8" t="str">
            <v>Bear Case</v>
          </cell>
          <cell r="C8">
            <v>14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ISO4217:USD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ISO4217:USD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ISO4217:USD</v>
          </cell>
          <cell r="AD10" t="b">
            <v>0</v>
          </cell>
        </row>
        <row r="11">
          <cell r="B11" t="str">
            <v>Price Target</v>
          </cell>
          <cell r="O11" t="b">
            <v>1</v>
          </cell>
        </row>
        <row r="12">
          <cell r="B12" t="str">
            <v>Currency</v>
          </cell>
          <cell r="C12" t="str">
            <v>USD American Dollar</v>
          </cell>
          <cell r="F12">
            <v>0</v>
          </cell>
        </row>
        <row r="13">
          <cell r="B13" t="str">
            <v>Currency Symbol</v>
          </cell>
          <cell r="C13" t="str">
            <v>$</v>
          </cell>
          <cell r="F13">
            <v>0</v>
          </cell>
          <cell r="I13" t="str">
            <v xml:space="preserve">WARNINGDONOTEDIT_RRS4RL~NVE.N~ 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40050</v>
          </cell>
          <cell r="E15" t="str">
            <v>NA</v>
          </cell>
          <cell r="F15" t="str">
            <v>USD</v>
          </cell>
        </row>
        <row r="16">
          <cell r="B16" t="str">
            <v>End Date (+1 Yr)</v>
          </cell>
          <cell r="C16">
            <v>41146</v>
          </cell>
          <cell r="E16" t="str">
            <v>NA</v>
          </cell>
          <cell r="F16" t="str">
            <v>USD</v>
          </cell>
        </row>
        <row r="17">
          <cell r="B17">
            <v>14.35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>
            <v>40780</v>
          </cell>
        </row>
        <row r="19">
          <cell r="C19" t="str">
            <v>2009-FY</v>
          </cell>
        </row>
        <row r="34">
          <cell r="A34" t="str">
            <v>BullCase</v>
          </cell>
        </row>
        <row r="52">
          <cell r="A52">
            <v>41146</v>
          </cell>
          <cell r="B52">
            <v>764</v>
          </cell>
          <cell r="N52" t="str">
            <v>Aug-12</v>
          </cell>
          <cell r="R52" t="b">
            <v>1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Price(Aug-12)</v>
          </cell>
          <cell r="K53" t="str">
            <v>Bull Price(Aug-12)</v>
          </cell>
          <cell r="L53" t="str">
            <v>Bear Price(Aug-12)</v>
          </cell>
          <cell r="M53" t="str">
            <v>Extreme Downside Price(Aug-12)</v>
          </cell>
          <cell r="N53" t="str">
            <v>Base Case  (Aug-12)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Case(Aug-12)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40050</v>
          </cell>
          <cell r="B54">
            <v>40050</v>
          </cell>
          <cell r="C54" t="str">
            <v>Past</v>
          </cell>
          <cell r="D54">
            <v>12.21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12.21</v>
          </cell>
          <cell r="Q54">
            <v>1.3155129999999999</v>
          </cell>
          <cell r="R54" t="e">
            <v>#N/A</v>
          </cell>
          <cell r="S54" t="str">
            <v>Count</v>
          </cell>
          <cell r="T54">
            <v>764</v>
          </cell>
          <cell r="U54">
            <v>17.5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40051</v>
          </cell>
          <cell r="B55">
            <v>40051</v>
          </cell>
          <cell r="C55" t="str">
            <v>Past</v>
          </cell>
          <cell r="D55">
            <v>12.3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12.3</v>
          </cell>
          <cell r="Q55">
            <v>1.131678</v>
          </cell>
          <cell r="R55" t="e">
            <v>#N/A</v>
          </cell>
          <cell r="S55" t="str">
            <v>Curr Price</v>
          </cell>
          <cell r="T55">
            <v>14.35</v>
          </cell>
          <cell r="U55">
            <v>506</v>
          </cell>
          <cell r="V55">
            <v>55.094300000000004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40052</v>
          </cell>
          <cell r="B56">
            <v>40052</v>
          </cell>
          <cell r="C56" t="str">
            <v>Past</v>
          </cell>
          <cell r="D56">
            <v>12.22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12.22</v>
          </cell>
          <cell r="Q56">
            <v>0.87458399999999992</v>
          </cell>
          <cell r="R56" t="e">
            <v>#N/A</v>
          </cell>
          <cell r="S56" t="str">
            <v>Curr Price Date</v>
          </cell>
          <cell r="T56">
            <v>40780</v>
          </cell>
          <cell r="U56">
            <v>40519.771412037036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40053</v>
          </cell>
          <cell r="B57">
            <v>40053</v>
          </cell>
          <cell r="C57" t="str">
            <v>Past</v>
          </cell>
          <cell r="D57">
            <v>12.22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12.22</v>
          </cell>
          <cell r="Q57">
            <v>1.1191689999999999</v>
          </cell>
          <cell r="R57" t="e">
            <v>#N/A</v>
          </cell>
          <cell r="S57" t="str">
            <v>Bull-Curr</v>
          </cell>
          <cell r="T57">
            <v>3.1500000000000004</v>
          </cell>
          <cell r="U57">
            <v>1.2162162162162163E-2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40056</v>
          </cell>
          <cell r="B58">
            <v>40056</v>
          </cell>
          <cell r="C58" t="str">
            <v>Past</v>
          </cell>
          <cell r="D58">
            <v>12.06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12.06</v>
          </cell>
          <cell r="Q58">
            <v>1.369715</v>
          </cell>
          <cell r="R58" t="e">
            <v>#N/A</v>
          </cell>
          <cell r="S58" t="str">
            <v>Upp-Cur</v>
          </cell>
          <cell r="T58">
            <v>-14.35</v>
          </cell>
          <cell r="U58">
            <v>-5.5405405405405402E-2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40057</v>
          </cell>
          <cell r="B59">
            <v>40057</v>
          </cell>
          <cell r="C59" t="str">
            <v>Past</v>
          </cell>
          <cell r="D59">
            <v>11.93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11.93</v>
          </cell>
          <cell r="Q59">
            <v>1.273631</v>
          </cell>
          <cell r="R59" t="e">
            <v>#N/A</v>
          </cell>
          <cell r="S59" t="str">
            <v>Curr-Bear</v>
          </cell>
          <cell r="T59">
            <v>0.34999999999999964</v>
          </cell>
          <cell r="U59">
            <v>1.3513513513513499E-3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40058</v>
          </cell>
          <cell r="B60">
            <v>40058</v>
          </cell>
          <cell r="C60" t="str">
            <v>Past</v>
          </cell>
          <cell r="D60">
            <v>11.86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11.86</v>
          </cell>
          <cell r="Q60">
            <v>0.99380199999999996</v>
          </cell>
          <cell r="R60" t="e">
            <v>#N/A</v>
          </cell>
          <cell r="S60" t="str">
            <v>Curr-Lower</v>
          </cell>
          <cell r="T60">
            <v>14.35</v>
          </cell>
          <cell r="U60">
            <v>5.5405405405405402E-2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40059</v>
          </cell>
          <cell r="B61">
            <v>40059</v>
          </cell>
          <cell r="C61" t="str">
            <v>Past</v>
          </cell>
          <cell r="D61">
            <v>11.82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11.82</v>
          </cell>
          <cell r="Q61">
            <v>1.1897</v>
          </cell>
          <cell r="R61" t="e">
            <v>#N/A</v>
          </cell>
          <cell r="S61" t="str">
            <v>PriceFoundAt</v>
          </cell>
          <cell r="T61">
            <v>506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40060</v>
          </cell>
          <cell r="B62">
            <v>40060</v>
          </cell>
          <cell r="C62" t="str">
            <v>Past</v>
          </cell>
          <cell r="D62">
            <v>11.81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11.81</v>
          </cell>
          <cell r="Q62">
            <v>1.1005549999999999</v>
          </cell>
          <cell r="R62" t="e">
            <v>#N/A</v>
          </cell>
          <cell r="S62" t="str">
            <v>Starting Point</v>
          </cell>
          <cell r="T62">
            <v>559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40064</v>
          </cell>
          <cell r="B63">
            <v>40064</v>
          </cell>
          <cell r="C63" t="str">
            <v>Past</v>
          </cell>
          <cell r="D63">
            <v>11.83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11.83</v>
          </cell>
          <cell r="Q63">
            <v>1.2291809999999999</v>
          </cell>
          <cell r="R63" t="e">
            <v>#N/A</v>
          </cell>
          <cell r="S63" t="str">
            <v>Saved</v>
          </cell>
          <cell r="T63">
            <v>259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40065</v>
          </cell>
          <cell r="B64">
            <v>40065</v>
          </cell>
          <cell r="C64" t="str">
            <v>Past</v>
          </cell>
          <cell r="D64">
            <v>11.85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11.85</v>
          </cell>
          <cell r="Q64">
            <v>1.3311300000000001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40066</v>
          </cell>
          <cell r="B65">
            <v>40066</v>
          </cell>
          <cell r="C65" t="str">
            <v>Past</v>
          </cell>
          <cell r="D65">
            <v>11.88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11.88</v>
          </cell>
          <cell r="Q65">
            <v>2.2897369999999997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40067</v>
          </cell>
          <cell r="B66">
            <v>40067</v>
          </cell>
          <cell r="C66" t="str">
            <v>Past</v>
          </cell>
          <cell r="D66">
            <v>11.56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11.56</v>
          </cell>
          <cell r="Q66">
            <v>4.1574999999999998</v>
          </cell>
          <cell r="R66" t="e">
            <v>#N/A</v>
          </cell>
          <cell r="S66" t="str">
            <v>default StartDate</v>
          </cell>
          <cell r="T66">
            <v>40050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40070</v>
          </cell>
          <cell r="B67">
            <v>40070</v>
          </cell>
          <cell r="C67" t="str">
            <v>Past</v>
          </cell>
          <cell r="D67">
            <v>11.76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11.76</v>
          </cell>
          <cell r="Q67">
            <v>3.4181539999999999</v>
          </cell>
          <cell r="R67" t="e">
            <v>#N/A</v>
          </cell>
          <cell r="S67" t="str">
            <v>default EndDate</v>
          </cell>
          <cell r="T67">
            <v>41146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40071</v>
          </cell>
          <cell r="B68">
            <v>40071</v>
          </cell>
          <cell r="C68" t="str">
            <v>Past</v>
          </cell>
          <cell r="D68">
            <v>11.71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11.71</v>
          </cell>
          <cell r="Q68">
            <v>3.6388000000000003</v>
          </cell>
          <cell r="R68" t="e">
            <v>#N/A</v>
          </cell>
          <cell r="S68" t="str">
            <v>Max sharePrice</v>
          </cell>
          <cell r="T68">
            <v>15.89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40072</v>
          </cell>
          <cell r="B69">
            <v>40072</v>
          </cell>
          <cell r="C69" t="str">
            <v>Past</v>
          </cell>
          <cell r="D69">
            <v>11.76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11.76</v>
          </cell>
          <cell r="Q69">
            <v>2.8619700000000003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40073</v>
          </cell>
          <cell r="B70">
            <v>40073</v>
          </cell>
          <cell r="C70" t="str">
            <v>Past</v>
          </cell>
          <cell r="D70">
            <v>11.85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11.85</v>
          </cell>
          <cell r="Q70">
            <v>2.6357729999999999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40074</v>
          </cell>
          <cell r="B71">
            <v>40074</v>
          </cell>
          <cell r="C71" t="str">
            <v>Past</v>
          </cell>
          <cell r="D71">
            <v>11.8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11.8</v>
          </cell>
          <cell r="Q71">
            <v>2.2391289999999997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40077</v>
          </cell>
          <cell r="B72">
            <v>40077</v>
          </cell>
          <cell r="C72" t="str">
            <v>Past</v>
          </cell>
          <cell r="D72">
            <v>11.82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11.82</v>
          </cell>
          <cell r="Q72">
            <v>2.264758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40078</v>
          </cell>
          <cell r="B73">
            <v>40078</v>
          </cell>
          <cell r="C73" t="str">
            <v>Past</v>
          </cell>
          <cell r="D73">
            <v>11.72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11.72</v>
          </cell>
          <cell r="Q73">
            <v>1.6808400000000001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40079</v>
          </cell>
          <cell r="B74">
            <v>40079</v>
          </cell>
          <cell r="C74" t="str">
            <v>Past</v>
          </cell>
          <cell r="D74">
            <v>11.64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11.64</v>
          </cell>
          <cell r="Q74">
            <v>2.3194809999999997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40080</v>
          </cell>
          <cell r="B75">
            <v>40080</v>
          </cell>
          <cell r="C75" t="str">
            <v>Past</v>
          </cell>
          <cell r="D75">
            <v>11.54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11.54</v>
          </cell>
          <cell r="Q75">
            <v>2.1152579999999999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40081</v>
          </cell>
          <cell r="B76">
            <v>40081</v>
          </cell>
          <cell r="C76" t="str">
            <v>Past</v>
          </cell>
          <cell r="D76">
            <v>11.49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11.49</v>
          </cell>
          <cell r="Q76">
            <v>3.0800739999999998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40084</v>
          </cell>
          <cell r="B77">
            <v>40084</v>
          </cell>
          <cell r="C77" t="str">
            <v>Past</v>
          </cell>
          <cell r="D77">
            <v>11.6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11.6</v>
          </cell>
          <cell r="Q77">
            <v>1.955897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40085</v>
          </cell>
          <cell r="B78">
            <v>40085</v>
          </cell>
          <cell r="C78" t="str">
            <v>Past</v>
          </cell>
          <cell r="D78">
            <v>11.58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11.58</v>
          </cell>
          <cell r="Q78">
            <v>1.5703909999999999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40086</v>
          </cell>
          <cell r="B79">
            <v>40086</v>
          </cell>
          <cell r="C79" t="str">
            <v>Past</v>
          </cell>
          <cell r="D79">
            <v>11.59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11.59</v>
          </cell>
          <cell r="Q79">
            <v>2.2237610000000001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40087</v>
          </cell>
          <cell r="B80">
            <v>40087</v>
          </cell>
          <cell r="C80" t="str">
            <v>Past</v>
          </cell>
          <cell r="D80">
            <v>11.47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11.47</v>
          </cell>
          <cell r="Q80">
            <v>3.3032800000000004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40088</v>
          </cell>
          <cell r="B81">
            <v>40088</v>
          </cell>
          <cell r="C81" t="str">
            <v>Past</v>
          </cell>
          <cell r="D81">
            <v>11.26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11.26</v>
          </cell>
          <cell r="Q81">
            <v>3.5768739999999997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40091</v>
          </cell>
          <cell r="B82">
            <v>40091</v>
          </cell>
          <cell r="C82" t="str">
            <v>Past</v>
          </cell>
          <cell r="D82">
            <v>11.39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11.39</v>
          </cell>
          <cell r="Q82">
            <v>3.0325839999999999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40092</v>
          </cell>
          <cell r="B83">
            <v>40092</v>
          </cell>
          <cell r="C83" t="str">
            <v>Past</v>
          </cell>
          <cell r="D83">
            <v>11.43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11.43</v>
          </cell>
          <cell r="Q83">
            <v>2.647376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40093</v>
          </cell>
          <cell r="B84">
            <v>40093</v>
          </cell>
          <cell r="C84" t="str">
            <v>Past</v>
          </cell>
          <cell r="D84">
            <v>11.36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11.36</v>
          </cell>
          <cell r="Q84">
            <v>2.1541139999999999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40094</v>
          </cell>
          <cell r="B85">
            <v>40094</v>
          </cell>
          <cell r="C85" t="str">
            <v>Past</v>
          </cell>
          <cell r="D85">
            <v>11.37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11.37</v>
          </cell>
          <cell r="Q85">
            <v>3.583091</v>
          </cell>
          <cell r="R85" t="e">
            <v>#N/A</v>
          </cell>
          <cell r="AI85" t="str">
            <v>KYD Cayman Dollars</v>
          </cell>
          <cell r="AJ85" t="str">
            <v>KYD</v>
          </cell>
          <cell r="AK85" t="str">
            <v>KYD</v>
          </cell>
          <cell r="AL85" t="str">
            <v>KYD</v>
          </cell>
          <cell r="AM85">
            <v>0</v>
          </cell>
          <cell r="AN85">
            <v>2</v>
          </cell>
        </row>
        <row r="86">
          <cell r="A86">
            <v>40095</v>
          </cell>
          <cell r="B86">
            <v>40095</v>
          </cell>
          <cell r="C86" t="str">
            <v>Past</v>
          </cell>
          <cell r="D86">
            <v>11.54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11.54</v>
          </cell>
          <cell r="Q86">
            <v>3.244996</v>
          </cell>
          <cell r="R86" t="e">
            <v>#N/A</v>
          </cell>
          <cell r="AI86" t="str">
            <v>LKR Sri Lankan Rupee</v>
          </cell>
          <cell r="AJ86" t="str">
            <v>LKR</v>
          </cell>
          <cell r="AK86" t="str">
            <v>LKR</v>
          </cell>
          <cell r="AL86" t="str">
            <v>LKR</v>
          </cell>
          <cell r="AM86">
            <v>0</v>
          </cell>
          <cell r="AN86">
            <v>2</v>
          </cell>
        </row>
        <row r="87">
          <cell r="A87">
            <v>40098</v>
          </cell>
          <cell r="B87">
            <v>40098</v>
          </cell>
          <cell r="C87" t="str">
            <v>Past</v>
          </cell>
          <cell r="D87">
            <v>11.6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11.6</v>
          </cell>
          <cell r="Q87">
            <v>1.45696</v>
          </cell>
          <cell r="R87" t="e">
            <v>#N/A</v>
          </cell>
          <cell r="AI87" t="str">
            <v>MAD Moroccan Dirham</v>
          </cell>
          <cell r="AJ87" t="str">
            <v>MAD</v>
          </cell>
          <cell r="AK87" t="str">
            <v>MAD</v>
          </cell>
          <cell r="AL87" t="str">
            <v>MAD</v>
          </cell>
          <cell r="AM87">
            <v>0</v>
          </cell>
          <cell r="AN87">
            <v>2</v>
          </cell>
        </row>
        <row r="88">
          <cell r="A88">
            <v>40099</v>
          </cell>
          <cell r="B88">
            <v>40099</v>
          </cell>
          <cell r="C88" t="str">
            <v>Past</v>
          </cell>
          <cell r="D88">
            <v>11.46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11.46</v>
          </cell>
          <cell r="Q88">
            <v>2.1492249999999999</v>
          </cell>
          <cell r="R88" t="e">
            <v>#N/A</v>
          </cell>
          <cell r="AI88" t="str">
            <v>MXN Mexican Pesos (new)</v>
          </cell>
          <cell r="AJ88" t="str">
            <v>M$</v>
          </cell>
          <cell r="AK88" t="str">
            <v>MXN</v>
          </cell>
          <cell r="AL88" t="str">
            <v>MXN</v>
          </cell>
          <cell r="AM88">
            <v>0</v>
          </cell>
          <cell r="AN88">
            <v>2</v>
          </cell>
        </row>
        <row r="89">
          <cell r="A89">
            <v>40100</v>
          </cell>
          <cell r="B89">
            <v>40100</v>
          </cell>
          <cell r="C89" t="str">
            <v>Past</v>
          </cell>
          <cell r="D89">
            <v>11.58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11.58</v>
          </cell>
          <cell r="Q89">
            <v>2.0291129999999997</v>
          </cell>
          <cell r="R89" t="e">
            <v>#N/A</v>
          </cell>
          <cell r="AI89" t="str">
            <v>MYR Malaysian Ringgit</v>
          </cell>
          <cell r="AJ89" t="str">
            <v>RM</v>
          </cell>
          <cell r="AK89" t="str">
            <v>MYR</v>
          </cell>
          <cell r="AL89" t="str">
            <v>MYR</v>
          </cell>
          <cell r="AM89">
            <v>0</v>
          </cell>
          <cell r="AN89">
            <v>2</v>
          </cell>
        </row>
        <row r="90">
          <cell r="A90">
            <v>40101</v>
          </cell>
          <cell r="B90">
            <v>40101</v>
          </cell>
          <cell r="C90" t="str">
            <v>Past</v>
          </cell>
          <cell r="D90">
            <v>11.64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11.64</v>
          </cell>
          <cell r="Q90">
            <v>1.4275819999999999</v>
          </cell>
          <cell r="R90" t="e">
            <v>#N/A</v>
          </cell>
          <cell r="AI90" t="str">
            <v>NOK Norwegian Krone</v>
          </cell>
          <cell r="AJ90" t="str">
            <v>NKr</v>
          </cell>
          <cell r="AK90" t="str">
            <v>NOK</v>
          </cell>
          <cell r="AL90" t="str">
            <v>NOK</v>
          </cell>
          <cell r="AM90">
            <v>0</v>
          </cell>
          <cell r="AN90">
            <v>2</v>
          </cell>
        </row>
        <row r="91">
          <cell r="A91">
            <v>40102</v>
          </cell>
          <cell r="B91">
            <v>40102</v>
          </cell>
          <cell r="C91" t="str">
            <v>Past</v>
          </cell>
          <cell r="D91">
            <v>11.56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11.56</v>
          </cell>
          <cell r="Q91">
            <v>1.6266229999999999</v>
          </cell>
          <cell r="R91" t="e">
            <v>#N/A</v>
          </cell>
          <cell r="AI91" t="str">
            <v>NZD New Zealand Dollars</v>
          </cell>
          <cell r="AJ91" t="str">
            <v>NZ$</v>
          </cell>
          <cell r="AK91" t="str">
            <v>NZD</v>
          </cell>
          <cell r="AL91" t="str">
            <v>NZD</v>
          </cell>
          <cell r="AM91">
            <v>0</v>
          </cell>
          <cell r="AN91">
            <v>2</v>
          </cell>
        </row>
        <row r="92">
          <cell r="A92">
            <v>40105</v>
          </cell>
          <cell r="B92">
            <v>40105</v>
          </cell>
          <cell r="C92" t="str">
            <v>Past</v>
          </cell>
          <cell r="D92">
            <v>11.61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11.61</v>
          </cell>
          <cell r="Q92">
            <v>1.6260700000000001</v>
          </cell>
          <cell r="R92" t="e">
            <v>#N/A</v>
          </cell>
          <cell r="AI92" t="str">
            <v>OMR Rial Omani</v>
          </cell>
          <cell r="AJ92" t="str">
            <v>OMR</v>
          </cell>
          <cell r="AK92" t="str">
            <v>OMR</v>
          </cell>
          <cell r="AL92" t="str">
            <v>OMR</v>
          </cell>
          <cell r="AM92">
            <v>0</v>
          </cell>
          <cell r="AN92">
            <v>2</v>
          </cell>
        </row>
        <row r="93">
          <cell r="A93">
            <v>40106</v>
          </cell>
          <cell r="B93">
            <v>40106</v>
          </cell>
          <cell r="C93" t="str">
            <v>Past</v>
          </cell>
          <cell r="D93">
            <v>11.46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11.46</v>
          </cell>
          <cell r="Q93">
            <v>1.2816339999999999</v>
          </cell>
          <cell r="R93" t="e">
            <v>#N/A</v>
          </cell>
          <cell r="AI93" t="str">
            <v>PAB Panamanian Balboa</v>
          </cell>
          <cell r="AJ93" t="str">
            <v>PAB</v>
          </cell>
          <cell r="AK93" t="str">
            <v>PAB</v>
          </cell>
          <cell r="AL93" t="str">
            <v>PAB</v>
          </cell>
          <cell r="AM93">
            <v>0</v>
          </cell>
          <cell r="AN93">
            <v>2</v>
          </cell>
        </row>
        <row r="94">
          <cell r="A94">
            <v>40107</v>
          </cell>
          <cell r="B94">
            <v>40107</v>
          </cell>
          <cell r="C94" t="str">
            <v>Past</v>
          </cell>
          <cell r="D94">
            <v>11.34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11.34</v>
          </cell>
          <cell r="Q94">
            <v>1.940421</v>
          </cell>
          <cell r="R94" t="e">
            <v>#N/A</v>
          </cell>
          <cell r="AI94" t="str">
            <v>PEN Peruvian PEN</v>
          </cell>
          <cell r="AJ94" t="str">
            <v>PEN</v>
          </cell>
          <cell r="AK94" t="str">
            <v>PEN</v>
          </cell>
          <cell r="AL94" t="str">
            <v>PEN</v>
          </cell>
          <cell r="AM94">
            <v>0</v>
          </cell>
          <cell r="AN94">
            <v>2</v>
          </cell>
        </row>
        <row r="95">
          <cell r="A95">
            <v>40108</v>
          </cell>
          <cell r="B95">
            <v>40108</v>
          </cell>
          <cell r="C95" t="str">
            <v>Past</v>
          </cell>
          <cell r="D95">
            <v>11.33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11.33</v>
          </cell>
          <cell r="Q95">
            <v>2.0317000000000003</v>
          </cell>
          <cell r="R95" t="e">
            <v>#N/A</v>
          </cell>
          <cell r="AI95" t="str">
            <v>PHP Philippino Peso</v>
          </cell>
          <cell r="AJ95" t="str">
            <v>PP</v>
          </cell>
          <cell r="AK95" t="str">
            <v>PHP</v>
          </cell>
          <cell r="AL95" t="str">
            <v>PHP</v>
          </cell>
          <cell r="AM95">
            <v>0</v>
          </cell>
          <cell r="AN95">
            <v>2</v>
          </cell>
        </row>
        <row r="96">
          <cell r="A96">
            <v>40109</v>
          </cell>
          <cell r="B96">
            <v>40109</v>
          </cell>
          <cell r="C96" t="str">
            <v>Past</v>
          </cell>
          <cell r="D96">
            <v>11.28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11.28</v>
          </cell>
          <cell r="Q96">
            <v>2.386104</v>
          </cell>
          <cell r="R96" t="e">
            <v>#N/A</v>
          </cell>
          <cell r="AI96" t="str">
            <v>PKR Pakistani Rupee</v>
          </cell>
          <cell r="AJ96" t="str">
            <v>Rs.</v>
          </cell>
          <cell r="AK96" t="str">
            <v>PKR</v>
          </cell>
          <cell r="AL96" t="str">
            <v>PKR</v>
          </cell>
          <cell r="AM96">
            <v>0</v>
          </cell>
          <cell r="AN96">
            <v>2</v>
          </cell>
        </row>
        <row r="97">
          <cell r="A97">
            <v>40112</v>
          </cell>
          <cell r="B97">
            <v>40112</v>
          </cell>
          <cell r="C97" t="str">
            <v>Past</v>
          </cell>
          <cell r="D97">
            <v>11.37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11.37</v>
          </cell>
          <cell r="Q97">
            <v>3.054189</v>
          </cell>
          <cell r="R97" t="e">
            <v>#N/A</v>
          </cell>
          <cell r="AI97" t="str">
            <v>PLN Polish Zloty</v>
          </cell>
          <cell r="AJ97" t="str">
            <v>zł</v>
          </cell>
          <cell r="AK97" t="str">
            <v>PLN</v>
          </cell>
          <cell r="AL97" t="str">
            <v>PLN</v>
          </cell>
          <cell r="AM97">
            <v>0</v>
          </cell>
          <cell r="AN97">
            <v>2</v>
          </cell>
        </row>
        <row r="98">
          <cell r="A98">
            <v>40113</v>
          </cell>
          <cell r="B98">
            <v>40113</v>
          </cell>
          <cell r="C98" t="str">
            <v>Past</v>
          </cell>
          <cell r="D98">
            <v>11.44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11.44</v>
          </cell>
          <cell r="Q98">
            <v>2.2041369999999998</v>
          </cell>
          <cell r="R98" t="e">
            <v>#N/A</v>
          </cell>
          <cell r="AI98" t="str">
            <v>QAR Qatari Riyal</v>
          </cell>
          <cell r="AJ98" t="str">
            <v>QAR</v>
          </cell>
          <cell r="AK98" t="str">
            <v>QAR</v>
          </cell>
          <cell r="AL98" t="str">
            <v>QAR</v>
          </cell>
          <cell r="AM98">
            <v>0</v>
          </cell>
          <cell r="AN98">
            <v>2</v>
          </cell>
        </row>
        <row r="99">
          <cell r="A99">
            <v>40114</v>
          </cell>
          <cell r="B99">
            <v>40114</v>
          </cell>
          <cell r="C99" t="str">
            <v>Past</v>
          </cell>
          <cell r="D99">
            <v>11.46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11.46</v>
          </cell>
          <cell r="Q99">
            <v>3.8279000000000001</v>
          </cell>
          <cell r="R99" t="e">
            <v>#N/A</v>
          </cell>
          <cell r="AI99" t="str">
            <v>RUB Russian Rouble</v>
          </cell>
          <cell r="AJ99" t="str">
            <v>RUB</v>
          </cell>
          <cell r="AK99" t="str">
            <v>RUB</v>
          </cell>
          <cell r="AL99" t="str">
            <v>RUB</v>
          </cell>
          <cell r="AM99">
            <v>0</v>
          </cell>
          <cell r="AN99">
            <v>2</v>
          </cell>
        </row>
        <row r="100">
          <cell r="A100">
            <v>40115</v>
          </cell>
          <cell r="B100">
            <v>40115</v>
          </cell>
          <cell r="C100" t="str">
            <v>Past</v>
          </cell>
          <cell r="D100">
            <v>11.71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11.71</v>
          </cell>
          <cell r="Q100">
            <v>2.7270479999999999</v>
          </cell>
          <cell r="R100" t="e">
            <v>#N/A</v>
          </cell>
          <cell r="AI100" t="str">
            <v>SAR Saudi Riyal</v>
          </cell>
          <cell r="AJ100" t="str">
            <v>SAR</v>
          </cell>
          <cell r="AK100" t="str">
            <v>SAR</v>
          </cell>
          <cell r="AL100" t="str">
            <v>SAR</v>
          </cell>
          <cell r="AM100">
            <v>0</v>
          </cell>
          <cell r="AN100">
            <v>2</v>
          </cell>
        </row>
        <row r="101">
          <cell r="A101">
            <v>40116</v>
          </cell>
          <cell r="B101">
            <v>40116</v>
          </cell>
          <cell r="C101" t="str">
            <v>Past</v>
          </cell>
          <cell r="D101">
            <v>11.46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11.46</v>
          </cell>
          <cell r="Q101">
            <v>3.0121819999999997</v>
          </cell>
          <cell r="R101" t="e">
            <v>#N/A</v>
          </cell>
          <cell r="AI101" t="str">
            <v>SEK Swedish Krona</v>
          </cell>
          <cell r="AJ101" t="str">
            <v>SKr</v>
          </cell>
          <cell r="AK101" t="str">
            <v>SEK</v>
          </cell>
          <cell r="AL101" t="str">
            <v>SEK</v>
          </cell>
          <cell r="AM101">
            <v>0</v>
          </cell>
          <cell r="AN101">
            <v>2</v>
          </cell>
        </row>
        <row r="102">
          <cell r="A102">
            <v>40119</v>
          </cell>
          <cell r="B102">
            <v>40119</v>
          </cell>
          <cell r="C102" t="str">
            <v>Past</v>
          </cell>
          <cell r="D102">
            <v>11.34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11.34</v>
          </cell>
          <cell r="Q102">
            <v>3.8830300000000002</v>
          </cell>
          <cell r="R102" t="e">
            <v>#N/A</v>
          </cell>
          <cell r="AI102" t="str">
            <v>SGD Singapore Dollar</v>
          </cell>
          <cell r="AJ102" t="str">
            <v>S$</v>
          </cell>
          <cell r="AK102" t="str">
            <v>SGD</v>
          </cell>
          <cell r="AL102" t="str">
            <v>SGD</v>
          </cell>
          <cell r="AM102">
            <v>0</v>
          </cell>
          <cell r="AN102">
            <v>2</v>
          </cell>
        </row>
        <row r="103">
          <cell r="A103">
            <v>40120</v>
          </cell>
          <cell r="B103">
            <v>40120</v>
          </cell>
          <cell r="C103" t="str">
            <v>Past</v>
          </cell>
          <cell r="D103">
            <v>11.46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11.46</v>
          </cell>
          <cell r="Q103">
            <v>2.5635779999999997</v>
          </cell>
          <cell r="R103" t="e">
            <v>#N/A</v>
          </cell>
          <cell r="AI103" t="str">
            <v>THB Thailand Baht</v>
          </cell>
          <cell r="AJ103" t="str">
            <v>Bt</v>
          </cell>
          <cell r="AK103" t="str">
            <v>THB</v>
          </cell>
          <cell r="AL103" t="str">
            <v>THB</v>
          </cell>
          <cell r="AM103">
            <v>0</v>
          </cell>
          <cell r="AN103">
            <v>2</v>
          </cell>
        </row>
        <row r="104">
          <cell r="A104">
            <v>40121</v>
          </cell>
          <cell r="B104">
            <v>40121</v>
          </cell>
          <cell r="C104" t="str">
            <v>Past</v>
          </cell>
          <cell r="D104">
            <v>11.5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11.5</v>
          </cell>
          <cell r="Q104">
            <v>2.1466309999999997</v>
          </cell>
          <cell r="R104" t="e">
            <v>#N/A</v>
          </cell>
          <cell r="AI104" t="str">
            <v>TND Tunisian Dinar</v>
          </cell>
          <cell r="AJ104" t="str">
            <v>TND</v>
          </cell>
          <cell r="AK104" t="str">
            <v>TND</v>
          </cell>
          <cell r="AL104" t="str">
            <v>TND</v>
          </cell>
          <cell r="AM104">
            <v>0</v>
          </cell>
          <cell r="AN104">
            <v>2</v>
          </cell>
        </row>
        <row r="105">
          <cell r="A105">
            <v>40122</v>
          </cell>
          <cell r="B105">
            <v>40122</v>
          </cell>
          <cell r="C105" t="str">
            <v>Past</v>
          </cell>
          <cell r="D105">
            <v>11.73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11.73</v>
          </cell>
          <cell r="Q105">
            <v>1.6737000000000002</v>
          </cell>
          <cell r="R105" t="e">
            <v>#N/A</v>
          </cell>
          <cell r="AI105" t="str">
            <v>TRY Turkish Lira</v>
          </cell>
          <cell r="AJ105" t="str">
            <v>TL</v>
          </cell>
          <cell r="AK105" t="str">
            <v>TRY</v>
          </cell>
          <cell r="AL105" t="str">
            <v>TRY</v>
          </cell>
          <cell r="AM105">
            <v>0</v>
          </cell>
          <cell r="AN105">
            <v>2</v>
          </cell>
        </row>
        <row r="106">
          <cell r="A106">
            <v>40123</v>
          </cell>
          <cell r="B106">
            <v>40123</v>
          </cell>
          <cell r="C106" t="str">
            <v>Past</v>
          </cell>
          <cell r="D106">
            <v>11.76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11.76</v>
          </cell>
          <cell r="Q106">
            <v>1.227522</v>
          </cell>
          <cell r="R106" t="e">
            <v>#N/A</v>
          </cell>
          <cell r="AI106" t="str">
            <v>TWD New Taiwan Dollar</v>
          </cell>
          <cell r="AJ106" t="str">
            <v>NT$</v>
          </cell>
          <cell r="AK106" t="str">
            <v>TWD</v>
          </cell>
          <cell r="AL106" t="str">
            <v>TWD</v>
          </cell>
          <cell r="AM106">
            <v>0</v>
          </cell>
          <cell r="AN106">
            <v>2</v>
          </cell>
        </row>
        <row r="107">
          <cell r="A107">
            <v>40126</v>
          </cell>
          <cell r="B107">
            <v>40126</v>
          </cell>
          <cell r="C107" t="str">
            <v>Past</v>
          </cell>
          <cell r="D107">
            <v>11.76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11.76</v>
          </cell>
          <cell r="Q107">
            <v>2.7558609999999999</v>
          </cell>
          <cell r="R107" t="e">
            <v>#N/A</v>
          </cell>
          <cell r="AI107" t="str">
            <v>UAH Ukrainian Hryvnia</v>
          </cell>
          <cell r="AJ107" t="str">
            <v>UAH</v>
          </cell>
          <cell r="AK107" t="str">
            <v>UAH</v>
          </cell>
          <cell r="AL107" t="str">
            <v>UAH</v>
          </cell>
          <cell r="AM107">
            <v>0</v>
          </cell>
          <cell r="AN107">
            <v>2</v>
          </cell>
        </row>
        <row r="108">
          <cell r="A108">
            <v>40127</v>
          </cell>
          <cell r="B108">
            <v>40127</v>
          </cell>
          <cell r="C108" t="str">
            <v>Past</v>
          </cell>
          <cell r="D108">
            <v>12.04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12.04</v>
          </cell>
          <cell r="Q108">
            <v>5.5502000000000002</v>
          </cell>
          <cell r="R108" t="e">
            <v>#N/A</v>
          </cell>
          <cell r="AI108" t="str">
            <v>USD American Dollar</v>
          </cell>
          <cell r="AJ108" t="str">
            <v>$</v>
          </cell>
          <cell r="AK108" t="str">
            <v>USD</v>
          </cell>
          <cell r="AL108" t="str">
            <v>USD</v>
          </cell>
          <cell r="AM108">
            <v>0</v>
          </cell>
          <cell r="AN108">
            <v>2</v>
          </cell>
        </row>
        <row r="109">
          <cell r="A109">
            <v>40128</v>
          </cell>
          <cell r="B109">
            <v>40128</v>
          </cell>
          <cell r="C109" t="str">
            <v>Past</v>
          </cell>
          <cell r="D109">
            <v>11.87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11.87</v>
          </cell>
          <cell r="Q109">
            <v>1.5279600000000002</v>
          </cell>
          <cell r="R109" t="e">
            <v>#N/A</v>
          </cell>
          <cell r="AI109" t="str">
            <v>VEB Venezuelan Bolivar</v>
          </cell>
          <cell r="AJ109" t="str">
            <v>VEB</v>
          </cell>
          <cell r="AK109" t="str">
            <v>VEB</v>
          </cell>
          <cell r="AL109" t="str">
            <v>VEB</v>
          </cell>
          <cell r="AM109">
            <v>0</v>
          </cell>
          <cell r="AN109">
            <v>2</v>
          </cell>
        </row>
        <row r="110">
          <cell r="A110">
            <v>40129</v>
          </cell>
          <cell r="B110">
            <v>40129</v>
          </cell>
          <cell r="C110" t="str">
            <v>Past</v>
          </cell>
          <cell r="D110">
            <v>11.68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11.68</v>
          </cell>
          <cell r="Q110">
            <v>1.0482609999999999</v>
          </cell>
          <cell r="R110" t="e">
            <v>#N/A</v>
          </cell>
          <cell r="AI110" t="str">
            <v>ZAc South African Cent</v>
          </cell>
          <cell r="AJ110" t="str">
            <v>ZAc</v>
          </cell>
          <cell r="AK110" t="str">
            <v>ZAc</v>
          </cell>
          <cell r="AL110" t="str">
            <v>ZAc</v>
          </cell>
          <cell r="AM110">
            <v>0</v>
          </cell>
          <cell r="AN110">
            <v>0</v>
          </cell>
        </row>
        <row r="111">
          <cell r="A111">
            <v>40130</v>
          </cell>
          <cell r="B111">
            <v>40130</v>
          </cell>
          <cell r="C111" t="str">
            <v>Past</v>
          </cell>
          <cell r="D111">
            <v>11.79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11.79</v>
          </cell>
          <cell r="Q111">
            <v>1.274297</v>
          </cell>
          <cell r="R111" t="e">
            <v>#N/A</v>
          </cell>
          <cell r="AI111" t="str">
            <v>ZAR South African rand</v>
          </cell>
          <cell r="AJ111" t="str">
            <v>ZAR</v>
          </cell>
          <cell r="AK111" t="str">
            <v>ZAR</v>
          </cell>
          <cell r="AL111" t="str">
            <v>ZAR</v>
          </cell>
          <cell r="AM111">
            <v>0</v>
          </cell>
          <cell r="AN111">
            <v>2</v>
          </cell>
        </row>
        <row r="112">
          <cell r="A112">
            <v>40133</v>
          </cell>
          <cell r="B112">
            <v>40133</v>
          </cell>
          <cell r="C112" t="str">
            <v>Past</v>
          </cell>
          <cell r="D112">
            <v>11.94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11.94</v>
          </cell>
          <cell r="Q112">
            <v>0.62196399999999996</v>
          </cell>
          <cell r="R112" t="e">
            <v>#N/A</v>
          </cell>
          <cell r="AI112" t="str">
            <v xml:space="preserve">ZMK Zambian Kwacha </v>
          </cell>
          <cell r="AJ112" t="str">
            <v>ZMK</v>
          </cell>
          <cell r="AK112" t="str">
            <v>ZMK</v>
          </cell>
          <cell r="AL112" t="str">
            <v>ZMK</v>
          </cell>
          <cell r="AM112">
            <v>0</v>
          </cell>
          <cell r="AN112">
            <v>2</v>
          </cell>
        </row>
        <row r="113">
          <cell r="A113">
            <v>40134</v>
          </cell>
          <cell r="B113">
            <v>40134</v>
          </cell>
          <cell r="C113" t="str">
            <v>Past</v>
          </cell>
          <cell r="D113">
            <v>11.9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11.9</v>
          </cell>
          <cell r="Q113">
            <v>0.67125299999999999</v>
          </cell>
          <cell r="R113" t="e">
            <v>#N/A</v>
          </cell>
        </row>
        <row r="114">
          <cell r="A114">
            <v>40135</v>
          </cell>
          <cell r="B114">
            <v>40135</v>
          </cell>
          <cell r="C114" t="str">
            <v>Past</v>
          </cell>
          <cell r="D114">
            <v>11.76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11.76</v>
          </cell>
          <cell r="Q114">
            <v>0.64498599999999995</v>
          </cell>
          <cell r="R114" t="e">
            <v>#N/A</v>
          </cell>
        </row>
        <row r="115">
          <cell r="A115">
            <v>40136</v>
          </cell>
          <cell r="B115">
            <v>40136</v>
          </cell>
          <cell r="C115" t="str">
            <v>Past</v>
          </cell>
          <cell r="D115">
            <v>11.56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11.56</v>
          </cell>
          <cell r="Q115">
            <v>1.2904279999999999</v>
          </cell>
          <cell r="R115" t="e">
            <v>#N/A</v>
          </cell>
        </row>
        <row r="116">
          <cell r="A116">
            <v>40137</v>
          </cell>
          <cell r="B116">
            <v>40137</v>
          </cell>
          <cell r="C116" t="str">
            <v>Past</v>
          </cell>
          <cell r="D116">
            <v>11.49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11.49</v>
          </cell>
          <cell r="Q116">
            <v>0.70999499999999993</v>
          </cell>
          <cell r="R116" t="e">
            <v>#N/A</v>
          </cell>
        </row>
        <row r="117">
          <cell r="A117">
            <v>40140</v>
          </cell>
          <cell r="B117">
            <v>40140</v>
          </cell>
          <cell r="C117" t="str">
            <v>Past</v>
          </cell>
          <cell r="D117">
            <v>11.67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11.67</v>
          </cell>
          <cell r="Q117">
            <v>1.04413</v>
          </cell>
          <cell r="R117" t="e">
            <v>#N/A</v>
          </cell>
        </row>
        <row r="118">
          <cell r="A118">
            <v>40141</v>
          </cell>
          <cell r="B118">
            <v>40141</v>
          </cell>
          <cell r="C118" t="str">
            <v>Past</v>
          </cell>
          <cell r="D118">
            <v>11.61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11.61</v>
          </cell>
          <cell r="Q118">
            <v>1.9307329999999998</v>
          </cell>
          <cell r="R118" t="e">
            <v>#N/A</v>
          </cell>
        </row>
        <row r="119">
          <cell r="A119">
            <v>40142</v>
          </cell>
          <cell r="B119">
            <v>40142</v>
          </cell>
          <cell r="C119" t="str">
            <v>Past</v>
          </cell>
          <cell r="D119">
            <v>11.65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11.65</v>
          </cell>
          <cell r="Q119">
            <v>0.93092900000000001</v>
          </cell>
          <cell r="R119" t="e">
            <v>#N/A</v>
          </cell>
        </row>
        <row r="120">
          <cell r="A120">
            <v>40144</v>
          </cell>
          <cell r="B120">
            <v>40144</v>
          </cell>
          <cell r="C120" t="str">
            <v>Past</v>
          </cell>
          <cell r="D120">
            <v>11.44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11.44</v>
          </cell>
          <cell r="Q120">
            <v>0.54460500000000001</v>
          </cell>
          <cell r="R120" t="e">
            <v>#N/A</v>
          </cell>
        </row>
        <row r="121">
          <cell r="A121">
            <v>40147</v>
          </cell>
          <cell r="B121">
            <v>40147</v>
          </cell>
          <cell r="C121" t="str">
            <v>Past</v>
          </cell>
          <cell r="D121">
            <v>11.64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11.64</v>
          </cell>
          <cell r="Q121">
            <v>3.259204</v>
          </cell>
          <cell r="R121" t="e">
            <v>#N/A</v>
          </cell>
        </row>
        <row r="122">
          <cell r="A122">
            <v>40148</v>
          </cell>
          <cell r="B122">
            <v>40148</v>
          </cell>
          <cell r="C122" t="str">
            <v>Past</v>
          </cell>
          <cell r="D122">
            <v>11.92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11.92</v>
          </cell>
          <cell r="Q122">
            <v>4.5483539999999998</v>
          </cell>
          <cell r="R122" t="e">
            <v>#N/A</v>
          </cell>
        </row>
        <row r="123">
          <cell r="A123">
            <v>40149</v>
          </cell>
          <cell r="B123">
            <v>40149</v>
          </cell>
          <cell r="C123" t="str">
            <v>Past</v>
          </cell>
          <cell r="D123">
            <v>12.08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12.08</v>
          </cell>
          <cell r="Q123">
            <v>1.643826</v>
          </cell>
          <cell r="R123" t="e">
            <v>#N/A</v>
          </cell>
        </row>
        <row r="124">
          <cell r="A124">
            <v>40150</v>
          </cell>
          <cell r="B124">
            <v>40150</v>
          </cell>
          <cell r="C124" t="str">
            <v>Past</v>
          </cell>
          <cell r="D124">
            <v>12.01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12.01</v>
          </cell>
          <cell r="Q124">
            <v>2.0495200000000002</v>
          </cell>
          <cell r="R124" t="e">
            <v>#N/A</v>
          </cell>
        </row>
        <row r="125">
          <cell r="A125">
            <v>40151</v>
          </cell>
          <cell r="B125">
            <v>40151</v>
          </cell>
          <cell r="C125" t="str">
            <v>Past</v>
          </cell>
          <cell r="D125">
            <v>12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12</v>
          </cell>
          <cell r="Q125">
            <v>1.6330449999999999</v>
          </cell>
          <cell r="R125" t="e">
            <v>#N/A</v>
          </cell>
        </row>
        <row r="126">
          <cell r="A126">
            <v>40154</v>
          </cell>
          <cell r="B126">
            <v>40154</v>
          </cell>
          <cell r="C126" t="str">
            <v>Past</v>
          </cell>
          <cell r="D126">
            <v>11.98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11.98</v>
          </cell>
          <cell r="Q126">
            <v>1.9720549999999999</v>
          </cell>
          <cell r="R126" t="e">
            <v>#N/A</v>
          </cell>
        </row>
        <row r="127">
          <cell r="A127">
            <v>40155</v>
          </cell>
          <cell r="B127">
            <v>40155</v>
          </cell>
          <cell r="C127" t="str">
            <v>Past</v>
          </cell>
          <cell r="D127">
            <v>11.96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11.96</v>
          </cell>
          <cell r="Q127">
            <v>1.403686</v>
          </cell>
          <cell r="R127" t="e">
            <v>#N/A</v>
          </cell>
        </row>
        <row r="128">
          <cell r="A128">
            <v>40156</v>
          </cell>
          <cell r="B128">
            <v>40156</v>
          </cell>
          <cell r="C128" t="str">
            <v>Past</v>
          </cell>
          <cell r="D128">
            <v>11.9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11.9</v>
          </cell>
          <cell r="Q128">
            <v>1.402925</v>
          </cell>
          <cell r="R128" t="e">
            <v>#N/A</v>
          </cell>
        </row>
        <row r="129">
          <cell r="A129">
            <v>40157</v>
          </cell>
          <cell r="B129">
            <v>40157</v>
          </cell>
          <cell r="C129" t="str">
            <v>Past</v>
          </cell>
          <cell r="D129">
            <v>11.92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11.92</v>
          </cell>
          <cell r="Q129">
            <v>1.6281049999999999</v>
          </cell>
          <cell r="R129" t="e">
            <v>#N/A</v>
          </cell>
        </row>
        <row r="130">
          <cell r="A130">
            <v>40158</v>
          </cell>
          <cell r="B130">
            <v>40158</v>
          </cell>
          <cell r="C130" t="str">
            <v>Past</v>
          </cell>
          <cell r="D130">
            <v>12.26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12.26</v>
          </cell>
          <cell r="Q130">
            <v>2.5341459999999998</v>
          </cell>
          <cell r="R130" t="e">
            <v>#N/A</v>
          </cell>
        </row>
        <row r="131">
          <cell r="A131">
            <v>40161</v>
          </cell>
          <cell r="B131">
            <v>40161</v>
          </cell>
          <cell r="C131" t="str">
            <v>Past</v>
          </cell>
          <cell r="D131">
            <v>12.39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12.39</v>
          </cell>
          <cell r="Q131">
            <v>1.5428109999999999</v>
          </cell>
          <cell r="R131" t="e">
            <v>#N/A</v>
          </cell>
        </row>
        <row r="132">
          <cell r="A132">
            <v>40162</v>
          </cell>
          <cell r="B132">
            <v>40162</v>
          </cell>
          <cell r="C132" t="str">
            <v>Past</v>
          </cell>
          <cell r="D132">
            <v>12.49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12.49</v>
          </cell>
          <cell r="Q132">
            <v>1.816954</v>
          </cell>
          <cell r="R132" t="e">
            <v>#N/A</v>
          </cell>
        </row>
        <row r="133">
          <cell r="A133">
            <v>40163</v>
          </cell>
          <cell r="B133">
            <v>40163</v>
          </cell>
          <cell r="C133" t="str">
            <v>Past</v>
          </cell>
          <cell r="D133">
            <v>12.67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12.67</v>
          </cell>
          <cell r="Q133">
            <v>3.4078200000000001</v>
          </cell>
          <cell r="R133" t="e">
            <v>#N/A</v>
          </cell>
        </row>
        <row r="134">
          <cell r="A134">
            <v>40164</v>
          </cell>
          <cell r="B134">
            <v>40164</v>
          </cell>
          <cell r="C134" t="str">
            <v>Past</v>
          </cell>
          <cell r="D134">
            <v>12.37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12.37</v>
          </cell>
          <cell r="Q134">
            <v>2.987034</v>
          </cell>
          <cell r="R134" t="e">
            <v>#N/A</v>
          </cell>
        </row>
        <row r="135">
          <cell r="A135">
            <v>40165</v>
          </cell>
          <cell r="B135">
            <v>40165</v>
          </cell>
          <cell r="C135" t="str">
            <v>Past</v>
          </cell>
          <cell r="D135">
            <v>12.39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12.39</v>
          </cell>
          <cell r="Q135">
            <v>2.0287000000000002</v>
          </cell>
          <cell r="R135" t="e">
            <v>#N/A</v>
          </cell>
        </row>
        <row r="136">
          <cell r="A136">
            <v>40168</v>
          </cell>
          <cell r="B136">
            <v>40168</v>
          </cell>
          <cell r="C136" t="str">
            <v>Past</v>
          </cell>
          <cell r="D136">
            <v>12.55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12.55</v>
          </cell>
          <cell r="Q136">
            <v>1.2931679999999999</v>
          </cell>
          <cell r="R136" t="e">
            <v>#N/A</v>
          </cell>
        </row>
        <row r="137">
          <cell r="A137">
            <v>40169</v>
          </cell>
          <cell r="B137">
            <v>40169</v>
          </cell>
          <cell r="C137" t="str">
            <v>Past</v>
          </cell>
          <cell r="D137">
            <v>12.51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12.51</v>
          </cell>
          <cell r="Q137">
            <v>0.98313899999999999</v>
          </cell>
          <cell r="R137" t="e">
            <v>#N/A</v>
          </cell>
        </row>
        <row r="138">
          <cell r="A138">
            <v>40170</v>
          </cell>
          <cell r="B138">
            <v>40170</v>
          </cell>
          <cell r="C138" t="str">
            <v>Past</v>
          </cell>
          <cell r="D138">
            <v>12.53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12.53</v>
          </cell>
          <cell r="Q138">
            <v>1.043939</v>
          </cell>
          <cell r="R138" t="e">
            <v>#N/A</v>
          </cell>
        </row>
        <row r="139">
          <cell r="A139">
            <v>40171</v>
          </cell>
          <cell r="B139">
            <v>40171</v>
          </cell>
          <cell r="C139" t="str">
            <v>Past</v>
          </cell>
          <cell r="D139">
            <v>12.54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12.54</v>
          </cell>
          <cell r="Q139">
            <v>0.188083</v>
          </cell>
          <cell r="R139" t="e">
            <v>#N/A</v>
          </cell>
        </row>
        <row r="140">
          <cell r="A140">
            <v>40175</v>
          </cell>
          <cell r="B140">
            <v>40175</v>
          </cell>
          <cell r="C140" t="str">
            <v>Past</v>
          </cell>
          <cell r="D140">
            <v>12.52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12.52</v>
          </cell>
          <cell r="Q140">
            <v>1.007449</v>
          </cell>
          <cell r="R140" t="e">
            <v>#N/A</v>
          </cell>
        </row>
        <row r="141">
          <cell r="A141">
            <v>40176</v>
          </cell>
          <cell r="B141">
            <v>40176</v>
          </cell>
          <cell r="C141" t="str">
            <v>Past</v>
          </cell>
          <cell r="D141">
            <v>12.53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12.53</v>
          </cell>
          <cell r="Q141">
            <v>1.2915209999999999</v>
          </cell>
          <cell r="R141" t="e">
            <v>#N/A</v>
          </cell>
        </row>
        <row r="142">
          <cell r="A142">
            <v>40177</v>
          </cell>
          <cell r="B142">
            <v>40177</v>
          </cell>
          <cell r="C142" t="str">
            <v>Past</v>
          </cell>
          <cell r="D142">
            <v>12.57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12.57</v>
          </cell>
          <cell r="Q142">
            <v>0.81364099999999995</v>
          </cell>
          <cell r="R142" t="e">
            <v>#N/A</v>
          </cell>
        </row>
        <row r="143">
          <cell r="A143">
            <v>40178</v>
          </cell>
          <cell r="B143">
            <v>40178</v>
          </cell>
          <cell r="C143" t="str">
            <v>Past</v>
          </cell>
          <cell r="D143">
            <v>12.38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12.38</v>
          </cell>
          <cell r="Q143">
            <v>0.75707799999999992</v>
          </cell>
          <cell r="R143" t="e">
            <v>#N/A</v>
          </cell>
        </row>
        <row r="144">
          <cell r="A144">
            <v>40182</v>
          </cell>
          <cell r="B144">
            <v>40182</v>
          </cell>
          <cell r="C144" t="str">
            <v>Past</v>
          </cell>
          <cell r="D144">
            <v>12.49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12.49</v>
          </cell>
          <cell r="Q144">
            <v>1.3208600000000001</v>
          </cell>
          <cell r="R144" t="e">
            <v>#N/A</v>
          </cell>
        </row>
        <row r="145">
          <cell r="A145">
            <v>40183</v>
          </cell>
          <cell r="B145">
            <v>40183</v>
          </cell>
          <cell r="C145" t="str">
            <v>Past</v>
          </cell>
          <cell r="D145">
            <v>12.22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12.22</v>
          </cell>
          <cell r="Q145">
            <v>2.594293</v>
          </cell>
          <cell r="R145" t="e">
            <v>#N/A</v>
          </cell>
        </row>
        <row r="146">
          <cell r="A146">
            <v>40184</v>
          </cell>
          <cell r="B146">
            <v>40184</v>
          </cell>
          <cell r="C146" t="str">
            <v>Past</v>
          </cell>
          <cell r="D146">
            <v>12.18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12.18</v>
          </cell>
          <cell r="Q146">
            <v>2.7537319999999998</v>
          </cell>
          <cell r="R146" t="e">
            <v>#N/A</v>
          </cell>
        </row>
        <row r="147">
          <cell r="A147">
            <v>40185</v>
          </cell>
          <cell r="B147">
            <v>40185</v>
          </cell>
          <cell r="C147" t="str">
            <v>Past</v>
          </cell>
          <cell r="D147">
            <v>11.95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11.95</v>
          </cell>
          <cell r="Q147">
            <v>2.590455</v>
          </cell>
          <cell r="R147" t="e">
            <v>#N/A</v>
          </cell>
        </row>
        <row r="148">
          <cell r="A148">
            <v>40186</v>
          </cell>
          <cell r="B148">
            <v>40186</v>
          </cell>
          <cell r="C148" t="str">
            <v>Past</v>
          </cell>
          <cell r="D148">
            <v>11.88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11.88</v>
          </cell>
          <cell r="Q148">
            <v>2.3484229999999999</v>
          </cell>
          <cell r="R148" t="e">
            <v>#N/A</v>
          </cell>
        </row>
        <row r="149">
          <cell r="A149">
            <v>40189</v>
          </cell>
          <cell r="B149">
            <v>40189</v>
          </cell>
          <cell r="C149" t="str">
            <v>Past</v>
          </cell>
          <cell r="D149">
            <v>11.93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11.93</v>
          </cell>
          <cell r="Q149">
            <v>5.0173579999999998</v>
          </cell>
          <cell r="R149" t="e">
            <v>#N/A</v>
          </cell>
        </row>
        <row r="150">
          <cell r="A150">
            <v>40190</v>
          </cell>
          <cell r="B150">
            <v>40190</v>
          </cell>
          <cell r="C150" t="str">
            <v>Past</v>
          </cell>
          <cell r="D150">
            <v>12.17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12.17</v>
          </cell>
          <cell r="Q150">
            <v>6.0215049999999994</v>
          </cell>
          <cell r="R150" t="e">
            <v>#N/A</v>
          </cell>
        </row>
        <row r="151">
          <cell r="A151">
            <v>40191</v>
          </cell>
          <cell r="B151">
            <v>40191</v>
          </cell>
          <cell r="C151" t="str">
            <v>Past</v>
          </cell>
          <cell r="D151">
            <v>12.36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12.36</v>
          </cell>
          <cell r="Q151">
            <v>2.7192000000000003</v>
          </cell>
          <cell r="R151" t="e">
            <v>#N/A</v>
          </cell>
        </row>
        <row r="152">
          <cell r="A152">
            <v>40192</v>
          </cell>
          <cell r="B152">
            <v>40192</v>
          </cell>
          <cell r="C152" t="str">
            <v>Past</v>
          </cell>
          <cell r="D152">
            <v>12.37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12.37</v>
          </cell>
          <cell r="Q152">
            <v>1.4913419999999999</v>
          </cell>
          <cell r="R152" t="e">
            <v>#N/A</v>
          </cell>
        </row>
        <row r="153">
          <cell r="A153">
            <v>40193</v>
          </cell>
          <cell r="B153">
            <v>40193</v>
          </cell>
          <cell r="C153" t="str">
            <v>Past</v>
          </cell>
          <cell r="D153">
            <v>12.31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12.31</v>
          </cell>
          <cell r="Q153">
            <v>2.846365</v>
          </cell>
          <cell r="R153" t="e">
            <v>#N/A</v>
          </cell>
        </row>
        <row r="154">
          <cell r="A154">
            <v>40197</v>
          </cell>
          <cell r="B154">
            <v>40197</v>
          </cell>
          <cell r="C154" t="str">
            <v>Past</v>
          </cell>
          <cell r="D154">
            <v>12.5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12.5</v>
          </cell>
          <cell r="Q154">
            <v>2.921125</v>
          </cell>
          <cell r="R154" t="e">
            <v>#N/A</v>
          </cell>
        </row>
        <row r="155">
          <cell r="A155">
            <v>40198</v>
          </cell>
          <cell r="B155">
            <v>40198</v>
          </cell>
          <cell r="C155" t="str">
            <v>Past</v>
          </cell>
          <cell r="D155">
            <v>12.54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12.54</v>
          </cell>
          <cell r="Q155">
            <v>5.5452529999999998</v>
          </cell>
          <cell r="R155" t="e">
            <v>#N/A</v>
          </cell>
        </row>
        <row r="156">
          <cell r="A156">
            <v>40199</v>
          </cell>
          <cell r="B156">
            <v>40199</v>
          </cell>
          <cell r="C156" t="str">
            <v>Past</v>
          </cell>
          <cell r="D156">
            <v>12.28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12.28</v>
          </cell>
          <cell r="Q156">
            <v>3.254715</v>
          </cell>
          <cell r="R156" t="e">
            <v>#N/A</v>
          </cell>
        </row>
        <row r="157">
          <cell r="A157">
            <v>40200</v>
          </cell>
          <cell r="B157">
            <v>40200</v>
          </cell>
          <cell r="C157" t="str">
            <v>Past</v>
          </cell>
          <cell r="D157">
            <v>11.99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11.99</v>
          </cell>
          <cell r="Q157">
            <v>2.027603</v>
          </cell>
          <cell r="R157" t="e">
            <v>#N/A</v>
          </cell>
        </row>
        <row r="158">
          <cell r="A158">
            <v>40203</v>
          </cell>
          <cell r="B158">
            <v>40203</v>
          </cell>
          <cell r="C158" t="str">
            <v>Past</v>
          </cell>
          <cell r="D158">
            <v>12.01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12.01</v>
          </cell>
          <cell r="Q158">
            <v>2.0521279999999997</v>
          </cell>
          <cell r="R158" t="e">
            <v>#N/A</v>
          </cell>
        </row>
        <row r="159">
          <cell r="A159">
            <v>40204</v>
          </cell>
          <cell r="B159">
            <v>40204</v>
          </cell>
          <cell r="C159" t="str">
            <v>Past</v>
          </cell>
          <cell r="D159">
            <v>11.98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11.98</v>
          </cell>
          <cell r="Q159">
            <v>1.741779</v>
          </cell>
          <cell r="R159" t="e">
            <v>#N/A</v>
          </cell>
        </row>
        <row r="160">
          <cell r="A160">
            <v>40205</v>
          </cell>
          <cell r="B160">
            <v>40205</v>
          </cell>
          <cell r="C160" t="str">
            <v>Past</v>
          </cell>
          <cell r="D160">
            <v>11.85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11.85</v>
          </cell>
          <cell r="Q160">
            <v>2.2158500000000001</v>
          </cell>
          <cell r="R160" t="e">
            <v>#N/A</v>
          </cell>
        </row>
        <row r="161">
          <cell r="A161">
            <v>40206</v>
          </cell>
          <cell r="B161">
            <v>40206</v>
          </cell>
          <cell r="C161" t="str">
            <v>Past</v>
          </cell>
          <cell r="D161">
            <v>11.74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11.74</v>
          </cell>
          <cell r="Q161">
            <v>2.1453059999999997</v>
          </cell>
          <cell r="R161" t="e">
            <v>#N/A</v>
          </cell>
        </row>
        <row r="162">
          <cell r="A162">
            <v>40207</v>
          </cell>
          <cell r="B162">
            <v>40207</v>
          </cell>
          <cell r="C162" t="str">
            <v>Past</v>
          </cell>
          <cell r="D162">
            <v>11.52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11.52</v>
          </cell>
          <cell r="Q162">
            <v>2.407451</v>
          </cell>
          <cell r="R162" t="e">
            <v>#N/A</v>
          </cell>
        </row>
        <row r="163">
          <cell r="A163">
            <v>40210</v>
          </cell>
          <cell r="B163">
            <v>40210</v>
          </cell>
          <cell r="C163" t="str">
            <v>Past</v>
          </cell>
          <cell r="D163">
            <v>11.58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11.58</v>
          </cell>
          <cell r="Q163">
            <v>1.7375529999999999</v>
          </cell>
          <cell r="R163" t="e">
            <v>#N/A</v>
          </cell>
        </row>
        <row r="164">
          <cell r="A164">
            <v>40211</v>
          </cell>
          <cell r="B164">
            <v>40211</v>
          </cell>
          <cell r="C164" t="str">
            <v>Past</v>
          </cell>
          <cell r="D164">
            <v>11.71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11.71</v>
          </cell>
          <cell r="Q164">
            <v>2.8388329999999997</v>
          </cell>
          <cell r="R164" t="e">
            <v>#N/A</v>
          </cell>
        </row>
        <row r="165">
          <cell r="A165">
            <v>40212</v>
          </cell>
          <cell r="B165">
            <v>40212</v>
          </cell>
          <cell r="C165" t="str">
            <v>Past</v>
          </cell>
          <cell r="D165">
            <v>11.47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11.47</v>
          </cell>
          <cell r="Q165">
            <v>8.2753759999999996</v>
          </cell>
          <cell r="R165" t="e">
            <v>#N/A</v>
          </cell>
        </row>
        <row r="166">
          <cell r="A166">
            <v>40213</v>
          </cell>
          <cell r="B166">
            <v>40213</v>
          </cell>
          <cell r="C166" t="str">
            <v>Past</v>
          </cell>
          <cell r="D166">
            <v>11.44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11.44</v>
          </cell>
          <cell r="Q166">
            <v>5.2136639999999996</v>
          </cell>
          <cell r="R166" t="e">
            <v>#N/A</v>
          </cell>
        </row>
        <row r="167">
          <cell r="A167">
            <v>40214</v>
          </cell>
          <cell r="B167">
            <v>40214</v>
          </cell>
          <cell r="C167" t="str">
            <v>Past</v>
          </cell>
          <cell r="D167">
            <v>11.36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11.36</v>
          </cell>
          <cell r="Q167">
            <v>3.9470300000000003</v>
          </cell>
          <cell r="R167" t="e">
            <v>#N/A</v>
          </cell>
        </row>
        <row r="168">
          <cell r="A168">
            <v>40217</v>
          </cell>
          <cell r="B168">
            <v>40217</v>
          </cell>
          <cell r="C168" t="str">
            <v>Past</v>
          </cell>
          <cell r="D168">
            <v>11.17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11.17</v>
          </cell>
          <cell r="Q168">
            <v>2.7023820000000001</v>
          </cell>
          <cell r="R168" t="e">
            <v>#N/A</v>
          </cell>
        </row>
        <row r="169">
          <cell r="A169">
            <v>40218</v>
          </cell>
          <cell r="B169">
            <v>40218</v>
          </cell>
          <cell r="C169" t="str">
            <v>Past</v>
          </cell>
          <cell r="D169">
            <v>11.17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11.17</v>
          </cell>
          <cell r="Q169">
            <v>2.2356449999999999</v>
          </cell>
          <cell r="R169" t="e">
            <v>#N/A</v>
          </cell>
        </row>
        <row r="170">
          <cell r="A170">
            <v>40219</v>
          </cell>
          <cell r="B170">
            <v>40219</v>
          </cell>
          <cell r="C170" t="str">
            <v>Past</v>
          </cell>
          <cell r="D170">
            <v>11.08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11.08</v>
          </cell>
          <cell r="Q170">
            <v>1.5576589999999999</v>
          </cell>
          <cell r="R170" t="e">
            <v>#N/A</v>
          </cell>
        </row>
        <row r="171">
          <cell r="A171">
            <v>40220</v>
          </cell>
          <cell r="B171">
            <v>40220</v>
          </cell>
          <cell r="C171" t="str">
            <v>Past</v>
          </cell>
          <cell r="D171">
            <v>11.1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11.1</v>
          </cell>
          <cell r="Q171">
            <v>3.0232400000000004</v>
          </cell>
          <cell r="R171" t="e">
            <v>#N/A</v>
          </cell>
        </row>
        <row r="172">
          <cell r="A172">
            <v>40221</v>
          </cell>
          <cell r="B172">
            <v>40221</v>
          </cell>
          <cell r="C172" t="str">
            <v>Past</v>
          </cell>
          <cell r="D172">
            <v>11.09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11.09</v>
          </cell>
          <cell r="Q172">
            <v>2.0410629999999998</v>
          </cell>
          <cell r="R172" t="e">
            <v>#N/A</v>
          </cell>
        </row>
        <row r="173">
          <cell r="A173">
            <v>40225</v>
          </cell>
          <cell r="B173">
            <v>40225</v>
          </cell>
          <cell r="C173" t="str">
            <v>Past</v>
          </cell>
          <cell r="D173">
            <v>11.34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11.34</v>
          </cell>
          <cell r="Q173">
            <v>1.205857</v>
          </cell>
          <cell r="R173" t="e">
            <v>#N/A</v>
          </cell>
        </row>
        <row r="174">
          <cell r="A174">
            <v>40226</v>
          </cell>
          <cell r="B174">
            <v>40226</v>
          </cell>
          <cell r="C174" t="str">
            <v>Past</v>
          </cell>
          <cell r="D174">
            <v>11.39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11.39</v>
          </cell>
          <cell r="Q174">
            <v>1.968005</v>
          </cell>
          <cell r="R174" t="e">
            <v>#N/A</v>
          </cell>
        </row>
        <row r="175">
          <cell r="A175">
            <v>40227</v>
          </cell>
          <cell r="B175">
            <v>40227</v>
          </cell>
          <cell r="C175" t="str">
            <v>Past</v>
          </cell>
          <cell r="D175">
            <v>11.4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11.4</v>
          </cell>
          <cell r="Q175">
            <v>1.733876</v>
          </cell>
          <cell r="R175" t="e">
            <v>#N/A</v>
          </cell>
        </row>
        <row r="176">
          <cell r="A176">
            <v>40228</v>
          </cell>
          <cell r="B176">
            <v>40228</v>
          </cell>
          <cell r="C176" t="str">
            <v>Past</v>
          </cell>
          <cell r="D176">
            <v>11.56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11.56</v>
          </cell>
          <cell r="Q176">
            <v>1.7208400000000001</v>
          </cell>
          <cell r="R176" t="e">
            <v>#N/A</v>
          </cell>
        </row>
        <row r="177">
          <cell r="A177">
            <v>40231</v>
          </cell>
          <cell r="B177">
            <v>40231</v>
          </cell>
          <cell r="C177" t="str">
            <v>Past</v>
          </cell>
          <cell r="D177">
            <v>11.49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11.49</v>
          </cell>
          <cell r="Q177">
            <v>0.80953000000000008</v>
          </cell>
          <cell r="R177" t="e">
            <v>#N/A</v>
          </cell>
        </row>
        <row r="178">
          <cell r="A178">
            <v>40232</v>
          </cell>
          <cell r="B178">
            <v>40232</v>
          </cell>
          <cell r="C178" t="str">
            <v>Past</v>
          </cell>
          <cell r="D178">
            <v>11.31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11.31</v>
          </cell>
          <cell r="Q178">
            <v>2.328532</v>
          </cell>
          <cell r="R178" t="e">
            <v>#N/A</v>
          </cell>
        </row>
        <row r="179">
          <cell r="A179">
            <v>40233</v>
          </cell>
          <cell r="B179">
            <v>40233</v>
          </cell>
          <cell r="C179" t="str">
            <v>Past</v>
          </cell>
          <cell r="D179">
            <v>11.28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11.28</v>
          </cell>
          <cell r="Q179">
            <v>2.9020509999999997</v>
          </cell>
          <cell r="R179" t="e">
            <v>#N/A</v>
          </cell>
        </row>
        <row r="180">
          <cell r="A180">
            <v>40234</v>
          </cell>
          <cell r="B180">
            <v>40234</v>
          </cell>
          <cell r="C180" t="str">
            <v>Past</v>
          </cell>
          <cell r="D180">
            <v>11.23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11.23</v>
          </cell>
          <cell r="Q180">
            <v>2.0132189999999999</v>
          </cell>
          <cell r="R180" t="e">
            <v>#N/A</v>
          </cell>
        </row>
        <row r="181">
          <cell r="A181">
            <v>40235</v>
          </cell>
          <cell r="B181">
            <v>40235</v>
          </cell>
          <cell r="C181" t="str">
            <v>Past</v>
          </cell>
          <cell r="D181">
            <v>11.11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11.11</v>
          </cell>
          <cell r="Q181">
            <v>2.0343549999999997</v>
          </cell>
          <cell r="R181" t="e">
            <v>#N/A</v>
          </cell>
        </row>
        <row r="182">
          <cell r="A182">
            <v>40238</v>
          </cell>
          <cell r="B182">
            <v>40238</v>
          </cell>
          <cell r="C182" t="str">
            <v>Past</v>
          </cell>
          <cell r="D182">
            <v>11.55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11.55</v>
          </cell>
          <cell r="Q182">
            <v>3.2926409999999997</v>
          </cell>
          <cell r="R182" t="e">
            <v>#N/A</v>
          </cell>
        </row>
        <row r="183">
          <cell r="A183">
            <v>40239</v>
          </cell>
          <cell r="B183">
            <v>40239</v>
          </cell>
          <cell r="C183" t="str">
            <v>Past</v>
          </cell>
          <cell r="D183">
            <v>11.68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11.68</v>
          </cell>
          <cell r="Q183">
            <v>1.8359489999999998</v>
          </cell>
          <cell r="R183" t="e">
            <v>#N/A</v>
          </cell>
        </row>
        <row r="184">
          <cell r="A184">
            <v>40240</v>
          </cell>
          <cell r="B184">
            <v>40240</v>
          </cell>
          <cell r="C184" t="str">
            <v>Past</v>
          </cell>
          <cell r="D184">
            <v>11.62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11.62</v>
          </cell>
          <cell r="Q184">
            <v>1.013161</v>
          </cell>
          <cell r="R184" t="e">
            <v>#N/A</v>
          </cell>
        </row>
        <row r="185">
          <cell r="A185">
            <v>40241</v>
          </cell>
          <cell r="B185">
            <v>40241</v>
          </cell>
          <cell r="C185" t="str">
            <v>Past</v>
          </cell>
          <cell r="D185">
            <v>11.6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11.6</v>
          </cell>
          <cell r="Q185">
            <v>0.86625799999999997</v>
          </cell>
          <cell r="R185" t="e">
            <v>#N/A</v>
          </cell>
        </row>
        <row r="186">
          <cell r="A186">
            <v>40242</v>
          </cell>
          <cell r="B186">
            <v>40242</v>
          </cell>
          <cell r="C186" t="str">
            <v>Past</v>
          </cell>
          <cell r="D186">
            <v>11.7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11.7</v>
          </cell>
          <cell r="Q186">
            <v>0.73514099999999993</v>
          </cell>
          <cell r="R186" t="e">
            <v>#N/A</v>
          </cell>
        </row>
        <row r="187">
          <cell r="A187">
            <v>40245</v>
          </cell>
          <cell r="B187">
            <v>40245</v>
          </cell>
          <cell r="C187" t="str">
            <v>Past</v>
          </cell>
          <cell r="D187">
            <v>11.65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11.65</v>
          </cell>
          <cell r="Q187">
            <v>0.86661699999999997</v>
          </cell>
          <cell r="R187" t="e">
            <v>#N/A</v>
          </cell>
        </row>
        <row r="188">
          <cell r="A188">
            <v>40246</v>
          </cell>
          <cell r="B188">
            <v>40246</v>
          </cell>
          <cell r="C188" t="str">
            <v>Past</v>
          </cell>
          <cell r="D188">
            <v>11.72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11.72</v>
          </cell>
          <cell r="Q188">
            <v>1.2221309999999999</v>
          </cell>
          <cell r="R188" t="e">
            <v>#N/A</v>
          </cell>
        </row>
        <row r="189">
          <cell r="A189">
            <v>40247</v>
          </cell>
          <cell r="B189">
            <v>40247</v>
          </cell>
          <cell r="C189" t="str">
            <v>Past</v>
          </cell>
          <cell r="D189">
            <v>11.6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11.6</v>
          </cell>
          <cell r="Q189">
            <v>2.0219130000000001</v>
          </cell>
          <cell r="R189" t="e">
            <v>#N/A</v>
          </cell>
        </row>
        <row r="190">
          <cell r="A190">
            <v>40248</v>
          </cell>
          <cell r="B190">
            <v>40248</v>
          </cell>
          <cell r="C190" t="str">
            <v>Past</v>
          </cell>
          <cell r="D190">
            <v>11.72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11.72</v>
          </cell>
          <cell r="Q190">
            <v>1.8552769999999998</v>
          </cell>
          <cell r="R190" t="e">
            <v>#N/A</v>
          </cell>
        </row>
        <row r="191">
          <cell r="A191">
            <v>40249</v>
          </cell>
          <cell r="B191">
            <v>40249</v>
          </cell>
          <cell r="C191" t="str">
            <v>Past</v>
          </cell>
          <cell r="D191">
            <v>11.69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11.69</v>
          </cell>
          <cell r="Q191">
            <v>1.565866</v>
          </cell>
          <cell r="R191" t="e">
            <v>#N/A</v>
          </cell>
        </row>
        <row r="192">
          <cell r="A192">
            <v>40252</v>
          </cell>
          <cell r="B192">
            <v>40252</v>
          </cell>
          <cell r="C192" t="str">
            <v>Past</v>
          </cell>
          <cell r="D192">
            <v>11.76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11.76</v>
          </cell>
          <cell r="Q192">
            <v>1.1150229999999999</v>
          </cell>
          <cell r="R192" t="e">
            <v>#N/A</v>
          </cell>
        </row>
        <row r="193">
          <cell r="A193">
            <v>40253</v>
          </cell>
          <cell r="B193">
            <v>40253</v>
          </cell>
          <cell r="C193" t="str">
            <v>Past</v>
          </cell>
          <cell r="D193">
            <v>11.93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11.93</v>
          </cell>
          <cell r="Q193">
            <v>1.731938</v>
          </cell>
          <cell r="R193" t="e">
            <v>#N/A</v>
          </cell>
        </row>
        <row r="194">
          <cell r="A194">
            <v>40254</v>
          </cell>
          <cell r="B194">
            <v>40254</v>
          </cell>
          <cell r="C194" t="str">
            <v>Past</v>
          </cell>
          <cell r="D194">
            <v>12.02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12.02</v>
          </cell>
          <cell r="Q194">
            <v>1.4566429999999999</v>
          </cell>
          <cell r="R194" t="e">
            <v>#N/A</v>
          </cell>
        </row>
        <row r="195">
          <cell r="A195">
            <v>40255</v>
          </cell>
          <cell r="B195">
            <v>40255</v>
          </cell>
          <cell r="C195" t="str">
            <v>Past</v>
          </cell>
          <cell r="D195">
            <v>12.03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12.03</v>
          </cell>
          <cell r="Q195">
            <v>0.810307</v>
          </cell>
          <cell r="R195" t="e">
            <v>#N/A</v>
          </cell>
        </row>
        <row r="196">
          <cell r="A196">
            <v>40256</v>
          </cell>
          <cell r="B196">
            <v>40256</v>
          </cell>
          <cell r="C196" t="str">
            <v>Past</v>
          </cell>
          <cell r="D196">
            <v>12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12</v>
          </cell>
          <cell r="Q196">
            <v>1.940742</v>
          </cell>
          <cell r="R196" t="e">
            <v>#N/A</v>
          </cell>
        </row>
        <row r="197">
          <cell r="A197">
            <v>40259</v>
          </cell>
          <cell r="B197">
            <v>40259</v>
          </cell>
          <cell r="C197" t="str">
            <v>Past</v>
          </cell>
          <cell r="D197">
            <v>12.07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12.07</v>
          </cell>
          <cell r="Q197">
            <v>2.8972189999999998</v>
          </cell>
          <cell r="R197" t="e">
            <v>#N/A</v>
          </cell>
        </row>
        <row r="198">
          <cell r="A198">
            <v>40260</v>
          </cell>
          <cell r="B198">
            <v>40260</v>
          </cell>
          <cell r="C198" t="str">
            <v>Past</v>
          </cell>
          <cell r="D198">
            <v>12.1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12.1</v>
          </cell>
          <cell r="Q198">
            <v>1.913257</v>
          </cell>
          <cell r="R198" t="e">
            <v>#N/A</v>
          </cell>
        </row>
        <row r="199">
          <cell r="A199">
            <v>40261</v>
          </cell>
          <cell r="B199">
            <v>40261</v>
          </cell>
          <cell r="C199" t="str">
            <v>Past</v>
          </cell>
          <cell r="D199">
            <v>11.93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11.93</v>
          </cell>
          <cell r="Q199">
            <v>1.8157200000000002</v>
          </cell>
          <cell r="R199" t="e">
            <v>#N/A</v>
          </cell>
        </row>
        <row r="200">
          <cell r="A200">
            <v>40262</v>
          </cell>
          <cell r="B200">
            <v>40262</v>
          </cell>
          <cell r="C200" t="str">
            <v>Past</v>
          </cell>
          <cell r="D200">
            <v>11.8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11.8</v>
          </cell>
          <cell r="Q200">
            <v>1.4980149999999999</v>
          </cell>
          <cell r="R200" t="e">
            <v>#N/A</v>
          </cell>
        </row>
        <row r="201">
          <cell r="A201">
            <v>40263</v>
          </cell>
          <cell r="B201">
            <v>40263</v>
          </cell>
          <cell r="C201" t="str">
            <v>Past</v>
          </cell>
          <cell r="D201">
            <v>12.2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12.2</v>
          </cell>
          <cell r="Q201">
            <v>3.5113669999999999</v>
          </cell>
          <cell r="R201" t="e">
            <v>#N/A</v>
          </cell>
        </row>
        <row r="202">
          <cell r="A202">
            <v>40266</v>
          </cell>
          <cell r="B202">
            <v>40266</v>
          </cell>
          <cell r="C202" t="str">
            <v>Past</v>
          </cell>
          <cell r="D202">
            <v>12.33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12.33</v>
          </cell>
          <cell r="Q202">
            <v>0.98394199999999998</v>
          </cell>
          <cell r="R202" t="e">
            <v>#N/A</v>
          </cell>
        </row>
        <row r="203">
          <cell r="A203">
            <v>40267</v>
          </cell>
          <cell r="B203">
            <v>40267</v>
          </cell>
          <cell r="C203" t="str">
            <v>Past</v>
          </cell>
          <cell r="D203">
            <v>12.39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12.39</v>
          </cell>
          <cell r="Q203">
            <v>1.0866149999999999</v>
          </cell>
          <cell r="R203" t="e">
            <v>#N/A</v>
          </cell>
        </row>
        <row r="204">
          <cell r="A204">
            <v>40268</v>
          </cell>
          <cell r="B204">
            <v>40268</v>
          </cell>
          <cell r="C204" t="str">
            <v>Past</v>
          </cell>
          <cell r="D204">
            <v>12.33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12.33</v>
          </cell>
          <cell r="Q204">
            <v>1.941349</v>
          </cell>
          <cell r="R204" t="e">
            <v>#N/A</v>
          </cell>
        </row>
        <row r="205">
          <cell r="A205">
            <v>40269</v>
          </cell>
          <cell r="B205">
            <v>40269</v>
          </cell>
          <cell r="C205" t="str">
            <v>Past</v>
          </cell>
          <cell r="D205">
            <v>12.37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12.37</v>
          </cell>
          <cell r="Q205">
            <v>1.3437249999999998</v>
          </cell>
          <cell r="R205" t="e">
            <v>#N/A</v>
          </cell>
        </row>
        <row r="206">
          <cell r="A206">
            <v>40273</v>
          </cell>
          <cell r="B206">
            <v>40273</v>
          </cell>
          <cell r="C206" t="str">
            <v>Past</v>
          </cell>
          <cell r="D206">
            <v>12.49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12.49</v>
          </cell>
          <cell r="Q206">
            <v>0.89013000000000009</v>
          </cell>
          <cell r="R206" t="e">
            <v>#N/A</v>
          </cell>
        </row>
        <row r="207">
          <cell r="A207">
            <v>40274</v>
          </cell>
          <cell r="B207">
            <v>40274</v>
          </cell>
          <cell r="C207" t="str">
            <v>Past</v>
          </cell>
          <cell r="D207">
            <v>12.58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12.58</v>
          </cell>
          <cell r="Q207">
            <v>1.018416</v>
          </cell>
          <cell r="R207" t="e">
            <v>#N/A</v>
          </cell>
        </row>
        <row r="208">
          <cell r="A208">
            <v>40275</v>
          </cell>
          <cell r="B208">
            <v>40275</v>
          </cell>
          <cell r="C208" t="str">
            <v>Past</v>
          </cell>
          <cell r="D208">
            <v>12.44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12.44</v>
          </cell>
          <cell r="Q208">
            <v>0.93972099999999992</v>
          </cell>
          <cell r="R208" t="e">
            <v>#N/A</v>
          </cell>
        </row>
        <row r="209">
          <cell r="A209">
            <v>40276</v>
          </cell>
          <cell r="B209">
            <v>40276</v>
          </cell>
          <cell r="C209" t="str">
            <v>Past</v>
          </cell>
          <cell r="D209">
            <v>12.3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12.3</v>
          </cell>
          <cell r="Q209">
            <v>0.7571500000000001</v>
          </cell>
          <cell r="R209" t="e">
            <v>#N/A</v>
          </cell>
        </row>
        <row r="210">
          <cell r="A210">
            <v>40277</v>
          </cell>
          <cell r="B210">
            <v>40277</v>
          </cell>
          <cell r="C210" t="str">
            <v>Past</v>
          </cell>
          <cell r="D210">
            <v>12.29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12.29</v>
          </cell>
          <cell r="Q210">
            <v>1.188437</v>
          </cell>
          <cell r="R210" t="e">
            <v>#N/A</v>
          </cell>
        </row>
        <row r="211">
          <cell r="A211">
            <v>40280</v>
          </cell>
          <cell r="B211">
            <v>40280</v>
          </cell>
          <cell r="C211" t="str">
            <v>Past</v>
          </cell>
          <cell r="D211">
            <v>12.45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12.45</v>
          </cell>
          <cell r="Q211">
            <v>1.376951</v>
          </cell>
          <cell r="R211" t="e">
            <v>#N/A</v>
          </cell>
        </row>
        <row r="212">
          <cell r="A212">
            <v>40281</v>
          </cell>
          <cell r="B212">
            <v>40281</v>
          </cell>
          <cell r="C212" t="str">
            <v>Past</v>
          </cell>
          <cell r="D212">
            <v>12.35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12.35</v>
          </cell>
          <cell r="Q212">
            <v>1.2989089999999999</v>
          </cell>
          <cell r="R212" t="e">
            <v>#N/A</v>
          </cell>
        </row>
        <row r="213">
          <cell r="A213">
            <v>40282</v>
          </cell>
          <cell r="B213">
            <v>40282</v>
          </cell>
          <cell r="C213" t="str">
            <v>Past</v>
          </cell>
          <cell r="D213">
            <v>12.52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12.52</v>
          </cell>
          <cell r="Q213">
            <v>2.1197759999999999</v>
          </cell>
          <cell r="R213" t="e">
            <v>#N/A</v>
          </cell>
        </row>
        <row r="214">
          <cell r="A214">
            <v>40283</v>
          </cell>
          <cell r="B214">
            <v>40283</v>
          </cell>
          <cell r="C214" t="str">
            <v>Past</v>
          </cell>
          <cell r="D214">
            <v>12.46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12.46</v>
          </cell>
          <cell r="Q214">
            <v>1.5679889999999999</v>
          </cell>
          <cell r="R214" t="e">
            <v>#N/A</v>
          </cell>
        </row>
        <row r="215">
          <cell r="A215">
            <v>40284</v>
          </cell>
          <cell r="B215">
            <v>40284</v>
          </cell>
          <cell r="C215" t="str">
            <v>Past</v>
          </cell>
          <cell r="D215">
            <v>12.26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12.26</v>
          </cell>
          <cell r="Q215">
            <v>1.6249600000000002</v>
          </cell>
          <cell r="R215" t="e">
            <v>#N/A</v>
          </cell>
        </row>
        <row r="216">
          <cell r="A216">
            <v>40287</v>
          </cell>
          <cell r="B216">
            <v>40287</v>
          </cell>
          <cell r="C216" t="str">
            <v>Past</v>
          </cell>
          <cell r="D216">
            <v>12.32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12.32</v>
          </cell>
          <cell r="Q216">
            <v>2.0003889999999998</v>
          </cell>
          <cell r="R216" t="e">
            <v>#N/A</v>
          </cell>
        </row>
        <row r="217">
          <cell r="A217">
            <v>40288</v>
          </cell>
          <cell r="B217">
            <v>40288</v>
          </cell>
          <cell r="C217" t="str">
            <v>Past</v>
          </cell>
          <cell r="D217">
            <v>12.52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12.52</v>
          </cell>
          <cell r="Q217">
            <v>1.9799049999999998</v>
          </cell>
          <cell r="R217" t="e">
            <v>#N/A</v>
          </cell>
        </row>
        <row r="218">
          <cell r="A218">
            <v>40289</v>
          </cell>
          <cell r="B218">
            <v>40289</v>
          </cell>
          <cell r="C218" t="str">
            <v>Past</v>
          </cell>
          <cell r="D218">
            <v>12.68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12.68</v>
          </cell>
          <cell r="Q218">
            <v>1.3910549999999999</v>
          </cell>
          <cell r="R218" t="e">
            <v>#N/A</v>
          </cell>
        </row>
        <row r="219">
          <cell r="A219">
            <v>40290</v>
          </cell>
          <cell r="B219">
            <v>40290</v>
          </cell>
          <cell r="C219" t="str">
            <v>Past</v>
          </cell>
          <cell r="D219">
            <v>12.67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12.67</v>
          </cell>
          <cell r="Q219">
            <v>1.328667</v>
          </cell>
          <cell r="R219" t="e">
            <v>#N/A</v>
          </cell>
        </row>
        <row r="220">
          <cell r="A220">
            <v>40291</v>
          </cell>
          <cell r="B220">
            <v>40291</v>
          </cell>
          <cell r="C220" t="str">
            <v>Past</v>
          </cell>
          <cell r="D220">
            <v>12.8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12.8</v>
          </cell>
          <cell r="Q220">
            <v>1.840479</v>
          </cell>
          <cell r="R220" t="e">
            <v>#N/A</v>
          </cell>
        </row>
        <row r="221">
          <cell r="A221">
            <v>40294</v>
          </cell>
          <cell r="B221">
            <v>40294</v>
          </cell>
          <cell r="C221" t="str">
            <v>Past</v>
          </cell>
          <cell r="D221">
            <v>12.83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12.83</v>
          </cell>
          <cell r="Q221">
            <v>1.8009769999999998</v>
          </cell>
          <cell r="R221" t="e">
            <v>#N/A</v>
          </cell>
        </row>
        <row r="222">
          <cell r="A222">
            <v>40295</v>
          </cell>
          <cell r="B222">
            <v>40295</v>
          </cell>
          <cell r="C222" t="str">
            <v>Past</v>
          </cell>
          <cell r="D222">
            <v>12.5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12.5</v>
          </cell>
          <cell r="Q222">
            <v>2.283982</v>
          </cell>
          <cell r="R222" t="e">
            <v>#N/A</v>
          </cell>
        </row>
        <row r="223">
          <cell r="A223">
            <v>40296</v>
          </cell>
          <cell r="B223">
            <v>40296</v>
          </cell>
          <cell r="C223" t="str">
            <v>Past</v>
          </cell>
          <cell r="D223">
            <v>12.57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12.57</v>
          </cell>
          <cell r="Q223">
            <v>1.881316</v>
          </cell>
          <cell r="R223" t="e">
            <v>#N/A</v>
          </cell>
        </row>
        <row r="224">
          <cell r="A224">
            <v>40297</v>
          </cell>
          <cell r="B224">
            <v>40297</v>
          </cell>
          <cell r="C224" t="str">
            <v>Past</v>
          </cell>
          <cell r="D224">
            <v>12.61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12.61</v>
          </cell>
          <cell r="Q224">
            <v>1.0299</v>
          </cell>
          <cell r="R224" t="e">
            <v>#N/A</v>
          </cell>
        </row>
        <row r="225">
          <cell r="A225">
            <v>40298</v>
          </cell>
          <cell r="B225">
            <v>40298</v>
          </cell>
          <cell r="C225" t="str">
            <v>Past</v>
          </cell>
          <cell r="D225">
            <v>12.49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12.49</v>
          </cell>
          <cell r="Q225">
            <v>1.550983</v>
          </cell>
          <cell r="R225" t="e">
            <v>#N/A</v>
          </cell>
        </row>
        <row r="226">
          <cell r="A226">
            <v>40301</v>
          </cell>
          <cell r="B226">
            <v>40301</v>
          </cell>
          <cell r="C226" t="str">
            <v>Past</v>
          </cell>
          <cell r="D226">
            <v>12.74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12.74</v>
          </cell>
          <cell r="Q226">
            <v>0.98091000000000006</v>
          </cell>
          <cell r="R226" t="e">
            <v>#N/A</v>
          </cell>
        </row>
        <row r="227">
          <cell r="A227">
            <v>40302</v>
          </cell>
          <cell r="B227">
            <v>40302</v>
          </cell>
          <cell r="C227" t="str">
            <v>Past</v>
          </cell>
          <cell r="D227">
            <v>12.55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12.55</v>
          </cell>
          <cell r="Q227">
            <v>2.0831219999999999</v>
          </cell>
          <cell r="R227" t="e">
            <v>#N/A</v>
          </cell>
        </row>
        <row r="228">
          <cell r="A228">
            <v>40303</v>
          </cell>
          <cell r="B228">
            <v>40303</v>
          </cell>
          <cell r="C228" t="str">
            <v>Past</v>
          </cell>
          <cell r="D228">
            <v>12.32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12.32</v>
          </cell>
          <cell r="Q228">
            <v>1.9299929999999998</v>
          </cell>
          <cell r="R228" t="e">
            <v>#N/A</v>
          </cell>
        </row>
        <row r="229">
          <cell r="A229">
            <v>40304</v>
          </cell>
          <cell r="B229">
            <v>40304</v>
          </cell>
          <cell r="C229" t="str">
            <v>Past</v>
          </cell>
          <cell r="D229">
            <v>11.84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11.84</v>
          </cell>
          <cell r="Q229">
            <v>3.275773</v>
          </cell>
          <cell r="R229" t="e">
            <v>#N/A</v>
          </cell>
        </row>
        <row r="230">
          <cell r="A230">
            <v>40305</v>
          </cell>
          <cell r="B230">
            <v>40305</v>
          </cell>
          <cell r="C230" t="str">
            <v>Past</v>
          </cell>
          <cell r="D230">
            <v>11.95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11.95</v>
          </cell>
          <cell r="Q230">
            <v>3.9817559999999999</v>
          </cell>
          <cell r="R230" t="e">
            <v>#N/A</v>
          </cell>
        </row>
        <row r="231">
          <cell r="A231">
            <v>40308</v>
          </cell>
          <cell r="B231">
            <v>40308</v>
          </cell>
          <cell r="C231" t="str">
            <v>Past</v>
          </cell>
          <cell r="D231">
            <v>12.42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12.42</v>
          </cell>
          <cell r="Q231">
            <v>1.6023179999999999</v>
          </cell>
          <cell r="R231" t="e">
            <v>#N/A</v>
          </cell>
        </row>
        <row r="232">
          <cell r="A232">
            <v>40309</v>
          </cell>
          <cell r="B232">
            <v>40309</v>
          </cell>
          <cell r="C232" t="str">
            <v>Past</v>
          </cell>
          <cell r="D232">
            <v>12.46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12.46</v>
          </cell>
          <cell r="Q232">
            <v>1.645672</v>
          </cell>
          <cell r="R232" t="e">
            <v>#N/A</v>
          </cell>
        </row>
        <row r="233">
          <cell r="A233">
            <v>40310</v>
          </cell>
          <cell r="B233">
            <v>40310</v>
          </cell>
          <cell r="C233" t="str">
            <v>Past</v>
          </cell>
          <cell r="D233">
            <v>12.74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12.74</v>
          </cell>
          <cell r="Q233">
            <v>1.823553</v>
          </cell>
          <cell r="R233" t="e">
            <v>#N/A</v>
          </cell>
        </row>
        <row r="234">
          <cell r="A234">
            <v>40311</v>
          </cell>
          <cell r="B234">
            <v>40311</v>
          </cell>
          <cell r="C234" t="str">
            <v>Past</v>
          </cell>
          <cell r="D234">
            <v>12.56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12.56</v>
          </cell>
          <cell r="Q234">
            <v>1.317496</v>
          </cell>
          <cell r="R234" t="e">
            <v>#N/A</v>
          </cell>
        </row>
        <row r="235">
          <cell r="A235">
            <v>40312</v>
          </cell>
          <cell r="B235">
            <v>40312</v>
          </cell>
          <cell r="C235" t="str">
            <v>Past</v>
          </cell>
          <cell r="D235">
            <v>12.41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12.41</v>
          </cell>
          <cell r="Q235">
            <v>1.7794029999999998</v>
          </cell>
          <cell r="R235" t="e">
            <v>#N/A</v>
          </cell>
        </row>
        <row r="236">
          <cell r="A236">
            <v>40315</v>
          </cell>
          <cell r="B236">
            <v>40315</v>
          </cell>
          <cell r="C236" t="str">
            <v>Past</v>
          </cell>
          <cell r="D236">
            <v>12.35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12.35</v>
          </cell>
          <cell r="Q236">
            <v>1.611421</v>
          </cell>
          <cell r="R236" t="e">
            <v>#N/A</v>
          </cell>
        </row>
        <row r="237">
          <cell r="A237">
            <v>40316</v>
          </cell>
          <cell r="B237">
            <v>40316</v>
          </cell>
          <cell r="C237" t="str">
            <v>Past</v>
          </cell>
          <cell r="D237">
            <v>12.25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12.25</v>
          </cell>
          <cell r="Q237">
            <v>1.4101409999999999</v>
          </cell>
          <cell r="R237" t="e">
            <v>#N/A</v>
          </cell>
        </row>
        <row r="238">
          <cell r="A238">
            <v>40317</v>
          </cell>
          <cell r="B238">
            <v>40317</v>
          </cell>
          <cell r="C238" t="str">
            <v>Past</v>
          </cell>
          <cell r="D238">
            <v>12.12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12.12</v>
          </cell>
          <cell r="Q238">
            <v>2.0616829999999999</v>
          </cell>
          <cell r="R238" t="e">
            <v>#N/A</v>
          </cell>
        </row>
        <row r="239">
          <cell r="A239">
            <v>40318</v>
          </cell>
          <cell r="B239">
            <v>40318</v>
          </cell>
          <cell r="C239" t="str">
            <v>Past</v>
          </cell>
          <cell r="D239">
            <v>11.77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11.77</v>
          </cell>
          <cell r="Q239">
            <v>2.752262</v>
          </cell>
          <cell r="R239" t="e">
            <v>#N/A</v>
          </cell>
        </row>
        <row r="240">
          <cell r="A240">
            <v>40319</v>
          </cell>
          <cell r="B240">
            <v>40319</v>
          </cell>
          <cell r="C240" t="str">
            <v>Past</v>
          </cell>
          <cell r="D240">
            <v>11.89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11.89</v>
          </cell>
          <cell r="Q240">
            <v>2.8777209999999998</v>
          </cell>
          <cell r="R240" t="e">
            <v>#N/A</v>
          </cell>
        </row>
        <row r="241">
          <cell r="A241">
            <v>40322</v>
          </cell>
          <cell r="B241">
            <v>40322</v>
          </cell>
          <cell r="C241" t="str">
            <v>Past</v>
          </cell>
          <cell r="D241">
            <v>11.81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11.81</v>
          </cell>
          <cell r="Q241">
            <v>2.0820590000000001</v>
          </cell>
          <cell r="R241" t="e">
            <v>#N/A</v>
          </cell>
        </row>
        <row r="242">
          <cell r="A242">
            <v>40323</v>
          </cell>
          <cell r="B242">
            <v>40323</v>
          </cell>
          <cell r="C242" t="str">
            <v>Past</v>
          </cell>
          <cell r="D242">
            <v>11.69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11.69</v>
          </cell>
          <cell r="Q242">
            <v>4.9853079999999999</v>
          </cell>
          <cell r="R242" t="e">
            <v>#N/A</v>
          </cell>
        </row>
        <row r="243">
          <cell r="A243">
            <v>40324</v>
          </cell>
          <cell r="B243">
            <v>40324</v>
          </cell>
          <cell r="C243" t="str">
            <v>Past</v>
          </cell>
          <cell r="D243">
            <v>11.78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11.78</v>
          </cell>
          <cell r="Q243">
            <v>3.5629729999999999</v>
          </cell>
          <cell r="R243" t="e">
            <v>#N/A</v>
          </cell>
        </row>
        <row r="244">
          <cell r="A244">
            <v>40325</v>
          </cell>
          <cell r="B244">
            <v>40325</v>
          </cell>
          <cell r="C244" t="str">
            <v>Past</v>
          </cell>
          <cell r="D244">
            <v>11.69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11.69</v>
          </cell>
          <cell r="Q244">
            <v>1.725136</v>
          </cell>
          <cell r="R244" t="e">
            <v>#N/A</v>
          </cell>
        </row>
        <row r="245">
          <cell r="A245">
            <v>40326</v>
          </cell>
          <cell r="B245">
            <v>40326</v>
          </cell>
          <cell r="C245" t="str">
            <v>Past</v>
          </cell>
          <cell r="D245">
            <v>11.79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11.79</v>
          </cell>
          <cell r="Q245">
            <v>2.8304469999999999</v>
          </cell>
          <cell r="R245" t="e">
            <v>#N/A</v>
          </cell>
        </row>
        <row r="246">
          <cell r="A246">
            <v>40330</v>
          </cell>
          <cell r="B246">
            <v>40330</v>
          </cell>
          <cell r="C246" t="str">
            <v>Past</v>
          </cell>
          <cell r="D246">
            <v>11.6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11.6</v>
          </cell>
          <cell r="Q246">
            <v>1.8102</v>
          </cell>
          <cell r="R246" t="e">
            <v>#N/A</v>
          </cell>
        </row>
        <row r="247">
          <cell r="A247">
            <v>40331</v>
          </cell>
          <cell r="B247">
            <v>40331</v>
          </cell>
          <cell r="C247" t="str">
            <v>Past</v>
          </cell>
          <cell r="D247">
            <v>11.87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11.87</v>
          </cell>
          <cell r="Q247">
            <v>1.2998000000000001</v>
          </cell>
          <cell r="R247" t="e">
            <v>#N/A</v>
          </cell>
        </row>
        <row r="248">
          <cell r="A248">
            <v>40332</v>
          </cell>
          <cell r="B248">
            <v>40332</v>
          </cell>
          <cell r="C248" t="str">
            <v>Past</v>
          </cell>
          <cell r="D248">
            <v>12.14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12.14</v>
          </cell>
          <cell r="Q248">
            <v>1.155041</v>
          </cell>
          <cell r="R248" t="e">
            <v>#N/A</v>
          </cell>
        </row>
        <row r="249">
          <cell r="A249">
            <v>40333</v>
          </cell>
          <cell r="B249">
            <v>40333</v>
          </cell>
          <cell r="C249" t="str">
            <v>Past</v>
          </cell>
          <cell r="D249">
            <v>11.7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11.7</v>
          </cell>
          <cell r="Q249">
            <v>2.746337</v>
          </cell>
          <cell r="R249" t="e">
            <v>#N/A</v>
          </cell>
        </row>
        <row r="250">
          <cell r="A250">
            <v>40336</v>
          </cell>
          <cell r="B250">
            <v>40336</v>
          </cell>
          <cell r="C250" t="str">
            <v>Past</v>
          </cell>
          <cell r="D250">
            <v>11.88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11.88</v>
          </cell>
          <cell r="Q250">
            <v>2.357313</v>
          </cell>
          <cell r="R250" t="e">
            <v>#N/A</v>
          </cell>
        </row>
        <row r="251">
          <cell r="A251">
            <v>40337</v>
          </cell>
          <cell r="B251">
            <v>40337</v>
          </cell>
          <cell r="C251" t="str">
            <v>Past</v>
          </cell>
          <cell r="D251">
            <v>11.96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11.96</v>
          </cell>
          <cell r="Q251">
            <v>2.3212519999999999</v>
          </cell>
          <cell r="R251" t="e">
            <v>#N/A</v>
          </cell>
        </row>
        <row r="252">
          <cell r="A252">
            <v>40338</v>
          </cell>
          <cell r="B252">
            <v>40338</v>
          </cell>
          <cell r="C252" t="str">
            <v>Past</v>
          </cell>
          <cell r="D252">
            <v>11.75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11.75</v>
          </cell>
          <cell r="Q252">
            <v>1.6222349999999999</v>
          </cell>
          <cell r="R252" t="e">
            <v>#N/A</v>
          </cell>
        </row>
        <row r="253">
          <cell r="A253">
            <v>40339</v>
          </cell>
          <cell r="B253">
            <v>40339</v>
          </cell>
          <cell r="C253" t="str">
            <v>Past</v>
          </cell>
          <cell r="D253">
            <v>12.06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12.06</v>
          </cell>
          <cell r="Q253">
            <v>1.7997719999999999</v>
          </cell>
          <cell r="R253" t="e">
            <v>#N/A</v>
          </cell>
        </row>
        <row r="254">
          <cell r="A254">
            <v>40340</v>
          </cell>
          <cell r="B254">
            <v>40340</v>
          </cell>
          <cell r="C254" t="str">
            <v>Past</v>
          </cell>
          <cell r="D254">
            <v>12.06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12.06</v>
          </cell>
          <cell r="Q254">
            <v>1.7262029999999999</v>
          </cell>
          <cell r="R254" t="e">
            <v>#N/A</v>
          </cell>
        </row>
        <row r="255">
          <cell r="A255">
            <v>40343</v>
          </cell>
          <cell r="B255">
            <v>40343</v>
          </cell>
          <cell r="C255" t="str">
            <v>Past</v>
          </cell>
          <cell r="D255">
            <v>12.21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12.21</v>
          </cell>
          <cell r="Q255">
            <v>2.7275359999999997</v>
          </cell>
          <cell r="R255" t="e">
            <v>#N/A</v>
          </cell>
        </row>
        <row r="256">
          <cell r="A256">
            <v>40344</v>
          </cell>
          <cell r="B256">
            <v>40344</v>
          </cell>
          <cell r="C256" t="str">
            <v>Past</v>
          </cell>
          <cell r="D256">
            <v>12.52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12.52</v>
          </cell>
          <cell r="Q256">
            <v>3.219265</v>
          </cell>
          <cell r="R256" t="e">
            <v>#N/A</v>
          </cell>
        </row>
        <row r="257">
          <cell r="A257">
            <v>40345</v>
          </cell>
          <cell r="B257">
            <v>40345</v>
          </cell>
          <cell r="C257" t="str">
            <v>Past</v>
          </cell>
          <cell r="D257">
            <v>12.6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12.6</v>
          </cell>
          <cell r="Q257">
            <v>2.083361</v>
          </cell>
          <cell r="R257" t="e">
            <v>#N/A</v>
          </cell>
        </row>
        <row r="258">
          <cell r="A258">
            <v>40346</v>
          </cell>
          <cell r="B258">
            <v>40346</v>
          </cell>
          <cell r="C258" t="str">
            <v>Past</v>
          </cell>
          <cell r="D258">
            <v>12.72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12.72</v>
          </cell>
          <cell r="Q258">
            <v>2.4469629999999998</v>
          </cell>
          <cell r="R258" t="e">
            <v>#N/A</v>
          </cell>
        </row>
        <row r="259">
          <cell r="A259">
            <v>40347</v>
          </cell>
          <cell r="B259">
            <v>40347</v>
          </cell>
          <cell r="C259" t="str">
            <v>Past</v>
          </cell>
          <cell r="D259">
            <v>12.59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12.59</v>
          </cell>
          <cell r="Q259">
            <v>1.9597</v>
          </cell>
          <cell r="R259" t="e">
            <v>#N/A</v>
          </cell>
        </row>
        <row r="260">
          <cell r="A260">
            <v>40350</v>
          </cell>
          <cell r="B260">
            <v>40350</v>
          </cell>
          <cell r="C260" t="str">
            <v>Past</v>
          </cell>
          <cell r="D260">
            <v>12.49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12.49</v>
          </cell>
          <cell r="Q260">
            <v>3.2103129999999998</v>
          </cell>
          <cell r="R260" t="e">
            <v>#N/A</v>
          </cell>
        </row>
        <row r="261">
          <cell r="A261">
            <v>40351</v>
          </cell>
          <cell r="B261">
            <v>40351</v>
          </cell>
          <cell r="C261" t="str">
            <v>Past</v>
          </cell>
          <cell r="D261">
            <v>12.19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12.19</v>
          </cell>
          <cell r="Q261">
            <v>1.522295</v>
          </cell>
          <cell r="R261" t="e">
            <v>#N/A</v>
          </cell>
        </row>
        <row r="262">
          <cell r="A262">
            <v>40352</v>
          </cell>
          <cell r="B262">
            <v>40352</v>
          </cell>
          <cell r="C262" t="str">
            <v>Past</v>
          </cell>
          <cell r="D262">
            <v>12.02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12.02</v>
          </cell>
          <cell r="Q262">
            <v>0.87350099999999997</v>
          </cell>
          <cell r="R262" t="e">
            <v>#N/A</v>
          </cell>
        </row>
        <row r="263">
          <cell r="A263">
            <v>40353</v>
          </cell>
          <cell r="B263">
            <v>40353</v>
          </cell>
          <cell r="C263" t="str">
            <v>Past</v>
          </cell>
          <cell r="D263">
            <v>11.96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11.96</v>
          </cell>
          <cell r="Q263">
            <v>2.462377</v>
          </cell>
          <cell r="R263" t="e">
            <v>#N/A</v>
          </cell>
        </row>
        <row r="264">
          <cell r="A264">
            <v>40354</v>
          </cell>
          <cell r="B264">
            <v>40354</v>
          </cell>
          <cell r="C264" t="str">
            <v>Past</v>
          </cell>
          <cell r="D264">
            <v>12.07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12.07</v>
          </cell>
          <cell r="Q264">
            <v>3.9080569999999999</v>
          </cell>
          <cell r="R264" t="e">
            <v>#N/A</v>
          </cell>
        </row>
        <row r="265">
          <cell r="A265">
            <v>40357</v>
          </cell>
          <cell r="B265">
            <v>40357</v>
          </cell>
          <cell r="C265" t="str">
            <v>Past</v>
          </cell>
          <cell r="D265">
            <v>12.13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12.13</v>
          </cell>
          <cell r="Q265">
            <v>1.9079279999999998</v>
          </cell>
          <cell r="R265" t="e">
            <v>#N/A</v>
          </cell>
        </row>
        <row r="266">
          <cell r="A266">
            <v>40358</v>
          </cell>
          <cell r="B266">
            <v>40358</v>
          </cell>
          <cell r="C266" t="str">
            <v>Past</v>
          </cell>
          <cell r="D266">
            <v>11.93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11.93</v>
          </cell>
          <cell r="Q266">
            <v>2.6454580000000001</v>
          </cell>
          <cell r="R266" t="e">
            <v>#N/A</v>
          </cell>
        </row>
        <row r="267">
          <cell r="A267">
            <v>40359</v>
          </cell>
          <cell r="B267">
            <v>40359</v>
          </cell>
          <cell r="C267" t="str">
            <v>Past</v>
          </cell>
          <cell r="D267">
            <v>11.81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11.81</v>
          </cell>
          <cell r="Q267">
            <v>3.2041879999999998</v>
          </cell>
          <cell r="R267" t="e">
            <v>#N/A</v>
          </cell>
        </row>
        <row r="268">
          <cell r="A268">
            <v>40360</v>
          </cell>
          <cell r="B268">
            <v>40360</v>
          </cell>
          <cell r="C268" t="str">
            <v>Past</v>
          </cell>
          <cell r="D268">
            <v>11.75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11.75</v>
          </cell>
          <cell r="Q268">
            <v>2.2558889999999998</v>
          </cell>
          <cell r="R268" t="e">
            <v>#N/A</v>
          </cell>
        </row>
        <row r="269">
          <cell r="A269">
            <v>40361</v>
          </cell>
          <cell r="B269">
            <v>40361</v>
          </cell>
          <cell r="C269" t="str">
            <v>Past</v>
          </cell>
          <cell r="D269">
            <v>11.79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11.79</v>
          </cell>
          <cell r="Q269">
            <v>1.5568379999999999</v>
          </cell>
          <cell r="R269" t="e">
            <v>#N/A</v>
          </cell>
        </row>
        <row r="270">
          <cell r="A270">
            <v>40365</v>
          </cell>
          <cell r="B270">
            <v>40365</v>
          </cell>
          <cell r="C270" t="str">
            <v>Past</v>
          </cell>
          <cell r="D270">
            <v>11.95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11.95</v>
          </cell>
          <cell r="Q270">
            <v>2.0747359999999997</v>
          </cell>
          <cell r="R270" t="e">
            <v>#N/A</v>
          </cell>
        </row>
        <row r="271">
          <cell r="A271">
            <v>40366</v>
          </cell>
          <cell r="B271">
            <v>40366</v>
          </cell>
          <cell r="C271" t="str">
            <v>Past</v>
          </cell>
          <cell r="D271">
            <v>12.3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12.3</v>
          </cell>
          <cell r="Q271">
            <v>1.5029669999999999</v>
          </cell>
          <cell r="R271" t="e">
            <v>#N/A</v>
          </cell>
        </row>
        <row r="272">
          <cell r="A272">
            <v>40367</v>
          </cell>
          <cell r="B272">
            <v>40367</v>
          </cell>
          <cell r="C272" t="str">
            <v>Past</v>
          </cell>
          <cell r="D272">
            <v>12.26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12.26</v>
          </cell>
          <cell r="Q272">
            <v>1.6987000000000001</v>
          </cell>
          <cell r="R272" t="e">
            <v>#N/A</v>
          </cell>
        </row>
        <row r="273">
          <cell r="A273">
            <v>40368</v>
          </cell>
          <cell r="B273">
            <v>40368</v>
          </cell>
          <cell r="C273" t="str">
            <v>Past</v>
          </cell>
          <cell r="D273">
            <v>12.6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12.6</v>
          </cell>
          <cell r="Q273">
            <v>2.9425400000000002</v>
          </cell>
          <cell r="R273" t="e">
            <v>#N/A</v>
          </cell>
        </row>
        <row r="274">
          <cell r="A274">
            <v>40371</v>
          </cell>
          <cell r="B274">
            <v>40371</v>
          </cell>
          <cell r="C274" t="str">
            <v>Past</v>
          </cell>
          <cell r="D274">
            <v>12.68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12.68</v>
          </cell>
          <cell r="Q274">
            <v>1.863105</v>
          </cell>
          <cell r="R274" t="e">
            <v>#N/A</v>
          </cell>
        </row>
        <row r="275">
          <cell r="A275">
            <v>40372</v>
          </cell>
          <cell r="B275">
            <v>40372</v>
          </cell>
          <cell r="C275" t="str">
            <v>Past</v>
          </cell>
          <cell r="D275">
            <v>12.68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12.68</v>
          </cell>
          <cell r="Q275">
            <v>1.8854229999999998</v>
          </cell>
          <cell r="R275" t="e">
            <v>#N/A</v>
          </cell>
        </row>
        <row r="276">
          <cell r="A276">
            <v>40373</v>
          </cell>
          <cell r="B276">
            <v>40373</v>
          </cell>
          <cell r="C276" t="str">
            <v>Past</v>
          </cell>
          <cell r="D276">
            <v>12.76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12.76</v>
          </cell>
          <cell r="Q276">
            <v>3.8541569999999998</v>
          </cell>
          <cell r="R276" t="e">
            <v>#N/A</v>
          </cell>
        </row>
        <row r="277">
          <cell r="A277">
            <v>40374</v>
          </cell>
          <cell r="B277">
            <v>40374</v>
          </cell>
          <cell r="C277" t="str">
            <v>Past</v>
          </cell>
          <cell r="D277">
            <v>12.77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12.77</v>
          </cell>
          <cell r="Q277">
            <v>1.5362</v>
          </cell>
          <cell r="R277" t="e">
            <v>#N/A</v>
          </cell>
        </row>
        <row r="278">
          <cell r="A278">
            <v>40375</v>
          </cell>
          <cell r="B278">
            <v>40375</v>
          </cell>
          <cell r="C278" t="str">
            <v>Past</v>
          </cell>
          <cell r="D278">
            <v>12.39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12.39</v>
          </cell>
          <cell r="Q278">
            <v>2.187497</v>
          </cell>
          <cell r="R278" t="e">
            <v>#N/A</v>
          </cell>
        </row>
        <row r="279">
          <cell r="A279">
            <v>40378</v>
          </cell>
          <cell r="B279">
            <v>40378</v>
          </cell>
          <cell r="C279" t="str">
            <v>Past</v>
          </cell>
          <cell r="D279">
            <v>12.57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12.57</v>
          </cell>
          <cell r="Q279">
            <v>1.995854</v>
          </cell>
          <cell r="R279" t="e">
            <v>#N/A</v>
          </cell>
        </row>
        <row r="280">
          <cell r="A280">
            <v>40379</v>
          </cell>
          <cell r="B280">
            <v>40379</v>
          </cell>
          <cell r="C280" t="str">
            <v>Past</v>
          </cell>
          <cell r="D280">
            <v>12.63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12.63</v>
          </cell>
          <cell r="Q280">
            <v>2.4046590000000001</v>
          </cell>
          <cell r="R280" t="e">
            <v>#N/A</v>
          </cell>
        </row>
        <row r="281">
          <cell r="A281">
            <v>40380</v>
          </cell>
          <cell r="B281">
            <v>40380</v>
          </cell>
          <cell r="C281" t="str">
            <v>Past</v>
          </cell>
          <cell r="D281">
            <v>12.55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12.55</v>
          </cell>
          <cell r="Q281">
            <v>3.4714669999999996</v>
          </cell>
          <cell r="R281" t="e">
            <v>#N/A</v>
          </cell>
        </row>
        <row r="282">
          <cell r="A282">
            <v>40381</v>
          </cell>
          <cell r="B282">
            <v>40381</v>
          </cell>
          <cell r="C282" t="str">
            <v>Past</v>
          </cell>
          <cell r="D282">
            <v>12.78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12.78</v>
          </cell>
          <cell r="Q282">
            <v>1.318586</v>
          </cell>
          <cell r="R282" t="e">
            <v>#N/A</v>
          </cell>
        </row>
        <row r="283">
          <cell r="A283">
            <v>40382</v>
          </cell>
          <cell r="B283">
            <v>40382</v>
          </cell>
          <cell r="C283" t="str">
            <v>Past</v>
          </cell>
          <cell r="D283">
            <v>12.82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12.82</v>
          </cell>
          <cell r="Q283">
            <v>1.328279</v>
          </cell>
          <cell r="R283" t="e">
            <v>#N/A</v>
          </cell>
        </row>
        <row r="284">
          <cell r="A284">
            <v>40385</v>
          </cell>
          <cell r="B284">
            <v>40385</v>
          </cell>
          <cell r="C284" t="str">
            <v>Past</v>
          </cell>
          <cell r="D284">
            <v>12.88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12.88</v>
          </cell>
          <cell r="Q284">
            <v>1.9803439999999999</v>
          </cell>
          <cell r="R284" t="e">
            <v>#N/A</v>
          </cell>
        </row>
        <row r="285">
          <cell r="A285">
            <v>40386</v>
          </cell>
          <cell r="B285">
            <v>40386</v>
          </cell>
          <cell r="C285" t="str">
            <v>Past</v>
          </cell>
          <cell r="D285">
            <v>13.12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13.12</v>
          </cell>
          <cell r="Q285">
            <v>2.9478309999999999</v>
          </cell>
          <cell r="R285" t="e">
            <v>#N/A</v>
          </cell>
        </row>
        <row r="286">
          <cell r="A286">
            <v>40387</v>
          </cell>
          <cell r="B286">
            <v>40387</v>
          </cell>
          <cell r="C286" t="str">
            <v>Past</v>
          </cell>
          <cell r="D286">
            <v>12.93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12.93</v>
          </cell>
          <cell r="Q286">
            <v>1.091621</v>
          </cell>
          <cell r="R286" t="e">
            <v>#N/A</v>
          </cell>
        </row>
        <row r="287">
          <cell r="A287">
            <v>40388</v>
          </cell>
          <cell r="B287">
            <v>40388</v>
          </cell>
          <cell r="C287" t="str">
            <v>Past</v>
          </cell>
          <cell r="D287">
            <v>12.73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12.73</v>
          </cell>
          <cell r="Q287">
            <v>1.718626</v>
          </cell>
          <cell r="R287" t="e">
            <v>#N/A</v>
          </cell>
        </row>
        <row r="288">
          <cell r="A288">
            <v>40389</v>
          </cell>
          <cell r="B288">
            <v>40389</v>
          </cell>
          <cell r="C288" t="str">
            <v>Past</v>
          </cell>
          <cell r="D288">
            <v>12.7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12.7</v>
          </cell>
          <cell r="Q288">
            <v>1.846115</v>
          </cell>
          <cell r="R288" t="e">
            <v>#N/A</v>
          </cell>
        </row>
        <row r="289">
          <cell r="A289">
            <v>40392</v>
          </cell>
          <cell r="B289">
            <v>40392</v>
          </cell>
          <cell r="C289" t="str">
            <v>Past</v>
          </cell>
          <cell r="D289">
            <v>12.82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12.82</v>
          </cell>
          <cell r="Q289">
            <v>1.8807369999999999</v>
          </cell>
          <cell r="R289" t="e">
            <v>#N/A</v>
          </cell>
        </row>
        <row r="290">
          <cell r="A290">
            <v>40393</v>
          </cell>
          <cell r="B290">
            <v>40393</v>
          </cell>
          <cell r="C290" t="str">
            <v>Past</v>
          </cell>
          <cell r="D290">
            <v>12.77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12.77</v>
          </cell>
          <cell r="Q290">
            <v>1.263906</v>
          </cell>
          <cell r="R290" t="e">
            <v>#N/A</v>
          </cell>
        </row>
        <row r="291">
          <cell r="A291">
            <v>40394</v>
          </cell>
          <cell r="B291">
            <v>40394</v>
          </cell>
          <cell r="C291" t="str">
            <v>Past</v>
          </cell>
          <cell r="D291">
            <v>12.78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12.78</v>
          </cell>
          <cell r="Q291">
            <v>1.3239029999999998</v>
          </cell>
          <cell r="R291" t="e">
            <v>#N/A</v>
          </cell>
        </row>
        <row r="292">
          <cell r="A292">
            <v>40395</v>
          </cell>
          <cell r="B292">
            <v>40395</v>
          </cell>
          <cell r="C292" t="str">
            <v>Past</v>
          </cell>
          <cell r="D292">
            <v>12.9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12.9</v>
          </cell>
          <cell r="Q292">
            <v>0.96239399999999997</v>
          </cell>
          <cell r="R292" t="e">
            <v>#N/A</v>
          </cell>
        </row>
        <row r="293">
          <cell r="A293">
            <v>40396</v>
          </cell>
          <cell r="B293">
            <v>40396</v>
          </cell>
          <cell r="C293" t="str">
            <v>Past</v>
          </cell>
          <cell r="D293">
            <v>12.86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12.86</v>
          </cell>
          <cell r="Q293">
            <v>1.220923</v>
          </cell>
          <cell r="R293" t="e">
            <v>#N/A</v>
          </cell>
        </row>
        <row r="294">
          <cell r="A294">
            <v>40399</v>
          </cell>
          <cell r="B294">
            <v>40399</v>
          </cell>
          <cell r="C294" t="str">
            <v>Past</v>
          </cell>
          <cell r="D294">
            <v>12.99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12.99</v>
          </cell>
          <cell r="Q294">
            <v>1.9647569999999999</v>
          </cell>
          <cell r="R294" t="e">
            <v>#N/A</v>
          </cell>
        </row>
        <row r="295">
          <cell r="A295">
            <v>40400</v>
          </cell>
          <cell r="B295">
            <v>40400</v>
          </cell>
          <cell r="C295" t="str">
            <v>Past</v>
          </cell>
          <cell r="D295">
            <v>12.96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12.96</v>
          </cell>
          <cell r="Q295">
            <v>1.34331</v>
          </cell>
          <cell r="R295" t="e">
            <v>#N/A</v>
          </cell>
        </row>
        <row r="296">
          <cell r="A296">
            <v>40401</v>
          </cell>
          <cell r="B296">
            <v>40401</v>
          </cell>
          <cell r="C296" t="str">
            <v>Past</v>
          </cell>
          <cell r="D296">
            <v>12.69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12.69</v>
          </cell>
          <cell r="Q296">
            <v>1.5584</v>
          </cell>
          <cell r="R296" t="e">
            <v>#N/A</v>
          </cell>
        </row>
        <row r="297">
          <cell r="A297">
            <v>40402</v>
          </cell>
          <cell r="B297">
            <v>40402</v>
          </cell>
          <cell r="C297" t="str">
            <v>Past</v>
          </cell>
          <cell r="D297">
            <v>12.75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12.75</v>
          </cell>
          <cell r="Q297">
            <v>2.0656810000000001</v>
          </cell>
          <cell r="R297" t="e">
            <v>#N/A</v>
          </cell>
        </row>
        <row r="298">
          <cell r="A298">
            <v>40403</v>
          </cell>
          <cell r="B298">
            <v>40403</v>
          </cell>
          <cell r="C298" t="str">
            <v>Past</v>
          </cell>
          <cell r="D298">
            <v>12.82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12.82</v>
          </cell>
          <cell r="Q298">
            <v>0.93745000000000012</v>
          </cell>
          <cell r="R298" t="e">
            <v>#N/A</v>
          </cell>
        </row>
        <row r="299">
          <cell r="A299">
            <v>40406</v>
          </cell>
          <cell r="B299">
            <v>40406</v>
          </cell>
          <cell r="C299" t="str">
            <v>Past</v>
          </cell>
          <cell r="D299">
            <v>12.82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12.82</v>
          </cell>
          <cell r="Q299">
            <v>0.783667</v>
          </cell>
          <cell r="R299" t="e">
            <v>#N/A</v>
          </cell>
        </row>
        <row r="300">
          <cell r="A300">
            <v>40407</v>
          </cell>
          <cell r="B300">
            <v>40407</v>
          </cell>
          <cell r="C300" t="str">
            <v>Past</v>
          </cell>
          <cell r="D300">
            <v>12.95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12.95</v>
          </cell>
          <cell r="Q300">
            <v>0.81975599999999993</v>
          </cell>
          <cell r="R300" t="e">
            <v>#N/A</v>
          </cell>
        </row>
        <row r="301">
          <cell r="A301">
            <v>40408</v>
          </cell>
          <cell r="B301">
            <v>40408</v>
          </cell>
          <cell r="C301" t="str">
            <v>Past</v>
          </cell>
          <cell r="D301">
            <v>12.84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12.84</v>
          </cell>
          <cell r="Q301">
            <v>1.089143</v>
          </cell>
          <cell r="R301" t="e">
            <v>#N/A</v>
          </cell>
        </row>
        <row r="302">
          <cell r="A302">
            <v>40409</v>
          </cell>
          <cell r="B302">
            <v>40409</v>
          </cell>
          <cell r="C302" t="str">
            <v>Past</v>
          </cell>
          <cell r="D302">
            <v>12.6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12.6</v>
          </cell>
          <cell r="Q302">
            <v>0.71370099999999992</v>
          </cell>
          <cell r="R302" t="e">
            <v>#N/A</v>
          </cell>
        </row>
        <row r="303">
          <cell r="A303">
            <v>40410</v>
          </cell>
          <cell r="B303">
            <v>40410</v>
          </cell>
          <cell r="C303" t="str">
            <v>Past</v>
          </cell>
          <cell r="D303">
            <v>12.57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12.57</v>
          </cell>
          <cell r="Q303">
            <v>1.371812</v>
          </cell>
          <cell r="R303" t="e">
            <v>#N/A</v>
          </cell>
        </row>
        <row r="304">
          <cell r="A304">
            <v>40413</v>
          </cell>
          <cell r="B304">
            <v>40413</v>
          </cell>
          <cell r="C304" t="str">
            <v>Past</v>
          </cell>
          <cell r="D304">
            <v>12.56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12.56</v>
          </cell>
          <cell r="Q304">
            <v>1.7882069999999999</v>
          </cell>
          <cell r="R304" t="e">
            <v>#N/A</v>
          </cell>
        </row>
        <row r="305">
          <cell r="A305">
            <v>40414</v>
          </cell>
          <cell r="B305">
            <v>40414</v>
          </cell>
          <cell r="C305" t="str">
            <v>Past</v>
          </cell>
          <cell r="D305">
            <v>12.51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12.51</v>
          </cell>
          <cell r="Q305">
            <v>1.018284</v>
          </cell>
          <cell r="R305" t="e">
            <v>#N/A</v>
          </cell>
        </row>
        <row r="306">
          <cell r="A306">
            <v>40415</v>
          </cell>
          <cell r="B306">
            <v>40415</v>
          </cell>
          <cell r="C306" t="str">
            <v>Past</v>
          </cell>
          <cell r="D306">
            <v>12.51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12.51</v>
          </cell>
          <cell r="Q306">
            <v>1.948426</v>
          </cell>
          <cell r="R306" t="e">
            <v>#N/A</v>
          </cell>
        </row>
        <row r="307">
          <cell r="A307">
            <v>40416</v>
          </cell>
          <cell r="B307">
            <v>40416</v>
          </cell>
          <cell r="C307" t="str">
            <v>Past</v>
          </cell>
          <cell r="D307">
            <v>12.51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12.51</v>
          </cell>
          <cell r="Q307">
            <v>1.2078149999999999</v>
          </cell>
          <cell r="R307" t="e">
            <v>#N/A</v>
          </cell>
        </row>
        <row r="308">
          <cell r="A308">
            <v>40417</v>
          </cell>
          <cell r="B308">
            <v>40417</v>
          </cell>
          <cell r="C308" t="str">
            <v>Past</v>
          </cell>
          <cell r="D308">
            <v>12.8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12.8</v>
          </cell>
          <cell r="Q308">
            <v>2.2369500000000002</v>
          </cell>
          <cell r="R308" t="e">
            <v>#N/A</v>
          </cell>
        </row>
        <row r="309">
          <cell r="A309">
            <v>40420</v>
          </cell>
          <cell r="B309">
            <v>40420</v>
          </cell>
          <cell r="C309" t="str">
            <v>Past</v>
          </cell>
          <cell r="D309">
            <v>12.64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12.64</v>
          </cell>
          <cell r="Q309">
            <v>1.491317</v>
          </cell>
          <cell r="R309" t="e">
            <v>#N/A</v>
          </cell>
        </row>
        <row r="310">
          <cell r="A310">
            <v>40421</v>
          </cell>
          <cell r="B310">
            <v>40421</v>
          </cell>
          <cell r="C310" t="str">
            <v>Past</v>
          </cell>
          <cell r="D310">
            <v>12.8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12.8</v>
          </cell>
          <cell r="Q310">
            <v>1.946672</v>
          </cell>
          <cell r="R310" t="e">
            <v>#N/A</v>
          </cell>
        </row>
        <row r="311">
          <cell r="A311">
            <v>40422</v>
          </cell>
          <cell r="B311">
            <v>40422</v>
          </cell>
          <cell r="C311" t="str">
            <v>Past</v>
          </cell>
          <cell r="D311">
            <v>13.13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13.13</v>
          </cell>
          <cell r="Q311">
            <v>2.65388</v>
          </cell>
          <cell r="R311" t="e">
            <v>#N/A</v>
          </cell>
        </row>
        <row r="312">
          <cell r="A312">
            <v>40423</v>
          </cell>
          <cell r="B312">
            <v>40423</v>
          </cell>
          <cell r="C312" t="str">
            <v>Past</v>
          </cell>
          <cell r="D312">
            <v>13.07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13.07</v>
          </cell>
          <cell r="Q312">
            <v>3.9073409999999997</v>
          </cell>
          <cell r="R312" t="e">
            <v>#N/A</v>
          </cell>
        </row>
        <row r="313">
          <cell r="A313">
            <v>40424</v>
          </cell>
          <cell r="B313">
            <v>40424</v>
          </cell>
          <cell r="C313" t="str">
            <v>Past</v>
          </cell>
          <cell r="D313">
            <v>13.21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13.21</v>
          </cell>
          <cell r="Q313">
            <v>1.7133909999999999</v>
          </cell>
          <cell r="R313" t="e">
            <v>#N/A</v>
          </cell>
        </row>
        <row r="314">
          <cell r="A314">
            <v>40428</v>
          </cell>
          <cell r="B314">
            <v>40428</v>
          </cell>
          <cell r="C314" t="str">
            <v>Past</v>
          </cell>
          <cell r="D314">
            <v>13.13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13.13</v>
          </cell>
          <cell r="Q314">
            <v>1.388282</v>
          </cell>
          <cell r="R314" t="e">
            <v>#N/A</v>
          </cell>
        </row>
        <row r="315">
          <cell r="A315">
            <v>40429</v>
          </cell>
          <cell r="B315">
            <v>40429</v>
          </cell>
          <cell r="C315" t="str">
            <v>Past</v>
          </cell>
          <cell r="D315">
            <v>12.95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12.95</v>
          </cell>
          <cell r="Q315">
            <v>1.844096</v>
          </cell>
          <cell r="R315" t="e">
            <v>#N/A</v>
          </cell>
        </row>
        <row r="316">
          <cell r="A316">
            <v>40430</v>
          </cell>
          <cell r="B316">
            <v>40430</v>
          </cell>
          <cell r="C316" t="str">
            <v>Past</v>
          </cell>
          <cell r="D316">
            <v>13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13</v>
          </cell>
          <cell r="Q316">
            <v>2.1684220000000001</v>
          </cell>
          <cell r="R316" t="e">
            <v>#N/A</v>
          </cell>
        </row>
        <row r="317">
          <cell r="A317">
            <v>40431</v>
          </cell>
          <cell r="B317">
            <v>40431</v>
          </cell>
          <cell r="C317" t="str">
            <v>Past</v>
          </cell>
          <cell r="D317">
            <v>12.95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12.95</v>
          </cell>
          <cell r="Q317">
            <v>3.4128089999999998</v>
          </cell>
          <cell r="R317" t="e">
            <v>#N/A</v>
          </cell>
        </row>
        <row r="318">
          <cell r="A318">
            <v>40434</v>
          </cell>
          <cell r="B318">
            <v>40434</v>
          </cell>
          <cell r="C318" t="str">
            <v>Past</v>
          </cell>
          <cell r="D318">
            <v>13.13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13.13</v>
          </cell>
          <cell r="Q318">
            <v>1.9109800000000001</v>
          </cell>
          <cell r="R318" t="e">
            <v>#N/A</v>
          </cell>
        </row>
        <row r="319">
          <cell r="A319">
            <v>40435</v>
          </cell>
          <cell r="B319">
            <v>40435</v>
          </cell>
          <cell r="C319" t="str">
            <v>Past</v>
          </cell>
          <cell r="D319">
            <v>13.1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13.1</v>
          </cell>
          <cell r="Q319">
            <v>1.5091000000000001</v>
          </cell>
          <cell r="R319" t="e">
            <v>#N/A</v>
          </cell>
        </row>
        <row r="320">
          <cell r="A320">
            <v>40436</v>
          </cell>
          <cell r="B320">
            <v>40436</v>
          </cell>
          <cell r="C320" t="str">
            <v>Past</v>
          </cell>
          <cell r="D320">
            <v>12.92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12.92</v>
          </cell>
          <cell r="Q320">
            <v>2.0562860000000001</v>
          </cell>
          <cell r="R320" t="e">
            <v>#N/A</v>
          </cell>
        </row>
        <row r="321">
          <cell r="A321">
            <v>40437</v>
          </cell>
          <cell r="B321">
            <v>40437</v>
          </cell>
          <cell r="C321" t="str">
            <v>Past</v>
          </cell>
          <cell r="D321">
            <v>12.71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12.71</v>
          </cell>
          <cell r="Q321">
            <v>1.4083539999999999</v>
          </cell>
          <cell r="R321" t="e">
            <v>#N/A</v>
          </cell>
        </row>
        <row r="322">
          <cell r="A322">
            <v>40438</v>
          </cell>
          <cell r="B322">
            <v>40438</v>
          </cell>
          <cell r="C322" t="str">
            <v>Past</v>
          </cell>
          <cell r="D322">
            <v>12.68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12.68</v>
          </cell>
          <cell r="Q322">
            <v>1.7802609999999999</v>
          </cell>
          <cell r="R322" t="e">
            <v>#N/A</v>
          </cell>
        </row>
        <row r="323">
          <cell r="A323">
            <v>40441</v>
          </cell>
          <cell r="B323">
            <v>40441</v>
          </cell>
          <cell r="C323" t="str">
            <v>Past</v>
          </cell>
          <cell r="D323">
            <v>12.91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12.91</v>
          </cell>
          <cell r="Q323">
            <v>1.297507</v>
          </cell>
          <cell r="R323" t="e">
            <v>#N/A</v>
          </cell>
        </row>
        <row r="324">
          <cell r="A324">
            <v>40442</v>
          </cell>
          <cell r="B324">
            <v>40442</v>
          </cell>
          <cell r="C324" t="str">
            <v>Past</v>
          </cell>
          <cell r="D324">
            <v>12.81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12.81</v>
          </cell>
          <cell r="Q324">
            <v>1.4411429999999998</v>
          </cell>
          <cell r="R324" t="e">
            <v>#N/A</v>
          </cell>
        </row>
        <row r="325">
          <cell r="A325">
            <v>40443</v>
          </cell>
          <cell r="B325">
            <v>40443</v>
          </cell>
          <cell r="C325" t="str">
            <v>Past</v>
          </cell>
          <cell r="D325">
            <v>12.88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12.88</v>
          </cell>
          <cell r="Q325">
            <v>0.79303000000000001</v>
          </cell>
          <cell r="R325" t="e">
            <v>#N/A</v>
          </cell>
        </row>
        <row r="326">
          <cell r="A326">
            <v>40444</v>
          </cell>
          <cell r="B326">
            <v>40444</v>
          </cell>
          <cell r="C326" t="str">
            <v>Past</v>
          </cell>
          <cell r="D326">
            <v>12.95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12.95</v>
          </cell>
          <cell r="Q326">
            <v>1.457676</v>
          </cell>
          <cell r="R326" t="e">
            <v>#N/A</v>
          </cell>
        </row>
        <row r="327">
          <cell r="A327">
            <v>40445</v>
          </cell>
          <cell r="B327">
            <v>40445</v>
          </cell>
          <cell r="C327" t="str">
            <v>Past</v>
          </cell>
          <cell r="D327">
            <v>13.16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13.16</v>
          </cell>
          <cell r="Q327">
            <v>0.86191600000000002</v>
          </cell>
          <cell r="R327" t="e">
            <v>#N/A</v>
          </cell>
        </row>
        <row r="328">
          <cell r="A328">
            <v>40448</v>
          </cell>
          <cell r="B328">
            <v>40448</v>
          </cell>
          <cell r="C328" t="str">
            <v>Past</v>
          </cell>
          <cell r="D328">
            <v>13.18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13.18</v>
          </cell>
          <cell r="Q328">
            <v>1.1820059999999999</v>
          </cell>
          <cell r="R328" t="e">
            <v>#N/A</v>
          </cell>
        </row>
        <row r="329">
          <cell r="A329">
            <v>40449</v>
          </cell>
          <cell r="B329">
            <v>40449</v>
          </cell>
          <cell r="C329" t="str">
            <v>Past</v>
          </cell>
          <cell r="D329">
            <v>13.02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13.02</v>
          </cell>
          <cell r="Q329">
            <v>2.1931620000000001</v>
          </cell>
          <cell r="R329" t="e">
            <v>#N/A</v>
          </cell>
        </row>
        <row r="330">
          <cell r="A330">
            <v>40450</v>
          </cell>
          <cell r="B330">
            <v>40450</v>
          </cell>
          <cell r="C330" t="str">
            <v>Past</v>
          </cell>
          <cell r="D330">
            <v>12.99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12.99</v>
          </cell>
          <cell r="Q330">
            <v>1.350544</v>
          </cell>
          <cell r="R330" t="e">
            <v>#N/A</v>
          </cell>
        </row>
        <row r="331">
          <cell r="A331">
            <v>40451</v>
          </cell>
          <cell r="B331">
            <v>40451</v>
          </cell>
          <cell r="C331" t="str">
            <v>Past</v>
          </cell>
          <cell r="D331">
            <v>13.15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13.15</v>
          </cell>
          <cell r="Q331">
            <v>1.4850939999999999</v>
          </cell>
          <cell r="R331" t="e">
            <v>#N/A</v>
          </cell>
        </row>
        <row r="332">
          <cell r="A332">
            <v>40452</v>
          </cell>
          <cell r="B332">
            <v>40452</v>
          </cell>
          <cell r="C332" t="str">
            <v>Past</v>
          </cell>
          <cell r="D332">
            <v>13.13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13.13</v>
          </cell>
          <cell r="Q332">
            <v>1.921621</v>
          </cell>
          <cell r="R332" t="e">
            <v>#N/A</v>
          </cell>
        </row>
        <row r="333">
          <cell r="A333">
            <v>40455</v>
          </cell>
          <cell r="B333">
            <v>40455</v>
          </cell>
          <cell r="C333" t="str">
            <v>Past</v>
          </cell>
          <cell r="D333">
            <v>12.94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12.94</v>
          </cell>
          <cell r="Q333">
            <v>1.977595</v>
          </cell>
          <cell r="R333" t="e">
            <v>#N/A</v>
          </cell>
        </row>
        <row r="334">
          <cell r="A334">
            <v>40456</v>
          </cell>
          <cell r="B334">
            <v>40456</v>
          </cell>
          <cell r="C334" t="str">
            <v>Past</v>
          </cell>
          <cell r="D334">
            <v>12.94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12.94</v>
          </cell>
          <cell r="Q334">
            <v>2.0961650000000001</v>
          </cell>
          <cell r="R334" t="e">
            <v>#N/A</v>
          </cell>
        </row>
        <row r="335">
          <cell r="A335">
            <v>40457</v>
          </cell>
          <cell r="B335">
            <v>40457</v>
          </cell>
          <cell r="C335" t="str">
            <v>Past</v>
          </cell>
          <cell r="D335">
            <v>12.87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12.87</v>
          </cell>
          <cell r="Q335">
            <v>1.6934449999999999</v>
          </cell>
          <cell r="R335" t="e">
            <v>#N/A</v>
          </cell>
        </row>
        <row r="336">
          <cell r="A336">
            <v>40458</v>
          </cell>
          <cell r="B336">
            <v>40458</v>
          </cell>
          <cell r="C336" t="str">
            <v>Past</v>
          </cell>
          <cell r="D336">
            <v>12.95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12.95</v>
          </cell>
          <cell r="Q336">
            <v>1.0372839999999999</v>
          </cell>
          <cell r="R336" t="e">
            <v>#N/A</v>
          </cell>
        </row>
        <row r="337">
          <cell r="A337">
            <v>40459</v>
          </cell>
          <cell r="B337">
            <v>40459</v>
          </cell>
          <cell r="C337" t="str">
            <v>Past</v>
          </cell>
          <cell r="D337">
            <v>13.07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13.07</v>
          </cell>
          <cell r="Q337">
            <v>1.3130230000000001</v>
          </cell>
          <cell r="R337" t="e">
            <v>#N/A</v>
          </cell>
        </row>
        <row r="338">
          <cell r="A338">
            <v>40462</v>
          </cell>
          <cell r="B338">
            <v>40462</v>
          </cell>
          <cell r="C338" t="str">
            <v>Past</v>
          </cell>
          <cell r="D338">
            <v>12.99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12.99</v>
          </cell>
          <cell r="Q338">
            <v>2.0637059999999998</v>
          </cell>
          <cell r="R338" t="e">
            <v>#N/A</v>
          </cell>
        </row>
        <row r="339">
          <cell r="A339">
            <v>40463</v>
          </cell>
          <cell r="B339">
            <v>40463</v>
          </cell>
          <cell r="C339" t="str">
            <v>Past</v>
          </cell>
          <cell r="D339">
            <v>13.06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13.06</v>
          </cell>
          <cell r="Q339">
            <v>1.4325909999999999</v>
          </cell>
          <cell r="R339" t="e">
            <v>#N/A</v>
          </cell>
        </row>
        <row r="340">
          <cell r="A340">
            <v>40464</v>
          </cell>
          <cell r="B340">
            <v>40464</v>
          </cell>
          <cell r="C340" t="str">
            <v>Past</v>
          </cell>
          <cell r="D340">
            <v>13.01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13.01</v>
          </cell>
          <cell r="Q340">
            <v>1.2016229999999999</v>
          </cell>
          <cell r="R340" t="e">
            <v>#N/A</v>
          </cell>
        </row>
        <row r="341">
          <cell r="A341">
            <v>40465</v>
          </cell>
          <cell r="B341">
            <v>40465</v>
          </cell>
          <cell r="C341" t="str">
            <v>Past</v>
          </cell>
          <cell r="D341">
            <v>13.09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13.09</v>
          </cell>
          <cell r="Q341">
            <v>0.89577699999999993</v>
          </cell>
          <cell r="R341" t="e">
            <v>#N/A</v>
          </cell>
        </row>
        <row r="342">
          <cell r="A342">
            <v>40466</v>
          </cell>
          <cell r="B342">
            <v>40466</v>
          </cell>
          <cell r="C342" t="str">
            <v>Past</v>
          </cell>
          <cell r="D342">
            <v>13.16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13.16</v>
          </cell>
          <cell r="Q342">
            <v>1.373721</v>
          </cell>
          <cell r="R342" t="e">
            <v>#N/A</v>
          </cell>
        </row>
        <row r="343">
          <cell r="A343">
            <v>40469</v>
          </cell>
          <cell r="B343">
            <v>40469</v>
          </cell>
          <cell r="C343" t="str">
            <v>Past</v>
          </cell>
          <cell r="D343">
            <v>13.25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13.25</v>
          </cell>
          <cell r="Q343">
            <v>0.72126899999999994</v>
          </cell>
          <cell r="R343" t="e">
            <v>#N/A</v>
          </cell>
        </row>
        <row r="344">
          <cell r="A344">
            <v>40470</v>
          </cell>
          <cell r="B344">
            <v>40470</v>
          </cell>
          <cell r="C344" t="str">
            <v>Past</v>
          </cell>
          <cell r="D344">
            <v>13.14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13.14</v>
          </cell>
          <cell r="Q344">
            <v>3.069394</v>
          </cell>
          <cell r="R344" t="e">
            <v>#N/A</v>
          </cell>
        </row>
        <row r="345">
          <cell r="A345">
            <v>40471</v>
          </cell>
          <cell r="B345">
            <v>40471</v>
          </cell>
          <cell r="C345" t="str">
            <v>Past</v>
          </cell>
          <cell r="D345">
            <v>13.19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13.19</v>
          </cell>
          <cell r="Q345">
            <v>1.592768</v>
          </cell>
          <cell r="R345" t="e">
            <v>#N/A</v>
          </cell>
        </row>
        <row r="346">
          <cell r="A346">
            <v>40472</v>
          </cell>
          <cell r="B346">
            <v>40472</v>
          </cell>
          <cell r="C346" t="str">
            <v>Past</v>
          </cell>
          <cell r="D346">
            <v>13.17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13.17</v>
          </cell>
          <cell r="Q346">
            <v>2.0111460000000001</v>
          </cell>
          <cell r="R346" t="e">
            <v>#N/A</v>
          </cell>
        </row>
        <row r="347">
          <cell r="A347">
            <v>40473</v>
          </cell>
          <cell r="B347">
            <v>40473</v>
          </cell>
          <cell r="C347" t="str">
            <v>Past</v>
          </cell>
          <cell r="D347">
            <v>13.08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13.08</v>
          </cell>
          <cell r="Q347">
            <v>3.1426209999999997</v>
          </cell>
          <cell r="R347" t="e">
            <v>#N/A</v>
          </cell>
        </row>
        <row r="348">
          <cell r="A348">
            <v>40476</v>
          </cell>
          <cell r="B348">
            <v>40476</v>
          </cell>
          <cell r="C348" t="str">
            <v>Past</v>
          </cell>
          <cell r="D348">
            <v>12.99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12.99</v>
          </cell>
          <cell r="Q348">
            <v>2.530951</v>
          </cell>
          <cell r="R348" t="e">
            <v>#N/A</v>
          </cell>
        </row>
        <row r="349">
          <cell r="A349">
            <v>40477</v>
          </cell>
          <cell r="B349">
            <v>40477</v>
          </cell>
          <cell r="C349" t="str">
            <v>Past</v>
          </cell>
          <cell r="D349">
            <v>13.5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13.5</v>
          </cell>
          <cell r="Q349">
            <v>5.4561000000000002</v>
          </cell>
          <cell r="R349" t="e">
            <v>#N/A</v>
          </cell>
        </row>
        <row r="350">
          <cell r="A350">
            <v>40478</v>
          </cell>
          <cell r="B350">
            <v>40478</v>
          </cell>
          <cell r="C350" t="str">
            <v>Past</v>
          </cell>
          <cell r="D350">
            <v>13.56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13.56</v>
          </cell>
          <cell r="Q350">
            <v>2.7789239999999999</v>
          </cell>
          <cell r="R350" t="e">
            <v>#N/A</v>
          </cell>
        </row>
        <row r="351">
          <cell r="A351">
            <v>40479</v>
          </cell>
          <cell r="B351">
            <v>40479</v>
          </cell>
          <cell r="C351" t="str">
            <v>Past</v>
          </cell>
          <cell r="D351">
            <v>13.61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13.61</v>
          </cell>
          <cell r="Q351">
            <v>2.4458409999999997</v>
          </cell>
          <cell r="R351" t="e">
            <v>#N/A</v>
          </cell>
        </row>
        <row r="352">
          <cell r="A352">
            <v>40480</v>
          </cell>
          <cell r="B352">
            <v>40480</v>
          </cell>
          <cell r="C352" t="str">
            <v>Past</v>
          </cell>
          <cell r="D352">
            <v>13.67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13.67</v>
          </cell>
          <cell r="Q352">
            <v>1.4752000000000001</v>
          </cell>
          <cell r="R352" t="e">
            <v>#N/A</v>
          </cell>
        </row>
        <row r="353">
          <cell r="A353">
            <v>40483</v>
          </cell>
          <cell r="B353">
            <v>40483</v>
          </cell>
          <cell r="C353" t="str">
            <v>Past</v>
          </cell>
          <cell r="D353">
            <v>13.68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13.68</v>
          </cell>
          <cell r="Q353">
            <v>1.9509209999999999</v>
          </cell>
          <cell r="R353" t="e">
            <v>#N/A</v>
          </cell>
        </row>
        <row r="354">
          <cell r="A354">
            <v>40484</v>
          </cell>
          <cell r="B354">
            <v>40484</v>
          </cell>
          <cell r="C354" t="str">
            <v>Past</v>
          </cell>
          <cell r="D354">
            <v>13.83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13.83</v>
          </cell>
          <cell r="Q354">
            <v>1.22519</v>
          </cell>
          <cell r="R354" t="e">
            <v>#N/A</v>
          </cell>
        </row>
        <row r="355">
          <cell r="A355">
            <v>40485</v>
          </cell>
          <cell r="B355">
            <v>40485</v>
          </cell>
          <cell r="C355" t="str">
            <v>Past</v>
          </cell>
          <cell r="D355">
            <v>13.83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13.83</v>
          </cell>
          <cell r="Q355">
            <v>1.352117</v>
          </cell>
          <cell r="R355" t="e">
            <v>#N/A</v>
          </cell>
        </row>
        <row r="356">
          <cell r="A356">
            <v>40486</v>
          </cell>
          <cell r="B356">
            <v>40486</v>
          </cell>
          <cell r="C356" t="str">
            <v>Past</v>
          </cell>
          <cell r="D356">
            <v>14.01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14.01</v>
          </cell>
          <cell r="Q356">
            <v>1.294834</v>
          </cell>
          <cell r="R356" t="e">
            <v>#N/A</v>
          </cell>
        </row>
        <row r="357">
          <cell r="A357">
            <v>40487</v>
          </cell>
          <cell r="B357">
            <v>40487</v>
          </cell>
          <cell r="C357" t="str">
            <v>Past</v>
          </cell>
          <cell r="D357">
            <v>14.08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14.08</v>
          </cell>
          <cell r="Q357">
            <v>1.4330669999999999</v>
          </cell>
          <cell r="R357" t="e">
            <v>#N/A</v>
          </cell>
        </row>
        <row r="358">
          <cell r="A358">
            <v>40490</v>
          </cell>
          <cell r="B358">
            <v>40490</v>
          </cell>
          <cell r="C358" t="str">
            <v>Past</v>
          </cell>
          <cell r="D358">
            <v>14.04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14.04</v>
          </cell>
          <cell r="Q358">
            <v>1.399796</v>
          </cell>
          <cell r="R358" t="e">
            <v>#N/A</v>
          </cell>
        </row>
        <row r="359">
          <cell r="A359">
            <v>40491</v>
          </cell>
          <cell r="B359">
            <v>40491</v>
          </cell>
          <cell r="C359" t="str">
            <v>Past</v>
          </cell>
          <cell r="D359">
            <v>13.95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13.95</v>
          </cell>
          <cell r="Q359">
            <v>1.2766789999999999</v>
          </cell>
          <cell r="R359" t="e">
            <v>#N/A</v>
          </cell>
        </row>
        <row r="360">
          <cell r="A360">
            <v>40492</v>
          </cell>
          <cell r="B360">
            <v>40492</v>
          </cell>
          <cell r="C360" t="str">
            <v>Past</v>
          </cell>
          <cell r="D360">
            <v>13.85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13.85</v>
          </cell>
          <cell r="Q360">
            <v>1.4169559999999999</v>
          </cell>
          <cell r="R360" t="e">
            <v>#N/A</v>
          </cell>
        </row>
        <row r="361">
          <cell r="A361">
            <v>40493</v>
          </cell>
          <cell r="B361">
            <v>40493</v>
          </cell>
          <cell r="C361" t="str">
            <v>Past</v>
          </cell>
          <cell r="D361">
            <v>13.81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13.81</v>
          </cell>
          <cell r="Q361">
            <v>1.0204959999999998</v>
          </cell>
          <cell r="R361" t="e">
            <v>#N/A</v>
          </cell>
        </row>
        <row r="362">
          <cell r="A362">
            <v>40494</v>
          </cell>
          <cell r="B362">
            <v>40494</v>
          </cell>
          <cell r="C362" t="str">
            <v>Past</v>
          </cell>
          <cell r="D362">
            <v>13.78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13.78</v>
          </cell>
          <cell r="Q362">
            <v>2.466567</v>
          </cell>
          <cell r="R362" t="e">
            <v>#N/A</v>
          </cell>
        </row>
        <row r="363">
          <cell r="A363">
            <v>40497</v>
          </cell>
          <cell r="B363">
            <v>40497</v>
          </cell>
          <cell r="C363" t="str">
            <v>Past</v>
          </cell>
          <cell r="D363">
            <v>13.86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13.86</v>
          </cell>
          <cell r="Q363">
            <v>1.445506</v>
          </cell>
          <cell r="R363" t="e">
            <v>#N/A</v>
          </cell>
        </row>
        <row r="364">
          <cell r="A364">
            <v>40498</v>
          </cell>
          <cell r="B364">
            <v>40498</v>
          </cell>
          <cell r="C364" t="str">
            <v>Past</v>
          </cell>
          <cell r="D364">
            <v>13.58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13.58</v>
          </cell>
          <cell r="Q364">
            <v>2.116126</v>
          </cell>
          <cell r="R364" t="e">
            <v>#N/A</v>
          </cell>
        </row>
        <row r="365">
          <cell r="A365">
            <v>40499</v>
          </cell>
          <cell r="B365">
            <v>40499</v>
          </cell>
          <cell r="C365" t="str">
            <v>Past</v>
          </cell>
          <cell r="D365">
            <v>13.57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13.57</v>
          </cell>
          <cell r="Q365">
            <v>1.1772229999999999</v>
          </cell>
          <cell r="R365" t="e">
            <v>#N/A</v>
          </cell>
        </row>
        <row r="366">
          <cell r="A366">
            <v>40500</v>
          </cell>
          <cell r="B366">
            <v>40500</v>
          </cell>
          <cell r="C366" t="str">
            <v>Past</v>
          </cell>
          <cell r="D366">
            <v>13.69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13.69</v>
          </cell>
          <cell r="Q366">
            <v>0.73825699999999994</v>
          </cell>
          <cell r="R366" t="e">
            <v>#N/A</v>
          </cell>
        </row>
        <row r="367">
          <cell r="A367">
            <v>40501</v>
          </cell>
          <cell r="B367">
            <v>40501</v>
          </cell>
          <cell r="C367" t="str">
            <v>Past</v>
          </cell>
          <cell r="D367">
            <v>13.71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13.71</v>
          </cell>
          <cell r="Q367">
            <v>0.69165399999999999</v>
          </cell>
          <cell r="R367" t="e">
            <v>#N/A</v>
          </cell>
        </row>
        <row r="368">
          <cell r="A368">
            <v>40504</v>
          </cell>
          <cell r="B368">
            <v>40504</v>
          </cell>
          <cell r="C368" t="str">
            <v>Past</v>
          </cell>
          <cell r="D368">
            <v>13.9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13.9</v>
          </cell>
          <cell r="Q368">
            <v>1.7465309999999998</v>
          </cell>
          <cell r="R368" t="e">
            <v>#N/A</v>
          </cell>
        </row>
        <row r="369">
          <cell r="A369">
            <v>40505</v>
          </cell>
          <cell r="B369">
            <v>40505</v>
          </cell>
          <cell r="C369" t="str">
            <v>Past</v>
          </cell>
          <cell r="D369">
            <v>13.77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13.77</v>
          </cell>
          <cell r="Q369">
            <v>1.594803</v>
          </cell>
          <cell r="R369" t="e">
            <v>#N/A</v>
          </cell>
        </row>
        <row r="370">
          <cell r="A370">
            <v>40506</v>
          </cell>
          <cell r="B370">
            <v>40506</v>
          </cell>
          <cell r="C370" t="str">
            <v>Past</v>
          </cell>
          <cell r="D370">
            <v>13.92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13.92</v>
          </cell>
          <cell r="Q370">
            <v>1.474548</v>
          </cell>
          <cell r="R370" t="e">
            <v>#N/A</v>
          </cell>
        </row>
        <row r="371">
          <cell r="A371">
            <v>40508</v>
          </cell>
          <cell r="B371">
            <v>40508</v>
          </cell>
          <cell r="C371" t="str">
            <v>Past</v>
          </cell>
          <cell r="D371">
            <v>13.83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13.83</v>
          </cell>
          <cell r="Q371">
            <v>0.74225599999999992</v>
          </cell>
          <cell r="R371" t="e">
            <v>#N/A</v>
          </cell>
        </row>
        <row r="372">
          <cell r="A372">
            <v>40511</v>
          </cell>
          <cell r="B372">
            <v>40511</v>
          </cell>
          <cell r="C372" t="str">
            <v>Past</v>
          </cell>
          <cell r="D372">
            <v>13.7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13.7</v>
          </cell>
          <cell r="Q372">
            <v>1.363807</v>
          </cell>
          <cell r="R372" t="e">
            <v>#N/A</v>
          </cell>
        </row>
        <row r="373">
          <cell r="A373">
            <v>40512</v>
          </cell>
          <cell r="B373">
            <v>40512</v>
          </cell>
          <cell r="C373" t="str">
            <v>Past</v>
          </cell>
          <cell r="D373">
            <v>13.69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13.69</v>
          </cell>
          <cell r="Q373">
            <v>1.213838</v>
          </cell>
          <cell r="R373" t="e">
            <v>#N/A</v>
          </cell>
        </row>
        <row r="374">
          <cell r="A374">
            <v>40513</v>
          </cell>
          <cell r="B374">
            <v>40513</v>
          </cell>
          <cell r="C374" t="str">
            <v>Past</v>
          </cell>
          <cell r="D374">
            <v>13.89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13.89</v>
          </cell>
          <cell r="Q374">
            <v>1.3721729999999999</v>
          </cell>
          <cell r="R374" t="e">
            <v>#N/A</v>
          </cell>
        </row>
        <row r="375">
          <cell r="A375">
            <v>40514</v>
          </cell>
          <cell r="B375">
            <v>40514</v>
          </cell>
          <cell r="C375" t="str">
            <v>Past</v>
          </cell>
          <cell r="D375">
            <v>13.94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13.94</v>
          </cell>
          <cell r="Q375">
            <v>1.5730659999999999</v>
          </cell>
          <cell r="R375" t="e">
            <v>#N/A</v>
          </cell>
        </row>
        <row r="376">
          <cell r="A376">
            <v>40515</v>
          </cell>
          <cell r="B376">
            <v>40515</v>
          </cell>
          <cell r="C376" t="str">
            <v>Past</v>
          </cell>
          <cell r="D376">
            <v>13.92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13.92</v>
          </cell>
          <cell r="Q376">
            <v>1.3870339999999999</v>
          </cell>
          <cell r="R376" t="e">
            <v>#N/A</v>
          </cell>
        </row>
        <row r="377">
          <cell r="A377">
            <v>40518</v>
          </cell>
          <cell r="B377">
            <v>40518</v>
          </cell>
          <cell r="C377" t="str">
            <v>Past</v>
          </cell>
          <cell r="D377">
            <v>13.9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13.9</v>
          </cell>
          <cell r="Q377">
            <v>0.99063099999999993</v>
          </cell>
          <cell r="R377" t="e">
            <v>#N/A</v>
          </cell>
        </row>
        <row r="378">
          <cell r="A378">
            <v>40519</v>
          </cell>
          <cell r="B378">
            <v>40519</v>
          </cell>
          <cell r="C378" t="str">
            <v>Past</v>
          </cell>
          <cell r="D378">
            <v>13.85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13.85</v>
          </cell>
          <cell r="Q378">
            <v>1.4670259999999999</v>
          </cell>
          <cell r="R378" t="e">
            <v>#N/A</v>
          </cell>
        </row>
        <row r="379">
          <cell r="A379">
            <v>40520</v>
          </cell>
          <cell r="B379">
            <v>40520</v>
          </cell>
          <cell r="C379" t="str">
            <v>Past</v>
          </cell>
          <cell r="D379">
            <v>13.68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13.68</v>
          </cell>
          <cell r="Q379">
            <v>1.306387</v>
          </cell>
          <cell r="R379" t="e">
            <v>#N/A</v>
          </cell>
        </row>
        <row r="380">
          <cell r="A380">
            <v>40521</v>
          </cell>
          <cell r="B380">
            <v>40521</v>
          </cell>
          <cell r="C380" t="str">
            <v>Past</v>
          </cell>
          <cell r="D380">
            <v>13.76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13.76</v>
          </cell>
          <cell r="Q380">
            <v>1.0436049999999999</v>
          </cell>
          <cell r="R380" t="e">
            <v>#N/A</v>
          </cell>
        </row>
        <row r="381">
          <cell r="A381">
            <v>40522</v>
          </cell>
          <cell r="B381">
            <v>40522</v>
          </cell>
          <cell r="C381" t="str">
            <v>Past</v>
          </cell>
          <cell r="D381">
            <v>13.85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13.85</v>
          </cell>
          <cell r="Q381">
            <v>0.75632599999999994</v>
          </cell>
          <cell r="R381" t="e">
            <v>#N/A</v>
          </cell>
        </row>
        <row r="382">
          <cell r="A382">
            <v>40525</v>
          </cell>
          <cell r="B382">
            <v>40525</v>
          </cell>
          <cell r="C382" t="str">
            <v>Past</v>
          </cell>
          <cell r="D382">
            <v>13.92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13.92</v>
          </cell>
          <cell r="Q382">
            <v>1.0436159999999999</v>
          </cell>
          <cell r="R382" t="e">
            <v>#N/A</v>
          </cell>
        </row>
        <row r="383">
          <cell r="A383">
            <v>40526</v>
          </cell>
          <cell r="B383">
            <v>40526</v>
          </cell>
          <cell r="C383" t="str">
            <v>Past</v>
          </cell>
          <cell r="D383">
            <v>13.99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13.99</v>
          </cell>
          <cell r="Q383">
            <v>1.1892600000000002</v>
          </cell>
          <cell r="R383" t="e">
            <v>#N/A</v>
          </cell>
        </row>
        <row r="384">
          <cell r="A384">
            <v>40527</v>
          </cell>
          <cell r="B384">
            <v>40527</v>
          </cell>
          <cell r="C384" t="str">
            <v>Past</v>
          </cell>
          <cell r="D384">
            <v>13.75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13.75</v>
          </cell>
          <cell r="Q384">
            <v>1.3205</v>
          </cell>
          <cell r="R384" t="e">
            <v>#N/A</v>
          </cell>
        </row>
        <row r="385">
          <cell r="A385">
            <v>40528</v>
          </cell>
          <cell r="B385">
            <v>40528</v>
          </cell>
          <cell r="C385" t="str">
            <v>Past</v>
          </cell>
          <cell r="D385">
            <v>14.08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14.08</v>
          </cell>
          <cell r="Q385">
            <v>1.730621</v>
          </cell>
          <cell r="R385" t="e">
            <v>#N/A</v>
          </cell>
        </row>
        <row r="386">
          <cell r="A386">
            <v>40529</v>
          </cell>
          <cell r="B386">
            <v>40529</v>
          </cell>
          <cell r="C386" t="str">
            <v>Past</v>
          </cell>
          <cell r="D386">
            <v>14.28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14.28</v>
          </cell>
          <cell r="Q386">
            <v>2.4079000000000002</v>
          </cell>
          <cell r="R386" t="e">
            <v>#N/A</v>
          </cell>
        </row>
        <row r="387">
          <cell r="A387">
            <v>40532</v>
          </cell>
          <cell r="B387">
            <v>40532</v>
          </cell>
          <cell r="C387" t="str">
            <v>Past</v>
          </cell>
          <cell r="D387">
            <v>14.29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14.29</v>
          </cell>
          <cell r="Q387">
            <v>1.9979749999999998</v>
          </cell>
          <cell r="R387" t="e">
            <v>#N/A</v>
          </cell>
        </row>
        <row r="388">
          <cell r="A388">
            <v>40533</v>
          </cell>
          <cell r="B388">
            <v>40533</v>
          </cell>
          <cell r="C388" t="str">
            <v>Past</v>
          </cell>
          <cell r="D388">
            <v>14.25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14.25</v>
          </cell>
          <cell r="Q388">
            <v>1.2516749999999999</v>
          </cell>
          <cell r="R388" t="e">
            <v>#N/A</v>
          </cell>
        </row>
        <row r="389">
          <cell r="A389">
            <v>40534</v>
          </cell>
          <cell r="B389">
            <v>40534</v>
          </cell>
          <cell r="C389" t="str">
            <v>Past</v>
          </cell>
          <cell r="D389">
            <v>14.28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14.28</v>
          </cell>
          <cell r="Q389">
            <v>0.79402699999999993</v>
          </cell>
          <cell r="R389" t="e">
            <v>#N/A</v>
          </cell>
        </row>
        <row r="390">
          <cell r="A390">
            <v>40535</v>
          </cell>
          <cell r="B390">
            <v>40535</v>
          </cell>
          <cell r="C390" t="str">
            <v>Past</v>
          </cell>
          <cell r="D390">
            <v>14.18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14.18</v>
          </cell>
          <cell r="Q390">
            <v>0.76441799999999993</v>
          </cell>
          <cell r="R390" t="e">
            <v>#N/A</v>
          </cell>
        </row>
        <row r="391">
          <cell r="A391">
            <v>40539</v>
          </cell>
          <cell r="B391">
            <v>40539</v>
          </cell>
          <cell r="C391" t="str">
            <v>Past</v>
          </cell>
          <cell r="D391">
            <v>14.08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14.08</v>
          </cell>
          <cell r="Q391">
            <v>0.87445699999999993</v>
          </cell>
          <cell r="R391" t="e">
            <v>#N/A</v>
          </cell>
        </row>
        <row r="392">
          <cell r="A392">
            <v>40540</v>
          </cell>
          <cell r="B392">
            <v>40540</v>
          </cell>
          <cell r="C392" t="str">
            <v>Past</v>
          </cell>
          <cell r="D392">
            <v>14.11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14.11</v>
          </cell>
          <cell r="Q392">
            <v>0.879606</v>
          </cell>
          <cell r="R392" t="e">
            <v>#N/A</v>
          </cell>
        </row>
        <row r="393">
          <cell r="A393">
            <v>40541</v>
          </cell>
          <cell r="B393">
            <v>40541</v>
          </cell>
          <cell r="C393" t="str">
            <v>Past</v>
          </cell>
          <cell r="D393">
            <v>14.03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14.03</v>
          </cell>
          <cell r="Q393">
            <v>0.75955799999999996</v>
          </cell>
          <cell r="R393" t="e">
            <v>#N/A</v>
          </cell>
        </row>
        <row r="394">
          <cell r="A394">
            <v>40542</v>
          </cell>
          <cell r="B394">
            <v>40542</v>
          </cell>
          <cell r="C394" t="str">
            <v>Past</v>
          </cell>
          <cell r="D394">
            <v>14.07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14.07</v>
          </cell>
          <cell r="Q394">
            <v>0.94450699999999999</v>
          </cell>
          <cell r="R394" t="e">
            <v>#N/A</v>
          </cell>
        </row>
        <row r="395">
          <cell r="A395">
            <v>40543</v>
          </cell>
          <cell r="B395">
            <v>40543</v>
          </cell>
          <cell r="C395" t="str">
            <v>Past</v>
          </cell>
          <cell r="D395">
            <v>14.05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14.05</v>
          </cell>
          <cell r="Q395">
            <v>1.224086</v>
          </cell>
          <cell r="R395" t="e">
            <v>#N/A</v>
          </cell>
        </row>
        <row r="396">
          <cell r="A396">
            <v>40546</v>
          </cell>
          <cell r="B396">
            <v>40546</v>
          </cell>
          <cell r="C396" t="str">
            <v>Past</v>
          </cell>
          <cell r="D396">
            <v>14.06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14.06</v>
          </cell>
          <cell r="Q396">
            <v>1.7396849999999999</v>
          </cell>
          <cell r="R396" t="e">
            <v>#N/A</v>
          </cell>
        </row>
        <row r="397">
          <cell r="A397">
            <v>40547</v>
          </cell>
          <cell r="B397">
            <v>40547</v>
          </cell>
          <cell r="C397" t="str">
            <v>Past</v>
          </cell>
          <cell r="D397">
            <v>14.08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14.08</v>
          </cell>
          <cell r="Q397">
            <v>2.190725</v>
          </cell>
          <cell r="R397" t="e">
            <v>#N/A</v>
          </cell>
        </row>
        <row r="398">
          <cell r="A398">
            <v>40548</v>
          </cell>
          <cell r="B398">
            <v>40548</v>
          </cell>
          <cell r="C398" t="str">
            <v>Past</v>
          </cell>
          <cell r="D398">
            <v>13.93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13.93</v>
          </cell>
          <cell r="Q398">
            <v>1.9877959999999999</v>
          </cell>
          <cell r="R398" t="e">
            <v>#N/A</v>
          </cell>
        </row>
        <row r="399">
          <cell r="A399">
            <v>40549</v>
          </cell>
          <cell r="B399">
            <v>40549</v>
          </cell>
          <cell r="C399" t="str">
            <v>Past</v>
          </cell>
          <cell r="D399">
            <v>14.11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14.11</v>
          </cell>
          <cell r="Q399">
            <v>1.7270289999999999</v>
          </cell>
          <cell r="R399" t="e">
            <v>#N/A</v>
          </cell>
        </row>
        <row r="400">
          <cell r="A400">
            <v>40550</v>
          </cell>
          <cell r="B400">
            <v>40550</v>
          </cell>
          <cell r="C400" t="str">
            <v>Past</v>
          </cell>
          <cell r="D400">
            <v>14.37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14.37</v>
          </cell>
          <cell r="Q400">
            <v>3.0117249999999998</v>
          </cell>
          <cell r="R400" t="e">
            <v>#N/A</v>
          </cell>
        </row>
        <row r="401">
          <cell r="A401">
            <v>40553</v>
          </cell>
          <cell r="B401">
            <v>40553</v>
          </cell>
          <cell r="C401" t="str">
            <v>Past</v>
          </cell>
          <cell r="D401">
            <v>14.61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14.61</v>
          </cell>
          <cell r="Q401">
            <v>4.0006430000000002</v>
          </cell>
          <cell r="R401" t="e">
            <v>#N/A</v>
          </cell>
        </row>
        <row r="402">
          <cell r="A402">
            <v>40554</v>
          </cell>
          <cell r="B402">
            <v>40554</v>
          </cell>
          <cell r="C402" t="str">
            <v>Past</v>
          </cell>
          <cell r="D402">
            <v>14.51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14.51</v>
          </cell>
          <cell r="Q402">
            <v>4.0806439999999995</v>
          </cell>
          <cell r="R402" t="e">
            <v>#N/A</v>
          </cell>
        </row>
        <row r="403">
          <cell r="A403">
            <v>40555</v>
          </cell>
          <cell r="B403">
            <v>40555</v>
          </cell>
          <cell r="C403" t="str">
            <v>Past</v>
          </cell>
          <cell r="D403">
            <v>14.43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14.43</v>
          </cell>
          <cell r="Q403">
            <v>2.0791939999999998</v>
          </cell>
          <cell r="R403" t="e">
            <v>#N/A</v>
          </cell>
        </row>
        <row r="404">
          <cell r="A404">
            <v>40556</v>
          </cell>
          <cell r="B404">
            <v>40556</v>
          </cell>
          <cell r="C404" t="str">
            <v>Past</v>
          </cell>
          <cell r="D404">
            <v>14.36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14.36</v>
          </cell>
          <cell r="Q404">
            <v>1.522567</v>
          </cell>
          <cell r="R404" t="e">
            <v>#N/A</v>
          </cell>
        </row>
        <row r="405">
          <cell r="A405">
            <v>40557</v>
          </cell>
          <cell r="B405">
            <v>40557</v>
          </cell>
          <cell r="C405" t="str">
            <v>Past</v>
          </cell>
          <cell r="D405">
            <v>14.27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14.27</v>
          </cell>
          <cell r="Q405">
            <v>2.7702709999999997</v>
          </cell>
          <cell r="R405" t="e">
            <v>#N/A</v>
          </cell>
        </row>
        <row r="406">
          <cell r="A406">
            <v>40561</v>
          </cell>
          <cell r="B406">
            <v>40561</v>
          </cell>
          <cell r="C406" t="str">
            <v>Past</v>
          </cell>
          <cell r="D406">
            <v>14.38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14.38</v>
          </cell>
          <cell r="Q406">
            <v>2.0298439999999998</v>
          </cell>
          <cell r="R406" t="e">
            <v>#N/A</v>
          </cell>
        </row>
        <row r="407">
          <cell r="A407">
            <v>40562</v>
          </cell>
          <cell r="B407">
            <v>40562</v>
          </cell>
          <cell r="C407" t="str">
            <v>Past</v>
          </cell>
          <cell r="D407">
            <v>14.21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14.21</v>
          </cell>
          <cell r="Q407">
            <v>3.6351309999999999</v>
          </cell>
          <cell r="R407" t="e">
            <v>#N/A</v>
          </cell>
        </row>
        <row r="408">
          <cell r="A408">
            <v>40563</v>
          </cell>
          <cell r="B408">
            <v>40563</v>
          </cell>
          <cell r="C408" t="str">
            <v>Past</v>
          </cell>
          <cell r="D408">
            <v>14.19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14.19</v>
          </cell>
          <cell r="Q408">
            <v>3.5365069999999998</v>
          </cell>
          <cell r="R408" t="e">
            <v>#N/A</v>
          </cell>
        </row>
        <row r="409">
          <cell r="A409">
            <v>40564</v>
          </cell>
          <cell r="B409">
            <v>40564</v>
          </cell>
          <cell r="C409" t="str">
            <v>Past</v>
          </cell>
          <cell r="D409">
            <v>14.25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14.25</v>
          </cell>
          <cell r="Q409">
            <v>2.2865470000000001</v>
          </cell>
          <cell r="R409" t="e">
            <v>#N/A</v>
          </cell>
        </row>
        <row r="410">
          <cell r="A410">
            <v>40567</v>
          </cell>
          <cell r="B410">
            <v>40567</v>
          </cell>
          <cell r="C410" t="str">
            <v>Past</v>
          </cell>
          <cell r="D410">
            <v>14.49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14.49</v>
          </cell>
          <cell r="Q410">
            <v>2.6884429999999999</v>
          </cell>
          <cell r="R410" t="e">
            <v>#N/A</v>
          </cell>
        </row>
        <row r="411">
          <cell r="A411">
            <v>40568</v>
          </cell>
          <cell r="B411">
            <v>40568</v>
          </cell>
          <cell r="C411" t="str">
            <v>Past</v>
          </cell>
          <cell r="D411">
            <v>14.43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14.43</v>
          </cell>
          <cell r="Q411">
            <v>2.0426500000000001</v>
          </cell>
          <cell r="R411" t="e">
            <v>#N/A</v>
          </cell>
        </row>
        <row r="412">
          <cell r="A412">
            <v>40569</v>
          </cell>
          <cell r="B412">
            <v>40569</v>
          </cell>
          <cell r="C412" t="str">
            <v>Past</v>
          </cell>
          <cell r="D412">
            <v>14.39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14.39</v>
          </cell>
          <cell r="Q412">
            <v>1.254094</v>
          </cell>
          <cell r="R412" t="e">
            <v>#N/A</v>
          </cell>
        </row>
        <row r="413">
          <cell r="A413">
            <v>40570</v>
          </cell>
          <cell r="B413">
            <v>40570</v>
          </cell>
          <cell r="C413" t="str">
            <v>Past</v>
          </cell>
          <cell r="D413">
            <v>14.54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14.54</v>
          </cell>
          <cell r="Q413">
            <v>2.1760169999999999</v>
          </cell>
          <cell r="R413" t="e">
            <v>#N/A</v>
          </cell>
        </row>
        <row r="414">
          <cell r="A414">
            <v>40571</v>
          </cell>
          <cell r="B414">
            <v>40571</v>
          </cell>
          <cell r="C414" t="str">
            <v>Past</v>
          </cell>
          <cell r="D414">
            <v>14.37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14.37</v>
          </cell>
          <cell r="Q414">
            <v>1.1273309999999999</v>
          </cell>
          <cell r="R414" t="e">
            <v>#N/A</v>
          </cell>
        </row>
        <row r="415">
          <cell r="A415">
            <v>40574</v>
          </cell>
          <cell r="B415">
            <v>40574</v>
          </cell>
          <cell r="C415" t="str">
            <v>Past</v>
          </cell>
          <cell r="D415">
            <v>14.37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14.37</v>
          </cell>
          <cell r="Q415">
            <v>2.4396409999999999</v>
          </cell>
          <cell r="R415" t="e">
            <v>#N/A</v>
          </cell>
        </row>
        <row r="416">
          <cell r="A416">
            <v>40575</v>
          </cell>
          <cell r="B416">
            <v>40575</v>
          </cell>
          <cell r="C416" t="str">
            <v>Past</v>
          </cell>
          <cell r="D416">
            <v>14.65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14.65</v>
          </cell>
          <cell r="Q416">
            <v>1.3703000000000001</v>
          </cell>
          <cell r="R416" t="e">
            <v>#N/A</v>
          </cell>
        </row>
        <row r="417">
          <cell r="A417">
            <v>40576</v>
          </cell>
          <cell r="B417">
            <v>40576</v>
          </cell>
          <cell r="C417" t="str">
            <v>Past</v>
          </cell>
          <cell r="D417">
            <v>14.55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14.55</v>
          </cell>
          <cell r="Q417">
            <v>0.97767199999999999</v>
          </cell>
          <cell r="R417" t="e">
            <v>#N/A</v>
          </cell>
        </row>
        <row r="418">
          <cell r="A418">
            <v>40577</v>
          </cell>
          <cell r="B418">
            <v>40577</v>
          </cell>
          <cell r="C418" t="str">
            <v>Past</v>
          </cell>
          <cell r="D418">
            <v>14.55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14.55</v>
          </cell>
          <cell r="Q418">
            <v>1.0440859999999998</v>
          </cell>
          <cell r="R418" t="e">
            <v>#N/A</v>
          </cell>
        </row>
        <row r="419">
          <cell r="A419">
            <v>40578</v>
          </cell>
          <cell r="B419">
            <v>40578</v>
          </cell>
          <cell r="C419" t="str">
            <v>Past</v>
          </cell>
          <cell r="D419">
            <v>14.47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14.47</v>
          </cell>
          <cell r="Q419">
            <v>0.59531299999999998</v>
          </cell>
          <cell r="R419" t="e">
            <v>#N/A</v>
          </cell>
        </row>
        <row r="420">
          <cell r="A420">
            <v>40581</v>
          </cell>
          <cell r="B420">
            <v>40581</v>
          </cell>
          <cell r="C420" t="str">
            <v>Past</v>
          </cell>
          <cell r="D420">
            <v>14.54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14.54</v>
          </cell>
          <cell r="Q420">
            <v>0.78476099999999993</v>
          </cell>
          <cell r="R420" t="e">
            <v>#N/A</v>
          </cell>
        </row>
        <row r="421">
          <cell r="A421">
            <v>40582</v>
          </cell>
          <cell r="B421">
            <v>40582</v>
          </cell>
          <cell r="C421" t="str">
            <v>Past</v>
          </cell>
          <cell r="D421">
            <v>14.53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14.53</v>
          </cell>
          <cell r="Q421">
            <v>1.0100449999999999</v>
          </cell>
          <cell r="R421" t="e">
            <v>#N/A</v>
          </cell>
        </row>
        <row r="422">
          <cell r="A422">
            <v>40583</v>
          </cell>
          <cell r="B422">
            <v>40583</v>
          </cell>
          <cell r="C422" t="str">
            <v>Past</v>
          </cell>
          <cell r="D422">
            <v>14.51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14.51</v>
          </cell>
          <cell r="Q422">
            <v>1.1109639999999998</v>
          </cell>
          <cell r="R422" t="e">
            <v>#N/A</v>
          </cell>
        </row>
        <row r="423">
          <cell r="A423">
            <v>40584</v>
          </cell>
          <cell r="B423">
            <v>40584</v>
          </cell>
          <cell r="C423" t="str">
            <v>Past</v>
          </cell>
          <cell r="D423">
            <v>14.61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14.61</v>
          </cell>
          <cell r="Q423">
            <v>1.1675180000000001</v>
          </cell>
          <cell r="R423" t="e">
            <v>#N/A</v>
          </cell>
        </row>
        <row r="424">
          <cell r="A424">
            <v>40585</v>
          </cell>
          <cell r="B424">
            <v>40585</v>
          </cell>
          <cell r="C424" t="str">
            <v>Past</v>
          </cell>
          <cell r="D424">
            <v>14.59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14.59</v>
          </cell>
          <cell r="Q424">
            <v>1.118268</v>
          </cell>
          <cell r="R424" t="e">
            <v>#N/A</v>
          </cell>
        </row>
        <row r="425">
          <cell r="A425">
            <v>40588</v>
          </cell>
          <cell r="B425">
            <v>40588</v>
          </cell>
          <cell r="C425" t="str">
            <v>Past</v>
          </cell>
          <cell r="D425">
            <v>14.58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14.58</v>
          </cell>
          <cell r="Q425">
            <v>1.7586619999999999</v>
          </cell>
          <cell r="R425" t="e">
            <v>#N/A</v>
          </cell>
        </row>
        <row r="426">
          <cell r="A426">
            <v>40589</v>
          </cell>
          <cell r="B426">
            <v>40589</v>
          </cell>
          <cell r="C426" t="str">
            <v>Past</v>
          </cell>
          <cell r="D426">
            <v>14.68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14.68</v>
          </cell>
          <cell r="Q426">
            <v>1.2413719999999999</v>
          </cell>
          <cell r="R426" t="e">
            <v>#N/A</v>
          </cell>
        </row>
        <row r="427">
          <cell r="A427">
            <v>40590</v>
          </cell>
          <cell r="B427">
            <v>40590</v>
          </cell>
          <cell r="C427" t="str">
            <v>Past</v>
          </cell>
          <cell r="D427">
            <v>14.74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14.74</v>
          </cell>
          <cell r="Q427">
            <v>1.006011</v>
          </cell>
          <cell r="R427" t="e">
            <v>#N/A</v>
          </cell>
        </row>
        <row r="428">
          <cell r="A428">
            <v>40591</v>
          </cell>
          <cell r="B428">
            <v>40591</v>
          </cell>
          <cell r="C428" t="str">
            <v>Past</v>
          </cell>
          <cell r="D428">
            <v>14.78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14.78</v>
          </cell>
          <cell r="Q428">
            <v>1.5522549999999999</v>
          </cell>
          <cell r="R428" t="e">
            <v>#N/A</v>
          </cell>
        </row>
        <row r="429">
          <cell r="A429">
            <v>40592</v>
          </cell>
          <cell r="B429">
            <v>40592</v>
          </cell>
          <cell r="C429" t="str">
            <v>Past</v>
          </cell>
          <cell r="D429">
            <v>14.92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14.92</v>
          </cell>
          <cell r="Q429">
            <v>3.2853879999999998</v>
          </cell>
          <cell r="R429" t="e">
            <v>#N/A</v>
          </cell>
        </row>
        <row r="430">
          <cell r="A430">
            <v>40596</v>
          </cell>
          <cell r="B430">
            <v>40596</v>
          </cell>
          <cell r="C430" t="str">
            <v>Past</v>
          </cell>
          <cell r="D430">
            <v>14.86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14.86</v>
          </cell>
          <cell r="Q430">
            <v>1.7888649999999999</v>
          </cell>
          <cell r="R430" t="e">
            <v>#N/A</v>
          </cell>
        </row>
        <row r="431">
          <cell r="A431">
            <v>40597</v>
          </cell>
          <cell r="B431">
            <v>40597</v>
          </cell>
          <cell r="C431" t="str">
            <v>Past</v>
          </cell>
          <cell r="D431">
            <v>14.69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14.69</v>
          </cell>
          <cell r="Q431">
            <v>1.544481</v>
          </cell>
          <cell r="R431" t="e">
            <v>#N/A</v>
          </cell>
        </row>
        <row r="432">
          <cell r="A432">
            <v>40598</v>
          </cell>
          <cell r="B432">
            <v>40598</v>
          </cell>
          <cell r="C432" t="str">
            <v>Past</v>
          </cell>
          <cell r="D432">
            <v>14.56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14.56</v>
          </cell>
          <cell r="Q432">
            <v>1.3997700000000002</v>
          </cell>
          <cell r="R432" t="e">
            <v>#N/A</v>
          </cell>
        </row>
        <row r="433">
          <cell r="A433">
            <v>40599</v>
          </cell>
          <cell r="B433">
            <v>40599</v>
          </cell>
          <cell r="C433" t="str">
            <v>Past</v>
          </cell>
          <cell r="D433">
            <v>14.63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14.63</v>
          </cell>
          <cell r="Q433">
            <v>1.2756859999999999</v>
          </cell>
          <cell r="R433" t="e">
            <v>#N/A</v>
          </cell>
        </row>
        <row r="434">
          <cell r="A434">
            <v>40602</v>
          </cell>
          <cell r="B434">
            <v>40602</v>
          </cell>
          <cell r="C434" t="str">
            <v>Past</v>
          </cell>
          <cell r="D434">
            <v>14.69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14.69</v>
          </cell>
          <cell r="Q434">
            <v>1.8974500000000001</v>
          </cell>
          <cell r="R434" t="e">
            <v>#N/A</v>
          </cell>
        </row>
        <row r="435">
          <cell r="A435">
            <v>40603</v>
          </cell>
          <cell r="B435">
            <v>40603</v>
          </cell>
          <cell r="C435" t="str">
            <v>Past</v>
          </cell>
          <cell r="D435">
            <v>14.55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14.55</v>
          </cell>
          <cell r="Q435">
            <v>1.179567</v>
          </cell>
          <cell r="R435" t="e">
            <v>#N/A</v>
          </cell>
        </row>
        <row r="436">
          <cell r="A436">
            <v>40604</v>
          </cell>
          <cell r="B436">
            <v>40604</v>
          </cell>
          <cell r="C436" t="str">
            <v>Past</v>
          </cell>
          <cell r="D436">
            <v>14.64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14.64</v>
          </cell>
          <cell r="Q436">
            <v>1.235517</v>
          </cell>
          <cell r="R436" t="e">
            <v>#N/A</v>
          </cell>
        </row>
        <row r="437">
          <cell r="A437">
            <v>40605</v>
          </cell>
          <cell r="B437">
            <v>40605</v>
          </cell>
          <cell r="C437" t="str">
            <v>Past</v>
          </cell>
          <cell r="D437">
            <v>14.83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14.83</v>
          </cell>
          <cell r="Q437">
            <v>1.411872</v>
          </cell>
          <cell r="R437" t="e">
            <v>#N/A</v>
          </cell>
        </row>
        <row r="438">
          <cell r="A438">
            <v>40606</v>
          </cell>
          <cell r="B438">
            <v>40606</v>
          </cell>
          <cell r="C438" t="str">
            <v>Past</v>
          </cell>
          <cell r="D438">
            <v>14.68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14.68</v>
          </cell>
          <cell r="Q438">
            <v>0.85889299999999991</v>
          </cell>
          <cell r="R438" t="e">
            <v>#N/A</v>
          </cell>
        </row>
        <row r="439">
          <cell r="A439">
            <v>40609</v>
          </cell>
          <cell r="B439">
            <v>40609</v>
          </cell>
          <cell r="C439" t="str">
            <v>Past</v>
          </cell>
          <cell r="D439">
            <v>14.7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14.7</v>
          </cell>
          <cell r="Q439">
            <v>1.3134239999999999</v>
          </cell>
          <cell r="R439" t="e">
            <v>#N/A</v>
          </cell>
        </row>
        <row r="440">
          <cell r="A440">
            <v>40610</v>
          </cell>
          <cell r="B440">
            <v>40610</v>
          </cell>
          <cell r="C440" t="str">
            <v>Past</v>
          </cell>
          <cell r="D440">
            <v>14.88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14.88</v>
          </cell>
          <cell r="Q440">
            <v>1.3189700000000002</v>
          </cell>
          <cell r="R440" t="e">
            <v>#N/A</v>
          </cell>
        </row>
        <row r="441">
          <cell r="A441">
            <v>40611</v>
          </cell>
          <cell r="B441">
            <v>40611</v>
          </cell>
          <cell r="C441" t="str">
            <v>Past</v>
          </cell>
          <cell r="D441">
            <v>14.91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14.91</v>
          </cell>
          <cell r="Q441">
            <v>1.1770129999999999</v>
          </cell>
          <cell r="R441" t="e">
            <v>#N/A</v>
          </cell>
        </row>
        <row r="442">
          <cell r="A442">
            <v>40612</v>
          </cell>
          <cell r="B442">
            <v>40612</v>
          </cell>
          <cell r="C442" t="str">
            <v>Past</v>
          </cell>
          <cell r="D442">
            <v>14.67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14.67</v>
          </cell>
          <cell r="Q442">
            <v>2.195319</v>
          </cell>
          <cell r="R442" t="e">
            <v>#N/A</v>
          </cell>
        </row>
        <row r="443">
          <cell r="A443">
            <v>40613</v>
          </cell>
          <cell r="B443">
            <v>40613</v>
          </cell>
          <cell r="C443" t="str">
            <v>Past</v>
          </cell>
          <cell r="D443">
            <v>14.83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14.83</v>
          </cell>
          <cell r="Q443">
            <v>2.5068239999999999</v>
          </cell>
          <cell r="R443" t="e">
            <v>#N/A</v>
          </cell>
        </row>
        <row r="444">
          <cell r="A444">
            <v>40616</v>
          </cell>
          <cell r="B444">
            <v>40616</v>
          </cell>
          <cell r="C444" t="str">
            <v>Past</v>
          </cell>
          <cell r="D444">
            <v>14.83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14.83</v>
          </cell>
          <cell r="Q444">
            <v>1.7697939999999999</v>
          </cell>
          <cell r="R444" t="e">
            <v>#N/A</v>
          </cell>
        </row>
        <row r="445">
          <cell r="A445">
            <v>40617</v>
          </cell>
          <cell r="B445">
            <v>40617</v>
          </cell>
          <cell r="C445" t="str">
            <v>Past</v>
          </cell>
          <cell r="D445">
            <v>14.54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14.54</v>
          </cell>
          <cell r="Q445">
            <v>1.7034609999999999</v>
          </cell>
          <cell r="R445" t="e">
            <v>#N/A</v>
          </cell>
        </row>
        <row r="446">
          <cell r="A446">
            <v>40618</v>
          </cell>
          <cell r="B446">
            <v>40618</v>
          </cell>
          <cell r="C446" t="str">
            <v>Past</v>
          </cell>
          <cell r="D446">
            <v>14.31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14.31</v>
          </cell>
          <cell r="Q446">
            <v>2.262054</v>
          </cell>
          <cell r="R446" t="e">
            <v>#N/A</v>
          </cell>
        </row>
        <row r="447">
          <cell r="A447">
            <v>40619</v>
          </cell>
          <cell r="B447">
            <v>40619</v>
          </cell>
          <cell r="C447" t="str">
            <v>Past</v>
          </cell>
          <cell r="D447">
            <v>14.33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14.33</v>
          </cell>
          <cell r="Q447">
            <v>1.7244809999999999</v>
          </cell>
          <cell r="R447" t="e">
            <v>#N/A</v>
          </cell>
        </row>
        <row r="448">
          <cell r="A448">
            <v>40620</v>
          </cell>
          <cell r="B448">
            <v>40620</v>
          </cell>
          <cell r="C448" t="str">
            <v>Past</v>
          </cell>
          <cell r="D448">
            <v>14.35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14.35</v>
          </cell>
          <cell r="Q448">
            <v>1.5717639999999999</v>
          </cell>
          <cell r="R448" t="e">
            <v>#N/A</v>
          </cell>
        </row>
        <row r="449">
          <cell r="A449">
            <v>40623</v>
          </cell>
          <cell r="B449">
            <v>40623</v>
          </cell>
          <cell r="C449" t="str">
            <v>Past</v>
          </cell>
          <cell r="D449">
            <v>14.68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14.68</v>
          </cell>
          <cell r="Q449">
            <v>1.8070109999999999</v>
          </cell>
          <cell r="R449" t="e">
            <v>#N/A</v>
          </cell>
        </row>
        <row r="450">
          <cell r="A450">
            <v>40624</v>
          </cell>
          <cell r="B450">
            <v>40624</v>
          </cell>
          <cell r="C450" t="str">
            <v>Past</v>
          </cell>
          <cell r="D450">
            <v>14.54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14.54</v>
          </cell>
          <cell r="Q450">
            <v>1.435576</v>
          </cell>
          <cell r="R450" t="e">
            <v>#N/A</v>
          </cell>
        </row>
        <row r="451">
          <cell r="A451">
            <v>40625</v>
          </cell>
          <cell r="B451">
            <v>40625</v>
          </cell>
          <cell r="C451" t="str">
            <v>Past</v>
          </cell>
          <cell r="D451">
            <v>14.49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14.49</v>
          </cell>
          <cell r="Q451">
            <v>1.24529</v>
          </cell>
          <cell r="R451" t="e">
            <v>#N/A</v>
          </cell>
        </row>
        <row r="452">
          <cell r="A452">
            <v>40626</v>
          </cell>
          <cell r="B452">
            <v>40626</v>
          </cell>
          <cell r="C452" t="str">
            <v>Past</v>
          </cell>
          <cell r="D452">
            <v>14.5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14.5</v>
          </cell>
          <cell r="Q452">
            <v>1.491544</v>
          </cell>
          <cell r="R452" t="e">
            <v>#N/A</v>
          </cell>
        </row>
        <row r="453">
          <cell r="A453">
            <v>40627</v>
          </cell>
          <cell r="B453">
            <v>40627</v>
          </cell>
          <cell r="C453" t="str">
            <v>Past</v>
          </cell>
          <cell r="D453">
            <v>14.58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14.58</v>
          </cell>
          <cell r="Q453">
            <v>1.252939</v>
          </cell>
          <cell r="R453" t="e">
            <v>#N/A</v>
          </cell>
        </row>
        <row r="454">
          <cell r="A454">
            <v>40630</v>
          </cell>
          <cell r="B454">
            <v>40630</v>
          </cell>
          <cell r="C454" t="str">
            <v>Past</v>
          </cell>
          <cell r="D454">
            <v>14.53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14.53</v>
          </cell>
          <cell r="Q454">
            <v>1.033458</v>
          </cell>
          <cell r="R454" t="e">
            <v>#N/A</v>
          </cell>
        </row>
        <row r="455">
          <cell r="A455">
            <v>40631</v>
          </cell>
          <cell r="B455">
            <v>40631</v>
          </cell>
          <cell r="C455" t="str">
            <v>Past</v>
          </cell>
          <cell r="D455">
            <v>14.7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14.7</v>
          </cell>
          <cell r="Q455">
            <v>1.3141769999999999</v>
          </cell>
          <cell r="R455" t="e">
            <v>#N/A</v>
          </cell>
        </row>
        <row r="456">
          <cell r="A456">
            <v>40632</v>
          </cell>
          <cell r="B456">
            <v>40632</v>
          </cell>
          <cell r="C456" t="str">
            <v>Past</v>
          </cell>
          <cell r="D456">
            <v>14.89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14.89</v>
          </cell>
          <cell r="Q456">
            <v>1.3115600000000001</v>
          </cell>
          <cell r="R456" t="e">
            <v>#N/A</v>
          </cell>
        </row>
        <row r="457">
          <cell r="A457">
            <v>40633</v>
          </cell>
          <cell r="B457">
            <v>40633</v>
          </cell>
          <cell r="C457" t="str">
            <v>Past</v>
          </cell>
          <cell r="D457">
            <v>14.89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14.89</v>
          </cell>
          <cell r="Q457">
            <v>0.96714199999999995</v>
          </cell>
          <cell r="R457" t="e">
            <v>#N/A</v>
          </cell>
        </row>
        <row r="458">
          <cell r="A458">
            <v>40634</v>
          </cell>
          <cell r="B458">
            <v>40634</v>
          </cell>
          <cell r="C458" t="str">
            <v>Past</v>
          </cell>
          <cell r="D458">
            <v>15.03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15.03</v>
          </cell>
          <cell r="Q458">
            <v>1.0310729999999999</v>
          </cell>
          <cell r="R458" t="e">
            <v>#N/A</v>
          </cell>
        </row>
        <row r="459">
          <cell r="A459">
            <v>40637</v>
          </cell>
          <cell r="B459">
            <v>40637</v>
          </cell>
          <cell r="C459" t="str">
            <v>Past</v>
          </cell>
          <cell r="D459">
            <v>15.07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15.07</v>
          </cell>
          <cell r="Q459">
            <v>1.8920779999999999</v>
          </cell>
          <cell r="R459" t="e">
            <v>#N/A</v>
          </cell>
        </row>
        <row r="460">
          <cell r="A460">
            <v>40638</v>
          </cell>
          <cell r="B460">
            <v>40638</v>
          </cell>
          <cell r="C460" t="str">
            <v>Past</v>
          </cell>
          <cell r="D460">
            <v>15.08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15.08</v>
          </cell>
          <cell r="Q460">
            <v>1.070727</v>
          </cell>
          <cell r="R460" t="e">
            <v>#N/A</v>
          </cell>
        </row>
        <row r="461">
          <cell r="A461">
            <v>40639</v>
          </cell>
          <cell r="B461">
            <v>40639</v>
          </cell>
          <cell r="C461" t="str">
            <v>Past</v>
          </cell>
          <cell r="D461">
            <v>15.22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15.22</v>
          </cell>
          <cell r="Q461">
            <v>2.4883349999999997</v>
          </cell>
          <cell r="R461" t="e">
            <v>#N/A</v>
          </cell>
        </row>
        <row r="462">
          <cell r="A462">
            <v>40640</v>
          </cell>
          <cell r="B462">
            <v>40640</v>
          </cell>
          <cell r="C462" t="str">
            <v>Past</v>
          </cell>
          <cell r="D462">
            <v>15.03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15.03</v>
          </cell>
          <cell r="Q462">
            <v>1.381759</v>
          </cell>
          <cell r="R462" t="e">
            <v>#N/A</v>
          </cell>
        </row>
        <row r="463">
          <cell r="A463">
            <v>40641</v>
          </cell>
          <cell r="B463">
            <v>40641</v>
          </cell>
          <cell r="C463" t="str">
            <v>Past</v>
          </cell>
          <cell r="D463">
            <v>15.03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15.03</v>
          </cell>
          <cell r="Q463">
            <v>1.7781319999999998</v>
          </cell>
          <cell r="R463" t="e">
            <v>#N/A</v>
          </cell>
        </row>
        <row r="464">
          <cell r="A464">
            <v>40644</v>
          </cell>
          <cell r="B464">
            <v>40644</v>
          </cell>
          <cell r="C464" t="str">
            <v>Past</v>
          </cell>
          <cell r="D464">
            <v>14.74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14.74</v>
          </cell>
          <cell r="Q464">
            <v>1.324306</v>
          </cell>
          <cell r="R464" t="e">
            <v>#N/A</v>
          </cell>
        </row>
        <row r="465">
          <cell r="A465">
            <v>40645</v>
          </cell>
          <cell r="B465">
            <v>40645</v>
          </cell>
          <cell r="C465" t="str">
            <v>Past</v>
          </cell>
          <cell r="D465">
            <v>14.64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14.64</v>
          </cell>
          <cell r="Q465">
            <v>0.74409799999999993</v>
          </cell>
          <cell r="R465" t="e">
            <v>#N/A</v>
          </cell>
        </row>
        <row r="466">
          <cell r="A466">
            <v>40646</v>
          </cell>
          <cell r="B466">
            <v>40646</v>
          </cell>
          <cell r="C466" t="str">
            <v>Past</v>
          </cell>
          <cell r="D466">
            <v>14.68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14.68</v>
          </cell>
          <cell r="Q466">
            <v>0.85418099999999997</v>
          </cell>
          <cell r="R466" t="e">
            <v>#N/A</v>
          </cell>
        </row>
        <row r="467">
          <cell r="A467">
            <v>40647</v>
          </cell>
          <cell r="B467">
            <v>40647</v>
          </cell>
          <cell r="C467" t="str">
            <v>Past</v>
          </cell>
          <cell r="D467">
            <v>14.78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14.78</v>
          </cell>
          <cell r="Q467">
            <v>0.80073699999999992</v>
          </cell>
          <cell r="R467" t="e">
            <v>#N/A</v>
          </cell>
        </row>
        <row r="468">
          <cell r="A468">
            <v>40648</v>
          </cell>
          <cell r="B468">
            <v>40648</v>
          </cell>
          <cell r="C468" t="str">
            <v>Past</v>
          </cell>
          <cell r="D468">
            <v>14.87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14.87</v>
          </cell>
          <cell r="Q468">
            <v>0.85800100000000001</v>
          </cell>
          <cell r="R468" t="e">
            <v>#N/A</v>
          </cell>
        </row>
        <row r="469">
          <cell r="A469">
            <v>40651</v>
          </cell>
          <cell r="B469">
            <v>40651</v>
          </cell>
          <cell r="C469" t="str">
            <v>Past</v>
          </cell>
          <cell r="D469">
            <v>14.66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14.66</v>
          </cell>
          <cell r="Q469">
            <v>1.6471739999999999</v>
          </cell>
          <cell r="R469" t="e">
            <v>#N/A</v>
          </cell>
        </row>
        <row r="470">
          <cell r="A470">
            <v>40652</v>
          </cell>
          <cell r="B470">
            <v>40652</v>
          </cell>
          <cell r="C470" t="str">
            <v>Past</v>
          </cell>
          <cell r="D470">
            <v>14.67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14.67</v>
          </cell>
          <cell r="Q470">
            <v>0.76988299999999998</v>
          </cell>
          <cell r="R470" t="e">
            <v>#N/A</v>
          </cell>
        </row>
        <row r="471">
          <cell r="A471">
            <v>40653</v>
          </cell>
          <cell r="B471">
            <v>40653</v>
          </cell>
          <cell r="C471" t="str">
            <v>Past</v>
          </cell>
          <cell r="D471">
            <v>14.87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14.87</v>
          </cell>
          <cell r="Q471">
            <v>1.3099069999999999</v>
          </cell>
          <cell r="R471" t="e">
            <v>#N/A</v>
          </cell>
        </row>
        <row r="472">
          <cell r="A472">
            <v>40654</v>
          </cell>
          <cell r="B472">
            <v>40654</v>
          </cell>
          <cell r="C472" t="str">
            <v>Past</v>
          </cell>
          <cell r="D472">
            <v>14.9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14.9</v>
          </cell>
          <cell r="Q472">
            <v>0.91618899999999992</v>
          </cell>
          <cell r="R472" t="e">
            <v>#N/A</v>
          </cell>
        </row>
        <row r="473">
          <cell r="A473">
            <v>40658</v>
          </cell>
          <cell r="B473">
            <v>40658</v>
          </cell>
          <cell r="C473" t="str">
            <v>Past</v>
          </cell>
          <cell r="D473">
            <v>14.89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14.89</v>
          </cell>
          <cell r="Q473">
            <v>0.50272499999999998</v>
          </cell>
          <cell r="R473" t="e">
            <v>#N/A</v>
          </cell>
        </row>
        <row r="474">
          <cell r="A474">
            <v>40659</v>
          </cell>
          <cell r="B474">
            <v>40659</v>
          </cell>
          <cell r="C474" t="str">
            <v>Past</v>
          </cell>
          <cell r="D474">
            <v>14.99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14.99</v>
          </cell>
          <cell r="Q474">
            <v>1.0861239999999999</v>
          </cell>
          <cell r="R474" t="e">
            <v>#N/A</v>
          </cell>
        </row>
        <row r="475">
          <cell r="A475">
            <v>40660</v>
          </cell>
          <cell r="B475">
            <v>40660</v>
          </cell>
          <cell r="C475" t="str">
            <v>Past</v>
          </cell>
          <cell r="D475">
            <v>15.02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15.02</v>
          </cell>
          <cell r="Q475">
            <v>1.3666639999999999</v>
          </cell>
          <cell r="R475" t="e">
            <v>#N/A</v>
          </cell>
        </row>
        <row r="476">
          <cell r="A476">
            <v>40661</v>
          </cell>
          <cell r="B476">
            <v>40661</v>
          </cell>
          <cell r="C476" t="str">
            <v>Past</v>
          </cell>
          <cell r="D476">
            <v>15.13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15.13</v>
          </cell>
          <cell r="Q476">
            <v>3.1455869999999999</v>
          </cell>
          <cell r="R476" t="e">
            <v>#N/A</v>
          </cell>
        </row>
        <row r="477">
          <cell r="A477">
            <v>40662</v>
          </cell>
          <cell r="B477">
            <v>40662</v>
          </cell>
          <cell r="C477" t="str">
            <v>Past</v>
          </cell>
          <cell r="D477">
            <v>15.19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15.19</v>
          </cell>
          <cell r="Q477">
            <v>1.173627</v>
          </cell>
          <cell r="R477" t="e">
            <v>#N/A</v>
          </cell>
        </row>
        <row r="478">
          <cell r="A478">
            <v>40665</v>
          </cell>
          <cell r="B478">
            <v>40665</v>
          </cell>
          <cell r="C478" t="str">
            <v>Past</v>
          </cell>
          <cell r="D478">
            <v>15.23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15.23</v>
          </cell>
          <cell r="Q478">
            <v>1.4589559999999999</v>
          </cell>
          <cell r="R478" t="e">
            <v>#N/A</v>
          </cell>
        </row>
        <row r="479">
          <cell r="A479">
            <v>40666</v>
          </cell>
          <cell r="B479">
            <v>40666</v>
          </cell>
          <cell r="C479" t="str">
            <v>Past</v>
          </cell>
          <cell r="D479">
            <v>15.35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15.35</v>
          </cell>
          <cell r="Q479">
            <v>1.2028179999999999</v>
          </cell>
          <cell r="R479" t="e">
            <v>#N/A</v>
          </cell>
        </row>
        <row r="480">
          <cell r="A480">
            <v>40667</v>
          </cell>
          <cell r="B480">
            <v>40667</v>
          </cell>
          <cell r="C480" t="str">
            <v>Past</v>
          </cell>
          <cell r="D480">
            <v>15.35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15.35</v>
          </cell>
          <cell r="Q480">
            <v>1.497406</v>
          </cell>
          <cell r="R480" t="e">
            <v>#N/A</v>
          </cell>
        </row>
        <row r="481">
          <cell r="A481">
            <v>40668</v>
          </cell>
          <cell r="B481">
            <v>40668</v>
          </cell>
          <cell r="C481" t="str">
            <v>Past</v>
          </cell>
          <cell r="D481">
            <v>15.32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15.32</v>
          </cell>
          <cell r="Q481">
            <v>1.251004</v>
          </cell>
          <cell r="R481" t="e">
            <v>#N/A</v>
          </cell>
        </row>
        <row r="482">
          <cell r="A482">
            <v>40669</v>
          </cell>
          <cell r="B482">
            <v>40669</v>
          </cell>
          <cell r="C482" t="str">
            <v>Past</v>
          </cell>
          <cell r="D482">
            <v>15.45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15.45</v>
          </cell>
          <cell r="Q482">
            <v>1.1364030000000001</v>
          </cell>
          <cell r="R482" t="e">
            <v>#N/A</v>
          </cell>
        </row>
        <row r="483">
          <cell r="A483">
            <v>40672</v>
          </cell>
          <cell r="B483">
            <v>40672</v>
          </cell>
          <cell r="C483" t="str">
            <v>Past</v>
          </cell>
          <cell r="D483">
            <v>15.47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15.47</v>
          </cell>
          <cell r="Q483">
            <v>0.66692499999999999</v>
          </cell>
          <cell r="R483" t="e">
            <v>#N/A</v>
          </cell>
        </row>
        <row r="484">
          <cell r="A484">
            <v>40673</v>
          </cell>
          <cell r="B484">
            <v>40673</v>
          </cell>
          <cell r="C484" t="str">
            <v>Past</v>
          </cell>
          <cell r="D484">
            <v>15.73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15.73</v>
          </cell>
          <cell r="Q484">
            <v>1.8866289999999999</v>
          </cell>
          <cell r="R484" t="e">
            <v>#N/A</v>
          </cell>
        </row>
        <row r="485">
          <cell r="A485">
            <v>40674</v>
          </cell>
          <cell r="B485">
            <v>40674</v>
          </cell>
          <cell r="C485" t="str">
            <v>Past</v>
          </cell>
          <cell r="D485">
            <v>15.7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15.7</v>
          </cell>
          <cell r="Q485">
            <v>1.11927</v>
          </cell>
          <cell r="R485" t="e">
            <v>#N/A</v>
          </cell>
        </row>
        <row r="486">
          <cell r="A486">
            <v>40675</v>
          </cell>
          <cell r="B486">
            <v>40675</v>
          </cell>
          <cell r="C486" t="str">
            <v>Past</v>
          </cell>
          <cell r="D486">
            <v>15.84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15.84</v>
          </cell>
          <cell r="Q486">
            <v>1.401851</v>
          </cell>
          <cell r="R486" t="e">
            <v>#N/A</v>
          </cell>
        </row>
        <row r="487">
          <cell r="A487">
            <v>40676</v>
          </cell>
          <cell r="B487">
            <v>40676</v>
          </cell>
          <cell r="C487" t="str">
            <v>Past</v>
          </cell>
          <cell r="D487">
            <v>15.73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15.73</v>
          </cell>
          <cell r="Q487">
            <v>1.107809</v>
          </cell>
          <cell r="R487" t="e">
            <v>#N/A</v>
          </cell>
        </row>
        <row r="488">
          <cell r="A488">
            <v>40679</v>
          </cell>
          <cell r="B488">
            <v>40679</v>
          </cell>
          <cell r="C488" t="str">
            <v>Past</v>
          </cell>
          <cell r="D488">
            <v>15.68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15.68</v>
          </cell>
          <cell r="Q488">
            <v>0.97081499999999998</v>
          </cell>
          <cell r="R488" t="e">
            <v>#N/A</v>
          </cell>
        </row>
        <row r="489">
          <cell r="A489">
            <v>40680</v>
          </cell>
          <cell r="B489">
            <v>40680</v>
          </cell>
          <cell r="C489" t="str">
            <v>Past</v>
          </cell>
          <cell r="D489">
            <v>15.7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15.7</v>
          </cell>
          <cell r="Q489">
            <v>1.0844129999999998</v>
          </cell>
          <cell r="R489" t="e">
            <v>#N/A</v>
          </cell>
        </row>
        <row r="490">
          <cell r="A490">
            <v>40681</v>
          </cell>
          <cell r="B490">
            <v>40681</v>
          </cell>
          <cell r="C490" t="str">
            <v>Past</v>
          </cell>
          <cell r="D490">
            <v>15.74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15.74</v>
          </cell>
          <cell r="Q490">
            <v>1.2470839999999999</v>
          </cell>
          <cell r="R490" t="e">
            <v>#N/A</v>
          </cell>
        </row>
        <row r="491">
          <cell r="A491">
            <v>40682</v>
          </cell>
          <cell r="B491">
            <v>40682</v>
          </cell>
          <cell r="C491" t="str">
            <v>Past</v>
          </cell>
          <cell r="D491">
            <v>15.83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15.83</v>
          </cell>
          <cell r="Q491">
            <v>1.4872179999999999</v>
          </cell>
          <cell r="R491" t="e">
            <v>#N/A</v>
          </cell>
        </row>
        <row r="492">
          <cell r="A492">
            <v>40683</v>
          </cell>
          <cell r="B492">
            <v>40683</v>
          </cell>
          <cell r="C492" t="str">
            <v>Past</v>
          </cell>
          <cell r="D492">
            <v>15.89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15.89</v>
          </cell>
          <cell r="Q492">
            <v>1.526613</v>
          </cell>
          <cell r="R492" t="e">
            <v>#N/A</v>
          </cell>
        </row>
        <row r="493">
          <cell r="A493">
            <v>40686</v>
          </cell>
          <cell r="B493">
            <v>40686</v>
          </cell>
          <cell r="C493" t="str">
            <v>Past</v>
          </cell>
          <cell r="D493">
            <v>15.58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15.58</v>
          </cell>
          <cell r="Q493">
            <v>0.90938699999999995</v>
          </cell>
          <cell r="R493" t="e">
            <v>#N/A</v>
          </cell>
        </row>
        <row r="494">
          <cell r="A494">
            <v>40687</v>
          </cell>
          <cell r="B494">
            <v>40687</v>
          </cell>
          <cell r="C494" t="str">
            <v>Past</v>
          </cell>
          <cell r="D494">
            <v>15.45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15.45</v>
          </cell>
          <cell r="Q494">
            <v>1.10145</v>
          </cell>
          <cell r="R494" t="e">
            <v>#N/A</v>
          </cell>
        </row>
        <row r="495">
          <cell r="A495">
            <v>40688</v>
          </cell>
          <cell r="B495">
            <v>40688</v>
          </cell>
          <cell r="C495" t="str">
            <v>Past</v>
          </cell>
          <cell r="D495">
            <v>15.44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15.44</v>
          </cell>
          <cell r="Q495">
            <v>0.66003800000000001</v>
          </cell>
          <cell r="R495" t="e">
            <v>#N/A</v>
          </cell>
        </row>
        <row r="496">
          <cell r="A496">
            <v>40689</v>
          </cell>
          <cell r="B496">
            <v>40689</v>
          </cell>
          <cell r="C496" t="str">
            <v>Past</v>
          </cell>
          <cell r="D496">
            <v>15.54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15.54</v>
          </cell>
          <cell r="Q496">
            <v>1.0232129999999999</v>
          </cell>
          <cell r="R496" t="e">
            <v>#N/A</v>
          </cell>
        </row>
        <row r="497">
          <cell r="A497">
            <v>40690</v>
          </cell>
          <cell r="B497">
            <v>40690</v>
          </cell>
          <cell r="C497" t="str">
            <v>Past</v>
          </cell>
          <cell r="D497">
            <v>15.54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15.54</v>
          </cell>
          <cell r="Q497">
            <v>0.67053600000000002</v>
          </cell>
          <cell r="R497" t="e">
            <v>#N/A</v>
          </cell>
        </row>
        <row r="498">
          <cell r="A498">
            <v>40694</v>
          </cell>
          <cell r="B498">
            <v>40694</v>
          </cell>
          <cell r="C498" t="str">
            <v>Past</v>
          </cell>
          <cell r="D498">
            <v>15.77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15.77</v>
          </cell>
          <cell r="Q498">
            <v>1.214715</v>
          </cell>
          <cell r="R498" t="e">
            <v>#N/A</v>
          </cell>
        </row>
        <row r="499">
          <cell r="A499">
            <v>40695</v>
          </cell>
          <cell r="B499">
            <v>40695</v>
          </cell>
          <cell r="C499" t="str">
            <v>Past</v>
          </cell>
          <cell r="D499">
            <v>15.54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15.54</v>
          </cell>
          <cell r="Q499">
            <v>1.767245</v>
          </cell>
          <cell r="R499" t="e">
            <v>#N/A</v>
          </cell>
        </row>
        <row r="500">
          <cell r="A500">
            <v>40696</v>
          </cell>
          <cell r="B500">
            <v>40696</v>
          </cell>
          <cell r="C500" t="str">
            <v>Past</v>
          </cell>
          <cell r="D500">
            <v>15.48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15.48</v>
          </cell>
          <cell r="Q500">
            <v>1.4389000000000001</v>
          </cell>
          <cell r="R500" t="e">
            <v>#N/A</v>
          </cell>
        </row>
        <row r="501">
          <cell r="A501">
            <v>40697</v>
          </cell>
          <cell r="B501">
            <v>40697</v>
          </cell>
          <cell r="C501" t="str">
            <v>Past</v>
          </cell>
          <cell r="D501">
            <v>15.21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15.21</v>
          </cell>
          <cell r="Q501">
            <v>1.2053719999999999</v>
          </cell>
          <cell r="R501" t="e">
            <v>#N/A</v>
          </cell>
        </row>
        <row r="502">
          <cell r="A502">
            <v>40700</v>
          </cell>
          <cell r="B502">
            <v>40700</v>
          </cell>
          <cell r="C502" t="str">
            <v>Past</v>
          </cell>
          <cell r="D502">
            <v>15.03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15.03</v>
          </cell>
          <cell r="Q502">
            <v>1.5388409999999999</v>
          </cell>
          <cell r="R502" t="e">
            <v>#N/A</v>
          </cell>
        </row>
        <row r="503">
          <cell r="A503">
            <v>40701</v>
          </cell>
          <cell r="B503">
            <v>40701</v>
          </cell>
          <cell r="C503" t="str">
            <v>Past</v>
          </cell>
          <cell r="D503">
            <v>15.2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15.2</v>
          </cell>
          <cell r="Q503">
            <v>3.3628109999999998</v>
          </cell>
          <cell r="R503" t="e">
            <v>#N/A</v>
          </cell>
        </row>
        <row r="504">
          <cell r="A504">
            <v>40702</v>
          </cell>
          <cell r="B504">
            <v>40702</v>
          </cell>
          <cell r="C504" t="str">
            <v>Past</v>
          </cell>
          <cell r="D504">
            <v>15.55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15.55</v>
          </cell>
          <cell r="Q504">
            <v>3.4263000000000003</v>
          </cell>
          <cell r="R504" t="e">
            <v>#N/A</v>
          </cell>
        </row>
        <row r="505">
          <cell r="A505">
            <v>40703</v>
          </cell>
          <cell r="B505">
            <v>40703</v>
          </cell>
          <cell r="C505" t="str">
            <v>Past</v>
          </cell>
          <cell r="D505">
            <v>15.38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15.38</v>
          </cell>
          <cell r="Q505">
            <v>4.3216890000000001</v>
          </cell>
          <cell r="R505" t="e">
            <v>#N/A</v>
          </cell>
        </row>
        <row r="506">
          <cell r="A506">
            <v>40704</v>
          </cell>
          <cell r="B506">
            <v>40704</v>
          </cell>
          <cell r="C506" t="str">
            <v>Past</v>
          </cell>
          <cell r="D506">
            <v>15.69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15.69</v>
          </cell>
          <cell r="Q506">
            <v>4.2505619999999995</v>
          </cell>
          <cell r="R506" t="e">
            <v>#N/A</v>
          </cell>
        </row>
        <row r="507">
          <cell r="A507">
            <v>40707</v>
          </cell>
          <cell r="B507">
            <v>40707</v>
          </cell>
          <cell r="C507" t="str">
            <v>Past</v>
          </cell>
          <cell r="D507">
            <v>15.65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15.65</v>
          </cell>
          <cell r="Q507">
            <v>4.1095300000000003</v>
          </cell>
          <cell r="R507" t="e">
            <v>#N/A</v>
          </cell>
        </row>
        <row r="508">
          <cell r="A508">
            <v>40708</v>
          </cell>
          <cell r="B508">
            <v>40708</v>
          </cell>
          <cell r="C508" t="str">
            <v>Past</v>
          </cell>
          <cell r="D508">
            <v>15.54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15.54</v>
          </cell>
          <cell r="Q508">
            <v>4.4835189999999994</v>
          </cell>
          <cell r="R508" t="e">
            <v>#N/A</v>
          </cell>
        </row>
        <row r="509">
          <cell r="A509">
            <v>40709</v>
          </cell>
          <cell r="B509">
            <v>40709</v>
          </cell>
          <cell r="C509" t="str">
            <v>Past</v>
          </cell>
          <cell r="D509">
            <v>15.37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15.37</v>
          </cell>
          <cell r="Q509">
            <v>2.9629879999999997</v>
          </cell>
          <cell r="R509" t="e">
            <v>#N/A</v>
          </cell>
        </row>
        <row r="510">
          <cell r="A510">
            <v>40710</v>
          </cell>
          <cell r="B510">
            <v>40710</v>
          </cell>
          <cell r="C510" t="str">
            <v>Past</v>
          </cell>
          <cell r="D510">
            <v>15.4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15.4</v>
          </cell>
          <cell r="Q510">
            <v>2.338606</v>
          </cell>
          <cell r="R510" t="e">
            <v>#N/A</v>
          </cell>
        </row>
        <row r="511">
          <cell r="A511">
            <v>40711</v>
          </cell>
          <cell r="B511">
            <v>40711</v>
          </cell>
          <cell r="C511" t="str">
            <v>Past</v>
          </cell>
          <cell r="D511">
            <v>15.45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15.45</v>
          </cell>
          <cell r="Q511">
            <v>2.8604409999999998</v>
          </cell>
          <cell r="R511" t="e">
            <v>#N/A</v>
          </cell>
        </row>
        <row r="512">
          <cell r="A512">
            <v>40714</v>
          </cell>
          <cell r="B512">
            <v>40714</v>
          </cell>
          <cell r="C512" t="str">
            <v>Past</v>
          </cell>
          <cell r="D512">
            <v>15.4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15.4</v>
          </cell>
          <cell r="Q512">
            <v>3.7483</v>
          </cell>
          <cell r="R512" t="e">
            <v>#N/A</v>
          </cell>
        </row>
        <row r="513">
          <cell r="A513">
            <v>40715</v>
          </cell>
          <cell r="B513">
            <v>40715</v>
          </cell>
          <cell r="C513" t="str">
            <v>Past</v>
          </cell>
          <cell r="D513">
            <v>15.5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15.5</v>
          </cell>
          <cell r="Q513">
            <v>4.0320909999999994</v>
          </cell>
          <cell r="R513" t="e">
            <v>#N/A</v>
          </cell>
        </row>
        <row r="514">
          <cell r="A514">
            <v>40716</v>
          </cell>
          <cell r="B514">
            <v>40716</v>
          </cell>
          <cell r="C514" t="str">
            <v>Past</v>
          </cell>
          <cell r="D514">
            <v>15.32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15.32</v>
          </cell>
          <cell r="Q514">
            <v>2.2638000000000003</v>
          </cell>
          <cell r="R514" t="e">
            <v>#N/A</v>
          </cell>
        </row>
        <row r="515">
          <cell r="A515">
            <v>40717</v>
          </cell>
          <cell r="B515">
            <v>40717</v>
          </cell>
          <cell r="C515" t="str">
            <v>Past</v>
          </cell>
          <cell r="D515">
            <v>15.1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15.1</v>
          </cell>
          <cell r="Q515">
            <v>3.6845919999999999</v>
          </cell>
          <cell r="R515" t="e">
            <v>#N/A</v>
          </cell>
        </row>
        <row r="516">
          <cell r="A516">
            <v>40718</v>
          </cell>
          <cell r="B516">
            <v>40718</v>
          </cell>
          <cell r="C516" t="str">
            <v>Past</v>
          </cell>
          <cell r="D516">
            <v>15.1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15.1</v>
          </cell>
          <cell r="Q516">
            <v>2.8938419999999998</v>
          </cell>
          <cell r="R516" t="e">
            <v>#N/A</v>
          </cell>
        </row>
        <row r="517">
          <cell r="A517">
            <v>40721</v>
          </cell>
          <cell r="B517">
            <v>40721</v>
          </cell>
          <cell r="C517" t="str">
            <v>Past</v>
          </cell>
          <cell r="D517">
            <v>15.23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15.23</v>
          </cell>
          <cell r="Q517">
            <v>1.7149000000000001</v>
          </cell>
          <cell r="R517" t="e">
            <v>#N/A</v>
          </cell>
        </row>
        <row r="518">
          <cell r="A518">
            <v>40722</v>
          </cell>
          <cell r="B518">
            <v>40722</v>
          </cell>
          <cell r="C518" t="str">
            <v>Past</v>
          </cell>
          <cell r="D518">
            <v>15.24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15.24</v>
          </cell>
          <cell r="Q518">
            <v>2.6037949999999999</v>
          </cell>
          <cell r="R518" t="e">
            <v>#N/A</v>
          </cell>
        </row>
        <row r="519">
          <cell r="A519">
            <v>40723</v>
          </cell>
          <cell r="B519">
            <v>40723</v>
          </cell>
          <cell r="C519" t="str">
            <v>Past</v>
          </cell>
          <cell r="D519">
            <v>15.31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15.31</v>
          </cell>
          <cell r="Q519">
            <v>2.3394059999999999</v>
          </cell>
          <cell r="R519" t="e">
            <v>#N/A</v>
          </cell>
        </row>
        <row r="520">
          <cell r="A520">
            <v>40724</v>
          </cell>
          <cell r="B520">
            <v>40724</v>
          </cell>
          <cell r="C520" t="str">
            <v>Past</v>
          </cell>
          <cell r="D520">
            <v>15.35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15.35</v>
          </cell>
          <cell r="Q520">
            <v>2.2514089999999998</v>
          </cell>
          <cell r="R520" t="e">
            <v>#N/A</v>
          </cell>
        </row>
        <row r="521">
          <cell r="A521">
            <v>40725</v>
          </cell>
          <cell r="B521">
            <v>40725</v>
          </cell>
          <cell r="C521" t="str">
            <v>Past</v>
          </cell>
          <cell r="D521">
            <v>15.59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15.59</v>
          </cell>
          <cell r="Q521">
            <v>1.3990500000000001</v>
          </cell>
          <cell r="R521" t="e">
            <v>#N/A</v>
          </cell>
        </row>
        <row r="522">
          <cell r="A522">
            <v>40729</v>
          </cell>
          <cell r="B522">
            <v>40729</v>
          </cell>
          <cell r="C522" t="str">
            <v>Past</v>
          </cell>
          <cell r="D522">
            <v>15.55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15.55</v>
          </cell>
          <cell r="Q522">
            <v>1.5489000000000002</v>
          </cell>
          <cell r="R522" t="e">
            <v>#N/A</v>
          </cell>
        </row>
        <row r="523">
          <cell r="A523">
            <v>40730</v>
          </cell>
          <cell r="B523">
            <v>40730</v>
          </cell>
          <cell r="C523" t="str">
            <v>Past</v>
          </cell>
          <cell r="D523">
            <v>15.59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15.59</v>
          </cell>
          <cell r="Q523">
            <v>1.2207249999999998</v>
          </cell>
          <cell r="R523" t="e">
            <v>#N/A</v>
          </cell>
        </row>
        <row r="524">
          <cell r="A524">
            <v>40731</v>
          </cell>
          <cell r="B524">
            <v>40731</v>
          </cell>
          <cell r="C524" t="str">
            <v>Past</v>
          </cell>
          <cell r="D524">
            <v>15.61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15.61</v>
          </cell>
          <cell r="Q524">
            <v>1.3784529999999999</v>
          </cell>
          <cell r="R524" t="e">
            <v>#N/A</v>
          </cell>
        </row>
        <row r="525">
          <cell r="A525">
            <v>40732</v>
          </cell>
          <cell r="B525">
            <v>40732</v>
          </cell>
          <cell r="C525" t="str">
            <v>Past</v>
          </cell>
          <cell r="D525">
            <v>15.51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15.51</v>
          </cell>
          <cell r="Q525">
            <v>1.8003829999999998</v>
          </cell>
          <cell r="R525" t="e">
            <v>#N/A</v>
          </cell>
        </row>
        <row r="526">
          <cell r="A526">
            <v>40735</v>
          </cell>
          <cell r="B526">
            <v>40735</v>
          </cell>
          <cell r="C526" t="str">
            <v>Past</v>
          </cell>
          <cell r="D526">
            <v>15.24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15.24</v>
          </cell>
          <cell r="Q526">
            <v>1.3767149999999999</v>
          </cell>
          <cell r="R526" t="e">
            <v>#N/A</v>
          </cell>
        </row>
        <row r="527">
          <cell r="A527">
            <v>40736</v>
          </cell>
          <cell r="B527">
            <v>40736</v>
          </cell>
          <cell r="C527" t="str">
            <v>Past</v>
          </cell>
          <cell r="D527">
            <v>15.29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15.29</v>
          </cell>
          <cell r="Q527">
            <v>1.7635969999999999</v>
          </cell>
          <cell r="R527" t="e">
            <v>#N/A</v>
          </cell>
        </row>
        <row r="528">
          <cell r="A528">
            <v>40737</v>
          </cell>
          <cell r="B528">
            <v>40737</v>
          </cell>
          <cell r="C528" t="str">
            <v>Past</v>
          </cell>
          <cell r="D528">
            <v>15.3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15.3</v>
          </cell>
          <cell r="Q528">
            <v>1.718731</v>
          </cell>
          <cell r="R528" t="e">
            <v>#N/A</v>
          </cell>
        </row>
        <row r="529">
          <cell r="A529">
            <v>40738</v>
          </cell>
          <cell r="B529">
            <v>40738</v>
          </cell>
          <cell r="C529" t="str">
            <v>Past</v>
          </cell>
          <cell r="D529">
            <v>15.16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15.16</v>
          </cell>
          <cell r="Q529">
            <v>1.5739669999999999</v>
          </cell>
          <cell r="R529" t="e">
            <v>#N/A</v>
          </cell>
        </row>
        <row r="530">
          <cell r="A530">
            <v>40739</v>
          </cell>
          <cell r="B530">
            <v>40739</v>
          </cell>
          <cell r="C530" t="str">
            <v>Past</v>
          </cell>
          <cell r="D530">
            <v>15.22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15.22</v>
          </cell>
          <cell r="Q530">
            <v>1.518662</v>
          </cell>
          <cell r="R530" t="e">
            <v>#N/A</v>
          </cell>
        </row>
        <row r="531">
          <cell r="A531">
            <v>40742</v>
          </cell>
          <cell r="B531">
            <v>40742</v>
          </cell>
          <cell r="C531" t="str">
            <v>Past</v>
          </cell>
          <cell r="D531">
            <v>15.08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15.08</v>
          </cell>
          <cell r="Q531">
            <v>1.8748959999999999</v>
          </cell>
          <cell r="R531" t="e">
            <v>#N/A</v>
          </cell>
        </row>
        <row r="532">
          <cell r="A532">
            <v>40743</v>
          </cell>
          <cell r="B532">
            <v>40743</v>
          </cell>
          <cell r="C532" t="str">
            <v>Past</v>
          </cell>
          <cell r="D532">
            <v>15.12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15.12</v>
          </cell>
          <cell r="Q532">
            <v>1.273741</v>
          </cell>
          <cell r="R532" t="e">
            <v>#N/A</v>
          </cell>
        </row>
        <row r="533">
          <cell r="A533">
            <v>40744</v>
          </cell>
          <cell r="B533">
            <v>40744</v>
          </cell>
          <cell r="C533" t="str">
            <v>Past</v>
          </cell>
          <cell r="D533">
            <v>15.34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15.34</v>
          </cell>
          <cell r="Q533">
            <v>1.0193000000000001</v>
          </cell>
          <cell r="R533" t="e">
            <v>#N/A</v>
          </cell>
        </row>
        <row r="534">
          <cell r="A534">
            <v>40745</v>
          </cell>
          <cell r="B534">
            <v>40745</v>
          </cell>
          <cell r="C534" t="str">
            <v>Past</v>
          </cell>
          <cell r="D534">
            <v>15.47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15.47</v>
          </cell>
          <cell r="Q534">
            <v>1.356128</v>
          </cell>
          <cell r="R534" t="e">
            <v>#N/A</v>
          </cell>
        </row>
        <row r="535">
          <cell r="A535">
            <v>40746</v>
          </cell>
          <cell r="B535">
            <v>40746</v>
          </cell>
          <cell r="C535" t="str">
            <v>Past</v>
          </cell>
          <cell r="D535">
            <v>15.27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15.27</v>
          </cell>
          <cell r="Q535">
            <v>1.5000300000000002</v>
          </cell>
          <cell r="R535" t="e">
            <v>#N/A</v>
          </cell>
        </row>
        <row r="536">
          <cell r="A536">
            <v>40749</v>
          </cell>
          <cell r="B536">
            <v>40749</v>
          </cell>
          <cell r="C536" t="str">
            <v>Past</v>
          </cell>
          <cell r="D536">
            <v>15.17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15.17</v>
          </cell>
          <cell r="Q536">
            <v>1.7525819999999999</v>
          </cell>
          <cell r="R536" t="e">
            <v>#N/A</v>
          </cell>
        </row>
        <row r="537">
          <cell r="A537">
            <v>40750</v>
          </cell>
          <cell r="B537">
            <v>40750</v>
          </cell>
          <cell r="C537" t="str">
            <v>Past</v>
          </cell>
          <cell r="D537">
            <v>15.11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15.11</v>
          </cell>
          <cell r="Q537">
            <v>0.94330799999999992</v>
          </cell>
          <cell r="R537" t="e">
            <v>#N/A</v>
          </cell>
        </row>
        <row r="538">
          <cell r="A538">
            <v>40751</v>
          </cell>
          <cell r="B538">
            <v>40751</v>
          </cell>
          <cell r="C538" t="str">
            <v>Past</v>
          </cell>
          <cell r="D538">
            <v>15.08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15.08</v>
          </cell>
          <cell r="Q538">
            <v>1.8040179999999999</v>
          </cell>
          <cell r="R538" t="e">
            <v>#N/A</v>
          </cell>
        </row>
        <row r="539">
          <cell r="A539">
            <v>40752</v>
          </cell>
          <cell r="B539">
            <v>40752</v>
          </cell>
          <cell r="C539" t="str">
            <v>Past</v>
          </cell>
          <cell r="D539">
            <v>15.01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15.01</v>
          </cell>
          <cell r="Q539">
            <v>1.6958300000000002</v>
          </cell>
          <cell r="R539" t="e">
            <v>#N/A</v>
          </cell>
        </row>
        <row r="540">
          <cell r="A540">
            <v>40753</v>
          </cell>
          <cell r="B540">
            <v>40753</v>
          </cell>
          <cell r="C540" t="str">
            <v>Past</v>
          </cell>
          <cell r="D540">
            <v>14.84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14.84</v>
          </cell>
          <cell r="Q540">
            <v>2.0042</v>
          </cell>
          <cell r="R540" t="e">
            <v>#N/A</v>
          </cell>
        </row>
        <row r="541">
          <cell r="A541">
            <v>40756</v>
          </cell>
          <cell r="B541">
            <v>40756</v>
          </cell>
          <cell r="C541" t="str">
            <v>Past</v>
          </cell>
          <cell r="D541">
            <v>14.55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14.55</v>
          </cell>
          <cell r="Q541">
            <v>5.4451649999999994</v>
          </cell>
          <cell r="R541" t="e">
            <v>#N/A</v>
          </cell>
        </row>
        <row r="542">
          <cell r="A542">
            <v>40757</v>
          </cell>
          <cell r="B542">
            <v>40757</v>
          </cell>
          <cell r="C542" t="str">
            <v>Past</v>
          </cell>
          <cell r="D542">
            <v>14.24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14.24</v>
          </cell>
          <cell r="Q542">
            <v>4.5422519999999995</v>
          </cell>
          <cell r="R542" t="e">
            <v>#N/A</v>
          </cell>
        </row>
        <row r="543">
          <cell r="A543">
            <v>40758</v>
          </cell>
          <cell r="B543">
            <v>40758</v>
          </cell>
          <cell r="C543" t="str">
            <v>Past</v>
          </cell>
          <cell r="D543">
            <v>14.26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14.26</v>
          </cell>
          <cell r="Q543">
            <v>3.8783000000000003</v>
          </cell>
          <cell r="R543" t="e">
            <v>#N/A</v>
          </cell>
        </row>
        <row r="544">
          <cell r="A544">
            <v>40759</v>
          </cell>
          <cell r="B544">
            <v>40759</v>
          </cell>
          <cell r="C544" t="str">
            <v>Past</v>
          </cell>
          <cell r="D544">
            <v>13.68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13.68</v>
          </cell>
          <cell r="Q544">
            <v>3.3178739999999998</v>
          </cell>
          <cell r="R544" t="e">
            <v>#N/A</v>
          </cell>
        </row>
        <row r="545">
          <cell r="A545">
            <v>40760</v>
          </cell>
          <cell r="B545">
            <v>40760</v>
          </cell>
          <cell r="C545" t="str">
            <v>Past</v>
          </cell>
          <cell r="D545">
            <v>13.43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13.43</v>
          </cell>
          <cell r="Q545">
            <v>10.9306</v>
          </cell>
          <cell r="R545" t="e">
            <v>#N/A</v>
          </cell>
        </row>
        <row r="546">
          <cell r="A546">
            <v>40763</v>
          </cell>
          <cell r="B546">
            <v>40763</v>
          </cell>
          <cell r="C546" t="str">
            <v>Past</v>
          </cell>
          <cell r="D546">
            <v>12.48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12.48</v>
          </cell>
          <cell r="Q546">
            <v>5.4664239999999999</v>
          </cell>
          <cell r="R546" t="e">
            <v>#N/A</v>
          </cell>
        </row>
        <row r="547">
          <cell r="A547">
            <v>40764</v>
          </cell>
          <cell r="B547">
            <v>40764</v>
          </cell>
          <cell r="C547" t="str">
            <v>Past</v>
          </cell>
          <cell r="D547">
            <v>13.03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13.03</v>
          </cell>
          <cell r="Q547">
            <v>10.383920000000002</v>
          </cell>
          <cell r="R547" t="e">
            <v>#N/A</v>
          </cell>
        </row>
        <row r="548">
          <cell r="A548">
            <v>40765</v>
          </cell>
          <cell r="B548">
            <v>40765</v>
          </cell>
          <cell r="C548" t="str">
            <v>Past</v>
          </cell>
          <cell r="D548">
            <v>12.99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12.99</v>
          </cell>
          <cell r="Q548">
            <v>6.6745519999999994</v>
          </cell>
          <cell r="R548" t="e">
            <v>#N/A</v>
          </cell>
        </row>
        <row r="549">
          <cell r="A549">
            <v>40766</v>
          </cell>
          <cell r="B549">
            <v>40766</v>
          </cell>
          <cell r="C549" t="str">
            <v>Past</v>
          </cell>
          <cell r="D549">
            <v>13.8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13.8</v>
          </cell>
          <cell r="Q549">
            <v>5.9046940000000001</v>
          </cell>
          <cell r="R549" t="e">
            <v>#N/A</v>
          </cell>
        </row>
        <row r="550">
          <cell r="A550">
            <v>40767</v>
          </cell>
          <cell r="B550">
            <v>40767</v>
          </cell>
          <cell r="C550" t="str">
            <v>Past</v>
          </cell>
          <cell r="D550">
            <v>13.74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13.74</v>
          </cell>
          <cell r="Q550">
            <v>3.7796319999999999</v>
          </cell>
          <cell r="R550" t="e">
            <v>#N/A</v>
          </cell>
        </row>
        <row r="551">
          <cell r="A551">
            <v>40770</v>
          </cell>
          <cell r="B551">
            <v>40770</v>
          </cell>
          <cell r="C551" t="str">
            <v>Past</v>
          </cell>
          <cell r="D551">
            <v>14.3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14.3</v>
          </cell>
          <cell r="Q551">
            <v>3.0225</v>
          </cell>
          <cell r="R551" t="e">
            <v>#N/A</v>
          </cell>
        </row>
        <row r="552">
          <cell r="A552">
            <v>40771</v>
          </cell>
          <cell r="B552">
            <v>40771</v>
          </cell>
          <cell r="C552" t="str">
            <v>Past</v>
          </cell>
          <cell r="D552">
            <v>14.63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14.63</v>
          </cell>
          <cell r="Q552">
            <v>11.01886</v>
          </cell>
          <cell r="R552" t="e">
            <v>#N/A</v>
          </cell>
        </row>
        <row r="553">
          <cell r="A553">
            <v>40772</v>
          </cell>
          <cell r="B553">
            <v>40772</v>
          </cell>
          <cell r="C553" t="str">
            <v>Past</v>
          </cell>
          <cell r="D553">
            <v>14.49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14.49</v>
          </cell>
          <cell r="Q553">
            <v>3.505992</v>
          </cell>
          <cell r="R553" t="e">
            <v>#N/A</v>
          </cell>
        </row>
        <row r="554">
          <cell r="A554">
            <v>40773</v>
          </cell>
          <cell r="B554">
            <v>40773</v>
          </cell>
          <cell r="C554" t="str">
            <v>Past</v>
          </cell>
          <cell r="D554">
            <v>14.3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14.3</v>
          </cell>
          <cell r="Q554">
            <v>4.7268319999999999</v>
          </cell>
          <cell r="R554" t="e">
            <v>#N/A</v>
          </cell>
        </row>
        <row r="555">
          <cell r="A555">
            <v>40774</v>
          </cell>
          <cell r="B555">
            <v>40774</v>
          </cell>
          <cell r="C555" t="str">
            <v>Past</v>
          </cell>
          <cell r="D555">
            <v>14.46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14.46</v>
          </cell>
          <cell r="Q555">
            <v>7.8624469999999995</v>
          </cell>
          <cell r="R555" t="e">
            <v>#N/A</v>
          </cell>
        </row>
        <row r="556">
          <cell r="A556">
            <v>40777</v>
          </cell>
          <cell r="B556">
            <v>40777</v>
          </cell>
          <cell r="C556" t="str">
            <v>Past</v>
          </cell>
          <cell r="D556">
            <v>14.22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14.22</v>
          </cell>
          <cell r="Q556">
            <v>3.313774</v>
          </cell>
          <cell r="R556" t="e">
            <v>#N/A</v>
          </cell>
        </row>
        <row r="557">
          <cell r="A557">
            <v>40778</v>
          </cell>
          <cell r="B557">
            <v>40778</v>
          </cell>
          <cell r="C557" t="str">
            <v>Past</v>
          </cell>
          <cell r="D557">
            <v>14.34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 t="e">
            <v>#N/A</v>
          </cell>
          <cell r="P557">
            <v>14.34</v>
          </cell>
          <cell r="Q557">
            <v>5.3917320000000002</v>
          </cell>
          <cell r="R557" t="e">
            <v>#N/A</v>
          </cell>
        </row>
        <row r="558">
          <cell r="A558">
            <v>40779</v>
          </cell>
          <cell r="B558">
            <v>40779</v>
          </cell>
          <cell r="C558" t="str">
            <v>Past</v>
          </cell>
          <cell r="D558">
            <v>14.6</v>
          </cell>
          <cell r="E558" t="e">
            <v>#N/A</v>
          </cell>
          <cell r="F558" t="e">
            <v>#N/A</v>
          </cell>
          <cell r="G558" t="e">
            <v>#N/A</v>
          </cell>
          <cell r="H558" t="e">
            <v>#N/A</v>
          </cell>
          <cell r="I558" t="e">
            <v>#N/A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>
            <v>0</v>
          </cell>
          <cell r="P558">
            <v>14.6</v>
          </cell>
          <cell r="Q558">
            <v>2.3300529999999999</v>
          </cell>
          <cell r="R558" t="e">
            <v>#N/A</v>
          </cell>
        </row>
        <row r="559">
          <cell r="A559">
            <v>40780</v>
          </cell>
          <cell r="B559">
            <v>40780</v>
          </cell>
          <cell r="C559" t="str">
            <v>Current</v>
          </cell>
          <cell r="D559">
            <v>14.35</v>
          </cell>
          <cell r="E559">
            <v>14.35</v>
          </cell>
          <cell r="F559">
            <v>14.35</v>
          </cell>
          <cell r="G559">
            <v>14.35</v>
          </cell>
          <cell r="H559">
            <v>14.35</v>
          </cell>
          <cell r="I559">
            <v>14.35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>
            <v>55.094300000000004</v>
          </cell>
          <cell r="P559">
            <v>14.35</v>
          </cell>
          <cell r="Q559">
            <v>2.5751249999999999</v>
          </cell>
          <cell r="R559" t="e">
            <v>#N/A</v>
          </cell>
        </row>
        <row r="560">
          <cell r="A560">
            <v>40781</v>
          </cell>
          <cell r="B560">
            <v>40781</v>
          </cell>
          <cell r="C560" t="str">
            <v>Future</v>
          </cell>
          <cell r="D560" t="e">
            <v>#N/A</v>
          </cell>
          <cell r="E560">
            <v>14.294594594594594</v>
          </cell>
          <cell r="F560">
            <v>14.362162162162162</v>
          </cell>
          <cell r="G560">
            <v>14.348648648648648</v>
          </cell>
          <cell r="H560">
            <v>14.348648648648648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14.52</v>
          </cell>
          <cell r="Q560">
            <v>0</v>
          </cell>
          <cell r="R560" t="e">
            <v>#N/A</v>
          </cell>
        </row>
        <row r="561">
          <cell r="A561">
            <v>40784</v>
          </cell>
          <cell r="B561">
            <v>40784</v>
          </cell>
          <cell r="C561" t="str">
            <v>Future</v>
          </cell>
          <cell r="D561" t="e">
            <v>#N/A</v>
          </cell>
          <cell r="E561">
            <v>14.239189189189188</v>
          </cell>
          <cell r="F561">
            <v>14.374324324324325</v>
          </cell>
          <cell r="G561">
            <v>14.347297297297297</v>
          </cell>
          <cell r="H561">
            <v>14.347297297297297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14.52</v>
          </cell>
          <cell r="Q561" t="str">
            <v/>
          </cell>
          <cell r="R561" t="e">
            <v>#N/A</v>
          </cell>
        </row>
        <row r="562">
          <cell r="A562">
            <v>40785</v>
          </cell>
          <cell r="B562">
            <v>40785</v>
          </cell>
          <cell r="C562" t="str">
            <v>Future</v>
          </cell>
          <cell r="D562" t="e">
            <v>#N/A</v>
          </cell>
          <cell r="E562">
            <v>14.183783783783783</v>
          </cell>
          <cell r="F562">
            <v>14.386486486486488</v>
          </cell>
          <cell r="G562">
            <v>14.345945945945946</v>
          </cell>
          <cell r="H562">
            <v>14.345945945945946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14.52</v>
          </cell>
          <cell r="Q562" t="str">
            <v/>
          </cell>
          <cell r="R562" t="e">
            <v>#N/A</v>
          </cell>
        </row>
        <row r="563">
          <cell r="A563">
            <v>40786</v>
          </cell>
          <cell r="B563">
            <v>40786</v>
          </cell>
          <cell r="C563" t="str">
            <v>Future</v>
          </cell>
          <cell r="D563" t="e">
            <v>#N/A</v>
          </cell>
          <cell r="E563">
            <v>14.128378378378377</v>
          </cell>
          <cell r="F563">
            <v>14.398648648648651</v>
          </cell>
          <cell r="G563">
            <v>14.344594594594595</v>
          </cell>
          <cell r="H563">
            <v>14.344594594594595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14.52</v>
          </cell>
          <cell r="Q563" t="str">
            <v/>
          </cell>
          <cell r="R563" t="e">
            <v>#N/A</v>
          </cell>
        </row>
        <row r="564">
          <cell r="A564">
            <v>40787</v>
          </cell>
          <cell r="B564">
            <v>40787</v>
          </cell>
          <cell r="C564" t="str">
            <v>Future</v>
          </cell>
          <cell r="D564" t="e">
            <v>#N/A</v>
          </cell>
          <cell r="E564">
            <v>14.072972972972972</v>
          </cell>
          <cell r="F564">
            <v>14.410810810810814</v>
          </cell>
          <cell r="G564">
            <v>14.343243243243244</v>
          </cell>
          <cell r="H564">
            <v>14.343243243243244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14.52</v>
          </cell>
          <cell r="Q564" t="str">
            <v/>
          </cell>
          <cell r="R564" t="e">
            <v>#N/A</v>
          </cell>
        </row>
        <row r="565">
          <cell r="A565">
            <v>40788</v>
          </cell>
          <cell r="B565">
            <v>40788</v>
          </cell>
          <cell r="C565" t="str">
            <v>Future</v>
          </cell>
          <cell r="D565" t="e">
            <v>#N/A</v>
          </cell>
          <cell r="E565">
            <v>14.017567567567566</v>
          </cell>
          <cell r="F565">
            <v>14.422972972972977</v>
          </cell>
          <cell r="G565">
            <v>14.341891891891892</v>
          </cell>
          <cell r="H565">
            <v>14.341891891891892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14.52</v>
          </cell>
          <cell r="Q565" t="str">
            <v/>
          </cell>
          <cell r="R565" t="e">
            <v>#N/A</v>
          </cell>
        </row>
        <row r="566">
          <cell r="A566">
            <v>40792</v>
          </cell>
          <cell r="B566">
            <v>40792</v>
          </cell>
          <cell r="C566" t="str">
            <v>Future</v>
          </cell>
          <cell r="D566" t="e">
            <v>#N/A</v>
          </cell>
          <cell r="E566">
            <v>13.96216216216216</v>
          </cell>
          <cell r="F566">
            <v>14.435135135135139</v>
          </cell>
          <cell r="G566">
            <v>14.340540540540541</v>
          </cell>
          <cell r="H566">
            <v>14.340540540540541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14.52</v>
          </cell>
          <cell r="Q566" t="str">
            <v/>
          </cell>
          <cell r="R566" t="e">
            <v>#N/A</v>
          </cell>
        </row>
        <row r="567">
          <cell r="A567">
            <v>40793</v>
          </cell>
          <cell r="B567">
            <v>40793</v>
          </cell>
          <cell r="C567" t="str">
            <v>Future</v>
          </cell>
          <cell r="D567" t="e">
            <v>#N/A</v>
          </cell>
          <cell r="E567">
            <v>13.906756756756755</v>
          </cell>
          <cell r="F567">
            <v>14.447297297297302</v>
          </cell>
          <cell r="G567">
            <v>14.33918918918919</v>
          </cell>
          <cell r="H567">
            <v>14.33918918918919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14.52</v>
          </cell>
          <cell r="Q567" t="str">
            <v/>
          </cell>
          <cell r="R567" t="e">
            <v>#N/A</v>
          </cell>
        </row>
        <row r="568">
          <cell r="A568">
            <v>40794</v>
          </cell>
          <cell r="B568">
            <v>40794</v>
          </cell>
          <cell r="C568" t="str">
            <v>Future</v>
          </cell>
          <cell r="D568" t="e">
            <v>#N/A</v>
          </cell>
          <cell r="E568">
            <v>13.851351351351349</v>
          </cell>
          <cell r="F568">
            <v>14.459459459459465</v>
          </cell>
          <cell r="G568">
            <v>14.337837837837839</v>
          </cell>
          <cell r="H568">
            <v>14.337837837837839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14.52</v>
          </cell>
          <cell r="Q568" t="str">
            <v/>
          </cell>
          <cell r="R568" t="e">
            <v>#N/A</v>
          </cell>
        </row>
        <row r="569">
          <cell r="A569">
            <v>40795</v>
          </cell>
          <cell r="B569">
            <v>40795</v>
          </cell>
          <cell r="C569" t="str">
            <v>Future</v>
          </cell>
          <cell r="D569" t="e">
            <v>#N/A</v>
          </cell>
          <cell r="E569">
            <v>13.795945945945943</v>
          </cell>
          <cell r="F569">
            <v>14.471621621621628</v>
          </cell>
          <cell r="G569">
            <v>14.336486486486487</v>
          </cell>
          <cell r="H569">
            <v>14.336486486486487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14.52</v>
          </cell>
          <cell r="Q569" t="str">
            <v/>
          </cell>
          <cell r="R569" t="e">
            <v>#N/A</v>
          </cell>
        </row>
        <row r="570">
          <cell r="A570">
            <v>40798</v>
          </cell>
          <cell r="B570">
            <v>40798</v>
          </cell>
          <cell r="C570" t="str">
            <v>Future</v>
          </cell>
          <cell r="D570" t="e">
            <v>#N/A</v>
          </cell>
          <cell r="E570">
            <v>13.740540540540538</v>
          </cell>
          <cell r="F570">
            <v>14.483783783783791</v>
          </cell>
          <cell r="G570">
            <v>14.335135135135136</v>
          </cell>
          <cell r="H570">
            <v>14.335135135135136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14.52</v>
          </cell>
          <cell r="Q570" t="str">
            <v/>
          </cell>
          <cell r="R570" t="e">
            <v>#N/A</v>
          </cell>
        </row>
        <row r="571">
          <cell r="A571">
            <v>40799</v>
          </cell>
          <cell r="B571">
            <v>40799</v>
          </cell>
          <cell r="C571" t="str">
            <v>Future</v>
          </cell>
          <cell r="D571" t="e">
            <v>#N/A</v>
          </cell>
          <cell r="E571">
            <v>13.685135135135132</v>
          </cell>
          <cell r="F571">
            <v>14.495945945945953</v>
          </cell>
          <cell r="G571">
            <v>14.333783783783785</v>
          </cell>
          <cell r="H571">
            <v>14.333783783783785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14.52</v>
          </cell>
          <cell r="Q571" t="str">
            <v/>
          </cell>
          <cell r="R571" t="e">
            <v>#N/A</v>
          </cell>
        </row>
        <row r="572">
          <cell r="A572">
            <v>40800</v>
          </cell>
          <cell r="B572">
            <v>40800</v>
          </cell>
          <cell r="C572" t="str">
            <v>Future</v>
          </cell>
          <cell r="D572" t="e">
            <v>#N/A</v>
          </cell>
          <cell r="E572">
            <v>13.629729729729727</v>
          </cell>
          <cell r="F572">
            <v>14.508108108108116</v>
          </cell>
          <cell r="G572">
            <v>14.332432432432434</v>
          </cell>
          <cell r="H572">
            <v>14.332432432432434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14.52</v>
          </cell>
          <cell r="Q572" t="str">
            <v/>
          </cell>
          <cell r="R572" t="e">
            <v>#N/A</v>
          </cell>
        </row>
        <row r="573">
          <cell r="A573">
            <v>40801</v>
          </cell>
          <cell r="B573">
            <v>40801</v>
          </cell>
          <cell r="C573" t="str">
            <v>Future</v>
          </cell>
          <cell r="D573" t="e">
            <v>#N/A</v>
          </cell>
          <cell r="E573">
            <v>13.574324324324321</v>
          </cell>
          <cell r="F573">
            <v>14.520270270270279</v>
          </cell>
          <cell r="G573">
            <v>14.331081081081082</v>
          </cell>
          <cell r="H573">
            <v>14.331081081081082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14.52</v>
          </cell>
          <cell r="Q573" t="str">
            <v/>
          </cell>
          <cell r="R573" t="e">
            <v>#N/A</v>
          </cell>
        </row>
        <row r="574">
          <cell r="A574">
            <v>40802</v>
          </cell>
          <cell r="B574">
            <v>40802</v>
          </cell>
          <cell r="C574" t="str">
            <v>Future</v>
          </cell>
          <cell r="D574" t="e">
            <v>#N/A</v>
          </cell>
          <cell r="E574">
            <v>13.518918918918915</v>
          </cell>
          <cell r="F574">
            <v>14.532432432432442</v>
          </cell>
          <cell r="G574">
            <v>14.329729729729731</v>
          </cell>
          <cell r="H574">
            <v>14.329729729729731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14.52</v>
          </cell>
          <cell r="Q574" t="str">
            <v/>
          </cell>
          <cell r="R574" t="e">
            <v>#N/A</v>
          </cell>
        </row>
        <row r="575">
          <cell r="A575">
            <v>40805</v>
          </cell>
          <cell r="B575">
            <v>40805</v>
          </cell>
          <cell r="C575" t="str">
            <v>Future</v>
          </cell>
          <cell r="D575" t="e">
            <v>#N/A</v>
          </cell>
          <cell r="E575">
            <v>13.46351351351351</v>
          </cell>
          <cell r="F575">
            <v>14.544594594594605</v>
          </cell>
          <cell r="G575">
            <v>14.32837837837838</v>
          </cell>
          <cell r="H575">
            <v>14.32837837837838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 t="e">
            <v>#N/A</v>
          </cell>
          <cell r="P575">
            <v>14.52</v>
          </cell>
          <cell r="Q575" t="str">
            <v/>
          </cell>
          <cell r="R575" t="e">
            <v>#N/A</v>
          </cell>
        </row>
        <row r="576">
          <cell r="A576">
            <v>40806</v>
          </cell>
          <cell r="B576">
            <v>40806</v>
          </cell>
          <cell r="C576" t="str">
            <v>Future</v>
          </cell>
          <cell r="D576" t="e">
            <v>#N/A</v>
          </cell>
          <cell r="E576">
            <v>13.408108108108104</v>
          </cell>
          <cell r="F576">
            <v>14.556756756756768</v>
          </cell>
          <cell r="G576">
            <v>14.327027027027029</v>
          </cell>
          <cell r="H576">
            <v>14.327027027027029</v>
          </cell>
          <cell r="I576" t="e">
            <v>#N/A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 t="e">
            <v>#N/A</v>
          </cell>
          <cell r="P576">
            <v>14.52</v>
          </cell>
          <cell r="Q576" t="str">
            <v/>
          </cell>
          <cell r="R576" t="e">
            <v>#N/A</v>
          </cell>
        </row>
        <row r="577">
          <cell r="A577">
            <v>40807</v>
          </cell>
          <cell r="B577">
            <v>40807</v>
          </cell>
          <cell r="C577" t="str">
            <v>Future</v>
          </cell>
          <cell r="D577" t="e">
            <v>#N/A</v>
          </cell>
          <cell r="E577">
            <v>13.352702702702699</v>
          </cell>
          <cell r="F577">
            <v>14.56891891891893</v>
          </cell>
          <cell r="G577">
            <v>14.325675675675678</v>
          </cell>
          <cell r="H577">
            <v>14.325675675675678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14.52</v>
          </cell>
          <cell r="Q577" t="str">
            <v/>
          </cell>
          <cell r="R577" t="e">
            <v>#N/A</v>
          </cell>
        </row>
        <row r="578">
          <cell r="A578">
            <v>40808</v>
          </cell>
          <cell r="B578">
            <v>40808</v>
          </cell>
          <cell r="C578" t="str">
            <v>Future</v>
          </cell>
          <cell r="D578" t="e">
            <v>#N/A</v>
          </cell>
          <cell r="E578">
            <v>13.297297297297293</v>
          </cell>
          <cell r="F578">
            <v>14.581081081081093</v>
          </cell>
          <cell r="G578">
            <v>14.324324324324326</v>
          </cell>
          <cell r="H578">
            <v>14.324324324324326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14.52</v>
          </cell>
          <cell r="Q578" t="str">
            <v/>
          </cell>
          <cell r="R578" t="e">
            <v>#N/A</v>
          </cell>
        </row>
        <row r="579">
          <cell r="A579">
            <v>40809</v>
          </cell>
          <cell r="B579">
            <v>40809</v>
          </cell>
          <cell r="C579" t="str">
            <v>Future</v>
          </cell>
          <cell r="D579" t="e">
            <v>#N/A</v>
          </cell>
          <cell r="E579">
            <v>13.241891891891887</v>
          </cell>
          <cell r="F579">
            <v>14.593243243243256</v>
          </cell>
          <cell r="G579">
            <v>14.322972972972975</v>
          </cell>
          <cell r="H579">
            <v>14.322972972972975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14.52</v>
          </cell>
          <cell r="Q579" t="str">
            <v/>
          </cell>
          <cell r="R579" t="e">
            <v>#N/A</v>
          </cell>
        </row>
        <row r="580">
          <cell r="A580">
            <v>40812</v>
          </cell>
          <cell r="B580">
            <v>40812</v>
          </cell>
          <cell r="C580" t="str">
            <v>Future</v>
          </cell>
          <cell r="D580" t="e">
            <v>#N/A</v>
          </cell>
          <cell r="E580">
            <v>13.186486486486482</v>
          </cell>
          <cell r="F580">
            <v>14.605405405405419</v>
          </cell>
          <cell r="G580">
            <v>14.321621621621624</v>
          </cell>
          <cell r="H580">
            <v>14.321621621621624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14.52</v>
          </cell>
          <cell r="Q580" t="str">
            <v/>
          </cell>
          <cell r="R580" t="e">
            <v>#N/A</v>
          </cell>
        </row>
        <row r="581">
          <cell r="A581">
            <v>40813</v>
          </cell>
          <cell r="B581">
            <v>40813</v>
          </cell>
          <cell r="C581" t="str">
            <v>Future</v>
          </cell>
          <cell r="D581" t="e">
            <v>#N/A</v>
          </cell>
          <cell r="E581">
            <v>13.131081081081076</v>
          </cell>
          <cell r="F581">
            <v>14.617567567567582</v>
          </cell>
          <cell r="G581">
            <v>14.320270270270273</v>
          </cell>
          <cell r="H581">
            <v>14.320270270270273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14.52</v>
          </cell>
          <cell r="Q581" t="str">
            <v/>
          </cell>
          <cell r="R581" t="e">
            <v>#N/A</v>
          </cell>
        </row>
        <row r="582">
          <cell r="A582">
            <v>40814</v>
          </cell>
          <cell r="B582">
            <v>40814</v>
          </cell>
          <cell r="C582" t="str">
            <v>Future</v>
          </cell>
          <cell r="D582" t="e">
            <v>#N/A</v>
          </cell>
          <cell r="E582">
            <v>13.07567567567567</v>
          </cell>
          <cell r="F582">
            <v>14.629729729729744</v>
          </cell>
          <cell r="G582">
            <v>14.318918918918921</v>
          </cell>
          <cell r="H582">
            <v>14.318918918918921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14.52</v>
          </cell>
          <cell r="Q582" t="str">
            <v/>
          </cell>
          <cell r="R582" t="e">
            <v>#N/A</v>
          </cell>
        </row>
        <row r="583">
          <cell r="A583">
            <v>40815</v>
          </cell>
          <cell r="B583">
            <v>40815</v>
          </cell>
          <cell r="C583" t="str">
            <v>Future</v>
          </cell>
          <cell r="D583" t="e">
            <v>#N/A</v>
          </cell>
          <cell r="E583">
            <v>13.020270270270265</v>
          </cell>
          <cell r="F583">
            <v>14.641891891891907</v>
          </cell>
          <cell r="G583">
            <v>14.31756756756757</v>
          </cell>
          <cell r="H583">
            <v>14.31756756756757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14.52</v>
          </cell>
          <cell r="Q583" t="str">
            <v/>
          </cell>
          <cell r="R583" t="e">
            <v>#N/A</v>
          </cell>
        </row>
        <row r="584">
          <cell r="A584">
            <v>40816</v>
          </cell>
          <cell r="B584">
            <v>40816</v>
          </cell>
          <cell r="C584" t="str">
            <v>Future</v>
          </cell>
          <cell r="D584" t="e">
            <v>#N/A</v>
          </cell>
          <cell r="E584">
            <v>12.964864864864859</v>
          </cell>
          <cell r="F584">
            <v>14.65405405405407</v>
          </cell>
          <cell r="G584">
            <v>14.316216216216219</v>
          </cell>
          <cell r="H584">
            <v>14.316216216216219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14.52</v>
          </cell>
          <cell r="Q584" t="str">
            <v/>
          </cell>
          <cell r="R584" t="e">
            <v>#N/A</v>
          </cell>
        </row>
        <row r="585">
          <cell r="A585">
            <v>40819</v>
          </cell>
          <cell r="B585">
            <v>40819</v>
          </cell>
          <cell r="C585" t="str">
            <v>Future</v>
          </cell>
          <cell r="D585" t="e">
            <v>#N/A</v>
          </cell>
          <cell r="E585">
            <v>12.909459459459454</v>
          </cell>
          <cell r="F585">
            <v>14.666216216216233</v>
          </cell>
          <cell r="G585">
            <v>14.314864864864868</v>
          </cell>
          <cell r="H585">
            <v>14.314864864864868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14.52</v>
          </cell>
          <cell r="Q585" t="str">
            <v/>
          </cell>
          <cell r="R585" t="e">
            <v>#N/A</v>
          </cell>
        </row>
        <row r="586">
          <cell r="A586">
            <v>40820</v>
          </cell>
          <cell r="B586">
            <v>40820</v>
          </cell>
          <cell r="C586" t="str">
            <v>Future</v>
          </cell>
          <cell r="D586" t="e">
            <v>#N/A</v>
          </cell>
          <cell r="E586">
            <v>12.854054054054048</v>
          </cell>
          <cell r="F586">
            <v>14.678378378378396</v>
          </cell>
          <cell r="G586">
            <v>14.313513513513517</v>
          </cell>
          <cell r="H586">
            <v>14.313513513513517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14.52</v>
          </cell>
          <cell r="Q586" t="str">
            <v/>
          </cell>
          <cell r="R586" t="e">
            <v>#N/A</v>
          </cell>
        </row>
        <row r="587">
          <cell r="A587">
            <v>40821</v>
          </cell>
          <cell r="B587">
            <v>40821</v>
          </cell>
          <cell r="C587" t="str">
            <v>Future</v>
          </cell>
          <cell r="D587" t="e">
            <v>#N/A</v>
          </cell>
          <cell r="E587">
            <v>12.798648648648642</v>
          </cell>
          <cell r="F587">
            <v>14.690540540540558</v>
          </cell>
          <cell r="G587">
            <v>14.312162162162165</v>
          </cell>
          <cell r="H587">
            <v>14.312162162162165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14.52</v>
          </cell>
          <cell r="Q587" t="str">
            <v/>
          </cell>
          <cell r="R587" t="e">
            <v>#N/A</v>
          </cell>
        </row>
        <row r="588">
          <cell r="A588">
            <v>40822</v>
          </cell>
          <cell r="B588">
            <v>40822</v>
          </cell>
          <cell r="C588" t="str">
            <v>Future</v>
          </cell>
          <cell r="D588" t="e">
            <v>#N/A</v>
          </cell>
          <cell r="E588">
            <v>12.743243243243237</v>
          </cell>
          <cell r="F588">
            <v>14.702702702702721</v>
          </cell>
          <cell r="G588">
            <v>14.310810810810814</v>
          </cell>
          <cell r="H588">
            <v>14.310810810810814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14.52</v>
          </cell>
          <cell r="Q588" t="str">
            <v/>
          </cell>
          <cell r="R588" t="e">
            <v>#N/A</v>
          </cell>
        </row>
        <row r="589">
          <cell r="A589">
            <v>40823</v>
          </cell>
          <cell r="B589">
            <v>40823</v>
          </cell>
          <cell r="C589" t="str">
            <v>Future</v>
          </cell>
          <cell r="D589" t="e">
            <v>#N/A</v>
          </cell>
          <cell r="E589">
            <v>12.687837837837831</v>
          </cell>
          <cell r="F589">
            <v>14.714864864864884</v>
          </cell>
          <cell r="G589">
            <v>14.309459459459463</v>
          </cell>
          <cell r="H589">
            <v>14.309459459459463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14.52</v>
          </cell>
          <cell r="Q589" t="str">
            <v/>
          </cell>
          <cell r="R589" t="e">
            <v>#N/A</v>
          </cell>
        </row>
        <row r="590">
          <cell r="A590">
            <v>40826</v>
          </cell>
          <cell r="B590">
            <v>40826</v>
          </cell>
          <cell r="C590" t="str">
            <v>Future</v>
          </cell>
          <cell r="D590" t="e">
            <v>#N/A</v>
          </cell>
          <cell r="E590">
            <v>12.632432432432426</v>
          </cell>
          <cell r="F590">
            <v>14.727027027027047</v>
          </cell>
          <cell r="G590">
            <v>14.308108108108112</v>
          </cell>
          <cell r="H590">
            <v>14.308108108108112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14.52</v>
          </cell>
          <cell r="Q590" t="str">
            <v/>
          </cell>
          <cell r="R590" t="e">
            <v>#N/A</v>
          </cell>
        </row>
        <row r="591">
          <cell r="A591">
            <v>40827</v>
          </cell>
          <cell r="B591">
            <v>40827</v>
          </cell>
          <cell r="C591" t="str">
            <v>Future</v>
          </cell>
          <cell r="D591" t="e">
            <v>#N/A</v>
          </cell>
          <cell r="E591">
            <v>12.57702702702702</v>
          </cell>
          <cell r="F591">
            <v>14.73918918918921</v>
          </cell>
          <cell r="G591">
            <v>14.30675675675676</v>
          </cell>
          <cell r="H591">
            <v>14.30675675675676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14.52</v>
          </cell>
          <cell r="Q591" t="str">
            <v/>
          </cell>
          <cell r="R591" t="e">
            <v>#N/A</v>
          </cell>
        </row>
        <row r="592">
          <cell r="A592">
            <v>40828</v>
          </cell>
          <cell r="B592">
            <v>40828</v>
          </cell>
          <cell r="C592" t="str">
            <v>Future</v>
          </cell>
          <cell r="D592" t="e">
            <v>#N/A</v>
          </cell>
          <cell r="E592">
            <v>12.521621621621614</v>
          </cell>
          <cell r="F592">
            <v>14.751351351351373</v>
          </cell>
          <cell r="G592">
            <v>14.305405405405409</v>
          </cell>
          <cell r="H592">
            <v>14.305405405405409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14.52</v>
          </cell>
          <cell r="Q592" t="str">
            <v/>
          </cell>
          <cell r="R592" t="e">
            <v>#N/A</v>
          </cell>
        </row>
        <row r="593">
          <cell r="A593">
            <v>40829</v>
          </cell>
          <cell r="B593">
            <v>40829</v>
          </cell>
          <cell r="C593" t="str">
            <v>Future</v>
          </cell>
          <cell r="D593" t="e">
            <v>#N/A</v>
          </cell>
          <cell r="E593">
            <v>12.466216216216209</v>
          </cell>
          <cell r="F593">
            <v>14.763513513513535</v>
          </cell>
          <cell r="G593">
            <v>14.304054054054058</v>
          </cell>
          <cell r="H593">
            <v>14.304054054054058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14.52</v>
          </cell>
          <cell r="Q593" t="str">
            <v/>
          </cell>
          <cell r="R593" t="e">
            <v>#N/A</v>
          </cell>
        </row>
        <row r="594">
          <cell r="A594">
            <v>40830</v>
          </cell>
          <cell r="B594">
            <v>40830</v>
          </cell>
          <cell r="C594" t="str">
            <v>Future</v>
          </cell>
          <cell r="D594" t="e">
            <v>#N/A</v>
          </cell>
          <cell r="E594">
            <v>12.410810810810803</v>
          </cell>
          <cell r="F594">
            <v>14.775675675675698</v>
          </cell>
          <cell r="G594">
            <v>14.302702702702707</v>
          </cell>
          <cell r="H594">
            <v>14.302702702702707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14.52</v>
          </cell>
          <cell r="Q594" t="str">
            <v/>
          </cell>
          <cell r="R594" t="e">
            <v>#N/A</v>
          </cell>
        </row>
        <row r="595">
          <cell r="A595">
            <v>40833</v>
          </cell>
          <cell r="B595">
            <v>40833</v>
          </cell>
          <cell r="C595" t="str">
            <v>Future</v>
          </cell>
          <cell r="D595" t="e">
            <v>#N/A</v>
          </cell>
          <cell r="E595">
            <v>12.355405405405397</v>
          </cell>
          <cell r="F595">
            <v>14.787837837837861</v>
          </cell>
          <cell r="G595">
            <v>14.301351351351355</v>
          </cell>
          <cell r="H595">
            <v>14.301351351351355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14.52</v>
          </cell>
          <cell r="Q595" t="str">
            <v/>
          </cell>
          <cell r="R595" t="e">
            <v>#N/A</v>
          </cell>
        </row>
        <row r="596">
          <cell r="A596">
            <v>40834</v>
          </cell>
          <cell r="B596">
            <v>40834</v>
          </cell>
          <cell r="C596" t="str">
            <v>Future</v>
          </cell>
          <cell r="D596" t="e">
            <v>#N/A</v>
          </cell>
          <cell r="E596">
            <v>12.299999999999992</v>
          </cell>
          <cell r="F596">
            <v>14.800000000000024</v>
          </cell>
          <cell r="G596">
            <v>14.300000000000004</v>
          </cell>
          <cell r="H596">
            <v>14.300000000000004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14.52</v>
          </cell>
          <cell r="Q596" t="str">
            <v/>
          </cell>
          <cell r="R596" t="e">
            <v>#N/A</v>
          </cell>
        </row>
        <row r="597">
          <cell r="A597">
            <v>40835</v>
          </cell>
          <cell r="B597">
            <v>40835</v>
          </cell>
          <cell r="C597" t="str">
            <v>Future</v>
          </cell>
          <cell r="D597" t="e">
            <v>#N/A</v>
          </cell>
          <cell r="E597">
            <v>12.244594594594586</v>
          </cell>
          <cell r="F597">
            <v>14.812162162162187</v>
          </cell>
          <cell r="G597">
            <v>14.298648648648653</v>
          </cell>
          <cell r="H597">
            <v>14.298648648648653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14.52</v>
          </cell>
          <cell r="Q597" t="str">
            <v/>
          </cell>
          <cell r="R597" t="e">
            <v>#N/A</v>
          </cell>
        </row>
        <row r="598">
          <cell r="A598">
            <v>40836</v>
          </cell>
          <cell r="B598">
            <v>40836</v>
          </cell>
          <cell r="C598" t="str">
            <v>Future</v>
          </cell>
          <cell r="D598" t="e">
            <v>#N/A</v>
          </cell>
          <cell r="E598">
            <v>12.189189189189181</v>
          </cell>
          <cell r="F598">
            <v>14.824324324324349</v>
          </cell>
          <cell r="G598">
            <v>14.297297297297302</v>
          </cell>
          <cell r="H598">
            <v>14.297297297297302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14.52</v>
          </cell>
          <cell r="Q598" t="str">
            <v/>
          </cell>
          <cell r="R598" t="e">
            <v>#N/A</v>
          </cell>
        </row>
        <row r="599">
          <cell r="A599">
            <v>40837</v>
          </cell>
          <cell r="B599">
            <v>40837</v>
          </cell>
          <cell r="C599" t="str">
            <v>Future</v>
          </cell>
          <cell r="D599" t="e">
            <v>#N/A</v>
          </cell>
          <cell r="E599">
            <v>12.133783783783775</v>
          </cell>
          <cell r="F599">
            <v>14.836486486486512</v>
          </cell>
          <cell r="G599">
            <v>14.295945945945951</v>
          </cell>
          <cell r="H599">
            <v>14.295945945945951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14.52</v>
          </cell>
          <cell r="Q599" t="str">
            <v/>
          </cell>
          <cell r="R599" t="e">
            <v>#N/A</v>
          </cell>
        </row>
        <row r="600">
          <cell r="A600">
            <v>40840</v>
          </cell>
          <cell r="B600">
            <v>40840</v>
          </cell>
          <cell r="C600" t="str">
            <v>Future</v>
          </cell>
          <cell r="D600" t="e">
            <v>#N/A</v>
          </cell>
          <cell r="E600">
            <v>12.078378378378369</v>
          </cell>
          <cell r="F600">
            <v>14.848648648648675</v>
          </cell>
          <cell r="G600">
            <v>14.294594594594599</v>
          </cell>
          <cell r="H600">
            <v>14.294594594594599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14.52</v>
          </cell>
          <cell r="Q600" t="str">
            <v/>
          </cell>
          <cell r="R600" t="e">
            <v>#N/A</v>
          </cell>
        </row>
        <row r="601">
          <cell r="A601">
            <v>40841</v>
          </cell>
          <cell r="B601">
            <v>40841</v>
          </cell>
          <cell r="C601" t="str">
            <v>Future</v>
          </cell>
          <cell r="D601" t="e">
            <v>#N/A</v>
          </cell>
          <cell r="E601">
            <v>12.022972972972964</v>
          </cell>
          <cell r="F601">
            <v>14.860810810810838</v>
          </cell>
          <cell r="G601">
            <v>14.293243243243248</v>
          </cell>
          <cell r="H601">
            <v>14.293243243243248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14.52</v>
          </cell>
          <cell r="Q601" t="str">
            <v/>
          </cell>
          <cell r="R601" t="e">
            <v>#N/A</v>
          </cell>
        </row>
        <row r="602">
          <cell r="A602">
            <v>40842</v>
          </cell>
          <cell r="B602">
            <v>40842</v>
          </cell>
          <cell r="C602" t="str">
            <v>Future</v>
          </cell>
          <cell r="D602" t="e">
            <v>#N/A</v>
          </cell>
          <cell r="E602">
            <v>11.967567567567558</v>
          </cell>
          <cell r="F602">
            <v>14.872972972973001</v>
          </cell>
          <cell r="G602">
            <v>14.291891891891897</v>
          </cell>
          <cell r="H602">
            <v>14.291891891891897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14.52</v>
          </cell>
          <cell r="Q602" t="str">
            <v/>
          </cell>
          <cell r="R602" t="e">
            <v>#N/A</v>
          </cell>
        </row>
        <row r="603">
          <cell r="A603">
            <v>40843</v>
          </cell>
          <cell r="B603">
            <v>40843</v>
          </cell>
          <cell r="C603" t="str">
            <v>Future</v>
          </cell>
          <cell r="D603" t="e">
            <v>#N/A</v>
          </cell>
          <cell r="E603">
            <v>11.912162162162153</v>
          </cell>
          <cell r="F603">
            <v>14.885135135135164</v>
          </cell>
          <cell r="G603">
            <v>14.290540540540546</v>
          </cell>
          <cell r="H603">
            <v>14.290540540540546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14.52</v>
          </cell>
          <cell r="Q603" t="str">
            <v/>
          </cell>
          <cell r="R603" t="e">
            <v>#N/A</v>
          </cell>
        </row>
        <row r="604">
          <cell r="A604">
            <v>40844</v>
          </cell>
          <cell r="B604">
            <v>40844</v>
          </cell>
          <cell r="C604" t="str">
            <v>Future</v>
          </cell>
          <cell r="D604" t="e">
            <v>#N/A</v>
          </cell>
          <cell r="E604">
            <v>11.856756756756747</v>
          </cell>
          <cell r="F604">
            <v>14.897297297297326</v>
          </cell>
          <cell r="G604">
            <v>14.289189189189194</v>
          </cell>
          <cell r="H604">
            <v>14.289189189189194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14.52</v>
          </cell>
          <cell r="Q604" t="str">
            <v/>
          </cell>
          <cell r="R604" t="e">
            <v>#N/A</v>
          </cell>
        </row>
        <row r="605">
          <cell r="A605">
            <v>40847</v>
          </cell>
          <cell r="B605">
            <v>40847</v>
          </cell>
          <cell r="C605" t="str">
            <v>Future</v>
          </cell>
          <cell r="D605" t="e">
            <v>#N/A</v>
          </cell>
          <cell r="E605">
            <v>11.801351351351341</v>
          </cell>
          <cell r="F605">
            <v>14.909459459459489</v>
          </cell>
          <cell r="G605">
            <v>14.287837837837843</v>
          </cell>
          <cell r="H605">
            <v>14.287837837837843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14.52</v>
          </cell>
          <cell r="Q605" t="str">
            <v/>
          </cell>
          <cell r="R605" t="e">
            <v>#N/A</v>
          </cell>
        </row>
        <row r="606">
          <cell r="A606">
            <v>40848</v>
          </cell>
          <cell r="B606">
            <v>40848</v>
          </cell>
          <cell r="C606" t="str">
            <v>Future</v>
          </cell>
          <cell r="D606" t="e">
            <v>#N/A</v>
          </cell>
          <cell r="E606">
            <v>11.745945945945936</v>
          </cell>
          <cell r="F606">
            <v>14.921621621621652</v>
          </cell>
          <cell r="G606">
            <v>14.286486486486492</v>
          </cell>
          <cell r="H606">
            <v>14.286486486486492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14.52</v>
          </cell>
          <cell r="Q606" t="str">
            <v/>
          </cell>
          <cell r="R606" t="e">
            <v>#N/A</v>
          </cell>
        </row>
        <row r="607">
          <cell r="A607">
            <v>40849</v>
          </cell>
          <cell r="B607">
            <v>40849</v>
          </cell>
          <cell r="C607" t="str">
            <v>Future</v>
          </cell>
          <cell r="D607" t="e">
            <v>#N/A</v>
          </cell>
          <cell r="E607">
            <v>11.69054054054053</v>
          </cell>
          <cell r="F607">
            <v>14.933783783783815</v>
          </cell>
          <cell r="G607">
            <v>14.285135135135141</v>
          </cell>
          <cell r="H607">
            <v>14.285135135135141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14.52</v>
          </cell>
          <cell r="Q607" t="str">
            <v/>
          </cell>
          <cell r="R607" t="e">
            <v>#N/A</v>
          </cell>
        </row>
        <row r="608">
          <cell r="A608">
            <v>40850</v>
          </cell>
          <cell r="B608">
            <v>40850</v>
          </cell>
          <cell r="C608" t="str">
            <v>Future</v>
          </cell>
          <cell r="D608" t="e">
            <v>#N/A</v>
          </cell>
          <cell r="E608">
            <v>11.635135135135124</v>
          </cell>
          <cell r="F608">
            <v>14.945945945945978</v>
          </cell>
          <cell r="G608">
            <v>14.28378378378379</v>
          </cell>
          <cell r="H608">
            <v>14.28378378378379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14.52</v>
          </cell>
          <cell r="Q608" t="str">
            <v/>
          </cell>
          <cell r="R608" t="e">
            <v>#N/A</v>
          </cell>
        </row>
        <row r="609">
          <cell r="A609">
            <v>40851</v>
          </cell>
          <cell r="B609">
            <v>40851</v>
          </cell>
          <cell r="C609" t="str">
            <v>Future</v>
          </cell>
          <cell r="D609" t="e">
            <v>#N/A</v>
          </cell>
          <cell r="E609">
            <v>11.579729729729719</v>
          </cell>
          <cell r="F609">
            <v>14.95810810810814</v>
          </cell>
          <cell r="G609">
            <v>14.282432432432438</v>
          </cell>
          <cell r="H609">
            <v>14.282432432432438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14.52</v>
          </cell>
          <cell r="Q609" t="str">
            <v/>
          </cell>
          <cell r="R609" t="e">
            <v>#N/A</v>
          </cell>
        </row>
        <row r="610">
          <cell r="A610">
            <v>40854</v>
          </cell>
          <cell r="B610">
            <v>40854</v>
          </cell>
          <cell r="C610" t="str">
            <v>Future</v>
          </cell>
          <cell r="D610" t="e">
            <v>#N/A</v>
          </cell>
          <cell r="E610">
            <v>11.524324324324313</v>
          </cell>
          <cell r="F610">
            <v>14.970270270270303</v>
          </cell>
          <cell r="G610">
            <v>14.281081081081087</v>
          </cell>
          <cell r="H610">
            <v>14.281081081081087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14.52</v>
          </cell>
          <cell r="Q610" t="str">
            <v/>
          </cell>
          <cell r="R610" t="e">
            <v>#N/A</v>
          </cell>
        </row>
        <row r="611">
          <cell r="A611">
            <v>40855</v>
          </cell>
          <cell r="B611">
            <v>40855</v>
          </cell>
          <cell r="C611" t="str">
            <v>Future</v>
          </cell>
          <cell r="D611" t="e">
            <v>#N/A</v>
          </cell>
          <cell r="E611">
            <v>11.468918918918908</v>
          </cell>
          <cell r="F611">
            <v>14.982432432432466</v>
          </cell>
          <cell r="G611">
            <v>14.279729729729736</v>
          </cell>
          <cell r="H611">
            <v>14.279729729729736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14.52</v>
          </cell>
          <cell r="Q611" t="str">
            <v/>
          </cell>
          <cell r="R611" t="e">
            <v>#N/A</v>
          </cell>
        </row>
        <row r="612">
          <cell r="A612">
            <v>40856</v>
          </cell>
          <cell r="B612">
            <v>40856</v>
          </cell>
          <cell r="C612" t="str">
            <v>Future</v>
          </cell>
          <cell r="D612" t="e">
            <v>#N/A</v>
          </cell>
          <cell r="E612">
            <v>11.413513513513502</v>
          </cell>
          <cell r="F612">
            <v>14.994594594594629</v>
          </cell>
          <cell r="G612">
            <v>14.278378378378385</v>
          </cell>
          <cell r="H612">
            <v>14.278378378378385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14.52</v>
          </cell>
          <cell r="Q612" t="str">
            <v/>
          </cell>
          <cell r="R612" t="e">
            <v>#N/A</v>
          </cell>
        </row>
        <row r="613">
          <cell r="A613">
            <v>40857</v>
          </cell>
          <cell r="B613">
            <v>40857</v>
          </cell>
          <cell r="C613" t="str">
            <v>Future</v>
          </cell>
          <cell r="D613" t="e">
            <v>#N/A</v>
          </cell>
          <cell r="E613">
            <v>11.358108108108096</v>
          </cell>
          <cell r="F613">
            <v>15.006756756756792</v>
          </cell>
          <cell r="G613">
            <v>14.277027027027033</v>
          </cell>
          <cell r="H613">
            <v>14.277027027027033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14.52</v>
          </cell>
          <cell r="Q613" t="str">
            <v/>
          </cell>
          <cell r="R613" t="e">
            <v>#N/A</v>
          </cell>
        </row>
        <row r="614">
          <cell r="A614">
            <v>40858</v>
          </cell>
          <cell r="B614">
            <v>40858</v>
          </cell>
          <cell r="C614" t="str">
            <v>Future</v>
          </cell>
          <cell r="D614" t="e">
            <v>#N/A</v>
          </cell>
          <cell r="E614">
            <v>11.302702702702691</v>
          </cell>
          <cell r="F614">
            <v>15.018918918918954</v>
          </cell>
          <cell r="G614">
            <v>14.275675675675682</v>
          </cell>
          <cell r="H614">
            <v>14.275675675675682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14.52</v>
          </cell>
          <cell r="Q614" t="str">
            <v/>
          </cell>
          <cell r="R614" t="e">
            <v>#N/A</v>
          </cell>
        </row>
        <row r="615">
          <cell r="A615">
            <v>40861</v>
          </cell>
          <cell r="B615">
            <v>40861</v>
          </cell>
          <cell r="C615" t="str">
            <v>Future</v>
          </cell>
          <cell r="D615" t="e">
            <v>#N/A</v>
          </cell>
          <cell r="E615">
            <v>11.247297297297285</v>
          </cell>
          <cell r="F615">
            <v>15.031081081081117</v>
          </cell>
          <cell r="G615">
            <v>14.274324324324331</v>
          </cell>
          <cell r="H615">
            <v>14.274324324324331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14.52</v>
          </cell>
          <cell r="Q615" t="str">
            <v/>
          </cell>
          <cell r="R615" t="e">
            <v>#N/A</v>
          </cell>
        </row>
        <row r="616">
          <cell r="A616">
            <v>40862</v>
          </cell>
          <cell r="B616">
            <v>40862</v>
          </cell>
          <cell r="C616" t="str">
            <v>Future</v>
          </cell>
          <cell r="D616" t="e">
            <v>#N/A</v>
          </cell>
          <cell r="E616">
            <v>11.191891891891879</v>
          </cell>
          <cell r="F616">
            <v>15.04324324324328</v>
          </cell>
          <cell r="G616">
            <v>14.27297297297298</v>
          </cell>
          <cell r="H616">
            <v>14.27297297297298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14.52</v>
          </cell>
          <cell r="Q616" t="str">
            <v/>
          </cell>
          <cell r="R616" t="e">
            <v>#N/A</v>
          </cell>
        </row>
        <row r="617">
          <cell r="A617">
            <v>40863</v>
          </cell>
          <cell r="B617">
            <v>40863</v>
          </cell>
          <cell r="C617" t="str">
            <v>Future</v>
          </cell>
          <cell r="D617" t="e">
            <v>#N/A</v>
          </cell>
          <cell r="E617">
            <v>11.136486486486474</v>
          </cell>
          <cell r="F617">
            <v>15.055405405405443</v>
          </cell>
          <cell r="G617">
            <v>14.271621621621629</v>
          </cell>
          <cell r="H617">
            <v>14.271621621621629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14.52</v>
          </cell>
          <cell r="Q617" t="str">
            <v/>
          </cell>
          <cell r="R617" t="e">
            <v>#N/A</v>
          </cell>
        </row>
        <row r="618">
          <cell r="A618">
            <v>40864</v>
          </cell>
          <cell r="B618">
            <v>40864</v>
          </cell>
          <cell r="C618" t="str">
            <v>Future</v>
          </cell>
          <cell r="D618" t="e">
            <v>#N/A</v>
          </cell>
          <cell r="E618">
            <v>11.081081081081068</v>
          </cell>
          <cell r="F618">
            <v>15.067567567567606</v>
          </cell>
          <cell r="G618">
            <v>14.270270270270277</v>
          </cell>
          <cell r="H618">
            <v>14.270270270270277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14.52</v>
          </cell>
          <cell r="Q618" t="str">
            <v/>
          </cell>
          <cell r="R618" t="e">
            <v>#N/A</v>
          </cell>
        </row>
        <row r="619">
          <cell r="A619">
            <v>40865</v>
          </cell>
          <cell r="B619">
            <v>40865</v>
          </cell>
          <cell r="C619" t="str">
            <v>Future</v>
          </cell>
          <cell r="D619" t="e">
            <v>#N/A</v>
          </cell>
          <cell r="E619">
            <v>11.025675675675663</v>
          </cell>
          <cell r="F619">
            <v>15.079729729729769</v>
          </cell>
          <cell r="G619">
            <v>14.268918918918926</v>
          </cell>
          <cell r="H619">
            <v>14.268918918918926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14.52</v>
          </cell>
          <cell r="Q619" t="str">
            <v/>
          </cell>
          <cell r="R619" t="e">
            <v>#N/A</v>
          </cell>
        </row>
        <row r="620">
          <cell r="A620">
            <v>40868</v>
          </cell>
          <cell r="B620">
            <v>40868</v>
          </cell>
          <cell r="C620" t="str">
            <v>Future</v>
          </cell>
          <cell r="D620" t="e">
            <v>#N/A</v>
          </cell>
          <cell r="E620">
            <v>10.970270270270257</v>
          </cell>
          <cell r="F620">
            <v>15.091891891891931</v>
          </cell>
          <cell r="G620">
            <v>14.267567567567575</v>
          </cell>
          <cell r="H620">
            <v>14.267567567567575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14.52</v>
          </cell>
          <cell r="Q620" t="str">
            <v/>
          </cell>
          <cell r="R620" t="e">
            <v>#N/A</v>
          </cell>
        </row>
        <row r="621">
          <cell r="A621">
            <v>40869</v>
          </cell>
          <cell r="B621">
            <v>40869</v>
          </cell>
          <cell r="C621" t="str">
            <v>Future</v>
          </cell>
          <cell r="D621" t="e">
            <v>#N/A</v>
          </cell>
          <cell r="E621">
            <v>10.914864864864851</v>
          </cell>
          <cell r="F621">
            <v>15.104054054054094</v>
          </cell>
          <cell r="G621">
            <v>14.266216216216224</v>
          </cell>
          <cell r="H621">
            <v>14.266216216216224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14.52</v>
          </cell>
          <cell r="Q621" t="str">
            <v/>
          </cell>
          <cell r="R621" t="e">
            <v>#N/A</v>
          </cell>
        </row>
        <row r="622">
          <cell r="A622">
            <v>40870</v>
          </cell>
          <cell r="B622">
            <v>40870</v>
          </cell>
          <cell r="C622" t="str">
            <v>Future</v>
          </cell>
          <cell r="D622" t="e">
            <v>#N/A</v>
          </cell>
          <cell r="E622">
            <v>10.859459459459446</v>
          </cell>
          <cell r="F622">
            <v>15.116216216216257</v>
          </cell>
          <cell r="G622">
            <v>14.264864864864872</v>
          </cell>
          <cell r="H622">
            <v>14.264864864864872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14.52</v>
          </cell>
          <cell r="Q622" t="str">
            <v/>
          </cell>
          <cell r="R622" t="e">
            <v>#N/A</v>
          </cell>
        </row>
        <row r="623">
          <cell r="A623">
            <v>40872</v>
          </cell>
          <cell r="B623">
            <v>40872</v>
          </cell>
          <cell r="C623" t="str">
            <v>Future</v>
          </cell>
          <cell r="D623" t="e">
            <v>#N/A</v>
          </cell>
          <cell r="E623">
            <v>10.80405405405404</v>
          </cell>
          <cell r="F623">
            <v>15.12837837837842</v>
          </cell>
          <cell r="G623">
            <v>14.263513513513521</v>
          </cell>
          <cell r="H623">
            <v>14.263513513513521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14.52</v>
          </cell>
          <cell r="Q623" t="str">
            <v/>
          </cell>
          <cell r="R623" t="e">
            <v>#N/A</v>
          </cell>
        </row>
        <row r="624">
          <cell r="A624">
            <v>40875</v>
          </cell>
          <cell r="B624">
            <v>40875</v>
          </cell>
          <cell r="C624" t="str">
            <v>Future</v>
          </cell>
          <cell r="D624" t="e">
            <v>#N/A</v>
          </cell>
          <cell r="E624">
            <v>10.748648648648635</v>
          </cell>
          <cell r="F624">
            <v>15.140540540540583</v>
          </cell>
          <cell r="G624">
            <v>14.26216216216217</v>
          </cell>
          <cell r="H624">
            <v>14.26216216216217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14.52</v>
          </cell>
          <cell r="Q624" t="str">
            <v/>
          </cell>
          <cell r="R624" t="e">
            <v>#N/A</v>
          </cell>
        </row>
        <row r="625">
          <cell r="A625">
            <v>40876</v>
          </cell>
          <cell r="B625">
            <v>40876</v>
          </cell>
          <cell r="C625" t="str">
            <v>Future</v>
          </cell>
          <cell r="D625" t="e">
            <v>#N/A</v>
          </cell>
          <cell r="E625">
            <v>10.693243243243229</v>
          </cell>
          <cell r="F625">
            <v>15.152702702702745</v>
          </cell>
          <cell r="G625">
            <v>14.260810810810819</v>
          </cell>
          <cell r="H625">
            <v>14.260810810810819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14.52</v>
          </cell>
          <cell r="Q625" t="str">
            <v/>
          </cell>
          <cell r="R625" t="e">
            <v>#N/A</v>
          </cell>
        </row>
        <row r="626">
          <cell r="A626">
            <v>40877</v>
          </cell>
          <cell r="B626">
            <v>40877</v>
          </cell>
          <cell r="C626" t="str">
            <v>Future</v>
          </cell>
          <cell r="D626" t="e">
            <v>#N/A</v>
          </cell>
          <cell r="E626">
            <v>10.637837837837823</v>
          </cell>
          <cell r="F626">
            <v>15.164864864864908</v>
          </cell>
          <cell r="G626">
            <v>14.259459459459467</v>
          </cell>
          <cell r="H626">
            <v>14.259459459459467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14.52</v>
          </cell>
          <cell r="Q626" t="str">
            <v/>
          </cell>
          <cell r="R626" t="e">
            <v>#N/A</v>
          </cell>
        </row>
        <row r="627">
          <cell r="A627">
            <v>40878</v>
          </cell>
          <cell r="B627">
            <v>40878</v>
          </cell>
          <cell r="C627" t="str">
            <v>Future</v>
          </cell>
          <cell r="D627" t="e">
            <v>#N/A</v>
          </cell>
          <cell r="E627">
            <v>10.582432432432418</v>
          </cell>
          <cell r="F627">
            <v>15.177027027027071</v>
          </cell>
          <cell r="G627">
            <v>14.258108108108116</v>
          </cell>
          <cell r="H627">
            <v>14.258108108108116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14.52</v>
          </cell>
          <cell r="Q627" t="str">
            <v/>
          </cell>
          <cell r="R627" t="e">
            <v>#N/A</v>
          </cell>
        </row>
        <row r="628">
          <cell r="A628">
            <v>40879</v>
          </cell>
          <cell r="B628">
            <v>40879</v>
          </cell>
          <cell r="C628" t="str">
            <v>Future</v>
          </cell>
          <cell r="D628" t="e">
            <v>#N/A</v>
          </cell>
          <cell r="E628">
            <v>10.527027027027012</v>
          </cell>
          <cell r="F628">
            <v>15.189189189189234</v>
          </cell>
          <cell r="G628">
            <v>14.256756756756765</v>
          </cell>
          <cell r="H628">
            <v>14.256756756756765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14.52</v>
          </cell>
          <cell r="Q628" t="str">
            <v/>
          </cell>
          <cell r="R628" t="e">
            <v>#N/A</v>
          </cell>
        </row>
        <row r="629">
          <cell r="A629">
            <v>40882</v>
          </cell>
          <cell r="B629">
            <v>40882</v>
          </cell>
          <cell r="C629" t="str">
            <v>Future</v>
          </cell>
          <cell r="D629" t="e">
            <v>#N/A</v>
          </cell>
          <cell r="E629">
            <v>10.471621621621606</v>
          </cell>
          <cell r="F629">
            <v>15.201351351351397</v>
          </cell>
          <cell r="G629">
            <v>14.255405405405414</v>
          </cell>
          <cell r="H629">
            <v>14.255405405405414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14.52</v>
          </cell>
          <cell r="Q629" t="str">
            <v/>
          </cell>
          <cell r="R629" t="e">
            <v>#N/A</v>
          </cell>
        </row>
        <row r="630">
          <cell r="A630">
            <v>40883</v>
          </cell>
          <cell r="B630">
            <v>40883</v>
          </cell>
          <cell r="C630" t="str">
            <v>Future</v>
          </cell>
          <cell r="D630" t="e">
            <v>#N/A</v>
          </cell>
          <cell r="E630">
            <v>10.416216216216201</v>
          </cell>
          <cell r="F630">
            <v>15.21351351351356</v>
          </cell>
          <cell r="G630">
            <v>14.254054054054063</v>
          </cell>
          <cell r="H630">
            <v>14.254054054054063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14.52</v>
          </cell>
          <cell r="Q630" t="str">
            <v/>
          </cell>
          <cell r="R630" t="e">
            <v>#N/A</v>
          </cell>
        </row>
        <row r="631">
          <cell r="A631">
            <v>40884</v>
          </cell>
          <cell r="B631">
            <v>40884</v>
          </cell>
          <cell r="C631" t="str">
            <v>Future</v>
          </cell>
          <cell r="D631" t="e">
            <v>#N/A</v>
          </cell>
          <cell r="E631">
            <v>10.360810810810795</v>
          </cell>
          <cell r="F631">
            <v>15.225675675675722</v>
          </cell>
          <cell r="G631">
            <v>14.252702702702711</v>
          </cell>
          <cell r="H631">
            <v>14.252702702702711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14.52</v>
          </cell>
          <cell r="Q631" t="str">
            <v/>
          </cell>
          <cell r="R631" t="e">
            <v>#N/A</v>
          </cell>
        </row>
        <row r="632">
          <cell r="A632">
            <v>40885</v>
          </cell>
          <cell r="B632">
            <v>40885</v>
          </cell>
          <cell r="C632" t="str">
            <v>Future</v>
          </cell>
          <cell r="D632" t="e">
            <v>#N/A</v>
          </cell>
          <cell r="E632">
            <v>10.30540540540539</v>
          </cell>
          <cell r="F632">
            <v>15.237837837837885</v>
          </cell>
          <cell r="G632">
            <v>14.25135135135136</v>
          </cell>
          <cell r="H632">
            <v>14.25135135135136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14.52</v>
          </cell>
          <cell r="Q632" t="str">
            <v/>
          </cell>
          <cell r="R632" t="e">
            <v>#N/A</v>
          </cell>
        </row>
        <row r="633">
          <cell r="A633">
            <v>40886</v>
          </cell>
          <cell r="B633">
            <v>40886</v>
          </cell>
          <cell r="C633" t="str">
            <v>Future</v>
          </cell>
          <cell r="D633" t="e">
            <v>#N/A</v>
          </cell>
          <cell r="E633">
            <v>10.249999999999984</v>
          </cell>
          <cell r="F633">
            <v>15.250000000000048</v>
          </cell>
          <cell r="G633">
            <v>14.250000000000009</v>
          </cell>
          <cell r="H633">
            <v>14.250000000000009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14.52</v>
          </cell>
          <cell r="Q633" t="str">
            <v/>
          </cell>
          <cell r="R633" t="e">
            <v>#N/A</v>
          </cell>
        </row>
        <row r="634">
          <cell r="A634">
            <v>40889</v>
          </cell>
          <cell r="B634">
            <v>40889</v>
          </cell>
          <cell r="C634" t="str">
            <v>Future</v>
          </cell>
          <cell r="D634" t="e">
            <v>#N/A</v>
          </cell>
          <cell r="E634">
            <v>10.194594594594578</v>
          </cell>
          <cell r="F634">
            <v>15.262162162162211</v>
          </cell>
          <cell r="G634">
            <v>14.248648648648658</v>
          </cell>
          <cell r="H634">
            <v>14.248648648648658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14.52</v>
          </cell>
          <cell r="Q634" t="str">
            <v/>
          </cell>
          <cell r="R634" t="e">
            <v>#N/A</v>
          </cell>
        </row>
        <row r="635">
          <cell r="A635">
            <v>40890</v>
          </cell>
          <cell r="B635">
            <v>40890</v>
          </cell>
          <cell r="C635" t="str">
            <v>Future</v>
          </cell>
          <cell r="D635" t="e">
            <v>#N/A</v>
          </cell>
          <cell r="E635">
            <v>10.139189189189173</v>
          </cell>
          <cell r="F635">
            <v>15.274324324324374</v>
          </cell>
          <cell r="G635">
            <v>14.247297297297306</v>
          </cell>
          <cell r="H635">
            <v>14.247297297297306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14.52</v>
          </cell>
          <cell r="Q635" t="str">
            <v/>
          </cell>
          <cell r="R635" t="e">
            <v>#N/A</v>
          </cell>
        </row>
        <row r="636">
          <cell r="A636">
            <v>40891</v>
          </cell>
          <cell r="B636">
            <v>40891</v>
          </cell>
          <cell r="C636" t="str">
            <v>Future</v>
          </cell>
          <cell r="D636" t="e">
            <v>#N/A</v>
          </cell>
          <cell r="E636">
            <v>10.083783783783767</v>
          </cell>
          <cell r="F636">
            <v>15.286486486486536</v>
          </cell>
          <cell r="G636">
            <v>14.245945945945955</v>
          </cell>
          <cell r="H636">
            <v>14.245945945945955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14.52</v>
          </cell>
          <cell r="Q636" t="str">
            <v/>
          </cell>
          <cell r="R636" t="e">
            <v>#N/A</v>
          </cell>
        </row>
        <row r="637">
          <cell r="A637">
            <v>40892</v>
          </cell>
          <cell r="B637">
            <v>40892</v>
          </cell>
          <cell r="C637" t="str">
            <v>Future</v>
          </cell>
          <cell r="D637" t="e">
            <v>#N/A</v>
          </cell>
          <cell r="E637">
            <v>10.028378378378362</v>
          </cell>
          <cell r="F637">
            <v>15.298648648648699</v>
          </cell>
          <cell r="G637">
            <v>14.244594594594604</v>
          </cell>
          <cell r="H637">
            <v>14.244594594594604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14.52</v>
          </cell>
          <cell r="Q637" t="str">
            <v/>
          </cell>
          <cell r="R637" t="e">
            <v>#N/A</v>
          </cell>
        </row>
        <row r="638">
          <cell r="A638">
            <v>40893</v>
          </cell>
          <cell r="B638">
            <v>40893</v>
          </cell>
          <cell r="C638" t="str">
            <v>Future</v>
          </cell>
          <cell r="D638" t="e">
            <v>#N/A</v>
          </cell>
          <cell r="E638">
            <v>9.9729729729729559</v>
          </cell>
          <cell r="F638">
            <v>15.310810810810862</v>
          </cell>
          <cell r="G638">
            <v>14.243243243243253</v>
          </cell>
          <cell r="H638">
            <v>14.243243243243253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14.52</v>
          </cell>
          <cell r="Q638" t="str">
            <v/>
          </cell>
          <cell r="R638" t="e">
            <v>#N/A</v>
          </cell>
        </row>
        <row r="639">
          <cell r="A639">
            <v>40896</v>
          </cell>
          <cell r="B639">
            <v>40896</v>
          </cell>
          <cell r="C639" t="str">
            <v>Future</v>
          </cell>
          <cell r="D639" t="e">
            <v>#N/A</v>
          </cell>
          <cell r="E639">
            <v>9.9175675675675503</v>
          </cell>
          <cell r="F639">
            <v>15.322972972973025</v>
          </cell>
          <cell r="G639">
            <v>14.241891891891902</v>
          </cell>
          <cell r="H639">
            <v>14.241891891891902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14.52</v>
          </cell>
          <cell r="Q639" t="str">
            <v/>
          </cell>
          <cell r="R639" t="e">
            <v>#N/A</v>
          </cell>
        </row>
        <row r="640">
          <cell r="A640">
            <v>40897</v>
          </cell>
          <cell r="B640">
            <v>40897</v>
          </cell>
          <cell r="C640" t="str">
            <v>Future</v>
          </cell>
          <cell r="D640" t="e">
            <v>#N/A</v>
          </cell>
          <cell r="E640">
            <v>9.8621621621621447</v>
          </cell>
          <cell r="F640">
            <v>15.335135135135188</v>
          </cell>
          <cell r="G640">
            <v>14.24054054054055</v>
          </cell>
          <cell r="H640">
            <v>14.24054054054055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14.52</v>
          </cell>
          <cell r="Q640" t="str">
            <v/>
          </cell>
          <cell r="R640" t="e">
            <v>#N/A</v>
          </cell>
        </row>
        <row r="641">
          <cell r="A641">
            <v>40898</v>
          </cell>
          <cell r="B641">
            <v>40898</v>
          </cell>
          <cell r="C641" t="str">
            <v>Future</v>
          </cell>
          <cell r="D641" t="e">
            <v>#N/A</v>
          </cell>
          <cell r="E641">
            <v>9.8067567567567391</v>
          </cell>
          <cell r="F641">
            <v>15.34729729729735</v>
          </cell>
          <cell r="G641">
            <v>14.239189189189199</v>
          </cell>
          <cell r="H641">
            <v>14.239189189189199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14.52</v>
          </cell>
          <cell r="Q641" t="str">
            <v/>
          </cell>
          <cell r="R641" t="e">
            <v>#N/A</v>
          </cell>
        </row>
        <row r="642">
          <cell r="A642">
            <v>40899</v>
          </cell>
          <cell r="B642">
            <v>40899</v>
          </cell>
          <cell r="C642" t="str">
            <v>Future</v>
          </cell>
          <cell r="D642" t="e">
            <v>#N/A</v>
          </cell>
          <cell r="E642">
            <v>9.7513513513513335</v>
          </cell>
          <cell r="F642">
            <v>15.359459459459513</v>
          </cell>
          <cell r="G642">
            <v>14.237837837837848</v>
          </cell>
          <cell r="H642">
            <v>14.237837837837848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14.52</v>
          </cell>
          <cell r="Q642" t="str">
            <v/>
          </cell>
          <cell r="R642" t="e">
            <v>#N/A</v>
          </cell>
        </row>
        <row r="643">
          <cell r="A643">
            <v>40900</v>
          </cell>
          <cell r="B643">
            <v>40900</v>
          </cell>
          <cell r="C643" t="str">
            <v>Future</v>
          </cell>
          <cell r="D643" t="e">
            <v>#N/A</v>
          </cell>
          <cell r="E643">
            <v>9.6959459459459278</v>
          </cell>
          <cell r="F643">
            <v>15.371621621621676</v>
          </cell>
          <cell r="G643">
            <v>14.236486486486497</v>
          </cell>
          <cell r="H643">
            <v>14.236486486486497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14.52</v>
          </cell>
          <cell r="Q643" t="str">
            <v/>
          </cell>
          <cell r="R643" t="e">
            <v>#N/A</v>
          </cell>
        </row>
        <row r="644">
          <cell r="A644">
            <v>40904</v>
          </cell>
          <cell r="B644">
            <v>40904</v>
          </cell>
          <cell r="C644" t="str">
            <v>Future</v>
          </cell>
          <cell r="D644" t="e">
            <v>#N/A</v>
          </cell>
          <cell r="E644">
            <v>9.6405405405405222</v>
          </cell>
          <cell r="F644">
            <v>15.383783783783839</v>
          </cell>
          <cell r="G644">
            <v>14.235135135135145</v>
          </cell>
          <cell r="H644">
            <v>14.235135135135145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14.52</v>
          </cell>
          <cell r="Q644" t="str">
            <v/>
          </cell>
          <cell r="R644" t="e">
            <v>#N/A</v>
          </cell>
        </row>
        <row r="645">
          <cell r="A645">
            <v>40905</v>
          </cell>
          <cell r="B645">
            <v>40905</v>
          </cell>
          <cell r="C645" t="str">
            <v>Future</v>
          </cell>
          <cell r="D645" t="e">
            <v>#N/A</v>
          </cell>
          <cell r="E645">
            <v>9.5851351351351166</v>
          </cell>
          <cell r="F645">
            <v>15.395945945946002</v>
          </cell>
          <cell r="G645">
            <v>14.233783783783794</v>
          </cell>
          <cell r="H645">
            <v>14.233783783783794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14.52</v>
          </cell>
          <cell r="Q645" t="str">
            <v/>
          </cell>
          <cell r="R645" t="e">
            <v>#N/A</v>
          </cell>
        </row>
        <row r="646">
          <cell r="A646">
            <v>40906</v>
          </cell>
          <cell r="B646">
            <v>40906</v>
          </cell>
          <cell r="C646" t="str">
            <v>Future</v>
          </cell>
          <cell r="D646" t="e">
            <v>#N/A</v>
          </cell>
          <cell r="E646">
            <v>9.529729729729711</v>
          </cell>
          <cell r="F646">
            <v>15.408108108108165</v>
          </cell>
          <cell r="G646">
            <v>14.232432432432443</v>
          </cell>
          <cell r="H646">
            <v>14.232432432432443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14.52</v>
          </cell>
          <cell r="Q646" t="str">
            <v/>
          </cell>
          <cell r="R646" t="e">
            <v>#N/A</v>
          </cell>
        </row>
        <row r="647">
          <cell r="A647">
            <v>40907</v>
          </cell>
          <cell r="B647">
            <v>40907</v>
          </cell>
          <cell r="C647" t="str">
            <v>Future</v>
          </cell>
          <cell r="D647" t="e">
            <v>#N/A</v>
          </cell>
          <cell r="E647">
            <v>9.4743243243243054</v>
          </cell>
          <cell r="F647">
            <v>15.420270270270327</v>
          </cell>
          <cell r="G647">
            <v>14.231081081081092</v>
          </cell>
          <cell r="H647">
            <v>14.231081081081092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14.52</v>
          </cell>
          <cell r="Q647" t="str">
            <v/>
          </cell>
          <cell r="R647" t="e">
            <v>#N/A</v>
          </cell>
        </row>
        <row r="648">
          <cell r="A648">
            <v>40910</v>
          </cell>
          <cell r="B648">
            <v>40910</v>
          </cell>
          <cell r="C648" t="str">
            <v>Future</v>
          </cell>
          <cell r="D648" t="e">
            <v>#N/A</v>
          </cell>
          <cell r="E648">
            <v>9.4189189189188998</v>
          </cell>
          <cell r="F648">
            <v>15.43243243243249</v>
          </cell>
          <cell r="G648">
            <v>14.22972972972974</v>
          </cell>
          <cell r="H648">
            <v>14.22972972972974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14.52</v>
          </cell>
          <cell r="Q648" t="str">
            <v/>
          </cell>
          <cell r="R648" t="e">
            <v>#N/A</v>
          </cell>
        </row>
        <row r="649">
          <cell r="A649">
            <v>40911</v>
          </cell>
          <cell r="B649">
            <v>40911</v>
          </cell>
          <cell r="C649" t="str">
            <v>Future</v>
          </cell>
          <cell r="D649" t="e">
            <v>#N/A</v>
          </cell>
          <cell r="E649">
            <v>9.3635135135134941</v>
          </cell>
          <cell r="F649">
            <v>15.444594594594653</v>
          </cell>
          <cell r="G649">
            <v>14.228378378378389</v>
          </cell>
          <cell r="H649">
            <v>14.228378378378389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14.52</v>
          </cell>
          <cell r="Q649" t="str">
            <v/>
          </cell>
          <cell r="R649" t="e">
            <v>#N/A</v>
          </cell>
        </row>
        <row r="650">
          <cell r="A650">
            <v>40912</v>
          </cell>
          <cell r="B650">
            <v>40912</v>
          </cell>
          <cell r="C650" t="str">
            <v>Future</v>
          </cell>
          <cell r="D650" t="e">
            <v>#N/A</v>
          </cell>
          <cell r="E650">
            <v>9.3081081081080885</v>
          </cell>
          <cell r="F650">
            <v>15.456756756756816</v>
          </cell>
          <cell r="G650">
            <v>14.227027027027038</v>
          </cell>
          <cell r="H650">
            <v>14.227027027027038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14.52</v>
          </cell>
          <cell r="Q650" t="str">
            <v/>
          </cell>
          <cell r="R650" t="e">
            <v>#N/A</v>
          </cell>
        </row>
        <row r="651">
          <cell r="A651">
            <v>40913</v>
          </cell>
          <cell r="B651">
            <v>40913</v>
          </cell>
          <cell r="C651" t="str">
            <v>Future</v>
          </cell>
          <cell r="D651" t="e">
            <v>#N/A</v>
          </cell>
          <cell r="E651">
            <v>9.2527027027026829</v>
          </cell>
          <cell r="F651">
            <v>15.468918918918979</v>
          </cell>
          <cell r="G651">
            <v>14.225675675675687</v>
          </cell>
          <cell r="H651">
            <v>14.225675675675687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14.52</v>
          </cell>
          <cell r="Q651" t="str">
            <v/>
          </cell>
          <cell r="R651" t="e">
            <v>#N/A</v>
          </cell>
        </row>
        <row r="652">
          <cell r="A652">
            <v>40914</v>
          </cell>
          <cell r="B652">
            <v>40914</v>
          </cell>
          <cell r="C652" t="str">
            <v>Future</v>
          </cell>
          <cell r="D652" t="e">
            <v>#N/A</v>
          </cell>
          <cell r="E652">
            <v>9.1972972972972773</v>
          </cell>
          <cell r="F652">
            <v>15.481081081081141</v>
          </cell>
          <cell r="G652">
            <v>14.224324324324336</v>
          </cell>
          <cell r="H652">
            <v>14.224324324324336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14.52</v>
          </cell>
          <cell r="Q652" t="str">
            <v/>
          </cell>
          <cell r="R652" t="e">
            <v>#N/A</v>
          </cell>
        </row>
        <row r="653">
          <cell r="A653">
            <v>40917</v>
          </cell>
          <cell r="B653">
            <v>40917</v>
          </cell>
          <cell r="C653" t="str">
            <v>Future</v>
          </cell>
          <cell r="D653" t="e">
            <v>#N/A</v>
          </cell>
          <cell r="E653">
            <v>9.1418918918918717</v>
          </cell>
          <cell r="F653">
            <v>15.493243243243304</v>
          </cell>
          <cell r="G653">
            <v>14.222972972972984</v>
          </cell>
          <cell r="H653">
            <v>14.222972972972984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14.52</v>
          </cell>
          <cell r="Q653" t="str">
            <v/>
          </cell>
          <cell r="R653" t="e">
            <v>#N/A</v>
          </cell>
        </row>
        <row r="654">
          <cell r="A654">
            <v>40918</v>
          </cell>
          <cell r="B654">
            <v>40918</v>
          </cell>
          <cell r="C654" t="str">
            <v>Future</v>
          </cell>
          <cell r="D654" t="e">
            <v>#N/A</v>
          </cell>
          <cell r="E654">
            <v>9.0864864864864661</v>
          </cell>
          <cell r="F654">
            <v>15.505405405405467</v>
          </cell>
          <cell r="G654">
            <v>14.221621621621633</v>
          </cell>
          <cell r="H654">
            <v>14.221621621621633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14.52</v>
          </cell>
          <cell r="Q654" t="str">
            <v/>
          </cell>
          <cell r="R654" t="e">
            <v>#N/A</v>
          </cell>
        </row>
        <row r="655">
          <cell r="A655">
            <v>40919</v>
          </cell>
          <cell r="B655">
            <v>40919</v>
          </cell>
          <cell r="C655" t="str">
            <v>Future</v>
          </cell>
          <cell r="D655" t="e">
            <v>#N/A</v>
          </cell>
          <cell r="E655">
            <v>9.0310810810810604</v>
          </cell>
          <cell r="F655">
            <v>15.51756756756763</v>
          </cell>
          <cell r="G655">
            <v>14.220270270270282</v>
          </cell>
          <cell r="H655">
            <v>14.220270270270282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14.52</v>
          </cell>
          <cell r="Q655" t="str">
            <v/>
          </cell>
          <cell r="R655" t="e">
            <v>#N/A</v>
          </cell>
        </row>
        <row r="656">
          <cell r="A656">
            <v>40920</v>
          </cell>
          <cell r="B656">
            <v>40920</v>
          </cell>
          <cell r="C656" t="str">
            <v>Future</v>
          </cell>
          <cell r="D656" t="e">
            <v>#N/A</v>
          </cell>
          <cell r="E656">
            <v>8.9756756756756548</v>
          </cell>
          <cell r="F656">
            <v>15.529729729729793</v>
          </cell>
          <cell r="G656">
            <v>14.218918918918931</v>
          </cell>
          <cell r="H656">
            <v>14.218918918918931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14.52</v>
          </cell>
          <cell r="Q656" t="str">
            <v/>
          </cell>
          <cell r="R656" t="e">
            <v>#N/A</v>
          </cell>
        </row>
        <row r="657">
          <cell r="A657">
            <v>40921</v>
          </cell>
          <cell r="B657">
            <v>40921</v>
          </cell>
          <cell r="C657" t="str">
            <v>Future</v>
          </cell>
          <cell r="D657" t="e">
            <v>#N/A</v>
          </cell>
          <cell r="E657">
            <v>8.9202702702702492</v>
          </cell>
          <cell r="F657">
            <v>15.541891891891956</v>
          </cell>
          <cell r="G657">
            <v>14.217567567567579</v>
          </cell>
          <cell r="H657">
            <v>14.217567567567579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14.52</v>
          </cell>
          <cell r="Q657" t="str">
            <v/>
          </cell>
          <cell r="R657" t="e">
            <v>#N/A</v>
          </cell>
        </row>
        <row r="658">
          <cell r="A658">
            <v>40924</v>
          </cell>
          <cell r="B658">
            <v>40924</v>
          </cell>
          <cell r="C658" t="str">
            <v>Future</v>
          </cell>
          <cell r="D658" t="e">
            <v>#N/A</v>
          </cell>
          <cell r="E658">
            <v>8.8648648648648436</v>
          </cell>
          <cell r="F658">
            <v>15.554054054054118</v>
          </cell>
          <cell r="G658">
            <v>14.216216216216228</v>
          </cell>
          <cell r="H658">
            <v>14.216216216216228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14.52</v>
          </cell>
          <cell r="Q658" t="str">
            <v/>
          </cell>
          <cell r="R658" t="e">
            <v>#N/A</v>
          </cell>
        </row>
        <row r="659">
          <cell r="A659">
            <v>40925</v>
          </cell>
          <cell r="B659">
            <v>40925</v>
          </cell>
          <cell r="C659" t="str">
            <v>Future</v>
          </cell>
          <cell r="D659" t="e">
            <v>#N/A</v>
          </cell>
          <cell r="E659">
            <v>8.809459459459438</v>
          </cell>
          <cell r="F659">
            <v>15.566216216216281</v>
          </cell>
          <cell r="G659">
            <v>14.214864864864877</v>
          </cell>
          <cell r="H659">
            <v>14.214864864864877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14.52</v>
          </cell>
          <cell r="Q659" t="str">
            <v/>
          </cell>
          <cell r="R659" t="e">
            <v>#N/A</v>
          </cell>
        </row>
        <row r="660">
          <cell r="A660">
            <v>40926</v>
          </cell>
          <cell r="B660">
            <v>40926</v>
          </cell>
          <cell r="C660" t="str">
            <v>Future</v>
          </cell>
          <cell r="D660" t="e">
            <v>#N/A</v>
          </cell>
          <cell r="E660">
            <v>8.7540540540540324</v>
          </cell>
          <cell r="F660">
            <v>15.578378378378444</v>
          </cell>
          <cell r="G660">
            <v>14.213513513513526</v>
          </cell>
          <cell r="H660">
            <v>14.213513513513526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14.52</v>
          </cell>
          <cell r="Q660" t="str">
            <v/>
          </cell>
          <cell r="R660" t="e">
            <v>#N/A</v>
          </cell>
        </row>
        <row r="661">
          <cell r="A661">
            <v>40927</v>
          </cell>
          <cell r="B661">
            <v>40927</v>
          </cell>
          <cell r="C661" t="str">
            <v>Future</v>
          </cell>
          <cell r="D661" t="e">
            <v>#N/A</v>
          </cell>
          <cell r="E661">
            <v>8.6986486486486267</v>
          </cell>
          <cell r="F661">
            <v>15.590540540540607</v>
          </cell>
          <cell r="G661">
            <v>14.212162162162175</v>
          </cell>
          <cell r="H661">
            <v>14.212162162162175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14.52</v>
          </cell>
          <cell r="Q661" t="str">
            <v/>
          </cell>
          <cell r="R661" t="e">
            <v>#N/A</v>
          </cell>
        </row>
        <row r="662">
          <cell r="A662">
            <v>40928</v>
          </cell>
          <cell r="B662">
            <v>40928</v>
          </cell>
          <cell r="C662" t="str">
            <v>Future</v>
          </cell>
          <cell r="D662" t="e">
            <v>#N/A</v>
          </cell>
          <cell r="E662">
            <v>8.6432432432432211</v>
          </cell>
          <cell r="F662">
            <v>15.60270270270277</v>
          </cell>
          <cell r="G662">
            <v>14.210810810810823</v>
          </cell>
          <cell r="H662">
            <v>14.210810810810823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14.52</v>
          </cell>
          <cell r="Q662" t="str">
            <v/>
          </cell>
          <cell r="R662" t="e">
            <v>#N/A</v>
          </cell>
        </row>
        <row r="663">
          <cell r="A663">
            <v>40931</v>
          </cell>
          <cell r="B663">
            <v>40931</v>
          </cell>
          <cell r="C663" t="str">
            <v>Future</v>
          </cell>
          <cell r="D663" t="e">
            <v>#N/A</v>
          </cell>
          <cell r="E663">
            <v>8.5878378378378155</v>
          </cell>
          <cell r="F663">
            <v>15.614864864864932</v>
          </cell>
          <cell r="G663">
            <v>14.209459459459472</v>
          </cell>
          <cell r="H663">
            <v>14.209459459459472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14.52</v>
          </cell>
          <cell r="Q663" t="str">
            <v/>
          </cell>
          <cell r="R663" t="e">
            <v>#N/A</v>
          </cell>
        </row>
        <row r="664">
          <cell r="A664">
            <v>40932</v>
          </cell>
          <cell r="B664">
            <v>40932</v>
          </cell>
          <cell r="C664" t="str">
            <v>Future</v>
          </cell>
          <cell r="D664" t="e">
            <v>#N/A</v>
          </cell>
          <cell r="E664">
            <v>8.5324324324324099</v>
          </cell>
          <cell r="F664">
            <v>15.627027027027095</v>
          </cell>
          <cell r="G664">
            <v>14.208108108108121</v>
          </cell>
          <cell r="H664">
            <v>14.208108108108121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14.52</v>
          </cell>
          <cell r="Q664" t="str">
            <v/>
          </cell>
          <cell r="R664" t="e">
            <v>#N/A</v>
          </cell>
        </row>
        <row r="665">
          <cell r="A665">
            <v>40933</v>
          </cell>
          <cell r="B665">
            <v>40933</v>
          </cell>
          <cell r="C665" t="str">
            <v>Future</v>
          </cell>
          <cell r="D665" t="e">
            <v>#N/A</v>
          </cell>
          <cell r="E665">
            <v>8.4770270270270043</v>
          </cell>
          <cell r="F665">
            <v>15.639189189189258</v>
          </cell>
          <cell r="G665">
            <v>14.20675675675677</v>
          </cell>
          <cell r="H665">
            <v>14.20675675675677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14.52</v>
          </cell>
          <cell r="Q665" t="str">
            <v/>
          </cell>
          <cell r="R665" t="e">
            <v>#N/A</v>
          </cell>
        </row>
        <row r="666">
          <cell r="A666">
            <v>40934</v>
          </cell>
          <cell r="B666">
            <v>40934</v>
          </cell>
          <cell r="C666" t="str">
            <v>Future</v>
          </cell>
          <cell r="D666" t="e">
            <v>#N/A</v>
          </cell>
          <cell r="E666">
            <v>8.4216216216215987</v>
          </cell>
          <cell r="F666">
            <v>15.651351351351421</v>
          </cell>
          <cell r="G666">
            <v>14.205405405405418</v>
          </cell>
          <cell r="H666">
            <v>14.205405405405418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14.52</v>
          </cell>
          <cell r="Q666" t="str">
            <v/>
          </cell>
          <cell r="R666" t="e">
            <v>#N/A</v>
          </cell>
        </row>
        <row r="667">
          <cell r="A667">
            <v>40935</v>
          </cell>
          <cell r="B667">
            <v>40935</v>
          </cell>
          <cell r="C667" t="str">
            <v>Future</v>
          </cell>
          <cell r="D667" t="e">
            <v>#N/A</v>
          </cell>
          <cell r="E667">
            <v>8.366216216216193</v>
          </cell>
          <cell r="F667">
            <v>15.663513513513584</v>
          </cell>
          <cell r="G667">
            <v>14.204054054054067</v>
          </cell>
          <cell r="H667">
            <v>14.204054054054067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14.52</v>
          </cell>
          <cell r="Q667" t="str">
            <v/>
          </cell>
          <cell r="R667" t="e">
            <v>#N/A</v>
          </cell>
        </row>
        <row r="668">
          <cell r="A668">
            <v>40938</v>
          </cell>
          <cell r="B668">
            <v>40938</v>
          </cell>
          <cell r="C668" t="str">
            <v>Future</v>
          </cell>
          <cell r="D668" t="e">
            <v>#N/A</v>
          </cell>
          <cell r="E668">
            <v>8.3108108108107874</v>
          </cell>
          <cell r="F668">
            <v>15.675675675675746</v>
          </cell>
          <cell r="G668">
            <v>14.202702702702716</v>
          </cell>
          <cell r="H668">
            <v>14.202702702702716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14.52</v>
          </cell>
          <cell r="Q668" t="str">
            <v/>
          </cell>
          <cell r="R668" t="e">
            <v>#N/A</v>
          </cell>
        </row>
        <row r="669">
          <cell r="A669">
            <v>40939</v>
          </cell>
          <cell r="B669">
            <v>40939</v>
          </cell>
          <cell r="C669" t="str">
            <v>Future</v>
          </cell>
          <cell r="D669" t="e">
            <v>#N/A</v>
          </cell>
          <cell r="E669">
            <v>8.2554054054053818</v>
          </cell>
          <cell r="F669">
            <v>15.687837837837909</v>
          </cell>
          <cell r="G669">
            <v>14.201351351351365</v>
          </cell>
          <cell r="H669">
            <v>14.201351351351365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14.52</v>
          </cell>
          <cell r="Q669" t="str">
            <v/>
          </cell>
          <cell r="R669" t="e">
            <v>#N/A</v>
          </cell>
        </row>
        <row r="670">
          <cell r="A670">
            <v>40940</v>
          </cell>
          <cell r="B670">
            <v>40940</v>
          </cell>
          <cell r="C670" t="str">
            <v>Future</v>
          </cell>
          <cell r="D670" t="e">
            <v>#N/A</v>
          </cell>
          <cell r="E670">
            <v>8.1999999999999762</v>
          </cell>
          <cell r="F670">
            <v>15.700000000000072</v>
          </cell>
          <cell r="G670">
            <v>14.200000000000014</v>
          </cell>
          <cell r="H670">
            <v>14.200000000000014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14.52</v>
          </cell>
          <cell r="Q670" t="str">
            <v/>
          </cell>
          <cell r="R670" t="e">
            <v>#N/A</v>
          </cell>
        </row>
        <row r="671">
          <cell r="A671">
            <v>40941</v>
          </cell>
          <cell r="B671">
            <v>40941</v>
          </cell>
          <cell r="C671" t="str">
            <v>Future</v>
          </cell>
          <cell r="D671" t="e">
            <v>#N/A</v>
          </cell>
          <cell r="E671">
            <v>8.1445945945945706</v>
          </cell>
          <cell r="F671">
            <v>15.712162162162235</v>
          </cell>
          <cell r="G671">
            <v>14.198648648648662</v>
          </cell>
          <cell r="H671">
            <v>14.198648648648662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14.52</v>
          </cell>
          <cell r="Q671" t="str">
            <v/>
          </cell>
          <cell r="R671" t="e">
            <v>#N/A</v>
          </cell>
        </row>
        <row r="672">
          <cell r="A672">
            <v>40942</v>
          </cell>
          <cell r="B672">
            <v>40942</v>
          </cell>
          <cell r="C672" t="str">
            <v>Future</v>
          </cell>
          <cell r="D672" t="e">
            <v>#N/A</v>
          </cell>
          <cell r="E672">
            <v>8.089189189189165</v>
          </cell>
          <cell r="F672">
            <v>15.724324324324398</v>
          </cell>
          <cell r="G672">
            <v>14.197297297297311</v>
          </cell>
          <cell r="H672">
            <v>14.197297297297311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14.52</v>
          </cell>
          <cell r="Q672" t="str">
            <v/>
          </cell>
          <cell r="R672" t="e">
            <v>#N/A</v>
          </cell>
        </row>
        <row r="673">
          <cell r="A673">
            <v>40945</v>
          </cell>
          <cell r="B673">
            <v>40945</v>
          </cell>
          <cell r="C673" t="str">
            <v>Future</v>
          </cell>
          <cell r="D673" t="e">
            <v>#N/A</v>
          </cell>
          <cell r="E673">
            <v>8.0337837837837593</v>
          </cell>
          <cell r="F673">
            <v>15.736486486486561</v>
          </cell>
          <cell r="G673">
            <v>14.19594594594596</v>
          </cell>
          <cell r="H673">
            <v>14.19594594594596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14.52</v>
          </cell>
          <cell r="Q673" t="str">
            <v/>
          </cell>
          <cell r="R673" t="e">
            <v>#N/A</v>
          </cell>
        </row>
        <row r="674">
          <cell r="A674">
            <v>40946</v>
          </cell>
          <cell r="B674">
            <v>40946</v>
          </cell>
          <cell r="C674" t="str">
            <v>Future</v>
          </cell>
          <cell r="D674" t="e">
            <v>#N/A</v>
          </cell>
          <cell r="E674">
            <v>7.9783783783783537</v>
          </cell>
          <cell r="F674">
            <v>15.748648648648723</v>
          </cell>
          <cell r="G674">
            <v>14.194594594594609</v>
          </cell>
          <cell r="H674">
            <v>14.194594594594609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14.52</v>
          </cell>
          <cell r="Q674" t="str">
            <v/>
          </cell>
          <cell r="R674" t="e">
            <v>#N/A</v>
          </cell>
        </row>
        <row r="675">
          <cell r="A675">
            <v>40947</v>
          </cell>
          <cell r="B675">
            <v>40947</v>
          </cell>
          <cell r="C675" t="str">
            <v>Future</v>
          </cell>
          <cell r="D675" t="e">
            <v>#N/A</v>
          </cell>
          <cell r="E675">
            <v>7.9229729729729481</v>
          </cell>
          <cell r="F675">
            <v>15.760810810810886</v>
          </cell>
          <cell r="G675">
            <v>14.193243243243257</v>
          </cell>
          <cell r="H675">
            <v>14.193243243243257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14.52</v>
          </cell>
          <cell r="Q675" t="str">
            <v/>
          </cell>
          <cell r="R675" t="e">
            <v>#N/A</v>
          </cell>
        </row>
        <row r="676">
          <cell r="A676">
            <v>40948</v>
          </cell>
          <cell r="B676">
            <v>40948</v>
          </cell>
          <cell r="C676" t="str">
            <v>Future</v>
          </cell>
          <cell r="D676" t="e">
            <v>#N/A</v>
          </cell>
          <cell r="E676">
            <v>7.8675675675675425</v>
          </cell>
          <cell r="F676">
            <v>15.772972972973049</v>
          </cell>
          <cell r="G676">
            <v>14.191891891891906</v>
          </cell>
          <cell r="H676">
            <v>14.191891891891906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14.52</v>
          </cell>
          <cell r="Q676" t="str">
            <v/>
          </cell>
          <cell r="R676" t="e">
            <v>#N/A</v>
          </cell>
        </row>
        <row r="677">
          <cell r="A677">
            <v>40949</v>
          </cell>
          <cell r="B677">
            <v>40949</v>
          </cell>
          <cell r="C677" t="str">
            <v>Future</v>
          </cell>
          <cell r="D677" t="e">
            <v>#N/A</v>
          </cell>
          <cell r="E677">
            <v>7.8121621621621369</v>
          </cell>
          <cell r="F677">
            <v>15.785135135135212</v>
          </cell>
          <cell r="G677">
            <v>14.190540540540555</v>
          </cell>
          <cell r="H677">
            <v>14.190540540540555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14.52</v>
          </cell>
          <cell r="Q677" t="str">
            <v/>
          </cell>
          <cell r="R677" t="e">
            <v>#N/A</v>
          </cell>
        </row>
        <row r="678">
          <cell r="A678">
            <v>40952</v>
          </cell>
          <cell r="B678">
            <v>40952</v>
          </cell>
          <cell r="C678" t="str">
            <v>Future</v>
          </cell>
          <cell r="D678" t="e">
            <v>#N/A</v>
          </cell>
          <cell r="E678">
            <v>7.7567567567567313</v>
          </cell>
          <cell r="F678">
            <v>15.797297297297375</v>
          </cell>
          <cell r="G678">
            <v>14.189189189189204</v>
          </cell>
          <cell r="H678">
            <v>14.189189189189204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14.52</v>
          </cell>
          <cell r="Q678" t="str">
            <v/>
          </cell>
          <cell r="R678" t="e">
            <v>#N/A</v>
          </cell>
        </row>
        <row r="679">
          <cell r="A679">
            <v>40953</v>
          </cell>
          <cell r="B679">
            <v>40953</v>
          </cell>
          <cell r="C679" t="str">
            <v>Future</v>
          </cell>
          <cell r="D679" t="e">
            <v>#N/A</v>
          </cell>
          <cell r="E679">
            <v>7.7013513513513256</v>
          </cell>
          <cell r="F679">
            <v>15.809459459459537</v>
          </cell>
          <cell r="G679">
            <v>14.187837837837852</v>
          </cell>
          <cell r="H679">
            <v>14.187837837837852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14.52</v>
          </cell>
          <cell r="Q679" t="str">
            <v/>
          </cell>
          <cell r="R679" t="e">
            <v>#N/A</v>
          </cell>
        </row>
        <row r="680">
          <cell r="A680">
            <v>40954</v>
          </cell>
          <cell r="B680">
            <v>40954</v>
          </cell>
          <cell r="C680" t="str">
            <v>Future</v>
          </cell>
          <cell r="D680" t="e">
            <v>#N/A</v>
          </cell>
          <cell r="E680">
            <v>7.64594594594592</v>
          </cell>
          <cell r="F680">
            <v>15.8216216216217</v>
          </cell>
          <cell r="G680">
            <v>14.186486486486501</v>
          </cell>
          <cell r="H680">
            <v>14.186486486486501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14.52</v>
          </cell>
          <cell r="Q680" t="str">
            <v/>
          </cell>
          <cell r="R680" t="e">
            <v>#N/A</v>
          </cell>
        </row>
        <row r="681">
          <cell r="A681">
            <v>40955</v>
          </cell>
          <cell r="B681">
            <v>40955</v>
          </cell>
          <cell r="C681" t="str">
            <v>Future</v>
          </cell>
          <cell r="D681" t="e">
            <v>#N/A</v>
          </cell>
          <cell r="E681">
            <v>7.5905405405405144</v>
          </cell>
          <cell r="F681">
            <v>15.833783783783863</v>
          </cell>
          <cell r="G681">
            <v>14.18513513513515</v>
          </cell>
          <cell r="H681">
            <v>14.18513513513515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14.52</v>
          </cell>
          <cell r="Q681" t="str">
            <v/>
          </cell>
          <cell r="R681" t="e">
            <v>#N/A</v>
          </cell>
        </row>
        <row r="682">
          <cell r="A682">
            <v>40956</v>
          </cell>
          <cell r="B682">
            <v>40956</v>
          </cell>
          <cell r="C682" t="str">
            <v>Future</v>
          </cell>
          <cell r="D682" t="e">
            <v>#N/A</v>
          </cell>
          <cell r="E682">
            <v>7.5351351351351088</v>
          </cell>
          <cell r="F682">
            <v>15.845945945946026</v>
          </cell>
          <cell r="G682">
            <v>14.183783783783799</v>
          </cell>
          <cell r="H682">
            <v>14.183783783783799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14.52</v>
          </cell>
          <cell r="Q682" t="str">
            <v/>
          </cell>
          <cell r="R682" t="e">
            <v>#N/A</v>
          </cell>
        </row>
        <row r="683">
          <cell r="A683">
            <v>40959</v>
          </cell>
          <cell r="B683">
            <v>40959</v>
          </cell>
          <cell r="C683" t="str">
            <v>Future</v>
          </cell>
          <cell r="D683" t="e">
            <v>#N/A</v>
          </cell>
          <cell r="E683">
            <v>7.4797297297297032</v>
          </cell>
          <cell r="F683">
            <v>15.858108108108189</v>
          </cell>
          <cell r="G683">
            <v>14.182432432432448</v>
          </cell>
          <cell r="H683">
            <v>14.182432432432448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14.52</v>
          </cell>
          <cell r="Q683" t="str">
            <v/>
          </cell>
          <cell r="R683" t="e">
            <v>#N/A</v>
          </cell>
        </row>
        <row r="684">
          <cell r="A684">
            <v>40960</v>
          </cell>
          <cell r="B684">
            <v>40960</v>
          </cell>
          <cell r="C684" t="str">
            <v>Future</v>
          </cell>
          <cell r="D684" t="e">
            <v>#N/A</v>
          </cell>
          <cell r="E684">
            <v>7.4243243243242976</v>
          </cell>
          <cell r="F684">
            <v>15.870270270270352</v>
          </cell>
          <cell r="G684">
            <v>14.181081081081096</v>
          </cell>
          <cell r="H684">
            <v>14.181081081081096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14.52</v>
          </cell>
          <cell r="Q684" t="str">
            <v/>
          </cell>
          <cell r="R684" t="e">
            <v>#N/A</v>
          </cell>
        </row>
        <row r="685">
          <cell r="A685">
            <v>40961</v>
          </cell>
          <cell r="B685">
            <v>40961</v>
          </cell>
          <cell r="C685" t="str">
            <v>Future</v>
          </cell>
          <cell r="D685" t="e">
            <v>#N/A</v>
          </cell>
          <cell r="E685">
            <v>7.3689189189188919</v>
          </cell>
          <cell r="F685">
            <v>15.882432432432514</v>
          </cell>
          <cell r="G685">
            <v>14.179729729729745</v>
          </cell>
          <cell r="H685">
            <v>14.179729729729745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14.52</v>
          </cell>
          <cell r="Q685" t="str">
            <v/>
          </cell>
          <cell r="R685" t="e">
            <v>#N/A</v>
          </cell>
        </row>
        <row r="686">
          <cell r="A686">
            <v>40962</v>
          </cell>
          <cell r="B686">
            <v>40962</v>
          </cell>
          <cell r="C686" t="str">
            <v>Future</v>
          </cell>
          <cell r="D686" t="e">
            <v>#N/A</v>
          </cell>
          <cell r="E686">
            <v>7.3135135135134863</v>
          </cell>
          <cell r="F686">
            <v>15.894594594594677</v>
          </cell>
          <cell r="G686">
            <v>14.178378378378394</v>
          </cell>
          <cell r="H686">
            <v>14.178378378378394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14.52</v>
          </cell>
          <cell r="Q686" t="str">
            <v/>
          </cell>
          <cell r="R686" t="e">
            <v>#N/A</v>
          </cell>
        </row>
        <row r="687">
          <cell r="A687">
            <v>40963</v>
          </cell>
          <cell r="B687">
            <v>40963</v>
          </cell>
          <cell r="C687" t="str">
            <v>Future</v>
          </cell>
          <cell r="D687" t="e">
            <v>#N/A</v>
          </cell>
          <cell r="E687">
            <v>7.2581081081080807</v>
          </cell>
          <cell r="F687">
            <v>15.90675675675684</v>
          </cell>
          <cell r="G687">
            <v>14.177027027027043</v>
          </cell>
          <cell r="H687">
            <v>14.177027027027043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14.52</v>
          </cell>
          <cell r="Q687" t="str">
            <v/>
          </cell>
          <cell r="R687" t="e">
            <v>#N/A</v>
          </cell>
        </row>
        <row r="688">
          <cell r="A688">
            <v>40966</v>
          </cell>
          <cell r="B688">
            <v>40966</v>
          </cell>
          <cell r="C688" t="str">
            <v>Future</v>
          </cell>
          <cell r="D688" t="e">
            <v>#N/A</v>
          </cell>
          <cell r="E688">
            <v>7.2027027027026751</v>
          </cell>
          <cell r="F688">
            <v>15.918918918919003</v>
          </cell>
          <cell r="G688">
            <v>14.175675675675691</v>
          </cell>
          <cell r="H688">
            <v>14.175675675675691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14.52</v>
          </cell>
          <cell r="Q688" t="str">
            <v/>
          </cell>
          <cell r="R688" t="e">
            <v>#N/A</v>
          </cell>
        </row>
        <row r="689">
          <cell r="A689">
            <v>40967</v>
          </cell>
          <cell r="B689">
            <v>40967</v>
          </cell>
          <cell r="C689" t="str">
            <v>Future</v>
          </cell>
          <cell r="D689" t="e">
            <v>#N/A</v>
          </cell>
          <cell r="E689">
            <v>7.1472972972972695</v>
          </cell>
          <cell r="F689">
            <v>15.931081081081166</v>
          </cell>
          <cell r="G689">
            <v>14.17432432432434</v>
          </cell>
          <cell r="H689">
            <v>14.17432432432434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14.52</v>
          </cell>
          <cell r="Q689" t="str">
            <v/>
          </cell>
          <cell r="R689" t="e">
            <v>#N/A</v>
          </cell>
        </row>
        <row r="690">
          <cell r="A690">
            <v>40968</v>
          </cell>
          <cell r="B690">
            <v>40968</v>
          </cell>
          <cell r="C690" t="str">
            <v>Future</v>
          </cell>
          <cell r="D690" t="e">
            <v>#N/A</v>
          </cell>
          <cell r="E690">
            <v>7.0918918918918639</v>
          </cell>
          <cell r="F690">
            <v>15.943243243243328</v>
          </cell>
          <cell r="G690">
            <v>14.172972972972989</v>
          </cell>
          <cell r="H690">
            <v>14.172972972972989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14.52</v>
          </cell>
          <cell r="Q690" t="str">
            <v/>
          </cell>
          <cell r="R690" t="e">
            <v>#N/A</v>
          </cell>
        </row>
        <row r="691">
          <cell r="A691">
            <v>40969</v>
          </cell>
          <cell r="B691">
            <v>40969</v>
          </cell>
          <cell r="C691" t="str">
            <v>Future</v>
          </cell>
          <cell r="D691" t="e">
            <v>#N/A</v>
          </cell>
          <cell r="E691">
            <v>7.0364864864864582</v>
          </cell>
          <cell r="F691">
            <v>15.955405405405491</v>
          </cell>
          <cell r="G691">
            <v>14.171621621621638</v>
          </cell>
          <cell r="H691">
            <v>14.171621621621638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14.52</v>
          </cell>
          <cell r="Q691" t="str">
            <v/>
          </cell>
          <cell r="R691" t="e">
            <v>#N/A</v>
          </cell>
        </row>
        <row r="692">
          <cell r="A692">
            <v>40970</v>
          </cell>
          <cell r="B692">
            <v>40970</v>
          </cell>
          <cell r="C692" t="str">
            <v>Future</v>
          </cell>
          <cell r="D692" t="e">
            <v>#N/A</v>
          </cell>
          <cell r="E692">
            <v>6.9810810810810526</v>
          </cell>
          <cell r="F692">
            <v>15.967567567567654</v>
          </cell>
          <cell r="G692">
            <v>14.170270270270287</v>
          </cell>
          <cell r="H692">
            <v>14.170270270270287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14.52</v>
          </cell>
          <cell r="Q692" t="str">
            <v/>
          </cell>
          <cell r="R692" t="e">
            <v>#N/A</v>
          </cell>
        </row>
        <row r="693">
          <cell r="A693">
            <v>40973</v>
          </cell>
          <cell r="B693">
            <v>40973</v>
          </cell>
          <cell r="C693" t="str">
            <v>Future</v>
          </cell>
          <cell r="D693" t="e">
            <v>#N/A</v>
          </cell>
          <cell r="E693">
            <v>6.925675675675647</v>
          </cell>
          <cell r="F693">
            <v>15.979729729729817</v>
          </cell>
          <cell r="G693">
            <v>14.168918918918935</v>
          </cell>
          <cell r="H693">
            <v>14.168918918918935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14.52</v>
          </cell>
          <cell r="Q693" t="str">
            <v/>
          </cell>
          <cell r="R693" t="e">
            <v>#N/A</v>
          </cell>
        </row>
        <row r="694">
          <cell r="A694">
            <v>40974</v>
          </cell>
          <cell r="B694">
            <v>40974</v>
          </cell>
          <cell r="C694" t="str">
            <v>Future</v>
          </cell>
          <cell r="D694" t="e">
            <v>#N/A</v>
          </cell>
          <cell r="E694">
            <v>6.8702702702702414</v>
          </cell>
          <cell r="F694">
            <v>15.99189189189198</v>
          </cell>
          <cell r="G694">
            <v>14.167567567567584</v>
          </cell>
          <cell r="H694">
            <v>14.167567567567584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14.52</v>
          </cell>
          <cell r="Q694" t="str">
            <v/>
          </cell>
          <cell r="R694" t="e">
            <v>#N/A</v>
          </cell>
        </row>
        <row r="695">
          <cell r="A695">
            <v>40975</v>
          </cell>
          <cell r="B695">
            <v>40975</v>
          </cell>
          <cell r="C695" t="str">
            <v>Future</v>
          </cell>
          <cell r="D695" t="e">
            <v>#N/A</v>
          </cell>
          <cell r="E695">
            <v>6.8148648648648358</v>
          </cell>
          <cell r="F695">
            <v>16.004054054054141</v>
          </cell>
          <cell r="G695">
            <v>14.166216216216233</v>
          </cell>
          <cell r="H695">
            <v>14.166216216216233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14.52</v>
          </cell>
          <cell r="Q695" t="str">
            <v/>
          </cell>
          <cell r="R695" t="e">
            <v>#N/A</v>
          </cell>
        </row>
        <row r="696">
          <cell r="A696">
            <v>40976</v>
          </cell>
          <cell r="B696">
            <v>40976</v>
          </cell>
          <cell r="C696" t="str">
            <v>Future</v>
          </cell>
          <cell r="D696" t="e">
            <v>#N/A</v>
          </cell>
          <cell r="E696">
            <v>6.7594594594594302</v>
          </cell>
          <cell r="F696">
            <v>16.016216216216304</v>
          </cell>
          <cell r="G696">
            <v>14.164864864864882</v>
          </cell>
          <cell r="H696">
            <v>14.164864864864882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14.52</v>
          </cell>
          <cell r="Q696" t="str">
            <v/>
          </cell>
          <cell r="R696" t="e">
            <v>#N/A</v>
          </cell>
        </row>
        <row r="697">
          <cell r="A697">
            <v>40977</v>
          </cell>
          <cell r="B697">
            <v>40977</v>
          </cell>
          <cell r="C697" t="str">
            <v>Future</v>
          </cell>
          <cell r="D697" t="e">
            <v>#N/A</v>
          </cell>
          <cell r="E697">
            <v>6.7040540540540245</v>
          </cell>
          <cell r="F697">
            <v>16.028378378378466</v>
          </cell>
          <cell r="G697">
            <v>14.16351351351353</v>
          </cell>
          <cell r="H697">
            <v>14.16351351351353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14.52</v>
          </cell>
          <cell r="Q697" t="str">
            <v/>
          </cell>
          <cell r="R697" t="e">
            <v>#N/A</v>
          </cell>
        </row>
        <row r="698">
          <cell r="A698">
            <v>40980</v>
          </cell>
          <cell r="B698">
            <v>40980</v>
          </cell>
          <cell r="C698" t="str">
            <v>Future</v>
          </cell>
          <cell r="D698" t="e">
            <v>#N/A</v>
          </cell>
          <cell r="E698">
            <v>6.6486486486486189</v>
          </cell>
          <cell r="F698">
            <v>16.040540540540629</v>
          </cell>
          <cell r="G698">
            <v>14.162162162162179</v>
          </cell>
          <cell r="H698">
            <v>14.162162162162179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14.52</v>
          </cell>
          <cell r="Q698" t="str">
            <v/>
          </cell>
          <cell r="R698" t="e">
            <v>#N/A</v>
          </cell>
        </row>
        <row r="699">
          <cell r="A699">
            <v>40981</v>
          </cell>
          <cell r="B699">
            <v>40981</v>
          </cell>
          <cell r="C699" t="str">
            <v>Future</v>
          </cell>
          <cell r="D699" t="e">
            <v>#N/A</v>
          </cell>
          <cell r="E699">
            <v>6.5932432432432133</v>
          </cell>
          <cell r="F699">
            <v>16.052702702702792</v>
          </cell>
          <cell r="G699">
            <v>14.160810810810828</v>
          </cell>
          <cell r="H699">
            <v>14.160810810810828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14.52</v>
          </cell>
          <cell r="Q699" t="str">
            <v/>
          </cell>
          <cell r="R699" t="e">
            <v>#N/A</v>
          </cell>
        </row>
        <row r="700">
          <cell r="A700">
            <v>40982</v>
          </cell>
          <cell r="B700">
            <v>40982</v>
          </cell>
          <cell r="C700" t="str">
            <v>Future</v>
          </cell>
          <cell r="D700" t="e">
            <v>#N/A</v>
          </cell>
          <cell r="E700">
            <v>6.5378378378378077</v>
          </cell>
          <cell r="F700">
            <v>16.064864864864955</v>
          </cell>
          <cell r="G700">
            <v>14.159459459459477</v>
          </cell>
          <cell r="H700">
            <v>14.159459459459477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14.52</v>
          </cell>
          <cell r="Q700" t="str">
            <v/>
          </cell>
          <cell r="R700" t="e">
            <v>#N/A</v>
          </cell>
        </row>
        <row r="701">
          <cell r="A701">
            <v>40983</v>
          </cell>
          <cell r="B701">
            <v>40983</v>
          </cell>
          <cell r="C701" t="str">
            <v>Future</v>
          </cell>
          <cell r="D701" t="e">
            <v>#N/A</v>
          </cell>
          <cell r="E701">
            <v>6.4824324324324021</v>
          </cell>
          <cell r="F701">
            <v>16.077027027027118</v>
          </cell>
          <cell r="G701">
            <v>14.158108108108125</v>
          </cell>
          <cell r="H701">
            <v>14.158108108108125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14.52</v>
          </cell>
          <cell r="Q701" t="str">
            <v/>
          </cell>
          <cell r="R701" t="e">
            <v>#N/A</v>
          </cell>
        </row>
        <row r="702">
          <cell r="A702">
            <v>40984</v>
          </cell>
          <cell r="B702">
            <v>40984</v>
          </cell>
          <cell r="C702" t="str">
            <v>Future</v>
          </cell>
          <cell r="D702" t="e">
            <v>#N/A</v>
          </cell>
          <cell r="E702">
            <v>6.4270270270269965</v>
          </cell>
          <cell r="F702">
            <v>16.08918918918928</v>
          </cell>
          <cell r="G702">
            <v>14.156756756756774</v>
          </cell>
          <cell r="H702">
            <v>14.156756756756774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14.52</v>
          </cell>
          <cell r="Q702" t="str">
            <v/>
          </cell>
          <cell r="R702" t="e">
            <v>#N/A</v>
          </cell>
        </row>
        <row r="703">
          <cell r="A703">
            <v>40987</v>
          </cell>
          <cell r="B703">
            <v>40987</v>
          </cell>
          <cell r="C703" t="str">
            <v>Future</v>
          </cell>
          <cell r="D703" t="e">
            <v>#N/A</v>
          </cell>
          <cell r="E703">
            <v>6.3716216216215908</v>
          </cell>
          <cell r="F703">
            <v>16.101351351351443</v>
          </cell>
          <cell r="G703">
            <v>14.155405405405423</v>
          </cell>
          <cell r="H703">
            <v>14.155405405405423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14.52</v>
          </cell>
          <cell r="Q703" t="str">
            <v/>
          </cell>
          <cell r="R703" t="e">
            <v>#N/A</v>
          </cell>
        </row>
        <row r="704">
          <cell r="A704">
            <v>40988</v>
          </cell>
          <cell r="B704">
            <v>40988</v>
          </cell>
          <cell r="C704" t="str">
            <v>Future</v>
          </cell>
          <cell r="D704" t="e">
            <v>#N/A</v>
          </cell>
          <cell r="E704">
            <v>6.3162162162161852</v>
          </cell>
          <cell r="F704">
            <v>16.113513513513606</v>
          </cell>
          <cell r="G704">
            <v>14.154054054054072</v>
          </cell>
          <cell r="H704">
            <v>14.154054054054072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14.52</v>
          </cell>
          <cell r="Q704" t="str">
            <v/>
          </cell>
          <cell r="R704" t="e">
            <v>#N/A</v>
          </cell>
        </row>
        <row r="705">
          <cell r="A705">
            <v>40989</v>
          </cell>
          <cell r="B705">
            <v>40989</v>
          </cell>
          <cell r="C705" t="str">
            <v>Future</v>
          </cell>
          <cell r="D705" t="e">
            <v>#N/A</v>
          </cell>
          <cell r="E705">
            <v>6.2608108108107796</v>
          </cell>
          <cell r="F705">
            <v>16.125675675675769</v>
          </cell>
          <cell r="G705">
            <v>14.152702702702721</v>
          </cell>
          <cell r="H705">
            <v>14.152702702702721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14.52</v>
          </cell>
          <cell r="Q705" t="str">
            <v/>
          </cell>
          <cell r="R705" t="e">
            <v>#N/A</v>
          </cell>
        </row>
        <row r="706">
          <cell r="A706">
            <v>40990</v>
          </cell>
          <cell r="B706">
            <v>40990</v>
          </cell>
          <cell r="C706" t="str">
            <v>Future</v>
          </cell>
          <cell r="D706" t="e">
            <v>#N/A</v>
          </cell>
          <cell r="E706">
            <v>6.205405405405374</v>
          </cell>
          <cell r="F706">
            <v>16.137837837837932</v>
          </cell>
          <cell r="G706">
            <v>14.151351351351369</v>
          </cell>
          <cell r="H706">
            <v>14.151351351351369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14.52</v>
          </cell>
          <cell r="Q706" t="str">
            <v/>
          </cell>
          <cell r="R706" t="e">
            <v>#N/A</v>
          </cell>
        </row>
        <row r="707">
          <cell r="A707">
            <v>40991</v>
          </cell>
          <cell r="B707">
            <v>40991</v>
          </cell>
          <cell r="C707" t="str">
            <v>Future</v>
          </cell>
          <cell r="D707" t="e">
            <v>#N/A</v>
          </cell>
          <cell r="E707">
            <v>6.1499999999999684</v>
          </cell>
          <cell r="F707">
            <v>16.150000000000095</v>
          </cell>
          <cell r="G707">
            <v>14.150000000000018</v>
          </cell>
          <cell r="H707">
            <v>14.150000000000018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14.52</v>
          </cell>
          <cell r="Q707" t="str">
            <v/>
          </cell>
          <cell r="R707" t="e">
            <v>#N/A</v>
          </cell>
        </row>
        <row r="708">
          <cell r="A708">
            <v>40994</v>
          </cell>
          <cell r="B708">
            <v>40994</v>
          </cell>
          <cell r="C708" t="str">
            <v>Future</v>
          </cell>
          <cell r="D708" t="e">
            <v>#N/A</v>
          </cell>
          <cell r="E708">
            <v>6.0945945945945628</v>
          </cell>
          <cell r="F708">
            <v>16.162162162162257</v>
          </cell>
          <cell r="G708">
            <v>14.148648648648667</v>
          </cell>
          <cell r="H708">
            <v>14.148648648648667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14.52</v>
          </cell>
          <cell r="Q708" t="str">
            <v/>
          </cell>
          <cell r="R708" t="e">
            <v>#N/A</v>
          </cell>
        </row>
        <row r="709">
          <cell r="A709">
            <v>40995</v>
          </cell>
          <cell r="B709">
            <v>40995</v>
          </cell>
          <cell r="C709" t="str">
            <v>Future</v>
          </cell>
          <cell r="D709" t="e">
            <v>#N/A</v>
          </cell>
          <cell r="E709">
            <v>6.0391891891891571</v>
          </cell>
          <cell r="F709">
            <v>16.17432432432442</v>
          </cell>
          <cell r="G709">
            <v>14.147297297297316</v>
          </cell>
          <cell r="H709">
            <v>14.147297297297316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14.52</v>
          </cell>
          <cell r="Q709" t="str">
            <v/>
          </cell>
          <cell r="R709" t="e">
            <v>#N/A</v>
          </cell>
        </row>
        <row r="710">
          <cell r="A710">
            <v>40996</v>
          </cell>
          <cell r="B710">
            <v>40996</v>
          </cell>
          <cell r="C710" t="str">
            <v>Future</v>
          </cell>
          <cell r="D710" t="e">
            <v>#N/A</v>
          </cell>
          <cell r="E710">
            <v>5.9837837837837515</v>
          </cell>
          <cell r="F710">
            <v>16.186486486486583</v>
          </cell>
          <cell r="G710">
            <v>14.145945945945964</v>
          </cell>
          <cell r="H710">
            <v>14.145945945945964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14.52</v>
          </cell>
          <cell r="Q710" t="str">
            <v/>
          </cell>
          <cell r="R710" t="e">
            <v>#N/A</v>
          </cell>
        </row>
        <row r="711">
          <cell r="A711">
            <v>40997</v>
          </cell>
          <cell r="B711">
            <v>40997</v>
          </cell>
          <cell r="C711" t="str">
            <v>Future</v>
          </cell>
          <cell r="D711" t="e">
            <v>#N/A</v>
          </cell>
          <cell r="E711">
            <v>5.9283783783783459</v>
          </cell>
          <cell r="F711">
            <v>16.198648648648746</v>
          </cell>
          <cell r="G711">
            <v>14.144594594594613</v>
          </cell>
          <cell r="H711">
            <v>14.144594594594613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14.52</v>
          </cell>
          <cell r="Q711" t="str">
            <v/>
          </cell>
          <cell r="R711" t="e">
            <v>#N/A</v>
          </cell>
        </row>
        <row r="712">
          <cell r="A712">
            <v>40998</v>
          </cell>
          <cell r="B712">
            <v>40998</v>
          </cell>
          <cell r="C712" t="str">
            <v>Future</v>
          </cell>
          <cell r="D712" t="e">
            <v>#N/A</v>
          </cell>
          <cell r="E712">
            <v>5.8729729729729403</v>
          </cell>
          <cell r="F712">
            <v>16.210810810810909</v>
          </cell>
          <cell r="G712">
            <v>14.143243243243262</v>
          </cell>
          <cell r="H712">
            <v>14.143243243243262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14.52</v>
          </cell>
          <cell r="Q712" t="str">
            <v/>
          </cell>
          <cell r="R712" t="e">
            <v>#N/A</v>
          </cell>
        </row>
        <row r="713">
          <cell r="A713">
            <v>41001</v>
          </cell>
          <cell r="B713">
            <v>41001</v>
          </cell>
          <cell r="C713" t="str">
            <v>Future</v>
          </cell>
          <cell r="D713" t="e">
            <v>#N/A</v>
          </cell>
          <cell r="E713">
            <v>5.8175675675675347</v>
          </cell>
          <cell r="F713">
            <v>16.222972972973071</v>
          </cell>
          <cell r="G713">
            <v>14.141891891891911</v>
          </cell>
          <cell r="H713">
            <v>14.141891891891911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14.52</v>
          </cell>
          <cell r="Q713" t="str">
            <v/>
          </cell>
          <cell r="R713" t="e">
            <v>#N/A</v>
          </cell>
        </row>
        <row r="714">
          <cell r="A714">
            <v>41002</v>
          </cell>
          <cell r="B714">
            <v>41002</v>
          </cell>
          <cell r="C714" t="str">
            <v>Future</v>
          </cell>
          <cell r="D714" t="e">
            <v>#N/A</v>
          </cell>
          <cell r="E714">
            <v>5.7621621621621291</v>
          </cell>
          <cell r="F714">
            <v>16.235135135135234</v>
          </cell>
          <cell r="G714">
            <v>14.14054054054056</v>
          </cell>
          <cell r="H714">
            <v>14.14054054054056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14.52</v>
          </cell>
          <cell r="Q714" t="str">
            <v/>
          </cell>
          <cell r="R714" t="e">
            <v>#N/A</v>
          </cell>
        </row>
        <row r="715">
          <cell r="A715">
            <v>41003</v>
          </cell>
          <cell r="B715">
            <v>41003</v>
          </cell>
          <cell r="C715" t="str">
            <v>Future</v>
          </cell>
          <cell r="D715" t="e">
            <v>#N/A</v>
          </cell>
          <cell r="E715">
            <v>5.7067567567567234</v>
          </cell>
          <cell r="F715">
            <v>16.247297297297397</v>
          </cell>
          <cell r="G715">
            <v>14.139189189189208</v>
          </cell>
          <cell r="H715">
            <v>14.139189189189208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14.52</v>
          </cell>
          <cell r="Q715" t="str">
            <v/>
          </cell>
          <cell r="R715" t="e">
            <v>#N/A</v>
          </cell>
        </row>
        <row r="716">
          <cell r="A716">
            <v>41004</v>
          </cell>
          <cell r="B716">
            <v>41004</v>
          </cell>
          <cell r="C716" t="str">
            <v>Future</v>
          </cell>
          <cell r="D716" t="e">
            <v>#N/A</v>
          </cell>
          <cell r="E716">
            <v>5.6513513513513178</v>
          </cell>
          <cell r="F716">
            <v>16.25945945945956</v>
          </cell>
          <cell r="G716">
            <v>14.137837837837857</v>
          </cell>
          <cell r="H716">
            <v>14.137837837837857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14.52</v>
          </cell>
          <cell r="Q716" t="str">
            <v/>
          </cell>
          <cell r="R716" t="e">
            <v>#N/A</v>
          </cell>
        </row>
        <row r="717">
          <cell r="A717">
            <v>41005</v>
          </cell>
          <cell r="B717">
            <v>41005</v>
          </cell>
          <cell r="C717" t="str">
            <v>Future</v>
          </cell>
          <cell r="D717" t="e">
            <v>#N/A</v>
          </cell>
          <cell r="E717">
            <v>5.5959459459459122</v>
          </cell>
          <cell r="F717">
            <v>16.271621621621723</v>
          </cell>
          <cell r="G717">
            <v>14.136486486486506</v>
          </cell>
          <cell r="H717">
            <v>14.136486486486506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14.52</v>
          </cell>
          <cell r="Q717" t="str">
            <v/>
          </cell>
          <cell r="R717" t="e">
            <v>#N/A</v>
          </cell>
        </row>
        <row r="718">
          <cell r="A718">
            <v>41008</v>
          </cell>
          <cell r="B718">
            <v>41008</v>
          </cell>
          <cell r="C718" t="str">
            <v>Future</v>
          </cell>
          <cell r="D718" t="e">
            <v>#N/A</v>
          </cell>
          <cell r="E718">
            <v>5.5405405405405066</v>
          </cell>
          <cell r="F718">
            <v>16.283783783783885</v>
          </cell>
          <cell r="G718">
            <v>14.135135135135155</v>
          </cell>
          <cell r="H718">
            <v>14.135135135135155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14.52</v>
          </cell>
          <cell r="Q718" t="str">
            <v/>
          </cell>
          <cell r="R718" t="e">
            <v>#N/A</v>
          </cell>
        </row>
        <row r="719">
          <cell r="A719">
            <v>41009</v>
          </cell>
          <cell r="B719">
            <v>41009</v>
          </cell>
          <cell r="C719" t="str">
            <v>Future</v>
          </cell>
          <cell r="D719" t="e">
            <v>#N/A</v>
          </cell>
          <cell r="E719">
            <v>5.485135135135101</v>
          </cell>
          <cell r="F719">
            <v>16.295945945946048</v>
          </cell>
          <cell r="G719">
            <v>14.133783783783803</v>
          </cell>
          <cell r="H719">
            <v>14.133783783783803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14.52</v>
          </cell>
          <cell r="Q719" t="str">
            <v/>
          </cell>
          <cell r="R719" t="e">
            <v>#N/A</v>
          </cell>
        </row>
        <row r="720">
          <cell r="A720">
            <v>41010</v>
          </cell>
          <cell r="B720">
            <v>41010</v>
          </cell>
          <cell r="C720" t="str">
            <v>Future</v>
          </cell>
          <cell r="D720" t="e">
            <v>#N/A</v>
          </cell>
          <cell r="E720">
            <v>5.4297297297296954</v>
          </cell>
          <cell r="F720">
            <v>16.308108108108211</v>
          </cell>
          <cell r="G720">
            <v>14.132432432432452</v>
          </cell>
          <cell r="H720">
            <v>14.132432432432452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14.52</v>
          </cell>
          <cell r="Q720" t="str">
            <v/>
          </cell>
          <cell r="R720" t="e">
            <v>#N/A</v>
          </cell>
        </row>
        <row r="721">
          <cell r="A721">
            <v>41011</v>
          </cell>
          <cell r="B721">
            <v>41011</v>
          </cell>
          <cell r="C721" t="str">
            <v>Future</v>
          </cell>
          <cell r="D721" t="e">
            <v>#N/A</v>
          </cell>
          <cell r="E721">
            <v>5.3743243243242897</v>
          </cell>
          <cell r="F721">
            <v>16.320270270270374</v>
          </cell>
          <cell r="G721">
            <v>14.131081081081101</v>
          </cell>
          <cell r="H721">
            <v>14.131081081081101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14.52</v>
          </cell>
          <cell r="Q721" t="str">
            <v/>
          </cell>
          <cell r="R721" t="e">
            <v>#N/A</v>
          </cell>
        </row>
        <row r="722">
          <cell r="A722">
            <v>41012</v>
          </cell>
          <cell r="B722">
            <v>41012</v>
          </cell>
          <cell r="C722" t="str">
            <v>Future</v>
          </cell>
          <cell r="D722" t="e">
            <v>#N/A</v>
          </cell>
          <cell r="E722">
            <v>5.3189189189188841</v>
          </cell>
          <cell r="F722">
            <v>16.332432432432537</v>
          </cell>
          <cell r="G722">
            <v>14.12972972972975</v>
          </cell>
          <cell r="H722">
            <v>14.12972972972975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14.52</v>
          </cell>
          <cell r="Q722" t="str">
            <v/>
          </cell>
          <cell r="R722" t="e">
            <v>#N/A</v>
          </cell>
        </row>
        <row r="723">
          <cell r="A723">
            <v>41015</v>
          </cell>
          <cell r="B723">
            <v>41015</v>
          </cell>
          <cell r="C723" t="str">
            <v>Future</v>
          </cell>
          <cell r="D723" t="e">
            <v>#N/A</v>
          </cell>
          <cell r="E723">
            <v>5.2635135135134785</v>
          </cell>
          <cell r="F723">
            <v>16.3445945945947</v>
          </cell>
          <cell r="G723">
            <v>14.128378378378398</v>
          </cell>
          <cell r="H723">
            <v>14.128378378378398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14.52</v>
          </cell>
          <cell r="Q723" t="str">
            <v/>
          </cell>
          <cell r="R723" t="e">
            <v>#N/A</v>
          </cell>
        </row>
        <row r="724">
          <cell r="A724">
            <v>41016</v>
          </cell>
          <cell r="B724">
            <v>41016</v>
          </cell>
          <cell r="C724" t="str">
            <v>Future</v>
          </cell>
          <cell r="D724" t="e">
            <v>#N/A</v>
          </cell>
          <cell r="E724">
            <v>5.2081081081080729</v>
          </cell>
          <cell r="F724">
            <v>16.356756756756862</v>
          </cell>
          <cell r="G724">
            <v>14.127027027027047</v>
          </cell>
          <cell r="H724">
            <v>14.127027027027047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14.52</v>
          </cell>
          <cell r="Q724" t="str">
            <v/>
          </cell>
          <cell r="R724" t="e">
            <v>#N/A</v>
          </cell>
        </row>
        <row r="725">
          <cell r="A725">
            <v>41017</v>
          </cell>
          <cell r="B725">
            <v>41017</v>
          </cell>
          <cell r="C725" t="str">
            <v>Future</v>
          </cell>
          <cell r="D725" t="e">
            <v>#N/A</v>
          </cell>
          <cell r="E725">
            <v>5.1527027027026673</v>
          </cell>
          <cell r="F725">
            <v>16.368918918919025</v>
          </cell>
          <cell r="G725">
            <v>14.125675675675696</v>
          </cell>
          <cell r="H725">
            <v>14.125675675675696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14.52</v>
          </cell>
          <cell r="Q725" t="str">
            <v/>
          </cell>
          <cell r="R725" t="e">
            <v>#N/A</v>
          </cell>
        </row>
        <row r="726">
          <cell r="A726">
            <v>41018</v>
          </cell>
          <cell r="B726">
            <v>41018</v>
          </cell>
          <cell r="C726" t="str">
            <v>Future</v>
          </cell>
          <cell r="D726" t="e">
            <v>#N/A</v>
          </cell>
          <cell r="E726">
            <v>5.0972972972972617</v>
          </cell>
          <cell r="F726">
            <v>16.381081081081188</v>
          </cell>
          <cell r="G726">
            <v>14.124324324324345</v>
          </cell>
          <cell r="H726">
            <v>14.124324324324345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14.52</v>
          </cell>
          <cell r="Q726" t="str">
            <v/>
          </cell>
          <cell r="R726" t="e">
            <v>#N/A</v>
          </cell>
        </row>
        <row r="727">
          <cell r="A727">
            <v>41019</v>
          </cell>
          <cell r="B727">
            <v>41019</v>
          </cell>
          <cell r="C727" t="str">
            <v>Future</v>
          </cell>
          <cell r="D727" t="e">
            <v>#N/A</v>
          </cell>
          <cell r="E727">
            <v>5.041891891891856</v>
          </cell>
          <cell r="F727">
            <v>16.393243243243351</v>
          </cell>
          <cell r="G727">
            <v>14.122972972972994</v>
          </cell>
          <cell r="H727">
            <v>14.122972972972994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14.52</v>
          </cell>
          <cell r="Q727" t="str">
            <v/>
          </cell>
          <cell r="R727" t="e">
            <v>#N/A</v>
          </cell>
        </row>
        <row r="728">
          <cell r="A728">
            <v>41022</v>
          </cell>
          <cell r="B728">
            <v>41022</v>
          </cell>
          <cell r="C728" t="str">
            <v>Future</v>
          </cell>
          <cell r="D728" t="e">
            <v>#N/A</v>
          </cell>
          <cell r="E728">
            <v>4.9864864864864504</v>
          </cell>
          <cell r="F728">
            <v>16.405405405405514</v>
          </cell>
          <cell r="G728">
            <v>14.121621621621642</v>
          </cell>
          <cell r="H728">
            <v>14.121621621621642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14.52</v>
          </cell>
          <cell r="Q728" t="str">
            <v/>
          </cell>
          <cell r="R728" t="e">
            <v>#N/A</v>
          </cell>
        </row>
        <row r="729">
          <cell r="A729">
            <v>41023</v>
          </cell>
          <cell r="B729">
            <v>41023</v>
          </cell>
          <cell r="C729" t="str">
            <v>Future</v>
          </cell>
          <cell r="D729" t="e">
            <v>#N/A</v>
          </cell>
          <cell r="E729">
            <v>4.9310810810810448</v>
          </cell>
          <cell r="F729">
            <v>16.417567567567676</v>
          </cell>
          <cell r="G729">
            <v>14.120270270270291</v>
          </cell>
          <cell r="H729">
            <v>14.120270270270291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14.52</v>
          </cell>
          <cell r="Q729" t="str">
            <v/>
          </cell>
          <cell r="R729" t="e">
            <v>#N/A</v>
          </cell>
        </row>
        <row r="730">
          <cell r="A730">
            <v>41024</v>
          </cell>
          <cell r="B730">
            <v>41024</v>
          </cell>
          <cell r="C730" t="str">
            <v>Future</v>
          </cell>
          <cell r="D730" t="e">
            <v>#N/A</v>
          </cell>
          <cell r="E730">
            <v>4.8756756756756392</v>
          </cell>
          <cell r="F730">
            <v>16.429729729729839</v>
          </cell>
          <cell r="G730">
            <v>14.11891891891894</v>
          </cell>
          <cell r="H730">
            <v>14.11891891891894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14.52</v>
          </cell>
          <cell r="Q730" t="str">
            <v/>
          </cell>
          <cell r="R730" t="e">
            <v>#N/A</v>
          </cell>
        </row>
        <row r="731">
          <cell r="A731">
            <v>41025</v>
          </cell>
          <cell r="B731">
            <v>41025</v>
          </cell>
          <cell r="C731" t="str">
            <v>Future</v>
          </cell>
          <cell r="D731" t="e">
            <v>#N/A</v>
          </cell>
          <cell r="E731">
            <v>4.8202702702702336</v>
          </cell>
          <cell r="F731">
            <v>16.441891891892002</v>
          </cell>
          <cell r="G731">
            <v>14.117567567567589</v>
          </cell>
          <cell r="H731">
            <v>14.117567567567589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14.52</v>
          </cell>
          <cell r="Q731" t="str">
            <v/>
          </cell>
          <cell r="R731" t="e">
            <v>#N/A</v>
          </cell>
        </row>
        <row r="732">
          <cell r="A732">
            <v>41026</v>
          </cell>
          <cell r="B732">
            <v>41026</v>
          </cell>
          <cell r="C732" t="str">
            <v>Future</v>
          </cell>
          <cell r="D732" t="e">
            <v>#N/A</v>
          </cell>
          <cell r="E732">
            <v>4.764864864864828</v>
          </cell>
          <cell r="F732">
            <v>16.454054054054165</v>
          </cell>
          <cell r="G732">
            <v>14.116216216216237</v>
          </cell>
          <cell r="H732">
            <v>14.116216216216237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14.52</v>
          </cell>
          <cell r="Q732" t="str">
            <v/>
          </cell>
          <cell r="R732" t="e">
            <v>#N/A</v>
          </cell>
        </row>
        <row r="733">
          <cell r="A733">
            <v>41029</v>
          </cell>
          <cell r="B733">
            <v>41029</v>
          </cell>
          <cell r="C733" t="str">
            <v>Future</v>
          </cell>
          <cell r="D733" t="e">
            <v>#N/A</v>
          </cell>
          <cell r="E733">
            <v>4.7094594594594223</v>
          </cell>
          <cell r="F733">
            <v>16.466216216216328</v>
          </cell>
          <cell r="G733">
            <v>14.114864864864886</v>
          </cell>
          <cell r="H733">
            <v>14.114864864864886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14.52</v>
          </cell>
          <cell r="Q733" t="str">
            <v/>
          </cell>
          <cell r="R733" t="e">
            <v>#N/A</v>
          </cell>
        </row>
        <row r="734">
          <cell r="A734">
            <v>41030</v>
          </cell>
          <cell r="B734">
            <v>41030</v>
          </cell>
          <cell r="C734" t="str">
            <v>Future</v>
          </cell>
          <cell r="D734" t="e">
            <v>#N/A</v>
          </cell>
          <cell r="E734">
            <v>4.6540540540540167</v>
          </cell>
          <cell r="F734">
            <v>16.478378378378491</v>
          </cell>
          <cell r="G734">
            <v>14.113513513513535</v>
          </cell>
          <cell r="H734">
            <v>14.113513513513535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14.52</v>
          </cell>
          <cell r="Q734" t="str">
            <v/>
          </cell>
          <cell r="R734" t="e">
            <v>#N/A</v>
          </cell>
        </row>
        <row r="735">
          <cell r="A735">
            <v>41031</v>
          </cell>
          <cell r="B735">
            <v>41031</v>
          </cell>
          <cell r="C735" t="str">
            <v>Future</v>
          </cell>
          <cell r="D735" t="e">
            <v>#N/A</v>
          </cell>
          <cell r="E735">
            <v>4.5986486486486111</v>
          </cell>
          <cell r="F735">
            <v>16.490540540540653</v>
          </cell>
          <cell r="G735">
            <v>14.112162162162184</v>
          </cell>
          <cell r="H735">
            <v>14.112162162162184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14.52</v>
          </cell>
          <cell r="Q735" t="str">
            <v/>
          </cell>
          <cell r="R735" t="e">
            <v>#N/A</v>
          </cell>
        </row>
        <row r="736">
          <cell r="A736">
            <v>41032</v>
          </cell>
          <cell r="B736">
            <v>41032</v>
          </cell>
          <cell r="C736" t="str">
            <v>Future</v>
          </cell>
          <cell r="D736" t="e">
            <v>#N/A</v>
          </cell>
          <cell r="E736">
            <v>4.5432432432432055</v>
          </cell>
          <cell r="F736">
            <v>16.502702702702816</v>
          </cell>
          <cell r="G736">
            <v>14.110810810810833</v>
          </cell>
          <cell r="H736">
            <v>14.110810810810833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14.52</v>
          </cell>
          <cell r="Q736" t="str">
            <v/>
          </cell>
          <cell r="R736" t="e">
            <v>#N/A</v>
          </cell>
        </row>
        <row r="737">
          <cell r="A737">
            <v>41033</v>
          </cell>
          <cell r="B737">
            <v>41033</v>
          </cell>
          <cell r="C737" t="str">
            <v>Future</v>
          </cell>
          <cell r="D737" t="e">
            <v>#N/A</v>
          </cell>
          <cell r="E737">
            <v>4.4878378378377999</v>
          </cell>
          <cell r="F737">
            <v>16.514864864864979</v>
          </cell>
          <cell r="G737">
            <v>14.109459459459481</v>
          </cell>
          <cell r="H737">
            <v>14.109459459459481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14.52</v>
          </cell>
          <cell r="Q737" t="str">
            <v/>
          </cell>
          <cell r="R737" t="e">
            <v>#N/A</v>
          </cell>
        </row>
        <row r="738">
          <cell r="A738">
            <v>41036</v>
          </cell>
          <cell r="B738">
            <v>41036</v>
          </cell>
          <cell r="C738" t="str">
            <v>Future</v>
          </cell>
          <cell r="D738" t="e">
            <v>#N/A</v>
          </cell>
          <cell r="E738">
            <v>4.4324324324323943</v>
          </cell>
          <cell r="F738">
            <v>16.527027027027142</v>
          </cell>
          <cell r="G738">
            <v>14.10810810810813</v>
          </cell>
          <cell r="H738">
            <v>14.10810810810813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14.52</v>
          </cell>
          <cell r="Q738" t="str">
            <v/>
          </cell>
          <cell r="R738" t="e">
            <v>#N/A</v>
          </cell>
        </row>
        <row r="739">
          <cell r="A739">
            <v>41037</v>
          </cell>
          <cell r="B739">
            <v>41037</v>
          </cell>
          <cell r="C739" t="str">
            <v>Future</v>
          </cell>
          <cell r="D739" t="e">
            <v>#N/A</v>
          </cell>
          <cell r="E739">
            <v>4.3770270270269886</v>
          </cell>
          <cell r="F739">
            <v>16.539189189189305</v>
          </cell>
          <cell r="G739">
            <v>14.106756756756779</v>
          </cell>
          <cell r="H739">
            <v>14.106756756756779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14.52</v>
          </cell>
          <cell r="Q739" t="str">
            <v/>
          </cell>
          <cell r="R739" t="e">
            <v>#N/A</v>
          </cell>
        </row>
        <row r="740">
          <cell r="A740">
            <v>41038</v>
          </cell>
          <cell r="B740">
            <v>41038</v>
          </cell>
          <cell r="C740" t="str">
            <v>Future</v>
          </cell>
          <cell r="D740" t="e">
            <v>#N/A</v>
          </cell>
          <cell r="E740">
            <v>4.321621621621583</v>
          </cell>
          <cell r="F740">
            <v>16.551351351351467</v>
          </cell>
          <cell r="G740">
            <v>14.105405405405428</v>
          </cell>
          <cell r="H740">
            <v>14.105405405405428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14.52</v>
          </cell>
          <cell r="Q740" t="str">
            <v/>
          </cell>
          <cell r="R740" t="e">
            <v>#N/A</v>
          </cell>
        </row>
        <row r="741">
          <cell r="A741">
            <v>41039</v>
          </cell>
          <cell r="B741">
            <v>41039</v>
          </cell>
          <cell r="C741" t="str">
            <v>Future</v>
          </cell>
          <cell r="D741" t="e">
            <v>#N/A</v>
          </cell>
          <cell r="E741">
            <v>4.2662162162161774</v>
          </cell>
          <cell r="F741">
            <v>16.56351351351363</v>
          </cell>
          <cell r="G741">
            <v>14.104054054054076</v>
          </cell>
          <cell r="H741">
            <v>14.104054054054076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14.52</v>
          </cell>
          <cell r="Q741" t="str">
            <v/>
          </cell>
          <cell r="R741" t="e">
            <v>#N/A</v>
          </cell>
        </row>
        <row r="742">
          <cell r="A742">
            <v>41040</v>
          </cell>
          <cell r="B742">
            <v>41040</v>
          </cell>
          <cell r="C742" t="str">
            <v>Future</v>
          </cell>
          <cell r="D742" t="e">
            <v>#N/A</v>
          </cell>
          <cell r="E742">
            <v>4.2108108108107718</v>
          </cell>
          <cell r="F742">
            <v>16.575675675675793</v>
          </cell>
          <cell r="G742">
            <v>14.102702702702725</v>
          </cell>
          <cell r="H742">
            <v>14.102702702702725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14.52</v>
          </cell>
          <cell r="Q742" t="str">
            <v/>
          </cell>
          <cell r="R742" t="e">
            <v>#N/A</v>
          </cell>
        </row>
        <row r="743">
          <cell r="A743">
            <v>41043</v>
          </cell>
          <cell r="B743">
            <v>41043</v>
          </cell>
          <cell r="C743" t="str">
            <v>Future</v>
          </cell>
          <cell r="D743" t="e">
            <v>#N/A</v>
          </cell>
          <cell r="E743">
            <v>4.1554054054053662</v>
          </cell>
          <cell r="F743">
            <v>16.587837837837956</v>
          </cell>
          <cell r="G743">
            <v>14.101351351351374</v>
          </cell>
          <cell r="H743">
            <v>14.101351351351374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14.52</v>
          </cell>
          <cell r="Q743" t="str">
            <v/>
          </cell>
          <cell r="R743" t="e">
            <v>#N/A</v>
          </cell>
        </row>
        <row r="744">
          <cell r="A744">
            <v>41044</v>
          </cell>
          <cell r="B744">
            <v>41044</v>
          </cell>
          <cell r="C744" t="str">
            <v>Future</v>
          </cell>
          <cell r="D744" t="e">
            <v>#N/A</v>
          </cell>
          <cell r="E744">
            <v>4.0999999999999606</v>
          </cell>
          <cell r="F744">
            <v>16.600000000000119</v>
          </cell>
          <cell r="G744">
            <v>14.100000000000023</v>
          </cell>
          <cell r="H744">
            <v>14.100000000000023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14.52</v>
          </cell>
          <cell r="Q744" t="str">
            <v/>
          </cell>
          <cell r="R744" t="e">
            <v>#N/A</v>
          </cell>
        </row>
        <row r="745">
          <cell r="A745">
            <v>41045</v>
          </cell>
          <cell r="B745">
            <v>41045</v>
          </cell>
          <cell r="C745" t="str">
            <v>Future</v>
          </cell>
          <cell r="D745" t="e">
            <v>#N/A</v>
          </cell>
          <cell r="E745">
            <v>4.0445945945945549</v>
          </cell>
          <cell r="F745">
            <v>16.612162162162281</v>
          </cell>
          <cell r="G745">
            <v>14.098648648648672</v>
          </cell>
          <cell r="H745">
            <v>14.098648648648672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14.52</v>
          </cell>
          <cell r="Q745" t="str">
            <v/>
          </cell>
          <cell r="R745" t="e">
            <v>#N/A</v>
          </cell>
        </row>
        <row r="746">
          <cell r="A746">
            <v>41046</v>
          </cell>
          <cell r="B746">
            <v>41046</v>
          </cell>
          <cell r="C746" t="str">
            <v>Future</v>
          </cell>
          <cell r="D746" t="e">
            <v>#N/A</v>
          </cell>
          <cell r="E746">
            <v>3.9891891891891493</v>
          </cell>
          <cell r="F746">
            <v>16.624324324324444</v>
          </cell>
          <cell r="G746">
            <v>14.09729729729732</v>
          </cell>
          <cell r="H746">
            <v>14.09729729729732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14.52</v>
          </cell>
          <cell r="Q746" t="str">
            <v/>
          </cell>
          <cell r="R746" t="e">
            <v>#N/A</v>
          </cell>
        </row>
        <row r="747">
          <cell r="A747">
            <v>41047</v>
          </cell>
          <cell r="B747">
            <v>41047</v>
          </cell>
          <cell r="C747" t="str">
            <v>Future</v>
          </cell>
          <cell r="D747" t="e">
            <v>#N/A</v>
          </cell>
          <cell r="E747">
            <v>3.9337837837837437</v>
          </cell>
          <cell r="F747">
            <v>16.636486486486607</v>
          </cell>
          <cell r="G747">
            <v>14.095945945945969</v>
          </cell>
          <cell r="H747">
            <v>14.095945945945969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14.52</v>
          </cell>
          <cell r="Q747" t="str">
            <v/>
          </cell>
          <cell r="R747" t="e">
            <v>#N/A</v>
          </cell>
        </row>
        <row r="748">
          <cell r="A748">
            <v>41050</v>
          </cell>
          <cell r="B748">
            <v>41050</v>
          </cell>
          <cell r="C748" t="str">
            <v>Future</v>
          </cell>
          <cell r="D748" t="e">
            <v>#N/A</v>
          </cell>
          <cell r="E748">
            <v>3.8783783783783381</v>
          </cell>
          <cell r="F748">
            <v>16.64864864864877</v>
          </cell>
          <cell r="G748">
            <v>14.094594594594618</v>
          </cell>
          <cell r="H748">
            <v>14.094594594594618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14.52</v>
          </cell>
          <cell r="Q748" t="str">
            <v/>
          </cell>
          <cell r="R748" t="e">
            <v>#N/A</v>
          </cell>
        </row>
        <row r="749">
          <cell r="A749">
            <v>41051</v>
          </cell>
          <cell r="B749">
            <v>41051</v>
          </cell>
          <cell r="C749" t="str">
            <v>Future</v>
          </cell>
          <cell r="D749" t="e">
            <v>#N/A</v>
          </cell>
          <cell r="E749">
            <v>3.8229729729729325</v>
          </cell>
          <cell r="F749">
            <v>16.660810810810933</v>
          </cell>
          <cell r="G749">
            <v>14.093243243243267</v>
          </cell>
          <cell r="H749">
            <v>14.093243243243267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14.52</v>
          </cell>
          <cell r="Q749" t="str">
            <v/>
          </cell>
          <cell r="R749" t="e">
            <v>#N/A</v>
          </cell>
        </row>
        <row r="750">
          <cell r="A750">
            <v>41052</v>
          </cell>
          <cell r="B750">
            <v>41052</v>
          </cell>
          <cell r="C750" t="str">
            <v>Future</v>
          </cell>
          <cell r="D750" t="e">
            <v>#N/A</v>
          </cell>
          <cell r="E750">
            <v>3.7675675675675269</v>
          </cell>
          <cell r="F750">
            <v>16.672972972973096</v>
          </cell>
          <cell r="G750">
            <v>14.091891891891915</v>
          </cell>
          <cell r="H750">
            <v>14.091891891891915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14.52</v>
          </cell>
          <cell r="Q750" t="str">
            <v/>
          </cell>
          <cell r="R750" t="e">
            <v>#N/A</v>
          </cell>
        </row>
        <row r="751">
          <cell r="A751">
            <v>41053</v>
          </cell>
          <cell r="B751">
            <v>41053</v>
          </cell>
          <cell r="C751" t="str">
            <v>Future</v>
          </cell>
          <cell r="D751" t="e">
            <v>#N/A</v>
          </cell>
          <cell r="E751">
            <v>3.7121621621621212</v>
          </cell>
          <cell r="F751">
            <v>16.685135135135258</v>
          </cell>
          <cell r="G751">
            <v>14.090540540540564</v>
          </cell>
          <cell r="H751">
            <v>14.090540540540564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14.52</v>
          </cell>
          <cell r="Q751" t="str">
            <v/>
          </cell>
          <cell r="R751" t="e">
            <v>#N/A</v>
          </cell>
        </row>
        <row r="752">
          <cell r="A752">
            <v>41054</v>
          </cell>
          <cell r="B752">
            <v>41054</v>
          </cell>
          <cell r="C752" t="str">
            <v>Future</v>
          </cell>
          <cell r="D752" t="e">
            <v>#N/A</v>
          </cell>
          <cell r="E752">
            <v>3.6567567567567156</v>
          </cell>
          <cell r="F752">
            <v>16.697297297297421</v>
          </cell>
          <cell r="G752">
            <v>14.089189189189213</v>
          </cell>
          <cell r="H752">
            <v>14.089189189189213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14.52</v>
          </cell>
          <cell r="Q752" t="str">
            <v/>
          </cell>
          <cell r="R752" t="e">
            <v>#N/A</v>
          </cell>
        </row>
        <row r="753">
          <cell r="A753">
            <v>41057</v>
          </cell>
          <cell r="B753">
            <v>41057</v>
          </cell>
          <cell r="C753" t="str">
            <v>Future</v>
          </cell>
          <cell r="D753" t="e">
            <v>#N/A</v>
          </cell>
          <cell r="E753">
            <v>3.60135135135131</v>
          </cell>
          <cell r="F753">
            <v>16.709459459459584</v>
          </cell>
          <cell r="G753">
            <v>14.087837837837862</v>
          </cell>
          <cell r="H753">
            <v>14.087837837837862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14.52</v>
          </cell>
          <cell r="Q753" t="str">
            <v/>
          </cell>
          <cell r="R753" t="e">
            <v>#N/A</v>
          </cell>
        </row>
        <row r="754">
          <cell r="A754">
            <v>41058</v>
          </cell>
          <cell r="B754">
            <v>41058</v>
          </cell>
          <cell r="C754" t="str">
            <v>Future</v>
          </cell>
          <cell r="D754" t="e">
            <v>#N/A</v>
          </cell>
          <cell r="E754">
            <v>3.5459459459459044</v>
          </cell>
          <cell r="F754">
            <v>16.721621621621747</v>
          </cell>
          <cell r="G754">
            <v>14.08648648648651</v>
          </cell>
          <cell r="H754">
            <v>14.08648648648651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14.52</v>
          </cell>
          <cell r="Q754" t="str">
            <v/>
          </cell>
          <cell r="R754" t="e">
            <v>#N/A</v>
          </cell>
        </row>
        <row r="755">
          <cell r="A755">
            <v>41059</v>
          </cell>
          <cell r="B755">
            <v>41059</v>
          </cell>
          <cell r="C755" t="str">
            <v>Future</v>
          </cell>
          <cell r="D755" t="e">
            <v>#N/A</v>
          </cell>
          <cell r="E755">
            <v>3.4905405405404988</v>
          </cell>
          <cell r="F755">
            <v>16.73378378378391</v>
          </cell>
          <cell r="G755">
            <v>14.085135135135159</v>
          </cell>
          <cell r="H755">
            <v>14.085135135135159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14.52</v>
          </cell>
          <cell r="Q755" t="str">
            <v/>
          </cell>
          <cell r="R755" t="e">
            <v>#N/A</v>
          </cell>
        </row>
        <row r="756">
          <cell r="A756">
            <v>41060</v>
          </cell>
          <cell r="B756">
            <v>41060</v>
          </cell>
          <cell r="C756" t="str">
            <v>Future</v>
          </cell>
          <cell r="D756" t="e">
            <v>#N/A</v>
          </cell>
          <cell r="E756">
            <v>3.4351351351350932</v>
          </cell>
          <cell r="F756">
            <v>16.745945945946072</v>
          </cell>
          <cell r="G756">
            <v>14.083783783783808</v>
          </cell>
          <cell r="H756">
            <v>14.083783783783808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14.52</v>
          </cell>
          <cell r="Q756" t="str">
            <v/>
          </cell>
          <cell r="R756" t="e">
            <v>#N/A</v>
          </cell>
        </row>
        <row r="757">
          <cell r="A757">
            <v>41061</v>
          </cell>
          <cell r="B757">
            <v>41061</v>
          </cell>
          <cell r="C757" t="str">
            <v>Future</v>
          </cell>
          <cell r="D757" t="e">
            <v>#N/A</v>
          </cell>
          <cell r="E757">
            <v>3.3797297297296875</v>
          </cell>
          <cell r="F757">
            <v>16.758108108108235</v>
          </cell>
          <cell r="G757">
            <v>14.082432432432457</v>
          </cell>
          <cell r="H757">
            <v>14.082432432432457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14.52</v>
          </cell>
          <cell r="Q757" t="str">
            <v/>
          </cell>
          <cell r="R757" t="e">
            <v>#N/A</v>
          </cell>
        </row>
        <row r="758">
          <cell r="A758">
            <v>41064</v>
          </cell>
          <cell r="B758">
            <v>41064</v>
          </cell>
          <cell r="C758" t="str">
            <v>Future</v>
          </cell>
          <cell r="D758" t="e">
            <v>#N/A</v>
          </cell>
          <cell r="E758">
            <v>3.3243243243242819</v>
          </cell>
          <cell r="F758">
            <v>16.770270270270398</v>
          </cell>
          <cell r="G758">
            <v>14.081081081081106</v>
          </cell>
          <cell r="H758">
            <v>14.081081081081106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14.52</v>
          </cell>
          <cell r="Q758" t="str">
            <v/>
          </cell>
          <cell r="R758" t="e">
            <v>#N/A</v>
          </cell>
        </row>
        <row r="759">
          <cell r="A759">
            <v>41065</v>
          </cell>
          <cell r="B759">
            <v>41065</v>
          </cell>
          <cell r="C759" t="str">
            <v>Future</v>
          </cell>
          <cell r="D759" t="e">
            <v>#N/A</v>
          </cell>
          <cell r="E759">
            <v>3.2689189189188763</v>
          </cell>
          <cell r="F759">
            <v>16.782432432432561</v>
          </cell>
          <cell r="G759">
            <v>14.079729729729754</v>
          </cell>
          <cell r="H759">
            <v>14.079729729729754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14.52</v>
          </cell>
          <cell r="Q759" t="str">
            <v/>
          </cell>
          <cell r="R759" t="e">
            <v>#N/A</v>
          </cell>
        </row>
        <row r="760">
          <cell r="A760">
            <v>41066</v>
          </cell>
          <cell r="B760">
            <v>41066</v>
          </cell>
          <cell r="C760" t="str">
            <v>Future</v>
          </cell>
          <cell r="D760" t="e">
            <v>#N/A</v>
          </cell>
          <cell r="E760">
            <v>3.2135135135134707</v>
          </cell>
          <cell r="F760">
            <v>16.794594594594724</v>
          </cell>
          <cell r="G760">
            <v>14.078378378378403</v>
          </cell>
          <cell r="H760">
            <v>14.078378378378403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14.52</v>
          </cell>
          <cell r="Q760" t="str">
            <v/>
          </cell>
          <cell r="R760" t="e">
            <v>#N/A</v>
          </cell>
        </row>
        <row r="761">
          <cell r="A761">
            <v>41067</v>
          </cell>
          <cell r="B761">
            <v>41067</v>
          </cell>
          <cell r="C761" t="str">
            <v>Future</v>
          </cell>
          <cell r="D761" t="e">
            <v>#N/A</v>
          </cell>
          <cell r="E761">
            <v>3.1581081081080651</v>
          </cell>
          <cell r="F761">
            <v>16.806756756756887</v>
          </cell>
          <cell r="G761">
            <v>14.077027027027052</v>
          </cell>
          <cell r="H761">
            <v>14.077027027027052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14.52</v>
          </cell>
          <cell r="Q761" t="str">
            <v/>
          </cell>
          <cell r="R761" t="e">
            <v>#N/A</v>
          </cell>
        </row>
        <row r="762">
          <cell r="A762">
            <v>41068</v>
          </cell>
          <cell r="B762">
            <v>41068</v>
          </cell>
          <cell r="C762" t="str">
            <v>Future</v>
          </cell>
          <cell r="D762" t="e">
            <v>#N/A</v>
          </cell>
          <cell r="E762">
            <v>3.1027027027026595</v>
          </cell>
          <cell r="F762">
            <v>16.818918918919049</v>
          </cell>
          <cell r="G762">
            <v>14.075675675675701</v>
          </cell>
          <cell r="H762">
            <v>14.075675675675701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14.52</v>
          </cell>
          <cell r="Q762" t="str">
            <v/>
          </cell>
          <cell r="R762" t="e">
            <v>#N/A</v>
          </cell>
        </row>
        <row r="763">
          <cell r="A763">
            <v>41071</v>
          </cell>
          <cell r="B763">
            <v>41071</v>
          </cell>
          <cell r="C763" t="str">
            <v>Future</v>
          </cell>
          <cell r="D763" t="e">
            <v>#N/A</v>
          </cell>
          <cell r="E763">
            <v>3.0472972972972538</v>
          </cell>
          <cell r="F763">
            <v>16.831081081081212</v>
          </cell>
          <cell r="G763">
            <v>14.074324324324349</v>
          </cell>
          <cell r="H763">
            <v>14.074324324324349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14.52</v>
          </cell>
          <cell r="Q763" t="str">
            <v/>
          </cell>
          <cell r="R763" t="e">
            <v>#N/A</v>
          </cell>
        </row>
        <row r="764">
          <cell r="A764">
            <v>41072</v>
          </cell>
          <cell r="B764">
            <v>41072</v>
          </cell>
          <cell r="C764" t="str">
            <v>Future</v>
          </cell>
          <cell r="D764" t="e">
            <v>#N/A</v>
          </cell>
          <cell r="E764">
            <v>2.9918918918918482</v>
          </cell>
          <cell r="F764">
            <v>16.843243243243375</v>
          </cell>
          <cell r="G764">
            <v>14.072972972972998</v>
          </cell>
          <cell r="H764">
            <v>14.072972972972998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14.52</v>
          </cell>
          <cell r="Q764" t="str">
            <v/>
          </cell>
          <cell r="R764" t="e">
            <v>#N/A</v>
          </cell>
        </row>
        <row r="765">
          <cell r="A765">
            <v>41073</v>
          </cell>
          <cell r="B765">
            <v>41073</v>
          </cell>
          <cell r="C765" t="str">
            <v>Future</v>
          </cell>
          <cell r="D765" t="e">
            <v>#N/A</v>
          </cell>
          <cell r="E765">
            <v>2.9364864864864426</v>
          </cell>
          <cell r="F765">
            <v>16.855405405405538</v>
          </cell>
          <cell r="G765">
            <v>14.071621621621647</v>
          </cell>
          <cell r="H765">
            <v>14.071621621621647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14.52</v>
          </cell>
          <cell r="Q765" t="str">
            <v/>
          </cell>
          <cell r="R765" t="e">
            <v>#N/A</v>
          </cell>
        </row>
        <row r="766">
          <cell r="A766">
            <v>41074</v>
          </cell>
          <cell r="B766">
            <v>41074</v>
          </cell>
          <cell r="C766" t="str">
            <v>Future</v>
          </cell>
          <cell r="D766" t="e">
            <v>#N/A</v>
          </cell>
          <cell r="E766">
            <v>2.881081081081037</v>
          </cell>
          <cell r="F766">
            <v>16.867567567567701</v>
          </cell>
          <cell r="G766">
            <v>14.070270270270296</v>
          </cell>
          <cell r="H766">
            <v>14.070270270270296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14.52</v>
          </cell>
          <cell r="Q766" t="str">
            <v/>
          </cell>
          <cell r="R766" t="e">
            <v>#N/A</v>
          </cell>
        </row>
        <row r="767">
          <cell r="A767">
            <v>41075</v>
          </cell>
          <cell r="B767">
            <v>41075</v>
          </cell>
          <cell r="C767" t="str">
            <v>Future</v>
          </cell>
          <cell r="D767" t="e">
            <v>#N/A</v>
          </cell>
          <cell r="E767">
            <v>2.8256756756756314</v>
          </cell>
          <cell r="F767">
            <v>16.879729729729863</v>
          </cell>
          <cell r="G767">
            <v>14.068918918918945</v>
          </cell>
          <cell r="H767">
            <v>14.068918918918945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14.52</v>
          </cell>
          <cell r="Q767" t="str">
            <v/>
          </cell>
          <cell r="R767" t="e">
            <v>#N/A</v>
          </cell>
        </row>
        <row r="768">
          <cell r="A768">
            <v>41078</v>
          </cell>
          <cell r="B768">
            <v>41078</v>
          </cell>
          <cell r="C768" t="str">
            <v>Future</v>
          </cell>
          <cell r="D768" t="e">
            <v>#N/A</v>
          </cell>
          <cell r="E768">
            <v>2.7702702702702258</v>
          </cell>
          <cell r="F768">
            <v>16.891891891892026</v>
          </cell>
          <cell r="G768">
            <v>14.067567567567593</v>
          </cell>
          <cell r="H768">
            <v>14.067567567567593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14.52</v>
          </cell>
          <cell r="Q768" t="str">
            <v/>
          </cell>
          <cell r="R768" t="e">
            <v>#N/A</v>
          </cell>
        </row>
        <row r="769">
          <cell r="A769">
            <v>41079</v>
          </cell>
          <cell r="B769">
            <v>41079</v>
          </cell>
          <cell r="C769" t="str">
            <v>Future</v>
          </cell>
          <cell r="D769" t="e">
            <v>#N/A</v>
          </cell>
          <cell r="E769">
            <v>2.7148648648648201</v>
          </cell>
          <cell r="F769">
            <v>16.904054054054189</v>
          </cell>
          <cell r="G769">
            <v>14.066216216216242</v>
          </cell>
          <cell r="H769">
            <v>14.066216216216242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14.52</v>
          </cell>
          <cell r="Q769" t="str">
            <v/>
          </cell>
          <cell r="R769" t="e">
            <v>#N/A</v>
          </cell>
        </row>
        <row r="770">
          <cell r="A770">
            <v>41080</v>
          </cell>
          <cell r="B770">
            <v>41080</v>
          </cell>
          <cell r="C770" t="str">
            <v>Future</v>
          </cell>
          <cell r="D770" t="e">
            <v>#N/A</v>
          </cell>
          <cell r="E770">
            <v>2.6594594594594145</v>
          </cell>
          <cell r="F770">
            <v>16.916216216216352</v>
          </cell>
          <cell r="G770">
            <v>14.064864864864891</v>
          </cell>
          <cell r="H770">
            <v>14.064864864864891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14.52</v>
          </cell>
          <cell r="Q770" t="str">
            <v/>
          </cell>
          <cell r="R770" t="e">
            <v>#N/A</v>
          </cell>
        </row>
        <row r="771">
          <cell r="A771">
            <v>41081</v>
          </cell>
          <cell r="B771">
            <v>41081</v>
          </cell>
          <cell r="C771" t="str">
            <v>Future</v>
          </cell>
          <cell r="D771" t="e">
            <v>#N/A</v>
          </cell>
          <cell r="E771">
            <v>2.6040540540540089</v>
          </cell>
          <cell r="F771">
            <v>16.928378378378515</v>
          </cell>
          <cell r="G771">
            <v>14.06351351351354</v>
          </cell>
          <cell r="H771">
            <v>14.06351351351354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14.52</v>
          </cell>
          <cell r="Q771" t="str">
            <v/>
          </cell>
          <cell r="R771" t="e">
            <v>#N/A</v>
          </cell>
        </row>
        <row r="772">
          <cell r="A772">
            <v>41082</v>
          </cell>
          <cell r="B772">
            <v>41082</v>
          </cell>
          <cell r="C772" t="str">
            <v>Future</v>
          </cell>
          <cell r="D772" t="e">
            <v>#N/A</v>
          </cell>
          <cell r="E772">
            <v>2.5486486486486033</v>
          </cell>
          <cell r="F772">
            <v>16.940540540540677</v>
          </cell>
          <cell r="G772">
            <v>14.062162162162188</v>
          </cell>
          <cell r="H772">
            <v>14.062162162162188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14.52</v>
          </cell>
          <cell r="Q772" t="str">
            <v/>
          </cell>
          <cell r="R772" t="e">
            <v>#N/A</v>
          </cell>
        </row>
        <row r="773">
          <cell r="A773">
            <v>41085</v>
          </cell>
          <cell r="B773">
            <v>41085</v>
          </cell>
          <cell r="C773" t="str">
            <v>Future</v>
          </cell>
          <cell r="D773" t="e">
            <v>#N/A</v>
          </cell>
          <cell r="E773">
            <v>2.4932432432431977</v>
          </cell>
          <cell r="F773">
            <v>16.95270270270284</v>
          </cell>
          <cell r="G773">
            <v>14.060810810810837</v>
          </cell>
          <cell r="H773">
            <v>14.060810810810837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14.52</v>
          </cell>
          <cell r="Q773" t="str">
            <v/>
          </cell>
          <cell r="R773" t="e">
            <v>#N/A</v>
          </cell>
        </row>
        <row r="774">
          <cell r="A774">
            <v>41086</v>
          </cell>
          <cell r="B774">
            <v>41086</v>
          </cell>
          <cell r="C774" t="str">
            <v>Future</v>
          </cell>
          <cell r="D774" t="e">
            <v>#N/A</v>
          </cell>
          <cell r="E774">
            <v>2.4378378378377921</v>
          </cell>
          <cell r="F774">
            <v>16.964864864865003</v>
          </cell>
          <cell r="G774">
            <v>14.059459459459486</v>
          </cell>
          <cell r="H774">
            <v>14.059459459459486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14.52</v>
          </cell>
          <cell r="Q774" t="str">
            <v/>
          </cell>
          <cell r="R774" t="e">
            <v>#N/A</v>
          </cell>
        </row>
        <row r="775">
          <cell r="A775">
            <v>41087</v>
          </cell>
          <cell r="B775">
            <v>41087</v>
          </cell>
          <cell r="C775" t="str">
            <v>Future</v>
          </cell>
          <cell r="D775" t="e">
            <v>#N/A</v>
          </cell>
          <cell r="E775">
            <v>2.3824324324323864</v>
          </cell>
          <cell r="F775">
            <v>16.977027027027166</v>
          </cell>
          <cell r="G775">
            <v>14.058108108108135</v>
          </cell>
          <cell r="H775">
            <v>14.058108108108135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14.52</v>
          </cell>
          <cell r="Q775" t="str">
            <v/>
          </cell>
          <cell r="R775" t="e">
            <v>#N/A</v>
          </cell>
        </row>
        <row r="776">
          <cell r="A776">
            <v>41088</v>
          </cell>
          <cell r="B776">
            <v>41088</v>
          </cell>
          <cell r="C776" t="str">
            <v>Future</v>
          </cell>
          <cell r="D776" t="e">
            <v>#N/A</v>
          </cell>
          <cell r="E776">
            <v>2.3270270270269808</v>
          </cell>
          <cell r="F776">
            <v>16.989189189189329</v>
          </cell>
          <cell r="G776">
            <v>14.056756756756783</v>
          </cell>
          <cell r="H776">
            <v>14.056756756756783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14.52</v>
          </cell>
          <cell r="Q776" t="str">
            <v/>
          </cell>
          <cell r="R776" t="e">
            <v>#N/A</v>
          </cell>
        </row>
        <row r="777">
          <cell r="A777">
            <v>41089</v>
          </cell>
          <cell r="B777">
            <v>41089</v>
          </cell>
          <cell r="C777" t="str">
            <v>Future</v>
          </cell>
          <cell r="D777" t="e">
            <v>#N/A</v>
          </cell>
          <cell r="E777">
            <v>2.2716216216215752</v>
          </cell>
          <cell r="F777">
            <v>17.001351351351492</v>
          </cell>
          <cell r="G777">
            <v>14.055405405405432</v>
          </cell>
          <cell r="H777">
            <v>14.055405405405432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14.52</v>
          </cell>
          <cell r="Q777" t="str">
            <v/>
          </cell>
          <cell r="R777" t="e">
            <v>#N/A</v>
          </cell>
        </row>
        <row r="778">
          <cell r="A778">
            <v>41092</v>
          </cell>
          <cell r="B778">
            <v>41092</v>
          </cell>
          <cell r="C778" t="str">
            <v>Future</v>
          </cell>
          <cell r="D778" t="e">
            <v>#N/A</v>
          </cell>
          <cell r="E778">
            <v>2.2162162162161696</v>
          </cell>
          <cell r="F778">
            <v>17.013513513513654</v>
          </cell>
          <cell r="G778">
            <v>14.054054054054081</v>
          </cell>
          <cell r="H778">
            <v>14.054054054054081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14.52</v>
          </cell>
          <cell r="Q778" t="str">
            <v/>
          </cell>
          <cell r="R778" t="e">
            <v>#N/A</v>
          </cell>
        </row>
        <row r="779">
          <cell r="A779">
            <v>41093</v>
          </cell>
          <cell r="B779">
            <v>41093</v>
          </cell>
          <cell r="C779" t="str">
            <v>Future</v>
          </cell>
          <cell r="D779" t="e">
            <v>#N/A</v>
          </cell>
          <cell r="E779">
            <v>2.160810810810764</v>
          </cell>
          <cell r="F779">
            <v>17.025675675675817</v>
          </cell>
          <cell r="G779">
            <v>14.05270270270273</v>
          </cell>
          <cell r="H779">
            <v>14.05270270270273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14.52</v>
          </cell>
          <cell r="Q779" t="str">
            <v/>
          </cell>
          <cell r="R779" t="e">
            <v>#N/A</v>
          </cell>
        </row>
        <row r="780">
          <cell r="A780">
            <v>41094</v>
          </cell>
          <cell r="B780">
            <v>41094</v>
          </cell>
          <cell r="C780" t="str">
            <v>Future</v>
          </cell>
          <cell r="D780" t="e">
            <v>#N/A</v>
          </cell>
          <cell r="E780">
            <v>2.1054054054053584</v>
          </cell>
          <cell r="F780">
            <v>17.03783783783798</v>
          </cell>
          <cell r="G780">
            <v>14.051351351351379</v>
          </cell>
          <cell r="H780">
            <v>14.051351351351379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14.52</v>
          </cell>
          <cell r="Q780" t="str">
            <v/>
          </cell>
          <cell r="R780" t="e">
            <v>#N/A</v>
          </cell>
        </row>
        <row r="781">
          <cell r="A781">
            <v>41095</v>
          </cell>
          <cell r="B781">
            <v>41095</v>
          </cell>
          <cell r="C781" t="str">
            <v>Future</v>
          </cell>
          <cell r="D781" t="e">
            <v>#N/A</v>
          </cell>
          <cell r="E781">
            <v>2.0499999999999527</v>
          </cell>
          <cell r="F781">
            <v>17.050000000000143</v>
          </cell>
          <cell r="G781">
            <v>14.050000000000027</v>
          </cell>
          <cell r="H781">
            <v>14.050000000000027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14.52</v>
          </cell>
          <cell r="Q781" t="str">
            <v/>
          </cell>
          <cell r="R781" t="e">
            <v>#N/A</v>
          </cell>
        </row>
        <row r="782">
          <cell r="A782">
            <v>41096</v>
          </cell>
          <cell r="B782">
            <v>41096</v>
          </cell>
          <cell r="C782" t="str">
            <v>Future</v>
          </cell>
          <cell r="D782" t="e">
            <v>#N/A</v>
          </cell>
          <cell r="E782">
            <v>1.9945945945945474</v>
          </cell>
          <cell r="F782">
            <v>17.062162162162306</v>
          </cell>
          <cell r="G782">
            <v>14.048648648648676</v>
          </cell>
          <cell r="H782">
            <v>14.048648648648676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14.52</v>
          </cell>
          <cell r="Q782" t="str">
            <v/>
          </cell>
          <cell r="R782" t="e">
            <v>#N/A</v>
          </cell>
        </row>
        <row r="783">
          <cell r="A783">
            <v>41099</v>
          </cell>
          <cell r="B783">
            <v>41099</v>
          </cell>
          <cell r="C783" t="str">
            <v>Future</v>
          </cell>
          <cell r="D783" t="e">
            <v>#N/A</v>
          </cell>
          <cell r="E783">
            <v>1.939189189189142</v>
          </cell>
          <cell r="F783">
            <v>17.074324324324468</v>
          </cell>
          <cell r="G783">
            <v>14.047297297297325</v>
          </cell>
          <cell r="H783">
            <v>14.047297297297325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14.52</v>
          </cell>
          <cell r="Q783" t="str">
            <v/>
          </cell>
          <cell r="R783" t="e">
            <v>#N/A</v>
          </cell>
        </row>
        <row r="784">
          <cell r="A784">
            <v>41100</v>
          </cell>
          <cell r="B784">
            <v>41100</v>
          </cell>
          <cell r="C784" t="str">
            <v>Future</v>
          </cell>
          <cell r="D784" t="e">
            <v>#N/A</v>
          </cell>
          <cell r="E784">
            <v>1.8837837837837366</v>
          </cell>
          <cell r="F784">
            <v>17.086486486486631</v>
          </cell>
          <cell r="G784">
            <v>14.045945945945974</v>
          </cell>
          <cell r="H784">
            <v>14.045945945945974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14.52</v>
          </cell>
          <cell r="Q784" t="str">
            <v/>
          </cell>
          <cell r="R784" t="e">
            <v>#N/A</v>
          </cell>
        </row>
        <row r="785">
          <cell r="A785">
            <v>41101</v>
          </cell>
          <cell r="B785">
            <v>41101</v>
          </cell>
          <cell r="C785" t="str">
            <v>Future</v>
          </cell>
          <cell r="D785" t="e">
            <v>#N/A</v>
          </cell>
          <cell r="E785">
            <v>1.8283783783783312</v>
          </cell>
          <cell r="F785">
            <v>17.098648648648794</v>
          </cell>
          <cell r="G785">
            <v>14.044594594594622</v>
          </cell>
          <cell r="H785">
            <v>14.044594594594622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14.52</v>
          </cell>
          <cell r="Q785" t="str">
            <v/>
          </cell>
          <cell r="R785" t="e">
            <v>#N/A</v>
          </cell>
        </row>
        <row r="786">
          <cell r="A786">
            <v>41102</v>
          </cell>
          <cell r="B786">
            <v>41102</v>
          </cell>
          <cell r="C786" t="str">
            <v>Future</v>
          </cell>
          <cell r="D786" t="e">
            <v>#N/A</v>
          </cell>
          <cell r="E786">
            <v>1.7729729729729258</v>
          </cell>
          <cell r="F786">
            <v>17.110810810810957</v>
          </cell>
          <cell r="G786">
            <v>14.043243243243271</v>
          </cell>
          <cell r="H786">
            <v>14.043243243243271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14.52</v>
          </cell>
          <cell r="Q786" t="str">
            <v/>
          </cell>
          <cell r="R786" t="e">
            <v>#N/A</v>
          </cell>
        </row>
        <row r="787">
          <cell r="A787">
            <v>41103</v>
          </cell>
          <cell r="B787">
            <v>41103</v>
          </cell>
          <cell r="C787" t="str">
            <v>Future</v>
          </cell>
          <cell r="D787" t="e">
            <v>#N/A</v>
          </cell>
          <cell r="E787">
            <v>1.7175675675675204</v>
          </cell>
          <cell r="F787">
            <v>17.12297297297312</v>
          </cell>
          <cell r="G787">
            <v>14.04189189189192</v>
          </cell>
          <cell r="H787">
            <v>14.04189189189192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14.52</v>
          </cell>
          <cell r="Q787" t="str">
            <v/>
          </cell>
          <cell r="R787" t="e">
            <v>#N/A</v>
          </cell>
        </row>
        <row r="788">
          <cell r="A788">
            <v>41106</v>
          </cell>
          <cell r="B788">
            <v>41106</v>
          </cell>
          <cell r="C788" t="str">
            <v>Future</v>
          </cell>
          <cell r="D788" t="e">
            <v>#N/A</v>
          </cell>
          <cell r="E788">
            <v>1.662162162162115</v>
          </cell>
          <cell r="F788">
            <v>17.135135135135283</v>
          </cell>
          <cell r="G788">
            <v>14.040540540540569</v>
          </cell>
          <cell r="H788">
            <v>14.040540540540569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14.52</v>
          </cell>
          <cell r="Q788" t="str">
            <v/>
          </cell>
          <cell r="R788" t="e">
            <v>#N/A</v>
          </cell>
        </row>
        <row r="789">
          <cell r="A789">
            <v>41107</v>
          </cell>
          <cell r="B789">
            <v>41107</v>
          </cell>
          <cell r="C789" t="str">
            <v>Future</v>
          </cell>
          <cell r="D789" t="e">
            <v>#N/A</v>
          </cell>
          <cell r="E789">
            <v>1.6067567567567096</v>
          </cell>
          <cell r="F789">
            <v>17.147297297297445</v>
          </cell>
          <cell r="G789">
            <v>14.039189189189218</v>
          </cell>
          <cell r="H789">
            <v>14.039189189189218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14.52</v>
          </cell>
          <cell r="Q789" t="str">
            <v/>
          </cell>
          <cell r="R789" t="e">
            <v>#N/A</v>
          </cell>
        </row>
        <row r="790">
          <cell r="A790">
            <v>41108</v>
          </cell>
          <cell r="B790">
            <v>41108</v>
          </cell>
          <cell r="C790" t="str">
            <v>Future</v>
          </cell>
          <cell r="D790" t="e">
            <v>#N/A</v>
          </cell>
          <cell r="E790">
            <v>1.5513513513513042</v>
          </cell>
          <cell r="F790">
            <v>17.159459459459608</v>
          </cell>
          <cell r="G790">
            <v>14.037837837837866</v>
          </cell>
          <cell r="H790">
            <v>14.037837837837866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14.52</v>
          </cell>
          <cell r="Q790" t="str">
            <v/>
          </cell>
          <cell r="R790" t="e">
            <v>#N/A</v>
          </cell>
        </row>
        <row r="791">
          <cell r="A791">
            <v>41109</v>
          </cell>
          <cell r="B791">
            <v>41109</v>
          </cell>
          <cell r="C791" t="str">
            <v>Future</v>
          </cell>
          <cell r="D791" t="e">
            <v>#N/A</v>
          </cell>
          <cell r="E791">
            <v>1.4959459459458988</v>
          </cell>
          <cell r="F791">
            <v>17.171621621621771</v>
          </cell>
          <cell r="G791">
            <v>14.036486486486515</v>
          </cell>
          <cell r="H791">
            <v>14.036486486486515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14.52</v>
          </cell>
          <cell r="Q791" t="str">
            <v/>
          </cell>
          <cell r="R791" t="e">
            <v>#N/A</v>
          </cell>
        </row>
        <row r="792">
          <cell r="A792">
            <v>41110</v>
          </cell>
          <cell r="B792">
            <v>41110</v>
          </cell>
          <cell r="C792" t="str">
            <v>Future</v>
          </cell>
          <cell r="D792" t="e">
            <v>#N/A</v>
          </cell>
          <cell r="E792">
            <v>1.4405405405404934</v>
          </cell>
          <cell r="F792">
            <v>17.183783783783934</v>
          </cell>
          <cell r="G792">
            <v>14.035135135135164</v>
          </cell>
          <cell r="H792">
            <v>14.035135135135164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14.52</v>
          </cell>
          <cell r="Q792" t="str">
            <v/>
          </cell>
          <cell r="R792" t="e">
            <v>#N/A</v>
          </cell>
        </row>
        <row r="793">
          <cell r="A793">
            <v>41113</v>
          </cell>
          <cell r="B793">
            <v>41113</v>
          </cell>
          <cell r="C793" t="str">
            <v>Future</v>
          </cell>
          <cell r="D793" t="e">
            <v>#N/A</v>
          </cell>
          <cell r="E793">
            <v>1.385135135135088</v>
          </cell>
          <cell r="F793">
            <v>17.195945945946097</v>
          </cell>
          <cell r="G793">
            <v>14.033783783783813</v>
          </cell>
          <cell r="H793">
            <v>14.033783783783813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14.52</v>
          </cell>
          <cell r="Q793" t="str">
            <v/>
          </cell>
          <cell r="R793" t="e">
            <v>#N/A</v>
          </cell>
        </row>
        <row r="794">
          <cell r="A794">
            <v>41114</v>
          </cell>
          <cell r="B794">
            <v>41114</v>
          </cell>
          <cell r="C794" t="str">
            <v>Future</v>
          </cell>
          <cell r="D794" t="e">
            <v>#N/A</v>
          </cell>
          <cell r="E794">
            <v>1.3297297297296826</v>
          </cell>
          <cell r="F794">
            <v>17.208108108108259</v>
          </cell>
          <cell r="G794">
            <v>14.032432432432461</v>
          </cell>
          <cell r="H794">
            <v>14.032432432432461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14.52</v>
          </cell>
          <cell r="Q794" t="str">
            <v/>
          </cell>
          <cell r="R794" t="e">
            <v>#N/A</v>
          </cell>
        </row>
        <row r="795">
          <cell r="A795">
            <v>41115</v>
          </cell>
          <cell r="B795">
            <v>41115</v>
          </cell>
          <cell r="C795" t="str">
            <v>Future</v>
          </cell>
          <cell r="D795" t="e">
            <v>#N/A</v>
          </cell>
          <cell r="E795">
            <v>1.2743243243242772</v>
          </cell>
          <cell r="F795">
            <v>17.220270270270422</v>
          </cell>
          <cell r="G795">
            <v>14.03108108108111</v>
          </cell>
          <cell r="H795">
            <v>14.03108108108111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14.52</v>
          </cell>
          <cell r="Q795" t="str">
            <v/>
          </cell>
          <cell r="R795" t="e">
            <v>#N/A</v>
          </cell>
        </row>
        <row r="796">
          <cell r="A796">
            <v>41116</v>
          </cell>
          <cell r="B796">
            <v>41116</v>
          </cell>
          <cell r="C796" t="str">
            <v>Future</v>
          </cell>
          <cell r="D796" t="e">
            <v>#N/A</v>
          </cell>
          <cell r="E796">
            <v>1.2189189189188718</v>
          </cell>
          <cell r="F796">
            <v>17.232432432432585</v>
          </cell>
          <cell r="G796">
            <v>14.029729729729759</v>
          </cell>
          <cell r="H796">
            <v>14.029729729729759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14.52</v>
          </cell>
          <cell r="Q796" t="str">
            <v/>
          </cell>
          <cell r="R796" t="e">
            <v>#N/A</v>
          </cell>
        </row>
        <row r="797">
          <cell r="A797">
            <v>41117</v>
          </cell>
          <cell r="B797">
            <v>41117</v>
          </cell>
          <cell r="C797" t="str">
            <v>Future</v>
          </cell>
          <cell r="D797" t="e">
            <v>#N/A</v>
          </cell>
          <cell r="E797">
            <v>1.1635135135134664</v>
          </cell>
          <cell r="F797">
            <v>17.244594594594748</v>
          </cell>
          <cell r="G797">
            <v>14.028378378378408</v>
          </cell>
          <cell r="H797">
            <v>14.028378378378408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14.52</v>
          </cell>
          <cell r="Q797" t="str">
            <v/>
          </cell>
          <cell r="R797" t="e">
            <v>#N/A</v>
          </cell>
        </row>
        <row r="798">
          <cell r="A798">
            <v>41120</v>
          </cell>
          <cell r="B798">
            <v>41120</v>
          </cell>
          <cell r="C798" t="str">
            <v>Future</v>
          </cell>
          <cell r="D798" t="e">
            <v>#N/A</v>
          </cell>
          <cell r="E798">
            <v>1.108108108108061</v>
          </cell>
          <cell r="F798">
            <v>17.256756756756911</v>
          </cell>
          <cell r="G798">
            <v>14.027027027027057</v>
          </cell>
          <cell r="H798">
            <v>14.027027027027057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14.52</v>
          </cell>
          <cell r="Q798" t="str">
            <v/>
          </cell>
          <cell r="R798" t="e">
            <v>#N/A</v>
          </cell>
        </row>
        <row r="799">
          <cell r="A799">
            <v>41121</v>
          </cell>
          <cell r="B799">
            <v>41121</v>
          </cell>
          <cell r="C799" t="str">
            <v>Future</v>
          </cell>
          <cell r="D799" t="e">
            <v>#N/A</v>
          </cell>
          <cell r="E799">
            <v>1.0527027027026556</v>
          </cell>
          <cell r="F799">
            <v>17.268918918919073</v>
          </cell>
          <cell r="G799">
            <v>14.025675675675705</v>
          </cell>
          <cell r="H799">
            <v>14.025675675675705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14.52</v>
          </cell>
          <cell r="Q799" t="str">
            <v/>
          </cell>
          <cell r="R799" t="e">
            <v>#N/A</v>
          </cell>
        </row>
        <row r="800">
          <cell r="A800">
            <v>41122</v>
          </cell>
          <cell r="B800">
            <v>41122</v>
          </cell>
          <cell r="C800" t="str">
            <v>Future</v>
          </cell>
          <cell r="D800" t="e">
            <v>#N/A</v>
          </cell>
          <cell r="E800">
            <v>0.99729729729725025</v>
          </cell>
          <cell r="F800">
            <v>17.281081081081236</v>
          </cell>
          <cell r="G800">
            <v>14.024324324324354</v>
          </cell>
          <cell r="H800">
            <v>14.024324324324354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14.52</v>
          </cell>
          <cell r="Q800" t="str">
            <v/>
          </cell>
          <cell r="R800" t="e">
            <v>#N/A</v>
          </cell>
        </row>
        <row r="801">
          <cell r="A801">
            <v>41123</v>
          </cell>
          <cell r="B801">
            <v>41123</v>
          </cell>
          <cell r="C801" t="str">
            <v>Future</v>
          </cell>
          <cell r="D801" t="e">
            <v>#N/A</v>
          </cell>
          <cell r="E801">
            <v>0.94189189189184486</v>
          </cell>
          <cell r="F801">
            <v>17.293243243243399</v>
          </cell>
          <cell r="G801">
            <v>14.022972972973003</v>
          </cell>
          <cell r="H801">
            <v>14.022972972973003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14.52</v>
          </cell>
          <cell r="Q801" t="str">
            <v/>
          </cell>
          <cell r="R801" t="e">
            <v>#N/A</v>
          </cell>
        </row>
        <row r="802">
          <cell r="A802">
            <v>41124</v>
          </cell>
          <cell r="B802">
            <v>41124</v>
          </cell>
          <cell r="C802" t="str">
            <v>Future</v>
          </cell>
          <cell r="D802" t="e">
            <v>#N/A</v>
          </cell>
          <cell r="E802">
            <v>0.88648648648643946</v>
          </cell>
          <cell r="F802">
            <v>17.305405405405562</v>
          </cell>
          <cell r="G802">
            <v>14.021621621621652</v>
          </cell>
          <cell r="H802">
            <v>14.021621621621652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14.52</v>
          </cell>
          <cell r="Q802" t="str">
            <v/>
          </cell>
          <cell r="R802" t="e">
            <v>#N/A</v>
          </cell>
        </row>
        <row r="803">
          <cell r="A803">
            <v>41127</v>
          </cell>
          <cell r="B803">
            <v>41127</v>
          </cell>
          <cell r="C803" t="str">
            <v>Future</v>
          </cell>
          <cell r="D803" t="e">
            <v>#N/A</v>
          </cell>
          <cell r="E803">
            <v>0.83108108108103407</v>
          </cell>
          <cell r="F803">
            <v>17.317567567567725</v>
          </cell>
          <cell r="G803">
            <v>14.0202702702703</v>
          </cell>
          <cell r="H803">
            <v>14.0202702702703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14.52</v>
          </cell>
          <cell r="Q803" t="str">
            <v/>
          </cell>
          <cell r="R803" t="e">
            <v>#N/A</v>
          </cell>
        </row>
        <row r="804">
          <cell r="A804">
            <v>41128</v>
          </cell>
          <cell r="B804">
            <v>41128</v>
          </cell>
          <cell r="C804" t="str">
            <v>Future</v>
          </cell>
          <cell r="D804" t="e">
            <v>#N/A</v>
          </cell>
          <cell r="E804">
            <v>0.77567567567562867</v>
          </cell>
          <cell r="F804">
            <v>17.329729729729888</v>
          </cell>
          <cell r="G804">
            <v>14.018918918918949</v>
          </cell>
          <cell r="H804">
            <v>14.018918918918949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14.52</v>
          </cell>
          <cell r="Q804" t="str">
            <v/>
          </cell>
          <cell r="R804" t="e">
            <v>#N/A</v>
          </cell>
        </row>
        <row r="805">
          <cell r="A805">
            <v>41129</v>
          </cell>
          <cell r="B805">
            <v>41129</v>
          </cell>
          <cell r="C805" t="str">
            <v>Future</v>
          </cell>
          <cell r="D805" t="e">
            <v>#N/A</v>
          </cell>
          <cell r="E805">
            <v>0.72027027027022328</v>
          </cell>
          <cell r="F805">
            <v>17.34189189189205</v>
          </cell>
          <cell r="G805">
            <v>14.017567567567598</v>
          </cell>
          <cell r="H805">
            <v>14.017567567567598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14.52</v>
          </cell>
          <cell r="Q805" t="str">
            <v/>
          </cell>
          <cell r="R805" t="e">
            <v>#N/A</v>
          </cell>
        </row>
        <row r="806">
          <cell r="A806">
            <v>41130</v>
          </cell>
          <cell r="B806">
            <v>41130</v>
          </cell>
          <cell r="C806" t="str">
            <v>Future</v>
          </cell>
          <cell r="D806" t="e">
            <v>#N/A</v>
          </cell>
          <cell r="E806">
            <v>0.66486486486481788</v>
          </cell>
          <cell r="F806">
            <v>17.354054054054213</v>
          </cell>
          <cell r="G806">
            <v>14.016216216216247</v>
          </cell>
          <cell r="H806">
            <v>14.016216216216247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14.52</v>
          </cell>
          <cell r="Q806" t="str">
            <v/>
          </cell>
          <cell r="R806" t="e">
            <v>#N/A</v>
          </cell>
        </row>
        <row r="807">
          <cell r="A807">
            <v>41131</v>
          </cell>
          <cell r="B807">
            <v>41131</v>
          </cell>
          <cell r="C807" t="str">
            <v>Future</v>
          </cell>
          <cell r="D807" t="e">
            <v>#N/A</v>
          </cell>
          <cell r="E807">
            <v>0.60945945945941249</v>
          </cell>
          <cell r="F807">
            <v>17.366216216216376</v>
          </cell>
          <cell r="G807">
            <v>14.014864864864895</v>
          </cell>
          <cell r="H807">
            <v>14.014864864864895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14.52</v>
          </cell>
          <cell r="Q807" t="str">
            <v/>
          </cell>
          <cell r="R807" t="e">
            <v>#N/A</v>
          </cell>
        </row>
        <row r="808">
          <cell r="A808">
            <v>41134</v>
          </cell>
          <cell r="B808">
            <v>41134</v>
          </cell>
          <cell r="C808" t="str">
            <v>Future</v>
          </cell>
          <cell r="D808" t="e">
            <v>#N/A</v>
          </cell>
          <cell r="E808">
            <v>0.55405405405400709</v>
          </cell>
          <cell r="F808">
            <v>17.378378378378539</v>
          </cell>
          <cell r="G808">
            <v>14.013513513513544</v>
          </cell>
          <cell r="H808">
            <v>14.013513513513544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14.52</v>
          </cell>
          <cell r="Q808" t="str">
            <v/>
          </cell>
          <cell r="R808" t="e">
            <v>#N/A</v>
          </cell>
        </row>
        <row r="809">
          <cell r="A809">
            <v>41135</v>
          </cell>
          <cell r="B809">
            <v>41135</v>
          </cell>
          <cell r="C809" t="str">
            <v>Future</v>
          </cell>
          <cell r="D809" t="e">
            <v>#N/A</v>
          </cell>
          <cell r="E809">
            <v>0.4986486486486017</v>
          </cell>
          <cell r="F809">
            <v>17.390540540540702</v>
          </cell>
          <cell r="G809">
            <v>14.012162162162193</v>
          </cell>
          <cell r="H809">
            <v>14.012162162162193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14.52</v>
          </cell>
          <cell r="Q809" t="str">
            <v/>
          </cell>
          <cell r="R809" t="e">
            <v>#N/A</v>
          </cell>
        </row>
        <row r="810">
          <cell r="A810">
            <v>41136</v>
          </cell>
          <cell r="B810">
            <v>41136</v>
          </cell>
          <cell r="C810" t="str">
            <v>Future</v>
          </cell>
          <cell r="D810" t="e">
            <v>#N/A</v>
          </cell>
          <cell r="E810">
            <v>0.44324324324319631</v>
          </cell>
          <cell r="F810">
            <v>17.402702702702864</v>
          </cell>
          <cell r="G810">
            <v>14.010810810810842</v>
          </cell>
          <cell r="H810">
            <v>14.010810810810842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14.52</v>
          </cell>
          <cell r="Q810" t="str">
            <v/>
          </cell>
          <cell r="R810" t="e">
            <v>#N/A</v>
          </cell>
        </row>
        <row r="811">
          <cell r="A811">
            <v>41137</v>
          </cell>
          <cell r="B811">
            <v>41137</v>
          </cell>
          <cell r="C811" t="str">
            <v>Future</v>
          </cell>
          <cell r="D811" t="e">
            <v>#N/A</v>
          </cell>
          <cell r="E811">
            <v>0.38783783783779091</v>
          </cell>
          <cell r="F811">
            <v>17.414864864865027</v>
          </cell>
          <cell r="G811">
            <v>14.009459459459491</v>
          </cell>
          <cell r="H811">
            <v>14.009459459459491</v>
          </cell>
          <cell r="I811" t="e">
            <v>#N/A</v>
          </cell>
          <cell r="J811" t="e">
            <v>#N/A</v>
          </cell>
          <cell r="K811" t="e">
            <v>#N/A</v>
          </cell>
          <cell r="L811" t="e">
            <v>#N/A</v>
          </cell>
          <cell r="M811" t="e">
            <v>#N/A</v>
          </cell>
          <cell r="N811" t="e">
            <v>#N/A</v>
          </cell>
          <cell r="O811" t="e">
            <v>#N/A</v>
          </cell>
          <cell r="P811">
            <v>14.52</v>
          </cell>
          <cell r="Q811" t="str">
            <v/>
          </cell>
          <cell r="R811" t="e">
            <v>#N/A</v>
          </cell>
        </row>
        <row r="812">
          <cell r="A812">
            <v>41138</v>
          </cell>
          <cell r="B812">
            <v>41138</v>
          </cell>
          <cell r="C812" t="str">
            <v>Future</v>
          </cell>
          <cell r="D812" t="e">
            <v>#N/A</v>
          </cell>
          <cell r="E812">
            <v>0.33243243243238552</v>
          </cell>
          <cell r="F812">
            <v>17.42702702702719</v>
          </cell>
          <cell r="G812">
            <v>14.008108108108139</v>
          </cell>
          <cell r="H812">
            <v>14.008108108108139</v>
          </cell>
          <cell r="I812" t="e">
            <v>#N/A</v>
          </cell>
          <cell r="J812" t="e">
            <v>#N/A</v>
          </cell>
          <cell r="K812" t="e">
            <v>#N/A</v>
          </cell>
          <cell r="L812" t="e">
            <v>#N/A</v>
          </cell>
          <cell r="M812" t="e">
            <v>#N/A</v>
          </cell>
          <cell r="N812" t="e">
            <v>#N/A</v>
          </cell>
          <cell r="O812" t="e">
            <v>#N/A</v>
          </cell>
          <cell r="P812">
            <v>14.52</v>
          </cell>
          <cell r="Q812" t="str">
            <v/>
          </cell>
          <cell r="R812" t="e">
            <v>#N/A</v>
          </cell>
        </row>
        <row r="813">
          <cell r="A813">
            <v>41141</v>
          </cell>
          <cell r="B813">
            <v>41141</v>
          </cell>
          <cell r="C813" t="str">
            <v>Future</v>
          </cell>
          <cell r="D813" t="e">
            <v>#N/A</v>
          </cell>
          <cell r="E813">
            <v>0.27702702702698012</v>
          </cell>
          <cell r="F813">
            <v>17.439189189189353</v>
          </cell>
          <cell r="G813">
            <v>14.006756756756788</v>
          </cell>
          <cell r="H813">
            <v>14.006756756756788</v>
          </cell>
          <cell r="I813" t="e">
            <v>#N/A</v>
          </cell>
          <cell r="J813" t="e">
            <v>#N/A</v>
          </cell>
          <cell r="K813" t="e">
            <v>#N/A</v>
          </cell>
          <cell r="L813" t="e">
            <v>#N/A</v>
          </cell>
          <cell r="M813" t="e">
            <v>#N/A</v>
          </cell>
          <cell r="N813" t="e">
            <v>#N/A</v>
          </cell>
          <cell r="O813" t="e">
            <v>#N/A</v>
          </cell>
          <cell r="P813">
            <v>14.52</v>
          </cell>
          <cell r="Q813" t="str">
            <v/>
          </cell>
          <cell r="R813" t="e">
            <v>#N/A</v>
          </cell>
        </row>
        <row r="814">
          <cell r="A814">
            <v>41142</v>
          </cell>
          <cell r="B814">
            <v>41142</v>
          </cell>
          <cell r="C814" t="str">
            <v>Future</v>
          </cell>
          <cell r="D814" t="e">
            <v>#N/A</v>
          </cell>
          <cell r="E814">
            <v>0.22162162162157473</v>
          </cell>
          <cell r="F814">
            <v>17.451351351351516</v>
          </cell>
          <cell r="G814">
            <v>14.005405405405437</v>
          </cell>
          <cell r="H814">
            <v>14.005405405405437</v>
          </cell>
          <cell r="I814" t="e">
            <v>#N/A</v>
          </cell>
          <cell r="J814" t="e">
            <v>#N/A</v>
          </cell>
          <cell r="K814" t="e">
            <v>#N/A</v>
          </cell>
          <cell r="L814" t="e">
            <v>#N/A</v>
          </cell>
          <cell r="M814" t="e">
            <v>#N/A</v>
          </cell>
          <cell r="N814" t="e">
            <v>#N/A</v>
          </cell>
          <cell r="O814" t="e">
            <v>#N/A</v>
          </cell>
          <cell r="P814">
            <v>14.52</v>
          </cell>
          <cell r="Q814" t="str">
            <v/>
          </cell>
          <cell r="R814" t="e">
            <v>#N/A</v>
          </cell>
        </row>
        <row r="815">
          <cell r="A815">
            <v>41143</v>
          </cell>
          <cell r="B815">
            <v>41143</v>
          </cell>
          <cell r="C815" t="str">
            <v>Future</v>
          </cell>
          <cell r="D815" t="e">
            <v>#N/A</v>
          </cell>
          <cell r="E815">
            <v>0.16621621621616933</v>
          </cell>
          <cell r="F815">
            <v>17.463513513513679</v>
          </cell>
          <cell r="G815">
            <v>14.004054054054086</v>
          </cell>
          <cell r="H815">
            <v>14.004054054054086</v>
          </cell>
          <cell r="I815" t="e">
            <v>#N/A</v>
          </cell>
          <cell r="J815" t="e">
            <v>#N/A</v>
          </cell>
          <cell r="K815" t="e">
            <v>#N/A</v>
          </cell>
          <cell r="L815" t="e">
            <v>#N/A</v>
          </cell>
          <cell r="M815" t="e">
            <v>#N/A</v>
          </cell>
          <cell r="N815" t="e">
            <v>#N/A</v>
          </cell>
          <cell r="O815" t="e">
            <v>#N/A</v>
          </cell>
          <cell r="P815">
            <v>14.52</v>
          </cell>
          <cell r="Q815" t="str">
            <v/>
          </cell>
          <cell r="R815" t="e">
            <v>#N/A</v>
          </cell>
        </row>
        <row r="816">
          <cell r="A816">
            <v>41144</v>
          </cell>
          <cell r="B816">
            <v>41144</v>
          </cell>
          <cell r="C816" t="str">
            <v>Future</v>
          </cell>
          <cell r="D816" t="e">
            <v>#N/A</v>
          </cell>
          <cell r="E816">
            <v>0.11081081081076394</v>
          </cell>
          <cell r="F816">
            <v>17.475675675675841</v>
          </cell>
          <cell r="G816">
            <v>14.002702702702734</v>
          </cell>
          <cell r="H816">
            <v>14.002702702702734</v>
          </cell>
          <cell r="I816" t="e">
            <v>#N/A</v>
          </cell>
          <cell r="J816" t="e">
            <v>#N/A</v>
          </cell>
          <cell r="K816" t="e">
            <v>#N/A</v>
          </cell>
          <cell r="L816" t="e">
            <v>#N/A</v>
          </cell>
          <cell r="M816" t="e">
            <v>#N/A</v>
          </cell>
          <cell r="N816" t="e">
            <v>#N/A</v>
          </cell>
          <cell r="O816" t="e">
            <v>#N/A</v>
          </cell>
          <cell r="P816">
            <v>14.52</v>
          </cell>
          <cell r="Q816" t="str">
            <v/>
          </cell>
          <cell r="R816" t="e">
            <v>#N/A</v>
          </cell>
        </row>
        <row r="817">
          <cell r="A817">
            <v>41145</v>
          </cell>
          <cell r="B817">
            <v>41145</v>
          </cell>
          <cell r="C817" t="str">
            <v>Future</v>
          </cell>
          <cell r="D817" t="e">
            <v>#N/A</v>
          </cell>
          <cell r="E817">
            <v>5.5405405405358536E-2</v>
          </cell>
          <cell r="F817">
            <v>17.487837837838004</v>
          </cell>
          <cell r="G817">
            <v>14.001351351351383</v>
          </cell>
          <cell r="H817">
            <v>14.001351351351383</v>
          </cell>
          <cell r="I817" t="e">
            <v>#N/A</v>
          </cell>
          <cell r="J817" t="e">
            <v>#N/A</v>
          </cell>
          <cell r="K817">
            <v>17.5</v>
          </cell>
          <cell r="L817">
            <v>14</v>
          </cell>
          <cell r="M817" t="e">
            <v>#N/A</v>
          </cell>
          <cell r="N817">
            <v>16.5</v>
          </cell>
          <cell r="O817" t="e">
            <v>#N/A</v>
          </cell>
          <cell r="P817">
            <v>14.52</v>
          </cell>
          <cell r="Q817" t="str">
            <v/>
          </cell>
          <cell r="R817">
            <v>16.5</v>
          </cell>
        </row>
        <row r="818">
          <cell r="A818" t="str">
            <v/>
          </cell>
          <cell r="B818" t="str">
            <v/>
          </cell>
          <cell r="C818" t="str">
            <v>Future</v>
          </cell>
          <cell r="D818" t="e">
            <v>#N/A</v>
          </cell>
          <cell r="E818">
            <v>-4.686528942698942E-14</v>
          </cell>
          <cell r="F818">
            <v>17.500000000000167</v>
          </cell>
          <cell r="G818">
            <v>14.000000000000032</v>
          </cell>
          <cell r="H818">
            <v>14.000000000000032</v>
          </cell>
          <cell r="I818" t="e">
            <v>#N/A</v>
          </cell>
          <cell r="J818" t="e">
            <v>#N/A</v>
          </cell>
          <cell r="K818">
            <v>17.5</v>
          </cell>
          <cell r="L818">
            <v>14</v>
          </cell>
          <cell r="M818" t="e">
            <v>#N/A</v>
          </cell>
          <cell r="N818">
            <v>16.5</v>
          </cell>
          <cell r="O818" t="e">
            <v>#N/A</v>
          </cell>
          <cell r="P818" t="str">
            <v/>
          </cell>
          <cell r="Q818" t="str">
            <v/>
          </cell>
          <cell r="R818">
            <v>16.5</v>
          </cell>
        </row>
        <row r="819">
          <cell r="A819" t="str">
            <v/>
          </cell>
          <cell r="B819" t="str">
            <v/>
          </cell>
          <cell r="C819" t="str">
            <v>Future</v>
          </cell>
          <cell r="D819" t="e">
            <v>#N/A</v>
          </cell>
          <cell r="E819">
            <v>-5.5405405405452267E-2</v>
          </cell>
          <cell r="F819">
            <v>17.51216216216233</v>
          </cell>
          <cell r="G819">
            <v>13.998648648648681</v>
          </cell>
          <cell r="H819">
            <v>13.998648648648681</v>
          </cell>
          <cell r="I819" t="e">
            <v>#N/A</v>
          </cell>
          <cell r="J819" t="e">
            <v>#N/A</v>
          </cell>
          <cell r="K819">
            <v>17.5</v>
          </cell>
          <cell r="L819">
            <v>14</v>
          </cell>
          <cell r="M819" t="e">
            <v>#N/A</v>
          </cell>
          <cell r="N819">
            <v>16.5</v>
          </cell>
          <cell r="O819" t="e">
            <v>#N/A</v>
          </cell>
          <cell r="P819" t="str">
            <v/>
          </cell>
          <cell r="Q819" t="str">
            <v/>
          </cell>
          <cell r="R819">
            <v>16.5</v>
          </cell>
        </row>
        <row r="820">
          <cell r="A820" t="str">
            <v/>
          </cell>
          <cell r="B820" t="str">
            <v/>
          </cell>
          <cell r="C820" t="str">
            <v>Future</v>
          </cell>
          <cell r="D820" t="e">
            <v>#N/A</v>
          </cell>
          <cell r="E820">
            <v>-0.11081081081085767</v>
          </cell>
          <cell r="F820">
            <v>17.524324324324493</v>
          </cell>
          <cell r="G820">
            <v>13.99729729729733</v>
          </cell>
          <cell r="H820">
            <v>13.99729729729733</v>
          </cell>
          <cell r="I820" t="e">
            <v>#N/A</v>
          </cell>
          <cell r="J820" t="e">
            <v>#N/A</v>
          </cell>
          <cell r="K820">
            <v>17.5</v>
          </cell>
          <cell r="L820">
            <v>14</v>
          </cell>
          <cell r="M820" t="e">
            <v>#N/A</v>
          </cell>
          <cell r="N820">
            <v>16.5</v>
          </cell>
          <cell r="O820" t="e">
            <v>#N/A</v>
          </cell>
          <cell r="P820" t="str">
            <v/>
          </cell>
          <cell r="Q820" t="str">
            <v/>
          </cell>
          <cell r="R820">
            <v>16.5</v>
          </cell>
        </row>
        <row r="821">
          <cell r="A821" t="str">
            <v/>
          </cell>
          <cell r="B821" t="str">
            <v/>
          </cell>
          <cell r="C821" t="str">
            <v>Future</v>
          </cell>
          <cell r="D821" t="e">
            <v>#N/A</v>
          </cell>
          <cell r="E821">
            <v>-0.16621621621626306</v>
          </cell>
          <cell r="F821">
            <v>17.536486486486655</v>
          </cell>
          <cell r="G821">
            <v>13.995945945945978</v>
          </cell>
          <cell r="H821">
            <v>13.995945945945978</v>
          </cell>
          <cell r="I821" t="e">
            <v>#N/A</v>
          </cell>
          <cell r="J821" t="e">
            <v>#N/A</v>
          </cell>
          <cell r="K821">
            <v>17.5</v>
          </cell>
          <cell r="L821">
            <v>14</v>
          </cell>
          <cell r="M821" t="e">
            <v>#N/A</v>
          </cell>
          <cell r="N821">
            <v>16.5</v>
          </cell>
          <cell r="O821" t="e">
            <v>#N/A</v>
          </cell>
          <cell r="P821" t="str">
            <v/>
          </cell>
          <cell r="Q821" t="str">
            <v/>
          </cell>
          <cell r="R821">
            <v>16.5</v>
          </cell>
        </row>
        <row r="822">
          <cell r="A822" t="str">
            <v/>
          </cell>
          <cell r="B822" t="str">
            <v/>
          </cell>
          <cell r="C822" t="str">
            <v>Future</v>
          </cell>
          <cell r="D822" t="e">
            <v>#N/A</v>
          </cell>
          <cell r="E822">
            <v>-0.22162162162166846</v>
          </cell>
          <cell r="F822">
            <v>17.548648648648818</v>
          </cell>
          <cell r="G822">
            <v>13.994594594594627</v>
          </cell>
          <cell r="H822">
            <v>13.994594594594627</v>
          </cell>
          <cell r="I822" t="e">
            <v>#N/A</v>
          </cell>
          <cell r="J822" t="e">
            <v>#N/A</v>
          </cell>
          <cell r="K822">
            <v>17.5</v>
          </cell>
          <cell r="L822">
            <v>14</v>
          </cell>
          <cell r="M822" t="e">
            <v>#N/A</v>
          </cell>
          <cell r="N822">
            <v>16.5</v>
          </cell>
          <cell r="O822" t="e">
            <v>#N/A</v>
          </cell>
          <cell r="P822" t="str">
            <v/>
          </cell>
          <cell r="Q822" t="str">
            <v/>
          </cell>
          <cell r="R822">
            <v>16.5</v>
          </cell>
        </row>
        <row r="823">
          <cell r="A823" t="str">
            <v/>
          </cell>
          <cell r="B823" t="str">
            <v/>
          </cell>
          <cell r="C823" t="str">
            <v>Future</v>
          </cell>
          <cell r="D823" t="e">
            <v>#N/A</v>
          </cell>
          <cell r="E823">
            <v>-0.27702702702707388</v>
          </cell>
          <cell r="F823">
            <v>17.560810810810981</v>
          </cell>
          <cell r="G823">
            <v>13.993243243243276</v>
          </cell>
          <cell r="H823">
            <v>13.993243243243276</v>
          </cell>
          <cell r="I823" t="e">
            <v>#N/A</v>
          </cell>
          <cell r="J823" t="e">
            <v>#N/A</v>
          </cell>
          <cell r="K823">
            <v>17.5</v>
          </cell>
          <cell r="L823">
            <v>14</v>
          </cell>
          <cell r="M823" t="e">
            <v>#N/A</v>
          </cell>
          <cell r="N823">
            <v>16.5</v>
          </cell>
          <cell r="O823" t="e">
            <v>#N/A</v>
          </cell>
          <cell r="P823" t="str">
            <v/>
          </cell>
          <cell r="Q823" t="str">
            <v/>
          </cell>
          <cell r="R823">
            <v>16.5</v>
          </cell>
        </row>
        <row r="824">
          <cell r="A824" t="str">
            <v/>
          </cell>
          <cell r="B824" t="str">
            <v/>
          </cell>
          <cell r="C824" t="str">
            <v>Future</v>
          </cell>
          <cell r="D824" t="e">
            <v>#N/A</v>
          </cell>
          <cell r="E824">
            <v>-0.33243243243247927</v>
          </cell>
          <cell r="F824">
            <v>17.572972972973144</v>
          </cell>
          <cell r="G824">
            <v>13.991891891891925</v>
          </cell>
          <cell r="H824">
            <v>13.991891891891925</v>
          </cell>
          <cell r="I824" t="e">
            <v>#N/A</v>
          </cell>
          <cell r="J824" t="e">
            <v>#N/A</v>
          </cell>
          <cell r="K824">
            <v>17.5</v>
          </cell>
          <cell r="L824">
            <v>14</v>
          </cell>
          <cell r="M824" t="e">
            <v>#N/A</v>
          </cell>
          <cell r="N824">
            <v>16.5</v>
          </cell>
          <cell r="O824" t="e">
            <v>#N/A</v>
          </cell>
          <cell r="P824" t="str">
            <v/>
          </cell>
          <cell r="Q824" t="str">
            <v/>
          </cell>
          <cell r="R824">
            <v>16.5</v>
          </cell>
        </row>
        <row r="825">
          <cell r="A825" t="str">
            <v/>
          </cell>
          <cell r="B825" t="str">
            <v/>
          </cell>
          <cell r="C825" t="str">
            <v>Future</v>
          </cell>
          <cell r="D825" t="e">
            <v>#N/A</v>
          </cell>
          <cell r="E825">
            <v>-0.38783783783788467</v>
          </cell>
          <cell r="F825">
            <v>17.585135135135307</v>
          </cell>
          <cell r="G825">
            <v>13.990540540540573</v>
          </cell>
          <cell r="H825">
            <v>13.990540540540573</v>
          </cell>
          <cell r="I825" t="e">
            <v>#N/A</v>
          </cell>
          <cell r="J825" t="e">
            <v>#N/A</v>
          </cell>
          <cell r="K825">
            <v>17.5</v>
          </cell>
          <cell r="L825">
            <v>14</v>
          </cell>
          <cell r="M825" t="e">
            <v>#N/A</v>
          </cell>
          <cell r="N825">
            <v>16.5</v>
          </cell>
          <cell r="O825" t="e">
            <v>#N/A</v>
          </cell>
          <cell r="P825" t="str">
            <v/>
          </cell>
          <cell r="Q825" t="str">
            <v/>
          </cell>
          <cell r="R825">
            <v>16.5</v>
          </cell>
        </row>
        <row r="826">
          <cell r="A826" t="str">
            <v/>
          </cell>
          <cell r="B826" t="str">
            <v/>
          </cell>
          <cell r="C826" t="str">
            <v>Future</v>
          </cell>
          <cell r="D826" t="e">
            <v>#N/A</v>
          </cell>
          <cell r="E826">
            <v>-0.44324324324329006</v>
          </cell>
          <cell r="F826">
            <v>17.597297297297469</v>
          </cell>
          <cell r="G826">
            <v>13.989189189189222</v>
          </cell>
          <cell r="H826">
            <v>13.989189189189222</v>
          </cell>
          <cell r="I826" t="e">
            <v>#N/A</v>
          </cell>
          <cell r="J826" t="e">
            <v>#N/A</v>
          </cell>
          <cell r="K826">
            <v>17.5</v>
          </cell>
          <cell r="L826">
            <v>14</v>
          </cell>
          <cell r="M826" t="e">
            <v>#N/A</v>
          </cell>
          <cell r="N826">
            <v>16.5</v>
          </cell>
          <cell r="O826" t="e">
            <v>#N/A</v>
          </cell>
          <cell r="P826" t="str">
            <v/>
          </cell>
          <cell r="Q826" t="str">
            <v/>
          </cell>
          <cell r="R826">
            <v>16.5</v>
          </cell>
        </row>
        <row r="827">
          <cell r="A827" t="str">
            <v/>
          </cell>
          <cell r="B827" t="str">
            <v/>
          </cell>
          <cell r="C827" t="str">
            <v>Future</v>
          </cell>
          <cell r="D827" t="e">
            <v>#N/A</v>
          </cell>
          <cell r="E827">
            <v>-0.49864864864869546</v>
          </cell>
          <cell r="F827">
            <v>17.609459459459632</v>
          </cell>
          <cell r="G827">
            <v>13.987837837837871</v>
          </cell>
          <cell r="H827">
            <v>13.987837837837871</v>
          </cell>
          <cell r="I827" t="e">
            <v>#N/A</v>
          </cell>
          <cell r="J827" t="e">
            <v>#N/A</v>
          </cell>
          <cell r="K827">
            <v>17.5</v>
          </cell>
          <cell r="L827">
            <v>14</v>
          </cell>
          <cell r="M827" t="e">
            <v>#N/A</v>
          </cell>
          <cell r="N827">
            <v>16.5</v>
          </cell>
          <cell r="O827" t="e">
            <v>#N/A</v>
          </cell>
          <cell r="P827" t="str">
            <v/>
          </cell>
          <cell r="Q827" t="str">
            <v/>
          </cell>
          <cell r="R827">
            <v>16.5</v>
          </cell>
        </row>
        <row r="828">
          <cell r="A828" t="str">
            <v/>
          </cell>
          <cell r="B828" t="str">
            <v/>
          </cell>
          <cell r="C828" t="str">
            <v>Future</v>
          </cell>
          <cell r="D828" t="e">
            <v>#N/A</v>
          </cell>
          <cell r="E828">
            <v>-0.55405405405410091</v>
          </cell>
          <cell r="F828">
            <v>17.621621621621795</v>
          </cell>
          <cell r="G828">
            <v>13.98648648648652</v>
          </cell>
          <cell r="H828">
            <v>13.98648648648652</v>
          </cell>
          <cell r="I828" t="e">
            <v>#N/A</v>
          </cell>
          <cell r="J828" t="e">
            <v>#N/A</v>
          </cell>
          <cell r="K828">
            <v>17.5</v>
          </cell>
          <cell r="L828">
            <v>14</v>
          </cell>
          <cell r="M828" t="e">
            <v>#N/A</v>
          </cell>
          <cell r="N828">
            <v>16.5</v>
          </cell>
          <cell r="O828" t="e">
            <v>#N/A</v>
          </cell>
          <cell r="P828" t="str">
            <v/>
          </cell>
          <cell r="Q828" t="str">
            <v/>
          </cell>
          <cell r="R828">
            <v>16.5</v>
          </cell>
        </row>
        <row r="829">
          <cell r="A829" t="str">
            <v/>
          </cell>
          <cell r="B829" t="str">
            <v/>
          </cell>
          <cell r="C829" t="str">
            <v>Future</v>
          </cell>
          <cell r="D829" t="e">
            <v>#N/A</v>
          </cell>
          <cell r="E829">
            <v>-0.6094594594595063</v>
          </cell>
          <cell r="F829">
            <v>17.633783783783958</v>
          </cell>
          <cell r="G829">
            <v>13.985135135135168</v>
          </cell>
          <cell r="H829">
            <v>13.985135135135168</v>
          </cell>
          <cell r="I829" t="e">
            <v>#N/A</v>
          </cell>
          <cell r="J829" t="e">
            <v>#N/A</v>
          </cell>
          <cell r="K829">
            <v>17.5</v>
          </cell>
          <cell r="L829">
            <v>14</v>
          </cell>
          <cell r="M829" t="e">
            <v>#N/A</v>
          </cell>
          <cell r="N829">
            <v>16.5</v>
          </cell>
          <cell r="O829" t="e">
            <v>#N/A</v>
          </cell>
          <cell r="P829" t="str">
            <v/>
          </cell>
          <cell r="Q829" t="str">
            <v/>
          </cell>
          <cell r="R829">
            <v>16.5</v>
          </cell>
        </row>
        <row r="830">
          <cell r="A830" t="str">
            <v/>
          </cell>
          <cell r="B830" t="str">
            <v/>
          </cell>
          <cell r="C830" t="str">
            <v>Future</v>
          </cell>
          <cell r="D830" t="e">
            <v>#N/A</v>
          </cell>
          <cell r="E830">
            <v>-0.6648648648649117</v>
          </cell>
          <cell r="F830">
            <v>17.645945945946121</v>
          </cell>
          <cell r="G830">
            <v>13.983783783783817</v>
          </cell>
          <cell r="H830">
            <v>13.983783783783817</v>
          </cell>
          <cell r="I830" t="e">
            <v>#N/A</v>
          </cell>
          <cell r="J830" t="e">
            <v>#N/A</v>
          </cell>
          <cell r="K830">
            <v>17.5</v>
          </cell>
          <cell r="L830">
            <v>14</v>
          </cell>
          <cell r="M830" t="e">
            <v>#N/A</v>
          </cell>
          <cell r="N830">
            <v>16.5</v>
          </cell>
          <cell r="O830" t="e">
            <v>#N/A</v>
          </cell>
          <cell r="P830" t="str">
            <v/>
          </cell>
          <cell r="Q830" t="str">
            <v/>
          </cell>
          <cell r="R830">
            <v>16.5</v>
          </cell>
        </row>
        <row r="831">
          <cell r="A831" t="str">
            <v/>
          </cell>
          <cell r="B831" t="str">
            <v/>
          </cell>
          <cell r="C831" t="str">
            <v>Future</v>
          </cell>
          <cell r="D831" t="e">
            <v>#N/A</v>
          </cell>
          <cell r="E831">
            <v>-0.72027027027031709</v>
          </cell>
          <cell r="F831">
            <v>17.658108108108284</v>
          </cell>
          <cell r="G831">
            <v>13.982432432432466</v>
          </cell>
          <cell r="H831">
            <v>13.982432432432466</v>
          </cell>
          <cell r="I831" t="e">
            <v>#N/A</v>
          </cell>
          <cell r="J831" t="e">
            <v>#N/A</v>
          </cell>
          <cell r="K831">
            <v>17.5</v>
          </cell>
          <cell r="L831">
            <v>14</v>
          </cell>
          <cell r="M831" t="e">
            <v>#N/A</v>
          </cell>
          <cell r="N831">
            <v>16.5</v>
          </cell>
          <cell r="O831" t="e">
            <v>#N/A</v>
          </cell>
          <cell r="P831" t="str">
            <v/>
          </cell>
          <cell r="Q831" t="str">
            <v/>
          </cell>
          <cell r="R831">
            <v>16.5</v>
          </cell>
        </row>
        <row r="832">
          <cell r="A832" t="str">
            <v/>
          </cell>
          <cell r="B832" t="str">
            <v/>
          </cell>
          <cell r="C832" t="str">
            <v>Future</v>
          </cell>
          <cell r="D832" t="e">
            <v>#N/A</v>
          </cell>
          <cell r="E832">
            <v>-0.77567567567572249</v>
          </cell>
          <cell r="F832">
            <v>17.670270270270446</v>
          </cell>
          <cell r="G832">
            <v>13.981081081081115</v>
          </cell>
          <cell r="H832">
            <v>13.981081081081115</v>
          </cell>
          <cell r="I832" t="e">
            <v>#N/A</v>
          </cell>
          <cell r="J832" t="e">
            <v>#N/A</v>
          </cell>
          <cell r="K832">
            <v>17.5</v>
          </cell>
          <cell r="L832">
            <v>14</v>
          </cell>
          <cell r="M832" t="e">
            <v>#N/A</v>
          </cell>
          <cell r="N832">
            <v>16.5</v>
          </cell>
          <cell r="O832" t="e">
            <v>#N/A</v>
          </cell>
          <cell r="P832" t="str">
            <v/>
          </cell>
          <cell r="Q832" t="str">
            <v/>
          </cell>
          <cell r="R832">
            <v>16.5</v>
          </cell>
        </row>
        <row r="833">
          <cell r="A833" t="str">
            <v/>
          </cell>
          <cell r="B833" t="str">
            <v/>
          </cell>
          <cell r="C833" t="str">
            <v>Future</v>
          </cell>
          <cell r="D833" t="e">
            <v>#N/A</v>
          </cell>
          <cell r="E833">
            <v>-0.83108108108112788</v>
          </cell>
          <cell r="F833">
            <v>17.682432432432609</v>
          </cell>
          <cell r="G833">
            <v>13.979729729729764</v>
          </cell>
          <cell r="H833">
            <v>13.979729729729764</v>
          </cell>
          <cell r="I833" t="e">
            <v>#N/A</v>
          </cell>
          <cell r="J833" t="e">
            <v>#N/A</v>
          </cell>
          <cell r="K833">
            <v>17.5</v>
          </cell>
          <cell r="L833">
            <v>14</v>
          </cell>
          <cell r="M833" t="e">
            <v>#N/A</v>
          </cell>
          <cell r="N833">
            <v>16.5</v>
          </cell>
          <cell r="O833" t="e">
            <v>#N/A</v>
          </cell>
          <cell r="P833" t="str">
            <v/>
          </cell>
          <cell r="Q833" t="str">
            <v/>
          </cell>
          <cell r="R833">
            <v>16.5</v>
          </cell>
        </row>
        <row r="834">
          <cell r="A834" t="str">
            <v/>
          </cell>
          <cell r="B834" t="str">
            <v/>
          </cell>
          <cell r="C834" t="str">
            <v>Future</v>
          </cell>
          <cell r="D834" t="e">
            <v>#N/A</v>
          </cell>
          <cell r="E834">
            <v>-0.88648648648653328</v>
          </cell>
          <cell r="F834">
            <v>17.694594594594772</v>
          </cell>
          <cell r="G834">
            <v>13.978378378378412</v>
          </cell>
          <cell r="H834">
            <v>13.978378378378412</v>
          </cell>
          <cell r="I834" t="e">
            <v>#N/A</v>
          </cell>
          <cell r="J834" t="e">
            <v>#N/A</v>
          </cell>
          <cell r="K834">
            <v>17.5</v>
          </cell>
          <cell r="L834">
            <v>14</v>
          </cell>
          <cell r="M834" t="e">
            <v>#N/A</v>
          </cell>
          <cell r="N834">
            <v>16.5</v>
          </cell>
          <cell r="O834" t="e">
            <v>#N/A</v>
          </cell>
          <cell r="P834" t="str">
            <v/>
          </cell>
          <cell r="Q834" t="str">
            <v/>
          </cell>
          <cell r="R834">
            <v>16.5</v>
          </cell>
        </row>
        <row r="835">
          <cell r="A835" t="str">
            <v/>
          </cell>
          <cell r="B835" t="str">
            <v/>
          </cell>
          <cell r="C835" t="str">
            <v>Future</v>
          </cell>
          <cell r="D835" t="e">
            <v>#N/A</v>
          </cell>
          <cell r="E835">
            <v>-0.94189189189193867</v>
          </cell>
          <cell r="F835">
            <v>17.706756756756935</v>
          </cell>
          <cell r="G835">
            <v>13.977027027027061</v>
          </cell>
          <cell r="H835">
            <v>13.977027027027061</v>
          </cell>
          <cell r="I835" t="e">
            <v>#N/A</v>
          </cell>
          <cell r="J835" t="e">
            <v>#N/A</v>
          </cell>
          <cell r="K835">
            <v>17.5</v>
          </cell>
          <cell r="L835">
            <v>14</v>
          </cell>
          <cell r="M835" t="e">
            <v>#N/A</v>
          </cell>
          <cell r="N835">
            <v>16.5</v>
          </cell>
          <cell r="O835" t="e">
            <v>#N/A</v>
          </cell>
          <cell r="P835" t="str">
            <v/>
          </cell>
          <cell r="Q835" t="str">
            <v/>
          </cell>
          <cell r="R835">
            <v>16.5</v>
          </cell>
        </row>
        <row r="836">
          <cell r="A836" t="str">
            <v/>
          </cell>
          <cell r="B836" t="str">
            <v/>
          </cell>
          <cell r="C836" t="str">
            <v>Future</v>
          </cell>
          <cell r="D836" t="e">
            <v>#N/A</v>
          </cell>
          <cell r="E836">
            <v>-0.99729729729734407</v>
          </cell>
          <cell r="F836">
            <v>17.718918918919098</v>
          </cell>
          <cell r="G836">
            <v>13.97567567567571</v>
          </cell>
          <cell r="H836">
            <v>13.97567567567571</v>
          </cell>
          <cell r="I836" t="e">
            <v>#N/A</v>
          </cell>
          <cell r="J836" t="e">
            <v>#N/A</v>
          </cell>
          <cell r="K836">
            <v>17.5</v>
          </cell>
          <cell r="L836">
            <v>14</v>
          </cell>
          <cell r="M836" t="e">
            <v>#N/A</v>
          </cell>
          <cell r="N836">
            <v>16.5</v>
          </cell>
          <cell r="O836" t="e">
            <v>#N/A</v>
          </cell>
          <cell r="P836" t="str">
            <v/>
          </cell>
          <cell r="Q836" t="str">
            <v/>
          </cell>
          <cell r="R836">
            <v>16.5</v>
          </cell>
        </row>
        <row r="837">
          <cell r="A837" t="str">
            <v/>
          </cell>
          <cell r="B837" t="str">
            <v/>
          </cell>
          <cell r="C837" t="str">
            <v>Future</v>
          </cell>
          <cell r="D837" t="e">
            <v>#N/A</v>
          </cell>
          <cell r="E837">
            <v>-1.0527027027027496</v>
          </cell>
          <cell r="F837">
            <v>17.73108108108126</v>
          </cell>
          <cell r="G837">
            <v>13.974324324324359</v>
          </cell>
          <cell r="H837">
            <v>13.974324324324359</v>
          </cell>
          <cell r="I837" t="e">
            <v>#N/A</v>
          </cell>
          <cell r="J837" t="e">
            <v>#N/A</v>
          </cell>
          <cell r="K837">
            <v>17.5</v>
          </cell>
          <cell r="L837">
            <v>14</v>
          </cell>
          <cell r="M837" t="e">
            <v>#N/A</v>
          </cell>
          <cell r="N837">
            <v>16.5</v>
          </cell>
          <cell r="O837" t="e">
            <v>#N/A</v>
          </cell>
          <cell r="P837" t="str">
            <v/>
          </cell>
          <cell r="Q837" t="str">
            <v/>
          </cell>
          <cell r="R837">
            <v>16.5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-1.108108108108155</v>
          </cell>
          <cell r="F838">
            <v>17.743243243243423</v>
          </cell>
          <cell r="G838">
            <v>13.972972972973007</v>
          </cell>
          <cell r="H838">
            <v>13.972972972973007</v>
          </cell>
          <cell r="I838" t="e">
            <v>#N/A</v>
          </cell>
          <cell r="J838" t="e">
            <v>#N/A</v>
          </cell>
          <cell r="K838">
            <v>17.5</v>
          </cell>
          <cell r="L838">
            <v>14</v>
          </cell>
          <cell r="M838" t="e">
            <v>#N/A</v>
          </cell>
          <cell r="N838">
            <v>16.5</v>
          </cell>
          <cell r="O838" t="e">
            <v>#N/A</v>
          </cell>
          <cell r="P838" t="str">
            <v/>
          </cell>
          <cell r="Q838" t="str">
            <v/>
          </cell>
          <cell r="R838">
            <v>16.5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-1.1635135135135604</v>
          </cell>
          <cell r="F839">
            <v>17.755405405405586</v>
          </cell>
          <cell r="G839">
            <v>13.971621621621656</v>
          </cell>
          <cell r="H839">
            <v>13.971621621621656</v>
          </cell>
          <cell r="I839" t="e">
            <v>#N/A</v>
          </cell>
          <cell r="J839" t="e">
            <v>#N/A</v>
          </cell>
          <cell r="K839">
            <v>17.5</v>
          </cell>
          <cell r="L839">
            <v>14</v>
          </cell>
          <cell r="M839" t="e">
            <v>#N/A</v>
          </cell>
          <cell r="N839">
            <v>16.5</v>
          </cell>
          <cell r="O839" t="e">
            <v>#N/A</v>
          </cell>
          <cell r="P839" t="str">
            <v/>
          </cell>
          <cell r="Q839" t="str">
            <v/>
          </cell>
          <cell r="R839">
            <v>16.5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-1.2189189189189658</v>
          </cell>
          <cell r="F840">
            <v>17.767567567567749</v>
          </cell>
          <cell r="G840">
            <v>13.970270270270305</v>
          </cell>
          <cell r="H840">
            <v>13.970270270270305</v>
          </cell>
          <cell r="I840" t="e">
            <v>#N/A</v>
          </cell>
          <cell r="J840" t="e">
            <v>#N/A</v>
          </cell>
          <cell r="K840">
            <v>17.5</v>
          </cell>
          <cell r="L840">
            <v>14</v>
          </cell>
          <cell r="M840" t="e">
            <v>#N/A</v>
          </cell>
          <cell r="N840">
            <v>16.5</v>
          </cell>
          <cell r="O840" t="e">
            <v>#N/A</v>
          </cell>
          <cell r="P840" t="str">
            <v/>
          </cell>
          <cell r="Q840" t="str">
            <v/>
          </cell>
          <cell r="R840">
            <v>16.5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-1.2743243243243711</v>
          </cell>
          <cell r="F841">
            <v>17.779729729729912</v>
          </cell>
          <cell r="G841">
            <v>13.968918918918954</v>
          </cell>
          <cell r="H841">
            <v>13.968918918918954</v>
          </cell>
          <cell r="I841" t="e">
            <v>#N/A</v>
          </cell>
          <cell r="J841" t="e">
            <v>#N/A</v>
          </cell>
          <cell r="K841">
            <v>17.5</v>
          </cell>
          <cell r="L841">
            <v>14</v>
          </cell>
          <cell r="M841" t="e">
            <v>#N/A</v>
          </cell>
          <cell r="N841">
            <v>16.5</v>
          </cell>
          <cell r="O841" t="e">
            <v>#N/A</v>
          </cell>
          <cell r="P841" t="str">
            <v/>
          </cell>
          <cell r="Q841" t="str">
            <v/>
          </cell>
          <cell r="R841">
            <v>16.5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-1.3297297297297765</v>
          </cell>
          <cell r="F842">
            <v>17.791891891892075</v>
          </cell>
          <cell r="G842">
            <v>13.967567567567603</v>
          </cell>
          <cell r="H842">
            <v>13.967567567567603</v>
          </cell>
          <cell r="I842" t="e">
            <v>#N/A</v>
          </cell>
          <cell r="J842" t="e">
            <v>#N/A</v>
          </cell>
          <cell r="K842">
            <v>17.5</v>
          </cell>
          <cell r="L842">
            <v>14</v>
          </cell>
          <cell r="M842" t="e">
            <v>#N/A</v>
          </cell>
          <cell r="N842">
            <v>16.5</v>
          </cell>
          <cell r="O842" t="e">
            <v>#N/A</v>
          </cell>
          <cell r="P842" t="str">
            <v/>
          </cell>
          <cell r="Q842" t="str">
            <v/>
          </cell>
          <cell r="R842">
            <v>16.5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-1.3851351351351819</v>
          </cell>
          <cell r="F843">
            <v>17.804054054054237</v>
          </cell>
          <cell r="G843">
            <v>13.966216216216251</v>
          </cell>
          <cell r="H843">
            <v>13.966216216216251</v>
          </cell>
          <cell r="I843" t="e">
            <v>#N/A</v>
          </cell>
          <cell r="J843" t="e">
            <v>#N/A</v>
          </cell>
          <cell r="K843">
            <v>17.5</v>
          </cell>
          <cell r="L843">
            <v>14</v>
          </cell>
          <cell r="M843" t="e">
            <v>#N/A</v>
          </cell>
          <cell r="N843">
            <v>16.5</v>
          </cell>
          <cell r="O843" t="e">
            <v>#N/A</v>
          </cell>
          <cell r="P843" t="str">
            <v/>
          </cell>
          <cell r="Q843" t="str">
            <v/>
          </cell>
          <cell r="R843">
            <v>16.5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-1.4405405405405873</v>
          </cell>
          <cell r="F844">
            <v>17.8162162162164</v>
          </cell>
          <cell r="G844">
            <v>13.9648648648649</v>
          </cell>
          <cell r="H844">
            <v>13.9648648648649</v>
          </cell>
          <cell r="I844" t="e">
            <v>#N/A</v>
          </cell>
          <cell r="J844" t="e">
            <v>#N/A</v>
          </cell>
          <cell r="K844">
            <v>17.5</v>
          </cell>
          <cell r="L844">
            <v>14</v>
          </cell>
          <cell r="M844" t="e">
            <v>#N/A</v>
          </cell>
          <cell r="N844">
            <v>16.5</v>
          </cell>
          <cell r="O844" t="e">
            <v>#N/A</v>
          </cell>
          <cell r="P844" t="str">
            <v/>
          </cell>
          <cell r="Q844" t="str">
            <v/>
          </cell>
          <cell r="R844">
            <v>16.5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-1.4959459459459927</v>
          </cell>
          <cell r="F845">
            <v>17.828378378378563</v>
          </cell>
          <cell r="G845">
            <v>13.963513513513549</v>
          </cell>
          <cell r="H845">
            <v>13.963513513513549</v>
          </cell>
          <cell r="I845" t="e">
            <v>#N/A</v>
          </cell>
          <cell r="J845" t="e">
            <v>#N/A</v>
          </cell>
          <cell r="K845">
            <v>17.5</v>
          </cell>
          <cell r="L845">
            <v>14</v>
          </cell>
          <cell r="M845" t="e">
            <v>#N/A</v>
          </cell>
          <cell r="N845">
            <v>16.5</v>
          </cell>
          <cell r="O845" t="e">
            <v>#N/A</v>
          </cell>
          <cell r="P845" t="str">
            <v/>
          </cell>
          <cell r="Q845" t="str">
            <v/>
          </cell>
          <cell r="R845">
            <v>16.5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-1.5513513513513981</v>
          </cell>
          <cell r="F846">
            <v>17.840540540540726</v>
          </cell>
          <cell r="G846">
            <v>13.962162162162198</v>
          </cell>
          <cell r="H846">
            <v>13.962162162162198</v>
          </cell>
          <cell r="I846" t="e">
            <v>#N/A</v>
          </cell>
          <cell r="J846" t="e">
            <v>#N/A</v>
          </cell>
          <cell r="K846">
            <v>17.5</v>
          </cell>
          <cell r="L846">
            <v>14</v>
          </cell>
          <cell r="M846" t="e">
            <v>#N/A</v>
          </cell>
          <cell r="N846">
            <v>16.5</v>
          </cell>
          <cell r="O846" t="e">
            <v>#N/A</v>
          </cell>
          <cell r="P846" t="str">
            <v/>
          </cell>
          <cell r="Q846" t="str">
            <v/>
          </cell>
          <cell r="R846">
            <v>16.5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-1.6067567567568035</v>
          </cell>
          <cell r="F847">
            <v>17.852702702702889</v>
          </cell>
          <cell r="G847">
            <v>13.960810810810846</v>
          </cell>
          <cell r="H847">
            <v>13.960810810810846</v>
          </cell>
          <cell r="I847" t="e">
            <v>#N/A</v>
          </cell>
          <cell r="J847" t="e">
            <v>#N/A</v>
          </cell>
          <cell r="K847">
            <v>17.5</v>
          </cell>
          <cell r="L847">
            <v>14</v>
          </cell>
          <cell r="M847" t="e">
            <v>#N/A</v>
          </cell>
          <cell r="N847">
            <v>16.5</v>
          </cell>
          <cell r="O847" t="e">
            <v>#N/A</v>
          </cell>
          <cell r="P847" t="str">
            <v/>
          </cell>
          <cell r="Q847" t="str">
            <v/>
          </cell>
          <cell r="R847">
            <v>16.5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-1.6621621621622089</v>
          </cell>
          <cell r="F848">
            <v>17.864864864865051</v>
          </cell>
          <cell r="G848">
            <v>13.959459459459495</v>
          </cell>
          <cell r="H848">
            <v>13.959459459459495</v>
          </cell>
          <cell r="I848" t="e">
            <v>#N/A</v>
          </cell>
          <cell r="J848" t="e">
            <v>#N/A</v>
          </cell>
          <cell r="K848">
            <v>17.5</v>
          </cell>
          <cell r="L848">
            <v>14</v>
          </cell>
          <cell r="M848" t="e">
            <v>#N/A</v>
          </cell>
          <cell r="N848">
            <v>16.5</v>
          </cell>
          <cell r="O848" t="e">
            <v>#N/A</v>
          </cell>
          <cell r="P848" t="str">
            <v/>
          </cell>
          <cell r="Q848" t="str">
            <v/>
          </cell>
          <cell r="R848">
            <v>16.5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-1.7175675675676143</v>
          </cell>
          <cell r="F849">
            <v>17.877027027027214</v>
          </cell>
          <cell r="G849">
            <v>13.958108108108144</v>
          </cell>
          <cell r="H849">
            <v>13.958108108108144</v>
          </cell>
          <cell r="I849" t="e">
            <v>#N/A</v>
          </cell>
          <cell r="J849" t="e">
            <v>#N/A</v>
          </cell>
          <cell r="K849">
            <v>17.5</v>
          </cell>
          <cell r="L849">
            <v>14</v>
          </cell>
          <cell r="M849" t="e">
            <v>#N/A</v>
          </cell>
          <cell r="N849">
            <v>16.5</v>
          </cell>
          <cell r="O849" t="e">
            <v>#N/A</v>
          </cell>
          <cell r="P849" t="str">
            <v/>
          </cell>
          <cell r="Q849" t="str">
            <v/>
          </cell>
          <cell r="R849">
            <v>16.5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-1.7729729729730197</v>
          </cell>
          <cell r="F850">
            <v>17.889189189189377</v>
          </cell>
          <cell r="G850">
            <v>13.956756756756793</v>
          </cell>
          <cell r="H850">
            <v>13.956756756756793</v>
          </cell>
          <cell r="I850" t="e">
            <v>#N/A</v>
          </cell>
          <cell r="J850" t="e">
            <v>#N/A</v>
          </cell>
          <cell r="K850">
            <v>17.5</v>
          </cell>
          <cell r="L850">
            <v>14</v>
          </cell>
          <cell r="M850" t="e">
            <v>#N/A</v>
          </cell>
          <cell r="N850">
            <v>16.5</v>
          </cell>
          <cell r="O850" t="e">
            <v>#N/A</v>
          </cell>
          <cell r="P850" t="str">
            <v/>
          </cell>
          <cell r="Q850" t="str">
            <v/>
          </cell>
          <cell r="R850">
            <v>16.5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-1.8283783783784251</v>
          </cell>
          <cell r="F851">
            <v>17.90135135135154</v>
          </cell>
          <cell r="G851">
            <v>13.955405405405441</v>
          </cell>
          <cell r="H851">
            <v>13.955405405405441</v>
          </cell>
          <cell r="I851" t="e">
            <v>#N/A</v>
          </cell>
          <cell r="J851" t="e">
            <v>#N/A</v>
          </cell>
          <cell r="K851">
            <v>17.5</v>
          </cell>
          <cell r="L851">
            <v>14</v>
          </cell>
          <cell r="M851" t="e">
            <v>#N/A</v>
          </cell>
          <cell r="N851">
            <v>16.5</v>
          </cell>
          <cell r="O851" t="e">
            <v>#N/A</v>
          </cell>
          <cell r="P851" t="str">
            <v/>
          </cell>
          <cell r="Q851" t="str">
            <v/>
          </cell>
          <cell r="R851">
            <v>16.5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-1.8837837837838305</v>
          </cell>
          <cell r="F852">
            <v>17.913513513513703</v>
          </cell>
          <cell r="G852">
            <v>13.95405405405409</v>
          </cell>
          <cell r="H852">
            <v>13.95405405405409</v>
          </cell>
          <cell r="I852" t="e">
            <v>#N/A</v>
          </cell>
          <cell r="J852" t="e">
            <v>#N/A</v>
          </cell>
          <cell r="K852">
            <v>17.5</v>
          </cell>
          <cell r="L852">
            <v>14</v>
          </cell>
          <cell r="M852" t="e">
            <v>#N/A</v>
          </cell>
          <cell r="N852">
            <v>16.5</v>
          </cell>
          <cell r="O852" t="e">
            <v>#N/A</v>
          </cell>
          <cell r="P852" t="str">
            <v/>
          </cell>
          <cell r="Q852" t="str">
            <v/>
          </cell>
          <cell r="R852">
            <v>16.5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-1.9391891891892359</v>
          </cell>
          <cell r="F853">
            <v>17.925675675675866</v>
          </cell>
          <cell r="G853">
            <v>13.952702702702739</v>
          </cell>
          <cell r="H853">
            <v>13.952702702702739</v>
          </cell>
          <cell r="I853" t="e">
            <v>#N/A</v>
          </cell>
          <cell r="J853" t="e">
            <v>#N/A</v>
          </cell>
          <cell r="K853">
            <v>17.5</v>
          </cell>
          <cell r="L853">
            <v>14</v>
          </cell>
          <cell r="M853" t="e">
            <v>#N/A</v>
          </cell>
          <cell r="N853">
            <v>16.5</v>
          </cell>
          <cell r="O853" t="e">
            <v>#N/A</v>
          </cell>
          <cell r="P853" t="str">
            <v/>
          </cell>
          <cell r="Q853" t="str">
            <v/>
          </cell>
          <cell r="R853">
            <v>16.5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-1.9945945945946413</v>
          </cell>
          <cell r="F854">
            <v>17.937837837838028</v>
          </cell>
          <cell r="G854">
            <v>13.951351351351388</v>
          </cell>
          <cell r="H854">
            <v>13.951351351351388</v>
          </cell>
          <cell r="I854" t="e">
            <v>#N/A</v>
          </cell>
          <cell r="J854" t="e">
            <v>#N/A</v>
          </cell>
          <cell r="K854">
            <v>17.5</v>
          </cell>
          <cell r="L854">
            <v>14</v>
          </cell>
          <cell r="M854" t="e">
            <v>#N/A</v>
          </cell>
          <cell r="N854">
            <v>16.5</v>
          </cell>
          <cell r="O854" t="e">
            <v>#N/A</v>
          </cell>
          <cell r="P854" t="str">
            <v/>
          </cell>
          <cell r="Q854" t="str">
            <v/>
          </cell>
          <cell r="R854">
            <v>16.5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-2.0500000000000469</v>
          </cell>
          <cell r="F855">
            <v>17.950000000000191</v>
          </cell>
          <cell r="G855">
            <v>13.950000000000037</v>
          </cell>
          <cell r="H855">
            <v>13.950000000000037</v>
          </cell>
          <cell r="I855" t="e">
            <v>#N/A</v>
          </cell>
          <cell r="J855" t="e">
            <v>#N/A</v>
          </cell>
          <cell r="K855">
            <v>17.5</v>
          </cell>
          <cell r="L855">
            <v>14</v>
          </cell>
          <cell r="M855" t="e">
            <v>#N/A</v>
          </cell>
          <cell r="N855">
            <v>16.5</v>
          </cell>
          <cell r="O855" t="e">
            <v>#N/A</v>
          </cell>
          <cell r="P855" t="str">
            <v/>
          </cell>
          <cell r="Q855" t="str">
            <v/>
          </cell>
          <cell r="R855">
            <v>16.5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-2.1054054054054525</v>
          </cell>
          <cell r="F856">
            <v>17.962162162162354</v>
          </cell>
          <cell r="G856">
            <v>13.948648648648685</v>
          </cell>
          <cell r="H856">
            <v>13.948648648648685</v>
          </cell>
          <cell r="I856" t="e">
            <v>#N/A</v>
          </cell>
          <cell r="J856" t="e">
            <v>#N/A</v>
          </cell>
          <cell r="K856">
            <v>17.5</v>
          </cell>
          <cell r="L856">
            <v>14</v>
          </cell>
          <cell r="M856" t="e">
            <v>#N/A</v>
          </cell>
          <cell r="N856">
            <v>16.5</v>
          </cell>
          <cell r="O856" t="e">
            <v>#N/A</v>
          </cell>
          <cell r="P856" t="str">
            <v/>
          </cell>
          <cell r="Q856" t="str">
            <v/>
          </cell>
          <cell r="R856">
            <v>16.5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-2.1608108108108581</v>
          </cell>
          <cell r="F857">
            <v>17.974324324324517</v>
          </cell>
          <cell r="G857">
            <v>13.947297297297334</v>
          </cell>
          <cell r="H857">
            <v>13.947297297297334</v>
          </cell>
          <cell r="I857" t="e">
            <v>#N/A</v>
          </cell>
          <cell r="J857" t="e">
            <v>#N/A</v>
          </cell>
          <cell r="K857">
            <v>17.5</v>
          </cell>
          <cell r="L857">
            <v>14</v>
          </cell>
          <cell r="M857" t="e">
            <v>#N/A</v>
          </cell>
          <cell r="N857">
            <v>16.5</v>
          </cell>
          <cell r="O857" t="e">
            <v>#N/A</v>
          </cell>
          <cell r="P857" t="str">
            <v/>
          </cell>
          <cell r="Q857" t="str">
            <v/>
          </cell>
          <cell r="R857">
            <v>16.5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-2.2162162162162637</v>
          </cell>
          <cell r="F858">
            <v>17.98648648648668</v>
          </cell>
          <cell r="G858">
            <v>13.945945945945983</v>
          </cell>
          <cell r="H858">
            <v>13.945945945945983</v>
          </cell>
          <cell r="I858" t="e">
            <v>#N/A</v>
          </cell>
          <cell r="J858" t="e">
            <v>#N/A</v>
          </cell>
          <cell r="K858">
            <v>17.5</v>
          </cell>
          <cell r="L858">
            <v>14</v>
          </cell>
          <cell r="M858" t="e">
            <v>#N/A</v>
          </cell>
          <cell r="N858">
            <v>16.5</v>
          </cell>
          <cell r="O858" t="e">
            <v>#N/A</v>
          </cell>
          <cell r="P858" t="str">
            <v/>
          </cell>
          <cell r="Q858" t="str">
            <v/>
          </cell>
          <cell r="R858">
            <v>16.5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-2.2716216216216694</v>
          </cell>
          <cell r="F859">
            <v>17.998648648648842</v>
          </cell>
          <cell r="G859">
            <v>13.944594594594632</v>
          </cell>
          <cell r="H859">
            <v>13.944594594594632</v>
          </cell>
          <cell r="I859" t="e">
            <v>#N/A</v>
          </cell>
          <cell r="J859" t="e">
            <v>#N/A</v>
          </cell>
          <cell r="K859">
            <v>17.5</v>
          </cell>
          <cell r="L859">
            <v>14</v>
          </cell>
          <cell r="M859" t="e">
            <v>#N/A</v>
          </cell>
          <cell r="N859">
            <v>16.5</v>
          </cell>
          <cell r="O859" t="e">
            <v>#N/A</v>
          </cell>
          <cell r="P859" t="str">
            <v/>
          </cell>
          <cell r="Q859" t="str">
            <v/>
          </cell>
          <cell r="R859">
            <v>16.5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-2.327027027027075</v>
          </cell>
          <cell r="F860">
            <v>18.010810810811005</v>
          </cell>
          <cell r="G860">
            <v>13.94324324324328</v>
          </cell>
          <cell r="H860">
            <v>13.94324324324328</v>
          </cell>
          <cell r="I860" t="e">
            <v>#N/A</v>
          </cell>
          <cell r="J860" t="e">
            <v>#N/A</v>
          </cell>
          <cell r="K860">
            <v>17.5</v>
          </cell>
          <cell r="L860">
            <v>14</v>
          </cell>
          <cell r="M860" t="e">
            <v>#N/A</v>
          </cell>
          <cell r="N860">
            <v>16.5</v>
          </cell>
          <cell r="O860" t="e">
            <v>#N/A</v>
          </cell>
          <cell r="P860" t="str">
            <v/>
          </cell>
          <cell r="Q860" t="str">
            <v/>
          </cell>
          <cell r="R860">
            <v>16.5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-2.3824324324324806</v>
          </cell>
          <cell r="F861">
            <v>18.022972972973168</v>
          </cell>
          <cell r="G861">
            <v>13.941891891891929</v>
          </cell>
          <cell r="H861">
            <v>13.941891891891929</v>
          </cell>
          <cell r="I861" t="e">
            <v>#N/A</v>
          </cell>
          <cell r="J861" t="e">
            <v>#N/A</v>
          </cell>
          <cell r="K861">
            <v>17.5</v>
          </cell>
          <cell r="L861">
            <v>14</v>
          </cell>
          <cell r="M861" t="e">
            <v>#N/A</v>
          </cell>
          <cell r="N861">
            <v>16.5</v>
          </cell>
          <cell r="O861" t="e">
            <v>#N/A</v>
          </cell>
          <cell r="P861" t="str">
            <v/>
          </cell>
          <cell r="Q861" t="str">
            <v/>
          </cell>
          <cell r="R861">
            <v>16.5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-2.4378378378378862</v>
          </cell>
          <cell r="F862">
            <v>18.035135135135331</v>
          </cell>
          <cell r="G862">
            <v>13.940540540540578</v>
          </cell>
          <cell r="H862">
            <v>13.940540540540578</v>
          </cell>
          <cell r="I862" t="e">
            <v>#N/A</v>
          </cell>
          <cell r="J862" t="e">
            <v>#N/A</v>
          </cell>
          <cell r="K862">
            <v>17.5</v>
          </cell>
          <cell r="L862">
            <v>14</v>
          </cell>
          <cell r="M862" t="e">
            <v>#N/A</v>
          </cell>
          <cell r="N862">
            <v>16.5</v>
          </cell>
          <cell r="O862" t="e">
            <v>#N/A</v>
          </cell>
          <cell r="P862" t="str">
            <v/>
          </cell>
          <cell r="Q862" t="str">
            <v/>
          </cell>
          <cell r="R862">
            <v>16.5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-2.4932432432432918</v>
          </cell>
          <cell r="F863">
            <v>18.047297297297494</v>
          </cell>
          <cell r="G863">
            <v>13.939189189189227</v>
          </cell>
          <cell r="H863">
            <v>13.939189189189227</v>
          </cell>
          <cell r="I863" t="e">
            <v>#N/A</v>
          </cell>
          <cell r="J863" t="e">
            <v>#N/A</v>
          </cell>
          <cell r="K863">
            <v>17.5</v>
          </cell>
          <cell r="L863">
            <v>14</v>
          </cell>
          <cell r="M863" t="e">
            <v>#N/A</v>
          </cell>
          <cell r="N863">
            <v>16.5</v>
          </cell>
          <cell r="O863" t="e">
            <v>#N/A</v>
          </cell>
          <cell r="P863" t="str">
            <v/>
          </cell>
          <cell r="Q863" t="str">
            <v/>
          </cell>
          <cell r="R863">
            <v>16.5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-2.5486486486486974</v>
          </cell>
          <cell r="F864">
            <v>18.059459459459656</v>
          </cell>
          <cell r="G864">
            <v>13.937837837837876</v>
          </cell>
          <cell r="H864">
            <v>13.937837837837876</v>
          </cell>
          <cell r="I864" t="e">
            <v>#N/A</v>
          </cell>
          <cell r="J864" t="e">
            <v>#N/A</v>
          </cell>
          <cell r="K864">
            <v>17.5</v>
          </cell>
          <cell r="L864">
            <v>14</v>
          </cell>
          <cell r="M864" t="e">
            <v>#N/A</v>
          </cell>
          <cell r="N864">
            <v>16.5</v>
          </cell>
          <cell r="O864" t="e">
            <v>#N/A</v>
          </cell>
          <cell r="P864" t="str">
            <v/>
          </cell>
          <cell r="Q864" t="str">
            <v/>
          </cell>
          <cell r="R864">
            <v>16.5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-2.6040540540541031</v>
          </cell>
          <cell r="F865">
            <v>18.071621621621819</v>
          </cell>
          <cell r="G865">
            <v>13.936486486486524</v>
          </cell>
          <cell r="H865">
            <v>13.936486486486524</v>
          </cell>
          <cell r="I865" t="e">
            <v>#N/A</v>
          </cell>
          <cell r="J865" t="e">
            <v>#N/A</v>
          </cell>
          <cell r="K865">
            <v>17.5</v>
          </cell>
          <cell r="L865">
            <v>14</v>
          </cell>
          <cell r="M865" t="e">
            <v>#N/A</v>
          </cell>
          <cell r="N865">
            <v>16.5</v>
          </cell>
          <cell r="O865" t="e">
            <v>#N/A</v>
          </cell>
          <cell r="P865" t="str">
            <v/>
          </cell>
          <cell r="Q865" t="str">
            <v/>
          </cell>
          <cell r="R865">
            <v>16.5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-2.6594594594595087</v>
          </cell>
          <cell r="F866">
            <v>18.083783783783982</v>
          </cell>
          <cell r="G866">
            <v>13.935135135135173</v>
          </cell>
          <cell r="H866">
            <v>13.935135135135173</v>
          </cell>
          <cell r="I866" t="e">
            <v>#N/A</v>
          </cell>
          <cell r="J866" t="e">
            <v>#N/A</v>
          </cell>
          <cell r="K866">
            <v>17.5</v>
          </cell>
          <cell r="L866">
            <v>14</v>
          </cell>
          <cell r="M866" t="e">
            <v>#N/A</v>
          </cell>
          <cell r="N866">
            <v>16.5</v>
          </cell>
          <cell r="O866" t="e">
            <v>#N/A</v>
          </cell>
          <cell r="P866" t="str">
            <v/>
          </cell>
          <cell r="Q866" t="str">
            <v/>
          </cell>
          <cell r="R866">
            <v>16.5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-2.7148648648649143</v>
          </cell>
          <cell r="F867">
            <v>18.095945945946145</v>
          </cell>
          <cell r="G867">
            <v>13.933783783783822</v>
          </cell>
          <cell r="H867">
            <v>13.933783783783822</v>
          </cell>
          <cell r="I867" t="e">
            <v>#N/A</v>
          </cell>
          <cell r="J867" t="e">
            <v>#N/A</v>
          </cell>
          <cell r="K867">
            <v>17.5</v>
          </cell>
          <cell r="L867">
            <v>14</v>
          </cell>
          <cell r="M867" t="e">
            <v>#N/A</v>
          </cell>
          <cell r="N867">
            <v>16.5</v>
          </cell>
          <cell r="O867" t="e">
            <v>#N/A</v>
          </cell>
          <cell r="P867" t="str">
            <v/>
          </cell>
          <cell r="Q867" t="str">
            <v/>
          </cell>
          <cell r="R867">
            <v>16.5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-2.7702702702703199</v>
          </cell>
          <cell r="F868">
            <v>18.108108108108308</v>
          </cell>
          <cell r="G868">
            <v>13.932432432432471</v>
          </cell>
          <cell r="H868">
            <v>13.932432432432471</v>
          </cell>
          <cell r="I868" t="e">
            <v>#N/A</v>
          </cell>
          <cell r="J868" t="e">
            <v>#N/A</v>
          </cell>
          <cell r="K868">
            <v>17.5</v>
          </cell>
          <cell r="L868">
            <v>14</v>
          </cell>
          <cell r="M868" t="e">
            <v>#N/A</v>
          </cell>
          <cell r="N868">
            <v>16.5</v>
          </cell>
          <cell r="O868" t="e">
            <v>#N/A</v>
          </cell>
          <cell r="P868" t="str">
            <v/>
          </cell>
          <cell r="Q868" t="str">
            <v/>
          </cell>
          <cell r="R868">
            <v>16.5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-2.8256756756757255</v>
          </cell>
          <cell r="F869">
            <v>18.120270270270471</v>
          </cell>
          <cell r="G869">
            <v>13.931081081081119</v>
          </cell>
          <cell r="H869">
            <v>13.931081081081119</v>
          </cell>
          <cell r="I869" t="e">
            <v>#N/A</v>
          </cell>
          <cell r="J869" t="e">
            <v>#N/A</v>
          </cell>
          <cell r="K869">
            <v>17.5</v>
          </cell>
          <cell r="L869">
            <v>14</v>
          </cell>
          <cell r="M869" t="e">
            <v>#N/A</v>
          </cell>
          <cell r="N869">
            <v>16.5</v>
          </cell>
          <cell r="O869" t="e">
            <v>#N/A</v>
          </cell>
          <cell r="P869" t="str">
            <v/>
          </cell>
          <cell r="Q869" t="str">
            <v/>
          </cell>
          <cell r="R869">
            <v>16.5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-2.8810810810811311</v>
          </cell>
          <cell r="F870">
            <v>18.132432432432633</v>
          </cell>
          <cell r="G870">
            <v>13.929729729729768</v>
          </cell>
          <cell r="H870">
            <v>13.929729729729768</v>
          </cell>
          <cell r="I870" t="e">
            <v>#N/A</v>
          </cell>
          <cell r="J870" t="e">
            <v>#N/A</v>
          </cell>
          <cell r="K870">
            <v>17.5</v>
          </cell>
          <cell r="L870">
            <v>14</v>
          </cell>
          <cell r="M870" t="e">
            <v>#N/A</v>
          </cell>
          <cell r="N870">
            <v>16.5</v>
          </cell>
          <cell r="O870" t="e">
            <v>#N/A</v>
          </cell>
          <cell r="P870" t="str">
            <v/>
          </cell>
          <cell r="Q870" t="str">
            <v/>
          </cell>
          <cell r="R870">
            <v>16.5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-2.9364864864865368</v>
          </cell>
          <cell r="F871">
            <v>18.144594594594796</v>
          </cell>
          <cell r="G871">
            <v>13.928378378378417</v>
          </cell>
          <cell r="H871">
            <v>13.928378378378417</v>
          </cell>
          <cell r="I871" t="e">
            <v>#N/A</v>
          </cell>
          <cell r="J871" t="e">
            <v>#N/A</v>
          </cell>
          <cell r="K871">
            <v>17.5</v>
          </cell>
          <cell r="L871">
            <v>14</v>
          </cell>
          <cell r="M871" t="e">
            <v>#N/A</v>
          </cell>
          <cell r="N871">
            <v>16.5</v>
          </cell>
          <cell r="O871" t="e">
            <v>#N/A</v>
          </cell>
          <cell r="P871" t="str">
            <v/>
          </cell>
          <cell r="Q871" t="str">
            <v/>
          </cell>
          <cell r="R871">
            <v>16.5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-2.9918918918919424</v>
          </cell>
          <cell r="F872">
            <v>18.156756756756959</v>
          </cell>
          <cell r="G872">
            <v>13.927027027027066</v>
          </cell>
          <cell r="H872">
            <v>13.927027027027066</v>
          </cell>
          <cell r="I872" t="e">
            <v>#N/A</v>
          </cell>
          <cell r="J872" t="e">
            <v>#N/A</v>
          </cell>
          <cell r="K872">
            <v>17.5</v>
          </cell>
          <cell r="L872">
            <v>14</v>
          </cell>
          <cell r="M872" t="e">
            <v>#N/A</v>
          </cell>
          <cell r="N872">
            <v>16.5</v>
          </cell>
          <cell r="O872" t="e">
            <v>#N/A</v>
          </cell>
          <cell r="P872" t="str">
            <v/>
          </cell>
          <cell r="Q872" t="str">
            <v/>
          </cell>
          <cell r="R872">
            <v>16.5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-3.047297297297348</v>
          </cell>
          <cell r="F873">
            <v>18.168918918919122</v>
          </cell>
          <cell r="G873">
            <v>13.925675675675715</v>
          </cell>
          <cell r="H873">
            <v>13.925675675675715</v>
          </cell>
          <cell r="I873" t="e">
            <v>#N/A</v>
          </cell>
          <cell r="J873" t="e">
            <v>#N/A</v>
          </cell>
          <cell r="K873">
            <v>17.5</v>
          </cell>
          <cell r="L873">
            <v>14</v>
          </cell>
          <cell r="M873" t="e">
            <v>#N/A</v>
          </cell>
          <cell r="N873">
            <v>16.5</v>
          </cell>
          <cell r="O873" t="e">
            <v>#N/A</v>
          </cell>
          <cell r="P873" t="str">
            <v/>
          </cell>
          <cell r="Q873" t="str">
            <v/>
          </cell>
          <cell r="R873">
            <v>16.5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-3.1027027027027536</v>
          </cell>
          <cell r="F874">
            <v>18.181081081081285</v>
          </cell>
          <cell r="G874">
            <v>13.924324324324363</v>
          </cell>
          <cell r="H874">
            <v>13.924324324324363</v>
          </cell>
          <cell r="I874" t="e">
            <v>#N/A</v>
          </cell>
          <cell r="J874" t="e">
            <v>#N/A</v>
          </cell>
          <cell r="K874">
            <v>17.5</v>
          </cell>
          <cell r="L874">
            <v>14</v>
          </cell>
          <cell r="M874" t="e">
            <v>#N/A</v>
          </cell>
          <cell r="N874">
            <v>16.5</v>
          </cell>
          <cell r="O874" t="e">
            <v>#N/A</v>
          </cell>
          <cell r="P874" t="str">
            <v/>
          </cell>
          <cell r="Q874" t="str">
            <v/>
          </cell>
          <cell r="R874">
            <v>16.5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-3.1581081081081592</v>
          </cell>
          <cell r="F875">
            <v>18.193243243243447</v>
          </cell>
          <cell r="G875">
            <v>13.922972972973012</v>
          </cell>
          <cell r="H875">
            <v>13.922972972973012</v>
          </cell>
          <cell r="I875" t="e">
            <v>#N/A</v>
          </cell>
          <cell r="J875" t="e">
            <v>#N/A</v>
          </cell>
          <cell r="K875">
            <v>17.5</v>
          </cell>
          <cell r="L875">
            <v>14</v>
          </cell>
          <cell r="M875" t="e">
            <v>#N/A</v>
          </cell>
          <cell r="N875">
            <v>16.5</v>
          </cell>
          <cell r="O875" t="e">
            <v>#N/A</v>
          </cell>
          <cell r="P875" t="str">
            <v/>
          </cell>
          <cell r="Q875" t="str">
            <v/>
          </cell>
          <cell r="R875">
            <v>16.5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-3.2135135135135648</v>
          </cell>
          <cell r="F876">
            <v>18.20540540540561</v>
          </cell>
          <cell r="G876">
            <v>13.921621621621661</v>
          </cell>
          <cell r="H876">
            <v>13.921621621621661</v>
          </cell>
          <cell r="I876" t="e">
            <v>#N/A</v>
          </cell>
          <cell r="J876" t="e">
            <v>#N/A</v>
          </cell>
          <cell r="K876">
            <v>17.5</v>
          </cell>
          <cell r="L876">
            <v>14</v>
          </cell>
          <cell r="M876" t="e">
            <v>#N/A</v>
          </cell>
          <cell r="N876">
            <v>16.5</v>
          </cell>
          <cell r="O876" t="e">
            <v>#N/A</v>
          </cell>
          <cell r="P876" t="str">
            <v/>
          </cell>
          <cell r="Q876" t="str">
            <v/>
          </cell>
          <cell r="R876">
            <v>16.5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-3.2689189189189705</v>
          </cell>
          <cell r="F877">
            <v>18.217567567567773</v>
          </cell>
          <cell r="G877">
            <v>13.92027027027031</v>
          </cell>
          <cell r="H877">
            <v>13.92027027027031</v>
          </cell>
          <cell r="I877" t="e">
            <v>#N/A</v>
          </cell>
          <cell r="J877" t="e">
            <v>#N/A</v>
          </cell>
          <cell r="K877">
            <v>17.5</v>
          </cell>
          <cell r="L877">
            <v>14</v>
          </cell>
          <cell r="M877" t="e">
            <v>#N/A</v>
          </cell>
          <cell r="N877">
            <v>16.5</v>
          </cell>
          <cell r="O877" t="e">
            <v>#N/A</v>
          </cell>
          <cell r="P877" t="str">
            <v/>
          </cell>
          <cell r="Q877" t="str">
            <v/>
          </cell>
          <cell r="R877">
            <v>16.5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-3.3243243243243761</v>
          </cell>
          <cell r="F878">
            <v>18.229729729729936</v>
          </cell>
          <cell r="G878">
            <v>13.918918918918958</v>
          </cell>
          <cell r="H878">
            <v>13.918918918918958</v>
          </cell>
          <cell r="I878" t="e">
            <v>#N/A</v>
          </cell>
          <cell r="J878" t="e">
            <v>#N/A</v>
          </cell>
          <cell r="K878">
            <v>17.5</v>
          </cell>
          <cell r="L878">
            <v>14</v>
          </cell>
          <cell r="M878" t="e">
            <v>#N/A</v>
          </cell>
          <cell r="N878">
            <v>16.5</v>
          </cell>
          <cell r="O878" t="e">
            <v>#N/A</v>
          </cell>
          <cell r="P878" t="str">
            <v/>
          </cell>
          <cell r="Q878" t="str">
            <v/>
          </cell>
          <cell r="R878">
            <v>16.5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-3.3797297297297817</v>
          </cell>
          <cell r="F879">
            <v>18.241891891892099</v>
          </cell>
          <cell r="G879">
            <v>13.917567567567607</v>
          </cell>
          <cell r="H879">
            <v>13.917567567567607</v>
          </cell>
          <cell r="I879" t="e">
            <v>#N/A</v>
          </cell>
          <cell r="J879" t="e">
            <v>#N/A</v>
          </cell>
          <cell r="K879">
            <v>17.5</v>
          </cell>
          <cell r="L879">
            <v>14</v>
          </cell>
          <cell r="M879" t="e">
            <v>#N/A</v>
          </cell>
          <cell r="N879">
            <v>16.5</v>
          </cell>
          <cell r="O879" t="e">
            <v>#N/A</v>
          </cell>
          <cell r="P879" t="str">
            <v/>
          </cell>
          <cell r="Q879" t="str">
            <v/>
          </cell>
          <cell r="R879">
            <v>16.5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-3.4351351351351873</v>
          </cell>
          <cell r="F880">
            <v>18.254054054054262</v>
          </cell>
          <cell r="G880">
            <v>13.916216216216256</v>
          </cell>
          <cell r="H880">
            <v>13.916216216216256</v>
          </cell>
          <cell r="I880" t="e">
            <v>#N/A</v>
          </cell>
          <cell r="J880" t="e">
            <v>#N/A</v>
          </cell>
          <cell r="K880">
            <v>17.5</v>
          </cell>
          <cell r="L880">
            <v>14</v>
          </cell>
          <cell r="M880" t="e">
            <v>#N/A</v>
          </cell>
          <cell r="N880">
            <v>16.5</v>
          </cell>
          <cell r="O880" t="e">
            <v>#N/A</v>
          </cell>
          <cell r="P880" t="str">
            <v/>
          </cell>
          <cell r="Q880" t="str">
            <v/>
          </cell>
          <cell r="R880">
            <v>16.5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-3.4905405405405929</v>
          </cell>
          <cell r="F881">
            <v>18.266216216216424</v>
          </cell>
          <cell r="G881">
            <v>13.914864864864905</v>
          </cell>
          <cell r="H881">
            <v>13.914864864864905</v>
          </cell>
          <cell r="I881" t="e">
            <v>#N/A</v>
          </cell>
          <cell r="J881" t="e">
            <v>#N/A</v>
          </cell>
          <cell r="K881">
            <v>17.5</v>
          </cell>
          <cell r="L881">
            <v>14</v>
          </cell>
          <cell r="M881" t="e">
            <v>#N/A</v>
          </cell>
          <cell r="N881">
            <v>16.5</v>
          </cell>
          <cell r="O881" t="e">
            <v>#N/A</v>
          </cell>
          <cell r="P881" t="str">
            <v/>
          </cell>
          <cell r="Q881" t="str">
            <v/>
          </cell>
          <cell r="R881">
            <v>16.5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-3.5459459459459985</v>
          </cell>
          <cell r="F882">
            <v>18.278378378378587</v>
          </cell>
          <cell r="G882">
            <v>13.913513513513553</v>
          </cell>
          <cell r="H882">
            <v>13.913513513513553</v>
          </cell>
          <cell r="I882" t="e">
            <v>#N/A</v>
          </cell>
          <cell r="J882" t="e">
            <v>#N/A</v>
          </cell>
          <cell r="K882">
            <v>17.5</v>
          </cell>
          <cell r="L882">
            <v>14</v>
          </cell>
          <cell r="M882" t="e">
            <v>#N/A</v>
          </cell>
          <cell r="N882">
            <v>16.5</v>
          </cell>
          <cell r="O882" t="e">
            <v>#N/A</v>
          </cell>
          <cell r="P882" t="str">
            <v/>
          </cell>
          <cell r="Q882" t="str">
            <v/>
          </cell>
          <cell r="R882">
            <v>16.5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-3.6013513513514042</v>
          </cell>
          <cell r="F883">
            <v>18.29054054054075</v>
          </cell>
          <cell r="G883">
            <v>13.912162162162202</v>
          </cell>
          <cell r="H883">
            <v>13.912162162162202</v>
          </cell>
          <cell r="I883" t="e">
            <v>#N/A</v>
          </cell>
          <cell r="J883" t="e">
            <v>#N/A</v>
          </cell>
          <cell r="K883">
            <v>17.5</v>
          </cell>
          <cell r="L883">
            <v>14</v>
          </cell>
          <cell r="M883" t="e">
            <v>#N/A</v>
          </cell>
          <cell r="N883">
            <v>16.5</v>
          </cell>
          <cell r="O883" t="e">
            <v>#N/A</v>
          </cell>
          <cell r="P883" t="str">
            <v/>
          </cell>
          <cell r="Q883" t="str">
            <v/>
          </cell>
          <cell r="R883">
            <v>16.5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-3.6567567567568098</v>
          </cell>
          <cell r="F884">
            <v>18.302702702702913</v>
          </cell>
          <cell r="G884">
            <v>13.910810810810851</v>
          </cell>
          <cell r="H884">
            <v>13.910810810810851</v>
          </cell>
          <cell r="I884" t="e">
            <v>#N/A</v>
          </cell>
          <cell r="J884" t="e">
            <v>#N/A</v>
          </cell>
          <cell r="K884">
            <v>17.5</v>
          </cell>
          <cell r="L884">
            <v>14</v>
          </cell>
          <cell r="M884" t="e">
            <v>#N/A</v>
          </cell>
          <cell r="N884">
            <v>16.5</v>
          </cell>
          <cell r="O884" t="e">
            <v>#N/A</v>
          </cell>
          <cell r="P884" t="str">
            <v/>
          </cell>
          <cell r="Q884" t="str">
            <v/>
          </cell>
          <cell r="R884">
            <v>16.5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-3.7121621621622154</v>
          </cell>
          <cell r="F885">
            <v>18.314864864865076</v>
          </cell>
          <cell r="G885">
            <v>13.9094594594595</v>
          </cell>
          <cell r="H885">
            <v>13.9094594594595</v>
          </cell>
          <cell r="I885" t="e">
            <v>#N/A</v>
          </cell>
          <cell r="J885" t="e">
            <v>#N/A</v>
          </cell>
          <cell r="K885">
            <v>17.5</v>
          </cell>
          <cell r="L885">
            <v>14</v>
          </cell>
          <cell r="M885" t="e">
            <v>#N/A</v>
          </cell>
          <cell r="N885">
            <v>16.5</v>
          </cell>
          <cell r="O885" t="e">
            <v>#N/A</v>
          </cell>
          <cell r="P885" t="str">
            <v/>
          </cell>
          <cell r="Q885" t="str">
            <v/>
          </cell>
          <cell r="R885">
            <v>16.5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-3.767567567567621</v>
          </cell>
          <cell r="F886">
            <v>18.327027027027238</v>
          </cell>
          <cell r="G886">
            <v>13.908108108108149</v>
          </cell>
          <cell r="H886">
            <v>13.908108108108149</v>
          </cell>
          <cell r="I886" t="e">
            <v>#N/A</v>
          </cell>
          <cell r="J886" t="e">
            <v>#N/A</v>
          </cell>
          <cell r="K886">
            <v>17.5</v>
          </cell>
          <cell r="L886">
            <v>14</v>
          </cell>
          <cell r="M886" t="e">
            <v>#N/A</v>
          </cell>
          <cell r="N886">
            <v>16.5</v>
          </cell>
          <cell r="O886" t="e">
            <v>#N/A</v>
          </cell>
          <cell r="P886" t="str">
            <v/>
          </cell>
          <cell r="Q886" t="str">
            <v/>
          </cell>
          <cell r="R886">
            <v>16.5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-3.8229729729730266</v>
          </cell>
          <cell r="F887">
            <v>18.339189189189401</v>
          </cell>
          <cell r="G887">
            <v>13.906756756756797</v>
          </cell>
          <cell r="H887">
            <v>13.906756756756797</v>
          </cell>
          <cell r="I887" t="e">
            <v>#N/A</v>
          </cell>
          <cell r="J887" t="e">
            <v>#N/A</v>
          </cell>
          <cell r="K887">
            <v>17.5</v>
          </cell>
          <cell r="L887">
            <v>14</v>
          </cell>
          <cell r="M887" t="e">
            <v>#N/A</v>
          </cell>
          <cell r="N887">
            <v>16.5</v>
          </cell>
          <cell r="O887" t="e">
            <v>#N/A</v>
          </cell>
          <cell r="P887" t="str">
            <v/>
          </cell>
          <cell r="Q887" t="str">
            <v/>
          </cell>
          <cell r="R887">
            <v>16.5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-3.8783783783784322</v>
          </cell>
          <cell r="F888">
            <v>18.351351351351564</v>
          </cell>
          <cell r="G888">
            <v>13.905405405405446</v>
          </cell>
          <cell r="H888">
            <v>13.905405405405446</v>
          </cell>
          <cell r="I888" t="e">
            <v>#N/A</v>
          </cell>
          <cell r="J888" t="e">
            <v>#N/A</v>
          </cell>
          <cell r="K888">
            <v>17.5</v>
          </cell>
          <cell r="L888">
            <v>14</v>
          </cell>
          <cell r="M888" t="e">
            <v>#N/A</v>
          </cell>
          <cell r="N888">
            <v>16.5</v>
          </cell>
          <cell r="O888" t="e">
            <v>#N/A</v>
          </cell>
          <cell r="P888" t="str">
            <v/>
          </cell>
          <cell r="Q888" t="str">
            <v/>
          </cell>
          <cell r="R888">
            <v>16.5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-3.9337837837838379</v>
          </cell>
          <cell r="F889">
            <v>18.363513513513727</v>
          </cell>
          <cell r="G889">
            <v>13.904054054054095</v>
          </cell>
          <cell r="H889">
            <v>13.904054054054095</v>
          </cell>
          <cell r="I889" t="e">
            <v>#N/A</v>
          </cell>
          <cell r="J889" t="e">
            <v>#N/A</v>
          </cell>
          <cell r="K889">
            <v>17.5</v>
          </cell>
          <cell r="L889">
            <v>14</v>
          </cell>
          <cell r="M889" t="e">
            <v>#N/A</v>
          </cell>
          <cell r="N889">
            <v>16.5</v>
          </cell>
          <cell r="O889" t="e">
            <v>#N/A</v>
          </cell>
          <cell r="P889" t="str">
            <v/>
          </cell>
          <cell r="Q889" t="str">
            <v/>
          </cell>
          <cell r="R889">
            <v>16.5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-3.9891891891892435</v>
          </cell>
          <cell r="F890">
            <v>18.37567567567589</v>
          </cell>
          <cell r="G890">
            <v>13.902702702702744</v>
          </cell>
          <cell r="H890">
            <v>13.902702702702744</v>
          </cell>
          <cell r="I890" t="e">
            <v>#N/A</v>
          </cell>
          <cell r="J890" t="e">
            <v>#N/A</v>
          </cell>
          <cell r="K890">
            <v>17.5</v>
          </cell>
          <cell r="L890">
            <v>14</v>
          </cell>
          <cell r="M890" t="e">
            <v>#N/A</v>
          </cell>
          <cell r="N890">
            <v>16.5</v>
          </cell>
          <cell r="O890" t="e">
            <v>#N/A</v>
          </cell>
          <cell r="P890" t="str">
            <v/>
          </cell>
          <cell r="Q890" t="str">
            <v/>
          </cell>
          <cell r="R890">
            <v>16.5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-4.0445945945946491</v>
          </cell>
          <cell r="F891">
            <v>18.387837837838052</v>
          </cell>
          <cell r="G891">
            <v>13.901351351351392</v>
          </cell>
          <cell r="H891">
            <v>13.901351351351392</v>
          </cell>
          <cell r="I891" t="e">
            <v>#N/A</v>
          </cell>
          <cell r="J891" t="e">
            <v>#N/A</v>
          </cell>
          <cell r="K891">
            <v>17.5</v>
          </cell>
          <cell r="L891">
            <v>14</v>
          </cell>
          <cell r="M891" t="e">
            <v>#N/A</v>
          </cell>
          <cell r="N891">
            <v>16.5</v>
          </cell>
          <cell r="O891" t="e">
            <v>#N/A</v>
          </cell>
          <cell r="P891" t="str">
            <v/>
          </cell>
          <cell r="Q891" t="str">
            <v/>
          </cell>
          <cell r="R891">
            <v>16.5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-4.1000000000000547</v>
          </cell>
          <cell r="F892">
            <v>18.400000000000215</v>
          </cell>
          <cell r="G892">
            <v>13.900000000000041</v>
          </cell>
          <cell r="H892">
            <v>13.900000000000041</v>
          </cell>
          <cell r="I892" t="e">
            <v>#N/A</v>
          </cell>
          <cell r="J892" t="e">
            <v>#N/A</v>
          </cell>
          <cell r="K892">
            <v>17.5</v>
          </cell>
          <cell r="L892">
            <v>14</v>
          </cell>
          <cell r="M892" t="e">
            <v>#N/A</v>
          </cell>
          <cell r="N892">
            <v>16.5</v>
          </cell>
          <cell r="O892" t="e">
            <v>#N/A</v>
          </cell>
          <cell r="P892" t="str">
            <v/>
          </cell>
          <cell r="Q892" t="str">
            <v/>
          </cell>
          <cell r="R892">
            <v>16.5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-4.1554054054054603</v>
          </cell>
          <cell r="F893">
            <v>18.412162162162378</v>
          </cell>
          <cell r="G893">
            <v>13.89864864864869</v>
          </cell>
          <cell r="H893">
            <v>13.89864864864869</v>
          </cell>
          <cell r="I893" t="e">
            <v>#N/A</v>
          </cell>
          <cell r="J893" t="e">
            <v>#N/A</v>
          </cell>
          <cell r="K893">
            <v>17.5</v>
          </cell>
          <cell r="L893">
            <v>14</v>
          </cell>
          <cell r="M893" t="e">
            <v>#N/A</v>
          </cell>
          <cell r="N893">
            <v>16.5</v>
          </cell>
          <cell r="O893" t="e">
            <v>#N/A</v>
          </cell>
          <cell r="P893" t="str">
            <v/>
          </cell>
          <cell r="Q893" t="str">
            <v/>
          </cell>
          <cell r="R893">
            <v>16.5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-4.2108108108108659</v>
          </cell>
          <cell r="F894">
            <v>18.424324324324541</v>
          </cell>
          <cell r="G894">
            <v>13.897297297297339</v>
          </cell>
          <cell r="H894">
            <v>13.897297297297339</v>
          </cell>
          <cell r="I894" t="e">
            <v>#N/A</v>
          </cell>
          <cell r="J894" t="e">
            <v>#N/A</v>
          </cell>
          <cell r="K894">
            <v>17.5</v>
          </cell>
          <cell r="L894">
            <v>14</v>
          </cell>
          <cell r="M894" t="e">
            <v>#N/A</v>
          </cell>
          <cell r="N894">
            <v>16.5</v>
          </cell>
          <cell r="O894" t="e">
            <v>#N/A</v>
          </cell>
          <cell r="P894" t="str">
            <v/>
          </cell>
          <cell r="Q894" t="str">
            <v/>
          </cell>
          <cell r="R894">
            <v>16.5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-4.2662162162162716</v>
          </cell>
          <cell r="F895">
            <v>18.436486486486704</v>
          </cell>
          <cell r="G895">
            <v>13.895945945945988</v>
          </cell>
          <cell r="H895">
            <v>13.895945945945988</v>
          </cell>
          <cell r="I895" t="e">
            <v>#N/A</v>
          </cell>
          <cell r="J895" t="e">
            <v>#N/A</v>
          </cell>
          <cell r="K895">
            <v>17.5</v>
          </cell>
          <cell r="L895">
            <v>14</v>
          </cell>
          <cell r="M895" t="e">
            <v>#N/A</v>
          </cell>
          <cell r="N895">
            <v>16.5</v>
          </cell>
          <cell r="O895" t="e">
            <v>#N/A</v>
          </cell>
          <cell r="P895" t="str">
            <v/>
          </cell>
          <cell r="Q895" t="str">
            <v/>
          </cell>
          <cell r="R895">
            <v>16.5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-4.3216216216216772</v>
          </cell>
          <cell r="F896">
            <v>18.448648648648867</v>
          </cell>
          <cell r="G896">
            <v>13.894594594594636</v>
          </cell>
          <cell r="H896">
            <v>13.894594594594636</v>
          </cell>
          <cell r="I896" t="e">
            <v>#N/A</v>
          </cell>
          <cell r="J896" t="e">
            <v>#N/A</v>
          </cell>
          <cell r="K896">
            <v>17.5</v>
          </cell>
          <cell r="L896">
            <v>14</v>
          </cell>
          <cell r="M896" t="e">
            <v>#N/A</v>
          </cell>
          <cell r="N896">
            <v>16.5</v>
          </cell>
          <cell r="O896" t="e">
            <v>#N/A</v>
          </cell>
          <cell r="P896" t="str">
            <v/>
          </cell>
          <cell r="Q896" t="str">
            <v/>
          </cell>
          <cell r="R896">
            <v>16.5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-4.3770270270270828</v>
          </cell>
          <cell r="F897">
            <v>18.460810810811029</v>
          </cell>
          <cell r="G897">
            <v>13.893243243243285</v>
          </cell>
          <cell r="H897">
            <v>13.893243243243285</v>
          </cell>
          <cell r="I897" t="e">
            <v>#N/A</v>
          </cell>
          <cell r="J897" t="e">
            <v>#N/A</v>
          </cell>
          <cell r="K897">
            <v>17.5</v>
          </cell>
          <cell r="L897">
            <v>14</v>
          </cell>
          <cell r="M897" t="e">
            <v>#N/A</v>
          </cell>
          <cell r="N897">
            <v>16.5</v>
          </cell>
          <cell r="O897" t="e">
            <v>#N/A</v>
          </cell>
          <cell r="P897" t="str">
            <v/>
          </cell>
          <cell r="Q897" t="str">
            <v/>
          </cell>
          <cell r="R897">
            <v>16.5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-4.4324324324324884</v>
          </cell>
          <cell r="F898">
            <v>18.472972972973192</v>
          </cell>
          <cell r="G898">
            <v>13.891891891891934</v>
          </cell>
          <cell r="H898">
            <v>13.891891891891934</v>
          </cell>
          <cell r="I898" t="e">
            <v>#N/A</v>
          </cell>
          <cell r="J898" t="e">
            <v>#N/A</v>
          </cell>
          <cell r="K898">
            <v>17.5</v>
          </cell>
          <cell r="L898">
            <v>14</v>
          </cell>
          <cell r="M898" t="e">
            <v>#N/A</v>
          </cell>
          <cell r="N898">
            <v>16.5</v>
          </cell>
          <cell r="O898" t="e">
            <v>#N/A</v>
          </cell>
          <cell r="P898" t="str">
            <v/>
          </cell>
          <cell r="Q898" t="str">
            <v/>
          </cell>
          <cell r="R898">
            <v>16.5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-4.487837837837894</v>
          </cell>
          <cell r="F899">
            <v>18.485135135135355</v>
          </cell>
          <cell r="G899">
            <v>13.890540540540583</v>
          </cell>
          <cell r="H899">
            <v>13.890540540540583</v>
          </cell>
          <cell r="I899" t="e">
            <v>#N/A</v>
          </cell>
          <cell r="J899" t="e">
            <v>#N/A</v>
          </cell>
          <cell r="K899">
            <v>17.5</v>
          </cell>
          <cell r="L899">
            <v>14</v>
          </cell>
          <cell r="M899" t="e">
            <v>#N/A</v>
          </cell>
          <cell r="N899">
            <v>16.5</v>
          </cell>
          <cell r="O899" t="e">
            <v>#N/A</v>
          </cell>
          <cell r="P899" t="str">
            <v/>
          </cell>
          <cell r="Q899" t="str">
            <v/>
          </cell>
          <cell r="R899">
            <v>16.5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-4.5432432432432996</v>
          </cell>
          <cell r="F900">
            <v>18.497297297297518</v>
          </cell>
          <cell r="G900">
            <v>13.889189189189231</v>
          </cell>
          <cell r="H900">
            <v>13.889189189189231</v>
          </cell>
          <cell r="I900" t="e">
            <v>#N/A</v>
          </cell>
          <cell r="J900" t="e">
            <v>#N/A</v>
          </cell>
          <cell r="K900">
            <v>17.5</v>
          </cell>
          <cell r="L900">
            <v>14</v>
          </cell>
          <cell r="M900" t="e">
            <v>#N/A</v>
          </cell>
          <cell r="N900">
            <v>16.5</v>
          </cell>
          <cell r="O900" t="e">
            <v>#N/A</v>
          </cell>
          <cell r="P900" t="str">
            <v/>
          </cell>
          <cell r="Q900" t="str">
            <v/>
          </cell>
          <cell r="R900">
            <v>16.5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-4.5986486486487053</v>
          </cell>
          <cell r="F901">
            <v>18.509459459459681</v>
          </cell>
          <cell r="G901">
            <v>13.88783783783788</v>
          </cell>
          <cell r="H901">
            <v>13.88783783783788</v>
          </cell>
          <cell r="I901" t="e">
            <v>#N/A</v>
          </cell>
          <cell r="J901" t="e">
            <v>#N/A</v>
          </cell>
          <cell r="K901">
            <v>17.5</v>
          </cell>
          <cell r="L901">
            <v>14</v>
          </cell>
          <cell r="M901" t="e">
            <v>#N/A</v>
          </cell>
          <cell r="N901">
            <v>16.5</v>
          </cell>
          <cell r="O901" t="e">
            <v>#N/A</v>
          </cell>
          <cell r="P901" t="str">
            <v/>
          </cell>
          <cell r="Q901" t="str">
            <v/>
          </cell>
          <cell r="R901">
            <v>16.5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-4.6540540540541109</v>
          </cell>
          <cell r="F902">
            <v>18.521621621621843</v>
          </cell>
          <cell r="G902">
            <v>13.886486486486529</v>
          </cell>
          <cell r="H902">
            <v>13.886486486486529</v>
          </cell>
          <cell r="I902" t="e">
            <v>#N/A</v>
          </cell>
          <cell r="J902" t="e">
            <v>#N/A</v>
          </cell>
          <cell r="K902">
            <v>17.5</v>
          </cell>
          <cell r="L902">
            <v>14</v>
          </cell>
          <cell r="M902" t="e">
            <v>#N/A</v>
          </cell>
          <cell r="N902">
            <v>16.5</v>
          </cell>
          <cell r="O902" t="e">
            <v>#N/A</v>
          </cell>
          <cell r="P902" t="str">
            <v/>
          </cell>
          <cell r="Q902" t="str">
            <v/>
          </cell>
          <cell r="R902">
            <v>16.5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-4.7094594594595165</v>
          </cell>
          <cell r="F903">
            <v>18.533783783784006</v>
          </cell>
          <cell r="G903">
            <v>13.885135135135178</v>
          </cell>
          <cell r="H903">
            <v>13.885135135135178</v>
          </cell>
          <cell r="I903" t="e">
            <v>#N/A</v>
          </cell>
          <cell r="J903" t="e">
            <v>#N/A</v>
          </cell>
          <cell r="K903">
            <v>17.5</v>
          </cell>
          <cell r="L903">
            <v>14</v>
          </cell>
          <cell r="M903" t="e">
            <v>#N/A</v>
          </cell>
          <cell r="N903">
            <v>16.5</v>
          </cell>
          <cell r="O903" t="e">
            <v>#N/A</v>
          </cell>
          <cell r="P903" t="str">
            <v/>
          </cell>
          <cell r="Q903" t="str">
            <v/>
          </cell>
          <cell r="R903">
            <v>16.5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-4.7648648648649221</v>
          </cell>
          <cell r="F904">
            <v>18.545945945946169</v>
          </cell>
          <cell r="G904">
            <v>13.883783783783826</v>
          </cell>
          <cell r="H904">
            <v>13.883783783783826</v>
          </cell>
          <cell r="I904" t="e">
            <v>#N/A</v>
          </cell>
          <cell r="J904" t="e">
            <v>#N/A</v>
          </cell>
          <cell r="K904">
            <v>17.5</v>
          </cell>
          <cell r="L904">
            <v>14</v>
          </cell>
          <cell r="M904" t="e">
            <v>#N/A</v>
          </cell>
          <cell r="N904">
            <v>16.5</v>
          </cell>
          <cell r="O904" t="e">
            <v>#N/A</v>
          </cell>
          <cell r="P904" t="str">
            <v/>
          </cell>
          <cell r="Q904" t="str">
            <v/>
          </cell>
          <cell r="R904">
            <v>16.5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-4.8202702702703277</v>
          </cell>
          <cell r="F905">
            <v>18.558108108108332</v>
          </cell>
          <cell r="G905">
            <v>13.882432432432475</v>
          </cell>
          <cell r="H905">
            <v>13.882432432432475</v>
          </cell>
          <cell r="I905" t="e">
            <v>#N/A</v>
          </cell>
          <cell r="J905" t="e">
            <v>#N/A</v>
          </cell>
          <cell r="K905">
            <v>17.5</v>
          </cell>
          <cell r="L905">
            <v>14</v>
          </cell>
          <cell r="M905" t="e">
            <v>#N/A</v>
          </cell>
          <cell r="N905">
            <v>16.5</v>
          </cell>
          <cell r="O905" t="e">
            <v>#N/A</v>
          </cell>
          <cell r="P905" t="str">
            <v/>
          </cell>
          <cell r="Q905" t="str">
            <v/>
          </cell>
          <cell r="R905">
            <v>16.5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-4.8756756756757333</v>
          </cell>
          <cell r="F906">
            <v>18.570270270270495</v>
          </cell>
          <cell r="G906">
            <v>13.881081081081124</v>
          </cell>
          <cell r="H906">
            <v>13.881081081081124</v>
          </cell>
          <cell r="I906" t="e">
            <v>#N/A</v>
          </cell>
          <cell r="J906" t="e">
            <v>#N/A</v>
          </cell>
          <cell r="K906">
            <v>17.5</v>
          </cell>
          <cell r="L906">
            <v>14</v>
          </cell>
          <cell r="M906" t="e">
            <v>#N/A</v>
          </cell>
          <cell r="N906">
            <v>16.5</v>
          </cell>
          <cell r="O906" t="e">
            <v>#N/A</v>
          </cell>
          <cell r="P906" t="str">
            <v/>
          </cell>
          <cell r="Q906" t="str">
            <v/>
          </cell>
          <cell r="R906">
            <v>16.5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-4.931081081081139</v>
          </cell>
          <cell r="F907">
            <v>18.582432432432658</v>
          </cell>
          <cell r="G907">
            <v>13.879729729729773</v>
          </cell>
          <cell r="H907">
            <v>13.879729729729773</v>
          </cell>
          <cell r="I907" t="e">
            <v>#N/A</v>
          </cell>
          <cell r="J907" t="e">
            <v>#N/A</v>
          </cell>
          <cell r="K907">
            <v>17.5</v>
          </cell>
          <cell r="L907">
            <v>14</v>
          </cell>
          <cell r="M907" t="e">
            <v>#N/A</v>
          </cell>
          <cell r="N907">
            <v>16.5</v>
          </cell>
          <cell r="O907" t="e">
            <v>#N/A</v>
          </cell>
          <cell r="P907" t="str">
            <v/>
          </cell>
          <cell r="Q907" t="str">
            <v/>
          </cell>
          <cell r="R907">
            <v>16.5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-4.9864864864865446</v>
          </cell>
          <cell r="F908">
            <v>18.59459459459482</v>
          </cell>
          <cell r="G908">
            <v>13.878378378378422</v>
          </cell>
          <cell r="H908">
            <v>13.878378378378422</v>
          </cell>
          <cell r="I908" t="e">
            <v>#N/A</v>
          </cell>
          <cell r="J908" t="e">
            <v>#N/A</v>
          </cell>
          <cell r="K908">
            <v>17.5</v>
          </cell>
          <cell r="L908">
            <v>14</v>
          </cell>
          <cell r="M908" t="e">
            <v>#N/A</v>
          </cell>
          <cell r="N908">
            <v>16.5</v>
          </cell>
          <cell r="O908" t="e">
            <v>#N/A</v>
          </cell>
          <cell r="P908" t="str">
            <v/>
          </cell>
          <cell r="Q908" t="str">
            <v/>
          </cell>
          <cell r="R908">
            <v>16.5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-5.0418918918919502</v>
          </cell>
          <cell r="F909">
            <v>18.606756756756983</v>
          </cell>
          <cell r="G909">
            <v>13.87702702702707</v>
          </cell>
          <cell r="H909">
            <v>13.87702702702707</v>
          </cell>
          <cell r="I909" t="e">
            <v>#N/A</v>
          </cell>
          <cell r="J909" t="e">
            <v>#N/A</v>
          </cell>
          <cell r="K909">
            <v>17.5</v>
          </cell>
          <cell r="L909">
            <v>14</v>
          </cell>
          <cell r="M909" t="e">
            <v>#N/A</v>
          </cell>
          <cell r="N909">
            <v>16.5</v>
          </cell>
          <cell r="O909" t="e">
            <v>#N/A</v>
          </cell>
          <cell r="P909" t="str">
            <v/>
          </cell>
          <cell r="Q909" t="str">
            <v/>
          </cell>
          <cell r="R909">
            <v>16.5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-5.0972972972973558</v>
          </cell>
          <cell r="F910">
            <v>18.618918918919146</v>
          </cell>
          <cell r="G910">
            <v>13.875675675675719</v>
          </cell>
          <cell r="H910">
            <v>13.875675675675719</v>
          </cell>
          <cell r="I910" t="e">
            <v>#N/A</v>
          </cell>
          <cell r="J910" t="e">
            <v>#N/A</v>
          </cell>
          <cell r="K910">
            <v>17.5</v>
          </cell>
          <cell r="L910">
            <v>14</v>
          </cell>
          <cell r="M910" t="e">
            <v>#N/A</v>
          </cell>
          <cell r="N910">
            <v>16.5</v>
          </cell>
          <cell r="O910" t="e">
            <v>#N/A</v>
          </cell>
          <cell r="P910" t="str">
            <v/>
          </cell>
          <cell r="Q910" t="str">
            <v/>
          </cell>
          <cell r="R910">
            <v>16.5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-5.1527027027027614</v>
          </cell>
          <cell r="F911">
            <v>18.631081081081309</v>
          </cell>
          <cell r="G911">
            <v>13.874324324324368</v>
          </cell>
          <cell r="H911">
            <v>13.874324324324368</v>
          </cell>
          <cell r="I911" t="e">
            <v>#N/A</v>
          </cell>
          <cell r="J911" t="e">
            <v>#N/A</v>
          </cell>
          <cell r="K911">
            <v>17.5</v>
          </cell>
          <cell r="L911">
            <v>14</v>
          </cell>
          <cell r="M911" t="e">
            <v>#N/A</v>
          </cell>
          <cell r="N911">
            <v>16.5</v>
          </cell>
          <cell r="O911" t="e">
            <v>#N/A</v>
          </cell>
          <cell r="P911" t="str">
            <v/>
          </cell>
          <cell r="Q911" t="str">
            <v/>
          </cell>
          <cell r="R911">
            <v>16.5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-5.208108108108167</v>
          </cell>
          <cell r="F912">
            <v>18.643243243243472</v>
          </cell>
          <cell r="G912">
            <v>13.872972972973017</v>
          </cell>
          <cell r="H912">
            <v>13.872972972973017</v>
          </cell>
          <cell r="I912" t="e">
            <v>#N/A</v>
          </cell>
          <cell r="J912" t="e">
            <v>#N/A</v>
          </cell>
          <cell r="K912">
            <v>17.5</v>
          </cell>
          <cell r="L912">
            <v>14</v>
          </cell>
          <cell r="M912" t="e">
            <v>#N/A</v>
          </cell>
          <cell r="N912">
            <v>16.5</v>
          </cell>
          <cell r="O912" t="e">
            <v>#N/A</v>
          </cell>
          <cell r="P912" t="str">
            <v/>
          </cell>
          <cell r="Q912" t="str">
            <v/>
          </cell>
          <cell r="R912">
            <v>16.5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-5.2635135135135727</v>
          </cell>
          <cell r="F913">
            <v>18.655405405405634</v>
          </cell>
          <cell r="G913">
            <v>13.871621621621665</v>
          </cell>
          <cell r="H913">
            <v>13.871621621621665</v>
          </cell>
          <cell r="I913" t="e">
            <v>#N/A</v>
          </cell>
          <cell r="J913" t="e">
            <v>#N/A</v>
          </cell>
          <cell r="K913">
            <v>17.5</v>
          </cell>
          <cell r="L913">
            <v>14</v>
          </cell>
          <cell r="M913" t="e">
            <v>#N/A</v>
          </cell>
          <cell r="N913">
            <v>16.5</v>
          </cell>
          <cell r="O913" t="e">
            <v>#N/A</v>
          </cell>
          <cell r="P913" t="str">
            <v/>
          </cell>
          <cell r="Q913" t="str">
            <v/>
          </cell>
          <cell r="R913">
            <v>16.5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-5.3189189189189783</v>
          </cell>
          <cell r="F914">
            <v>18.667567567567797</v>
          </cell>
          <cell r="G914">
            <v>13.870270270270314</v>
          </cell>
          <cell r="H914">
            <v>13.870270270270314</v>
          </cell>
          <cell r="I914" t="e">
            <v>#N/A</v>
          </cell>
          <cell r="J914" t="e">
            <v>#N/A</v>
          </cell>
          <cell r="K914">
            <v>17.5</v>
          </cell>
          <cell r="L914">
            <v>14</v>
          </cell>
          <cell r="M914" t="e">
            <v>#N/A</v>
          </cell>
          <cell r="N914">
            <v>16.5</v>
          </cell>
          <cell r="O914" t="e">
            <v>#N/A</v>
          </cell>
          <cell r="P914" t="str">
            <v/>
          </cell>
          <cell r="Q914" t="str">
            <v/>
          </cell>
          <cell r="R914">
            <v>16.5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-5.3743243243243839</v>
          </cell>
          <cell r="F915">
            <v>18.67972972972996</v>
          </cell>
          <cell r="G915">
            <v>13.868918918918963</v>
          </cell>
          <cell r="H915">
            <v>13.868918918918963</v>
          </cell>
          <cell r="I915" t="e">
            <v>#N/A</v>
          </cell>
          <cell r="J915" t="e">
            <v>#N/A</v>
          </cell>
          <cell r="K915">
            <v>17.5</v>
          </cell>
          <cell r="L915">
            <v>14</v>
          </cell>
          <cell r="M915" t="e">
            <v>#N/A</v>
          </cell>
          <cell r="N915">
            <v>16.5</v>
          </cell>
          <cell r="O915" t="e">
            <v>#N/A</v>
          </cell>
          <cell r="P915" t="str">
            <v/>
          </cell>
          <cell r="Q915" t="str">
            <v/>
          </cell>
          <cell r="R915">
            <v>16.5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-5.4297297297297895</v>
          </cell>
          <cell r="F916">
            <v>18.691891891892123</v>
          </cell>
          <cell r="G916">
            <v>13.867567567567612</v>
          </cell>
          <cell r="H916">
            <v>13.867567567567612</v>
          </cell>
          <cell r="I916" t="e">
            <v>#N/A</v>
          </cell>
          <cell r="J916" t="e">
            <v>#N/A</v>
          </cell>
          <cell r="K916">
            <v>17.5</v>
          </cell>
          <cell r="L916">
            <v>14</v>
          </cell>
          <cell r="M916" t="e">
            <v>#N/A</v>
          </cell>
          <cell r="N916">
            <v>16.5</v>
          </cell>
          <cell r="O916" t="e">
            <v>#N/A</v>
          </cell>
          <cell r="P916" t="str">
            <v/>
          </cell>
          <cell r="Q916" t="str">
            <v/>
          </cell>
          <cell r="R916">
            <v>16.5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-5.4851351351351951</v>
          </cell>
          <cell r="F917">
            <v>18.704054054054286</v>
          </cell>
          <cell r="G917">
            <v>13.866216216216261</v>
          </cell>
          <cell r="H917">
            <v>13.866216216216261</v>
          </cell>
          <cell r="I917" t="e">
            <v>#N/A</v>
          </cell>
          <cell r="J917" t="e">
            <v>#N/A</v>
          </cell>
          <cell r="K917">
            <v>17.5</v>
          </cell>
          <cell r="L917">
            <v>14</v>
          </cell>
          <cell r="M917" t="e">
            <v>#N/A</v>
          </cell>
          <cell r="N917">
            <v>16.5</v>
          </cell>
          <cell r="O917" t="e">
            <v>#N/A</v>
          </cell>
          <cell r="P917" t="str">
            <v/>
          </cell>
          <cell r="Q917" t="str">
            <v/>
          </cell>
          <cell r="R917">
            <v>16.5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-5.5405405405406007</v>
          </cell>
          <cell r="F918">
            <v>18.716216216216448</v>
          </cell>
          <cell r="G918">
            <v>13.864864864864909</v>
          </cell>
          <cell r="H918">
            <v>13.864864864864909</v>
          </cell>
          <cell r="I918" t="e">
            <v>#N/A</v>
          </cell>
          <cell r="J918" t="e">
            <v>#N/A</v>
          </cell>
          <cell r="K918">
            <v>17.5</v>
          </cell>
          <cell r="L918">
            <v>14</v>
          </cell>
          <cell r="M918" t="e">
            <v>#N/A</v>
          </cell>
          <cell r="N918">
            <v>16.5</v>
          </cell>
          <cell r="O918" t="e">
            <v>#N/A</v>
          </cell>
          <cell r="P918" t="str">
            <v/>
          </cell>
          <cell r="Q918" t="str">
            <v/>
          </cell>
          <cell r="R918">
            <v>16.5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-5.5959459459460064</v>
          </cell>
          <cell r="F919">
            <v>18.728378378378611</v>
          </cell>
          <cell r="G919">
            <v>13.863513513513558</v>
          </cell>
          <cell r="H919">
            <v>13.863513513513558</v>
          </cell>
          <cell r="I919" t="e">
            <v>#N/A</v>
          </cell>
          <cell r="J919" t="e">
            <v>#N/A</v>
          </cell>
          <cell r="K919">
            <v>17.5</v>
          </cell>
          <cell r="L919">
            <v>14</v>
          </cell>
          <cell r="M919" t="e">
            <v>#N/A</v>
          </cell>
          <cell r="N919">
            <v>16.5</v>
          </cell>
          <cell r="O919" t="e">
            <v>#N/A</v>
          </cell>
          <cell r="P919" t="str">
            <v/>
          </cell>
          <cell r="Q919" t="str">
            <v/>
          </cell>
          <cell r="R919">
            <v>16.5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-5.651351351351412</v>
          </cell>
          <cell r="F920">
            <v>18.740540540540774</v>
          </cell>
          <cell r="G920">
            <v>13.862162162162207</v>
          </cell>
          <cell r="H920">
            <v>13.862162162162207</v>
          </cell>
          <cell r="I920" t="e">
            <v>#N/A</v>
          </cell>
          <cell r="J920" t="e">
            <v>#N/A</v>
          </cell>
          <cell r="K920">
            <v>17.5</v>
          </cell>
          <cell r="L920">
            <v>14</v>
          </cell>
          <cell r="M920" t="e">
            <v>#N/A</v>
          </cell>
          <cell r="N920">
            <v>16.5</v>
          </cell>
          <cell r="O920" t="e">
            <v>#N/A</v>
          </cell>
          <cell r="P920" t="str">
            <v/>
          </cell>
          <cell r="Q920" t="str">
            <v/>
          </cell>
          <cell r="R920">
            <v>16.5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-5.7067567567568176</v>
          </cell>
          <cell r="F921">
            <v>18.752702702702937</v>
          </cell>
          <cell r="G921">
            <v>13.860810810810856</v>
          </cell>
          <cell r="H921">
            <v>13.860810810810856</v>
          </cell>
          <cell r="I921" t="e">
            <v>#N/A</v>
          </cell>
          <cell r="J921" t="e">
            <v>#N/A</v>
          </cell>
          <cell r="K921">
            <v>17.5</v>
          </cell>
          <cell r="L921">
            <v>14</v>
          </cell>
          <cell r="M921" t="e">
            <v>#N/A</v>
          </cell>
          <cell r="N921">
            <v>16.5</v>
          </cell>
          <cell r="O921" t="e">
            <v>#N/A</v>
          </cell>
          <cell r="P921" t="str">
            <v/>
          </cell>
          <cell r="Q921" t="str">
            <v/>
          </cell>
          <cell r="R921">
            <v>16.5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-5.7621621621622232</v>
          </cell>
          <cell r="F922">
            <v>18.7648648648651</v>
          </cell>
          <cell r="G922">
            <v>13.859459459459504</v>
          </cell>
          <cell r="H922">
            <v>13.859459459459504</v>
          </cell>
          <cell r="I922" t="e">
            <v>#N/A</v>
          </cell>
          <cell r="J922" t="e">
            <v>#N/A</v>
          </cell>
          <cell r="K922">
            <v>17.5</v>
          </cell>
          <cell r="L922">
            <v>14</v>
          </cell>
          <cell r="M922" t="e">
            <v>#N/A</v>
          </cell>
          <cell r="N922">
            <v>16.5</v>
          </cell>
          <cell r="O922" t="e">
            <v>#N/A</v>
          </cell>
          <cell r="P922" t="str">
            <v/>
          </cell>
          <cell r="Q922" t="str">
            <v/>
          </cell>
          <cell r="R922">
            <v>16.5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-5.8175675675676288</v>
          </cell>
          <cell r="F923">
            <v>18.777027027027263</v>
          </cell>
          <cell r="G923">
            <v>13.858108108108153</v>
          </cell>
          <cell r="H923">
            <v>13.858108108108153</v>
          </cell>
          <cell r="I923" t="e">
            <v>#N/A</v>
          </cell>
          <cell r="J923" t="e">
            <v>#N/A</v>
          </cell>
          <cell r="K923">
            <v>17.5</v>
          </cell>
          <cell r="L923">
            <v>14</v>
          </cell>
          <cell r="M923" t="e">
            <v>#N/A</v>
          </cell>
          <cell r="N923">
            <v>16.5</v>
          </cell>
          <cell r="O923" t="e">
            <v>#N/A</v>
          </cell>
          <cell r="P923" t="str">
            <v/>
          </cell>
          <cell r="Q923" t="str">
            <v/>
          </cell>
          <cell r="R923">
            <v>16.5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-5.8729729729730344</v>
          </cell>
          <cell r="F924">
            <v>18.789189189189425</v>
          </cell>
          <cell r="G924">
            <v>13.856756756756802</v>
          </cell>
          <cell r="H924">
            <v>13.856756756756802</v>
          </cell>
          <cell r="I924" t="e">
            <v>#N/A</v>
          </cell>
          <cell r="J924" t="e">
            <v>#N/A</v>
          </cell>
          <cell r="K924">
            <v>17.5</v>
          </cell>
          <cell r="L924">
            <v>14</v>
          </cell>
          <cell r="M924" t="e">
            <v>#N/A</v>
          </cell>
          <cell r="N924">
            <v>16.5</v>
          </cell>
          <cell r="O924" t="e">
            <v>#N/A</v>
          </cell>
          <cell r="P924" t="str">
            <v/>
          </cell>
          <cell r="Q924" t="str">
            <v/>
          </cell>
          <cell r="R924">
            <v>16.5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-5.9283783783784401</v>
          </cell>
          <cell r="F925">
            <v>18.801351351351588</v>
          </cell>
          <cell r="G925">
            <v>13.855405405405451</v>
          </cell>
          <cell r="H925">
            <v>13.855405405405451</v>
          </cell>
          <cell r="I925" t="e">
            <v>#N/A</v>
          </cell>
          <cell r="J925" t="e">
            <v>#N/A</v>
          </cell>
          <cell r="K925">
            <v>17.5</v>
          </cell>
          <cell r="L925">
            <v>14</v>
          </cell>
          <cell r="M925" t="e">
            <v>#N/A</v>
          </cell>
          <cell r="N925">
            <v>16.5</v>
          </cell>
          <cell r="O925" t="e">
            <v>#N/A</v>
          </cell>
          <cell r="P925" t="str">
            <v/>
          </cell>
          <cell r="Q925" t="str">
            <v/>
          </cell>
          <cell r="R925">
            <v>16.5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-5.9837837837838457</v>
          </cell>
          <cell r="F926">
            <v>18.813513513513751</v>
          </cell>
          <cell r="G926">
            <v>13.8540540540541</v>
          </cell>
          <cell r="H926">
            <v>13.8540540540541</v>
          </cell>
          <cell r="I926" t="e">
            <v>#N/A</v>
          </cell>
          <cell r="J926" t="e">
            <v>#N/A</v>
          </cell>
          <cell r="K926">
            <v>17.5</v>
          </cell>
          <cell r="L926">
            <v>14</v>
          </cell>
          <cell r="M926" t="e">
            <v>#N/A</v>
          </cell>
          <cell r="N926">
            <v>16.5</v>
          </cell>
          <cell r="O926" t="e">
            <v>#N/A</v>
          </cell>
          <cell r="P926" t="str">
            <v/>
          </cell>
          <cell r="Q926" t="str">
            <v/>
          </cell>
          <cell r="R926">
            <v>16.5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-6.0391891891892513</v>
          </cell>
          <cell r="F927">
            <v>18.825675675675914</v>
          </cell>
          <cell r="G927">
            <v>13.852702702702748</v>
          </cell>
          <cell r="H927">
            <v>13.852702702702748</v>
          </cell>
          <cell r="I927" t="e">
            <v>#N/A</v>
          </cell>
          <cell r="J927" t="e">
            <v>#N/A</v>
          </cell>
          <cell r="K927">
            <v>17.5</v>
          </cell>
          <cell r="L927">
            <v>14</v>
          </cell>
          <cell r="M927" t="e">
            <v>#N/A</v>
          </cell>
          <cell r="N927">
            <v>16.5</v>
          </cell>
          <cell r="O927" t="e">
            <v>#N/A</v>
          </cell>
          <cell r="P927" t="str">
            <v/>
          </cell>
          <cell r="Q927" t="str">
            <v/>
          </cell>
          <cell r="R927">
            <v>16.5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-6.0945945945946569</v>
          </cell>
          <cell r="F928">
            <v>18.837837837838077</v>
          </cell>
          <cell r="G928">
            <v>13.851351351351397</v>
          </cell>
          <cell r="H928">
            <v>13.851351351351397</v>
          </cell>
          <cell r="I928" t="e">
            <v>#N/A</v>
          </cell>
          <cell r="J928" t="e">
            <v>#N/A</v>
          </cell>
          <cell r="K928">
            <v>17.5</v>
          </cell>
          <cell r="L928">
            <v>14</v>
          </cell>
          <cell r="M928" t="e">
            <v>#N/A</v>
          </cell>
          <cell r="N928">
            <v>16.5</v>
          </cell>
          <cell r="O928" t="e">
            <v>#N/A</v>
          </cell>
          <cell r="P928" t="str">
            <v/>
          </cell>
          <cell r="Q928" t="str">
            <v/>
          </cell>
          <cell r="R928">
            <v>16.5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-6.1500000000000625</v>
          </cell>
          <cell r="F929">
            <v>18.850000000000239</v>
          </cell>
          <cell r="G929">
            <v>13.850000000000046</v>
          </cell>
          <cell r="H929">
            <v>13.850000000000046</v>
          </cell>
          <cell r="I929" t="e">
            <v>#N/A</v>
          </cell>
          <cell r="J929" t="e">
            <v>#N/A</v>
          </cell>
          <cell r="K929">
            <v>17.5</v>
          </cell>
          <cell r="L929">
            <v>14</v>
          </cell>
          <cell r="M929" t="e">
            <v>#N/A</v>
          </cell>
          <cell r="N929">
            <v>16.5</v>
          </cell>
          <cell r="O929" t="e">
            <v>#N/A</v>
          </cell>
          <cell r="P929" t="str">
            <v/>
          </cell>
          <cell r="Q929" t="str">
            <v/>
          </cell>
          <cell r="R929">
            <v>16.5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-6.2054054054054681</v>
          </cell>
          <cell r="F930">
            <v>18.862162162162402</v>
          </cell>
          <cell r="G930">
            <v>13.848648648648695</v>
          </cell>
          <cell r="H930">
            <v>13.848648648648695</v>
          </cell>
          <cell r="I930" t="e">
            <v>#N/A</v>
          </cell>
          <cell r="J930" t="e">
            <v>#N/A</v>
          </cell>
          <cell r="K930">
            <v>17.5</v>
          </cell>
          <cell r="L930">
            <v>14</v>
          </cell>
          <cell r="M930" t="e">
            <v>#N/A</v>
          </cell>
          <cell r="N930">
            <v>16.5</v>
          </cell>
          <cell r="O930" t="e">
            <v>#N/A</v>
          </cell>
          <cell r="P930" t="str">
            <v/>
          </cell>
          <cell r="Q930" t="str">
            <v/>
          </cell>
          <cell r="R930">
            <v>16.5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-6.2608108108108738</v>
          </cell>
          <cell r="F931">
            <v>18.874324324324565</v>
          </cell>
          <cell r="G931">
            <v>13.847297297297343</v>
          </cell>
          <cell r="H931">
            <v>13.847297297297343</v>
          </cell>
          <cell r="I931" t="e">
            <v>#N/A</v>
          </cell>
          <cell r="J931" t="e">
            <v>#N/A</v>
          </cell>
          <cell r="K931">
            <v>17.5</v>
          </cell>
          <cell r="L931">
            <v>14</v>
          </cell>
          <cell r="M931" t="e">
            <v>#N/A</v>
          </cell>
          <cell r="N931">
            <v>16.5</v>
          </cell>
          <cell r="O931" t="e">
            <v>#N/A</v>
          </cell>
          <cell r="P931" t="str">
            <v/>
          </cell>
          <cell r="Q931" t="str">
            <v/>
          </cell>
          <cell r="R931">
            <v>16.5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-6.3162162162162794</v>
          </cell>
          <cell r="F932">
            <v>18.886486486486728</v>
          </cell>
          <cell r="G932">
            <v>13.845945945945992</v>
          </cell>
          <cell r="H932">
            <v>13.845945945945992</v>
          </cell>
          <cell r="I932" t="e">
            <v>#N/A</v>
          </cell>
          <cell r="J932" t="e">
            <v>#N/A</v>
          </cell>
          <cell r="K932">
            <v>17.5</v>
          </cell>
          <cell r="L932">
            <v>14</v>
          </cell>
          <cell r="M932" t="e">
            <v>#N/A</v>
          </cell>
          <cell r="N932">
            <v>16.5</v>
          </cell>
          <cell r="O932" t="e">
            <v>#N/A</v>
          </cell>
          <cell r="P932" t="str">
            <v/>
          </cell>
          <cell r="Q932" t="str">
            <v/>
          </cell>
          <cell r="R932">
            <v>16.5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-6.371621621621685</v>
          </cell>
          <cell r="F933">
            <v>18.898648648648891</v>
          </cell>
          <cell r="G933">
            <v>13.844594594594641</v>
          </cell>
          <cell r="H933">
            <v>13.844594594594641</v>
          </cell>
          <cell r="I933" t="e">
            <v>#N/A</v>
          </cell>
          <cell r="J933" t="e">
            <v>#N/A</v>
          </cell>
          <cell r="K933">
            <v>17.5</v>
          </cell>
          <cell r="L933">
            <v>14</v>
          </cell>
          <cell r="M933" t="e">
            <v>#N/A</v>
          </cell>
          <cell r="N933">
            <v>16.5</v>
          </cell>
          <cell r="O933" t="e">
            <v>#N/A</v>
          </cell>
          <cell r="P933" t="str">
            <v/>
          </cell>
          <cell r="Q933" t="str">
            <v/>
          </cell>
          <cell r="R933">
            <v>16.5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-6.4270270270270906</v>
          </cell>
          <cell r="F934">
            <v>18.910810810811054</v>
          </cell>
          <cell r="G934">
            <v>13.84324324324329</v>
          </cell>
          <cell r="H934">
            <v>13.84324324324329</v>
          </cell>
          <cell r="I934" t="e">
            <v>#N/A</v>
          </cell>
          <cell r="J934" t="e">
            <v>#N/A</v>
          </cell>
          <cell r="K934">
            <v>17.5</v>
          </cell>
          <cell r="L934">
            <v>14</v>
          </cell>
          <cell r="M934" t="e">
            <v>#N/A</v>
          </cell>
          <cell r="N934">
            <v>16.5</v>
          </cell>
          <cell r="O934" t="e">
            <v>#N/A</v>
          </cell>
          <cell r="P934" t="str">
            <v/>
          </cell>
          <cell r="Q934" t="str">
            <v/>
          </cell>
          <cell r="R934">
            <v>16.5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-6.4824324324324962</v>
          </cell>
          <cell r="F935">
            <v>18.922972972973216</v>
          </cell>
          <cell r="G935">
            <v>13.841891891891938</v>
          </cell>
          <cell r="H935">
            <v>13.841891891891938</v>
          </cell>
          <cell r="I935" t="e">
            <v>#N/A</v>
          </cell>
          <cell r="J935" t="e">
            <v>#N/A</v>
          </cell>
          <cell r="K935">
            <v>17.5</v>
          </cell>
          <cell r="L935">
            <v>14</v>
          </cell>
          <cell r="M935" t="e">
            <v>#N/A</v>
          </cell>
          <cell r="N935">
            <v>16.5</v>
          </cell>
          <cell r="O935" t="e">
            <v>#N/A</v>
          </cell>
          <cell r="P935" t="str">
            <v/>
          </cell>
          <cell r="Q935" t="str">
            <v/>
          </cell>
          <cell r="R935">
            <v>16.5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-6.5378378378379018</v>
          </cell>
          <cell r="F936">
            <v>18.935135135135379</v>
          </cell>
          <cell r="G936">
            <v>13.840540540540587</v>
          </cell>
          <cell r="H936">
            <v>13.840540540540587</v>
          </cell>
          <cell r="I936" t="e">
            <v>#N/A</v>
          </cell>
          <cell r="J936" t="e">
            <v>#N/A</v>
          </cell>
          <cell r="K936">
            <v>17.5</v>
          </cell>
          <cell r="L936">
            <v>14</v>
          </cell>
          <cell r="M936" t="e">
            <v>#N/A</v>
          </cell>
          <cell r="N936">
            <v>16.5</v>
          </cell>
          <cell r="O936" t="e">
            <v>#N/A</v>
          </cell>
          <cell r="P936" t="str">
            <v/>
          </cell>
          <cell r="Q936" t="str">
            <v/>
          </cell>
          <cell r="R936">
            <v>16.5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-6.5932432432433075</v>
          </cell>
          <cell r="F937">
            <v>18.947297297297542</v>
          </cell>
          <cell r="G937">
            <v>13.839189189189236</v>
          </cell>
          <cell r="H937">
            <v>13.839189189189236</v>
          </cell>
          <cell r="I937" t="e">
            <v>#N/A</v>
          </cell>
          <cell r="J937" t="e">
            <v>#N/A</v>
          </cell>
          <cell r="K937">
            <v>17.5</v>
          </cell>
          <cell r="L937">
            <v>14</v>
          </cell>
          <cell r="M937" t="e">
            <v>#N/A</v>
          </cell>
          <cell r="N937">
            <v>16.5</v>
          </cell>
          <cell r="O937" t="e">
            <v>#N/A</v>
          </cell>
          <cell r="P937" t="str">
            <v/>
          </cell>
          <cell r="Q937" t="str">
            <v/>
          </cell>
          <cell r="R937">
            <v>16.5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-6.6486486486487131</v>
          </cell>
          <cell r="F938">
            <v>18.959459459459705</v>
          </cell>
          <cell r="G938">
            <v>13.837837837837885</v>
          </cell>
          <cell r="H938">
            <v>13.837837837837885</v>
          </cell>
          <cell r="I938" t="e">
            <v>#N/A</v>
          </cell>
          <cell r="J938" t="e">
            <v>#N/A</v>
          </cell>
          <cell r="K938">
            <v>17.5</v>
          </cell>
          <cell r="L938">
            <v>14</v>
          </cell>
          <cell r="M938" t="e">
            <v>#N/A</v>
          </cell>
          <cell r="N938">
            <v>16.5</v>
          </cell>
          <cell r="O938" t="e">
            <v>#N/A</v>
          </cell>
          <cell r="P938" t="str">
            <v/>
          </cell>
          <cell r="Q938" t="str">
            <v/>
          </cell>
          <cell r="R938">
            <v>16.5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-6.7040540540541187</v>
          </cell>
          <cell r="F939">
            <v>18.971621621621868</v>
          </cell>
          <cell r="G939">
            <v>13.836486486486534</v>
          </cell>
          <cell r="H939">
            <v>13.836486486486534</v>
          </cell>
          <cell r="I939" t="e">
            <v>#N/A</v>
          </cell>
          <cell r="J939" t="e">
            <v>#N/A</v>
          </cell>
          <cell r="K939">
            <v>17.5</v>
          </cell>
          <cell r="L939">
            <v>14</v>
          </cell>
          <cell r="M939" t="e">
            <v>#N/A</v>
          </cell>
          <cell r="N939">
            <v>16.5</v>
          </cell>
          <cell r="O939" t="e">
            <v>#N/A</v>
          </cell>
          <cell r="P939" t="str">
            <v/>
          </cell>
          <cell r="Q939" t="str">
            <v/>
          </cell>
          <cell r="R939">
            <v>16.5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-6.7594594594595243</v>
          </cell>
          <cell r="F940">
            <v>18.98378378378403</v>
          </cell>
          <cell r="G940">
            <v>13.835135135135182</v>
          </cell>
          <cell r="H940">
            <v>13.835135135135182</v>
          </cell>
          <cell r="I940" t="e">
            <v>#N/A</v>
          </cell>
          <cell r="J940" t="e">
            <v>#N/A</v>
          </cell>
          <cell r="K940">
            <v>17.5</v>
          </cell>
          <cell r="L940">
            <v>14</v>
          </cell>
          <cell r="M940" t="e">
            <v>#N/A</v>
          </cell>
          <cell r="N940">
            <v>16.5</v>
          </cell>
          <cell r="O940" t="e">
            <v>#N/A</v>
          </cell>
          <cell r="P940" t="str">
            <v/>
          </cell>
          <cell r="Q940" t="str">
            <v/>
          </cell>
          <cell r="R940">
            <v>16.5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-6.8148648648649299</v>
          </cell>
          <cell r="F941">
            <v>18.995945945946193</v>
          </cell>
          <cell r="G941">
            <v>13.833783783783831</v>
          </cell>
          <cell r="H941">
            <v>13.833783783783831</v>
          </cell>
          <cell r="I941" t="e">
            <v>#N/A</v>
          </cell>
          <cell r="J941" t="e">
            <v>#N/A</v>
          </cell>
          <cell r="K941">
            <v>17.5</v>
          </cell>
          <cell r="L941">
            <v>14</v>
          </cell>
          <cell r="M941" t="e">
            <v>#N/A</v>
          </cell>
          <cell r="N941">
            <v>16.5</v>
          </cell>
          <cell r="O941" t="e">
            <v>#N/A</v>
          </cell>
          <cell r="P941" t="str">
            <v/>
          </cell>
          <cell r="Q941" t="str">
            <v/>
          </cell>
          <cell r="R941">
            <v>16.5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-6.8702702702703355</v>
          </cell>
          <cell r="F942">
            <v>19.008108108108356</v>
          </cell>
          <cell r="G942">
            <v>13.83243243243248</v>
          </cell>
          <cell r="H942">
            <v>13.83243243243248</v>
          </cell>
          <cell r="I942" t="e">
            <v>#N/A</v>
          </cell>
          <cell r="J942" t="e">
            <v>#N/A</v>
          </cell>
          <cell r="K942">
            <v>17.5</v>
          </cell>
          <cell r="L942">
            <v>14</v>
          </cell>
          <cell r="M942" t="e">
            <v>#N/A</v>
          </cell>
          <cell r="N942">
            <v>16.5</v>
          </cell>
          <cell r="O942" t="e">
            <v>#N/A</v>
          </cell>
          <cell r="P942" t="str">
            <v/>
          </cell>
          <cell r="Q942" t="str">
            <v/>
          </cell>
          <cell r="R942">
            <v>16.5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-6.9256756756757412</v>
          </cell>
          <cell r="F943">
            <v>19.020270270270519</v>
          </cell>
          <cell r="G943">
            <v>13.831081081081129</v>
          </cell>
          <cell r="H943">
            <v>13.831081081081129</v>
          </cell>
          <cell r="I943" t="e">
            <v>#N/A</v>
          </cell>
          <cell r="J943" t="e">
            <v>#N/A</v>
          </cell>
          <cell r="K943">
            <v>17.5</v>
          </cell>
          <cell r="L943">
            <v>14</v>
          </cell>
          <cell r="M943" t="e">
            <v>#N/A</v>
          </cell>
          <cell r="N943">
            <v>16.5</v>
          </cell>
          <cell r="O943" t="e">
            <v>#N/A</v>
          </cell>
          <cell r="P943" t="str">
            <v/>
          </cell>
          <cell r="Q943" t="str">
            <v/>
          </cell>
          <cell r="R943">
            <v>16.5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-6.9810810810811468</v>
          </cell>
          <cell r="F944">
            <v>19.032432432432682</v>
          </cell>
          <cell r="G944">
            <v>13.829729729729777</v>
          </cell>
          <cell r="H944">
            <v>13.829729729729777</v>
          </cell>
          <cell r="I944" t="e">
            <v>#N/A</v>
          </cell>
          <cell r="J944" t="e">
            <v>#N/A</v>
          </cell>
          <cell r="K944">
            <v>17.5</v>
          </cell>
          <cell r="L944">
            <v>14</v>
          </cell>
          <cell r="M944" t="e">
            <v>#N/A</v>
          </cell>
          <cell r="N944">
            <v>16.5</v>
          </cell>
          <cell r="O944" t="e">
            <v>#N/A</v>
          </cell>
          <cell r="P944" t="str">
            <v/>
          </cell>
          <cell r="Q944" t="str">
            <v/>
          </cell>
          <cell r="R944">
            <v>16.5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-7.0364864864865524</v>
          </cell>
          <cell r="F945">
            <v>19.044594594594844</v>
          </cell>
          <cell r="G945">
            <v>13.828378378378426</v>
          </cell>
          <cell r="H945">
            <v>13.828378378378426</v>
          </cell>
          <cell r="I945" t="e">
            <v>#N/A</v>
          </cell>
          <cell r="J945" t="e">
            <v>#N/A</v>
          </cell>
          <cell r="K945">
            <v>17.5</v>
          </cell>
          <cell r="L945">
            <v>14</v>
          </cell>
          <cell r="M945" t="e">
            <v>#N/A</v>
          </cell>
          <cell r="N945">
            <v>16.5</v>
          </cell>
          <cell r="O945" t="e">
            <v>#N/A</v>
          </cell>
          <cell r="P945" t="str">
            <v/>
          </cell>
          <cell r="Q945" t="str">
            <v/>
          </cell>
          <cell r="R945">
            <v>16.5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-7.091891891891958</v>
          </cell>
          <cell r="F946">
            <v>19.056756756757007</v>
          </cell>
          <cell r="G946">
            <v>13.827027027027075</v>
          </cell>
          <cell r="H946">
            <v>13.827027027027075</v>
          </cell>
          <cell r="I946" t="e">
            <v>#N/A</v>
          </cell>
          <cell r="J946" t="e">
            <v>#N/A</v>
          </cell>
          <cell r="K946">
            <v>17.5</v>
          </cell>
          <cell r="L946">
            <v>14</v>
          </cell>
          <cell r="M946" t="e">
            <v>#N/A</v>
          </cell>
          <cell r="N946">
            <v>16.5</v>
          </cell>
          <cell r="O946" t="e">
            <v>#N/A</v>
          </cell>
          <cell r="P946" t="str">
            <v/>
          </cell>
          <cell r="Q946" t="str">
            <v/>
          </cell>
          <cell r="R946">
            <v>16.5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-7.1472972972973636</v>
          </cell>
          <cell r="F947">
            <v>19.06891891891917</v>
          </cell>
          <cell r="G947">
            <v>13.825675675675724</v>
          </cell>
          <cell r="H947">
            <v>13.825675675675724</v>
          </cell>
          <cell r="I947" t="e">
            <v>#N/A</v>
          </cell>
          <cell r="J947" t="e">
            <v>#N/A</v>
          </cell>
          <cell r="K947">
            <v>17.5</v>
          </cell>
          <cell r="L947">
            <v>14</v>
          </cell>
          <cell r="M947" t="e">
            <v>#N/A</v>
          </cell>
          <cell r="N947">
            <v>16.5</v>
          </cell>
          <cell r="O947" t="e">
            <v>#N/A</v>
          </cell>
          <cell r="P947" t="str">
            <v/>
          </cell>
          <cell r="Q947" t="str">
            <v/>
          </cell>
          <cell r="R947">
            <v>16.5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-7.2027027027027692</v>
          </cell>
          <cell r="F948">
            <v>19.081081081081333</v>
          </cell>
          <cell r="G948">
            <v>13.824324324324373</v>
          </cell>
          <cell r="H948">
            <v>13.824324324324373</v>
          </cell>
          <cell r="I948" t="e">
            <v>#N/A</v>
          </cell>
          <cell r="J948" t="e">
            <v>#N/A</v>
          </cell>
          <cell r="K948">
            <v>17.5</v>
          </cell>
          <cell r="L948">
            <v>14</v>
          </cell>
          <cell r="M948" t="e">
            <v>#N/A</v>
          </cell>
          <cell r="N948">
            <v>16.5</v>
          </cell>
          <cell r="O948" t="e">
            <v>#N/A</v>
          </cell>
          <cell r="P948" t="str">
            <v/>
          </cell>
          <cell r="Q948" t="str">
            <v/>
          </cell>
          <cell r="R948">
            <v>16.5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-7.2581081081081749</v>
          </cell>
          <cell r="F949">
            <v>19.093243243243496</v>
          </cell>
          <cell r="G949">
            <v>13.822972972973021</v>
          </cell>
          <cell r="H949">
            <v>13.822972972973021</v>
          </cell>
          <cell r="I949" t="e">
            <v>#N/A</v>
          </cell>
          <cell r="J949" t="e">
            <v>#N/A</v>
          </cell>
          <cell r="K949">
            <v>17.5</v>
          </cell>
          <cell r="L949">
            <v>14</v>
          </cell>
          <cell r="M949" t="e">
            <v>#N/A</v>
          </cell>
          <cell r="N949">
            <v>16.5</v>
          </cell>
          <cell r="O949" t="e">
            <v>#N/A</v>
          </cell>
          <cell r="P949" t="str">
            <v/>
          </cell>
          <cell r="Q949" t="str">
            <v/>
          </cell>
          <cell r="R949">
            <v>16.5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-7.3135135135135805</v>
          </cell>
          <cell r="F950">
            <v>19.105405405405659</v>
          </cell>
          <cell r="G950">
            <v>13.82162162162167</v>
          </cell>
          <cell r="H950">
            <v>13.82162162162167</v>
          </cell>
          <cell r="I950" t="e">
            <v>#N/A</v>
          </cell>
          <cell r="J950" t="e">
            <v>#N/A</v>
          </cell>
          <cell r="K950">
            <v>17.5</v>
          </cell>
          <cell r="L950">
            <v>14</v>
          </cell>
          <cell r="M950" t="e">
            <v>#N/A</v>
          </cell>
          <cell r="N950">
            <v>16.5</v>
          </cell>
          <cell r="O950" t="e">
            <v>#N/A</v>
          </cell>
          <cell r="P950" t="str">
            <v/>
          </cell>
          <cell r="Q950" t="str">
            <v/>
          </cell>
          <cell r="R950">
            <v>16.5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-7.3689189189189861</v>
          </cell>
          <cell r="F951">
            <v>19.117567567567821</v>
          </cell>
          <cell r="G951">
            <v>13.820270270270319</v>
          </cell>
          <cell r="H951">
            <v>13.820270270270319</v>
          </cell>
          <cell r="I951" t="e">
            <v>#N/A</v>
          </cell>
          <cell r="J951" t="e">
            <v>#N/A</v>
          </cell>
          <cell r="K951">
            <v>17.5</v>
          </cell>
          <cell r="L951">
            <v>14</v>
          </cell>
          <cell r="M951" t="e">
            <v>#N/A</v>
          </cell>
          <cell r="N951">
            <v>16.5</v>
          </cell>
          <cell r="O951" t="e">
            <v>#N/A</v>
          </cell>
          <cell r="P951" t="str">
            <v/>
          </cell>
          <cell r="Q951" t="str">
            <v/>
          </cell>
          <cell r="R951">
            <v>16.5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-7.4243243243243917</v>
          </cell>
          <cell r="F952">
            <v>19.129729729729984</v>
          </cell>
          <cell r="G952">
            <v>13.818918918918968</v>
          </cell>
          <cell r="H952">
            <v>13.818918918918968</v>
          </cell>
          <cell r="I952" t="e">
            <v>#N/A</v>
          </cell>
          <cell r="J952" t="e">
            <v>#N/A</v>
          </cell>
          <cell r="K952">
            <v>17.5</v>
          </cell>
          <cell r="L952">
            <v>14</v>
          </cell>
          <cell r="M952" t="e">
            <v>#N/A</v>
          </cell>
          <cell r="N952">
            <v>16.5</v>
          </cell>
          <cell r="O952" t="e">
            <v>#N/A</v>
          </cell>
          <cell r="P952" t="str">
            <v/>
          </cell>
          <cell r="Q952" t="str">
            <v/>
          </cell>
          <cell r="R952">
            <v>16.5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-7.4797297297297973</v>
          </cell>
          <cell r="F953">
            <v>19.141891891892147</v>
          </cell>
          <cell r="G953">
            <v>13.817567567567616</v>
          </cell>
          <cell r="H953">
            <v>13.817567567567616</v>
          </cell>
          <cell r="I953" t="e">
            <v>#N/A</v>
          </cell>
          <cell r="J953" t="e">
            <v>#N/A</v>
          </cell>
          <cell r="K953">
            <v>17.5</v>
          </cell>
          <cell r="L953">
            <v>14</v>
          </cell>
          <cell r="M953" t="e">
            <v>#N/A</v>
          </cell>
          <cell r="N953">
            <v>16.5</v>
          </cell>
          <cell r="O953" t="e">
            <v>#N/A</v>
          </cell>
          <cell r="P953" t="str">
            <v/>
          </cell>
          <cell r="Q953" t="str">
            <v/>
          </cell>
          <cell r="R953">
            <v>16.5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-7.5351351351352029</v>
          </cell>
          <cell r="F954">
            <v>19.15405405405431</v>
          </cell>
          <cell r="G954">
            <v>13.816216216216265</v>
          </cell>
          <cell r="H954">
            <v>13.816216216216265</v>
          </cell>
          <cell r="I954" t="e">
            <v>#N/A</v>
          </cell>
          <cell r="J954" t="e">
            <v>#N/A</v>
          </cell>
          <cell r="K954">
            <v>17.5</v>
          </cell>
          <cell r="L954">
            <v>14</v>
          </cell>
          <cell r="M954" t="e">
            <v>#N/A</v>
          </cell>
          <cell r="N954">
            <v>16.5</v>
          </cell>
          <cell r="O954" t="e">
            <v>#N/A</v>
          </cell>
          <cell r="P954" t="str">
            <v/>
          </cell>
          <cell r="Q954" t="str">
            <v/>
          </cell>
          <cell r="R954">
            <v>16.5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-7.5905405405406086</v>
          </cell>
          <cell r="F955">
            <v>19.166216216216473</v>
          </cell>
          <cell r="G955">
            <v>13.814864864864914</v>
          </cell>
          <cell r="H955">
            <v>13.814864864864914</v>
          </cell>
          <cell r="I955" t="e">
            <v>#N/A</v>
          </cell>
          <cell r="J955" t="e">
            <v>#N/A</v>
          </cell>
          <cell r="K955">
            <v>17.5</v>
          </cell>
          <cell r="L955">
            <v>14</v>
          </cell>
          <cell r="M955" t="e">
            <v>#N/A</v>
          </cell>
          <cell r="N955">
            <v>16.5</v>
          </cell>
          <cell r="O955" t="e">
            <v>#N/A</v>
          </cell>
          <cell r="P955" t="str">
            <v/>
          </cell>
          <cell r="Q955" t="str">
            <v/>
          </cell>
          <cell r="R955">
            <v>16.5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-7.6459459459460142</v>
          </cell>
          <cell r="F956">
            <v>19.178378378378635</v>
          </cell>
          <cell r="G956">
            <v>13.813513513513563</v>
          </cell>
          <cell r="H956">
            <v>13.813513513513563</v>
          </cell>
          <cell r="I956" t="e">
            <v>#N/A</v>
          </cell>
          <cell r="J956" t="e">
            <v>#N/A</v>
          </cell>
          <cell r="K956">
            <v>17.5</v>
          </cell>
          <cell r="L956">
            <v>14</v>
          </cell>
          <cell r="M956" t="e">
            <v>#N/A</v>
          </cell>
          <cell r="N956">
            <v>16.5</v>
          </cell>
          <cell r="O956" t="e">
            <v>#N/A</v>
          </cell>
          <cell r="P956" t="str">
            <v/>
          </cell>
          <cell r="Q956" t="str">
            <v/>
          </cell>
          <cell r="R956">
            <v>16.5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-7.7013513513514198</v>
          </cell>
          <cell r="F957">
            <v>19.190540540540798</v>
          </cell>
          <cell r="G957">
            <v>13.812162162162211</v>
          </cell>
          <cell r="H957">
            <v>13.812162162162211</v>
          </cell>
          <cell r="I957" t="e">
            <v>#N/A</v>
          </cell>
          <cell r="J957" t="e">
            <v>#N/A</v>
          </cell>
          <cell r="K957">
            <v>17.5</v>
          </cell>
          <cell r="L957">
            <v>14</v>
          </cell>
          <cell r="M957" t="e">
            <v>#N/A</v>
          </cell>
          <cell r="N957">
            <v>16.5</v>
          </cell>
          <cell r="O957" t="e">
            <v>#N/A</v>
          </cell>
          <cell r="P957" t="str">
            <v/>
          </cell>
          <cell r="Q957" t="str">
            <v/>
          </cell>
          <cell r="R957">
            <v>16.5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-7.7567567567568254</v>
          </cell>
          <cell r="F958">
            <v>19.202702702702961</v>
          </cell>
          <cell r="G958">
            <v>13.81081081081086</v>
          </cell>
          <cell r="H958">
            <v>13.81081081081086</v>
          </cell>
          <cell r="I958" t="e">
            <v>#N/A</v>
          </cell>
          <cell r="J958" t="e">
            <v>#N/A</v>
          </cell>
          <cell r="K958">
            <v>17.5</v>
          </cell>
          <cell r="L958">
            <v>14</v>
          </cell>
          <cell r="M958" t="e">
            <v>#N/A</v>
          </cell>
          <cell r="N958">
            <v>16.5</v>
          </cell>
          <cell r="O958" t="e">
            <v>#N/A</v>
          </cell>
          <cell r="P958" t="str">
            <v/>
          </cell>
          <cell r="Q958" t="str">
            <v/>
          </cell>
          <cell r="R958">
            <v>16.5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-7.812162162162231</v>
          </cell>
          <cell r="F959">
            <v>19.214864864865124</v>
          </cell>
          <cell r="G959">
            <v>13.809459459459509</v>
          </cell>
          <cell r="H959">
            <v>13.809459459459509</v>
          </cell>
          <cell r="I959" t="e">
            <v>#N/A</v>
          </cell>
          <cell r="J959" t="e">
            <v>#N/A</v>
          </cell>
          <cell r="K959">
            <v>17.5</v>
          </cell>
          <cell r="L959">
            <v>14</v>
          </cell>
          <cell r="M959" t="e">
            <v>#N/A</v>
          </cell>
          <cell r="N959">
            <v>16.5</v>
          </cell>
          <cell r="O959" t="e">
            <v>#N/A</v>
          </cell>
          <cell r="P959" t="str">
            <v/>
          </cell>
          <cell r="Q959" t="str">
            <v/>
          </cell>
          <cell r="R959">
            <v>16.5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-7.8675675675676366</v>
          </cell>
          <cell r="F960">
            <v>19.227027027027287</v>
          </cell>
          <cell r="G960">
            <v>13.808108108108158</v>
          </cell>
          <cell r="H960">
            <v>13.808108108108158</v>
          </cell>
          <cell r="I960" t="e">
            <v>#N/A</v>
          </cell>
          <cell r="J960" t="e">
            <v>#N/A</v>
          </cell>
          <cell r="K960">
            <v>17.5</v>
          </cell>
          <cell r="L960">
            <v>14</v>
          </cell>
          <cell r="M960" t="e">
            <v>#N/A</v>
          </cell>
          <cell r="N960">
            <v>16.5</v>
          </cell>
          <cell r="O960" t="e">
            <v>#N/A</v>
          </cell>
          <cell r="P960" t="str">
            <v/>
          </cell>
          <cell r="Q960" t="str">
            <v/>
          </cell>
          <cell r="R960">
            <v>16.5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-7.9229729729730423</v>
          </cell>
          <cell r="F961">
            <v>19.23918918918945</v>
          </cell>
          <cell r="G961">
            <v>13.806756756756807</v>
          </cell>
          <cell r="H961">
            <v>13.806756756756807</v>
          </cell>
          <cell r="I961" t="e">
            <v>#N/A</v>
          </cell>
          <cell r="J961" t="e">
            <v>#N/A</v>
          </cell>
          <cell r="K961">
            <v>17.5</v>
          </cell>
          <cell r="L961">
            <v>14</v>
          </cell>
          <cell r="M961" t="e">
            <v>#N/A</v>
          </cell>
          <cell r="N961">
            <v>16.5</v>
          </cell>
          <cell r="O961" t="e">
            <v>#N/A</v>
          </cell>
          <cell r="P961" t="str">
            <v/>
          </cell>
          <cell r="Q961" t="str">
            <v/>
          </cell>
          <cell r="R961">
            <v>16.5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-7.9783783783784479</v>
          </cell>
          <cell r="F962">
            <v>19.251351351351612</v>
          </cell>
          <cell r="G962">
            <v>13.805405405405455</v>
          </cell>
          <cell r="H962">
            <v>13.805405405405455</v>
          </cell>
          <cell r="I962" t="e">
            <v>#N/A</v>
          </cell>
          <cell r="J962" t="e">
            <v>#N/A</v>
          </cell>
          <cell r="K962">
            <v>17.5</v>
          </cell>
          <cell r="L962">
            <v>14</v>
          </cell>
          <cell r="M962" t="e">
            <v>#N/A</v>
          </cell>
          <cell r="N962">
            <v>16.5</v>
          </cell>
          <cell r="O962" t="e">
            <v>#N/A</v>
          </cell>
          <cell r="P962" t="str">
            <v/>
          </cell>
          <cell r="Q962" t="str">
            <v/>
          </cell>
          <cell r="R962">
            <v>16.5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-8.0337837837838535</v>
          </cell>
          <cell r="F963">
            <v>19.263513513513775</v>
          </cell>
          <cell r="G963">
            <v>13.804054054054104</v>
          </cell>
          <cell r="H963">
            <v>13.804054054054104</v>
          </cell>
          <cell r="I963" t="e">
            <v>#N/A</v>
          </cell>
          <cell r="J963" t="e">
            <v>#N/A</v>
          </cell>
          <cell r="K963">
            <v>17.5</v>
          </cell>
          <cell r="L963">
            <v>14</v>
          </cell>
          <cell r="M963" t="e">
            <v>#N/A</v>
          </cell>
          <cell r="N963">
            <v>16.5</v>
          </cell>
          <cell r="O963" t="e">
            <v>#N/A</v>
          </cell>
          <cell r="P963" t="str">
            <v/>
          </cell>
          <cell r="Q963" t="str">
            <v/>
          </cell>
          <cell r="R963">
            <v>16.5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-8.0891891891892591</v>
          </cell>
          <cell r="F964">
            <v>19.275675675675938</v>
          </cell>
          <cell r="G964">
            <v>13.802702702702753</v>
          </cell>
          <cell r="H964">
            <v>13.802702702702753</v>
          </cell>
          <cell r="I964" t="e">
            <v>#N/A</v>
          </cell>
          <cell r="J964" t="e">
            <v>#N/A</v>
          </cell>
          <cell r="K964">
            <v>17.5</v>
          </cell>
          <cell r="L964">
            <v>14</v>
          </cell>
          <cell r="M964" t="e">
            <v>#N/A</v>
          </cell>
          <cell r="N964">
            <v>16.5</v>
          </cell>
          <cell r="O964" t="e">
            <v>#N/A</v>
          </cell>
          <cell r="P964" t="str">
            <v/>
          </cell>
          <cell r="Q964" t="str">
            <v/>
          </cell>
          <cell r="R964">
            <v>16.5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-8.1445945945946647</v>
          </cell>
          <cell r="F965">
            <v>19.287837837838101</v>
          </cell>
          <cell r="G965">
            <v>13.801351351351402</v>
          </cell>
          <cell r="H965">
            <v>13.801351351351402</v>
          </cell>
          <cell r="I965" t="e">
            <v>#N/A</v>
          </cell>
          <cell r="J965" t="e">
            <v>#N/A</v>
          </cell>
          <cell r="K965">
            <v>17.5</v>
          </cell>
          <cell r="L965">
            <v>14</v>
          </cell>
          <cell r="M965" t="e">
            <v>#N/A</v>
          </cell>
          <cell r="N965">
            <v>16.5</v>
          </cell>
          <cell r="O965" t="e">
            <v>#N/A</v>
          </cell>
          <cell r="P965" t="str">
            <v/>
          </cell>
          <cell r="Q965" t="str">
            <v/>
          </cell>
          <cell r="R965">
            <v>16.5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-8.2000000000000703</v>
          </cell>
          <cell r="F966">
            <v>19.300000000000264</v>
          </cell>
          <cell r="G966">
            <v>13.80000000000005</v>
          </cell>
          <cell r="H966">
            <v>13.80000000000005</v>
          </cell>
          <cell r="I966" t="e">
            <v>#N/A</v>
          </cell>
          <cell r="J966" t="e">
            <v>#N/A</v>
          </cell>
          <cell r="K966">
            <v>17.5</v>
          </cell>
          <cell r="L966">
            <v>14</v>
          </cell>
          <cell r="M966" t="e">
            <v>#N/A</v>
          </cell>
          <cell r="N966">
            <v>16.5</v>
          </cell>
          <cell r="O966" t="e">
            <v>#N/A</v>
          </cell>
          <cell r="P966" t="str">
            <v/>
          </cell>
          <cell r="Q966" t="str">
            <v/>
          </cell>
          <cell r="R966">
            <v>16.5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-8.255405405405476</v>
          </cell>
          <cell r="F967">
            <v>19.312162162162426</v>
          </cell>
          <cell r="G967">
            <v>13.798648648648699</v>
          </cell>
          <cell r="H967">
            <v>13.798648648648699</v>
          </cell>
          <cell r="I967" t="e">
            <v>#N/A</v>
          </cell>
          <cell r="J967" t="e">
            <v>#N/A</v>
          </cell>
          <cell r="K967">
            <v>17.5</v>
          </cell>
          <cell r="L967">
            <v>14</v>
          </cell>
          <cell r="M967" t="e">
            <v>#N/A</v>
          </cell>
          <cell r="N967">
            <v>16.5</v>
          </cell>
          <cell r="O967" t="e">
            <v>#N/A</v>
          </cell>
          <cell r="P967" t="str">
            <v/>
          </cell>
          <cell r="Q967" t="str">
            <v/>
          </cell>
          <cell r="R967">
            <v>16.5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-8.3108108108108816</v>
          </cell>
          <cell r="F968">
            <v>19.324324324324589</v>
          </cell>
          <cell r="G968">
            <v>13.797297297297348</v>
          </cell>
          <cell r="H968">
            <v>13.797297297297348</v>
          </cell>
          <cell r="I968" t="e">
            <v>#N/A</v>
          </cell>
          <cell r="J968" t="e">
            <v>#N/A</v>
          </cell>
          <cell r="K968">
            <v>17.5</v>
          </cell>
          <cell r="L968">
            <v>14</v>
          </cell>
          <cell r="M968" t="e">
            <v>#N/A</v>
          </cell>
          <cell r="N968">
            <v>16.5</v>
          </cell>
          <cell r="O968" t="e">
            <v>#N/A</v>
          </cell>
          <cell r="P968" t="str">
            <v/>
          </cell>
          <cell r="Q968" t="str">
            <v/>
          </cell>
          <cell r="R968">
            <v>16.5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-8.3662162162162872</v>
          </cell>
          <cell r="F969">
            <v>19.336486486486752</v>
          </cell>
          <cell r="G969">
            <v>13.795945945945997</v>
          </cell>
          <cell r="H969">
            <v>13.795945945945997</v>
          </cell>
          <cell r="I969" t="e">
            <v>#N/A</v>
          </cell>
          <cell r="J969" t="e">
            <v>#N/A</v>
          </cell>
          <cell r="K969">
            <v>17.5</v>
          </cell>
          <cell r="L969">
            <v>14</v>
          </cell>
          <cell r="M969" t="e">
            <v>#N/A</v>
          </cell>
          <cell r="N969">
            <v>16.5</v>
          </cell>
          <cell r="O969" t="e">
            <v>#N/A</v>
          </cell>
          <cell r="P969" t="str">
            <v/>
          </cell>
          <cell r="Q969" t="str">
            <v/>
          </cell>
          <cell r="R969">
            <v>16.5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-8.4216216216216928</v>
          </cell>
          <cell r="F970">
            <v>19.348648648648915</v>
          </cell>
          <cell r="G970">
            <v>13.794594594594646</v>
          </cell>
          <cell r="H970">
            <v>13.794594594594646</v>
          </cell>
          <cell r="I970" t="e">
            <v>#N/A</v>
          </cell>
          <cell r="J970" t="e">
            <v>#N/A</v>
          </cell>
          <cell r="K970">
            <v>17.5</v>
          </cell>
          <cell r="L970">
            <v>14</v>
          </cell>
          <cell r="M970" t="e">
            <v>#N/A</v>
          </cell>
          <cell r="N970">
            <v>16.5</v>
          </cell>
          <cell r="O970" t="e">
            <v>#N/A</v>
          </cell>
          <cell r="P970" t="str">
            <v/>
          </cell>
          <cell r="Q970" t="str">
            <v/>
          </cell>
          <cell r="R970">
            <v>16.5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-8.4770270270270984</v>
          </cell>
          <cell r="F971">
            <v>19.360810810811078</v>
          </cell>
          <cell r="G971">
            <v>13.793243243243294</v>
          </cell>
          <cell r="H971">
            <v>13.793243243243294</v>
          </cell>
          <cell r="I971" t="e">
            <v>#N/A</v>
          </cell>
          <cell r="J971" t="e">
            <v>#N/A</v>
          </cell>
          <cell r="K971">
            <v>17.5</v>
          </cell>
          <cell r="L971">
            <v>14</v>
          </cell>
          <cell r="M971" t="e">
            <v>#N/A</v>
          </cell>
          <cell r="N971">
            <v>16.5</v>
          </cell>
          <cell r="O971" t="e">
            <v>#N/A</v>
          </cell>
          <cell r="P971" t="str">
            <v/>
          </cell>
          <cell r="Q971" t="str">
            <v/>
          </cell>
          <cell r="R971">
            <v>16.5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-8.532432432432504</v>
          </cell>
          <cell r="F972">
            <v>19.372972972973241</v>
          </cell>
          <cell r="G972">
            <v>13.791891891891943</v>
          </cell>
          <cell r="H972">
            <v>13.791891891891943</v>
          </cell>
          <cell r="I972" t="e">
            <v>#N/A</v>
          </cell>
          <cell r="J972" t="e">
            <v>#N/A</v>
          </cell>
          <cell r="K972">
            <v>17.5</v>
          </cell>
          <cell r="L972">
            <v>14</v>
          </cell>
          <cell r="M972" t="e">
            <v>#N/A</v>
          </cell>
          <cell r="N972">
            <v>16.5</v>
          </cell>
          <cell r="O972" t="e">
            <v>#N/A</v>
          </cell>
          <cell r="P972" t="str">
            <v/>
          </cell>
          <cell r="Q972" t="str">
            <v/>
          </cell>
          <cell r="R972">
            <v>16.5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-8.5878378378379097</v>
          </cell>
          <cell r="F973">
            <v>19.385135135135403</v>
          </cell>
          <cell r="G973">
            <v>13.790540540540592</v>
          </cell>
          <cell r="H973">
            <v>13.790540540540592</v>
          </cell>
          <cell r="I973" t="e">
            <v>#N/A</v>
          </cell>
          <cell r="J973" t="e">
            <v>#N/A</v>
          </cell>
          <cell r="K973">
            <v>17.5</v>
          </cell>
          <cell r="L973">
            <v>14</v>
          </cell>
          <cell r="M973" t="e">
            <v>#N/A</v>
          </cell>
          <cell r="N973">
            <v>16.5</v>
          </cell>
          <cell r="O973" t="e">
            <v>#N/A</v>
          </cell>
          <cell r="P973" t="str">
            <v/>
          </cell>
          <cell r="Q973" t="str">
            <v/>
          </cell>
          <cell r="R973">
            <v>16.5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-8.6432432432433153</v>
          </cell>
          <cell r="F974">
            <v>19.397297297297566</v>
          </cell>
          <cell r="G974">
            <v>13.789189189189241</v>
          </cell>
          <cell r="H974">
            <v>13.789189189189241</v>
          </cell>
          <cell r="I974" t="e">
            <v>#N/A</v>
          </cell>
          <cell r="J974" t="e">
            <v>#N/A</v>
          </cell>
          <cell r="K974">
            <v>17.5</v>
          </cell>
          <cell r="L974">
            <v>14</v>
          </cell>
          <cell r="M974" t="e">
            <v>#N/A</v>
          </cell>
          <cell r="N974">
            <v>16.5</v>
          </cell>
          <cell r="O974" t="e">
            <v>#N/A</v>
          </cell>
          <cell r="P974" t="str">
            <v/>
          </cell>
          <cell r="Q974" t="str">
            <v/>
          </cell>
          <cell r="R974">
            <v>16.5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-8.6986486486487209</v>
          </cell>
          <cell r="F975">
            <v>19.409459459459729</v>
          </cell>
          <cell r="G975">
            <v>13.787837837837889</v>
          </cell>
          <cell r="H975">
            <v>13.787837837837889</v>
          </cell>
          <cell r="I975" t="e">
            <v>#N/A</v>
          </cell>
          <cell r="J975" t="e">
            <v>#N/A</v>
          </cell>
          <cell r="K975">
            <v>17.5</v>
          </cell>
          <cell r="L975">
            <v>14</v>
          </cell>
          <cell r="M975" t="e">
            <v>#N/A</v>
          </cell>
          <cell r="N975">
            <v>16.5</v>
          </cell>
          <cell r="O975" t="e">
            <v>#N/A</v>
          </cell>
          <cell r="P975" t="str">
            <v/>
          </cell>
          <cell r="Q975" t="str">
            <v/>
          </cell>
          <cell r="R975">
            <v>16.5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-8.7540540540541265</v>
          </cell>
          <cell r="F976">
            <v>19.421621621621892</v>
          </cell>
          <cell r="G976">
            <v>13.786486486486538</v>
          </cell>
          <cell r="H976">
            <v>13.786486486486538</v>
          </cell>
          <cell r="I976" t="e">
            <v>#N/A</v>
          </cell>
          <cell r="J976" t="e">
            <v>#N/A</v>
          </cell>
          <cell r="K976">
            <v>17.5</v>
          </cell>
          <cell r="L976">
            <v>14</v>
          </cell>
          <cell r="M976" t="e">
            <v>#N/A</v>
          </cell>
          <cell r="N976">
            <v>16.5</v>
          </cell>
          <cell r="O976" t="e">
            <v>#N/A</v>
          </cell>
          <cell r="P976" t="str">
            <v/>
          </cell>
          <cell r="Q976" t="str">
            <v/>
          </cell>
          <cell r="R976">
            <v>16.5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-8.8094594594595321</v>
          </cell>
          <cell r="F977">
            <v>19.433783783784055</v>
          </cell>
          <cell r="G977">
            <v>13.785135135135187</v>
          </cell>
          <cell r="H977">
            <v>13.785135135135187</v>
          </cell>
          <cell r="I977" t="e">
            <v>#N/A</v>
          </cell>
          <cell r="J977" t="e">
            <v>#N/A</v>
          </cell>
          <cell r="K977">
            <v>17.5</v>
          </cell>
          <cell r="L977">
            <v>14</v>
          </cell>
          <cell r="M977" t="e">
            <v>#N/A</v>
          </cell>
          <cell r="N977">
            <v>16.5</v>
          </cell>
          <cell r="O977" t="e">
            <v>#N/A</v>
          </cell>
          <cell r="P977" t="str">
            <v/>
          </cell>
          <cell r="Q977" t="str">
            <v/>
          </cell>
          <cell r="R977">
            <v>16.5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-8.8648648648649377</v>
          </cell>
          <cell r="F978">
            <v>19.445945945946217</v>
          </cell>
          <cell r="G978">
            <v>13.783783783783836</v>
          </cell>
          <cell r="H978">
            <v>13.783783783783836</v>
          </cell>
          <cell r="I978" t="e">
            <v>#N/A</v>
          </cell>
          <cell r="J978" t="e">
            <v>#N/A</v>
          </cell>
          <cell r="K978">
            <v>17.5</v>
          </cell>
          <cell r="L978">
            <v>14</v>
          </cell>
          <cell r="M978" t="e">
            <v>#N/A</v>
          </cell>
          <cell r="N978">
            <v>16.5</v>
          </cell>
          <cell r="O978" t="e">
            <v>#N/A</v>
          </cell>
          <cell r="P978" t="str">
            <v/>
          </cell>
          <cell r="Q978" t="str">
            <v/>
          </cell>
          <cell r="R978">
            <v>16.5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-8.9202702702703434</v>
          </cell>
          <cell r="F979">
            <v>19.45810810810838</v>
          </cell>
          <cell r="G979">
            <v>13.782432432432485</v>
          </cell>
          <cell r="H979">
            <v>13.782432432432485</v>
          </cell>
          <cell r="I979" t="e">
            <v>#N/A</v>
          </cell>
          <cell r="J979" t="e">
            <v>#N/A</v>
          </cell>
          <cell r="K979">
            <v>17.5</v>
          </cell>
          <cell r="L979">
            <v>14</v>
          </cell>
          <cell r="M979" t="e">
            <v>#N/A</v>
          </cell>
          <cell r="N979">
            <v>16.5</v>
          </cell>
          <cell r="O979" t="e">
            <v>#N/A</v>
          </cell>
          <cell r="P979" t="str">
            <v/>
          </cell>
          <cell r="Q979" t="str">
            <v/>
          </cell>
          <cell r="R979">
            <v>16.5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-8.975675675675749</v>
          </cell>
          <cell r="F980">
            <v>19.470270270270543</v>
          </cell>
          <cell r="G980">
            <v>13.781081081081133</v>
          </cell>
          <cell r="H980">
            <v>13.781081081081133</v>
          </cell>
          <cell r="I980" t="e">
            <v>#N/A</v>
          </cell>
          <cell r="J980" t="e">
            <v>#N/A</v>
          </cell>
          <cell r="K980">
            <v>17.5</v>
          </cell>
          <cell r="L980">
            <v>14</v>
          </cell>
          <cell r="M980" t="e">
            <v>#N/A</v>
          </cell>
          <cell r="N980">
            <v>16.5</v>
          </cell>
          <cell r="O980" t="e">
            <v>#N/A</v>
          </cell>
          <cell r="P980" t="str">
            <v/>
          </cell>
          <cell r="Q980" t="str">
            <v/>
          </cell>
          <cell r="R980">
            <v>16.5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-9.0310810810811546</v>
          </cell>
          <cell r="F981">
            <v>19.482432432432706</v>
          </cell>
          <cell r="G981">
            <v>13.779729729729782</v>
          </cell>
          <cell r="H981">
            <v>13.779729729729782</v>
          </cell>
          <cell r="I981" t="e">
            <v>#N/A</v>
          </cell>
          <cell r="J981" t="e">
            <v>#N/A</v>
          </cell>
          <cell r="K981">
            <v>17.5</v>
          </cell>
          <cell r="L981">
            <v>14</v>
          </cell>
          <cell r="M981" t="e">
            <v>#N/A</v>
          </cell>
          <cell r="N981">
            <v>16.5</v>
          </cell>
          <cell r="O981" t="e">
            <v>#N/A</v>
          </cell>
          <cell r="P981" t="str">
            <v/>
          </cell>
          <cell r="Q981" t="str">
            <v/>
          </cell>
          <cell r="R981">
            <v>16.5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-9.0864864864865602</v>
          </cell>
          <cell r="F982">
            <v>19.494594594594869</v>
          </cell>
          <cell r="G982">
            <v>13.778378378378431</v>
          </cell>
          <cell r="H982">
            <v>13.778378378378431</v>
          </cell>
          <cell r="I982" t="e">
            <v>#N/A</v>
          </cell>
          <cell r="J982" t="e">
            <v>#N/A</v>
          </cell>
          <cell r="K982">
            <v>17.5</v>
          </cell>
          <cell r="L982">
            <v>14</v>
          </cell>
          <cell r="M982" t="e">
            <v>#N/A</v>
          </cell>
          <cell r="N982">
            <v>16.5</v>
          </cell>
          <cell r="O982" t="e">
            <v>#N/A</v>
          </cell>
          <cell r="P982" t="str">
            <v/>
          </cell>
          <cell r="Q982" t="str">
            <v/>
          </cell>
          <cell r="R982">
            <v>16.5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-9.1418918918919658</v>
          </cell>
          <cell r="F983">
            <v>19.506756756757031</v>
          </cell>
          <cell r="G983">
            <v>13.77702702702708</v>
          </cell>
          <cell r="H983">
            <v>13.77702702702708</v>
          </cell>
          <cell r="I983" t="e">
            <v>#N/A</v>
          </cell>
          <cell r="J983" t="e">
            <v>#N/A</v>
          </cell>
          <cell r="K983">
            <v>17.5</v>
          </cell>
          <cell r="L983">
            <v>14</v>
          </cell>
          <cell r="M983" t="e">
            <v>#N/A</v>
          </cell>
          <cell r="N983">
            <v>16.5</v>
          </cell>
          <cell r="O983" t="e">
            <v>#N/A</v>
          </cell>
          <cell r="P983" t="str">
            <v/>
          </cell>
          <cell r="Q983" t="str">
            <v/>
          </cell>
          <cell r="R983">
            <v>16.5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-9.1972972972973714</v>
          </cell>
          <cell r="F984">
            <v>19.518918918919194</v>
          </cell>
          <cell r="G984">
            <v>13.775675675675728</v>
          </cell>
          <cell r="H984">
            <v>13.775675675675728</v>
          </cell>
          <cell r="I984" t="e">
            <v>#N/A</v>
          </cell>
          <cell r="J984" t="e">
            <v>#N/A</v>
          </cell>
          <cell r="K984">
            <v>17.5</v>
          </cell>
          <cell r="L984">
            <v>14</v>
          </cell>
          <cell r="M984" t="e">
            <v>#N/A</v>
          </cell>
          <cell r="N984">
            <v>16.5</v>
          </cell>
          <cell r="O984" t="e">
            <v>#N/A</v>
          </cell>
          <cell r="P984" t="str">
            <v/>
          </cell>
          <cell r="Q984" t="str">
            <v/>
          </cell>
          <cell r="R984">
            <v>16.5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-9.2527027027027771</v>
          </cell>
          <cell r="F985">
            <v>19.531081081081357</v>
          </cell>
          <cell r="G985">
            <v>13.774324324324377</v>
          </cell>
          <cell r="H985">
            <v>13.774324324324377</v>
          </cell>
          <cell r="I985" t="e">
            <v>#N/A</v>
          </cell>
          <cell r="J985" t="e">
            <v>#N/A</v>
          </cell>
          <cell r="K985">
            <v>17.5</v>
          </cell>
          <cell r="L985">
            <v>14</v>
          </cell>
          <cell r="M985" t="e">
            <v>#N/A</v>
          </cell>
          <cell r="N985">
            <v>16.5</v>
          </cell>
          <cell r="O985" t="e">
            <v>#N/A</v>
          </cell>
          <cell r="P985" t="str">
            <v/>
          </cell>
          <cell r="Q985" t="str">
            <v/>
          </cell>
          <cell r="R985">
            <v>16.5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-9.3081081081081827</v>
          </cell>
          <cell r="F986">
            <v>19.54324324324352</v>
          </cell>
          <cell r="G986">
            <v>13.772972972973026</v>
          </cell>
          <cell r="H986">
            <v>13.772972972973026</v>
          </cell>
          <cell r="I986" t="e">
            <v>#N/A</v>
          </cell>
          <cell r="J986" t="e">
            <v>#N/A</v>
          </cell>
          <cell r="K986">
            <v>17.5</v>
          </cell>
          <cell r="L986">
            <v>14</v>
          </cell>
          <cell r="M986" t="e">
            <v>#N/A</v>
          </cell>
          <cell r="N986">
            <v>16.5</v>
          </cell>
          <cell r="O986" t="e">
            <v>#N/A</v>
          </cell>
          <cell r="P986" t="str">
            <v/>
          </cell>
          <cell r="Q986" t="str">
            <v/>
          </cell>
          <cell r="R986">
            <v>16.5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-9.3635135135135883</v>
          </cell>
          <cell r="F987">
            <v>19.555405405405683</v>
          </cell>
          <cell r="G987">
            <v>13.771621621621675</v>
          </cell>
          <cell r="H987">
            <v>13.771621621621675</v>
          </cell>
          <cell r="I987" t="e">
            <v>#N/A</v>
          </cell>
          <cell r="J987" t="e">
            <v>#N/A</v>
          </cell>
          <cell r="K987">
            <v>17.5</v>
          </cell>
          <cell r="L987">
            <v>14</v>
          </cell>
          <cell r="M987" t="e">
            <v>#N/A</v>
          </cell>
          <cell r="N987">
            <v>16.5</v>
          </cell>
          <cell r="O987" t="e">
            <v>#N/A</v>
          </cell>
          <cell r="P987" t="str">
            <v/>
          </cell>
          <cell r="Q987" t="str">
            <v/>
          </cell>
          <cell r="R987">
            <v>16.5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-9.4189189189189939</v>
          </cell>
          <cell r="F988">
            <v>19.567567567567846</v>
          </cell>
          <cell r="G988">
            <v>13.770270270270323</v>
          </cell>
          <cell r="H988">
            <v>13.770270270270323</v>
          </cell>
          <cell r="I988" t="e">
            <v>#N/A</v>
          </cell>
          <cell r="J988" t="e">
            <v>#N/A</v>
          </cell>
          <cell r="K988">
            <v>17.5</v>
          </cell>
          <cell r="L988">
            <v>14</v>
          </cell>
          <cell r="M988" t="e">
            <v>#N/A</v>
          </cell>
          <cell r="N988">
            <v>16.5</v>
          </cell>
          <cell r="O988" t="e">
            <v>#N/A</v>
          </cell>
          <cell r="P988" t="str">
            <v/>
          </cell>
          <cell r="Q988" t="str">
            <v/>
          </cell>
          <cell r="R988">
            <v>16.5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-9.4743243243243995</v>
          </cell>
          <cell r="F989">
            <v>19.579729729730008</v>
          </cell>
          <cell r="G989">
            <v>13.768918918918972</v>
          </cell>
          <cell r="H989">
            <v>13.768918918918972</v>
          </cell>
          <cell r="I989" t="e">
            <v>#N/A</v>
          </cell>
          <cell r="J989" t="e">
            <v>#N/A</v>
          </cell>
          <cell r="K989">
            <v>17.5</v>
          </cell>
          <cell r="L989">
            <v>14</v>
          </cell>
          <cell r="M989" t="e">
            <v>#N/A</v>
          </cell>
          <cell r="N989">
            <v>16.5</v>
          </cell>
          <cell r="O989" t="e">
            <v>#N/A</v>
          </cell>
          <cell r="P989" t="str">
            <v/>
          </cell>
          <cell r="Q989" t="str">
            <v/>
          </cell>
          <cell r="R989">
            <v>16.5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-9.5297297297298051</v>
          </cell>
          <cell r="F990">
            <v>19.591891891892171</v>
          </cell>
          <cell r="G990">
            <v>13.767567567567621</v>
          </cell>
          <cell r="H990">
            <v>13.767567567567621</v>
          </cell>
          <cell r="I990" t="e">
            <v>#N/A</v>
          </cell>
          <cell r="J990" t="e">
            <v>#N/A</v>
          </cell>
          <cell r="K990">
            <v>17.5</v>
          </cell>
          <cell r="L990">
            <v>14</v>
          </cell>
          <cell r="M990" t="e">
            <v>#N/A</v>
          </cell>
          <cell r="N990">
            <v>16.5</v>
          </cell>
          <cell r="O990" t="e">
            <v>#N/A</v>
          </cell>
          <cell r="P990" t="str">
            <v/>
          </cell>
          <cell r="Q990" t="str">
            <v/>
          </cell>
          <cell r="R990">
            <v>16.5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-9.5851351351352108</v>
          </cell>
          <cell r="F991">
            <v>19.604054054054334</v>
          </cell>
          <cell r="G991">
            <v>13.76621621621627</v>
          </cell>
          <cell r="H991">
            <v>13.76621621621627</v>
          </cell>
          <cell r="I991" t="e">
            <v>#N/A</v>
          </cell>
          <cell r="J991" t="e">
            <v>#N/A</v>
          </cell>
          <cell r="K991">
            <v>17.5</v>
          </cell>
          <cell r="L991">
            <v>14</v>
          </cell>
          <cell r="M991" t="e">
            <v>#N/A</v>
          </cell>
          <cell r="N991">
            <v>16.5</v>
          </cell>
          <cell r="O991" t="e">
            <v>#N/A</v>
          </cell>
          <cell r="P991" t="str">
            <v/>
          </cell>
          <cell r="Q991" t="str">
            <v/>
          </cell>
          <cell r="R991">
            <v>16.5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-9.6405405405406164</v>
          </cell>
          <cell r="F992">
            <v>19.616216216216497</v>
          </cell>
          <cell r="G992">
            <v>13.764864864864919</v>
          </cell>
          <cell r="H992">
            <v>13.764864864864919</v>
          </cell>
          <cell r="I992" t="e">
            <v>#N/A</v>
          </cell>
          <cell r="J992" t="e">
            <v>#N/A</v>
          </cell>
          <cell r="K992">
            <v>17.5</v>
          </cell>
          <cell r="L992">
            <v>14</v>
          </cell>
          <cell r="M992" t="e">
            <v>#N/A</v>
          </cell>
          <cell r="N992">
            <v>16.5</v>
          </cell>
          <cell r="O992" t="e">
            <v>#N/A</v>
          </cell>
          <cell r="P992" t="str">
            <v/>
          </cell>
          <cell r="Q992" t="str">
            <v/>
          </cell>
          <cell r="R992">
            <v>16.5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-9.695945945946022</v>
          </cell>
          <cell r="F993">
            <v>19.62837837837866</v>
          </cell>
          <cell r="G993">
            <v>13.763513513513567</v>
          </cell>
          <cell r="H993">
            <v>13.763513513513567</v>
          </cell>
          <cell r="I993" t="e">
            <v>#N/A</v>
          </cell>
          <cell r="J993" t="e">
            <v>#N/A</v>
          </cell>
          <cell r="K993">
            <v>17.5</v>
          </cell>
          <cell r="L993">
            <v>14</v>
          </cell>
          <cell r="M993" t="e">
            <v>#N/A</v>
          </cell>
          <cell r="N993">
            <v>16.5</v>
          </cell>
          <cell r="O993" t="e">
            <v>#N/A</v>
          </cell>
          <cell r="P993" t="str">
            <v/>
          </cell>
          <cell r="Q993" t="str">
            <v/>
          </cell>
          <cell r="R993">
            <v>16.5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-9.7513513513514276</v>
          </cell>
          <cell r="F994">
            <v>19.640540540540822</v>
          </cell>
          <cell r="G994">
            <v>13.762162162162216</v>
          </cell>
          <cell r="H994">
            <v>13.762162162162216</v>
          </cell>
          <cell r="I994" t="e">
            <v>#N/A</v>
          </cell>
          <cell r="J994" t="e">
            <v>#N/A</v>
          </cell>
          <cell r="K994">
            <v>17.5</v>
          </cell>
          <cell r="L994">
            <v>14</v>
          </cell>
          <cell r="M994" t="e">
            <v>#N/A</v>
          </cell>
          <cell r="N994">
            <v>16.5</v>
          </cell>
          <cell r="O994" t="e">
            <v>#N/A</v>
          </cell>
          <cell r="P994" t="str">
            <v/>
          </cell>
          <cell r="Q994" t="str">
            <v/>
          </cell>
          <cell r="R994">
            <v>16.5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-9.8067567567568332</v>
          </cell>
          <cell r="F995">
            <v>19.652702702702985</v>
          </cell>
          <cell r="G995">
            <v>13.760810810810865</v>
          </cell>
          <cell r="H995">
            <v>13.760810810810865</v>
          </cell>
          <cell r="I995" t="e">
            <v>#N/A</v>
          </cell>
          <cell r="J995" t="e">
            <v>#N/A</v>
          </cell>
          <cell r="K995">
            <v>17.5</v>
          </cell>
          <cell r="L995">
            <v>14</v>
          </cell>
          <cell r="M995" t="e">
            <v>#N/A</v>
          </cell>
          <cell r="N995">
            <v>16.5</v>
          </cell>
          <cell r="O995" t="e">
            <v>#N/A</v>
          </cell>
          <cell r="P995" t="str">
            <v/>
          </cell>
          <cell r="Q995" t="str">
            <v/>
          </cell>
          <cell r="R995">
            <v>16.5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-9.8621621621622388</v>
          </cell>
          <cell r="F996">
            <v>19.664864864865148</v>
          </cell>
          <cell r="G996">
            <v>13.759459459459514</v>
          </cell>
          <cell r="H996">
            <v>13.759459459459514</v>
          </cell>
          <cell r="I996" t="e">
            <v>#N/A</v>
          </cell>
          <cell r="J996" t="e">
            <v>#N/A</v>
          </cell>
          <cell r="K996">
            <v>17.5</v>
          </cell>
          <cell r="L996">
            <v>14</v>
          </cell>
          <cell r="M996" t="e">
            <v>#N/A</v>
          </cell>
          <cell r="N996">
            <v>16.5</v>
          </cell>
          <cell r="O996" t="e">
            <v>#N/A</v>
          </cell>
          <cell r="P996" t="str">
            <v/>
          </cell>
          <cell r="Q996" t="str">
            <v/>
          </cell>
          <cell r="R996">
            <v>16.5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-9.9175675675676445</v>
          </cell>
          <cell r="F997">
            <v>19.677027027027311</v>
          </cell>
          <cell r="G997">
            <v>13.758108108108162</v>
          </cell>
          <cell r="H997">
            <v>13.758108108108162</v>
          </cell>
          <cell r="I997" t="e">
            <v>#N/A</v>
          </cell>
          <cell r="J997" t="e">
            <v>#N/A</v>
          </cell>
          <cell r="K997">
            <v>17.5</v>
          </cell>
          <cell r="L997">
            <v>14</v>
          </cell>
          <cell r="M997" t="e">
            <v>#N/A</v>
          </cell>
          <cell r="N997">
            <v>16.5</v>
          </cell>
          <cell r="O997" t="e">
            <v>#N/A</v>
          </cell>
          <cell r="P997" t="str">
            <v/>
          </cell>
          <cell r="Q997" t="str">
            <v/>
          </cell>
          <cell r="R997">
            <v>16.5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-9.9729729729730501</v>
          </cell>
          <cell r="F998">
            <v>19.689189189189474</v>
          </cell>
          <cell r="G998">
            <v>13.756756756756811</v>
          </cell>
          <cell r="H998">
            <v>13.756756756756811</v>
          </cell>
          <cell r="I998" t="e">
            <v>#N/A</v>
          </cell>
          <cell r="J998" t="e">
            <v>#N/A</v>
          </cell>
          <cell r="K998">
            <v>17.5</v>
          </cell>
          <cell r="L998">
            <v>14</v>
          </cell>
          <cell r="M998" t="e">
            <v>#N/A</v>
          </cell>
          <cell r="N998">
            <v>16.5</v>
          </cell>
          <cell r="O998" t="e">
            <v>#N/A</v>
          </cell>
          <cell r="P998" t="str">
            <v/>
          </cell>
          <cell r="Q998" t="str">
            <v/>
          </cell>
          <cell r="R998">
            <v>16.5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-10.028378378378456</v>
          </cell>
          <cell r="F999">
            <v>19.701351351351637</v>
          </cell>
          <cell r="G999">
            <v>13.75540540540546</v>
          </cell>
          <cell r="H999">
            <v>13.75540540540546</v>
          </cell>
          <cell r="I999" t="e">
            <v>#N/A</v>
          </cell>
          <cell r="J999" t="e">
            <v>#N/A</v>
          </cell>
          <cell r="K999">
            <v>17.5</v>
          </cell>
          <cell r="L999">
            <v>14</v>
          </cell>
          <cell r="M999" t="e">
            <v>#N/A</v>
          </cell>
          <cell r="N999">
            <v>16.5</v>
          </cell>
          <cell r="O999" t="e">
            <v>#N/A</v>
          </cell>
          <cell r="P999" t="str">
            <v/>
          </cell>
          <cell r="Q999" t="str">
            <v/>
          </cell>
          <cell r="R999">
            <v>16.5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-10.083783783783861</v>
          </cell>
          <cell r="F1000">
            <v>19.713513513513799</v>
          </cell>
          <cell r="G1000">
            <v>13.754054054054109</v>
          </cell>
          <cell r="H1000">
            <v>13.754054054054109</v>
          </cell>
          <cell r="I1000" t="e">
            <v>#N/A</v>
          </cell>
          <cell r="J1000" t="e">
            <v>#N/A</v>
          </cell>
          <cell r="K1000">
            <v>17.5</v>
          </cell>
          <cell r="L1000">
            <v>14</v>
          </cell>
          <cell r="M1000" t="e">
            <v>#N/A</v>
          </cell>
          <cell r="N1000">
            <v>16.5</v>
          </cell>
          <cell r="O1000" t="e">
            <v>#N/A</v>
          </cell>
          <cell r="P1000" t="str">
            <v/>
          </cell>
          <cell r="Q1000" t="str">
            <v/>
          </cell>
          <cell r="R1000">
            <v>16.5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-10.139189189189267</v>
          </cell>
          <cell r="F1001">
            <v>19.725675675675962</v>
          </cell>
          <cell r="G1001">
            <v>13.752702702702758</v>
          </cell>
          <cell r="H1001">
            <v>13.752702702702758</v>
          </cell>
          <cell r="I1001" t="e">
            <v>#N/A</v>
          </cell>
          <cell r="J1001" t="e">
            <v>#N/A</v>
          </cell>
          <cell r="K1001">
            <v>17.5</v>
          </cell>
          <cell r="L1001">
            <v>14</v>
          </cell>
          <cell r="M1001" t="e">
            <v>#N/A</v>
          </cell>
          <cell r="N1001">
            <v>16.5</v>
          </cell>
          <cell r="O1001" t="e">
            <v>#N/A</v>
          </cell>
          <cell r="P1001" t="str">
            <v/>
          </cell>
          <cell r="Q1001" t="str">
            <v/>
          </cell>
          <cell r="R1001">
            <v>16.5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-10.194594594594673</v>
          </cell>
          <cell r="F1002">
            <v>19.737837837838125</v>
          </cell>
          <cell r="G1002">
            <v>13.751351351351406</v>
          </cell>
          <cell r="H1002">
            <v>13.751351351351406</v>
          </cell>
          <cell r="I1002" t="e">
            <v>#N/A</v>
          </cell>
          <cell r="J1002" t="e">
            <v>#N/A</v>
          </cell>
          <cell r="K1002">
            <v>17.5</v>
          </cell>
          <cell r="L1002">
            <v>14</v>
          </cell>
          <cell r="M1002" t="e">
            <v>#N/A</v>
          </cell>
          <cell r="N1002">
            <v>16.5</v>
          </cell>
          <cell r="O1002" t="e">
            <v>#N/A</v>
          </cell>
          <cell r="P1002" t="str">
            <v/>
          </cell>
          <cell r="Q1002" t="str">
            <v/>
          </cell>
          <cell r="R1002">
            <v>16.5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-10.250000000000078</v>
          </cell>
          <cell r="F1003">
            <v>19.750000000000288</v>
          </cell>
          <cell r="G1003">
            <v>13.750000000000055</v>
          </cell>
          <cell r="H1003">
            <v>13.750000000000055</v>
          </cell>
          <cell r="I1003" t="e">
            <v>#N/A</v>
          </cell>
          <cell r="J1003" t="e">
            <v>#N/A</v>
          </cell>
          <cell r="K1003">
            <v>17.5</v>
          </cell>
          <cell r="L1003">
            <v>14</v>
          </cell>
          <cell r="M1003" t="e">
            <v>#N/A</v>
          </cell>
          <cell r="N1003">
            <v>16.5</v>
          </cell>
          <cell r="O1003" t="e">
            <v>#N/A</v>
          </cell>
          <cell r="P1003" t="str">
            <v/>
          </cell>
          <cell r="Q1003" t="str">
            <v/>
          </cell>
          <cell r="R1003">
            <v>16.5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-10.305405405405484</v>
          </cell>
          <cell r="F1004">
            <v>19.762162162162451</v>
          </cell>
          <cell r="G1004">
            <v>13.748648648648704</v>
          </cell>
          <cell r="H1004">
            <v>13.748648648648704</v>
          </cell>
          <cell r="I1004" t="e">
            <v>#N/A</v>
          </cell>
          <cell r="J1004" t="e">
            <v>#N/A</v>
          </cell>
          <cell r="K1004">
            <v>17.5</v>
          </cell>
          <cell r="L1004">
            <v>14</v>
          </cell>
          <cell r="M1004" t="e">
            <v>#N/A</v>
          </cell>
          <cell r="N1004">
            <v>16.5</v>
          </cell>
          <cell r="O1004" t="e">
            <v>#N/A</v>
          </cell>
          <cell r="P1004" t="str">
            <v/>
          </cell>
          <cell r="Q1004" t="str">
            <v/>
          </cell>
          <cell r="R1004">
            <v>16.5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-10.360810810810889</v>
          </cell>
          <cell r="F1005">
            <v>19.774324324324613</v>
          </cell>
          <cell r="G1005">
            <v>13.747297297297353</v>
          </cell>
          <cell r="H1005">
            <v>13.747297297297353</v>
          </cell>
          <cell r="I1005" t="e">
            <v>#N/A</v>
          </cell>
          <cell r="J1005" t="e">
            <v>#N/A</v>
          </cell>
          <cell r="K1005">
            <v>17.5</v>
          </cell>
          <cell r="L1005">
            <v>14</v>
          </cell>
          <cell r="M1005" t="e">
            <v>#N/A</v>
          </cell>
          <cell r="N1005">
            <v>16.5</v>
          </cell>
          <cell r="O1005" t="e">
            <v>#N/A</v>
          </cell>
          <cell r="P1005" t="str">
            <v/>
          </cell>
          <cell r="Q1005" t="str">
            <v/>
          </cell>
          <cell r="R1005">
            <v>16.5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-10.416216216216295</v>
          </cell>
          <cell r="F1006">
            <v>19.786486486486776</v>
          </cell>
          <cell r="G1006">
            <v>13.745945945946001</v>
          </cell>
          <cell r="H1006">
            <v>13.745945945946001</v>
          </cell>
          <cell r="I1006" t="e">
            <v>#N/A</v>
          </cell>
          <cell r="J1006" t="e">
            <v>#N/A</v>
          </cell>
          <cell r="K1006">
            <v>17.5</v>
          </cell>
          <cell r="L1006">
            <v>14</v>
          </cell>
          <cell r="M1006" t="e">
            <v>#N/A</v>
          </cell>
          <cell r="N1006">
            <v>16.5</v>
          </cell>
          <cell r="O1006" t="e">
            <v>#N/A</v>
          </cell>
          <cell r="P1006" t="str">
            <v/>
          </cell>
          <cell r="Q1006" t="str">
            <v/>
          </cell>
          <cell r="R1006">
            <v>16.5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-10.471621621621701</v>
          </cell>
          <cell r="F1007">
            <v>19.798648648648939</v>
          </cell>
          <cell r="G1007">
            <v>13.74459459459465</v>
          </cell>
          <cell r="H1007">
            <v>13.74459459459465</v>
          </cell>
          <cell r="I1007" t="e">
            <v>#N/A</v>
          </cell>
          <cell r="J1007" t="e">
            <v>#N/A</v>
          </cell>
          <cell r="K1007">
            <v>17.5</v>
          </cell>
          <cell r="L1007">
            <v>14</v>
          </cell>
          <cell r="M1007" t="e">
            <v>#N/A</v>
          </cell>
          <cell r="N1007">
            <v>16.5</v>
          </cell>
          <cell r="O1007" t="e">
            <v>#N/A</v>
          </cell>
          <cell r="P1007" t="str">
            <v/>
          </cell>
          <cell r="Q1007" t="str">
            <v/>
          </cell>
          <cell r="R1007">
            <v>16.5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-10.527027027027106</v>
          </cell>
          <cell r="F1008">
            <v>19.810810810811102</v>
          </cell>
          <cell r="G1008">
            <v>13.743243243243299</v>
          </cell>
          <cell r="H1008">
            <v>13.743243243243299</v>
          </cell>
          <cell r="I1008" t="e">
            <v>#N/A</v>
          </cell>
          <cell r="J1008" t="e">
            <v>#N/A</v>
          </cell>
          <cell r="K1008">
            <v>17.5</v>
          </cell>
          <cell r="L1008">
            <v>14</v>
          </cell>
          <cell r="M1008" t="e">
            <v>#N/A</v>
          </cell>
          <cell r="N1008">
            <v>16.5</v>
          </cell>
          <cell r="O1008" t="e">
            <v>#N/A</v>
          </cell>
          <cell r="P1008" t="str">
            <v/>
          </cell>
          <cell r="Q1008" t="str">
            <v/>
          </cell>
          <cell r="R1008">
            <v>16.5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-10.582432432432512</v>
          </cell>
          <cell r="F1009">
            <v>19.822972972973265</v>
          </cell>
          <cell r="G1009">
            <v>13.741891891891948</v>
          </cell>
          <cell r="H1009">
            <v>13.741891891891948</v>
          </cell>
          <cell r="I1009" t="e">
            <v>#N/A</v>
          </cell>
          <cell r="J1009" t="e">
            <v>#N/A</v>
          </cell>
          <cell r="K1009">
            <v>17.5</v>
          </cell>
          <cell r="L1009">
            <v>14</v>
          </cell>
          <cell r="M1009" t="e">
            <v>#N/A</v>
          </cell>
          <cell r="N1009">
            <v>16.5</v>
          </cell>
          <cell r="O1009" t="e">
            <v>#N/A</v>
          </cell>
          <cell r="P1009" t="str">
            <v/>
          </cell>
          <cell r="Q1009" t="str">
            <v/>
          </cell>
          <cell r="R1009">
            <v>16.5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-10.637837837837917</v>
          </cell>
          <cell r="F1010">
            <v>19.835135135135427</v>
          </cell>
          <cell r="G1010">
            <v>13.740540540540596</v>
          </cell>
          <cell r="H1010">
            <v>13.740540540540596</v>
          </cell>
          <cell r="I1010" t="e">
            <v>#N/A</v>
          </cell>
          <cell r="J1010" t="e">
            <v>#N/A</v>
          </cell>
          <cell r="K1010">
            <v>17.5</v>
          </cell>
          <cell r="L1010">
            <v>14</v>
          </cell>
          <cell r="M1010" t="e">
            <v>#N/A</v>
          </cell>
          <cell r="N1010">
            <v>16.5</v>
          </cell>
          <cell r="O1010" t="e">
            <v>#N/A</v>
          </cell>
          <cell r="P1010" t="str">
            <v/>
          </cell>
          <cell r="Q1010" t="str">
            <v/>
          </cell>
          <cell r="R1010">
            <v>16.5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-10.693243243243323</v>
          </cell>
          <cell r="F1011">
            <v>19.84729729729759</v>
          </cell>
          <cell r="G1011">
            <v>13.739189189189245</v>
          </cell>
          <cell r="H1011">
            <v>13.739189189189245</v>
          </cell>
          <cell r="I1011" t="e">
            <v>#N/A</v>
          </cell>
          <cell r="J1011" t="e">
            <v>#N/A</v>
          </cell>
          <cell r="K1011">
            <v>17.5</v>
          </cell>
          <cell r="L1011">
            <v>14</v>
          </cell>
          <cell r="M1011" t="e">
            <v>#N/A</v>
          </cell>
          <cell r="N1011">
            <v>16.5</v>
          </cell>
          <cell r="O1011" t="e">
            <v>#N/A</v>
          </cell>
          <cell r="P1011" t="str">
            <v/>
          </cell>
          <cell r="Q1011" t="str">
            <v/>
          </cell>
          <cell r="R1011">
            <v>16.5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-10.748648648648729</v>
          </cell>
          <cell r="F1012">
            <v>19.859459459459753</v>
          </cell>
          <cell r="G1012">
            <v>13.737837837837894</v>
          </cell>
          <cell r="H1012">
            <v>13.737837837837894</v>
          </cell>
          <cell r="I1012" t="e">
            <v>#N/A</v>
          </cell>
          <cell r="J1012" t="e">
            <v>#N/A</v>
          </cell>
          <cell r="K1012">
            <v>17.5</v>
          </cell>
          <cell r="L1012">
            <v>14</v>
          </cell>
          <cell r="M1012" t="e">
            <v>#N/A</v>
          </cell>
          <cell r="N1012">
            <v>16.5</v>
          </cell>
          <cell r="O1012" t="e">
            <v>#N/A</v>
          </cell>
          <cell r="P1012" t="str">
            <v/>
          </cell>
          <cell r="Q1012" t="str">
            <v/>
          </cell>
          <cell r="R1012">
            <v>16.5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-10.804054054054134</v>
          </cell>
          <cell r="F1013">
            <v>19.871621621621916</v>
          </cell>
          <cell r="G1013">
            <v>13.736486486486543</v>
          </cell>
          <cell r="H1013">
            <v>13.736486486486543</v>
          </cell>
          <cell r="I1013" t="e">
            <v>#N/A</v>
          </cell>
          <cell r="J1013" t="e">
            <v>#N/A</v>
          </cell>
          <cell r="K1013">
            <v>17.5</v>
          </cell>
          <cell r="L1013">
            <v>14</v>
          </cell>
          <cell r="M1013" t="e">
            <v>#N/A</v>
          </cell>
          <cell r="N1013">
            <v>16.5</v>
          </cell>
          <cell r="O1013" t="e">
            <v>#N/A</v>
          </cell>
          <cell r="P1013" t="str">
            <v/>
          </cell>
          <cell r="Q1013" t="str">
            <v/>
          </cell>
          <cell r="R1013">
            <v>16.5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-10.85945945945954</v>
          </cell>
          <cell r="F1014">
            <v>19.883783783784079</v>
          </cell>
          <cell r="G1014">
            <v>13.735135135135192</v>
          </cell>
          <cell r="H1014">
            <v>13.735135135135192</v>
          </cell>
          <cell r="I1014" t="e">
            <v>#N/A</v>
          </cell>
          <cell r="J1014" t="e">
            <v>#N/A</v>
          </cell>
          <cell r="K1014">
            <v>17.5</v>
          </cell>
          <cell r="L1014">
            <v>14</v>
          </cell>
          <cell r="M1014" t="e">
            <v>#N/A</v>
          </cell>
          <cell r="N1014">
            <v>16.5</v>
          </cell>
          <cell r="O1014" t="e">
            <v>#N/A</v>
          </cell>
          <cell r="P1014" t="str">
            <v/>
          </cell>
          <cell r="Q1014" t="str">
            <v/>
          </cell>
          <cell r="R1014">
            <v>16.5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-10.914864864864946</v>
          </cell>
          <cell r="F1015">
            <v>19.895945945946242</v>
          </cell>
          <cell r="G1015">
            <v>13.73378378378384</v>
          </cell>
          <cell r="H1015">
            <v>13.73378378378384</v>
          </cell>
          <cell r="I1015" t="e">
            <v>#N/A</v>
          </cell>
          <cell r="J1015" t="e">
            <v>#N/A</v>
          </cell>
          <cell r="K1015">
            <v>17.5</v>
          </cell>
          <cell r="L1015">
            <v>14</v>
          </cell>
          <cell r="M1015" t="e">
            <v>#N/A</v>
          </cell>
          <cell r="N1015">
            <v>16.5</v>
          </cell>
          <cell r="O1015" t="e">
            <v>#N/A</v>
          </cell>
          <cell r="P1015" t="str">
            <v/>
          </cell>
          <cell r="Q1015" t="str">
            <v/>
          </cell>
          <cell r="R1015">
            <v>16.5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-10.970270270270351</v>
          </cell>
          <cell r="F1016">
            <v>19.908108108108404</v>
          </cell>
          <cell r="G1016">
            <v>13.732432432432489</v>
          </cell>
          <cell r="H1016">
            <v>13.732432432432489</v>
          </cell>
          <cell r="I1016" t="e">
            <v>#N/A</v>
          </cell>
          <cell r="J1016" t="e">
            <v>#N/A</v>
          </cell>
          <cell r="K1016">
            <v>17.5</v>
          </cell>
          <cell r="L1016">
            <v>14</v>
          </cell>
          <cell r="M1016" t="e">
            <v>#N/A</v>
          </cell>
          <cell r="N1016">
            <v>16.5</v>
          </cell>
          <cell r="O1016" t="e">
            <v>#N/A</v>
          </cell>
          <cell r="P1016" t="str">
            <v/>
          </cell>
          <cell r="Q1016" t="str">
            <v/>
          </cell>
          <cell r="R1016">
            <v>16.5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-11.025675675675757</v>
          </cell>
          <cell r="F1017">
            <v>19.920270270270567</v>
          </cell>
          <cell r="G1017">
            <v>13.731081081081138</v>
          </cell>
          <cell r="H1017">
            <v>13.731081081081138</v>
          </cell>
          <cell r="I1017" t="e">
            <v>#N/A</v>
          </cell>
          <cell r="J1017" t="e">
            <v>#N/A</v>
          </cell>
          <cell r="K1017">
            <v>17.5</v>
          </cell>
          <cell r="L1017">
            <v>14</v>
          </cell>
          <cell r="M1017" t="e">
            <v>#N/A</v>
          </cell>
          <cell r="N1017">
            <v>16.5</v>
          </cell>
          <cell r="O1017" t="e">
            <v>#N/A</v>
          </cell>
          <cell r="P1017" t="str">
            <v/>
          </cell>
          <cell r="Q1017" t="str">
            <v/>
          </cell>
          <cell r="R1017">
            <v>16.5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-11.081081081081162</v>
          </cell>
          <cell r="F1018">
            <v>19.93243243243273</v>
          </cell>
          <cell r="G1018">
            <v>13.729729729729787</v>
          </cell>
          <cell r="H1018">
            <v>13.729729729729787</v>
          </cell>
          <cell r="I1018" t="e">
            <v>#N/A</v>
          </cell>
          <cell r="J1018" t="e">
            <v>#N/A</v>
          </cell>
          <cell r="K1018">
            <v>17.5</v>
          </cell>
          <cell r="L1018">
            <v>14</v>
          </cell>
          <cell r="M1018" t="e">
            <v>#N/A</v>
          </cell>
          <cell r="N1018">
            <v>16.5</v>
          </cell>
          <cell r="O1018" t="e">
            <v>#N/A</v>
          </cell>
          <cell r="P1018" t="str">
            <v/>
          </cell>
          <cell r="Q1018" t="str">
            <v/>
          </cell>
          <cell r="R1018">
            <v>16.5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-11.136486486486568</v>
          </cell>
          <cell r="F1019">
            <v>19.944594594594893</v>
          </cell>
          <cell r="G1019">
            <v>13.728378378378435</v>
          </cell>
          <cell r="H1019">
            <v>13.728378378378435</v>
          </cell>
          <cell r="I1019" t="e">
            <v>#N/A</v>
          </cell>
          <cell r="J1019" t="e">
            <v>#N/A</v>
          </cell>
          <cell r="K1019">
            <v>17.5</v>
          </cell>
          <cell r="L1019">
            <v>14</v>
          </cell>
          <cell r="M1019" t="e">
            <v>#N/A</v>
          </cell>
          <cell r="N1019">
            <v>16.5</v>
          </cell>
          <cell r="O1019" t="e">
            <v>#N/A</v>
          </cell>
          <cell r="P1019" t="str">
            <v/>
          </cell>
          <cell r="Q1019" t="str">
            <v/>
          </cell>
          <cell r="R1019">
            <v>16.5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-11.191891891891974</v>
          </cell>
          <cell r="F1020">
            <v>19.956756756757056</v>
          </cell>
          <cell r="G1020">
            <v>13.727027027027084</v>
          </cell>
          <cell r="H1020">
            <v>13.727027027027084</v>
          </cell>
          <cell r="I1020" t="e">
            <v>#N/A</v>
          </cell>
          <cell r="J1020" t="e">
            <v>#N/A</v>
          </cell>
          <cell r="K1020">
            <v>17.5</v>
          </cell>
          <cell r="L1020">
            <v>14</v>
          </cell>
          <cell r="M1020" t="e">
            <v>#N/A</v>
          </cell>
          <cell r="N1020">
            <v>16.5</v>
          </cell>
          <cell r="O1020" t="e">
            <v>#N/A</v>
          </cell>
          <cell r="P1020" t="str">
            <v/>
          </cell>
          <cell r="Q1020" t="str">
            <v/>
          </cell>
          <cell r="R1020">
            <v>16.5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-11.247297297297379</v>
          </cell>
          <cell r="F1021">
            <v>19.968918918919218</v>
          </cell>
          <cell r="G1021">
            <v>13.725675675675733</v>
          </cell>
          <cell r="H1021">
            <v>13.725675675675733</v>
          </cell>
          <cell r="I1021" t="e">
            <v>#N/A</v>
          </cell>
          <cell r="J1021" t="e">
            <v>#N/A</v>
          </cell>
          <cell r="K1021">
            <v>17.5</v>
          </cell>
          <cell r="L1021">
            <v>14</v>
          </cell>
          <cell r="M1021" t="e">
            <v>#N/A</v>
          </cell>
          <cell r="N1021">
            <v>16.5</v>
          </cell>
          <cell r="O1021" t="e">
            <v>#N/A</v>
          </cell>
          <cell r="P1021" t="str">
            <v/>
          </cell>
          <cell r="Q1021" t="str">
            <v/>
          </cell>
          <cell r="R1021">
            <v>16.5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-11.302702702702785</v>
          </cell>
          <cell r="F1022">
            <v>19.981081081081381</v>
          </cell>
          <cell r="G1022">
            <v>13.724324324324382</v>
          </cell>
          <cell r="H1022">
            <v>13.724324324324382</v>
          </cell>
          <cell r="I1022" t="e">
            <v>#N/A</v>
          </cell>
          <cell r="J1022" t="e">
            <v>#N/A</v>
          </cell>
          <cell r="K1022">
            <v>17.5</v>
          </cell>
          <cell r="L1022">
            <v>14</v>
          </cell>
          <cell r="M1022" t="e">
            <v>#N/A</v>
          </cell>
          <cell r="N1022">
            <v>16.5</v>
          </cell>
          <cell r="O1022" t="e">
            <v>#N/A</v>
          </cell>
          <cell r="P1022" t="str">
            <v/>
          </cell>
          <cell r="Q1022" t="str">
            <v/>
          </cell>
          <cell r="R1022">
            <v>16.5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-11.35810810810819</v>
          </cell>
          <cell r="F1023">
            <v>19.993243243243544</v>
          </cell>
          <cell r="G1023">
            <v>13.722972972973031</v>
          </cell>
          <cell r="H1023">
            <v>13.722972972973031</v>
          </cell>
          <cell r="I1023" t="e">
            <v>#N/A</v>
          </cell>
          <cell r="J1023" t="e">
            <v>#N/A</v>
          </cell>
          <cell r="K1023">
            <v>17.5</v>
          </cell>
          <cell r="L1023">
            <v>14</v>
          </cell>
          <cell r="M1023" t="e">
            <v>#N/A</v>
          </cell>
          <cell r="N1023">
            <v>16.5</v>
          </cell>
          <cell r="O1023" t="e">
            <v>#N/A</v>
          </cell>
          <cell r="P1023" t="str">
            <v/>
          </cell>
          <cell r="Q1023" t="str">
            <v/>
          </cell>
          <cell r="R1023">
            <v>16.5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-11.413513513513596</v>
          </cell>
          <cell r="F1024">
            <v>20.005405405405707</v>
          </cell>
          <cell r="G1024">
            <v>13.721621621621679</v>
          </cell>
          <cell r="H1024">
            <v>13.721621621621679</v>
          </cell>
          <cell r="I1024" t="e">
            <v>#N/A</v>
          </cell>
          <cell r="J1024" t="e">
            <v>#N/A</v>
          </cell>
          <cell r="K1024">
            <v>17.5</v>
          </cell>
          <cell r="L1024">
            <v>14</v>
          </cell>
          <cell r="M1024" t="e">
            <v>#N/A</v>
          </cell>
          <cell r="N1024">
            <v>16.5</v>
          </cell>
          <cell r="O1024" t="e">
            <v>#N/A</v>
          </cell>
          <cell r="P1024" t="str">
            <v/>
          </cell>
          <cell r="Q1024" t="str">
            <v/>
          </cell>
          <cell r="R1024">
            <v>16.5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-11.468918918919002</v>
          </cell>
          <cell r="F1025">
            <v>20.01756756756787</v>
          </cell>
          <cell r="G1025">
            <v>13.720270270270328</v>
          </cell>
          <cell r="H1025">
            <v>13.720270270270328</v>
          </cell>
          <cell r="I1025" t="e">
            <v>#N/A</v>
          </cell>
          <cell r="J1025" t="e">
            <v>#N/A</v>
          </cell>
          <cell r="K1025">
            <v>17.5</v>
          </cell>
          <cell r="L1025">
            <v>14</v>
          </cell>
          <cell r="M1025" t="e">
            <v>#N/A</v>
          </cell>
          <cell r="N1025">
            <v>16.5</v>
          </cell>
          <cell r="O1025" t="e">
            <v>#N/A</v>
          </cell>
          <cell r="P1025" t="str">
            <v/>
          </cell>
          <cell r="Q1025" t="str">
            <v/>
          </cell>
          <cell r="R1025">
            <v>16.5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-11.524324324324407</v>
          </cell>
          <cell r="F1026">
            <v>20.029729729730033</v>
          </cell>
          <cell r="G1026">
            <v>13.718918918918977</v>
          </cell>
          <cell r="H1026">
            <v>13.718918918918977</v>
          </cell>
          <cell r="I1026" t="e">
            <v>#N/A</v>
          </cell>
          <cell r="J1026" t="e">
            <v>#N/A</v>
          </cell>
          <cell r="K1026">
            <v>17.5</v>
          </cell>
          <cell r="L1026">
            <v>14</v>
          </cell>
          <cell r="M1026" t="e">
            <v>#N/A</v>
          </cell>
          <cell r="N1026">
            <v>16.5</v>
          </cell>
          <cell r="O1026" t="e">
            <v>#N/A</v>
          </cell>
          <cell r="P1026" t="str">
            <v/>
          </cell>
          <cell r="Q1026" t="str">
            <v/>
          </cell>
          <cell r="R1026">
            <v>16.5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-11.579729729729813</v>
          </cell>
          <cell r="F1027">
            <v>20.041891891892195</v>
          </cell>
          <cell r="G1027">
            <v>13.717567567567626</v>
          </cell>
          <cell r="H1027">
            <v>13.717567567567626</v>
          </cell>
          <cell r="I1027" t="e">
            <v>#N/A</v>
          </cell>
          <cell r="J1027" t="e">
            <v>#N/A</v>
          </cell>
          <cell r="K1027">
            <v>17.5</v>
          </cell>
          <cell r="L1027">
            <v>14</v>
          </cell>
          <cell r="M1027" t="e">
            <v>#N/A</v>
          </cell>
          <cell r="N1027">
            <v>16.5</v>
          </cell>
          <cell r="O1027" t="e">
            <v>#N/A</v>
          </cell>
          <cell r="P1027" t="str">
            <v/>
          </cell>
          <cell r="Q1027" t="str">
            <v/>
          </cell>
          <cell r="R1027">
            <v>16.5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-11.635135135135219</v>
          </cell>
          <cell r="F1028">
            <v>20.054054054054358</v>
          </cell>
          <cell r="G1028">
            <v>13.716216216216274</v>
          </cell>
          <cell r="H1028">
            <v>13.716216216216274</v>
          </cell>
          <cell r="I1028" t="e">
            <v>#N/A</v>
          </cell>
          <cell r="J1028" t="e">
            <v>#N/A</v>
          </cell>
          <cell r="K1028">
            <v>17.5</v>
          </cell>
          <cell r="L1028">
            <v>14</v>
          </cell>
          <cell r="M1028" t="e">
            <v>#N/A</v>
          </cell>
          <cell r="N1028">
            <v>16.5</v>
          </cell>
          <cell r="O1028" t="e">
            <v>#N/A</v>
          </cell>
          <cell r="P1028" t="str">
            <v/>
          </cell>
          <cell r="Q1028" t="str">
            <v/>
          </cell>
          <cell r="R1028">
            <v>16.5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-11.690540540540624</v>
          </cell>
          <cell r="F1029">
            <v>20.066216216216521</v>
          </cell>
          <cell r="G1029">
            <v>13.714864864864923</v>
          </cell>
          <cell r="H1029">
            <v>13.714864864864923</v>
          </cell>
          <cell r="I1029" t="e">
            <v>#N/A</v>
          </cell>
          <cell r="J1029" t="e">
            <v>#N/A</v>
          </cell>
          <cell r="K1029">
            <v>17.5</v>
          </cell>
          <cell r="L1029">
            <v>14</v>
          </cell>
          <cell r="M1029" t="e">
            <v>#N/A</v>
          </cell>
          <cell r="N1029">
            <v>16.5</v>
          </cell>
          <cell r="O1029" t="e">
            <v>#N/A</v>
          </cell>
          <cell r="P1029" t="str">
            <v/>
          </cell>
          <cell r="Q1029" t="str">
            <v/>
          </cell>
          <cell r="R1029">
            <v>16.5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-11.74594594594603</v>
          </cell>
          <cell r="F1030">
            <v>20.078378378378684</v>
          </cell>
          <cell r="G1030">
            <v>13.713513513513572</v>
          </cell>
          <cell r="H1030">
            <v>13.713513513513572</v>
          </cell>
          <cell r="I1030" t="e">
            <v>#N/A</v>
          </cell>
          <cell r="J1030" t="e">
            <v>#N/A</v>
          </cell>
          <cell r="K1030">
            <v>17.5</v>
          </cell>
          <cell r="L1030">
            <v>14</v>
          </cell>
          <cell r="M1030" t="e">
            <v>#N/A</v>
          </cell>
          <cell r="N1030">
            <v>16.5</v>
          </cell>
          <cell r="O1030" t="e">
            <v>#N/A</v>
          </cell>
          <cell r="P1030" t="str">
            <v/>
          </cell>
          <cell r="Q1030" t="str">
            <v/>
          </cell>
          <cell r="R1030">
            <v>16.5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-11.801351351351435</v>
          </cell>
          <cell r="F1031">
            <v>20.090540540540847</v>
          </cell>
          <cell r="G1031">
            <v>13.712162162162221</v>
          </cell>
          <cell r="H1031">
            <v>13.712162162162221</v>
          </cell>
          <cell r="I1031" t="e">
            <v>#N/A</v>
          </cell>
          <cell r="J1031" t="e">
            <v>#N/A</v>
          </cell>
          <cell r="K1031">
            <v>17.5</v>
          </cell>
          <cell r="L1031">
            <v>14</v>
          </cell>
          <cell r="M1031" t="e">
            <v>#N/A</v>
          </cell>
          <cell r="N1031">
            <v>16.5</v>
          </cell>
          <cell r="O1031" t="e">
            <v>#N/A</v>
          </cell>
          <cell r="P1031" t="str">
            <v/>
          </cell>
          <cell r="Q1031" t="str">
            <v/>
          </cell>
          <cell r="R1031">
            <v>16.5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-11.856756756756841</v>
          </cell>
          <cell r="F1032">
            <v>20.102702702703009</v>
          </cell>
          <cell r="G1032">
            <v>13.710810810810869</v>
          </cell>
          <cell r="H1032">
            <v>13.710810810810869</v>
          </cell>
          <cell r="I1032" t="e">
            <v>#N/A</v>
          </cell>
          <cell r="J1032" t="e">
            <v>#N/A</v>
          </cell>
          <cell r="K1032">
            <v>17.5</v>
          </cell>
          <cell r="L1032">
            <v>14</v>
          </cell>
          <cell r="M1032" t="e">
            <v>#N/A</v>
          </cell>
          <cell r="N1032">
            <v>16.5</v>
          </cell>
          <cell r="O1032" t="e">
            <v>#N/A</v>
          </cell>
          <cell r="P1032" t="str">
            <v/>
          </cell>
          <cell r="Q1032" t="str">
            <v/>
          </cell>
          <cell r="R1032">
            <v>16.5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-11.912162162162247</v>
          </cell>
          <cell r="F1033">
            <v>20.114864864865172</v>
          </cell>
          <cell r="G1033">
            <v>13.709459459459518</v>
          </cell>
          <cell r="H1033">
            <v>13.709459459459518</v>
          </cell>
          <cell r="I1033" t="e">
            <v>#N/A</v>
          </cell>
          <cell r="J1033" t="e">
            <v>#N/A</v>
          </cell>
          <cell r="K1033">
            <v>17.5</v>
          </cell>
          <cell r="L1033">
            <v>14</v>
          </cell>
          <cell r="M1033" t="e">
            <v>#N/A</v>
          </cell>
          <cell r="N1033">
            <v>16.5</v>
          </cell>
          <cell r="O1033" t="e">
            <v>#N/A</v>
          </cell>
          <cell r="P1033" t="str">
            <v/>
          </cell>
          <cell r="Q1033" t="str">
            <v/>
          </cell>
          <cell r="R1033">
            <v>16.5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-11.967567567567652</v>
          </cell>
          <cell r="F1034">
            <v>20.127027027027335</v>
          </cell>
          <cell r="G1034">
            <v>13.708108108108167</v>
          </cell>
          <cell r="H1034">
            <v>13.708108108108167</v>
          </cell>
          <cell r="I1034" t="e">
            <v>#N/A</v>
          </cell>
          <cell r="J1034" t="e">
            <v>#N/A</v>
          </cell>
          <cell r="K1034">
            <v>17.5</v>
          </cell>
          <cell r="L1034">
            <v>14</v>
          </cell>
          <cell r="M1034" t="e">
            <v>#N/A</v>
          </cell>
          <cell r="N1034">
            <v>16.5</v>
          </cell>
          <cell r="O1034" t="e">
            <v>#N/A</v>
          </cell>
          <cell r="P1034" t="str">
            <v/>
          </cell>
          <cell r="Q1034" t="str">
            <v/>
          </cell>
          <cell r="R1034">
            <v>16.5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-12.022972972973058</v>
          </cell>
          <cell r="F1035">
            <v>20.139189189189498</v>
          </cell>
          <cell r="G1035">
            <v>13.706756756756816</v>
          </cell>
          <cell r="H1035">
            <v>13.706756756756816</v>
          </cell>
          <cell r="I1035" t="e">
            <v>#N/A</v>
          </cell>
          <cell r="J1035" t="e">
            <v>#N/A</v>
          </cell>
          <cell r="K1035">
            <v>17.5</v>
          </cell>
          <cell r="L1035">
            <v>14</v>
          </cell>
          <cell r="M1035" t="e">
            <v>#N/A</v>
          </cell>
          <cell r="N1035">
            <v>16.5</v>
          </cell>
          <cell r="O1035" t="e">
            <v>#N/A</v>
          </cell>
          <cell r="P1035" t="str">
            <v/>
          </cell>
          <cell r="Q1035" t="str">
            <v/>
          </cell>
          <cell r="R1035">
            <v>16.5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-12.078378378378464</v>
          </cell>
          <cell r="F1036">
            <v>20.151351351351661</v>
          </cell>
          <cell r="G1036">
            <v>13.705405405405465</v>
          </cell>
          <cell r="H1036">
            <v>13.705405405405465</v>
          </cell>
          <cell r="I1036" t="e">
            <v>#N/A</v>
          </cell>
          <cell r="J1036" t="e">
            <v>#N/A</v>
          </cell>
          <cell r="K1036">
            <v>17.5</v>
          </cell>
          <cell r="L1036">
            <v>14</v>
          </cell>
          <cell r="M1036" t="e">
            <v>#N/A</v>
          </cell>
          <cell r="N1036">
            <v>16.5</v>
          </cell>
          <cell r="O1036" t="e">
            <v>#N/A</v>
          </cell>
          <cell r="P1036" t="str">
            <v/>
          </cell>
          <cell r="Q1036" t="str">
            <v/>
          </cell>
          <cell r="R1036">
            <v>16.5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-12.133783783783869</v>
          </cell>
          <cell r="F1037">
            <v>20.163513513513823</v>
          </cell>
          <cell r="G1037">
            <v>13.704054054054113</v>
          </cell>
          <cell r="H1037">
            <v>13.704054054054113</v>
          </cell>
          <cell r="I1037" t="e">
            <v>#N/A</v>
          </cell>
          <cell r="J1037" t="e">
            <v>#N/A</v>
          </cell>
          <cell r="K1037">
            <v>17.5</v>
          </cell>
          <cell r="L1037">
            <v>14</v>
          </cell>
          <cell r="M1037" t="e">
            <v>#N/A</v>
          </cell>
          <cell r="N1037">
            <v>16.5</v>
          </cell>
          <cell r="O1037" t="e">
            <v>#N/A</v>
          </cell>
          <cell r="P1037" t="str">
            <v/>
          </cell>
          <cell r="Q1037" t="str">
            <v/>
          </cell>
          <cell r="R1037">
            <v>16.5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-12.189189189189275</v>
          </cell>
          <cell r="F1038">
            <v>20.175675675675986</v>
          </cell>
          <cell r="G1038">
            <v>13.702702702702762</v>
          </cell>
          <cell r="H1038">
            <v>13.702702702702762</v>
          </cell>
          <cell r="I1038" t="e">
            <v>#N/A</v>
          </cell>
          <cell r="J1038" t="e">
            <v>#N/A</v>
          </cell>
          <cell r="K1038">
            <v>17.5</v>
          </cell>
          <cell r="L1038">
            <v>14</v>
          </cell>
          <cell r="M1038" t="e">
            <v>#N/A</v>
          </cell>
          <cell r="N1038">
            <v>16.5</v>
          </cell>
          <cell r="O1038" t="e">
            <v>#N/A</v>
          </cell>
          <cell r="P1038" t="str">
            <v/>
          </cell>
          <cell r="Q1038" t="str">
            <v/>
          </cell>
          <cell r="R1038">
            <v>16.5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-12.24459459459468</v>
          </cell>
          <cell r="F1039">
            <v>20.187837837838149</v>
          </cell>
          <cell r="G1039">
            <v>13.701351351351411</v>
          </cell>
          <cell r="H1039">
            <v>13.701351351351411</v>
          </cell>
          <cell r="I1039" t="e">
            <v>#N/A</v>
          </cell>
          <cell r="J1039" t="e">
            <v>#N/A</v>
          </cell>
          <cell r="K1039">
            <v>17.5</v>
          </cell>
          <cell r="L1039">
            <v>14</v>
          </cell>
          <cell r="M1039" t="e">
            <v>#N/A</v>
          </cell>
          <cell r="N1039">
            <v>16.5</v>
          </cell>
          <cell r="O1039" t="e">
            <v>#N/A</v>
          </cell>
          <cell r="P1039" t="str">
            <v/>
          </cell>
          <cell r="Q1039" t="str">
            <v/>
          </cell>
          <cell r="R1039">
            <v>16.5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-12.300000000000086</v>
          </cell>
          <cell r="F1040">
            <v>20.200000000000312</v>
          </cell>
          <cell r="G1040">
            <v>13.70000000000006</v>
          </cell>
          <cell r="H1040">
            <v>13.70000000000006</v>
          </cell>
          <cell r="I1040" t="e">
            <v>#N/A</v>
          </cell>
          <cell r="J1040" t="e">
            <v>#N/A</v>
          </cell>
          <cell r="K1040">
            <v>17.5</v>
          </cell>
          <cell r="L1040">
            <v>14</v>
          </cell>
          <cell r="M1040" t="e">
            <v>#N/A</v>
          </cell>
          <cell r="N1040">
            <v>16.5</v>
          </cell>
          <cell r="O1040" t="e">
            <v>#N/A</v>
          </cell>
          <cell r="P1040" t="str">
            <v/>
          </cell>
          <cell r="Q1040" t="str">
            <v/>
          </cell>
          <cell r="R1040">
            <v>16.5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-12.355405405405492</v>
          </cell>
          <cell r="F1041">
            <v>20.212162162162475</v>
          </cell>
          <cell r="G1041">
            <v>13.698648648648708</v>
          </cell>
          <cell r="H1041">
            <v>13.698648648648708</v>
          </cell>
          <cell r="I1041" t="e">
            <v>#N/A</v>
          </cell>
          <cell r="J1041" t="e">
            <v>#N/A</v>
          </cell>
          <cell r="K1041">
            <v>17.5</v>
          </cell>
          <cell r="L1041">
            <v>14</v>
          </cell>
          <cell r="M1041" t="e">
            <v>#N/A</v>
          </cell>
          <cell r="N1041">
            <v>16.5</v>
          </cell>
          <cell r="O1041" t="e">
            <v>#N/A</v>
          </cell>
          <cell r="P1041" t="str">
            <v/>
          </cell>
          <cell r="Q1041" t="str">
            <v/>
          </cell>
          <cell r="R1041">
            <v>16.5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-12.410810810810897</v>
          </cell>
          <cell r="F1042">
            <v>20.224324324324638</v>
          </cell>
          <cell r="G1042">
            <v>13.697297297297357</v>
          </cell>
          <cell r="H1042">
            <v>13.697297297297357</v>
          </cell>
          <cell r="I1042" t="e">
            <v>#N/A</v>
          </cell>
          <cell r="J1042" t="e">
            <v>#N/A</v>
          </cell>
          <cell r="K1042">
            <v>17.5</v>
          </cell>
          <cell r="L1042">
            <v>14</v>
          </cell>
          <cell r="M1042" t="e">
            <v>#N/A</v>
          </cell>
          <cell r="N1042">
            <v>16.5</v>
          </cell>
          <cell r="O1042" t="e">
            <v>#N/A</v>
          </cell>
          <cell r="P1042" t="str">
            <v/>
          </cell>
          <cell r="Q1042" t="str">
            <v/>
          </cell>
          <cell r="R1042">
            <v>16.5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-12.466216216216303</v>
          </cell>
          <cell r="F1043">
            <v>20.2364864864868</v>
          </cell>
          <cell r="G1043">
            <v>13.695945945946006</v>
          </cell>
          <cell r="H1043">
            <v>13.695945945946006</v>
          </cell>
          <cell r="I1043" t="e">
            <v>#N/A</v>
          </cell>
          <cell r="J1043" t="e">
            <v>#N/A</v>
          </cell>
          <cell r="K1043">
            <v>17.5</v>
          </cell>
          <cell r="L1043">
            <v>14</v>
          </cell>
          <cell r="M1043" t="e">
            <v>#N/A</v>
          </cell>
          <cell r="N1043">
            <v>16.5</v>
          </cell>
          <cell r="O1043" t="e">
            <v>#N/A</v>
          </cell>
          <cell r="P1043" t="str">
            <v/>
          </cell>
          <cell r="Q1043" t="str">
            <v/>
          </cell>
          <cell r="R1043">
            <v>16.5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-12.521621621621708</v>
          </cell>
          <cell r="F1044">
            <v>20.248648648648963</v>
          </cell>
          <cell r="G1044">
            <v>13.694594594594655</v>
          </cell>
          <cell r="H1044">
            <v>13.694594594594655</v>
          </cell>
          <cell r="I1044" t="e">
            <v>#N/A</v>
          </cell>
          <cell r="J1044" t="e">
            <v>#N/A</v>
          </cell>
          <cell r="K1044">
            <v>17.5</v>
          </cell>
          <cell r="L1044">
            <v>14</v>
          </cell>
          <cell r="M1044" t="e">
            <v>#N/A</v>
          </cell>
          <cell r="N1044">
            <v>16.5</v>
          </cell>
          <cell r="O1044" t="e">
            <v>#N/A</v>
          </cell>
          <cell r="P1044" t="str">
            <v/>
          </cell>
          <cell r="Q1044" t="str">
            <v/>
          </cell>
          <cell r="R1044">
            <v>16.5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-12.577027027027114</v>
          </cell>
          <cell r="F1045">
            <v>20.260810810811126</v>
          </cell>
          <cell r="G1045">
            <v>13.693243243243304</v>
          </cell>
          <cell r="H1045">
            <v>13.693243243243304</v>
          </cell>
          <cell r="I1045" t="e">
            <v>#N/A</v>
          </cell>
          <cell r="J1045" t="e">
            <v>#N/A</v>
          </cell>
          <cell r="K1045">
            <v>17.5</v>
          </cell>
          <cell r="L1045">
            <v>14</v>
          </cell>
          <cell r="M1045" t="e">
            <v>#N/A</v>
          </cell>
          <cell r="N1045">
            <v>16.5</v>
          </cell>
          <cell r="O1045" t="e">
            <v>#N/A</v>
          </cell>
          <cell r="P1045" t="str">
            <v/>
          </cell>
          <cell r="Q1045" t="str">
            <v/>
          </cell>
          <cell r="R1045">
            <v>16.5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-12.63243243243252</v>
          </cell>
          <cell r="F1046">
            <v>20.272972972973289</v>
          </cell>
          <cell r="G1046">
            <v>13.691891891891952</v>
          </cell>
          <cell r="H1046">
            <v>13.691891891891952</v>
          </cell>
          <cell r="I1046" t="e">
            <v>#N/A</v>
          </cell>
          <cell r="J1046" t="e">
            <v>#N/A</v>
          </cell>
          <cell r="K1046">
            <v>17.5</v>
          </cell>
          <cell r="L1046">
            <v>14</v>
          </cell>
          <cell r="M1046" t="e">
            <v>#N/A</v>
          </cell>
          <cell r="N1046">
            <v>16.5</v>
          </cell>
          <cell r="O1046" t="e">
            <v>#N/A</v>
          </cell>
          <cell r="P1046" t="str">
            <v/>
          </cell>
          <cell r="Q1046" t="str">
            <v/>
          </cell>
          <cell r="R1046">
            <v>16.5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-12.687837837837925</v>
          </cell>
          <cell r="F1047">
            <v>20.285135135135452</v>
          </cell>
          <cell r="G1047">
            <v>13.690540540540601</v>
          </cell>
          <cell r="H1047">
            <v>13.690540540540601</v>
          </cell>
          <cell r="I1047" t="e">
            <v>#N/A</v>
          </cell>
          <cell r="J1047" t="e">
            <v>#N/A</v>
          </cell>
          <cell r="K1047">
            <v>17.5</v>
          </cell>
          <cell r="L1047">
            <v>14</v>
          </cell>
          <cell r="M1047" t="e">
            <v>#N/A</v>
          </cell>
          <cell r="N1047">
            <v>16.5</v>
          </cell>
          <cell r="O1047" t="e">
            <v>#N/A</v>
          </cell>
          <cell r="P1047" t="str">
            <v/>
          </cell>
          <cell r="Q1047" t="str">
            <v/>
          </cell>
          <cell r="R1047">
            <v>16.5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-12.743243243243331</v>
          </cell>
          <cell r="F1048">
            <v>20.297297297297614</v>
          </cell>
          <cell r="G1048">
            <v>13.68918918918925</v>
          </cell>
          <cell r="H1048">
            <v>13.68918918918925</v>
          </cell>
          <cell r="I1048" t="e">
            <v>#N/A</v>
          </cell>
          <cell r="J1048" t="e">
            <v>#N/A</v>
          </cell>
          <cell r="K1048">
            <v>17.5</v>
          </cell>
          <cell r="L1048">
            <v>14</v>
          </cell>
          <cell r="M1048" t="e">
            <v>#N/A</v>
          </cell>
          <cell r="N1048">
            <v>16.5</v>
          </cell>
          <cell r="O1048" t="e">
            <v>#N/A</v>
          </cell>
          <cell r="P1048" t="str">
            <v/>
          </cell>
          <cell r="Q1048" t="str">
            <v/>
          </cell>
          <cell r="R1048">
            <v>16.5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-12.798648648648737</v>
          </cell>
          <cell r="F1049">
            <v>20.309459459459777</v>
          </cell>
          <cell r="G1049">
            <v>13.687837837837899</v>
          </cell>
          <cell r="H1049">
            <v>13.687837837837899</v>
          </cell>
          <cell r="I1049" t="e">
            <v>#N/A</v>
          </cell>
          <cell r="J1049" t="e">
            <v>#N/A</v>
          </cell>
          <cell r="K1049">
            <v>17.5</v>
          </cell>
          <cell r="L1049">
            <v>14</v>
          </cell>
          <cell r="M1049" t="e">
            <v>#N/A</v>
          </cell>
          <cell r="N1049">
            <v>16.5</v>
          </cell>
          <cell r="O1049" t="e">
            <v>#N/A</v>
          </cell>
          <cell r="P1049" t="str">
            <v/>
          </cell>
          <cell r="Q1049" t="str">
            <v/>
          </cell>
          <cell r="R1049">
            <v>16.5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-12.854054054054142</v>
          </cell>
          <cell r="F1050">
            <v>20.32162162162194</v>
          </cell>
          <cell r="G1050">
            <v>13.686486486486547</v>
          </cell>
          <cell r="H1050">
            <v>13.686486486486547</v>
          </cell>
          <cell r="I1050" t="e">
            <v>#N/A</v>
          </cell>
          <cell r="J1050" t="e">
            <v>#N/A</v>
          </cell>
          <cell r="K1050">
            <v>17.5</v>
          </cell>
          <cell r="L1050">
            <v>14</v>
          </cell>
          <cell r="M1050" t="e">
            <v>#N/A</v>
          </cell>
          <cell r="N1050">
            <v>16.5</v>
          </cell>
          <cell r="O1050" t="e">
            <v>#N/A</v>
          </cell>
          <cell r="P1050" t="str">
            <v/>
          </cell>
          <cell r="Q1050" t="str">
            <v/>
          </cell>
          <cell r="R1050">
            <v>16.5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-12.909459459459548</v>
          </cell>
          <cell r="F1051">
            <v>20.333783783784103</v>
          </cell>
          <cell r="G1051">
            <v>13.685135135135196</v>
          </cell>
          <cell r="H1051">
            <v>13.685135135135196</v>
          </cell>
          <cell r="I1051" t="e">
            <v>#N/A</v>
          </cell>
          <cell r="J1051" t="e">
            <v>#N/A</v>
          </cell>
          <cell r="K1051">
            <v>17.5</v>
          </cell>
          <cell r="L1051">
            <v>14</v>
          </cell>
          <cell r="M1051" t="e">
            <v>#N/A</v>
          </cell>
          <cell r="N1051">
            <v>16.5</v>
          </cell>
          <cell r="O1051" t="e">
            <v>#N/A</v>
          </cell>
          <cell r="P1051" t="str">
            <v/>
          </cell>
          <cell r="Q1051" t="str">
            <v/>
          </cell>
          <cell r="R1051">
            <v>16.5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-12.964864864864953</v>
          </cell>
          <cell r="F1052">
            <v>20.345945945946266</v>
          </cell>
          <cell r="G1052">
            <v>13.683783783783845</v>
          </cell>
          <cell r="H1052">
            <v>13.683783783783845</v>
          </cell>
          <cell r="I1052" t="e">
            <v>#N/A</v>
          </cell>
          <cell r="J1052" t="e">
            <v>#N/A</v>
          </cell>
          <cell r="K1052">
            <v>17.5</v>
          </cell>
          <cell r="L1052">
            <v>14</v>
          </cell>
          <cell r="M1052" t="e">
            <v>#N/A</v>
          </cell>
          <cell r="N1052">
            <v>16.5</v>
          </cell>
          <cell r="O1052" t="e">
            <v>#N/A</v>
          </cell>
          <cell r="P1052" t="str">
            <v/>
          </cell>
          <cell r="Q1052" t="str">
            <v/>
          </cell>
          <cell r="R1052">
            <v>16.5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-13.020270270270359</v>
          </cell>
          <cell r="F1053">
            <v>20.358108108108429</v>
          </cell>
          <cell r="G1053">
            <v>13.682432432432494</v>
          </cell>
          <cell r="H1053">
            <v>13.682432432432494</v>
          </cell>
          <cell r="I1053" t="e">
            <v>#N/A</v>
          </cell>
          <cell r="J1053" t="e">
            <v>#N/A</v>
          </cell>
          <cell r="K1053">
            <v>17.5</v>
          </cell>
          <cell r="L1053">
            <v>14</v>
          </cell>
          <cell r="M1053" t="e">
            <v>#N/A</v>
          </cell>
          <cell r="N1053">
            <v>16.5</v>
          </cell>
          <cell r="O1053" t="e">
            <v>#N/A</v>
          </cell>
          <cell r="P1053" t="str">
            <v/>
          </cell>
          <cell r="Q1053" t="str">
            <v/>
          </cell>
          <cell r="R1053">
            <v>16.5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-13.075675675675765</v>
          </cell>
          <cell r="F1054">
            <v>20.370270270270591</v>
          </cell>
          <cell r="G1054">
            <v>13.681081081081143</v>
          </cell>
          <cell r="H1054">
            <v>13.681081081081143</v>
          </cell>
          <cell r="I1054" t="e">
            <v>#N/A</v>
          </cell>
          <cell r="J1054" t="e">
            <v>#N/A</v>
          </cell>
          <cell r="K1054">
            <v>17.5</v>
          </cell>
          <cell r="L1054">
            <v>14</v>
          </cell>
          <cell r="M1054" t="e">
            <v>#N/A</v>
          </cell>
          <cell r="N1054">
            <v>16.5</v>
          </cell>
          <cell r="O1054" t="e">
            <v>#N/A</v>
          </cell>
          <cell r="P1054" t="str">
            <v/>
          </cell>
          <cell r="Q1054" t="str">
            <v/>
          </cell>
          <cell r="R1054">
            <v>16.5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-13.13108108108117</v>
          </cell>
          <cell r="F1055">
            <v>20.382432432432754</v>
          </cell>
          <cell r="G1055">
            <v>13.679729729729791</v>
          </cell>
          <cell r="H1055">
            <v>13.679729729729791</v>
          </cell>
          <cell r="I1055" t="e">
            <v>#N/A</v>
          </cell>
          <cell r="J1055" t="e">
            <v>#N/A</v>
          </cell>
          <cell r="K1055">
            <v>17.5</v>
          </cell>
          <cell r="L1055">
            <v>14</v>
          </cell>
          <cell r="M1055" t="e">
            <v>#N/A</v>
          </cell>
          <cell r="N1055">
            <v>16.5</v>
          </cell>
          <cell r="O1055" t="e">
            <v>#N/A</v>
          </cell>
          <cell r="P1055" t="str">
            <v/>
          </cell>
          <cell r="Q1055" t="str">
            <v/>
          </cell>
          <cell r="R1055">
            <v>16.5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-13.186486486486576</v>
          </cell>
          <cell r="F1056">
            <v>20.394594594594917</v>
          </cell>
          <cell r="G1056">
            <v>13.67837837837844</v>
          </cell>
          <cell r="H1056">
            <v>13.67837837837844</v>
          </cell>
          <cell r="I1056" t="e">
            <v>#N/A</v>
          </cell>
          <cell r="J1056" t="e">
            <v>#N/A</v>
          </cell>
          <cell r="K1056">
            <v>17.5</v>
          </cell>
          <cell r="L1056">
            <v>14</v>
          </cell>
          <cell r="M1056" t="e">
            <v>#N/A</v>
          </cell>
          <cell r="N1056">
            <v>16.5</v>
          </cell>
          <cell r="O1056" t="e">
            <v>#N/A</v>
          </cell>
          <cell r="P1056" t="str">
            <v/>
          </cell>
          <cell r="Q1056" t="str">
            <v/>
          </cell>
          <cell r="R1056">
            <v>16.5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-13.241891891891981</v>
          </cell>
          <cell r="F1057">
            <v>20.40675675675708</v>
          </cell>
          <cell r="G1057">
            <v>13.677027027027089</v>
          </cell>
          <cell r="H1057">
            <v>13.677027027027089</v>
          </cell>
          <cell r="I1057" t="e">
            <v>#N/A</v>
          </cell>
          <cell r="J1057" t="e">
            <v>#N/A</v>
          </cell>
          <cell r="K1057">
            <v>17.5</v>
          </cell>
          <cell r="L1057">
            <v>14</v>
          </cell>
          <cell r="M1057" t="e">
            <v>#N/A</v>
          </cell>
          <cell r="N1057">
            <v>16.5</v>
          </cell>
          <cell r="O1057" t="e">
            <v>#N/A</v>
          </cell>
          <cell r="P1057" t="str">
            <v/>
          </cell>
          <cell r="Q1057" t="str">
            <v/>
          </cell>
          <cell r="R1057">
            <v>16.5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-13.297297297297387</v>
          </cell>
          <cell r="F1058">
            <v>20.418918918919243</v>
          </cell>
          <cell r="G1058">
            <v>13.675675675675738</v>
          </cell>
          <cell r="H1058">
            <v>13.675675675675738</v>
          </cell>
          <cell r="I1058" t="e">
            <v>#N/A</v>
          </cell>
          <cell r="J1058" t="e">
            <v>#N/A</v>
          </cell>
          <cell r="K1058">
            <v>17.5</v>
          </cell>
          <cell r="L1058">
            <v>14</v>
          </cell>
          <cell r="M1058" t="e">
            <v>#N/A</v>
          </cell>
          <cell r="N1058">
            <v>16.5</v>
          </cell>
          <cell r="O1058" t="e">
            <v>#N/A</v>
          </cell>
          <cell r="P1058" t="str">
            <v/>
          </cell>
          <cell r="Q1058" t="str">
            <v/>
          </cell>
          <cell r="R1058">
            <v>16.5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-13.352702702702793</v>
          </cell>
          <cell r="F1059">
            <v>20.431081081081405</v>
          </cell>
          <cell r="G1059">
            <v>13.674324324324386</v>
          </cell>
          <cell r="H1059">
            <v>13.674324324324386</v>
          </cell>
          <cell r="I1059" t="e">
            <v>#N/A</v>
          </cell>
          <cell r="J1059" t="e">
            <v>#N/A</v>
          </cell>
          <cell r="K1059">
            <v>17.5</v>
          </cell>
          <cell r="L1059">
            <v>14</v>
          </cell>
          <cell r="M1059" t="e">
            <v>#N/A</v>
          </cell>
          <cell r="N1059">
            <v>16.5</v>
          </cell>
          <cell r="O1059" t="e">
            <v>#N/A</v>
          </cell>
          <cell r="P1059" t="str">
            <v/>
          </cell>
          <cell r="Q1059" t="str">
            <v/>
          </cell>
          <cell r="R1059">
            <v>16.5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-13.408108108108198</v>
          </cell>
          <cell r="F1060">
            <v>20.443243243243568</v>
          </cell>
          <cell r="G1060">
            <v>13.672972972973035</v>
          </cell>
          <cell r="H1060">
            <v>13.672972972973035</v>
          </cell>
          <cell r="I1060" t="e">
            <v>#N/A</v>
          </cell>
          <cell r="J1060" t="e">
            <v>#N/A</v>
          </cell>
          <cell r="K1060">
            <v>17.5</v>
          </cell>
          <cell r="L1060">
            <v>14</v>
          </cell>
          <cell r="M1060" t="e">
            <v>#N/A</v>
          </cell>
          <cell r="N1060">
            <v>16.5</v>
          </cell>
          <cell r="O1060" t="e">
            <v>#N/A</v>
          </cell>
          <cell r="P1060" t="str">
            <v/>
          </cell>
          <cell r="Q1060" t="str">
            <v/>
          </cell>
          <cell r="R1060">
            <v>16.5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-13.463513513513604</v>
          </cell>
          <cell r="F1061">
            <v>20.455405405405731</v>
          </cell>
          <cell r="G1061">
            <v>13.671621621621684</v>
          </cell>
          <cell r="H1061">
            <v>13.671621621621684</v>
          </cell>
          <cell r="I1061" t="e">
            <v>#N/A</v>
          </cell>
          <cell r="J1061" t="e">
            <v>#N/A</v>
          </cell>
          <cell r="K1061">
            <v>17.5</v>
          </cell>
          <cell r="L1061">
            <v>14</v>
          </cell>
          <cell r="M1061" t="e">
            <v>#N/A</v>
          </cell>
          <cell r="N1061">
            <v>16.5</v>
          </cell>
          <cell r="O1061" t="e">
            <v>#N/A</v>
          </cell>
          <cell r="P1061" t="str">
            <v/>
          </cell>
          <cell r="Q1061" t="str">
            <v/>
          </cell>
          <cell r="R1061">
            <v>16.5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-13.51891891891901</v>
          </cell>
          <cell r="F1062">
            <v>20.467567567567894</v>
          </cell>
          <cell r="G1062">
            <v>13.670270270270333</v>
          </cell>
          <cell r="H1062">
            <v>13.670270270270333</v>
          </cell>
          <cell r="I1062" t="e">
            <v>#N/A</v>
          </cell>
          <cell r="J1062" t="e">
            <v>#N/A</v>
          </cell>
          <cell r="K1062">
            <v>17.5</v>
          </cell>
          <cell r="L1062">
            <v>14</v>
          </cell>
          <cell r="M1062" t="e">
            <v>#N/A</v>
          </cell>
          <cell r="N1062">
            <v>16.5</v>
          </cell>
          <cell r="O1062" t="e">
            <v>#N/A</v>
          </cell>
          <cell r="P1062" t="str">
            <v/>
          </cell>
          <cell r="Q1062" t="str">
            <v/>
          </cell>
          <cell r="R1062">
            <v>16.5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-13.574324324324415</v>
          </cell>
          <cell r="F1063">
            <v>20.479729729730057</v>
          </cell>
          <cell r="G1063">
            <v>13.668918918918981</v>
          </cell>
          <cell r="H1063">
            <v>13.668918918918981</v>
          </cell>
          <cell r="I1063" t="e">
            <v>#N/A</v>
          </cell>
          <cell r="J1063" t="e">
            <v>#N/A</v>
          </cell>
          <cell r="K1063">
            <v>17.5</v>
          </cell>
          <cell r="L1063">
            <v>14</v>
          </cell>
          <cell r="M1063" t="e">
            <v>#N/A</v>
          </cell>
          <cell r="N1063">
            <v>16.5</v>
          </cell>
          <cell r="O1063" t="e">
            <v>#N/A</v>
          </cell>
          <cell r="P1063" t="str">
            <v/>
          </cell>
          <cell r="Q1063" t="str">
            <v/>
          </cell>
          <cell r="R1063">
            <v>16.5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-13.629729729729821</v>
          </cell>
          <cell r="F1064">
            <v>20.491891891892219</v>
          </cell>
          <cell r="G1064">
            <v>13.66756756756763</v>
          </cell>
          <cell r="H1064">
            <v>13.66756756756763</v>
          </cell>
          <cell r="I1064" t="e">
            <v>#N/A</v>
          </cell>
          <cell r="J1064" t="e">
            <v>#N/A</v>
          </cell>
          <cell r="K1064">
            <v>17.5</v>
          </cell>
          <cell r="L1064">
            <v>14</v>
          </cell>
          <cell r="M1064" t="e">
            <v>#N/A</v>
          </cell>
          <cell r="N1064">
            <v>16.5</v>
          </cell>
          <cell r="O1064" t="e">
            <v>#N/A</v>
          </cell>
          <cell r="P1064" t="str">
            <v/>
          </cell>
          <cell r="Q1064" t="str">
            <v/>
          </cell>
          <cell r="R1064">
            <v>16.5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-13.685135135135226</v>
          </cell>
          <cell r="F1065">
            <v>20.504054054054382</v>
          </cell>
          <cell r="G1065">
            <v>13.666216216216279</v>
          </cell>
          <cell r="H1065">
            <v>13.666216216216279</v>
          </cell>
          <cell r="I1065" t="e">
            <v>#N/A</v>
          </cell>
          <cell r="J1065" t="e">
            <v>#N/A</v>
          </cell>
          <cell r="K1065">
            <v>17.5</v>
          </cell>
          <cell r="L1065">
            <v>14</v>
          </cell>
          <cell r="M1065" t="e">
            <v>#N/A</v>
          </cell>
          <cell r="N1065">
            <v>16.5</v>
          </cell>
          <cell r="O1065" t="e">
            <v>#N/A</v>
          </cell>
          <cell r="P1065" t="str">
            <v/>
          </cell>
          <cell r="Q1065" t="str">
            <v/>
          </cell>
          <cell r="R1065">
            <v>16.5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-13.740540540540632</v>
          </cell>
          <cell r="F1066">
            <v>20.516216216216545</v>
          </cell>
          <cell r="G1066">
            <v>13.664864864864928</v>
          </cell>
          <cell r="H1066">
            <v>13.664864864864928</v>
          </cell>
          <cell r="I1066" t="e">
            <v>#N/A</v>
          </cell>
          <cell r="J1066" t="e">
            <v>#N/A</v>
          </cell>
          <cell r="K1066">
            <v>17.5</v>
          </cell>
          <cell r="L1066">
            <v>14</v>
          </cell>
          <cell r="M1066" t="e">
            <v>#N/A</v>
          </cell>
          <cell r="N1066">
            <v>16.5</v>
          </cell>
          <cell r="O1066" t="e">
            <v>#N/A</v>
          </cell>
          <cell r="P1066" t="str">
            <v/>
          </cell>
          <cell r="Q1066" t="str">
            <v/>
          </cell>
          <cell r="R1066">
            <v>16.5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-13.795945945946038</v>
          </cell>
          <cell r="F1067">
            <v>20.528378378378708</v>
          </cell>
          <cell r="G1067">
            <v>13.663513513513577</v>
          </cell>
          <cell r="H1067">
            <v>13.663513513513577</v>
          </cell>
          <cell r="I1067" t="e">
            <v>#N/A</v>
          </cell>
          <cell r="J1067" t="e">
            <v>#N/A</v>
          </cell>
          <cell r="K1067">
            <v>17.5</v>
          </cell>
          <cell r="L1067">
            <v>14</v>
          </cell>
          <cell r="M1067" t="e">
            <v>#N/A</v>
          </cell>
          <cell r="N1067">
            <v>16.5</v>
          </cell>
          <cell r="O1067" t="e">
            <v>#N/A</v>
          </cell>
          <cell r="P1067" t="str">
            <v/>
          </cell>
          <cell r="Q1067" t="str">
            <v/>
          </cell>
          <cell r="R1067">
            <v>16.5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-13.851351351351443</v>
          </cell>
          <cell r="F1068">
            <v>20.540540540540871</v>
          </cell>
          <cell r="G1068">
            <v>13.662162162162225</v>
          </cell>
          <cell r="H1068">
            <v>13.662162162162225</v>
          </cell>
          <cell r="I1068" t="e">
            <v>#N/A</v>
          </cell>
          <cell r="J1068" t="e">
            <v>#N/A</v>
          </cell>
          <cell r="K1068">
            <v>17.5</v>
          </cell>
          <cell r="L1068">
            <v>14</v>
          </cell>
          <cell r="M1068" t="e">
            <v>#N/A</v>
          </cell>
          <cell r="N1068">
            <v>16.5</v>
          </cell>
          <cell r="O1068" t="e">
            <v>#N/A</v>
          </cell>
          <cell r="P1068" t="str">
            <v/>
          </cell>
          <cell r="Q1068" t="str">
            <v/>
          </cell>
          <cell r="R1068">
            <v>16.5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-13.906756756756849</v>
          </cell>
          <cell r="F1069">
            <v>20.552702702703034</v>
          </cell>
          <cell r="G1069">
            <v>13.660810810810874</v>
          </cell>
          <cell r="H1069">
            <v>13.660810810810874</v>
          </cell>
          <cell r="I1069" t="e">
            <v>#N/A</v>
          </cell>
          <cell r="J1069" t="e">
            <v>#N/A</v>
          </cell>
          <cell r="K1069">
            <v>17.5</v>
          </cell>
          <cell r="L1069">
            <v>14</v>
          </cell>
          <cell r="M1069" t="e">
            <v>#N/A</v>
          </cell>
          <cell r="N1069">
            <v>16.5</v>
          </cell>
          <cell r="O1069" t="e">
            <v>#N/A</v>
          </cell>
          <cell r="P1069" t="str">
            <v/>
          </cell>
          <cell r="Q1069" t="str">
            <v/>
          </cell>
          <cell r="R1069">
            <v>16.5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-13.962162162162254</v>
          </cell>
          <cell r="F1070">
            <v>20.564864864865196</v>
          </cell>
          <cell r="G1070">
            <v>13.659459459459523</v>
          </cell>
          <cell r="H1070">
            <v>13.659459459459523</v>
          </cell>
          <cell r="I1070" t="e">
            <v>#N/A</v>
          </cell>
          <cell r="J1070" t="e">
            <v>#N/A</v>
          </cell>
          <cell r="K1070">
            <v>17.5</v>
          </cell>
          <cell r="L1070">
            <v>14</v>
          </cell>
          <cell r="M1070" t="e">
            <v>#N/A</v>
          </cell>
          <cell r="N1070">
            <v>16.5</v>
          </cell>
          <cell r="O1070" t="e">
            <v>#N/A</v>
          </cell>
          <cell r="P1070" t="str">
            <v/>
          </cell>
          <cell r="Q1070" t="str">
            <v/>
          </cell>
          <cell r="R1070">
            <v>16.5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-14.01756756756766</v>
          </cell>
          <cell r="F1071">
            <v>20.577027027027359</v>
          </cell>
          <cell r="G1071">
            <v>13.658108108108172</v>
          </cell>
          <cell r="H1071">
            <v>13.658108108108172</v>
          </cell>
          <cell r="I1071" t="e">
            <v>#N/A</v>
          </cell>
          <cell r="J1071" t="e">
            <v>#N/A</v>
          </cell>
          <cell r="K1071">
            <v>17.5</v>
          </cell>
          <cell r="L1071">
            <v>14</v>
          </cell>
          <cell r="M1071" t="e">
            <v>#N/A</v>
          </cell>
          <cell r="N1071">
            <v>16.5</v>
          </cell>
          <cell r="O1071" t="e">
            <v>#N/A</v>
          </cell>
          <cell r="P1071" t="str">
            <v/>
          </cell>
          <cell r="Q1071" t="str">
            <v/>
          </cell>
          <cell r="R1071">
            <v>16.5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-14.072972972973066</v>
          </cell>
          <cell r="F1072">
            <v>20.589189189189522</v>
          </cell>
          <cell r="G1072">
            <v>13.65675675675682</v>
          </cell>
          <cell r="H1072">
            <v>13.65675675675682</v>
          </cell>
          <cell r="I1072" t="e">
            <v>#N/A</v>
          </cell>
          <cell r="J1072" t="e">
            <v>#N/A</v>
          </cell>
          <cell r="K1072">
            <v>17.5</v>
          </cell>
          <cell r="L1072">
            <v>14</v>
          </cell>
          <cell r="M1072" t="e">
            <v>#N/A</v>
          </cell>
          <cell r="N1072">
            <v>16.5</v>
          </cell>
          <cell r="O1072" t="e">
            <v>#N/A</v>
          </cell>
          <cell r="P1072" t="str">
            <v/>
          </cell>
          <cell r="Q1072" t="str">
            <v/>
          </cell>
          <cell r="R1072">
            <v>16.5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-14.128378378378471</v>
          </cell>
          <cell r="F1073">
            <v>20.601351351351685</v>
          </cell>
          <cell r="G1073">
            <v>13.655405405405469</v>
          </cell>
          <cell r="H1073">
            <v>13.655405405405469</v>
          </cell>
          <cell r="I1073" t="e">
            <v>#N/A</v>
          </cell>
          <cell r="J1073" t="e">
            <v>#N/A</v>
          </cell>
          <cell r="K1073">
            <v>17.5</v>
          </cell>
          <cell r="L1073">
            <v>14</v>
          </cell>
          <cell r="M1073" t="e">
            <v>#N/A</v>
          </cell>
          <cell r="N1073">
            <v>16.5</v>
          </cell>
          <cell r="O1073" t="e">
            <v>#N/A</v>
          </cell>
          <cell r="P1073" t="str">
            <v/>
          </cell>
          <cell r="Q1073" t="str">
            <v/>
          </cell>
          <cell r="R1073">
            <v>16.5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-14.183783783783877</v>
          </cell>
          <cell r="F1074">
            <v>20.613513513513848</v>
          </cell>
          <cell r="G1074">
            <v>13.654054054054118</v>
          </cell>
          <cell r="H1074">
            <v>13.654054054054118</v>
          </cell>
          <cell r="I1074" t="e">
            <v>#N/A</v>
          </cell>
          <cell r="J1074" t="e">
            <v>#N/A</v>
          </cell>
          <cell r="K1074">
            <v>17.5</v>
          </cell>
          <cell r="L1074">
            <v>14</v>
          </cell>
          <cell r="M1074" t="e">
            <v>#N/A</v>
          </cell>
          <cell r="N1074">
            <v>16.5</v>
          </cell>
          <cell r="O1074" t="e">
            <v>#N/A</v>
          </cell>
          <cell r="P1074" t="str">
            <v/>
          </cell>
          <cell r="Q1074" t="str">
            <v/>
          </cell>
          <cell r="R1074">
            <v>16.5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-14.239189189189283</v>
          </cell>
          <cell r="F1075">
            <v>20.62567567567601</v>
          </cell>
          <cell r="G1075">
            <v>13.652702702702767</v>
          </cell>
          <cell r="H1075">
            <v>13.652702702702767</v>
          </cell>
          <cell r="I1075" t="e">
            <v>#N/A</v>
          </cell>
          <cell r="J1075" t="e">
            <v>#N/A</v>
          </cell>
          <cell r="K1075">
            <v>17.5</v>
          </cell>
          <cell r="L1075">
            <v>14</v>
          </cell>
          <cell r="M1075" t="e">
            <v>#N/A</v>
          </cell>
          <cell r="N1075">
            <v>16.5</v>
          </cell>
          <cell r="O1075" t="e">
            <v>#N/A</v>
          </cell>
          <cell r="P1075" t="str">
            <v/>
          </cell>
          <cell r="Q1075" t="str">
            <v/>
          </cell>
          <cell r="R1075">
            <v>16.5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-14.294594594594688</v>
          </cell>
          <cell r="F1076">
            <v>20.637837837838173</v>
          </cell>
          <cell r="G1076">
            <v>13.651351351351416</v>
          </cell>
          <cell r="H1076">
            <v>13.651351351351416</v>
          </cell>
          <cell r="I1076" t="e">
            <v>#N/A</v>
          </cell>
          <cell r="J1076" t="e">
            <v>#N/A</v>
          </cell>
          <cell r="K1076">
            <v>17.5</v>
          </cell>
          <cell r="L1076">
            <v>14</v>
          </cell>
          <cell r="M1076" t="e">
            <v>#N/A</v>
          </cell>
          <cell r="N1076">
            <v>16.5</v>
          </cell>
          <cell r="O1076" t="e">
            <v>#N/A</v>
          </cell>
          <cell r="P1076" t="str">
            <v/>
          </cell>
          <cell r="Q1076" t="str">
            <v/>
          </cell>
          <cell r="R1076">
            <v>16.5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-14.350000000000094</v>
          </cell>
          <cell r="F1077">
            <v>20.650000000000336</v>
          </cell>
          <cell r="G1077">
            <v>13.650000000000064</v>
          </cell>
          <cell r="H1077">
            <v>13.650000000000064</v>
          </cell>
          <cell r="I1077" t="e">
            <v>#N/A</v>
          </cell>
          <cell r="J1077" t="e">
            <v>#N/A</v>
          </cell>
          <cell r="K1077">
            <v>17.5</v>
          </cell>
          <cell r="L1077">
            <v>14</v>
          </cell>
          <cell r="M1077" t="e">
            <v>#N/A</v>
          </cell>
          <cell r="N1077">
            <v>16.5</v>
          </cell>
          <cell r="O1077" t="e">
            <v>#N/A</v>
          </cell>
          <cell r="P1077" t="str">
            <v/>
          </cell>
          <cell r="Q1077" t="str">
            <v/>
          </cell>
          <cell r="R1077">
            <v>16.5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-14.405405405405499</v>
          </cell>
          <cell r="F1078">
            <v>20.662162162162499</v>
          </cell>
          <cell r="G1078">
            <v>13.648648648648713</v>
          </cell>
          <cell r="H1078">
            <v>13.648648648648713</v>
          </cell>
          <cell r="I1078" t="e">
            <v>#N/A</v>
          </cell>
          <cell r="J1078" t="e">
            <v>#N/A</v>
          </cell>
          <cell r="K1078">
            <v>17.5</v>
          </cell>
          <cell r="L1078">
            <v>14</v>
          </cell>
          <cell r="M1078" t="e">
            <v>#N/A</v>
          </cell>
          <cell r="N1078">
            <v>16.5</v>
          </cell>
          <cell r="O1078" t="e">
            <v>#N/A</v>
          </cell>
          <cell r="P1078" t="str">
            <v/>
          </cell>
          <cell r="Q1078" t="str">
            <v/>
          </cell>
          <cell r="R1078">
            <v>16.5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-14.460810810810905</v>
          </cell>
          <cell r="F1079">
            <v>20.674324324324662</v>
          </cell>
          <cell r="G1079">
            <v>13.647297297297362</v>
          </cell>
          <cell r="H1079">
            <v>13.647297297297362</v>
          </cell>
          <cell r="I1079" t="e">
            <v>#N/A</v>
          </cell>
          <cell r="J1079" t="e">
            <v>#N/A</v>
          </cell>
          <cell r="K1079">
            <v>17.5</v>
          </cell>
          <cell r="L1079">
            <v>14</v>
          </cell>
          <cell r="M1079" t="e">
            <v>#N/A</v>
          </cell>
          <cell r="N1079">
            <v>16.5</v>
          </cell>
          <cell r="O1079" t="e">
            <v>#N/A</v>
          </cell>
          <cell r="P1079" t="str">
            <v/>
          </cell>
          <cell r="Q1079" t="str">
            <v/>
          </cell>
          <cell r="R1079">
            <v>16.5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-14.516216216216311</v>
          </cell>
          <cell r="F1080">
            <v>20.686486486486825</v>
          </cell>
          <cell r="G1080">
            <v>13.645945945946011</v>
          </cell>
          <cell r="H1080">
            <v>13.645945945946011</v>
          </cell>
          <cell r="I1080" t="e">
            <v>#N/A</v>
          </cell>
          <cell r="J1080" t="e">
            <v>#N/A</v>
          </cell>
          <cell r="K1080">
            <v>17.5</v>
          </cell>
          <cell r="L1080">
            <v>14</v>
          </cell>
          <cell r="M1080" t="e">
            <v>#N/A</v>
          </cell>
          <cell r="N1080">
            <v>16.5</v>
          </cell>
          <cell r="O1080" t="e">
            <v>#N/A</v>
          </cell>
          <cell r="P1080" t="str">
            <v/>
          </cell>
          <cell r="Q1080" t="str">
            <v/>
          </cell>
          <cell r="R1080">
            <v>16.5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-14.571621621621716</v>
          </cell>
          <cell r="F1081">
            <v>20.698648648648987</v>
          </cell>
          <cell r="G1081">
            <v>13.644594594594659</v>
          </cell>
          <cell r="H1081">
            <v>13.644594594594659</v>
          </cell>
          <cell r="I1081" t="e">
            <v>#N/A</v>
          </cell>
          <cell r="J1081" t="e">
            <v>#N/A</v>
          </cell>
          <cell r="K1081">
            <v>17.5</v>
          </cell>
          <cell r="L1081">
            <v>14</v>
          </cell>
          <cell r="M1081" t="e">
            <v>#N/A</v>
          </cell>
          <cell r="N1081">
            <v>16.5</v>
          </cell>
          <cell r="O1081" t="e">
            <v>#N/A</v>
          </cell>
          <cell r="P1081" t="str">
            <v/>
          </cell>
          <cell r="Q1081" t="str">
            <v/>
          </cell>
          <cell r="R1081">
            <v>16.5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-14.627027027027122</v>
          </cell>
          <cell r="F1082">
            <v>20.71081081081115</v>
          </cell>
          <cell r="G1082">
            <v>13.643243243243308</v>
          </cell>
          <cell r="H1082">
            <v>13.643243243243308</v>
          </cell>
          <cell r="I1082" t="e">
            <v>#N/A</v>
          </cell>
          <cell r="J1082" t="e">
            <v>#N/A</v>
          </cell>
          <cell r="K1082">
            <v>17.5</v>
          </cell>
          <cell r="L1082">
            <v>14</v>
          </cell>
          <cell r="M1082" t="e">
            <v>#N/A</v>
          </cell>
          <cell r="N1082">
            <v>16.5</v>
          </cell>
          <cell r="O1082" t="e">
            <v>#N/A</v>
          </cell>
          <cell r="P1082" t="str">
            <v/>
          </cell>
          <cell r="Q1082" t="str">
            <v/>
          </cell>
          <cell r="R1082">
            <v>16.5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-14.682432432432527</v>
          </cell>
          <cell r="F1083">
            <v>20.722972972973313</v>
          </cell>
          <cell r="G1083">
            <v>13.641891891891957</v>
          </cell>
          <cell r="H1083">
            <v>13.641891891891957</v>
          </cell>
          <cell r="I1083" t="e">
            <v>#N/A</v>
          </cell>
          <cell r="J1083" t="e">
            <v>#N/A</v>
          </cell>
          <cell r="K1083">
            <v>17.5</v>
          </cell>
          <cell r="L1083">
            <v>14</v>
          </cell>
          <cell r="M1083" t="e">
            <v>#N/A</v>
          </cell>
          <cell r="N1083">
            <v>16.5</v>
          </cell>
          <cell r="O1083" t="e">
            <v>#N/A</v>
          </cell>
          <cell r="P1083" t="str">
            <v/>
          </cell>
          <cell r="Q1083" t="str">
            <v/>
          </cell>
          <cell r="R1083">
            <v>16.5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-14.737837837837933</v>
          </cell>
          <cell r="F1084">
            <v>20.735135135135476</v>
          </cell>
          <cell r="G1084">
            <v>13.640540540540606</v>
          </cell>
          <cell r="H1084">
            <v>13.640540540540606</v>
          </cell>
          <cell r="I1084" t="e">
            <v>#N/A</v>
          </cell>
          <cell r="J1084" t="e">
            <v>#N/A</v>
          </cell>
          <cell r="K1084">
            <v>17.5</v>
          </cell>
          <cell r="L1084">
            <v>14</v>
          </cell>
          <cell r="M1084" t="e">
            <v>#N/A</v>
          </cell>
          <cell r="N1084">
            <v>16.5</v>
          </cell>
          <cell r="O1084" t="e">
            <v>#N/A</v>
          </cell>
          <cell r="P1084" t="str">
            <v/>
          </cell>
          <cell r="Q1084" t="str">
            <v/>
          </cell>
          <cell r="R1084">
            <v>16.5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-14.793243243243339</v>
          </cell>
          <cell r="F1085">
            <v>20.747297297297639</v>
          </cell>
          <cell r="G1085">
            <v>13.639189189189254</v>
          </cell>
          <cell r="H1085">
            <v>13.639189189189254</v>
          </cell>
          <cell r="I1085" t="e">
            <v>#N/A</v>
          </cell>
          <cell r="J1085" t="e">
            <v>#N/A</v>
          </cell>
          <cell r="K1085">
            <v>17.5</v>
          </cell>
          <cell r="L1085">
            <v>14</v>
          </cell>
          <cell r="M1085" t="e">
            <v>#N/A</v>
          </cell>
          <cell r="N1085">
            <v>16.5</v>
          </cell>
          <cell r="O1085" t="e">
            <v>#N/A</v>
          </cell>
          <cell r="P1085" t="str">
            <v/>
          </cell>
          <cell r="Q1085" t="str">
            <v/>
          </cell>
          <cell r="R1085">
            <v>16.5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-14.848648648648744</v>
          </cell>
          <cell r="F1086">
            <v>20.759459459459801</v>
          </cell>
          <cell r="G1086">
            <v>13.637837837837903</v>
          </cell>
          <cell r="H1086">
            <v>13.637837837837903</v>
          </cell>
          <cell r="I1086" t="e">
            <v>#N/A</v>
          </cell>
          <cell r="J1086" t="e">
            <v>#N/A</v>
          </cell>
          <cell r="K1086">
            <v>17.5</v>
          </cell>
          <cell r="L1086">
            <v>14</v>
          </cell>
          <cell r="M1086" t="e">
            <v>#N/A</v>
          </cell>
          <cell r="N1086">
            <v>16.5</v>
          </cell>
          <cell r="O1086" t="e">
            <v>#N/A</v>
          </cell>
          <cell r="P1086" t="str">
            <v/>
          </cell>
          <cell r="Q1086" t="str">
            <v/>
          </cell>
          <cell r="R1086">
            <v>16.5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-14.90405405405415</v>
          </cell>
          <cell r="F1087">
            <v>20.771621621621964</v>
          </cell>
          <cell r="G1087">
            <v>13.636486486486552</v>
          </cell>
          <cell r="H1087">
            <v>13.636486486486552</v>
          </cell>
          <cell r="I1087" t="e">
            <v>#N/A</v>
          </cell>
          <cell r="J1087" t="e">
            <v>#N/A</v>
          </cell>
          <cell r="K1087">
            <v>17.5</v>
          </cell>
          <cell r="L1087">
            <v>14</v>
          </cell>
          <cell r="M1087" t="e">
            <v>#N/A</v>
          </cell>
          <cell r="N1087">
            <v>16.5</v>
          </cell>
          <cell r="O1087" t="e">
            <v>#N/A</v>
          </cell>
          <cell r="P1087" t="str">
            <v/>
          </cell>
          <cell r="Q1087" t="str">
            <v/>
          </cell>
          <cell r="R1087">
            <v>16.5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-14.959459459459556</v>
          </cell>
          <cell r="F1088">
            <v>20.783783783784127</v>
          </cell>
          <cell r="G1088">
            <v>13.635135135135201</v>
          </cell>
          <cell r="H1088">
            <v>13.635135135135201</v>
          </cell>
          <cell r="I1088" t="e">
            <v>#N/A</v>
          </cell>
          <cell r="J1088" t="e">
            <v>#N/A</v>
          </cell>
          <cell r="K1088">
            <v>17.5</v>
          </cell>
          <cell r="L1088">
            <v>14</v>
          </cell>
          <cell r="M1088" t="e">
            <v>#N/A</v>
          </cell>
          <cell r="N1088">
            <v>16.5</v>
          </cell>
          <cell r="O1088" t="e">
            <v>#N/A</v>
          </cell>
          <cell r="P1088" t="str">
            <v/>
          </cell>
          <cell r="Q1088" t="str">
            <v/>
          </cell>
          <cell r="R1088">
            <v>16.5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-15.014864864864961</v>
          </cell>
          <cell r="F1089">
            <v>20.79594594594629</v>
          </cell>
          <cell r="G1089">
            <v>13.63378378378385</v>
          </cell>
          <cell r="H1089">
            <v>13.63378378378385</v>
          </cell>
          <cell r="I1089" t="e">
            <v>#N/A</v>
          </cell>
          <cell r="J1089" t="e">
            <v>#N/A</v>
          </cell>
          <cell r="K1089">
            <v>17.5</v>
          </cell>
          <cell r="L1089">
            <v>14</v>
          </cell>
          <cell r="M1089" t="e">
            <v>#N/A</v>
          </cell>
          <cell r="N1089">
            <v>16.5</v>
          </cell>
          <cell r="O1089" t="e">
            <v>#N/A</v>
          </cell>
          <cell r="P1089" t="str">
            <v/>
          </cell>
          <cell r="Q1089" t="str">
            <v/>
          </cell>
          <cell r="R1089">
            <v>16.5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-15.070270270270367</v>
          </cell>
          <cell r="F1090">
            <v>20.808108108108453</v>
          </cell>
          <cell r="G1090">
            <v>13.632432432432498</v>
          </cell>
          <cell r="H1090">
            <v>13.632432432432498</v>
          </cell>
          <cell r="I1090" t="e">
            <v>#N/A</v>
          </cell>
          <cell r="J1090" t="e">
            <v>#N/A</v>
          </cell>
          <cell r="K1090">
            <v>17.5</v>
          </cell>
          <cell r="L1090">
            <v>14</v>
          </cell>
          <cell r="M1090" t="e">
            <v>#N/A</v>
          </cell>
          <cell r="N1090">
            <v>16.5</v>
          </cell>
          <cell r="O1090" t="e">
            <v>#N/A</v>
          </cell>
          <cell r="P1090" t="str">
            <v/>
          </cell>
          <cell r="Q1090" t="str">
            <v/>
          </cell>
          <cell r="R1090">
            <v>16.5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-15.125675675675772</v>
          </cell>
          <cell r="F1091">
            <v>20.820270270270615</v>
          </cell>
          <cell r="G1091">
            <v>13.631081081081147</v>
          </cell>
          <cell r="H1091">
            <v>13.631081081081147</v>
          </cell>
          <cell r="I1091" t="e">
            <v>#N/A</v>
          </cell>
          <cell r="J1091" t="e">
            <v>#N/A</v>
          </cell>
          <cell r="K1091">
            <v>17.5</v>
          </cell>
          <cell r="L1091">
            <v>14</v>
          </cell>
          <cell r="M1091" t="e">
            <v>#N/A</v>
          </cell>
          <cell r="N1091">
            <v>16.5</v>
          </cell>
          <cell r="O1091" t="e">
            <v>#N/A</v>
          </cell>
          <cell r="P1091" t="str">
            <v/>
          </cell>
          <cell r="Q1091" t="str">
            <v/>
          </cell>
          <cell r="R1091">
            <v>16.5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-15.181081081081178</v>
          </cell>
          <cell r="F1092">
            <v>20.832432432432778</v>
          </cell>
          <cell r="G1092">
            <v>13.629729729729796</v>
          </cell>
          <cell r="H1092">
            <v>13.629729729729796</v>
          </cell>
          <cell r="I1092" t="e">
            <v>#N/A</v>
          </cell>
          <cell r="J1092" t="e">
            <v>#N/A</v>
          </cell>
          <cell r="K1092">
            <v>17.5</v>
          </cell>
          <cell r="L1092">
            <v>14</v>
          </cell>
          <cell r="M1092" t="e">
            <v>#N/A</v>
          </cell>
          <cell r="N1092">
            <v>16.5</v>
          </cell>
          <cell r="O1092" t="e">
            <v>#N/A</v>
          </cell>
          <cell r="P1092" t="str">
            <v/>
          </cell>
          <cell r="Q1092" t="str">
            <v/>
          </cell>
          <cell r="R1092">
            <v>16.5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-15.236486486486584</v>
          </cell>
          <cell r="F1093">
            <v>20.844594594594941</v>
          </cell>
          <cell r="G1093">
            <v>13.628378378378445</v>
          </cell>
          <cell r="H1093">
            <v>13.628378378378445</v>
          </cell>
          <cell r="I1093" t="e">
            <v>#N/A</v>
          </cell>
          <cell r="J1093" t="e">
            <v>#N/A</v>
          </cell>
          <cell r="K1093">
            <v>17.5</v>
          </cell>
          <cell r="L1093">
            <v>14</v>
          </cell>
          <cell r="M1093" t="e">
            <v>#N/A</v>
          </cell>
          <cell r="N1093">
            <v>16.5</v>
          </cell>
          <cell r="O1093" t="e">
            <v>#N/A</v>
          </cell>
          <cell r="P1093" t="str">
            <v/>
          </cell>
          <cell r="Q1093" t="str">
            <v/>
          </cell>
          <cell r="R1093">
            <v>16.5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-15.291891891891989</v>
          </cell>
          <cell r="F1094">
            <v>20.856756756757104</v>
          </cell>
          <cell r="G1094">
            <v>13.627027027027093</v>
          </cell>
          <cell r="H1094">
            <v>13.627027027027093</v>
          </cell>
          <cell r="I1094" t="e">
            <v>#N/A</v>
          </cell>
          <cell r="J1094" t="e">
            <v>#N/A</v>
          </cell>
          <cell r="K1094">
            <v>17.5</v>
          </cell>
          <cell r="L1094">
            <v>14</v>
          </cell>
          <cell r="M1094" t="e">
            <v>#N/A</v>
          </cell>
          <cell r="N1094">
            <v>16.5</v>
          </cell>
          <cell r="O1094" t="e">
            <v>#N/A</v>
          </cell>
          <cell r="P1094" t="str">
            <v/>
          </cell>
          <cell r="Q1094" t="str">
            <v/>
          </cell>
          <cell r="R1094">
            <v>16.5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-15.347297297297395</v>
          </cell>
          <cell r="F1095">
            <v>20.868918918919267</v>
          </cell>
          <cell r="G1095">
            <v>13.625675675675742</v>
          </cell>
          <cell r="H1095">
            <v>13.625675675675742</v>
          </cell>
          <cell r="I1095" t="e">
            <v>#N/A</v>
          </cell>
          <cell r="J1095" t="e">
            <v>#N/A</v>
          </cell>
          <cell r="K1095">
            <v>17.5</v>
          </cell>
          <cell r="L1095">
            <v>14</v>
          </cell>
          <cell r="M1095" t="e">
            <v>#N/A</v>
          </cell>
          <cell r="N1095">
            <v>16.5</v>
          </cell>
          <cell r="O1095" t="e">
            <v>#N/A</v>
          </cell>
          <cell r="P1095" t="str">
            <v/>
          </cell>
          <cell r="Q1095" t="str">
            <v/>
          </cell>
          <cell r="R1095">
            <v>16.5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-15.402702702702801</v>
          </cell>
          <cell r="F1096">
            <v>20.88108108108143</v>
          </cell>
          <cell r="G1096">
            <v>13.624324324324391</v>
          </cell>
          <cell r="H1096">
            <v>13.624324324324391</v>
          </cell>
          <cell r="I1096" t="e">
            <v>#N/A</v>
          </cell>
          <cell r="J1096" t="e">
            <v>#N/A</v>
          </cell>
          <cell r="K1096">
            <v>17.5</v>
          </cell>
          <cell r="L1096">
            <v>14</v>
          </cell>
          <cell r="M1096" t="e">
            <v>#N/A</v>
          </cell>
          <cell r="N1096">
            <v>16.5</v>
          </cell>
          <cell r="O1096" t="e">
            <v>#N/A</v>
          </cell>
          <cell r="P1096" t="str">
            <v/>
          </cell>
          <cell r="Q1096" t="str">
            <v/>
          </cell>
          <cell r="R1096">
            <v>16.5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-15.458108108108206</v>
          </cell>
          <cell r="F1097">
            <v>20.893243243243592</v>
          </cell>
          <cell r="G1097">
            <v>13.62297297297304</v>
          </cell>
          <cell r="H1097">
            <v>13.62297297297304</v>
          </cell>
          <cell r="I1097" t="e">
            <v>#N/A</v>
          </cell>
          <cell r="J1097" t="e">
            <v>#N/A</v>
          </cell>
          <cell r="K1097">
            <v>17.5</v>
          </cell>
          <cell r="L1097">
            <v>14</v>
          </cell>
          <cell r="M1097" t="e">
            <v>#N/A</v>
          </cell>
          <cell r="N1097">
            <v>16.5</v>
          </cell>
          <cell r="O1097" t="e">
            <v>#N/A</v>
          </cell>
          <cell r="P1097" t="str">
            <v/>
          </cell>
          <cell r="Q1097" t="str">
            <v/>
          </cell>
          <cell r="R1097">
            <v>16.5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-15.513513513513612</v>
          </cell>
          <cell r="F1098">
            <v>20.905405405405755</v>
          </cell>
          <cell r="G1098">
            <v>13.621621621621689</v>
          </cell>
          <cell r="H1098">
            <v>13.621621621621689</v>
          </cell>
          <cell r="I1098" t="e">
            <v>#N/A</v>
          </cell>
          <cell r="J1098" t="e">
            <v>#N/A</v>
          </cell>
          <cell r="K1098">
            <v>17.5</v>
          </cell>
          <cell r="L1098">
            <v>14</v>
          </cell>
          <cell r="M1098" t="e">
            <v>#N/A</v>
          </cell>
          <cell r="N1098">
            <v>16.5</v>
          </cell>
          <cell r="O1098" t="e">
            <v>#N/A</v>
          </cell>
          <cell r="P1098" t="str">
            <v/>
          </cell>
          <cell r="Q1098" t="str">
            <v/>
          </cell>
          <cell r="R1098">
            <v>16.5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-15.568918918919017</v>
          </cell>
          <cell r="F1099">
            <v>20.917567567567918</v>
          </cell>
          <cell r="G1099">
            <v>13.620270270270337</v>
          </cell>
          <cell r="H1099">
            <v>13.620270270270337</v>
          </cell>
          <cell r="I1099" t="e">
            <v>#N/A</v>
          </cell>
          <cell r="J1099" t="e">
            <v>#N/A</v>
          </cell>
          <cell r="K1099">
            <v>17.5</v>
          </cell>
          <cell r="L1099">
            <v>14</v>
          </cell>
          <cell r="M1099" t="e">
            <v>#N/A</v>
          </cell>
          <cell r="N1099">
            <v>16.5</v>
          </cell>
          <cell r="O1099" t="e">
            <v>#N/A</v>
          </cell>
          <cell r="P1099" t="str">
            <v/>
          </cell>
          <cell r="Q1099" t="str">
            <v/>
          </cell>
          <cell r="R1099">
            <v>16.5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-15.624324324324423</v>
          </cell>
          <cell r="F1100">
            <v>20.929729729730081</v>
          </cell>
          <cell r="G1100">
            <v>13.618918918918986</v>
          </cell>
          <cell r="H1100">
            <v>13.618918918918986</v>
          </cell>
          <cell r="I1100" t="e">
            <v>#N/A</v>
          </cell>
          <cell r="J1100" t="e">
            <v>#N/A</v>
          </cell>
          <cell r="K1100">
            <v>17.5</v>
          </cell>
          <cell r="L1100">
            <v>14</v>
          </cell>
          <cell r="M1100" t="e">
            <v>#N/A</v>
          </cell>
          <cell r="N1100">
            <v>16.5</v>
          </cell>
          <cell r="O1100" t="e">
            <v>#N/A</v>
          </cell>
          <cell r="P1100" t="str">
            <v/>
          </cell>
          <cell r="Q1100" t="str">
            <v/>
          </cell>
          <cell r="R1100">
            <v>16.5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-15.679729729729829</v>
          </cell>
          <cell r="F1101">
            <v>20.941891891892244</v>
          </cell>
          <cell r="G1101">
            <v>13.617567567567635</v>
          </cell>
          <cell r="H1101">
            <v>13.617567567567635</v>
          </cell>
          <cell r="I1101" t="e">
            <v>#N/A</v>
          </cell>
          <cell r="J1101" t="e">
            <v>#N/A</v>
          </cell>
          <cell r="K1101">
            <v>17.5</v>
          </cell>
          <cell r="L1101">
            <v>14</v>
          </cell>
          <cell r="M1101" t="e">
            <v>#N/A</v>
          </cell>
          <cell r="N1101">
            <v>16.5</v>
          </cell>
          <cell r="O1101" t="e">
            <v>#N/A</v>
          </cell>
          <cell r="P1101" t="str">
            <v/>
          </cell>
          <cell r="Q1101" t="str">
            <v/>
          </cell>
          <cell r="R1101">
            <v>16.5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-15.735135135135234</v>
          </cell>
          <cell r="F1102">
            <v>20.954054054054406</v>
          </cell>
          <cell r="G1102">
            <v>13.616216216216284</v>
          </cell>
          <cell r="H1102">
            <v>13.616216216216284</v>
          </cell>
          <cell r="I1102" t="e">
            <v>#N/A</v>
          </cell>
          <cell r="J1102" t="e">
            <v>#N/A</v>
          </cell>
          <cell r="K1102">
            <v>17.5</v>
          </cell>
          <cell r="L1102">
            <v>14</v>
          </cell>
          <cell r="M1102" t="e">
            <v>#N/A</v>
          </cell>
          <cell r="N1102">
            <v>16.5</v>
          </cell>
          <cell r="O1102" t="e">
            <v>#N/A</v>
          </cell>
          <cell r="P1102" t="str">
            <v/>
          </cell>
          <cell r="Q1102" t="str">
            <v/>
          </cell>
          <cell r="R1102">
            <v>16.5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-15.79054054054064</v>
          </cell>
          <cell r="F1103">
            <v>20.966216216216569</v>
          </cell>
          <cell r="G1103">
            <v>13.614864864864932</v>
          </cell>
          <cell r="H1103">
            <v>13.614864864864932</v>
          </cell>
          <cell r="I1103" t="e">
            <v>#N/A</v>
          </cell>
          <cell r="J1103" t="e">
            <v>#N/A</v>
          </cell>
          <cell r="K1103">
            <v>17.5</v>
          </cell>
          <cell r="L1103">
            <v>14</v>
          </cell>
          <cell r="M1103" t="e">
            <v>#N/A</v>
          </cell>
          <cell r="N1103">
            <v>16.5</v>
          </cell>
          <cell r="O1103" t="e">
            <v>#N/A</v>
          </cell>
          <cell r="P1103" t="str">
            <v/>
          </cell>
          <cell r="Q1103" t="str">
            <v/>
          </cell>
          <cell r="R1103">
            <v>16.5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-15.845945945946045</v>
          </cell>
          <cell r="F1104">
            <v>20.978378378378732</v>
          </cell>
          <cell r="G1104">
            <v>13.613513513513581</v>
          </cell>
          <cell r="H1104">
            <v>13.613513513513581</v>
          </cell>
          <cell r="I1104" t="e">
            <v>#N/A</v>
          </cell>
          <cell r="J1104" t="e">
            <v>#N/A</v>
          </cell>
          <cell r="K1104">
            <v>17.5</v>
          </cell>
          <cell r="L1104">
            <v>14</v>
          </cell>
          <cell r="M1104" t="e">
            <v>#N/A</v>
          </cell>
          <cell r="N1104">
            <v>16.5</v>
          </cell>
          <cell r="O1104" t="e">
            <v>#N/A</v>
          </cell>
          <cell r="P1104" t="str">
            <v/>
          </cell>
          <cell r="Q1104" t="str">
            <v/>
          </cell>
          <cell r="R1104">
            <v>16.5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-15.901351351351451</v>
          </cell>
          <cell r="F1105">
            <v>20.990540540540895</v>
          </cell>
          <cell r="G1105">
            <v>13.61216216216223</v>
          </cell>
          <cell r="H1105">
            <v>13.61216216216223</v>
          </cell>
          <cell r="I1105" t="e">
            <v>#N/A</v>
          </cell>
          <cell r="J1105" t="e">
            <v>#N/A</v>
          </cell>
          <cell r="K1105">
            <v>17.5</v>
          </cell>
          <cell r="L1105">
            <v>14</v>
          </cell>
          <cell r="M1105" t="e">
            <v>#N/A</v>
          </cell>
          <cell r="N1105">
            <v>16.5</v>
          </cell>
          <cell r="O1105" t="e">
            <v>#N/A</v>
          </cell>
          <cell r="P1105" t="str">
            <v/>
          </cell>
          <cell r="Q1105" t="str">
            <v/>
          </cell>
          <cell r="R1105">
            <v>16.5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-15.956756756756857</v>
          </cell>
          <cell r="F1106">
            <v>21.002702702703058</v>
          </cell>
          <cell r="G1106">
            <v>13.610810810810879</v>
          </cell>
          <cell r="H1106">
            <v>13.610810810810879</v>
          </cell>
          <cell r="I1106" t="e">
            <v>#N/A</v>
          </cell>
          <cell r="J1106" t="e">
            <v>#N/A</v>
          </cell>
          <cell r="K1106">
            <v>17.5</v>
          </cell>
          <cell r="L1106">
            <v>14</v>
          </cell>
          <cell r="M1106" t="e">
            <v>#N/A</v>
          </cell>
          <cell r="N1106">
            <v>16.5</v>
          </cell>
          <cell r="O1106" t="e">
            <v>#N/A</v>
          </cell>
          <cell r="P1106" t="str">
            <v/>
          </cell>
          <cell r="Q1106" t="str">
            <v/>
          </cell>
          <cell r="R1106">
            <v>16.5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-16.012162162162262</v>
          </cell>
          <cell r="F1107">
            <v>21.014864864865221</v>
          </cell>
          <cell r="G1107">
            <v>13.609459459459528</v>
          </cell>
          <cell r="H1107">
            <v>13.609459459459528</v>
          </cell>
          <cell r="I1107" t="e">
            <v>#N/A</v>
          </cell>
          <cell r="J1107" t="e">
            <v>#N/A</v>
          </cell>
          <cell r="K1107">
            <v>17.5</v>
          </cell>
          <cell r="L1107">
            <v>14</v>
          </cell>
          <cell r="M1107" t="e">
            <v>#N/A</v>
          </cell>
          <cell r="N1107">
            <v>16.5</v>
          </cell>
          <cell r="O1107" t="e">
            <v>#N/A</v>
          </cell>
          <cell r="P1107" t="str">
            <v/>
          </cell>
          <cell r="Q1107" t="str">
            <v/>
          </cell>
          <cell r="R1107">
            <v>16.5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-16.067567567567668</v>
          </cell>
          <cell r="F1108">
            <v>21.027027027027383</v>
          </cell>
          <cell r="G1108">
            <v>13.608108108108176</v>
          </cell>
          <cell r="H1108">
            <v>13.608108108108176</v>
          </cell>
          <cell r="I1108" t="e">
            <v>#N/A</v>
          </cell>
          <cell r="J1108" t="e">
            <v>#N/A</v>
          </cell>
          <cell r="K1108">
            <v>17.5</v>
          </cell>
          <cell r="L1108">
            <v>14</v>
          </cell>
          <cell r="M1108" t="e">
            <v>#N/A</v>
          </cell>
          <cell r="N1108">
            <v>16.5</v>
          </cell>
          <cell r="O1108" t="e">
            <v>#N/A</v>
          </cell>
          <cell r="P1108" t="str">
            <v/>
          </cell>
          <cell r="Q1108" t="str">
            <v/>
          </cell>
          <cell r="R1108">
            <v>16.5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-16.122972972973074</v>
          </cell>
          <cell r="F1109">
            <v>21.039189189189546</v>
          </cell>
          <cell r="G1109">
            <v>13.606756756756825</v>
          </cell>
          <cell r="H1109">
            <v>13.606756756756825</v>
          </cell>
          <cell r="I1109" t="e">
            <v>#N/A</v>
          </cell>
          <cell r="J1109" t="e">
            <v>#N/A</v>
          </cell>
          <cell r="K1109">
            <v>17.5</v>
          </cell>
          <cell r="L1109">
            <v>14</v>
          </cell>
          <cell r="M1109" t="e">
            <v>#N/A</v>
          </cell>
          <cell r="N1109">
            <v>16.5</v>
          </cell>
          <cell r="O1109" t="e">
            <v>#N/A</v>
          </cell>
          <cell r="P1109" t="str">
            <v/>
          </cell>
          <cell r="Q1109" t="str">
            <v/>
          </cell>
          <cell r="R1109">
            <v>16.5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-16.178378378378479</v>
          </cell>
          <cell r="F1110">
            <v>21.051351351351709</v>
          </cell>
          <cell r="G1110">
            <v>13.605405405405474</v>
          </cell>
          <cell r="H1110">
            <v>13.605405405405474</v>
          </cell>
          <cell r="I1110" t="e">
            <v>#N/A</v>
          </cell>
          <cell r="J1110" t="e">
            <v>#N/A</v>
          </cell>
          <cell r="K1110">
            <v>17.5</v>
          </cell>
          <cell r="L1110">
            <v>14</v>
          </cell>
          <cell r="M1110" t="e">
            <v>#N/A</v>
          </cell>
          <cell r="N1110">
            <v>16.5</v>
          </cell>
          <cell r="O1110" t="e">
            <v>#N/A</v>
          </cell>
          <cell r="P1110" t="str">
            <v/>
          </cell>
          <cell r="Q1110" t="str">
            <v/>
          </cell>
          <cell r="R1110">
            <v>16.5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-16.233783783783885</v>
          </cell>
          <cell r="F1111">
            <v>21.063513513513872</v>
          </cell>
          <cell r="G1111">
            <v>13.604054054054123</v>
          </cell>
          <cell r="H1111">
            <v>13.604054054054123</v>
          </cell>
          <cell r="I1111" t="e">
            <v>#N/A</v>
          </cell>
          <cell r="J1111" t="e">
            <v>#N/A</v>
          </cell>
          <cell r="K1111">
            <v>17.5</v>
          </cell>
          <cell r="L1111">
            <v>14</v>
          </cell>
          <cell r="M1111" t="e">
            <v>#N/A</v>
          </cell>
          <cell r="N1111">
            <v>16.5</v>
          </cell>
          <cell r="O1111" t="e">
            <v>#N/A</v>
          </cell>
          <cell r="P1111" t="str">
            <v/>
          </cell>
          <cell r="Q1111" t="str">
            <v/>
          </cell>
          <cell r="R1111">
            <v>16.5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-16.28918918918929</v>
          </cell>
          <cell r="F1112">
            <v>21.075675675676035</v>
          </cell>
          <cell r="G1112">
            <v>13.602702702702771</v>
          </cell>
          <cell r="H1112">
            <v>13.602702702702771</v>
          </cell>
          <cell r="I1112" t="e">
            <v>#N/A</v>
          </cell>
          <cell r="J1112" t="e">
            <v>#N/A</v>
          </cell>
          <cell r="K1112">
            <v>17.5</v>
          </cell>
          <cell r="L1112">
            <v>14</v>
          </cell>
          <cell r="M1112" t="e">
            <v>#N/A</v>
          </cell>
          <cell r="N1112">
            <v>16.5</v>
          </cell>
          <cell r="O1112" t="e">
            <v>#N/A</v>
          </cell>
          <cell r="P1112" t="str">
            <v/>
          </cell>
          <cell r="Q1112" t="str">
            <v/>
          </cell>
          <cell r="R1112">
            <v>16.5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-16.344594594594696</v>
          </cell>
          <cell r="F1113">
            <v>21.087837837838197</v>
          </cell>
          <cell r="G1113">
            <v>13.60135135135142</v>
          </cell>
          <cell r="H1113">
            <v>13.60135135135142</v>
          </cell>
          <cell r="I1113" t="e">
            <v>#N/A</v>
          </cell>
          <cell r="J1113" t="e">
            <v>#N/A</v>
          </cell>
          <cell r="K1113">
            <v>17.5</v>
          </cell>
          <cell r="L1113">
            <v>14</v>
          </cell>
          <cell r="M1113" t="e">
            <v>#N/A</v>
          </cell>
          <cell r="N1113">
            <v>16.5</v>
          </cell>
          <cell r="O1113" t="e">
            <v>#N/A</v>
          </cell>
          <cell r="P1113" t="str">
            <v/>
          </cell>
          <cell r="Q1113" t="str">
            <v/>
          </cell>
          <cell r="R1113">
            <v>16.5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-16.400000000000102</v>
          </cell>
          <cell r="F1114">
            <v>21.10000000000036</v>
          </cell>
          <cell r="G1114">
            <v>13.600000000000069</v>
          </cell>
          <cell r="H1114">
            <v>13.600000000000069</v>
          </cell>
          <cell r="I1114" t="e">
            <v>#N/A</v>
          </cell>
          <cell r="J1114" t="e">
            <v>#N/A</v>
          </cell>
          <cell r="K1114">
            <v>17.5</v>
          </cell>
          <cell r="L1114">
            <v>14</v>
          </cell>
          <cell r="M1114" t="e">
            <v>#N/A</v>
          </cell>
          <cell r="N1114">
            <v>16.5</v>
          </cell>
          <cell r="O1114" t="e">
            <v>#N/A</v>
          </cell>
          <cell r="P1114" t="str">
            <v/>
          </cell>
          <cell r="Q1114" t="str">
            <v/>
          </cell>
          <cell r="R1114">
            <v>16.5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-16.455405405405507</v>
          </cell>
          <cell r="F1115">
            <v>21.112162162162523</v>
          </cell>
          <cell r="G1115">
            <v>13.598648648648718</v>
          </cell>
          <cell r="H1115">
            <v>13.598648648648718</v>
          </cell>
          <cell r="I1115" t="e">
            <v>#N/A</v>
          </cell>
          <cell r="J1115" t="e">
            <v>#N/A</v>
          </cell>
          <cell r="K1115">
            <v>17.5</v>
          </cell>
          <cell r="L1115">
            <v>14</v>
          </cell>
          <cell r="M1115" t="e">
            <v>#N/A</v>
          </cell>
          <cell r="N1115">
            <v>16.5</v>
          </cell>
          <cell r="O1115" t="e">
            <v>#N/A</v>
          </cell>
          <cell r="P1115" t="str">
            <v/>
          </cell>
          <cell r="Q1115" t="str">
            <v/>
          </cell>
          <cell r="R1115">
            <v>16.5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-16.510810810810913</v>
          </cell>
          <cell r="F1116">
            <v>21.124324324324686</v>
          </cell>
          <cell r="G1116">
            <v>13.597297297297366</v>
          </cell>
          <cell r="H1116">
            <v>13.597297297297366</v>
          </cell>
          <cell r="I1116" t="e">
            <v>#N/A</v>
          </cell>
          <cell r="J1116" t="e">
            <v>#N/A</v>
          </cell>
          <cell r="K1116">
            <v>17.5</v>
          </cell>
          <cell r="L1116">
            <v>14</v>
          </cell>
          <cell r="M1116" t="e">
            <v>#N/A</v>
          </cell>
          <cell r="N1116">
            <v>16.5</v>
          </cell>
          <cell r="O1116" t="e">
            <v>#N/A</v>
          </cell>
          <cell r="P1116" t="str">
            <v/>
          </cell>
          <cell r="Q1116" t="str">
            <v/>
          </cell>
          <cell r="R1116">
            <v>16.5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-16.566216216216318</v>
          </cell>
          <cell r="F1117">
            <v>21.136486486486849</v>
          </cell>
          <cell r="G1117">
            <v>13.595945945946015</v>
          </cell>
          <cell r="H1117">
            <v>13.595945945946015</v>
          </cell>
          <cell r="I1117" t="e">
            <v>#N/A</v>
          </cell>
          <cell r="J1117" t="e">
            <v>#N/A</v>
          </cell>
          <cell r="K1117">
            <v>17.5</v>
          </cell>
          <cell r="L1117">
            <v>14</v>
          </cell>
          <cell r="M1117" t="e">
            <v>#N/A</v>
          </cell>
          <cell r="N1117">
            <v>16.5</v>
          </cell>
          <cell r="O1117" t="e">
            <v>#N/A</v>
          </cell>
          <cell r="P1117" t="str">
            <v/>
          </cell>
          <cell r="Q1117" t="str">
            <v/>
          </cell>
          <cell r="R1117">
            <v>16.5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-16.621621621621724</v>
          </cell>
          <cell r="F1118">
            <v>21.148648648649012</v>
          </cell>
          <cell r="G1118">
            <v>13.594594594594664</v>
          </cell>
          <cell r="H1118">
            <v>13.594594594594664</v>
          </cell>
          <cell r="I1118" t="e">
            <v>#N/A</v>
          </cell>
          <cell r="J1118" t="e">
            <v>#N/A</v>
          </cell>
          <cell r="K1118">
            <v>17.5</v>
          </cell>
          <cell r="L1118">
            <v>14</v>
          </cell>
          <cell r="M1118" t="e">
            <v>#N/A</v>
          </cell>
          <cell r="N1118">
            <v>16.5</v>
          </cell>
          <cell r="O1118" t="e">
            <v>#N/A</v>
          </cell>
          <cell r="P1118" t="str">
            <v/>
          </cell>
          <cell r="Q1118" t="str">
            <v/>
          </cell>
          <cell r="R1118">
            <v>16.5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-16.67702702702713</v>
          </cell>
          <cell r="F1119">
            <v>21.160810810811174</v>
          </cell>
          <cell r="G1119">
            <v>13.593243243243313</v>
          </cell>
          <cell r="H1119">
            <v>13.593243243243313</v>
          </cell>
          <cell r="I1119" t="e">
            <v>#N/A</v>
          </cell>
          <cell r="J1119" t="e">
            <v>#N/A</v>
          </cell>
          <cell r="K1119">
            <v>17.5</v>
          </cell>
          <cell r="L1119">
            <v>14</v>
          </cell>
          <cell r="M1119" t="e">
            <v>#N/A</v>
          </cell>
          <cell r="N1119">
            <v>16.5</v>
          </cell>
          <cell r="O1119" t="e">
            <v>#N/A</v>
          </cell>
          <cell r="P1119" t="str">
            <v/>
          </cell>
          <cell r="Q1119" t="str">
            <v/>
          </cell>
          <cell r="R1119">
            <v>16.5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-16.732432432432535</v>
          </cell>
          <cell r="F1120">
            <v>21.172972972973337</v>
          </cell>
          <cell r="G1120">
            <v>13.591891891891962</v>
          </cell>
          <cell r="H1120">
            <v>13.591891891891962</v>
          </cell>
          <cell r="I1120" t="e">
            <v>#N/A</v>
          </cell>
          <cell r="J1120" t="e">
            <v>#N/A</v>
          </cell>
          <cell r="K1120">
            <v>17.5</v>
          </cell>
          <cell r="L1120">
            <v>14</v>
          </cell>
          <cell r="M1120" t="e">
            <v>#N/A</v>
          </cell>
          <cell r="N1120">
            <v>16.5</v>
          </cell>
          <cell r="O1120" t="e">
            <v>#N/A</v>
          </cell>
          <cell r="P1120" t="str">
            <v/>
          </cell>
          <cell r="Q1120" t="str">
            <v/>
          </cell>
          <cell r="R1120">
            <v>16.5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-16.787837837837941</v>
          </cell>
          <cell r="F1121">
            <v>21.1851351351355</v>
          </cell>
          <cell r="G1121">
            <v>13.59054054054061</v>
          </cell>
          <cell r="H1121">
            <v>13.59054054054061</v>
          </cell>
          <cell r="I1121" t="e">
            <v>#N/A</v>
          </cell>
          <cell r="J1121" t="e">
            <v>#N/A</v>
          </cell>
          <cell r="K1121">
            <v>17.5</v>
          </cell>
          <cell r="L1121">
            <v>14</v>
          </cell>
          <cell r="M1121" t="e">
            <v>#N/A</v>
          </cell>
          <cell r="N1121">
            <v>16.5</v>
          </cell>
          <cell r="O1121" t="e">
            <v>#N/A</v>
          </cell>
          <cell r="P1121" t="str">
            <v/>
          </cell>
          <cell r="Q1121" t="str">
            <v/>
          </cell>
          <cell r="R1121">
            <v>16.5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-16.843243243243347</v>
          </cell>
          <cell r="F1122">
            <v>21.197297297297663</v>
          </cell>
          <cell r="G1122">
            <v>13.589189189189259</v>
          </cell>
          <cell r="H1122">
            <v>13.589189189189259</v>
          </cell>
          <cell r="I1122" t="e">
            <v>#N/A</v>
          </cell>
          <cell r="J1122" t="e">
            <v>#N/A</v>
          </cell>
          <cell r="K1122">
            <v>17.5</v>
          </cell>
          <cell r="L1122">
            <v>14</v>
          </cell>
          <cell r="M1122" t="e">
            <v>#N/A</v>
          </cell>
          <cell r="N1122">
            <v>16.5</v>
          </cell>
          <cell r="O1122" t="e">
            <v>#N/A</v>
          </cell>
          <cell r="P1122" t="str">
            <v/>
          </cell>
          <cell r="Q1122" t="str">
            <v/>
          </cell>
          <cell r="R1122">
            <v>16.5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-16.898648648648752</v>
          </cell>
          <cell r="F1123">
            <v>21.209459459459826</v>
          </cell>
          <cell r="G1123">
            <v>13.587837837837908</v>
          </cell>
          <cell r="H1123">
            <v>13.587837837837908</v>
          </cell>
          <cell r="I1123" t="e">
            <v>#N/A</v>
          </cell>
          <cell r="J1123" t="e">
            <v>#N/A</v>
          </cell>
          <cell r="K1123">
            <v>17.5</v>
          </cell>
          <cell r="L1123">
            <v>14</v>
          </cell>
          <cell r="M1123" t="e">
            <v>#N/A</v>
          </cell>
          <cell r="N1123">
            <v>16.5</v>
          </cell>
          <cell r="O1123" t="e">
            <v>#N/A</v>
          </cell>
          <cell r="P1123" t="str">
            <v/>
          </cell>
          <cell r="Q1123" t="str">
            <v/>
          </cell>
          <cell r="R1123">
            <v>16.5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-16.954054054054158</v>
          </cell>
          <cell r="F1124">
            <v>21.221621621621988</v>
          </cell>
          <cell r="G1124">
            <v>13.586486486486557</v>
          </cell>
          <cell r="H1124">
            <v>13.586486486486557</v>
          </cell>
          <cell r="I1124" t="e">
            <v>#N/A</v>
          </cell>
          <cell r="J1124" t="e">
            <v>#N/A</v>
          </cell>
          <cell r="K1124">
            <v>17.5</v>
          </cell>
          <cell r="L1124">
            <v>14</v>
          </cell>
          <cell r="M1124" t="e">
            <v>#N/A</v>
          </cell>
          <cell r="N1124">
            <v>16.5</v>
          </cell>
          <cell r="O1124" t="e">
            <v>#N/A</v>
          </cell>
          <cell r="P1124" t="str">
            <v/>
          </cell>
          <cell r="Q1124" t="str">
            <v/>
          </cell>
          <cell r="R1124">
            <v>16.5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-17.009459459459563</v>
          </cell>
          <cell r="F1125">
            <v>21.233783783784151</v>
          </cell>
          <cell r="G1125">
            <v>13.585135135135205</v>
          </cell>
          <cell r="H1125">
            <v>13.585135135135205</v>
          </cell>
          <cell r="I1125" t="e">
            <v>#N/A</v>
          </cell>
          <cell r="J1125" t="e">
            <v>#N/A</v>
          </cell>
          <cell r="K1125">
            <v>17.5</v>
          </cell>
          <cell r="L1125">
            <v>14</v>
          </cell>
          <cell r="M1125" t="e">
            <v>#N/A</v>
          </cell>
          <cell r="N1125">
            <v>16.5</v>
          </cell>
          <cell r="O1125" t="e">
            <v>#N/A</v>
          </cell>
          <cell r="P1125" t="str">
            <v/>
          </cell>
          <cell r="Q1125" t="str">
            <v/>
          </cell>
          <cell r="R1125">
            <v>16.5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-17.064864864864969</v>
          </cell>
          <cell r="F1126">
            <v>21.245945945946314</v>
          </cell>
          <cell r="G1126">
            <v>13.583783783783854</v>
          </cell>
          <cell r="H1126">
            <v>13.583783783783854</v>
          </cell>
          <cell r="I1126" t="e">
            <v>#N/A</v>
          </cell>
          <cell r="J1126" t="e">
            <v>#N/A</v>
          </cell>
          <cell r="K1126">
            <v>17.5</v>
          </cell>
          <cell r="L1126">
            <v>14</v>
          </cell>
          <cell r="M1126" t="e">
            <v>#N/A</v>
          </cell>
          <cell r="N1126">
            <v>16.5</v>
          </cell>
          <cell r="O1126" t="e">
            <v>#N/A</v>
          </cell>
          <cell r="P1126" t="str">
            <v/>
          </cell>
          <cell r="Q1126" t="str">
            <v/>
          </cell>
          <cell r="R1126">
            <v>16.5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-17.120270270270375</v>
          </cell>
          <cell r="F1127">
            <v>21.258108108108477</v>
          </cell>
          <cell r="G1127">
            <v>13.582432432432503</v>
          </cell>
          <cell r="H1127">
            <v>13.582432432432503</v>
          </cell>
          <cell r="I1127" t="e">
            <v>#N/A</v>
          </cell>
          <cell r="J1127" t="e">
            <v>#N/A</v>
          </cell>
          <cell r="K1127">
            <v>17.5</v>
          </cell>
          <cell r="L1127">
            <v>14</v>
          </cell>
          <cell r="M1127" t="e">
            <v>#N/A</v>
          </cell>
          <cell r="N1127">
            <v>16.5</v>
          </cell>
          <cell r="O1127" t="e">
            <v>#N/A</v>
          </cell>
          <cell r="P1127" t="str">
            <v/>
          </cell>
          <cell r="Q1127" t="str">
            <v/>
          </cell>
          <cell r="R1127">
            <v>16.5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-17.17567567567578</v>
          </cell>
          <cell r="F1128">
            <v>21.27027027027064</v>
          </cell>
          <cell r="G1128">
            <v>13.581081081081152</v>
          </cell>
          <cell r="H1128">
            <v>13.581081081081152</v>
          </cell>
          <cell r="I1128" t="e">
            <v>#N/A</v>
          </cell>
          <cell r="J1128" t="e">
            <v>#N/A</v>
          </cell>
          <cell r="K1128">
            <v>17.5</v>
          </cell>
          <cell r="L1128">
            <v>14</v>
          </cell>
          <cell r="M1128" t="e">
            <v>#N/A</v>
          </cell>
          <cell r="N1128">
            <v>16.5</v>
          </cell>
          <cell r="O1128" t="e">
            <v>#N/A</v>
          </cell>
          <cell r="P1128" t="str">
            <v/>
          </cell>
          <cell r="Q1128" t="str">
            <v/>
          </cell>
          <cell r="R1128">
            <v>16.5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-17.231081081081186</v>
          </cell>
          <cell r="F1129">
            <v>21.282432432432802</v>
          </cell>
          <cell r="G1129">
            <v>13.579729729729801</v>
          </cell>
          <cell r="H1129">
            <v>13.579729729729801</v>
          </cell>
          <cell r="I1129" t="e">
            <v>#N/A</v>
          </cell>
          <cell r="J1129" t="e">
            <v>#N/A</v>
          </cell>
          <cell r="K1129">
            <v>17.5</v>
          </cell>
          <cell r="L1129">
            <v>14</v>
          </cell>
          <cell r="M1129" t="e">
            <v>#N/A</v>
          </cell>
          <cell r="N1129">
            <v>16.5</v>
          </cell>
          <cell r="O1129" t="e">
            <v>#N/A</v>
          </cell>
          <cell r="P1129" t="str">
            <v/>
          </cell>
          <cell r="Q1129" t="str">
            <v/>
          </cell>
          <cell r="R1129">
            <v>16.5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-17.286486486486591</v>
          </cell>
          <cell r="F1130">
            <v>21.294594594594965</v>
          </cell>
          <cell r="G1130">
            <v>13.578378378378449</v>
          </cell>
          <cell r="H1130">
            <v>13.578378378378449</v>
          </cell>
          <cell r="I1130" t="e">
            <v>#N/A</v>
          </cell>
          <cell r="J1130" t="e">
            <v>#N/A</v>
          </cell>
          <cell r="K1130">
            <v>17.5</v>
          </cell>
          <cell r="L1130">
            <v>14</v>
          </cell>
          <cell r="M1130" t="e">
            <v>#N/A</v>
          </cell>
          <cell r="N1130">
            <v>16.5</v>
          </cell>
          <cell r="O1130" t="e">
            <v>#N/A</v>
          </cell>
          <cell r="P1130" t="str">
            <v/>
          </cell>
          <cell r="Q1130" t="str">
            <v/>
          </cell>
          <cell r="R1130">
            <v>16.5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-17.341891891891997</v>
          </cell>
          <cell r="F1131">
            <v>21.306756756757128</v>
          </cell>
          <cell r="G1131">
            <v>13.577027027027098</v>
          </cell>
          <cell r="H1131">
            <v>13.577027027027098</v>
          </cell>
          <cell r="I1131" t="e">
            <v>#N/A</v>
          </cell>
          <cell r="J1131" t="e">
            <v>#N/A</v>
          </cell>
          <cell r="K1131">
            <v>17.5</v>
          </cell>
          <cell r="L1131">
            <v>14</v>
          </cell>
          <cell r="M1131" t="e">
            <v>#N/A</v>
          </cell>
          <cell r="N1131">
            <v>16.5</v>
          </cell>
          <cell r="O1131" t="e">
            <v>#N/A</v>
          </cell>
          <cell r="P1131" t="str">
            <v/>
          </cell>
          <cell r="Q1131" t="str">
            <v/>
          </cell>
          <cell r="R1131">
            <v>16.5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-17.397297297297403</v>
          </cell>
          <cell r="F1132">
            <v>21.318918918919291</v>
          </cell>
          <cell r="G1132">
            <v>13.575675675675747</v>
          </cell>
          <cell r="H1132">
            <v>13.575675675675747</v>
          </cell>
          <cell r="I1132" t="e">
            <v>#N/A</v>
          </cell>
          <cell r="J1132" t="e">
            <v>#N/A</v>
          </cell>
          <cell r="K1132">
            <v>17.5</v>
          </cell>
          <cell r="L1132">
            <v>14</v>
          </cell>
          <cell r="M1132" t="e">
            <v>#N/A</v>
          </cell>
          <cell r="N1132">
            <v>16.5</v>
          </cell>
          <cell r="O1132" t="e">
            <v>#N/A</v>
          </cell>
          <cell r="P1132" t="str">
            <v/>
          </cell>
          <cell r="Q1132" t="str">
            <v/>
          </cell>
          <cell r="R1132">
            <v>16.5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-17.452702702702808</v>
          </cell>
          <cell r="F1133">
            <v>21.331081081081454</v>
          </cell>
          <cell r="G1133">
            <v>13.574324324324396</v>
          </cell>
          <cell r="H1133">
            <v>13.574324324324396</v>
          </cell>
          <cell r="I1133" t="e">
            <v>#N/A</v>
          </cell>
          <cell r="J1133" t="e">
            <v>#N/A</v>
          </cell>
          <cell r="K1133">
            <v>17.5</v>
          </cell>
          <cell r="L1133">
            <v>14</v>
          </cell>
          <cell r="M1133" t="e">
            <v>#N/A</v>
          </cell>
          <cell r="N1133">
            <v>16.5</v>
          </cell>
          <cell r="O1133" t="e">
            <v>#N/A</v>
          </cell>
          <cell r="P1133" t="str">
            <v/>
          </cell>
          <cell r="Q1133" t="str">
            <v/>
          </cell>
          <cell r="R1133">
            <v>16.5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-17.508108108108214</v>
          </cell>
          <cell r="F1134">
            <v>21.343243243243617</v>
          </cell>
          <cell r="G1134">
            <v>13.572972972973044</v>
          </cell>
          <cell r="H1134">
            <v>13.572972972973044</v>
          </cell>
          <cell r="I1134" t="e">
            <v>#N/A</v>
          </cell>
          <cell r="J1134" t="e">
            <v>#N/A</v>
          </cell>
          <cell r="K1134">
            <v>17.5</v>
          </cell>
          <cell r="L1134">
            <v>14</v>
          </cell>
          <cell r="M1134" t="e">
            <v>#N/A</v>
          </cell>
          <cell r="N1134">
            <v>16.5</v>
          </cell>
          <cell r="O1134" t="e">
            <v>#N/A</v>
          </cell>
          <cell r="P1134" t="str">
            <v/>
          </cell>
          <cell r="Q1134" t="str">
            <v/>
          </cell>
          <cell r="R1134">
            <v>16.5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-17.56351351351362</v>
          </cell>
          <cell r="F1135">
            <v>21.355405405405779</v>
          </cell>
          <cell r="G1135">
            <v>13.571621621621693</v>
          </cell>
          <cell r="H1135">
            <v>13.571621621621693</v>
          </cell>
          <cell r="I1135" t="e">
            <v>#N/A</v>
          </cell>
          <cell r="J1135" t="e">
            <v>#N/A</v>
          </cell>
          <cell r="K1135">
            <v>17.5</v>
          </cell>
          <cell r="L1135">
            <v>14</v>
          </cell>
          <cell r="M1135" t="e">
            <v>#N/A</v>
          </cell>
          <cell r="N1135">
            <v>16.5</v>
          </cell>
          <cell r="O1135" t="e">
            <v>#N/A</v>
          </cell>
          <cell r="P1135" t="str">
            <v/>
          </cell>
          <cell r="Q1135" t="str">
            <v/>
          </cell>
          <cell r="R1135">
            <v>16.5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-17.618918918919025</v>
          </cell>
          <cell r="F1136">
            <v>21.367567567567942</v>
          </cell>
          <cell r="G1136">
            <v>13.570270270270342</v>
          </cell>
          <cell r="H1136">
            <v>13.570270270270342</v>
          </cell>
          <cell r="I1136" t="e">
            <v>#N/A</v>
          </cell>
          <cell r="J1136" t="e">
            <v>#N/A</v>
          </cell>
          <cell r="K1136">
            <v>17.5</v>
          </cell>
          <cell r="L1136">
            <v>14</v>
          </cell>
          <cell r="M1136" t="e">
            <v>#N/A</v>
          </cell>
          <cell r="N1136">
            <v>16.5</v>
          </cell>
          <cell r="O1136" t="e">
            <v>#N/A</v>
          </cell>
          <cell r="P1136" t="str">
            <v/>
          </cell>
          <cell r="Q1136" t="str">
            <v/>
          </cell>
          <cell r="R1136">
            <v>16.5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-17.674324324324431</v>
          </cell>
          <cell r="F1137">
            <v>21.379729729730105</v>
          </cell>
          <cell r="G1137">
            <v>13.568918918918991</v>
          </cell>
          <cell r="H1137">
            <v>13.568918918918991</v>
          </cell>
          <cell r="I1137" t="e">
            <v>#N/A</v>
          </cell>
          <cell r="J1137" t="e">
            <v>#N/A</v>
          </cell>
          <cell r="K1137">
            <v>17.5</v>
          </cell>
          <cell r="L1137">
            <v>14</v>
          </cell>
          <cell r="M1137" t="e">
            <v>#N/A</v>
          </cell>
          <cell r="N1137">
            <v>16.5</v>
          </cell>
          <cell r="O1137" t="e">
            <v>#N/A</v>
          </cell>
          <cell r="P1137" t="str">
            <v/>
          </cell>
          <cell r="Q1137" t="str">
            <v/>
          </cell>
          <cell r="R1137">
            <v>16.5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-17.729729729729836</v>
          </cell>
          <cell r="F1138">
            <v>21.391891891892268</v>
          </cell>
          <cell r="G1138">
            <v>13.567567567567639</v>
          </cell>
          <cell r="H1138">
            <v>13.567567567567639</v>
          </cell>
          <cell r="I1138" t="e">
            <v>#N/A</v>
          </cell>
          <cell r="J1138" t="e">
            <v>#N/A</v>
          </cell>
          <cell r="K1138">
            <v>17.5</v>
          </cell>
          <cell r="L1138">
            <v>14</v>
          </cell>
          <cell r="M1138" t="e">
            <v>#N/A</v>
          </cell>
          <cell r="N1138">
            <v>16.5</v>
          </cell>
          <cell r="O1138" t="e">
            <v>#N/A</v>
          </cell>
          <cell r="P1138" t="str">
            <v/>
          </cell>
          <cell r="Q1138" t="str">
            <v/>
          </cell>
          <cell r="R1138">
            <v>16.5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-17.785135135135242</v>
          </cell>
          <cell r="F1139">
            <v>21.404054054054431</v>
          </cell>
          <cell r="G1139">
            <v>13.566216216216288</v>
          </cell>
          <cell r="H1139">
            <v>13.566216216216288</v>
          </cell>
          <cell r="I1139" t="e">
            <v>#N/A</v>
          </cell>
          <cell r="J1139" t="e">
            <v>#N/A</v>
          </cell>
          <cell r="K1139">
            <v>17.5</v>
          </cell>
          <cell r="L1139">
            <v>14</v>
          </cell>
          <cell r="M1139" t="e">
            <v>#N/A</v>
          </cell>
          <cell r="N1139">
            <v>16.5</v>
          </cell>
          <cell r="O1139" t="e">
            <v>#N/A</v>
          </cell>
          <cell r="P1139" t="str">
            <v/>
          </cell>
          <cell r="Q1139" t="str">
            <v/>
          </cell>
          <cell r="R1139">
            <v>16.5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-17.840540540540648</v>
          </cell>
          <cell r="F1140">
            <v>21.416216216216593</v>
          </cell>
          <cell r="G1140">
            <v>13.564864864864937</v>
          </cell>
          <cell r="H1140">
            <v>13.564864864864937</v>
          </cell>
          <cell r="I1140" t="e">
            <v>#N/A</v>
          </cell>
          <cell r="J1140" t="e">
            <v>#N/A</v>
          </cell>
          <cell r="K1140">
            <v>17.5</v>
          </cell>
          <cell r="L1140">
            <v>14</v>
          </cell>
          <cell r="M1140" t="e">
            <v>#N/A</v>
          </cell>
          <cell r="N1140">
            <v>16.5</v>
          </cell>
          <cell r="O1140" t="e">
            <v>#N/A</v>
          </cell>
          <cell r="P1140" t="str">
            <v/>
          </cell>
          <cell r="Q1140" t="str">
            <v/>
          </cell>
          <cell r="R1140">
            <v>16.5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-17.895945945946053</v>
          </cell>
          <cell r="F1141">
            <v>21.428378378378756</v>
          </cell>
          <cell r="G1141">
            <v>13.563513513513586</v>
          </cell>
          <cell r="H1141">
            <v>13.563513513513586</v>
          </cell>
          <cell r="I1141" t="e">
            <v>#N/A</v>
          </cell>
          <cell r="J1141" t="e">
            <v>#N/A</v>
          </cell>
          <cell r="K1141">
            <v>17.5</v>
          </cell>
          <cell r="L1141">
            <v>14</v>
          </cell>
          <cell r="M1141" t="e">
            <v>#N/A</v>
          </cell>
          <cell r="N1141">
            <v>16.5</v>
          </cell>
          <cell r="O1141" t="e">
            <v>#N/A</v>
          </cell>
          <cell r="P1141" t="str">
            <v/>
          </cell>
          <cell r="Q1141" t="str">
            <v/>
          </cell>
          <cell r="R1141">
            <v>16.5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-17.951351351351459</v>
          </cell>
          <cell r="F1142">
            <v>21.440540540540919</v>
          </cell>
          <cell r="G1142">
            <v>13.562162162162235</v>
          </cell>
          <cell r="H1142">
            <v>13.562162162162235</v>
          </cell>
          <cell r="I1142" t="e">
            <v>#N/A</v>
          </cell>
          <cell r="J1142" t="e">
            <v>#N/A</v>
          </cell>
          <cell r="K1142">
            <v>17.5</v>
          </cell>
          <cell r="L1142">
            <v>14</v>
          </cell>
          <cell r="M1142" t="e">
            <v>#N/A</v>
          </cell>
          <cell r="N1142">
            <v>16.5</v>
          </cell>
          <cell r="O1142" t="e">
            <v>#N/A</v>
          </cell>
          <cell r="P1142" t="str">
            <v/>
          </cell>
          <cell r="Q1142" t="str">
            <v/>
          </cell>
          <cell r="R1142">
            <v>16.5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-18.006756756756864</v>
          </cell>
          <cell r="F1143">
            <v>21.452702702703082</v>
          </cell>
          <cell r="G1143">
            <v>13.560810810810883</v>
          </cell>
          <cell r="H1143">
            <v>13.560810810810883</v>
          </cell>
          <cell r="I1143" t="e">
            <v>#N/A</v>
          </cell>
          <cell r="J1143" t="e">
            <v>#N/A</v>
          </cell>
          <cell r="K1143">
            <v>17.5</v>
          </cell>
          <cell r="L1143">
            <v>14</v>
          </cell>
          <cell r="M1143" t="e">
            <v>#N/A</v>
          </cell>
          <cell r="N1143">
            <v>16.5</v>
          </cell>
          <cell r="O1143" t="e">
            <v>#N/A</v>
          </cell>
          <cell r="P1143" t="str">
            <v/>
          </cell>
          <cell r="Q1143" t="str">
            <v/>
          </cell>
          <cell r="R1143">
            <v>16.5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-18.06216216216227</v>
          </cell>
          <cell r="F1144">
            <v>21.464864864865245</v>
          </cell>
          <cell r="G1144">
            <v>13.559459459459532</v>
          </cell>
          <cell r="H1144">
            <v>13.559459459459532</v>
          </cell>
          <cell r="I1144" t="e">
            <v>#N/A</v>
          </cell>
          <cell r="J1144" t="e">
            <v>#N/A</v>
          </cell>
          <cell r="K1144">
            <v>17.5</v>
          </cell>
          <cell r="L1144">
            <v>14</v>
          </cell>
          <cell r="M1144" t="e">
            <v>#N/A</v>
          </cell>
          <cell r="N1144">
            <v>16.5</v>
          </cell>
          <cell r="O1144" t="e">
            <v>#N/A</v>
          </cell>
          <cell r="P1144" t="str">
            <v/>
          </cell>
          <cell r="Q1144" t="str">
            <v/>
          </cell>
          <cell r="R1144">
            <v>16.5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-18.117567567567676</v>
          </cell>
          <cell r="F1145">
            <v>21.477027027027408</v>
          </cell>
          <cell r="G1145">
            <v>13.558108108108181</v>
          </cell>
          <cell r="H1145">
            <v>13.558108108108181</v>
          </cell>
          <cell r="I1145" t="e">
            <v>#N/A</v>
          </cell>
          <cell r="J1145" t="e">
            <v>#N/A</v>
          </cell>
          <cell r="K1145">
            <v>17.5</v>
          </cell>
          <cell r="L1145">
            <v>14</v>
          </cell>
          <cell r="M1145" t="e">
            <v>#N/A</v>
          </cell>
          <cell r="N1145">
            <v>16.5</v>
          </cell>
          <cell r="O1145" t="e">
            <v>#N/A</v>
          </cell>
          <cell r="P1145" t="str">
            <v/>
          </cell>
          <cell r="Q1145" t="str">
            <v/>
          </cell>
          <cell r="R1145">
            <v>16.5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-18.172972972973081</v>
          </cell>
          <cell r="F1146">
            <v>21.48918918918957</v>
          </cell>
          <cell r="G1146">
            <v>13.55675675675683</v>
          </cell>
          <cell r="H1146">
            <v>13.55675675675683</v>
          </cell>
          <cell r="I1146" t="e">
            <v>#N/A</v>
          </cell>
          <cell r="J1146" t="e">
            <v>#N/A</v>
          </cell>
          <cell r="K1146">
            <v>17.5</v>
          </cell>
          <cell r="L1146">
            <v>14</v>
          </cell>
          <cell r="M1146" t="e">
            <v>#N/A</v>
          </cell>
          <cell r="N1146">
            <v>16.5</v>
          </cell>
          <cell r="O1146" t="e">
            <v>#N/A</v>
          </cell>
          <cell r="P1146" t="str">
            <v/>
          </cell>
          <cell r="Q1146" t="str">
            <v/>
          </cell>
          <cell r="R1146">
            <v>16.5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-18.228378378378487</v>
          </cell>
          <cell r="F1147">
            <v>21.501351351351733</v>
          </cell>
          <cell r="G1147">
            <v>13.555405405405478</v>
          </cell>
          <cell r="H1147">
            <v>13.555405405405478</v>
          </cell>
          <cell r="I1147" t="e">
            <v>#N/A</v>
          </cell>
          <cell r="J1147" t="e">
            <v>#N/A</v>
          </cell>
          <cell r="K1147">
            <v>17.5</v>
          </cell>
          <cell r="L1147">
            <v>14</v>
          </cell>
          <cell r="M1147" t="e">
            <v>#N/A</v>
          </cell>
          <cell r="N1147">
            <v>16.5</v>
          </cell>
          <cell r="O1147" t="e">
            <v>#N/A</v>
          </cell>
          <cell r="P1147" t="str">
            <v/>
          </cell>
          <cell r="Q1147" t="str">
            <v/>
          </cell>
          <cell r="R1147">
            <v>16.5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-18.283783783783893</v>
          </cell>
          <cell r="F1148">
            <v>21.513513513513896</v>
          </cell>
          <cell r="G1148">
            <v>13.554054054054127</v>
          </cell>
          <cell r="H1148">
            <v>13.554054054054127</v>
          </cell>
          <cell r="I1148" t="e">
            <v>#N/A</v>
          </cell>
          <cell r="J1148" t="e">
            <v>#N/A</v>
          </cell>
          <cell r="K1148">
            <v>17.5</v>
          </cell>
          <cell r="L1148">
            <v>14</v>
          </cell>
          <cell r="M1148" t="e">
            <v>#N/A</v>
          </cell>
          <cell r="N1148">
            <v>16.5</v>
          </cell>
          <cell r="O1148" t="e">
            <v>#N/A</v>
          </cell>
          <cell r="P1148" t="str">
            <v/>
          </cell>
          <cell r="Q1148" t="str">
            <v/>
          </cell>
          <cell r="R1148">
            <v>16.5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-18.339189189189298</v>
          </cell>
          <cell r="F1149">
            <v>21.525675675676059</v>
          </cell>
          <cell r="G1149">
            <v>13.552702702702776</v>
          </cell>
          <cell r="H1149">
            <v>13.552702702702776</v>
          </cell>
          <cell r="I1149" t="e">
            <v>#N/A</v>
          </cell>
          <cell r="J1149" t="e">
            <v>#N/A</v>
          </cell>
          <cell r="K1149">
            <v>17.5</v>
          </cell>
          <cell r="L1149">
            <v>14</v>
          </cell>
          <cell r="M1149" t="e">
            <v>#N/A</v>
          </cell>
          <cell r="N1149">
            <v>16.5</v>
          </cell>
          <cell r="O1149" t="e">
            <v>#N/A</v>
          </cell>
          <cell r="P1149" t="str">
            <v/>
          </cell>
          <cell r="Q1149" t="str">
            <v/>
          </cell>
          <cell r="R1149">
            <v>16.5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-18.394594594594704</v>
          </cell>
          <cell r="F1150">
            <v>21.537837837838222</v>
          </cell>
          <cell r="G1150">
            <v>13.551351351351425</v>
          </cell>
          <cell r="H1150">
            <v>13.551351351351425</v>
          </cell>
          <cell r="I1150" t="e">
            <v>#N/A</v>
          </cell>
          <cell r="J1150" t="e">
            <v>#N/A</v>
          </cell>
          <cell r="K1150">
            <v>17.5</v>
          </cell>
          <cell r="L1150">
            <v>14</v>
          </cell>
          <cell r="M1150" t="e">
            <v>#N/A</v>
          </cell>
          <cell r="N1150">
            <v>16.5</v>
          </cell>
          <cell r="O1150" t="e">
            <v>#N/A</v>
          </cell>
          <cell r="P1150" t="str">
            <v/>
          </cell>
          <cell r="Q1150" t="str">
            <v/>
          </cell>
          <cell r="R1150">
            <v>16.5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-18.450000000000109</v>
          </cell>
          <cell r="F1151">
            <v>21.550000000000384</v>
          </cell>
          <cell r="G1151">
            <v>13.550000000000074</v>
          </cell>
          <cell r="H1151">
            <v>13.550000000000074</v>
          </cell>
          <cell r="I1151" t="e">
            <v>#N/A</v>
          </cell>
          <cell r="J1151" t="e">
            <v>#N/A</v>
          </cell>
          <cell r="K1151">
            <v>17.5</v>
          </cell>
          <cell r="L1151">
            <v>14</v>
          </cell>
          <cell r="M1151" t="e">
            <v>#N/A</v>
          </cell>
          <cell r="N1151">
            <v>16.5</v>
          </cell>
          <cell r="O1151" t="e">
            <v>#N/A</v>
          </cell>
          <cell r="P1151" t="str">
            <v/>
          </cell>
          <cell r="Q1151" t="str">
            <v/>
          </cell>
          <cell r="R1151">
            <v>16.5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-18.505405405405515</v>
          </cell>
          <cell r="F1152">
            <v>21.562162162162547</v>
          </cell>
          <cell r="G1152">
            <v>13.548648648648722</v>
          </cell>
          <cell r="H1152">
            <v>13.548648648648722</v>
          </cell>
          <cell r="I1152" t="e">
            <v>#N/A</v>
          </cell>
          <cell r="J1152" t="e">
            <v>#N/A</v>
          </cell>
          <cell r="K1152">
            <v>17.5</v>
          </cell>
          <cell r="L1152">
            <v>14</v>
          </cell>
          <cell r="M1152" t="e">
            <v>#N/A</v>
          </cell>
          <cell r="N1152">
            <v>16.5</v>
          </cell>
          <cell r="O1152" t="e">
            <v>#N/A</v>
          </cell>
          <cell r="P1152" t="str">
            <v/>
          </cell>
          <cell r="Q1152" t="str">
            <v/>
          </cell>
          <cell r="R1152">
            <v>16.5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-18.560810810810921</v>
          </cell>
          <cell r="F1153">
            <v>21.57432432432471</v>
          </cell>
          <cell r="G1153">
            <v>13.547297297297371</v>
          </cell>
          <cell r="H1153">
            <v>13.547297297297371</v>
          </cell>
          <cell r="I1153" t="e">
            <v>#N/A</v>
          </cell>
          <cell r="J1153" t="e">
            <v>#N/A</v>
          </cell>
          <cell r="K1153">
            <v>17.5</v>
          </cell>
          <cell r="L1153">
            <v>14</v>
          </cell>
          <cell r="M1153" t="e">
            <v>#N/A</v>
          </cell>
          <cell r="N1153">
            <v>16.5</v>
          </cell>
          <cell r="O1153" t="e">
            <v>#N/A</v>
          </cell>
          <cell r="P1153" t="str">
            <v/>
          </cell>
          <cell r="Q1153" t="str">
            <v/>
          </cell>
          <cell r="R1153">
            <v>16.5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-18.616216216216326</v>
          </cell>
          <cell r="F1154">
            <v>21.586486486486873</v>
          </cell>
          <cell r="G1154">
            <v>13.54594594594602</v>
          </cell>
          <cell r="H1154">
            <v>13.54594594594602</v>
          </cell>
          <cell r="I1154" t="e">
            <v>#N/A</v>
          </cell>
          <cell r="J1154" t="e">
            <v>#N/A</v>
          </cell>
          <cell r="K1154">
            <v>17.5</v>
          </cell>
          <cell r="L1154">
            <v>14</v>
          </cell>
          <cell r="M1154" t="e">
            <v>#N/A</v>
          </cell>
          <cell r="N1154">
            <v>16.5</v>
          </cell>
          <cell r="O1154" t="e">
            <v>#N/A</v>
          </cell>
          <cell r="P1154" t="str">
            <v/>
          </cell>
          <cell r="Q1154" t="str">
            <v/>
          </cell>
          <cell r="R1154">
            <v>16.5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-18.671621621621732</v>
          </cell>
          <cell r="F1155">
            <v>21.598648648649036</v>
          </cell>
          <cell r="G1155">
            <v>13.544594594594669</v>
          </cell>
          <cell r="H1155">
            <v>13.544594594594669</v>
          </cell>
          <cell r="I1155" t="e">
            <v>#N/A</v>
          </cell>
          <cell r="J1155" t="e">
            <v>#N/A</v>
          </cell>
          <cell r="K1155">
            <v>17.5</v>
          </cell>
          <cell r="L1155">
            <v>14</v>
          </cell>
          <cell r="M1155" t="e">
            <v>#N/A</v>
          </cell>
          <cell r="N1155">
            <v>16.5</v>
          </cell>
          <cell r="O1155" t="e">
            <v>#N/A</v>
          </cell>
          <cell r="P1155" t="str">
            <v/>
          </cell>
          <cell r="Q1155" t="str">
            <v/>
          </cell>
          <cell r="R1155">
            <v>16.5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-18.727027027027138</v>
          </cell>
          <cell r="F1156">
            <v>21.610810810811198</v>
          </cell>
          <cell r="G1156">
            <v>13.543243243243317</v>
          </cell>
          <cell r="H1156">
            <v>13.543243243243317</v>
          </cell>
          <cell r="I1156" t="e">
            <v>#N/A</v>
          </cell>
          <cell r="J1156" t="e">
            <v>#N/A</v>
          </cell>
          <cell r="K1156">
            <v>17.5</v>
          </cell>
          <cell r="L1156">
            <v>14</v>
          </cell>
          <cell r="M1156" t="e">
            <v>#N/A</v>
          </cell>
          <cell r="N1156">
            <v>16.5</v>
          </cell>
          <cell r="O1156" t="e">
            <v>#N/A</v>
          </cell>
          <cell r="P1156" t="str">
            <v/>
          </cell>
          <cell r="Q1156" t="str">
            <v/>
          </cell>
          <cell r="R1156">
            <v>16.5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-18.782432432432543</v>
          </cell>
          <cell r="F1157">
            <v>21.622972972973361</v>
          </cell>
          <cell r="G1157">
            <v>13.541891891891966</v>
          </cell>
          <cell r="H1157">
            <v>13.541891891891966</v>
          </cell>
          <cell r="I1157" t="e">
            <v>#N/A</v>
          </cell>
          <cell r="J1157" t="e">
            <v>#N/A</v>
          </cell>
          <cell r="K1157">
            <v>17.5</v>
          </cell>
          <cell r="L1157">
            <v>14</v>
          </cell>
          <cell r="M1157" t="e">
            <v>#N/A</v>
          </cell>
          <cell r="N1157">
            <v>16.5</v>
          </cell>
          <cell r="O1157" t="e">
            <v>#N/A</v>
          </cell>
          <cell r="P1157" t="str">
            <v/>
          </cell>
          <cell r="Q1157" t="str">
            <v/>
          </cell>
          <cell r="R1157">
            <v>16.5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-18.837837837837949</v>
          </cell>
          <cell r="F1158">
            <v>21.635135135135524</v>
          </cell>
          <cell r="G1158">
            <v>13.540540540540615</v>
          </cell>
          <cell r="H1158">
            <v>13.540540540540615</v>
          </cell>
          <cell r="I1158" t="e">
            <v>#N/A</v>
          </cell>
          <cell r="J1158" t="e">
            <v>#N/A</v>
          </cell>
          <cell r="K1158">
            <v>17.5</v>
          </cell>
          <cell r="L1158">
            <v>14</v>
          </cell>
          <cell r="M1158" t="e">
            <v>#N/A</v>
          </cell>
          <cell r="N1158">
            <v>16.5</v>
          </cell>
          <cell r="O1158" t="e">
            <v>#N/A</v>
          </cell>
          <cell r="P1158" t="str">
            <v/>
          </cell>
          <cell r="Q1158" t="str">
            <v/>
          </cell>
          <cell r="R1158">
            <v>16.5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-18.893243243243354</v>
          </cell>
          <cell r="F1159">
            <v>21.647297297297687</v>
          </cell>
          <cell r="G1159">
            <v>13.539189189189264</v>
          </cell>
          <cell r="H1159">
            <v>13.539189189189264</v>
          </cell>
          <cell r="I1159" t="e">
            <v>#N/A</v>
          </cell>
          <cell r="J1159" t="e">
            <v>#N/A</v>
          </cell>
          <cell r="K1159">
            <v>17.5</v>
          </cell>
          <cell r="L1159">
            <v>14</v>
          </cell>
          <cell r="M1159" t="e">
            <v>#N/A</v>
          </cell>
          <cell r="N1159">
            <v>16.5</v>
          </cell>
          <cell r="O1159" t="e">
            <v>#N/A</v>
          </cell>
          <cell r="P1159" t="str">
            <v/>
          </cell>
          <cell r="Q1159" t="str">
            <v/>
          </cell>
          <cell r="R1159">
            <v>16.5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-18.94864864864876</v>
          </cell>
          <cell r="F1160">
            <v>21.65945945945985</v>
          </cell>
          <cell r="G1160">
            <v>13.537837837837913</v>
          </cell>
          <cell r="H1160">
            <v>13.537837837837913</v>
          </cell>
          <cell r="I1160" t="e">
            <v>#N/A</v>
          </cell>
          <cell r="J1160" t="e">
            <v>#N/A</v>
          </cell>
          <cell r="K1160">
            <v>17.5</v>
          </cell>
          <cell r="L1160">
            <v>14</v>
          </cell>
          <cell r="M1160" t="e">
            <v>#N/A</v>
          </cell>
          <cell r="N1160">
            <v>16.5</v>
          </cell>
          <cell r="O1160" t="e">
            <v>#N/A</v>
          </cell>
          <cell r="P1160" t="str">
            <v/>
          </cell>
          <cell r="Q1160" t="str">
            <v/>
          </cell>
          <cell r="R1160">
            <v>16.5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-19.004054054054166</v>
          </cell>
          <cell r="F1161">
            <v>21.671621621622013</v>
          </cell>
          <cell r="G1161">
            <v>13.536486486486561</v>
          </cell>
          <cell r="H1161">
            <v>13.536486486486561</v>
          </cell>
          <cell r="I1161" t="e">
            <v>#N/A</v>
          </cell>
          <cell r="J1161" t="e">
            <v>#N/A</v>
          </cell>
          <cell r="K1161">
            <v>17.5</v>
          </cell>
          <cell r="L1161">
            <v>14</v>
          </cell>
          <cell r="M1161" t="e">
            <v>#N/A</v>
          </cell>
          <cell r="N1161">
            <v>16.5</v>
          </cell>
          <cell r="O1161" t="e">
            <v>#N/A</v>
          </cell>
          <cell r="P1161" t="str">
            <v/>
          </cell>
          <cell r="Q1161" t="str">
            <v/>
          </cell>
          <cell r="R1161">
            <v>16.5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-19.059459459459571</v>
          </cell>
          <cell r="F1162">
            <v>21.683783783784175</v>
          </cell>
          <cell r="G1162">
            <v>13.53513513513521</v>
          </cell>
          <cell r="H1162">
            <v>13.53513513513521</v>
          </cell>
          <cell r="I1162" t="e">
            <v>#N/A</v>
          </cell>
          <cell r="J1162" t="e">
            <v>#N/A</v>
          </cell>
          <cell r="K1162">
            <v>17.5</v>
          </cell>
          <cell r="L1162">
            <v>14</v>
          </cell>
          <cell r="M1162" t="e">
            <v>#N/A</v>
          </cell>
          <cell r="N1162">
            <v>16.5</v>
          </cell>
          <cell r="O1162" t="e">
            <v>#N/A</v>
          </cell>
          <cell r="P1162" t="str">
            <v/>
          </cell>
          <cell r="Q1162" t="str">
            <v/>
          </cell>
          <cell r="R1162">
            <v>16.5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-19.114864864864977</v>
          </cell>
          <cell r="F1163">
            <v>21.695945945946338</v>
          </cell>
          <cell r="G1163">
            <v>13.533783783783859</v>
          </cell>
          <cell r="H1163">
            <v>13.533783783783859</v>
          </cell>
          <cell r="I1163" t="e">
            <v>#N/A</v>
          </cell>
          <cell r="J1163" t="e">
            <v>#N/A</v>
          </cell>
          <cell r="K1163">
            <v>17.5</v>
          </cell>
          <cell r="L1163">
            <v>14</v>
          </cell>
          <cell r="M1163" t="e">
            <v>#N/A</v>
          </cell>
          <cell r="N1163">
            <v>16.5</v>
          </cell>
          <cell r="O1163" t="e">
            <v>#N/A</v>
          </cell>
          <cell r="P1163" t="str">
            <v/>
          </cell>
          <cell r="Q1163" t="str">
            <v/>
          </cell>
          <cell r="R1163">
            <v>16.5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-19.170270270270382</v>
          </cell>
          <cell r="F1164">
            <v>21.708108108108501</v>
          </cell>
          <cell r="G1164">
            <v>13.532432432432508</v>
          </cell>
          <cell r="H1164">
            <v>13.532432432432508</v>
          </cell>
          <cell r="I1164" t="e">
            <v>#N/A</v>
          </cell>
          <cell r="J1164" t="e">
            <v>#N/A</v>
          </cell>
          <cell r="K1164">
            <v>17.5</v>
          </cell>
          <cell r="L1164">
            <v>14</v>
          </cell>
          <cell r="M1164" t="e">
            <v>#N/A</v>
          </cell>
          <cell r="N1164">
            <v>16.5</v>
          </cell>
          <cell r="O1164" t="e">
            <v>#N/A</v>
          </cell>
          <cell r="P1164" t="str">
            <v/>
          </cell>
          <cell r="Q1164" t="str">
            <v/>
          </cell>
          <cell r="R1164">
            <v>16.5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-19.225675675675788</v>
          </cell>
          <cell r="F1165">
            <v>21.720270270270664</v>
          </cell>
          <cell r="G1165">
            <v>13.531081081081156</v>
          </cell>
          <cell r="H1165">
            <v>13.531081081081156</v>
          </cell>
          <cell r="I1165" t="e">
            <v>#N/A</v>
          </cell>
          <cell r="J1165" t="e">
            <v>#N/A</v>
          </cell>
          <cell r="K1165">
            <v>17.5</v>
          </cell>
          <cell r="L1165">
            <v>14</v>
          </cell>
          <cell r="M1165" t="e">
            <v>#N/A</v>
          </cell>
          <cell r="N1165">
            <v>16.5</v>
          </cell>
          <cell r="O1165" t="e">
            <v>#N/A</v>
          </cell>
          <cell r="P1165" t="str">
            <v/>
          </cell>
          <cell r="Q1165" t="str">
            <v/>
          </cell>
          <cell r="R1165">
            <v>16.5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-19.281081081081194</v>
          </cell>
          <cell r="F1166">
            <v>21.732432432432827</v>
          </cell>
          <cell r="G1166">
            <v>13.529729729729805</v>
          </cell>
          <cell r="H1166">
            <v>13.529729729729805</v>
          </cell>
          <cell r="I1166" t="e">
            <v>#N/A</v>
          </cell>
          <cell r="J1166" t="e">
            <v>#N/A</v>
          </cell>
          <cell r="K1166">
            <v>17.5</v>
          </cell>
          <cell r="L1166">
            <v>14</v>
          </cell>
          <cell r="M1166" t="e">
            <v>#N/A</v>
          </cell>
          <cell r="N1166">
            <v>16.5</v>
          </cell>
          <cell r="O1166" t="e">
            <v>#N/A</v>
          </cell>
          <cell r="P1166" t="str">
            <v/>
          </cell>
          <cell r="Q1166" t="str">
            <v/>
          </cell>
          <cell r="R1166">
            <v>16.5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-19.336486486486599</v>
          </cell>
          <cell r="F1167">
            <v>21.744594594594989</v>
          </cell>
          <cell r="G1167">
            <v>13.528378378378454</v>
          </cell>
          <cell r="H1167">
            <v>13.528378378378454</v>
          </cell>
          <cell r="I1167" t="e">
            <v>#N/A</v>
          </cell>
          <cell r="J1167" t="e">
            <v>#N/A</v>
          </cell>
          <cell r="K1167">
            <v>17.5</v>
          </cell>
          <cell r="L1167">
            <v>14</v>
          </cell>
          <cell r="M1167" t="e">
            <v>#N/A</v>
          </cell>
          <cell r="N1167">
            <v>16.5</v>
          </cell>
          <cell r="O1167" t="e">
            <v>#N/A</v>
          </cell>
          <cell r="P1167" t="str">
            <v/>
          </cell>
          <cell r="Q1167" t="str">
            <v/>
          </cell>
          <cell r="R1167">
            <v>16.5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-19.391891891892005</v>
          </cell>
          <cell r="F1168">
            <v>21.756756756757152</v>
          </cell>
          <cell r="G1168">
            <v>13.527027027027103</v>
          </cell>
          <cell r="H1168">
            <v>13.527027027027103</v>
          </cell>
          <cell r="I1168" t="e">
            <v>#N/A</v>
          </cell>
          <cell r="J1168" t="e">
            <v>#N/A</v>
          </cell>
          <cell r="K1168">
            <v>17.5</v>
          </cell>
          <cell r="L1168">
            <v>14</v>
          </cell>
          <cell r="M1168" t="e">
            <v>#N/A</v>
          </cell>
          <cell r="N1168">
            <v>16.5</v>
          </cell>
          <cell r="O1168" t="e">
            <v>#N/A</v>
          </cell>
          <cell r="P1168" t="str">
            <v/>
          </cell>
          <cell r="Q1168" t="str">
            <v/>
          </cell>
          <cell r="R1168">
            <v>16.5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-19.447297297297411</v>
          </cell>
          <cell r="F1169">
            <v>21.768918918919315</v>
          </cell>
          <cell r="G1169">
            <v>13.525675675675751</v>
          </cell>
          <cell r="H1169">
            <v>13.525675675675751</v>
          </cell>
          <cell r="I1169" t="e">
            <v>#N/A</v>
          </cell>
          <cell r="J1169" t="e">
            <v>#N/A</v>
          </cell>
          <cell r="K1169">
            <v>17.5</v>
          </cell>
          <cell r="L1169">
            <v>14</v>
          </cell>
          <cell r="M1169" t="e">
            <v>#N/A</v>
          </cell>
          <cell r="N1169">
            <v>16.5</v>
          </cell>
          <cell r="O1169" t="e">
            <v>#N/A</v>
          </cell>
          <cell r="P1169" t="str">
            <v/>
          </cell>
          <cell r="Q1169" t="str">
            <v/>
          </cell>
          <cell r="R1169">
            <v>16.5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-19.502702702702816</v>
          </cell>
          <cell r="F1170">
            <v>21.781081081081478</v>
          </cell>
          <cell r="G1170">
            <v>13.5243243243244</v>
          </cell>
          <cell r="H1170">
            <v>13.5243243243244</v>
          </cell>
          <cell r="I1170" t="e">
            <v>#N/A</v>
          </cell>
          <cell r="J1170" t="e">
            <v>#N/A</v>
          </cell>
          <cell r="K1170">
            <v>17.5</v>
          </cell>
          <cell r="L1170">
            <v>14</v>
          </cell>
          <cell r="M1170" t="e">
            <v>#N/A</v>
          </cell>
          <cell r="N1170">
            <v>16.5</v>
          </cell>
          <cell r="O1170" t="e">
            <v>#N/A</v>
          </cell>
          <cell r="P1170" t="str">
            <v/>
          </cell>
          <cell r="Q1170" t="str">
            <v/>
          </cell>
          <cell r="R1170">
            <v>16.5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-19.558108108108222</v>
          </cell>
          <cell r="F1171">
            <v>21.793243243243641</v>
          </cell>
          <cell r="G1171">
            <v>13.522972972973049</v>
          </cell>
          <cell r="H1171">
            <v>13.522972972973049</v>
          </cell>
          <cell r="I1171" t="e">
            <v>#N/A</v>
          </cell>
          <cell r="J1171" t="e">
            <v>#N/A</v>
          </cell>
          <cell r="K1171">
            <v>17.5</v>
          </cell>
          <cell r="L1171">
            <v>14</v>
          </cell>
          <cell r="M1171" t="e">
            <v>#N/A</v>
          </cell>
          <cell r="N1171">
            <v>16.5</v>
          </cell>
          <cell r="O1171" t="e">
            <v>#N/A</v>
          </cell>
          <cell r="P1171" t="str">
            <v/>
          </cell>
          <cell r="Q1171" t="str">
            <v/>
          </cell>
          <cell r="R1171">
            <v>16.5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-19.613513513513627</v>
          </cell>
          <cell r="F1172">
            <v>21.805405405405804</v>
          </cell>
          <cell r="G1172">
            <v>13.521621621621698</v>
          </cell>
          <cell r="H1172">
            <v>13.521621621621698</v>
          </cell>
          <cell r="I1172" t="e">
            <v>#N/A</v>
          </cell>
          <cell r="J1172" t="e">
            <v>#N/A</v>
          </cell>
          <cell r="K1172">
            <v>17.5</v>
          </cell>
          <cell r="L1172">
            <v>14</v>
          </cell>
          <cell r="M1172" t="e">
            <v>#N/A</v>
          </cell>
          <cell r="N1172">
            <v>16.5</v>
          </cell>
          <cell r="O1172" t="e">
            <v>#N/A</v>
          </cell>
          <cell r="P1172" t="str">
            <v/>
          </cell>
          <cell r="Q1172" t="str">
            <v/>
          </cell>
          <cell r="R1172">
            <v>16.5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-19.668918918919033</v>
          </cell>
          <cell r="F1173">
            <v>21.817567567567966</v>
          </cell>
          <cell r="G1173">
            <v>13.520270270270347</v>
          </cell>
          <cell r="H1173">
            <v>13.520270270270347</v>
          </cell>
          <cell r="I1173" t="e">
            <v>#N/A</v>
          </cell>
          <cell r="J1173" t="e">
            <v>#N/A</v>
          </cell>
          <cell r="K1173">
            <v>17.5</v>
          </cell>
          <cell r="L1173">
            <v>14</v>
          </cell>
          <cell r="M1173" t="e">
            <v>#N/A</v>
          </cell>
          <cell r="N1173">
            <v>16.5</v>
          </cell>
          <cell r="O1173" t="e">
            <v>#N/A</v>
          </cell>
          <cell r="P1173" t="str">
            <v/>
          </cell>
          <cell r="Q1173" t="str">
            <v/>
          </cell>
          <cell r="R1173">
            <v>16.5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-19.724324324324439</v>
          </cell>
          <cell r="F1174">
            <v>21.829729729730129</v>
          </cell>
          <cell r="G1174">
            <v>13.518918918918995</v>
          </cell>
          <cell r="H1174">
            <v>13.518918918918995</v>
          </cell>
          <cell r="I1174" t="e">
            <v>#N/A</v>
          </cell>
          <cell r="J1174" t="e">
            <v>#N/A</v>
          </cell>
          <cell r="K1174">
            <v>17.5</v>
          </cell>
          <cell r="L1174">
            <v>14</v>
          </cell>
          <cell r="M1174" t="e">
            <v>#N/A</v>
          </cell>
          <cell r="N1174">
            <v>16.5</v>
          </cell>
          <cell r="O1174" t="e">
            <v>#N/A</v>
          </cell>
          <cell r="P1174" t="str">
            <v/>
          </cell>
          <cell r="Q1174" t="str">
            <v/>
          </cell>
          <cell r="R1174">
            <v>16.5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-19.779729729729844</v>
          </cell>
          <cell r="F1175">
            <v>21.841891891892292</v>
          </cell>
          <cell r="G1175">
            <v>13.517567567567644</v>
          </cell>
          <cell r="H1175">
            <v>13.517567567567644</v>
          </cell>
          <cell r="I1175" t="e">
            <v>#N/A</v>
          </cell>
          <cell r="J1175" t="e">
            <v>#N/A</v>
          </cell>
          <cell r="K1175">
            <v>17.5</v>
          </cell>
          <cell r="L1175">
            <v>14</v>
          </cell>
          <cell r="M1175" t="e">
            <v>#N/A</v>
          </cell>
          <cell r="N1175">
            <v>16.5</v>
          </cell>
          <cell r="O1175" t="e">
            <v>#N/A</v>
          </cell>
          <cell r="P1175" t="str">
            <v/>
          </cell>
          <cell r="Q1175" t="str">
            <v/>
          </cell>
          <cell r="R1175">
            <v>16.5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-19.83513513513525</v>
          </cell>
          <cell r="F1176">
            <v>21.854054054054455</v>
          </cell>
          <cell r="G1176">
            <v>13.516216216216293</v>
          </cell>
          <cell r="H1176">
            <v>13.516216216216293</v>
          </cell>
          <cell r="I1176" t="e">
            <v>#N/A</v>
          </cell>
          <cell r="J1176" t="e">
            <v>#N/A</v>
          </cell>
          <cell r="K1176">
            <v>17.5</v>
          </cell>
          <cell r="L1176">
            <v>14</v>
          </cell>
          <cell r="M1176" t="e">
            <v>#N/A</v>
          </cell>
          <cell r="N1176">
            <v>16.5</v>
          </cell>
          <cell r="O1176" t="e">
            <v>#N/A</v>
          </cell>
          <cell r="P1176" t="str">
            <v/>
          </cell>
          <cell r="Q1176" t="str">
            <v/>
          </cell>
          <cell r="R1176">
            <v>16.5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-19.890540540540655</v>
          </cell>
          <cell r="F1177">
            <v>21.866216216216618</v>
          </cell>
          <cell r="G1177">
            <v>13.514864864864942</v>
          </cell>
          <cell r="H1177">
            <v>13.514864864864942</v>
          </cell>
          <cell r="I1177" t="e">
            <v>#N/A</v>
          </cell>
          <cell r="J1177" t="e">
            <v>#N/A</v>
          </cell>
          <cell r="K1177">
            <v>17.5</v>
          </cell>
          <cell r="L1177">
            <v>14</v>
          </cell>
          <cell r="M1177" t="e">
            <v>#N/A</v>
          </cell>
          <cell r="N1177">
            <v>16.5</v>
          </cell>
          <cell r="O1177" t="e">
            <v>#N/A</v>
          </cell>
          <cell r="P1177" t="str">
            <v/>
          </cell>
          <cell r="Q1177" t="str">
            <v/>
          </cell>
          <cell r="R1177">
            <v>16.5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-19.945945945946061</v>
          </cell>
          <cell r="F1178">
            <v>21.87837837837878</v>
          </cell>
          <cell r="G1178">
            <v>13.51351351351359</v>
          </cell>
          <cell r="H1178">
            <v>13.51351351351359</v>
          </cell>
          <cell r="I1178" t="e">
            <v>#N/A</v>
          </cell>
          <cell r="J1178" t="e">
            <v>#N/A</v>
          </cell>
          <cell r="K1178">
            <v>17.5</v>
          </cell>
          <cell r="L1178">
            <v>14</v>
          </cell>
          <cell r="M1178" t="e">
            <v>#N/A</v>
          </cell>
          <cell r="N1178">
            <v>16.5</v>
          </cell>
          <cell r="O1178" t="e">
            <v>#N/A</v>
          </cell>
          <cell r="P1178" t="str">
            <v/>
          </cell>
          <cell r="Q1178" t="str">
            <v/>
          </cell>
          <cell r="R1178">
            <v>16.5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-20.001351351351467</v>
          </cell>
          <cell r="F1179">
            <v>21.890540540540943</v>
          </cell>
          <cell r="G1179">
            <v>13.512162162162239</v>
          </cell>
          <cell r="H1179">
            <v>13.512162162162239</v>
          </cell>
          <cell r="I1179" t="e">
            <v>#N/A</v>
          </cell>
          <cell r="J1179" t="e">
            <v>#N/A</v>
          </cell>
          <cell r="K1179">
            <v>17.5</v>
          </cell>
          <cell r="L1179">
            <v>14</v>
          </cell>
          <cell r="M1179" t="e">
            <v>#N/A</v>
          </cell>
          <cell r="N1179">
            <v>16.5</v>
          </cell>
          <cell r="O1179" t="e">
            <v>#N/A</v>
          </cell>
          <cell r="P1179" t="str">
            <v/>
          </cell>
          <cell r="Q1179" t="str">
            <v/>
          </cell>
          <cell r="R1179">
            <v>16.5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-20.056756756756872</v>
          </cell>
          <cell r="F1180">
            <v>21.902702702703106</v>
          </cell>
          <cell r="G1180">
            <v>13.510810810810888</v>
          </cell>
          <cell r="H1180">
            <v>13.510810810810888</v>
          </cell>
          <cell r="I1180" t="e">
            <v>#N/A</v>
          </cell>
          <cell r="J1180" t="e">
            <v>#N/A</v>
          </cell>
          <cell r="K1180">
            <v>17.5</v>
          </cell>
          <cell r="L1180">
            <v>14</v>
          </cell>
          <cell r="M1180" t="e">
            <v>#N/A</v>
          </cell>
          <cell r="N1180">
            <v>16.5</v>
          </cell>
          <cell r="O1180" t="e">
            <v>#N/A</v>
          </cell>
          <cell r="P1180" t="str">
            <v/>
          </cell>
          <cell r="Q1180" t="str">
            <v/>
          </cell>
          <cell r="R1180">
            <v>16.5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-20.112162162162278</v>
          </cell>
          <cell r="F1181">
            <v>21.914864864865269</v>
          </cell>
          <cell r="G1181">
            <v>13.509459459459537</v>
          </cell>
          <cell r="H1181">
            <v>13.509459459459537</v>
          </cell>
          <cell r="I1181" t="e">
            <v>#N/A</v>
          </cell>
          <cell r="J1181" t="e">
            <v>#N/A</v>
          </cell>
          <cell r="K1181">
            <v>17.5</v>
          </cell>
          <cell r="L1181">
            <v>14</v>
          </cell>
          <cell r="M1181" t="e">
            <v>#N/A</v>
          </cell>
          <cell r="N1181">
            <v>16.5</v>
          </cell>
          <cell r="O1181" t="e">
            <v>#N/A</v>
          </cell>
          <cell r="P1181" t="str">
            <v/>
          </cell>
          <cell r="Q1181" t="str">
            <v/>
          </cell>
          <cell r="R1181">
            <v>16.5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-20.167567567567684</v>
          </cell>
          <cell r="F1182">
            <v>21.927027027027432</v>
          </cell>
          <cell r="G1182">
            <v>13.508108108108186</v>
          </cell>
          <cell r="H1182">
            <v>13.508108108108186</v>
          </cell>
          <cell r="I1182" t="e">
            <v>#N/A</v>
          </cell>
          <cell r="J1182" t="e">
            <v>#N/A</v>
          </cell>
          <cell r="K1182">
            <v>17.5</v>
          </cell>
          <cell r="L1182">
            <v>14</v>
          </cell>
          <cell r="M1182" t="e">
            <v>#N/A</v>
          </cell>
          <cell r="N1182">
            <v>16.5</v>
          </cell>
          <cell r="O1182" t="e">
            <v>#N/A</v>
          </cell>
          <cell r="P1182" t="str">
            <v/>
          </cell>
          <cell r="Q1182" t="str">
            <v/>
          </cell>
          <cell r="R1182">
            <v>16.5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-20.222972972973089</v>
          </cell>
          <cell r="F1183">
            <v>21.939189189189594</v>
          </cell>
          <cell r="G1183">
            <v>13.506756756756834</v>
          </cell>
          <cell r="H1183">
            <v>13.506756756756834</v>
          </cell>
          <cell r="I1183" t="e">
            <v>#N/A</v>
          </cell>
          <cell r="J1183" t="e">
            <v>#N/A</v>
          </cell>
          <cell r="K1183">
            <v>17.5</v>
          </cell>
          <cell r="L1183">
            <v>14</v>
          </cell>
          <cell r="M1183" t="e">
            <v>#N/A</v>
          </cell>
          <cell r="N1183">
            <v>16.5</v>
          </cell>
          <cell r="O1183" t="e">
            <v>#N/A</v>
          </cell>
          <cell r="P1183" t="str">
            <v/>
          </cell>
          <cell r="Q1183" t="str">
            <v/>
          </cell>
          <cell r="R1183">
            <v>16.5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-20.278378378378495</v>
          </cell>
          <cell r="F1184">
            <v>21.951351351351757</v>
          </cell>
          <cell r="G1184">
            <v>13.505405405405483</v>
          </cell>
          <cell r="H1184">
            <v>13.505405405405483</v>
          </cell>
          <cell r="I1184" t="e">
            <v>#N/A</v>
          </cell>
          <cell r="J1184" t="e">
            <v>#N/A</v>
          </cell>
          <cell r="K1184">
            <v>17.5</v>
          </cell>
          <cell r="L1184">
            <v>14</v>
          </cell>
          <cell r="M1184" t="e">
            <v>#N/A</v>
          </cell>
          <cell r="N1184">
            <v>16.5</v>
          </cell>
          <cell r="O1184" t="e">
            <v>#N/A</v>
          </cell>
          <cell r="P1184" t="str">
            <v/>
          </cell>
          <cell r="Q1184" t="str">
            <v/>
          </cell>
          <cell r="R1184">
            <v>16.5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-20.3337837837839</v>
          </cell>
          <cell r="F1185">
            <v>21.96351351351392</v>
          </cell>
          <cell r="G1185">
            <v>13.504054054054132</v>
          </cell>
          <cell r="H1185">
            <v>13.504054054054132</v>
          </cell>
          <cell r="I1185" t="e">
            <v>#N/A</v>
          </cell>
          <cell r="J1185" t="e">
            <v>#N/A</v>
          </cell>
          <cell r="K1185">
            <v>17.5</v>
          </cell>
          <cell r="L1185">
            <v>14</v>
          </cell>
          <cell r="M1185" t="e">
            <v>#N/A</v>
          </cell>
          <cell r="N1185">
            <v>16.5</v>
          </cell>
          <cell r="O1185" t="e">
            <v>#N/A</v>
          </cell>
          <cell r="P1185" t="str">
            <v/>
          </cell>
          <cell r="Q1185" t="str">
            <v/>
          </cell>
          <cell r="R1185">
            <v>16.5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-20.389189189189306</v>
          </cell>
          <cell r="F1186">
            <v>21.975675675676083</v>
          </cell>
          <cell r="G1186">
            <v>13.502702702702781</v>
          </cell>
          <cell r="H1186">
            <v>13.502702702702781</v>
          </cell>
          <cell r="I1186" t="e">
            <v>#N/A</v>
          </cell>
          <cell r="J1186" t="e">
            <v>#N/A</v>
          </cell>
          <cell r="K1186">
            <v>17.5</v>
          </cell>
          <cell r="L1186">
            <v>14</v>
          </cell>
          <cell r="M1186" t="e">
            <v>#N/A</v>
          </cell>
          <cell r="N1186">
            <v>16.5</v>
          </cell>
          <cell r="O1186" t="e">
            <v>#N/A</v>
          </cell>
          <cell r="P1186" t="str">
            <v/>
          </cell>
          <cell r="Q1186" t="str">
            <v/>
          </cell>
          <cell r="R1186">
            <v>16.5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-20.444594594594712</v>
          </cell>
          <cell r="F1187">
            <v>21.987837837838246</v>
          </cell>
          <cell r="G1187">
            <v>13.501351351351429</v>
          </cell>
          <cell r="H1187">
            <v>13.501351351351429</v>
          </cell>
          <cell r="I1187" t="e">
            <v>#N/A</v>
          </cell>
          <cell r="J1187" t="e">
            <v>#N/A</v>
          </cell>
          <cell r="K1187">
            <v>17.5</v>
          </cell>
          <cell r="L1187">
            <v>14</v>
          </cell>
          <cell r="M1187" t="e">
            <v>#N/A</v>
          </cell>
          <cell r="N1187">
            <v>16.5</v>
          </cell>
          <cell r="O1187" t="e">
            <v>#N/A</v>
          </cell>
          <cell r="P1187" t="str">
            <v/>
          </cell>
          <cell r="Q1187" t="str">
            <v/>
          </cell>
          <cell r="R1187">
            <v>16.5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-20.500000000000117</v>
          </cell>
          <cell r="F1188">
            <v>22.000000000000409</v>
          </cell>
          <cell r="G1188">
            <v>13.500000000000078</v>
          </cell>
          <cell r="H1188">
            <v>13.500000000000078</v>
          </cell>
          <cell r="I1188" t="e">
            <v>#N/A</v>
          </cell>
          <cell r="J1188" t="e">
            <v>#N/A</v>
          </cell>
          <cell r="K1188">
            <v>17.5</v>
          </cell>
          <cell r="L1188">
            <v>14</v>
          </cell>
          <cell r="M1188" t="e">
            <v>#N/A</v>
          </cell>
          <cell r="N1188">
            <v>16.5</v>
          </cell>
          <cell r="O1188" t="e">
            <v>#N/A</v>
          </cell>
          <cell r="P1188" t="str">
            <v/>
          </cell>
          <cell r="Q1188" t="str">
            <v/>
          </cell>
          <cell r="R1188">
            <v>16.5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-20.555405405405523</v>
          </cell>
          <cell r="F1189">
            <v>22.012162162162571</v>
          </cell>
          <cell r="G1189">
            <v>13.498648648648727</v>
          </cell>
          <cell r="H1189">
            <v>13.498648648648727</v>
          </cell>
          <cell r="I1189" t="e">
            <v>#N/A</v>
          </cell>
          <cell r="J1189" t="e">
            <v>#N/A</v>
          </cell>
          <cell r="K1189">
            <v>17.5</v>
          </cell>
          <cell r="L1189">
            <v>14</v>
          </cell>
          <cell r="M1189" t="e">
            <v>#N/A</v>
          </cell>
          <cell r="N1189">
            <v>16.5</v>
          </cell>
          <cell r="O1189" t="e">
            <v>#N/A</v>
          </cell>
          <cell r="P1189" t="str">
            <v/>
          </cell>
          <cell r="Q1189" t="str">
            <v/>
          </cell>
          <cell r="R1189">
            <v>16.5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-20.610810810810928</v>
          </cell>
          <cell r="F1190">
            <v>22.024324324324734</v>
          </cell>
          <cell r="G1190">
            <v>13.497297297297376</v>
          </cell>
          <cell r="H1190">
            <v>13.497297297297376</v>
          </cell>
          <cell r="I1190" t="e">
            <v>#N/A</v>
          </cell>
          <cell r="J1190" t="e">
            <v>#N/A</v>
          </cell>
          <cell r="K1190">
            <v>17.5</v>
          </cell>
          <cell r="L1190">
            <v>14</v>
          </cell>
          <cell r="M1190" t="e">
            <v>#N/A</v>
          </cell>
          <cell r="N1190">
            <v>16.5</v>
          </cell>
          <cell r="O1190" t="e">
            <v>#N/A</v>
          </cell>
          <cell r="P1190" t="str">
            <v/>
          </cell>
          <cell r="Q1190" t="str">
            <v/>
          </cell>
          <cell r="R1190">
            <v>16.5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-20.666216216216334</v>
          </cell>
          <cell r="F1191">
            <v>22.036486486486897</v>
          </cell>
          <cell r="G1191">
            <v>13.495945945946024</v>
          </cell>
          <cell r="H1191">
            <v>13.495945945946024</v>
          </cell>
          <cell r="I1191" t="e">
            <v>#N/A</v>
          </cell>
          <cell r="J1191" t="e">
            <v>#N/A</v>
          </cell>
          <cell r="K1191">
            <v>17.5</v>
          </cell>
          <cell r="L1191">
            <v>14</v>
          </cell>
          <cell r="M1191" t="e">
            <v>#N/A</v>
          </cell>
          <cell r="N1191">
            <v>16.5</v>
          </cell>
          <cell r="O1191" t="e">
            <v>#N/A</v>
          </cell>
          <cell r="P1191" t="str">
            <v/>
          </cell>
          <cell r="Q1191" t="str">
            <v/>
          </cell>
          <cell r="R1191">
            <v>16.5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-20.72162162162174</v>
          </cell>
          <cell r="F1192">
            <v>22.04864864864906</v>
          </cell>
          <cell r="G1192">
            <v>13.494594594594673</v>
          </cell>
          <cell r="H1192">
            <v>13.494594594594673</v>
          </cell>
          <cell r="I1192" t="e">
            <v>#N/A</v>
          </cell>
          <cell r="J1192" t="e">
            <v>#N/A</v>
          </cell>
          <cell r="K1192">
            <v>17.5</v>
          </cell>
          <cell r="L1192">
            <v>14</v>
          </cell>
          <cell r="M1192" t="e">
            <v>#N/A</v>
          </cell>
          <cell r="N1192">
            <v>16.5</v>
          </cell>
          <cell r="O1192" t="e">
            <v>#N/A</v>
          </cell>
          <cell r="P1192" t="str">
            <v/>
          </cell>
          <cell r="Q1192" t="str">
            <v/>
          </cell>
          <cell r="R1192">
            <v>16.5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-20.777027027027145</v>
          </cell>
          <cell r="F1193">
            <v>22.060810810811223</v>
          </cell>
          <cell r="G1193">
            <v>13.493243243243322</v>
          </cell>
          <cell r="H1193">
            <v>13.493243243243322</v>
          </cell>
          <cell r="I1193" t="e">
            <v>#N/A</v>
          </cell>
          <cell r="J1193" t="e">
            <v>#N/A</v>
          </cell>
          <cell r="K1193">
            <v>17.5</v>
          </cell>
          <cell r="L1193">
            <v>14</v>
          </cell>
          <cell r="M1193" t="e">
            <v>#N/A</v>
          </cell>
          <cell r="N1193">
            <v>16.5</v>
          </cell>
          <cell r="O1193" t="e">
            <v>#N/A</v>
          </cell>
          <cell r="P1193" t="str">
            <v/>
          </cell>
          <cell r="Q1193" t="str">
            <v/>
          </cell>
          <cell r="R1193">
            <v>16.5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-20.832432432432551</v>
          </cell>
          <cell r="F1194">
            <v>22.072972972973385</v>
          </cell>
          <cell r="G1194">
            <v>13.491891891891971</v>
          </cell>
          <cell r="H1194">
            <v>13.491891891891971</v>
          </cell>
          <cell r="I1194" t="e">
            <v>#N/A</v>
          </cell>
          <cell r="J1194" t="e">
            <v>#N/A</v>
          </cell>
          <cell r="K1194">
            <v>17.5</v>
          </cell>
          <cell r="L1194">
            <v>14</v>
          </cell>
          <cell r="M1194" t="e">
            <v>#N/A</v>
          </cell>
          <cell r="N1194">
            <v>16.5</v>
          </cell>
          <cell r="O1194" t="e">
            <v>#N/A</v>
          </cell>
          <cell r="P1194" t="str">
            <v/>
          </cell>
          <cell r="Q1194" t="str">
            <v/>
          </cell>
          <cell r="R1194">
            <v>16.5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-20.887837837837957</v>
          </cell>
          <cell r="F1195">
            <v>22.085135135135548</v>
          </cell>
          <cell r="G1195">
            <v>13.49054054054062</v>
          </cell>
          <cell r="H1195">
            <v>13.49054054054062</v>
          </cell>
          <cell r="I1195" t="e">
            <v>#N/A</v>
          </cell>
          <cell r="J1195" t="e">
            <v>#N/A</v>
          </cell>
          <cell r="K1195">
            <v>17.5</v>
          </cell>
          <cell r="L1195">
            <v>14</v>
          </cell>
          <cell r="M1195" t="e">
            <v>#N/A</v>
          </cell>
          <cell r="N1195">
            <v>16.5</v>
          </cell>
          <cell r="O1195" t="e">
            <v>#N/A</v>
          </cell>
          <cell r="P1195" t="str">
            <v/>
          </cell>
          <cell r="Q1195" t="str">
            <v/>
          </cell>
          <cell r="R1195">
            <v>16.5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-20.943243243243362</v>
          </cell>
          <cell r="F1196">
            <v>22.097297297297711</v>
          </cell>
          <cell r="G1196">
            <v>13.489189189189268</v>
          </cell>
          <cell r="H1196">
            <v>13.489189189189268</v>
          </cell>
          <cell r="I1196" t="e">
            <v>#N/A</v>
          </cell>
          <cell r="J1196" t="e">
            <v>#N/A</v>
          </cell>
          <cell r="K1196">
            <v>17.5</v>
          </cell>
          <cell r="L1196">
            <v>14</v>
          </cell>
          <cell r="M1196" t="e">
            <v>#N/A</v>
          </cell>
          <cell r="N1196">
            <v>16.5</v>
          </cell>
          <cell r="O1196" t="e">
            <v>#N/A</v>
          </cell>
          <cell r="P1196" t="str">
            <v/>
          </cell>
          <cell r="Q1196" t="str">
            <v/>
          </cell>
          <cell r="R1196">
            <v>16.5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-20.998648648648768</v>
          </cell>
          <cell r="F1197">
            <v>22.109459459459874</v>
          </cell>
          <cell r="G1197">
            <v>13.487837837837917</v>
          </cell>
          <cell r="H1197">
            <v>13.487837837837917</v>
          </cell>
          <cell r="I1197" t="e">
            <v>#N/A</v>
          </cell>
          <cell r="J1197" t="e">
            <v>#N/A</v>
          </cell>
          <cell r="K1197">
            <v>17.5</v>
          </cell>
          <cell r="L1197">
            <v>14</v>
          </cell>
          <cell r="M1197" t="e">
            <v>#N/A</v>
          </cell>
          <cell r="N1197">
            <v>16.5</v>
          </cell>
          <cell r="O1197" t="e">
            <v>#N/A</v>
          </cell>
          <cell r="P1197" t="str">
            <v/>
          </cell>
          <cell r="Q1197" t="str">
            <v/>
          </cell>
          <cell r="R1197">
            <v>16.5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-21.054054054054173</v>
          </cell>
          <cell r="F1198">
            <v>22.121621621622037</v>
          </cell>
          <cell r="G1198">
            <v>13.486486486486566</v>
          </cell>
          <cell r="H1198">
            <v>13.486486486486566</v>
          </cell>
          <cell r="I1198" t="e">
            <v>#N/A</v>
          </cell>
          <cell r="J1198" t="e">
            <v>#N/A</v>
          </cell>
          <cell r="K1198">
            <v>17.5</v>
          </cell>
          <cell r="L1198">
            <v>14</v>
          </cell>
          <cell r="M1198" t="e">
            <v>#N/A</v>
          </cell>
          <cell r="N1198">
            <v>16.5</v>
          </cell>
          <cell r="O1198" t="e">
            <v>#N/A</v>
          </cell>
          <cell r="P1198" t="str">
            <v/>
          </cell>
          <cell r="Q1198" t="str">
            <v/>
          </cell>
          <cell r="R1198">
            <v>16.5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-21.109459459459579</v>
          </cell>
          <cell r="F1199">
            <v>22.1337837837842</v>
          </cell>
          <cell r="G1199">
            <v>13.485135135135215</v>
          </cell>
          <cell r="H1199">
            <v>13.485135135135215</v>
          </cell>
          <cell r="I1199" t="e">
            <v>#N/A</v>
          </cell>
          <cell r="J1199" t="e">
            <v>#N/A</v>
          </cell>
          <cell r="K1199">
            <v>17.5</v>
          </cell>
          <cell r="L1199">
            <v>14</v>
          </cell>
          <cell r="M1199" t="e">
            <v>#N/A</v>
          </cell>
          <cell r="N1199">
            <v>16.5</v>
          </cell>
          <cell r="O1199" t="e">
            <v>#N/A</v>
          </cell>
          <cell r="P1199" t="str">
            <v/>
          </cell>
          <cell r="Q1199" t="str">
            <v/>
          </cell>
          <cell r="R1199">
            <v>16.5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-21.164864864864985</v>
          </cell>
          <cell r="F1200">
            <v>22.145945945946362</v>
          </cell>
          <cell r="G1200">
            <v>13.483783783783863</v>
          </cell>
          <cell r="H1200">
            <v>13.483783783783863</v>
          </cell>
          <cell r="I1200" t="e">
            <v>#N/A</v>
          </cell>
          <cell r="J1200" t="e">
            <v>#N/A</v>
          </cell>
          <cell r="K1200">
            <v>17.5</v>
          </cell>
          <cell r="L1200">
            <v>14</v>
          </cell>
          <cell r="M1200" t="e">
            <v>#N/A</v>
          </cell>
          <cell r="N1200">
            <v>16.5</v>
          </cell>
          <cell r="O1200" t="e">
            <v>#N/A</v>
          </cell>
          <cell r="P1200" t="str">
            <v/>
          </cell>
          <cell r="Q1200" t="str">
            <v/>
          </cell>
          <cell r="R1200">
            <v>16.5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-21.22027027027039</v>
          </cell>
          <cell r="F1201">
            <v>22.158108108108525</v>
          </cell>
          <cell r="G1201">
            <v>13.482432432432512</v>
          </cell>
          <cell r="H1201">
            <v>13.482432432432512</v>
          </cell>
          <cell r="I1201" t="e">
            <v>#N/A</v>
          </cell>
          <cell r="J1201" t="e">
            <v>#N/A</v>
          </cell>
          <cell r="K1201">
            <v>17.5</v>
          </cell>
          <cell r="L1201">
            <v>14</v>
          </cell>
          <cell r="M1201" t="e">
            <v>#N/A</v>
          </cell>
          <cell r="N1201">
            <v>16.5</v>
          </cell>
          <cell r="O1201" t="e">
            <v>#N/A</v>
          </cell>
          <cell r="P1201" t="str">
            <v/>
          </cell>
          <cell r="Q1201" t="str">
            <v/>
          </cell>
          <cell r="R1201">
            <v>16.5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-21.275675675675796</v>
          </cell>
          <cell r="F1202">
            <v>22.170270270270688</v>
          </cell>
          <cell r="G1202">
            <v>13.481081081081161</v>
          </cell>
          <cell r="H1202">
            <v>13.481081081081161</v>
          </cell>
          <cell r="I1202" t="e">
            <v>#N/A</v>
          </cell>
          <cell r="J1202" t="e">
            <v>#N/A</v>
          </cell>
          <cell r="K1202">
            <v>17.5</v>
          </cell>
          <cell r="L1202">
            <v>14</v>
          </cell>
          <cell r="M1202" t="e">
            <v>#N/A</v>
          </cell>
          <cell r="N1202">
            <v>16.5</v>
          </cell>
          <cell r="O1202" t="e">
            <v>#N/A</v>
          </cell>
          <cell r="P1202" t="str">
            <v/>
          </cell>
          <cell r="Q1202" t="str">
            <v/>
          </cell>
          <cell r="R1202">
            <v>16.5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-21.331081081081201</v>
          </cell>
          <cell r="F1203">
            <v>22.182432432432851</v>
          </cell>
          <cell r="G1203">
            <v>13.47972972972981</v>
          </cell>
          <cell r="H1203">
            <v>13.47972972972981</v>
          </cell>
          <cell r="I1203" t="e">
            <v>#N/A</v>
          </cell>
          <cell r="J1203" t="e">
            <v>#N/A</v>
          </cell>
          <cell r="K1203">
            <v>17.5</v>
          </cell>
          <cell r="L1203">
            <v>14</v>
          </cell>
          <cell r="M1203" t="e">
            <v>#N/A</v>
          </cell>
          <cell r="N1203">
            <v>16.5</v>
          </cell>
          <cell r="O1203" t="e">
            <v>#N/A</v>
          </cell>
          <cell r="P1203" t="str">
            <v/>
          </cell>
          <cell r="Q1203" t="str">
            <v/>
          </cell>
          <cell r="R1203">
            <v>16.5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-21.386486486486607</v>
          </cell>
          <cell r="F1204">
            <v>22.194594594595014</v>
          </cell>
          <cell r="G1204">
            <v>13.478378378378459</v>
          </cell>
          <cell r="H1204">
            <v>13.478378378378459</v>
          </cell>
          <cell r="I1204" t="e">
            <v>#N/A</v>
          </cell>
          <cell r="J1204" t="e">
            <v>#N/A</v>
          </cell>
          <cell r="K1204">
            <v>17.5</v>
          </cell>
          <cell r="L1204">
            <v>14</v>
          </cell>
          <cell r="M1204" t="e">
            <v>#N/A</v>
          </cell>
          <cell r="N1204">
            <v>16.5</v>
          </cell>
          <cell r="O1204" t="e">
            <v>#N/A</v>
          </cell>
          <cell r="P1204" t="str">
            <v/>
          </cell>
          <cell r="Q1204" t="str">
            <v/>
          </cell>
          <cell r="R1204">
            <v>16.5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-21.441891891892013</v>
          </cell>
          <cell r="F1205">
            <v>22.206756756757176</v>
          </cell>
          <cell r="G1205">
            <v>13.477027027027107</v>
          </cell>
          <cell r="H1205">
            <v>13.477027027027107</v>
          </cell>
          <cell r="I1205" t="e">
            <v>#N/A</v>
          </cell>
          <cell r="J1205" t="e">
            <v>#N/A</v>
          </cell>
          <cell r="K1205">
            <v>17.5</v>
          </cell>
          <cell r="L1205">
            <v>14</v>
          </cell>
          <cell r="M1205" t="e">
            <v>#N/A</v>
          </cell>
          <cell r="N1205">
            <v>16.5</v>
          </cell>
          <cell r="O1205" t="e">
            <v>#N/A</v>
          </cell>
          <cell r="P1205" t="str">
            <v/>
          </cell>
          <cell r="Q1205" t="str">
            <v/>
          </cell>
          <cell r="R1205">
            <v>16.5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-21.497297297297418</v>
          </cell>
          <cell r="F1206">
            <v>22.218918918919339</v>
          </cell>
          <cell r="G1206">
            <v>13.475675675675756</v>
          </cell>
          <cell r="H1206">
            <v>13.475675675675756</v>
          </cell>
          <cell r="I1206" t="e">
            <v>#N/A</v>
          </cell>
          <cell r="J1206" t="e">
            <v>#N/A</v>
          </cell>
          <cell r="K1206">
            <v>17.5</v>
          </cell>
          <cell r="L1206">
            <v>14</v>
          </cell>
          <cell r="M1206" t="e">
            <v>#N/A</v>
          </cell>
          <cell r="N1206">
            <v>16.5</v>
          </cell>
          <cell r="O1206" t="e">
            <v>#N/A</v>
          </cell>
          <cell r="P1206" t="str">
            <v/>
          </cell>
          <cell r="Q1206" t="str">
            <v/>
          </cell>
          <cell r="R1206">
            <v>16.5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-21.552702702702824</v>
          </cell>
          <cell r="F1207">
            <v>22.231081081081502</v>
          </cell>
          <cell r="G1207">
            <v>13.474324324324405</v>
          </cell>
          <cell r="H1207">
            <v>13.474324324324405</v>
          </cell>
          <cell r="I1207" t="e">
            <v>#N/A</v>
          </cell>
          <cell r="J1207" t="e">
            <v>#N/A</v>
          </cell>
          <cell r="K1207">
            <v>17.5</v>
          </cell>
          <cell r="L1207">
            <v>14</v>
          </cell>
          <cell r="M1207" t="e">
            <v>#N/A</v>
          </cell>
          <cell r="N1207">
            <v>16.5</v>
          </cell>
          <cell r="O1207" t="e">
            <v>#N/A</v>
          </cell>
          <cell r="P1207" t="str">
            <v/>
          </cell>
          <cell r="Q1207" t="str">
            <v/>
          </cell>
          <cell r="R1207">
            <v>16.5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-21.60810810810823</v>
          </cell>
          <cell r="F1208">
            <v>22.243243243243665</v>
          </cell>
          <cell r="G1208">
            <v>13.472972972973054</v>
          </cell>
          <cell r="H1208">
            <v>13.472972972973054</v>
          </cell>
          <cell r="I1208" t="e">
            <v>#N/A</v>
          </cell>
          <cell r="J1208" t="e">
            <v>#N/A</v>
          </cell>
          <cell r="K1208">
            <v>17.5</v>
          </cell>
          <cell r="L1208">
            <v>14</v>
          </cell>
          <cell r="M1208" t="e">
            <v>#N/A</v>
          </cell>
          <cell r="N1208">
            <v>16.5</v>
          </cell>
          <cell r="O1208" t="e">
            <v>#N/A</v>
          </cell>
          <cell r="P1208" t="str">
            <v/>
          </cell>
          <cell r="Q1208" t="str">
            <v/>
          </cell>
          <cell r="R1208">
            <v>16.5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-21.663513513513635</v>
          </cell>
          <cell r="F1209">
            <v>22.255405405405828</v>
          </cell>
          <cell r="G1209">
            <v>13.471621621621702</v>
          </cell>
          <cell r="H1209">
            <v>13.471621621621702</v>
          </cell>
          <cell r="I1209" t="e">
            <v>#N/A</v>
          </cell>
          <cell r="J1209" t="e">
            <v>#N/A</v>
          </cell>
          <cell r="K1209">
            <v>17.5</v>
          </cell>
          <cell r="L1209">
            <v>14</v>
          </cell>
          <cell r="M1209" t="e">
            <v>#N/A</v>
          </cell>
          <cell r="N1209">
            <v>16.5</v>
          </cell>
          <cell r="O1209" t="e">
            <v>#N/A</v>
          </cell>
          <cell r="P1209" t="str">
            <v/>
          </cell>
          <cell r="Q1209" t="str">
            <v/>
          </cell>
          <cell r="R1209">
            <v>16.5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-21.718918918919041</v>
          </cell>
          <cell r="F1210">
            <v>22.26756756756799</v>
          </cell>
          <cell r="G1210">
            <v>13.470270270270351</v>
          </cell>
          <cell r="H1210">
            <v>13.470270270270351</v>
          </cell>
          <cell r="I1210" t="e">
            <v>#N/A</v>
          </cell>
          <cell r="J1210" t="e">
            <v>#N/A</v>
          </cell>
          <cell r="K1210">
            <v>17.5</v>
          </cell>
          <cell r="L1210">
            <v>14</v>
          </cell>
          <cell r="M1210" t="e">
            <v>#N/A</v>
          </cell>
          <cell r="N1210">
            <v>16.5</v>
          </cell>
          <cell r="O1210" t="e">
            <v>#N/A</v>
          </cell>
          <cell r="P1210" t="str">
            <v/>
          </cell>
          <cell r="Q1210" t="str">
            <v/>
          </cell>
          <cell r="R1210">
            <v>16.5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-21.774324324324446</v>
          </cell>
          <cell r="F1211">
            <v>22.279729729730153</v>
          </cell>
          <cell r="G1211">
            <v>13.468918918919</v>
          </cell>
          <cell r="H1211">
            <v>13.468918918919</v>
          </cell>
          <cell r="I1211" t="e">
            <v>#N/A</v>
          </cell>
          <cell r="J1211" t="e">
            <v>#N/A</v>
          </cell>
          <cell r="K1211">
            <v>17.5</v>
          </cell>
          <cell r="L1211">
            <v>14</v>
          </cell>
          <cell r="M1211" t="e">
            <v>#N/A</v>
          </cell>
          <cell r="N1211">
            <v>16.5</v>
          </cell>
          <cell r="O1211" t="e">
            <v>#N/A</v>
          </cell>
          <cell r="P1211" t="str">
            <v/>
          </cell>
          <cell r="Q1211" t="str">
            <v/>
          </cell>
          <cell r="R1211">
            <v>16.5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-21.829729729729852</v>
          </cell>
          <cell r="F1212">
            <v>22.291891891892316</v>
          </cell>
          <cell r="G1212">
            <v>13.467567567567649</v>
          </cell>
          <cell r="H1212">
            <v>13.467567567567649</v>
          </cell>
          <cell r="I1212" t="e">
            <v>#N/A</v>
          </cell>
          <cell r="J1212" t="e">
            <v>#N/A</v>
          </cell>
          <cell r="K1212">
            <v>17.5</v>
          </cell>
          <cell r="L1212">
            <v>14</v>
          </cell>
          <cell r="M1212" t="e">
            <v>#N/A</v>
          </cell>
          <cell r="N1212">
            <v>16.5</v>
          </cell>
          <cell r="O1212" t="e">
            <v>#N/A</v>
          </cell>
          <cell r="P1212" t="str">
            <v/>
          </cell>
          <cell r="Q1212" t="str">
            <v/>
          </cell>
          <cell r="R1212">
            <v>16.5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-21.885135135135258</v>
          </cell>
          <cell r="F1213">
            <v>22.304054054054479</v>
          </cell>
          <cell r="G1213">
            <v>13.466216216216297</v>
          </cell>
          <cell r="H1213">
            <v>13.466216216216297</v>
          </cell>
          <cell r="I1213" t="e">
            <v>#N/A</v>
          </cell>
          <cell r="J1213" t="e">
            <v>#N/A</v>
          </cell>
          <cell r="K1213">
            <v>17.5</v>
          </cell>
          <cell r="L1213">
            <v>14</v>
          </cell>
          <cell r="M1213" t="e">
            <v>#N/A</v>
          </cell>
          <cell r="N1213">
            <v>16.5</v>
          </cell>
          <cell r="O1213" t="e">
            <v>#N/A</v>
          </cell>
          <cell r="P1213" t="str">
            <v/>
          </cell>
          <cell r="Q1213" t="str">
            <v/>
          </cell>
          <cell r="R1213">
            <v>16.5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-21.940540540540663</v>
          </cell>
          <cell r="F1214">
            <v>22.316216216216642</v>
          </cell>
          <cell r="G1214">
            <v>13.464864864864946</v>
          </cell>
          <cell r="H1214">
            <v>13.464864864864946</v>
          </cell>
          <cell r="I1214" t="e">
            <v>#N/A</v>
          </cell>
          <cell r="J1214" t="e">
            <v>#N/A</v>
          </cell>
          <cell r="K1214">
            <v>17.5</v>
          </cell>
          <cell r="L1214">
            <v>14</v>
          </cell>
          <cell r="M1214" t="e">
            <v>#N/A</v>
          </cell>
          <cell r="N1214">
            <v>16.5</v>
          </cell>
          <cell r="O1214" t="e">
            <v>#N/A</v>
          </cell>
          <cell r="P1214" t="str">
            <v/>
          </cell>
          <cell r="Q1214" t="str">
            <v/>
          </cell>
          <cell r="R1214">
            <v>16.5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-21.995945945946069</v>
          </cell>
          <cell r="F1215">
            <v>22.328378378378805</v>
          </cell>
          <cell r="G1215">
            <v>13.463513513513595</v>
          </cell>
          <cell r="H1215">
            <v>13.463513513513595</v>
          </cell>
          <cell r="I1215" t="e">
            <v>#N/A</v>
          </cell>
          <cell r="J1215" t="e">
            <v>#N/A</v>
          </cell>
          <cell r="K1215">
            <v>17.5</v>
          </cell>
          <cell r="L1215">
            <v>14</v>
          </cell>
          <cell r="M1215" t="e">
            <v>#N/A</v>
          </cell>
          <cell r="N1215">
            <v>16.5</v>
          </cell>
          <cell r="O1215" t="e">
            <v>#N/A</v>
          </cell>
          <cell r="P1215" t="str">
            <v/>
          </cell>
          <cell r="Q1215" t="str">
            <v/>
          </cell>
          <cell r="R1215">
            <v>16.5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-22.051351351351475</v>
          </cell>
          <cell r="F1216">
            <v>22.340540540540967</v>
          </cell>
          <cell r="G1216">
            <v>13.462162162162244</v>
          </cell>
          <cell r="H1216">
            <v>13.462162162162244</v>
          </cell>
          <cell r="I1216" t="e">
            <v>#N/A</v>
          </cell>
          <cell r="J1216" t="e">
            <v>#N/A</v>
          </cell>
          <cell r="K1216">
            <v>17.5</v>
          </cell>
          <cell r="L1216">
            <v>14</v>
          </cell>
          <cell r="M1216" t="e">
            <v>#N/A</v>
          </cell>
          <cell r="N1216">
            <v>16.5</v>
          </cell>
          <cell r="O1216" t="e">
            <v>#N/A</v>
          </cell>
          <cell r="P1216" t="str">
            <v/>
          </cell>
          <cell r="Q1216" t="str">
            <v/>
          </cell>
          <cell r="R1216">
            <v>16.5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-22.10675675675688</v>
          </cell>
          <cell r="F1217">
            <v>22.35270270270313</v>
          </cell>
          <cell r="G1217">
            <v>13.460810810810893</v>
          </cell>
          <cell r="H1217">
            <v>13.460810810810893</v>
          </cell>
          <cell r="I1217" t="e">
            <v>#N/A</v>
          </cell>
          <cell r="J1217" t="e">
            <v>#N/A</v>
          </cell>
          <cell r="K1217">
            <v>17.5</v>
          </cell>
          <cell r="L1217">
            <v>14</v>
          </cell>
          <cell r="M1217" t="e">
            <v>#N/A</v>
          </cell>
          <cell r="N1217">
            <v>16.5</v>
          </cell>
          <cell r="O1217" t="e">
            <v>#N/A</v>
          </cell>
          <cell r="P1217" t="str">
            <v/>
          </cell>
          <cell r="Q1217" t="str">
            <v/>
          </cell>
          <cell r="R1217">
            <v>16.5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-22.162162162162286</v>
          </cell>
          <cell r="F1218">
            <v>22.364864864865293</v>
          </cell>
          <cell r="G1218">
            <v>13.459459459459541</v>
          </cell>
          <cell r="H1218">
            <v>13.459459459459541</v>
          </cell>
          <cell r="I1218" t="e">
            <v>#N/A</v>
          </cell>
          <cell r="J1218" t="e">
            <v>#N/A</v>
          </cell>
          <cell r="K1218">
            <v>17.5</v>
          </cell>
          <cell r="L1218">
            <v>14</v>
          </cell>
          <cell r="M1218" t="e">
            <v>#N/A</v>
          </cell>
          <cell r="N1218">
            <v>16.5</v>
          </cell>
          <cell r="O1218" t="e">
            <v>#N/A</v>
          </cell>
          <cell r="P1218" t="str">
            <v/>
          </cell>
          <cell r="Q1218" t="str">
            <v/>
          </cell>
          <cell r="R1218">
            <v>16.5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-22.217567567567691</v>
          </cell>
          <cell r="F1219">
            <v>22.377027027027456</v>
          </cell>
          <cell r="G1219">
            <v>13.45810810810819</v>
          </cell>
          <cell r="H1219">
            <v>13.45810810810819</v>
          </cell>
          <cell r="I1219" t="e">
            <v>#N/A</v>
          </cell>
          <cell r="J1219" t="e">
            <v>#N/A</v>
          </cell>
          <cell r="K1219">
            <v>17.5</v>
          </cell>
          <cell r="L1219">
            <v>14</v>
          </cell>
          <cell r="M1219" t="e">
            <v>#N/A</v>
          </cell>
          <cell r="N1219">
            <v>16.5</v>
          </cell>
          <cell r="O1219" t="e">
            <v>#N/A</v>
          </cell>
          <cell r="P1219" t="str">
            <v/>
          </cell>
          <cell r="Q1219" t="str">
            <v/>
          </cell>
          <cell r="R1219">
            <v>16.5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-22.272972972973097</v>
          </cell>
          <cell r="F1220">
            <v>22.389189189189619</v>
          </cell>
          <cell r="G1220">
            <v>13.456756756756839</v>
          </cell>
          <cell r="H1220">
            <v>13.456756756756839</v>
          </cell>
          <cell r="I1220" t="e">
            <v>#N/A</v>
          </cell>
          <cell r="J1220" t="e">
            <v>#N/A</v>
          </cell>
          <cell r="K1220">
            <v>17.5</v>
          </cell>
          <cell r="L1220">
            <v>14</v>
          </cell>
          <cell r="M1220" t="e">
            <v>#N/A</v>
          </cell>
          <cell r="N1220">
            <v>16.5</v>
          </cell>
          <cell r="O1220" t="e">
            <v>#N/A</v>
          </cell>
          <cell r="P1220" t="str">
            <v/>
          </cell>
          <cell r="Q1220" t="str">
            <v/>
          </cell>
          <cell r="R1220">
            <v>16.5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-22.328378378378503</v>
          </cell>
          <cell r="F1221">
            <v>22.401351351351781</v>
          </cell>
          <cell r="G1221">
            <v>13.455405405405488</v>
          </cell>
          <cell r="H1221">
            <v>13.455405405405488</v>
          </cell>
          <cell r="I1221" t="e">
            <v>#N/A</v>
          </cell>
          <cell r="J1221" t="e">
            <v>#N/A</v>
          </cell>
          <cell r="K1221">
            <v>17.5</v>
          </cell>
          <cell r="L1221">
            <v>14</v>
          </cell>
          <cell r="M1221" t="e">
            <v>#N/A</v>
          </cell>
          <cell r="N1221">
            <v>16.5</v>
          </cell>
          <cell r="O1221" t="e">
            <v>#N/A</v>
          </cell>
          <cell r="P1221" t="str">
            <v/>
          </cell>
          <cell r="Q1221" t="str">
            <v/>
          </cell>
          <cell r="R1221">
            <v>16.5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-22.383783783783908</v>
          </cell>
          <cell r="F1222">
            <v>22.413513513513944</v>
          </cell>
          <cell r="G1222">
            <v>13.454054054054136</v>
          </cell>
          <cell r="H1222">
            <v>13.454054054054136</v>
          </cell>
          <cell r="I1222" t="e">
            <v>#N/A</v>
          </cell>
          <cell r="J1222" t="e">
            <v>#N/A</v>
          </cell>
          <cell r="K1222">
            <v>17.5</v>
          </cell>
          <cell r="L1222">
            <v>14</v>
          </cell>
          <cell r="M1222" t="e">
            <v>#N/A</v>
          </cell>
          <cell r="N1222">
            <v>16.5</v>
          </cell>
          <cell r="O1222" t="e">
            <v>#N/A</v>
          </cell>
          <cell r="P1222" t="str">
            <v/>
          </cell>
          <cell r="Q1222" t="str">
            <v/>
          </cell>
          <cell r="R1222">
            <v>16.5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-22.439189189189314</v>
          </cell>
          <cell r="F1223">
            <v>22.425675675676107</v>
          </cell>
          <cell r="G1223">
            <v>13.452702702702785</v>
          </cell>
          <cell r="H1223">
            <v>13.452702702702785</v>
          </cell>
          <cell r="I1223" t="e">
            <v>#N/A</v>
          </cell>
          <cell r="J1223" t="e">
            <v>#N/A</v>
          </cell>
          <cell r="K1223">
            <v>17.5</v>
          </cell>
          <cell r="L1223">
            <v>14</v>
          </cell>
          <cell r="M1223" t="e">
            <v>#N/A</v>
          </cell>
          <cell r="N1223">
            <v>16.5</v>
          </cell>
          <cell r="O1223" t="e">
            <v>#N/A</v>
          </cell>
          <cell r="P1223" t="str">
            <v/>
          </cell>
          <cell r="Q1223" t="str">
            <v/>
          </cell>
          <cell r="R1223">
            <v>16.5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-22.494594594594719</v>
          </cell>
          <cell r="F1224">
            <v>22.43783783783827</v>
          </cell>
          <cell r="G1224">
            <v>13.451351351351434</v>
          </cell>
          <cell r="H1224">
            <v>13.451351351351434</v>
          </cell>
          <cell r="I1224" t="e">
            <v>#N/A</v>
          </cell>
          <cell r="J1224" t="e">
            <v>#N/A</v>
          </cell>
          <cell r="K1224">
            <v>17.5</v>
          </cell>
          <cell r="L1224">
            <v>14</v>
          </cell>
          <cell r="M1224" t="e">
            <v>#N/A</v>
          </cell>
          <cell r="N1224">
            <v>16.5</v>
          </cell>
          <cell r="O1224" t="e">
            <v>#N/A</v>
          </cell>
          <cell r="P1224" t="str">
            <v/>
          </cell>
          <cell r="Q1224" t="str">
            <v/>
          </cell>
          <cell r="R1224">
            <v>16.5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-22.550000000000125</v>
          </cell>
          <cell r="F1225">
            <v>22.450000000000433</v>
          </cell>
          <cell r="G1225">
            <v>13.450000000000083</v>
          </cell>
          <cell r="H1225">
            <v>13.450000000000083</v>
          </cell>
          <cell r="I1225" t="e">
            <v>#N/A</v>
          </cell>
          <cell r="J1225" t="e">
            <v>#N/A</v>
          </cell>
          <cell r="K1225">
            <v>17.5</v>
          </cell>
          <cell r="L1225">
            <v>14</v>
          </cell>
          <cell r="M1225" t="e">
            <v>#N/A</v>
          </cell>
          <cell r="N1225">
            <v>16.5</v>
          </cell>
          <cell r="O1225" t="e">
            <v>#N/A</v>
          </cell>
          <cell r="P1225" t="str">
            <v/>
          </cell>
          <cell r="Q1225" t="str">
            <v/>
          </cell>
          <cell r="R1225">
            <v>16.5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-22.605405405405531</v>
          </cell>
          <cell r="F1226">
            <v>22.462162162162596</v>
          </cell>
          <cell r="G1226">
            <v>13.448648648648732</v>
          </cell>
          <cell r="H1226">
            <v>13.448648648648732</v>
          </cell>
          <cell r="I1226" t="e">
            <v>#N/A</v>
          </cell>
          <cell r="J1226" t="e">
            <v>#N/A</v>
          </cell>
          <cell r="K1226">
            <v>17.5</v>
          </cell>
          <cell r="L1226">
            <v>14</v>
          </cell>
          <cell r="M1226" t="e">
            <v>#N/A</v>
          </cell>
          <cell r="N1226">
            <v>16.5</v>
          </cell>
          <cell r="O1226" t="e">
            <v>#N/A</v>
          </cell>
          <cell r="P1226" t="str">
            <v/>
          </cell>
          <cell r="Q1226" t="str">
            <v/>
          </cell>
          <cell r="R1226">
            <v>16.5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-22.660810810810936</v>
          </cell>
          <cell r="F1227">
            <v>22.474324324324758</v>
          </cell>
          <cell r="G1227">
            <v>13.44729729729738</v>
          </cell>
          <cell r="H1227">
            <v>13.44729729729738</v>
          </cell>
          <cell r="I1227" t="e">
            <v>#N/A</v>
          </cell>
          <cell r="J1227" t="e">
            <v>#N/A</v>
          </cell>
          <cell r="K1227">
            <v>17.5</v>
          </cell>
          <cell r="L1227">
            <v>14</v>
          </cell>
          <cell r="M1227" t="e">
            <v>#N/A</v>
          </cell>
          <cell r="N1227">
            <v>16.5</v>
          </cell>
          <cell r="O1227" t="e">
            <v>#N/A</v>
          </cell>
          <cell r="P1227" t="str">
            <v/>
          </cell>
          <cell r="Q1227" t="str">
            <v/>
          </cell>
          <cell r="R1227">
            <v>16.5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-22.716216216216342</v>
          </cell>
          <cell r="F1228">
            <v>22.486486486486921</v>
          </cell>
          <cell r="G1228">
            <v>13.445945945946029</v>
          </cell>
          <cell r="H1228">
            <v>13.445945945946029</v>
          </cell>
          <cell r="I1228" t="e">
            <v>#N/A</v>
          </cell>
          <cell r="J1228" t="e">
            <v>#N/A</v>
          </cell>
          <cell r="K1228">
            <v>17.5</v>
          </cell>
          <cell r="L1228">
            <v>14</v>
          </cell>
          <cell r="M1228" t="e">
            <v>#N/A</v>
          </cell>
          <cell r="N1228">
            <v>16.5</v>
          </cell>
          <cell r="O1228" t="e">
            <v>#N/A</v>
          </cell>
          <cell r="P1228" t="str">
            <v/>
          </cell>
          <cell r="Q1228" t="str">
            <v/>
          </cell>
          <cell r="R1228">
            <v>16.5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-22.771621621621748</v>
          </cell>
          <cell r="F1229">
            <v>22.498648648649084</v>
          </cell>
          <cell r="G1229">
            <v>13.444594594594678</v>
          </cell>
          <cell r="H1229">
            <v>13.444594594594678</v>
          </cell>
          <cell r="I1229" t="e">
            <v>#N/A</v>
          </cell>
          <cell r="J1229" t="e">
            <v>#N/A</v>
          </cell>
          <cell r="K1229">
            <v>17.5</v>
          </cell>
          <cell r="L1229">
            <v>14</v>
          </cell>
          <cell r="M1229" t="e">
            <v>#N/A</v>
          </cell>
          <cell r="N1229">
            <v>16.5</v>
          </cell>
          <cell r="O1229" t="e">
            <v>#N/A</v>
          </cell>
          <cell r="P1229" t="str">
            <v/>
          </cell>
          <cell r="Q1229" t="str">
            <v/>
          </cell>
          <cell r="R1229">
            <v>16.5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-22.827027027027153</v>
          </cell>
          <cell r="F1230">
            <v>22.510810810811247</v>
          </cell>
          <cell r="G1230">
            <v>13.443243243243327</v>
          </cell>
          <cell r="H1230">
            <v>13.443243243243327</v>
          </cell>
          <cell r="I1230" t="e">
            <v>#N/A</v>
          </cell>
          <cell r="J1230" t="e">
            <v>#N/A</v>
          </cell>
          <cell r="K1230">
            <v>17.5</v>
          </cell>
          <cell r="L1230">
            <v>14</v>
          </cell>
          <cell r="M1230" t="e">
            <v>#N/A</v>
          </cell>
          <cell r="N1230">
            <v>16.5</v>
          </cell>
          <cell r="O1230" t="e">
            <v>#N/A</v>
          </cell>
          <cell r="P1230" t="str">
            <v/>
          </cell>
          <cell r="Q1230" t="str">
            <v/>
          </cell>
          <cell r="R1230">
            <v>16.5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-22.882432432432559</v>
          </cell>
          <cell r="F1231">
            <v>22.52297297297341</v>
          </cell>
          <cell r="G1231">
            <v>13.441891891891975</v>
          </cell>
          <cell r="H1231">
            <v>13.441891891891975</v>
          </cell>
          <cell r="I1231" t="e">
            <v>#N/A</v>
          </cell>
          <cell r="J1231" t="e">
            <v>#N/A</v>
          </cell>
          <cell r="K1231">
            <v>17.5</v>
          </cell>
          <cell r="L1231">
            <v>14</v>
          </cell>
          <cell r="M1231" t="e">
            <v>#N/A</v>
          </cell>
          <cell r="N1231">
            <v>16.5</v>
          </cell>
          <cell r="O1231" t="e">
            <v>#N/A</v>
          </cell>
          <cell r="P1231" t="str">
            <v/>
          </cell>
          <cell r="Q1231" t="str">
            <v/>
          </cell>
          <cell r="R1231">
            <v>16.5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-22.937837837837964</v>
          </cell>
          <cell r="F1232">
            <v>22.535135135135572</v>
          </cell>
          <cell r="G1232">
            <v>13.440540540540624</v>
          </cell>
          <cell r="H1232">
            <v>13.440540540540624</v>
          </cell>
          <cell r="I1232" t="e">
            <v>#N/A</v>
          </cell>
          <cell r="J1232" t="e">
            <v>#N/A</v>
          </cell>
          <cell r="K1232">
            <v>17.5</v>
          </cell>
          <cell r="L1232">
            <v>14</v>
          </cell>
          <cell r="M1232" t="e">
            <v>#N/A</v>
          </cell>
          <cell r="N1232">
            <v>16.5</v>
          </cell>
          <cell r="O1232" t="e">
            <v>#N/A</v>
          </cell>
          <cell r="P1232" t="str">
            <v/>
          </cell>
          <cell r="Q1232" t="str">
            <v/>
          </cell>
          <cell r="R1232">
            <v>16.5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-22.99324324324337</v>
          </cell>
          <cell r="F1233">
            <v>22.547297297297735</v>
          </cell>
          <cell r="G1233">
            <v>13.439189189189273</v>
          </cell>
          <cell r="H1233">
            <v>13.439189189189273</v>
          </cell>
          <cell r="I1233" t="e">
            <v>#N/A</v>
          </cell>
          <cell r="J1233" t="e">
            <v>#N/A</v>
          </cell>
          <cell r="K1233">
            <v>17.5</v>
          </cell>
          <cell r="L1233">
            <v>14</v>
          </cell>
          <cell r="M1233" t="e">
            <v>#N/A</v>
          </cell>
          <cell r="N1233">
            <v>16.5</v>
          </cell>
          <cell r="O1233" t="e">
            <v>#N/A</v>
          </cell>
          <cell r="P1233" t="str">
            <v/>
          </cell>
          <cell r="Q1233" t="str">
            <v/>
          </cell>
          <cell r="R1233">
            <v>16.5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-23.048648648648776</v>
          </cell>
          <cell r="F1234">
            <v>22.559459459459898</v>
          </cell>
          <cell r="G1234">
            <v>13.437837837837922</v>
          </cell>
          <cell r="H1234">
            <v>13.437837837837922</v>
          </cell>
          <cell r="I1234" t="e">
            <v>#N/A</v>
          </cell>
          <cell r="J1234" t="e">
            <v>#N/A</v>
          </cell>
          <cell r="K1234">
            <v>17.5</v>
          </cell>
          <cell r="L1234">
            <v>14</v>
          </cell>
          <cell r="M1234" t="e">
            <v>#N/A</v>
          </cell>
          <cell r="N1234">
            <v>16.5</v>
          </cell>
          <cell r="O1234" t="e">
            <v>#N/A</v>
          </cell>
          <cell r="P1234" t="str">
            <v/>
          </cell>
          <cell r="Q1234" t="str">
            <v/>
          </cell>
          <cell r="R1234">
            <v>16.5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-23.104054054054181</v>
          </cell>
          <cell r="F1235">
            <v>22.571621621622061</v>
          </cell>
          <cell r="G1235">
            <v>13.436486486486571</v>
          </cell>
          <cell r="H1235">
            <v>13.436486486486571</v>
          </cell>
          <cell r="I1235" t="e">
            <v>#N/A</v>
          </cell>
          <cell r="J1235" t="e">
            <v>#N/A</v>
          </cell>
          <cell r="K1235">
            <v>17.5</v>
          </cell>
          <cell r="L1235">
            <v>14</v>
          </cell>
          <cell r="M1235" t="e">
            <v>#N/A</v>
          </cell>
          <cell r="N1235">
            <v>16.5</v>
          </cell>
          <cell r="O1235" t="e">
            <v>#N/A</v>
          </cell>
          <cell r="P1235" t="str">
            <v/>
          </cell>
          <cell r="Q1235" t="str">
            <v/>
          </cell>
          <cell r="R1235">
            <v>16.5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-23.159459459459587</v>
          </cell>
          <cell r="F1236">
            <v>22.583783783784224</v>
          </cell>
          <cell r="G1236">
            <v>13.435135135135219</v>
          </cell>
          <cell r="H1236">
            <v>13.435135135135219</v>
          </cell>
          <cell r="I1236" t="e">
            <v>#N/A</v>
          </cell>
          <cell r="J1236" t="e">
            <v>#N/A</v>
          </cell>
          <cell r="K1236">
            <v>17.5</v>
          </cell>
          <cell r="L1236">
            <v>14</v>
          </cell>
          <cell r="M1236" t="e">
            <v>#N/A</v>
          </cell>
          <cell r="N1236">
            <v>16.5</v>
          </cell>
          <cell r="O1236" t="e">
            <v>#N/A</v>
          </cell>
          <cell r="P1236" t="str">
            <v/>
          </cell>
          <cell r="Q1236" t="str">
            <v/>
          </cell>
          <cell r="R1236">
            <v>16.5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-23.214864864864992</v>
          </cell>
          <cell r="F1237">
            <v>22.595945945946387</v>
          </cell>
          <cell r="G1237">
            <v>13.433783783783868</v>
          </cell>
          <cell r="H1237">
            <v>13.433783783783868</v>
          </cell>
          <cell r="I1237" t="e">
            <v>#N/A</v>
          </cell>
          <cell r="J1237" t="e">
            <v>#N/A</v>
          </cell>
          <cell r="K1237">
            <v>17.5</v>
          </cell>
          <cell r="L1237">
            <v>14</v>
          </cell>
          <cell r="M1237" t="e">
            <v>#N/A</v>
          </cell>
          <cell r="N1237">
            <v>16.5</v>
          </cell>
          <cell r="O1237" t="e">
            <v>#N/A</v>
          </cell>
          <cell r="P1237" t="str">
            <v/>
          </cell>
          <cell r="Q1237" t="str">
            <v/>
          </cell>
          <cell r="R1237">
            <v>16.5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-23.270270270270398</v>
          </cell>
          <cell r="F1238">
            <v>22.608108108108549</v>
          </cell>
          <cell r="G1238">
            <v>13.432432432432517</v>
          </cell>
          <cell r="H1238">
            <v>13.432432432432517</v>
          </cell>
          <cell r="I1238" t="e">
            <v>#N/A</v>
          </cell>
          <cell r="J1238" t="e">
            <v>#N/A</v>
          </cell>
          <cell r="K1238">
            <v>17.5</v>
          </cell>
          <cell r="L1238">
            <v>14</v>
          </cell>
          <cell r="M1238" t="e">
            <v>#N/A</v>
          </cell>
          <cell r="N1238">
            <v>16.5</v>
          </cell>
          <cell r="O1238" t="e">
            <v>#N/A</v>
          </cell>
          <cell r="P1238" t="str">
            <v/>
          </cell>
          <cell r="Q1238" t="str">
            <v/>
          </cell>
          <cell r="R1238">
            <v>16.5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-23.325675675675804</v>
          </cell>
          <cell r="F1239">
            <v>22.620270270270712</v>
          </cell>
          <cell r="G1239">
            <v>13.431081081081166</v>
          </cell>
          <cell r="H1239">
            <v>13.431081081081166</v>
          </cell>
          <cell r="I1239" t="e">
            <v>#N/A</v>
          </cell>
          <cell r="J1239" t="e">
            <v>#N/A</v>
          </cell>
          <cell r="K1239">
            <v>17.5</v>
          </cell>
          <cell r="L1239">
            <v>14</v>
          </cell>
          <cell r="M1239" t="e">
            <v>#N/A</v>
          </cell>
          <cell r="N1239">
            <v>16.5</v>
          </cell>
          <cell r="O1239" t="e">
            <v>#N/A</v>
          </cell>
          <cell r="P1239" t="str">
            <v/>
          </cell>
          <cell r="Q1239" t="str">
            <v/>
          </cell>
          <cell r="R1239">
            <v>16.5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-23.381081081081209</v>
          </cell>
          <cell r="F1240">
            <v>22.632432432432875</v>
          </cell>
          <cell r="G1240">
            <v>13.429729729729814</v>
          </cell>
          <cell r="H1240">
            <v>13.429729729729814</v>
          </cell>
          <cell r="I1240" t="e">
            <v>#N/A</v>
          </cell>
          <cell r="J1240" t="e">
            <v>#N/A</v>
          </cell>
          <cell r="K1240">
            <v>17.5</v>
          </cell>
          <cell r="L1240">
            <v>14</v>
          </cell>
          <cell r="M1240" t="e">
            <v>#N/A</v>
          </cell>
          <cell r="N1240">
            <v>16.5</v>
          </cell>
          <cell r="O1240" t="e">
            <v>#N/A</v>
          </cell>
          <cell r="P1240" t="str">
            <v/>
          </cell>
          <cell r="Q1240" t="str">
            <v/>
          </cell>
          <cell r="R1240">
            <v>16.5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-23.436486486486615</v>
          </cell>
          <cell r="F1241">
            <v>22.644594594595038</v>
          </cell>
          <cell r="G1241">
            <v>13.428378378378463</v>
          </cell>
          <cell r="H1241">
            <v>13.428378378378463</v>
          </cell>
          <cell r="I1241" t="e">
            <v>#N/A</v>
          </cell>
          <cell r="J1241" t="e">
            <v>#N/A</v>
          </cell>
          <cell r="K1241">
            <v>17.5</v>
          </cell>
          <cell r="L1241">
            <v>14</v>
          </cell>
          <cell r="M1241" t="e">
            <v>#N/A</v>
          </cell>
          <cell r="N1241">
            <v>16.5</v>
          </cell>
          <cell r="O1241" t="e">
            <v>#N/A</v>
          </cell>
          <cell r="P1241" t="str">
            <v/>
          </cell>
          <cell r="Q1241" t="str">
            <v/>
          </cell>
          <cell r="R1241">
            <v>16.5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-23.491891891892021</v>
          </cell>
          <cell r="F1242">
            <v>22.656756756757201</v>
          </cell>
          <cell r="G1242">
            <v>13.427027027027112</v>
          </cell>
          <cell r="H1242">
            <v>13.427027027027112</v>
          </cell>
          <cell r="I1242" t="e">
            <v>#N/A</v>
          </cell>
          <cell r="J1242" t="e">
            <v>#N/A</v>
          </cell>
          <cell r="K1242">
            <v>17.5</v>
          </cell>
          <cell r="L1242">
            <v>14</v>
          </cell>
          <cell r="M1242" t="e">
            <v>#N/A</v>
          </cell>
          <cell r="N1242">
            <v>16.5</v>
          </cell>
          <cell r="O1242" t="e">
            <v>#N/A</v>
          </cell>
          <cell r="P1242" t="str">
            <v/>
          </cell>
          <cell r="Q1242" t="str">
            <v/>
          </cell>
          <cell r="R1242">
            <v>16.5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-23.547297297297426</v>
          </cell>
          <cell r="F1243">
            <v>22.668918918919363</v>
          </cell>
          <cell r="G1243">
            <v>13.425675675675761</v>
          </cell>
          <cell r="H1243">
            <v>13.425675675675761</v>
          </cell>
          <cell r="I1243" t="e">
            <v>#N/A</v>
          </cell>
          <cell r="J1243" t="e">
            <v>#N/A</v>
          </cell>
          <cell r="K1243">
            <v>17.5</v>
          </cell>
          <cell r="L1243">
            <v>14</v>
          </cell>
          <cell r="M1243" t="e">
            <v>#N/A</v>
          </cell>
          <cell r="N1243">
            <v>16.5</v>
          </cell>
          <cell r="O1243" t="e">
            <v>#N/A</v>
          </cell>
          <cell r="P1243" t="str">
            <v/>
          </cell>
          <cell r="Q1243" t="str">
            <v/>
          </cell>
          <cell r="R1243">
            <v>16.5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-23.602702702702832</v>
          </cell>
          <cell r="F1244">
            <v>22.681081081081526</v>
          </cell>
          <cell r="G1244">
            <v>13.424324324324409</v>
          </cell>
          <cell r="H1244">
            <v>13.424324324324409</v>
          </cell>
          <cell r="I1244" t="e">
            <v>#N/A</v>
          </cell>
          <cell r="J1244" t="e">
            <v>#N/A</v>
          </cell>
          <cell r="K1244">
            <v>17.5</v>
          </cell>
          <cell r="L1244">
            <v>14</v>
          </cell>
          <cell r="M1244" t="e">
            <v>#N/A</v>
          </cell>
          <cell r="N1244">
            <v>16.5</v>
          </cell>
          <cell r="O1244" t="e">
            <v>#N/A</v>
          </cell>
          <cell r="P1244" t="str">
            <v/>
          </cell>
          <cell r="Q1244" t="str">
            <v/>
          </cell>
          <cell r="R1244">
            <v>16.5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-23.658108108108237</v>
          </cell>
          <cell r="F1245">
            <v>22.693243243243689</v>
          </cell>
          <cell r="G1245">
            <v>13.422972972973058</v>
          </cell>
          <cell r="H1245">
            <v>13.422972972973058</v>
          </cell>
          <cell r="I1245" t="e">
            <v>#N/A</v>
          </cell>
          <cell r="J1245" t="e">
            <v>#N/A</v>
          </cell>
          <cell r="K1245">
            <v>17.5</v>
          </cell>
          <cell r="L1245">
            <v>14</v>
          </cell>
          <cell r="M1245" t="e">
            <v>#N/A</v>
          </cell>
          <cell r="N1245">
            <v>16.5</v>
          </cell>
          <cell r="O1245" t="e">
            <v>#N/A</v>
          </cell>
          <cell r="P1245" t="str">
            <v/>
          </cell>
          <cell r="Q1245" t="str">
            <v/>
          </cell>
          <cell r="R1245">
            <v>16.5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-23.713513513513643</v>
          </cell>
          <cell r="F1246">
            <v>22.705405405405852</v>
          </cell>
          <cell r="G1246">
            <v>13.421621621621707</v>
          </cell>
          <cell r="H1246">
            <v>13.421621621621707</v>
          </cell>
          <cell r="I1246" t="e">
            <v>#N/A</v>
          </cell>
          <cell r="J1246" t="e">
            <v>#N/A</v>
          </cell>
          <cell r="K1246">
            <v>17.5</v>
          </cell>
          <cell r="L1246">
            <v>14</v>
          </cell>
          <cell r="M1246" t="e">
            <v>#N/A</v>
          </cell>
          <cell r="N1246">
            <v>16.5</v>
          </cell>
          <cell r="O1246" t="e">
            <v>#N/A</v>
          </cell>
          <cell r="P1246" t="str">
            <v/>
          </cell>
          <cell r="Q1246" t="str">
            <v/>
          </cell>
          <cell r="R1246">
            <v>16.5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-23.768918918919049</v>
          </cell>
          <cell r="F1247">
            <v>22.717567567568015</v>
          </cell>
          <cell r="G1247">
            <v>13.420270270270356</v>
          </cell>
          <cell r="H1247">
            <v>13.420270270270356</v>
          </cell>
          <cell r="I1247" t="e">
            <v>#N/A</v>
          </cell>
          <cell r="J1247" t="e">
            <v>#N/A</v>
          </cell>
          <cell r="K1247">
            <v>17.5</v>
          </cell>
          <cell r="L1247">
            <v>14</v>
          </cell>
          <cell r="M1247" t="e">
            <v>#N/A</v>
          </cell>
          <cell r="N1247">
            <v>16.5</v>
          </cell>
          <cell r="O1247" t="e">
            <v>#N/A</v>
          </cell>
          <cell r="P1247" t="str">
            <v/>
          </cell>
          <cell r="Q1247" t="str">
            <v/>
          </cell>
          <cell r="R1247">
            <v>16.5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-23.824324324324454</v>
          </cell>
          <cell r="F1248">
            <v>22.729729729730177</v>
          </cell>
          <cell r="G1248">
            <v>13.418918918919005</v>
          </cell>
          <cell r="H1248">
            <v>13.418918918919005</v>
          </cell>
          <cell r="I1248" t="e">
            <v>#N/A</v>
          </cell>
          <cell r="J1248" t="e">
            <v>#N/A</v>
          </cell>
          <cell r="K1248">
            <v>17.5</v>
          </cell>
          <cell r="L1248">
            <v>14</v>
          </cell>
          <cell r="M1248" t="e">
            <v>#N/A</v>
          </cell>
          <cell r="N1248">
            <v>16.5</v>
          </cell>
          <cell r="O1248" t="e">
            <v>#N/A</v>
          </cell>
          <cell r="P1248" t="str">
            <v/>
          </cell>
          <cell r="Q1248" t="str">
            <v/>
          </cell>
          <cell r="R1248">
            <v>16.5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-23.87972972972986</v>
          </cell>
          <cell r="F1249">
            <v>22.74189189189234</v>
          </cell>
          <cell r="G1249">
            <v>13.417567567567653</v>
          </cell>
          <cell r="H1249">
            <v>13.417567567567653</v>
          </cell>
          <cell r="I1249" t="e">
            <v>#N/A</v>
          </cell>
          <cell r="J1249" t="e">
            <v>#N/A</v>
          </cell>
          <cell r="K1249">
            <v>17.5</v>
          </cell>
          <cell r="L1249">
            <v>14</v>
          </cell>
          <cell r="M1249" t="e">
            <v>#N/A</v>
          </cell>
          <cell r="N1249">
            <v>16.5</v>
          </cell>
          <cell r="O1249" t="e">
            <v>#N/A</v>
          </cell>
          <cell r="P1249" t="str">
            <v/>
          </cell>
          <cell r="Q1249" t="str">
            <v/>
          </cell>
          <cell r="R1249">
            <v>16.5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-23.935135135135265</v>
          </cell>
          <cell r="F1250">
            <v>22.754054054054503</v>
          </cell>
          <cell r="G1250">
            <v>13.416216216216302</v>
          </cell>
          <cell r="H1250">
            <v>13.416216216216302</v>
          </cell>
          <cell r="I1250" t="e">
            <v>#N/A</v>
          </cell>
          <cell r="J1250" t="e">
            <v>#N/A</v>
          </cell>
          <cell r="K1250">
            <v>17.5</v>
          </cell>
          <cell r="L1250">
            <v>14</v>
          </cell>
          <cell r="M1250" t="e">
            <v>#N/A</v>
          </cell>
          <cell r="N1250">
            <v>16.5</v>
          </cell>
          <cell r="O1250" t="e">
            <v>#N/A</v>
          </cell>
          <cell r="P1250" t="str">
            <v/>
          </cell>
          <cell r="Q1250" t="str">
            <v/>
          </cell>
          <cell r="R1250">
            <v>16.5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-23.990540540540671</v>
          </cell>
          <cell r="F1251">
            <v>22.766216216216666</v>
          </cell>
          <cell r="G1251">
            <v>13.414864864864951</v>
          </cell>
          <cell r="H1251">
            <v>13.414864864864951</v>
          </cell>
          <cell r="I1251" t="e">
            <v>#N/A</v>
          </cell>
          <cell r="J1251" t="e">
            <v>#N/A</v>
          </cell>
          <cell r="K1251">
            <v>17.5</v>
          </cell>
          <cell r="L1251">
            <v>14</v>
          </cell>
          <cell r="M1251" t="e">
            <v>#N/A</v>
          </cell>
          <cell r="N1251">
            <v>16.5</v>
          </cell>
          <cell r="O1251" t="e">
            <v>#N/A</v>
          </cell>
          <cell r="P1251" t="str">
            <v/>
          </cell>
          <cell r="Q1251" t="str">
            <v/>
          </cell>
          <cell r="R1251">
            <v>16.5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-24.045945945946077</v>
          </cell>
          <cell r="F1252">
            <v>22.778378378378829</v>
          </cell>
          <cell r="G1252">
            <v>13.4135135135136</v>
          </cell>
          <cell r="H1252">
            <v>13.4135135135136</v>
          </cell>
          <cell r="I1252" t="e">
            <v>#N/A</v>
          </cell>
          <cell r="J1252" t="e">
            <v>#N/A</v>
          </cell>
          <cell r="K1252">
            <v>17.5</v>
          </cell>
          <cell r="L1252">
            <v>14</v>
          </cell>
          <cell r="M1252" t="e">
            <v>#N/A</v>
          </cell>
          <cell r="N1252">
            <v>16.5</v>
          </cell>
          <cell r="O1252" t="e">
            <v>#N/A</v>
          </cell>
          <cell r="P1252" t="str">
            <v/>
          </cell>
          <cell r="Q1252" t="str">
            <v/>
          </cell>
          <cell r="R1252">
            <v>16.5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11" refreshError="1"/>
      <sheetData sheetId="12" refreshError="1"/>
      <sheetData sheetId="13" refreshError="1">
        <row r="1">
          <cell r="N1" t="str">
            <v>SmartCharts</v>
          </cell>
          <cell r="AW1" t="str">
            <v>.</v>
          </cell>
        </row>
        <row r="2">
          <cell r="AW2" t="str">
            <v>.</v>
          </cell>
        </row>
        <row r="3">
          <cell r="AW3" t="str">
            <v>.</v>
          </cell>
        </row>
        <row r="4">
          <cell r="AW4" t="str">
            <v>.</v>
          </cell>
        </row>
        <row r="5">
          <cell r="C5" t="str">
            <v>Define value axis here:</v>
          </cell>
        </row>
        <row r="6">
          <cell r="C6" t="str">
            <v>Capex ($mil)</v>
          </cell>
        </row>
        <row r="10">
          <cell r="C10" t="str">
            <v>Input your data here:</v>
          </cell>
          <cell r="AW10" t="str">
            <v>.</v>
          </cell>
        </row>
        <row r="11">
          <cell r="C11">
            <v>2009</v>
          </cell>
          <cell r="D11">
            <v>800.62199999999996</v>
          </cell>
        </row>
        <row r="12">
          <cell r="C12">
            <v>2010</v>
          </cell>
          <cell r="D12">
            <v>568.05700000000002</v>
          </cell>
          <cell r="AW12" t="str">
            <v>.</v>
          </cell>
        </row>
        <row r="13">
          <cell r="C13" t="str">
            <v>2011e</v>
          </cell>
          <cell r="D13">
            <v>488.18299999999999</v>
          </cell>
          <cell r="AW13" t="str">
            <v>.</v>
          </cell>
        </row>
        <row r="14">
          <cell r="C14" t="str">
            <v>2012e</v>
          </cell>
          <cell r="D14">
            <v>473.17525000000001</v>
          </cell>
          <cell r="AW14" t="str">
            <v>.</v>
          </cell>
        </row>
        <row r="15">
          <cell r="C15" t="str">
            <v>2013e</v>
          </cell>
          <cell r="D15">
            <v>411.15758333333338</v>
          </cell>
          <cell r="AW15" t="str">
            <v>.</v>
          </cell>
        </row>
        <row r="16">
          <cell r="C16" t="str">
            <v>2014e</v>
          </cell>
          <cell r="D16">
            <v>411.15758333333338</v>
          </cell>
          <cell r="AW16" t="str">
            <v>.</v>
          </cell>
        </row>
        <row r="17">
          <cell r="C17" t="str">
            <v>2015e</v>
          </cell>
          <cell r="D17">
            <v>411.15758333333338</v>
          </cell>
          <cell r="AW17" t="str">
            <v>.</v>
          </cell>
        </row>
        <row r="18">
          <cell r="AW18" t="str">
            <v>.</v>
          </cell>
        </row>
        <row r="19">
          <cell r="AW19" t="str">
            <v>.</v>
          </cell>
        </row>
        <row r="20">
          <cell r="AW20" t="str">
            <v>.</v>
          </cell>
        </row>
        <row r="21">
          <cell r="AW21" t="str">
            <v>.</v>
          </cell>
        </row>
        <row r="22">
          <cell r="AW22" t="str">
            <v>.</v>
          </cell>
        </row>
        <row r="23">
          <cell r="AW23" t="str">
            <v>.</v>
          </cell>
        </row>
        <row r="24">
          <cell r="AW24" t="str">
            <v>.</v>
          </cell>
        </row>
        <row r="25">
          <cell r="AW25" t="str">
            <v>.</v>
          </cell>
        </row>
        <row r="26">
          <cell r="AW26" t="str">
            <v>.</v>
          </cell>
        </row>
        <row r="27">
          <cell r="AW27" t="str">
            <v>.</v>
          </cell>
        </row>
        <row r="28">
          <cell r="AW28" t="str">
            <v>.</v>
          </cell>
        </row>
        <row r="29">
          <cell r="AW29" t="str">
            <v>.</v>
          </cell>
        </row>
        <row r="30">
          <cell r="AW30" t="str">
            <v>.</v>
          </cell>
        </row>
        <row r="31">
          <cell r="AW31" t="str">
            <v>.</v>
          </cell>
        </row>
        <row r="32">
          <cell r="AW32" t="str">
            <v>.</v>
          </cell>
        </row>
        <row r="33">
          <cell r="AW33" t="str">
            <v>.</v>
          </cell>
        </row>
        <row r="34">
          <cell r="AW34" t="str">
            <v>.</v>
          </cell>
        </row>
        <row r="35">
          <cell r="AW35" t="str">
            <v>.</v>
          </cell>
        </row>
        <row r="36">
          <cell r="AW36" t="str">
            <v>.</v>
          </cell>
        </row>
        <row r="37">
          <cell r="AW37" t="str">
            <v>.</v>
          </cell>
        </row>
        <row r="38">
          <cell r="AW38" t="str">
            <v>.</v>
          </cell>
        </row>
        <row r="39">
          <cell r="AW39" t="str">
            <v>.</v>
          </cell>
        </row>
        <row r="40">
          <cell r="AW40" t="str">
            <v>.</v>
          </cell>
        </row>
        <row r="41">
          <cell r="AW41" t="str">
            <v>.</v>
          </cell>
        </row>
        <row r="42">
          <cell r="AW42" t="str">
            <v>.</v>
          </cell>
        </row>
        <row r="43">
          <cell r="AW43" t="str">
            <v>.</v>
          </cell>
        </row>
        <row r="44">
          <cell r="AW44" t="str">
            <v>.</v>
          </cell>
        </row>
        <row r="45">
          <cell r="AW45" t="str">
            <v>.</v>
          </cell>
        </row>
        <row r="46">
          <cell r="AW46" t="str">
            <v>.</v>
          </cell>
        </row>
        <row r="47">
          <cell r="AW47" t="str">
            <v>.</v>
          </cell>
        </row>
        <row r="48">
          <cell r="AW48" t="str">
            <v>.</v>
          </cell>
        </row>
        <row r="49">
          <cell r="AW49" t="str">
            <v>.</v>
          </cell>
        </row>
        <row r="50">
          <cell r="AW50" t="str">
            <v>.</v>
          </cell>
        </row>
        <row r="51">
          <cell r="AW51" t="str">
            <v>.</v>
          </cell>
        </row>
        <row r="52">
          <cell r="AW52" t="str">
            <v>.</v>
          </cell>
        </row>
        <row r="53">
          <cell r="AW53" t="str">
            <v>.</v>
          </cell>
        </row>
        <row r="54">
          <cell r="AW54" t="str">
            <v>.</v>
          </cell>
        </row>
        <row r="55">
          <cell r="AW55" t="str">
            <v>.</v>
          </cell>
        </row>
        <row r="56">
          <cell r="AW56" t="str">
            <v>.</v>
          </cell>
        </row>
        <row r="57">
          <cell r="AW57" t="str">
            <v>.</v>
          </cell>
        </row>
        <row r="58">
          <cell r="AW58" t="str">
            <v>.</v>
          </cell>
        </row>
        <row r="59">
          <cell r="AW59" t="str">
            <v>.</v>
          </cell>
        </row>
        <row r="60">
          <cell r="AW60" t="str">
            <v>.</v>
          </cell>
        </row>
        <row r="61">
          <cell r="AW61" t="str">
            <v>.</v>
          </cell>
        </row>
        <row r="62">
          <cell r="AW62" t="str">
            <v>.</v>
          </cell>
        </row>
        <row r="63">
          <cell r="AW63" t="str">
            <v>.</v>
          </cell>
        </row>
        <row r="64">
          <cell r="AW64" t="str">
            <v>.</v>
          </cell>
        </row>
        <row r="65">
          <cell r="AW65" t="str">
            <v>.</v>
          </cell>
        </row>
        <row r="66">
          <cell r="AW66" t="str">
            <v>.</v>
          </cell>
        </row>
        <row r="67">
          <cell r="AW67" t="str">
            <v>.</v>
          </cell>
        </row>
        <row r="68">
          <cell r="AW68" t="str">
            <v>.</v>
          </cell>
        </row>
        <row r="69">
          <cell r="AW69" t="str">
            <v>.</v>
          </cell>
        </row>
        <row r="70">
          <cell r="AW70" t="str">
            <v>.</v>
          </cell>
        </row>
        <row r="71">
          <cell r="AW71" t="str">
            <v>.</v>
          </cell>
        </row>
        <row r="72">
          <cell r="AW72" t="str">
            <v>.</v>
          </cell>
        </row>
        <row r="73">
          <cell r="AW73" t="str">
            <v>.</v>
          </cell>
        </row>
        <row r="74">
          <cell r="AW74" t="str">
            <v>.</v>
          </cell>
        </row>
        <row r="75">
          <cell r="AW75" t="str">
            <v>.</v>
          </cell>
        </row>
        <row r="76">
          <cell r="AW76" t="str">
            <v>.</v>
          </cell>
        </row>
        <row r="77">
          <cell r="AW77" t="str">
            <v>.</v>
          </cell>
        </row>
        <row r="78">
          <cell r="AW78" t="str">
            <v>.</v>
          </cell>
        </row>
        <row r="79">
          <cell r="AW79" t="str">
            <v>.</v>
          </cell>
        </row>
        <row r="80">
          <cell r="AW80" t="str">
            <v>.</v>
          </cell>
        </row>
        <row r="81">
          <cell r="AW81" t="str">
            <v>.</v>
          </cell>
        </row>
        <row r="82">
          <cell r="AW82" t="str">
            <v>.</v>
          </cell>
        </row>
        <row r="83">
          <cell r="AW83" t="str">
            <v>.</v>
          </cell>
        </row>
        <row r="84">
          <cell r="AW84" t="str">
            <v>.</v>
          </cell>
        </row>
        <row r="85">
          <cell r="AW85" t="str">
            <v>.</v>
          </cell>
        </row>
        <row r="86">
          <cell r="AW86" t="str">
            <v>.</v>
          </cell>
        </row>
        <row r="87">
          <cell r="AW87" t="str">
            <v>.</v>
          </cell>
        </row>
        <row r="88">
          <cell r="AW88" t="str">
            <v>.</v>
          </cell>
        </row>
        <row r="89">
          <cell r="AW89" t="str">
            <v>.</v>
          </cell>
        </row>
        <row r="90">
          <cell r="AW90" t="str">
            <v>.</v>
          </cell>
        </row>
        <row r="91">
          <cell r="AW91" t="str">
            <v>.</v>
          </cell>
        </row>
        <row r="92">
          <cell r="AW92" t="str">
            <v>.</v>
          </cell>
        </row>
        <row r="93">
          <cell r="AW93" t="str">
            <v>.</v>
          </cell>
        </row>
        <row r="94">
          <cell r="AW94" t="str">
            <v>.</v>
          </cell>
        </row>
        <row r="95">
          <cell r="AW95" t="str">
            <v>.</v>
          </cell>
        </row>
        <row r="96">
          <cell r="AW96" t="str">
            <v>.</v>
          </cell>
        </row>
        <row r="97">
          <cell r="AW97" t="str">
            <v>.</v>
          </cell>
        </row>
        <row r="98">
          <cell r="AW98" t="str">
            <v>.</v>
          </cell>
        </row>
        <row r="99">
          <cell r="AW99" t="str">
            <v>.</v>
          </cell>
        </row>
        <row r="100">
          <cell r="AW100" t="str">
            <v>.</v>
          </cell>
        </row>
        <row r="101">
          <cell r="AW101" t="str">
            <v>.</v>
          </cell>
        </row>
        <row r="102">
          <cell r="AW102" t="str">
            <v>.</v>
          </cell>
        </row>
        <row r="103">
          <cell r="AW103" t="str">
            <v>.</v>
          </cell>
        </row>
        <row r="104">
          <cell r="AW104" t="str">
            <v>.</v>
          </cell>
        </row>
        <row r="105">
          <cell r="AW105" t="str">
            <v>.</v>
          </cell>
        </row>
        <row r="106">
          <cell r="AW106" t="str">
            <v>.</v>
          </cell>
        </row>
        <row r="107">
          <cell r="AW107" t="str">
            <v>.</v>
          </cell>
        </row>
        <row r="108">
          <cell r="AW108" t="str">
            <v>.</v>
          </cell>
        </row>
        <row r="109">
          <cell r="AW109" t="str">
            <v>.</v>
          </cell>
        </row>
        <row r="110">
          <cell r="AW110" t="str">
            <v>.</v>
          </cell>
        </row>
        <row r="111">
          <cell r="AW111" t="str">
            <v>.</v>
          </cell>
        </row>
        <row r="112">
          <cell r="AW112" t="str">
            <v>.</v>
          </cell>
        </row>
        <row r="113">
          <cell r="AW113" t="str">
            <v>.</v>
          </cell>
        </row>
        <row r="114">
          <cell r="AW114" t="str">
            <v>.</v>
          </cell>
        </row>
        <row r="115">
          <cell r="AW115" t="str">
            <v>.</v>
          </cell>
        </row>
        <row r="116">
          <cell r="AW116" t="str">
            <v>.</v>
          </cell>
        </row>
        <row r="117">
          <cell r="AW117" t="str">
            <v>.</v>
          </cell>
        </row>
        <row r="118">
          <cell r="AW118" t="str">
            <v>.</v>
          </cell>
        </row>
        <row r="119">
          <cell r="AW119" t="str">
            <v>.</v>
          </cell>
        </row>
        <row r="120">
          <cell r="AW120" t="str">
            <v>.</v>
          </cell>
        </row>
        <row r="121">
          <cell r="AW121" t="str">
            <v>.</v>
          </cell>
        </row>
        <row r="122">
          <cell r="AW122" t="str">
            <v>.</v>
          </cell>
        </row>
        <row r="123">
          <cell r="AW123" t="str">
            <v>.</v>
          </cell>
        </row>
        <row r="124">
          <cell r="AW124" t="str">
            <v>.</v>
          </cell>
        </row>
        <row r="125">
          <cell r="AW125" t="str">
            <v>.</v>
          </cell>
        </row>
        <row r="126">
          <cell r="AW126" t="str">
            <v>.</v>
          </cell>
        </row>
        <row r="127">
          <cell r="AW127" t="str">
            <v>.</v>
          </cell>
        </row>
        <row r="128">
          <cell r="AW128" t="str">
            <v>.</v>
          </cell>
        </row>
        <row r="129">
          <cell r="AW129" t="str">
            <v>.</v>
          </cell>
        </row>
        <row r="130">
          <cell r="AW130" t="str">
            <v>.</v>
          </cell>
        </row>
        <row r="131">
          <cell r="AW131" t="str">
            <v>.</v>
          </cell>
        </row>
        <row r="132">
          <cell r="AW132" t="str">
            <v>.</v>
          </cell>
        </row>
        <row r="133">
          <cell r="AW133" t="str">
            <v>.</v>
          </cell>
        </row>
        <row r="134">
          <cell r="AW134" t="str">
            <v>.</v>
          </cell>
        </row>
        <row r="135">
          <cell r="AW135" t="str">
            <v>.</v>
          </cell>
        </row>
        <row r="136">
          <cell r="AW136" t="str">
            <v>.</v>
          </cell>
        </row>
        <row r="137">
          <cell r="AW137" t="str">
            <v>.</v>
          </cell>
        </row>
        <row r="138">
          <cell r="AW138" t="str">
            <v>.</v>
          </cell>
        </row>
        <row r="139">
          <cell r="AW139" t="str">
            <v>.</v>
          </cell>
        </row>
        <row r="140">
          <cell r="AW140" t="str">
            <v>.</v>
          </cell>
        </row>
        <row r="141">
          <cell r="AW141" t="str">
            <v>.</v>
          </cell>
        </row>
        <row r="142">
          <cell r="AW142" t="str">
            <v>.</v>
          </cell>
        </row>
        <row r="143">
          <cell r="AW143" t="str">
            <v>.</v>
          </cell>
        </row>
        <row r="144">
          <cell r="AW144" t="str">
            <v>.</v>
          </cell>
        </row>
        <row r="145">
          <cell r="AW145" t="str">
            <v>.</v>
          </cell>
        </row>
        <row r="146">
          <cell r="AW146" t="str">
            <v>.</v>
          </cell>
        </row>
        <row r="147">
          <cell r="AW147" t="str">
            <v>.</v>
          </cell>
        </row>
        <row r="148">
          <cell r="AW148" t="str">
            <v>.</v>
          </cell>
        </row>
        <row r="149">
          <cell r="AW149" t="str">
            <v>.</v>
          </cell>
        </row>
        <row r="150">
          <cell r="AW150" t="str">
            <v>.</v>
          </cell>
        </row>
        <row r="151">
          <cell r="AW151" t="str">
            <v>.</v>
          </cell>
        </row>
        <row r="152">
          <cell r="AW152" t="str">
            <v>.</v>
          </cell>
        </row>
        <row r="153">
          <cell r="AW153" t="str">
            <v>.</v>
          </cell>
        </row>
        <row r="154">
          <cell r="AW154" t="str">
            <v>.</v>
          </cell>
        </row>
        <row r="155">
          <cell r="AW155" t="str">
            <v>.</v>
          </cell>
        </row>
        <row r="156">
          <cell r="AW156" t="str">
            <v>.</v>
          </cell>
        </row>
        <row r="157">
          <cell r="AW157" t="str">
            <v>.</v>
          </cell>
        </row>
        <row r="158">
          <cell r="AW158" t="str">
            <v>.</v>
          </cell>
        </row>
        <row r="159">
          <cell r="AW159" t="str">
            <v>.</v>
          </cell>
        </row>
        <row r="160">
          <cell r="AW160" t="str">
            <v>.</v>
          </cell>
        </row>
        <row r="161">
          <cell r="AW161" t="str">
            <v>.</v>
          </cell>
        </row>
        <row r="162">
          <cell r="AW162" t="str">
            <v>.</v>
          </cell>
        </row>
        <row r="163">
          <cell r="AW163" t="str">
            <v>.</v>
          </cell>
        </row>
        <row r="164">
          <cell r="AW164" t="str">
            <v>.</v>
          </cell>
        </row>
        <row r="165">
          <cell r="AW165" t="str">
            <v>.</v>
          </cell>
        </row>
        <row r="166">
          <cell r="AW166" t="str">
            <v>.</v>
          </cell>
        </row>
        <row r="167">
          <cell r="AW167" t="str">
            <v>.</v>
          </cell>
        </row>
        <row r="168">
          <cell r="AW168" t="str">
            <v>.</v>
          </cell>
        </row>
        <row r="169">
          <cell r="AW169" t="str">
            <v>.</v>
          </cell>
        </row>
        <row r="170">
          <cell r="AW170" t="str">
            <v>.</v>
          </cell>
        </row>
        <row r="171">
          <cell r="AW171" t="str">
            <v>.</v>
          </cell>
        </row>
        <row r="172">
          <cell r="AW172" t="str">
            <v>.</v>
          </cell>
        </row>
        <row r="173">
          <cell r="AW173" t="str">
            <v>.</v>
          </cell>
        </row>
        <row r="174">
          <cell r="AW174" t="str">
            <v>.</v>
          </cell>
        </row>
        <row r="175">
          <cell r="AW175" t="str">
            <v>.</v>
          </cell>
        </row>
        <row r="176">
          <cell r="AW176" t="str">
            <v>.</v>
          </cell>
        </row>
        <row r="177">
          <cell r="AW177" t="str">
            <v>.</v>
          </cell>
        </row>
        <row r="178">
          <cell r="AW178" t="str">
            <v>.</v>
          </cell>
        </row>
        <row r="179">
          <cell r="AW179" t="str">
            <v>.</v>
          </cell>
        </row>
        <row r="180">
          <cell r="AW180" t="str">
            <v>.</v>
          </cell>
        </row>
        <row r="181">
          <cell r="AW181" t="str">
            <v>.</v>
          </cell>
        </row>
        <row r="182">
          <cell r="AW182" t="str">
            <v>.</v>
          </cell>
        </row>
        <row r="183">
          <cell r="AW183" t="str">
            <v>.</v>
          </cell>
        </row>
        <row r="184">
          <cell r="AW184" t="str">
            <v>.</v>
          </cell>
        </row>
        <row r="185">
          <cell r="AW185" t="str">
            <v>.</v>
          </cell>
        </row>
        <row r="186">
          <cell r="AW186" t="str">
            <v>.</v>
          </cell>
        </row>
        <row r="187">
          <cell r="AW187" t="str">
            <v>.</v>
          </cell>
        </row>
        <row r="188">
          <cell r="AW188" t="str">
            <v>.</v>
          </cell>
        </row>
        <row r="189">
          <cell r="AW189" t="str">
            <v>.</v>
          </cell>
        </row>
        <row r="190">
          <cell r="AW190" t="str">
            <v>.</v>
          </cell>
        </row>
        <row r="191">
          <cell r="AW191" t="str">
            <v>.</v>
          </cell>
        </row>
        <row r="192">
          <cell r="AW192" t="str">
            <v>.</v>
          </cell>
        </row>
        <row r="193">
          <cell r="AW193" t="str">
            <v>.</v>
          </cell>
        </row>
        <row r="194">
          <cell r="AW194" t="str">
            <v>.</v>
          </cell>
        </row>
        <row r="195">
          <cell r="AW195" t="str">
            <v>.</v>
          </cell>
        </row>
        <row r="196">
          <cell r="AW196" t="str">
            <v>.</v>
          </cell>
        </row>
        <row r="197">
          <cell r="AW197" t="str">
            <v>.</v>
          </cell>
        </row>
        <row r="198">
          <cell r="AW198" t="str">
            <v>.</v>
          </cell>
        </row>
        <row r="199">
          <cell r="AW199" t="str">
            <v>.</v>
          </cell>
        </row>
        <row r="200">
          <cell r="AW200" t="str">
            <v>.</v>
          </cell>
        </row>
        <row r="201">
          <cell r="AW201" t="str">
            <v>.</v>
          </cell>
        </row>
        <row r="202">
          <cell r="AW202" t="str">
            <v>.</v>
          </cell>
        </row>
        <row r="203">
          <cell r="AW203" t="str">
            <v>.</v>
          </cell>
        </row>
        <row r="204">
          <cell r="AW204" t="str">
            <v>.</v>
          </cell>
        </row>
        <row r="205">
          <cell r="AW205" t="str">
            <v>.</v>
          </cell>
        </row>
        <row r="206">
          <cell r="AW206" t="str">
            <v>.</v>
          </cell>
        </row>
        <row r="207">
          <cell r="AW207" t="str">
            <v>.</v>
          </cell>
        </row>
        <row r="208">
          <cell r="AW208" t="str">
            <v>.</v>
          </cell>
        </row>
        <row r="209">
          <cell r="AW209" t="str">
            <v>.</v>
          </cell>
        </row>
        <row r="210">
          <cell r="AW210" t="str">
            <v>.</v>
          </cell>
        </row>
        <row r="211">
          <cell r="AW211" t="str">
            <v>.</v>
          </cell>
        </row>
        <row r="212">
          <cell r="AW212" t="str">
            <v>.</v>
          </cell>
        </row>
        <row r="213">
          <cell r="AW213" t="str">
            <v>.</v>
          </cell>
        </row>
        <row r="214">
          <cell r="AW214" t="str">
            <v>.</v>
          </cell>
        </row>
        <row r="215">
          <cell r="AW215" t="str">
            <v>.</v>
          </cell>
        </row>
        <row r="216">
          <cell r="AW216" t="str">
            <v>.</v>
          </cell>
        </row>
        <row r="217">
          <cell r="AW217" t="str">
            <v>.</v>
          </cell>
        </row>
        <row r="218">
          <cell r="AW218" t="str">
            <v>.</v>
          </cell>
        </row>
        <row r="219">
          <cell r="AW219" t="str">
            <v>.</v>
          </cell>
        </row>
        <row r="220">
          <cell r="AW220" t="str">
            <v>.</v>
          </cell>
        </row>
        <row r="221">
          <cell r="AW221" t="str">
            <v>.</v>
          </cell>
        </row>
        <row r="222">
          <cell r="AW222" t="str">
            <v>.</v>
          </cell>
        </row>
        <row r="223">
          <cell r="AW223" t="str">
            <v>.</v>
          </cell>
        </row>
        <row r="224">
          <cell r="AW224" t="str">
            <v>.</v>
          </cell>
        </row>
        <row r="225">
          <cell r="AW225" t="str">
            <v>.</v>
          </cell>
        </row>
        <row r="226">
          <cell r="AW226" t="str">
            <v>.</v>
          </cell>
        </row>
        <row r="227">
          <cell r="AW227" t="str">
            <v>.</v>
          </cell>
        </row>
        <row r="228">
          <cell r="AW228" t="str">
            <v>.</v>
          </cell>
        </row>
        <row r="229">
          <cell r="AW229" t="str">
            <v>.</v>
          </cell>
        </row>
        <row r="230">
          <cell r="AW230" t="str">
            <v>.</v>
          </cell>
        </row>
        <row r="231">
          <cell r="AW231" t="str">
            <v>.</v>
          </cell>
        </row>
        <row r="232">
          <cell r="AW232" t="str">
            <v>.</v>
          </cell>
        </row>
        <row r="233">
          <cell r="AW233" t="str">
            <v>.</v>
          </cell>
        </row>
        <row r="234">
          <cell r="AW234" t="str">
            <v>.</v>
          </cell>
        </row>
        <row r="235">
          <cell r="AW235" t="str">
            <v>.</v>
          </cell>
        </row>
        <row r="236">
          <cell r="AW236" t="str">
            <v>.</v>
          </cell>
        </row>
        <row r="237">
          <cell r="AW237" t="str">
            <v>.</v>
          </cell>
        </row>
        <row r="238">
          <cell r="AW238" t="str">
            <v>.</v>
          </cell>
        </row>
        <row r="239">
          <cell r="AW239" t="str">
            <v>.</v>
          </cell>
        </row>
        <row r="240">
          <cell r="AW240" t="str">
            <v>.</v>
          </cell>
        </row>
        <row r="241">
          <cell r="AW241" t="str">
            <v>.</v>
          </cell>
        </row>
        <row r="242">
          <cell r="AW242" t="str">
            <v>.</v>
          </cell>
        </row>
        <row r="243">
          <cell r="AW243" t="str">
            <v>.</v>
          </cell>
        </row>
        <row r="244">
          <cell r="AW244" t="str">
            <v>.</v>
          </cell>
        </row>
        <row r="245">
          <cell r="AW245" t="str">
            <v>.</v>
          </cell>
        </row>
        <row r="246">
          <cell r="AW246" t="str">
            <v>.</v>
          </cell>
        </row>
        <row r="247">
          <cell r="AW247" t="str">
            <v>.</v>
          </cell>
        </row>
        <row r="248">
          <cell r="AW248" t="str">
            <v>.</v>
          </cell>
        </row>
        <row r="249">
          <cell r="AW249" t="str">
            <v>.</v>
          </cell>
        </row>
        <row r="250">
          <cell r="AW250" t="str">
            <v>.</v>
          </cell>
        </row>
        <row r="251">
          <cell r="AW251" t="str">
            <v>.</v>
          </cell>
        </row>
        <row r="252">
          <cell r="AW252" t="str">
            <v>.</v>
          </cell>
        </row>
        <row r="253">
          <cell r="AW253" t="str">
            <v>.</v>
          </cell>
        </row>
        <row r="254">
          <cell r="AW254" t="str">
            <v>.</v>
          </cell>
        </row>
        <row r="255">
          <cell r="AW255" t="str">
            <v>.</v>
          </cell>
        </row>
        <row r="256">
          <cell r="AW256" t="str">
            <v>.</v>
          </cell>
        </row>
        <row r="257">
          <cell r="AW257" t="str">
            <v>.</v>
          </cell>
        </row>
        <row r="258">
          <cell r="AW258" t="str">
            <v>.</v>
          </cell>
        </row>
        <row r="259">
          <cell r="AW259" t="str">
            <v>.</v>
          </cell>
        </row>
        <row r="260">
          <cell r="AW260" t="str">
            <v>.</v>
          </cell>
        </row>
        <row r="261">
          <cell r="AW261" t="str">
            <v>.</v>
          </cell>
        </row>
        <row r="262">
          <cell r="AW262" t="str">
            <v>.</v>
          </cell>
        </row>
        <row r="263">
          <cell r="AW263" t="str">
            <v>.</v>
          </cell>
        </row>
        <row r="264">
          <cell r="AW264" t="str">
            <v>.</v>
          </cell>
        </row>
        <row r="265">
          <cell r="AW265" t="str">
            <v>.</v>
          </cell>
        </row>
        <row r="266">
          <cell r="AW266" t="str">
            <v>.</v>
          </cell>
        </row>
        <row r="267">
          <cell r="AW267" t="str">
            <v>.</v>
          </cell>
        </row>
        <row r="268">
          <cell r="AW268" t="str">
            <v>.</v>
          </cell>
        </row>
        <row r="269">
          <cell r="AW269" t="str">
            <v>.</v>
          </cell>
        </row>
        <row r="270">
          <cell r="AW270" t="str">
            <v>.</v>
          </cell>
        </row>
        <row r="271">
          <cell r="AW271" t="str">
            <v>.</v>
          </cell>
        </row>
        <row r="272">
          <cell r="AW272" t="str">
            <v>.</v>
          </cell>
        </row>
        <row r="273">
          <cell r="AW273" t="str">
            <v>.</v>
          </cell>
        </row>
        <row r="274">
          <cell r="AW274" t="str">
            <v>.</v>
          </cell>
        </row>
        <row r="275">
          <cell r="AW275" t="str">
            <v>.</v>
          </cell>
        </row>
        <row r="276">
          <cell r="AW276" t="str">
            <v>.</v>
          </cell>
        </row>
        <row r="277">
          <cell r="AW277" t="str">
            <v>.</v>
          </cell>
        </row>
        <row r="278">
          <cell r="AW278" t="str">
            <v>.</v>
          </cell>
        </row>
        <row r="279">
          <cell r="AW279" t="str">
            <v>.</v>
          </cell>
        </row>
        <row r="280">
          <cell r="AW280" t="str">
            <v>.</v>
          </cell>
        </row>
        <row r="281">
          <cell r="AW281" t="str">
            <v>.</v>
          </cell>
        </row>
        <row r="282">
          <cell r="AW282" t="str">
            <v>.</v>
          </cell>
        </row>
        <row r="283">
          <cell r="AW283" t="str">
            <v>.</v>
          </cell>
        </row>
        <row r="284">
          <cell r="AW284" t="str">
            <v>.</v>
          </cell>
        </row>
        <row r="285">
          <cell r="AW285" t="str">
            <v>.</v>
          </cell>
        </row>
        <row r="286">
          <cell r="AW286" t="str">
            <v>.</v>
          </cell>
        </row>
        <row r="287">
          <cell r="AW287" t="str">
            <v>.</v>
          </cell>
        </row>
        <row r="288">
          <cell r="AW288" t="str">
            <v>.</v>
          </cell>
        </row>
        <row r="289">
          <cell r="AW289" t="str">
            <v>.</v>
          </cell>
        </row>
        <row r="290">
          <cell r="AW290" t="str">
            <v>.</v>
          </cell>
        </row>
        <row r="291">
          <cell r="AW291" t="str">
            <v>.</v>
          </cell>
        </row>
        <row r="292">
          <cell r="AW292" t="str">
            <v>.</v>
          </cell>
        </row>
        <row r="293">
          <cell r="AW293" t="str">
            <v>.</v>
          </cell>
        </row>
        <row r="294">
          <cell r="AW294" t="str">
            <v>.</v>
          </cell>
        </row>
        <row r="295">
          <cell r="AW295" t="str">
            <v>.</v>
          </cell>
        </row>
        <row r="296">
          <cell r="AW296" t="str">
            <v>.</v>
          </cell>
        </row>
        <row r="297">
          <cell r="AW297" t="str">
            <v>.</v>
          </cell>
        </row>
        <row r="298">
          <cell r="AW298" t="str">
            <v>.</v>
          </cell>
        </row>
        <row r="299">
          <cell r="AW299" t="str">
            <v>.</v>
          </cell>
        </row>
        <row r="300">
          <cell r="AW300" t="str">
            <v>.</v>
          </cell>
        </row>
        <row r="301">
          <cell r="AW301" t="str">
            <v>.</v>
          </cell>
        </row>
        <row r="302">
          <cell r="AW302" t="str">
            <v>.</v>
          </cell>
        </row>
        <row r="303">
          <cell r="AW303" t="str">
            <v>.</v>
          </cell>
        </row>
        <row r="304">
          <cell r="AW304" t="str">
            <v>.</v>
          </cell>
        </row>
        <row r="305">
          <cell r="AW305" t="str">
            <v>.</v>
          </cell>
        </row>
        <row r="306">
          <cell r="AW306" t="str">
            <v>.</v>
          </cell>
        </row>
        <row r="307">
          <cell r="AW307" t="str">
            <v>.</v>
          </cell>
        </row>
        <row r="308">
          <cell r="AW308" t="str">
            <v>.</v>
          </cell>
        </row>
        <row r="309">
          <cell r="AW309" t="str">
            <v>.</v>
          </cell>
        </row>
        <row r="310">
          <cell r="AW310" t="str">
            <v>.</v>
          </cell>
        </row>
        <row r="311">
          <cell r="AW311" t="str">
            <v>.</v>
          </cell>
        </row>
        <row r="312">
          <cell r="AW312" t="str">
            <v>.</v>
          </cell>
        </row>
        <row r="313">
          <cell r="AW313" t="str">
            <v>.</v>
          </cell>
        </row>
        <row r="314">
          <cell r="AW314" t="str">
            <v>.</v>
          </cell>
        </row>
        <row r="315">
          <cell r="AW315" t="str">
            <v>.</v>
          </cell>
        </row>
        <row r="316">
          <cell r="AW316" t="str">
            <v>.</v>
          </cell>
        </row>
        <row r="317">
          <cell r="AW317" t="str">
            <v>.</v>
          </cell>
        </row>
        <row r="318">
          <cell r="AW318" t="str">
            <v>.</v>
          </cell>
        </row>
        <row r="319">
          <cell r="AW319" t="str">
            <v>.</v>
          </cell>
        </row>
        <row r="320">
          <cell r="AW320" t="str">
            <v>.</v>
          </cell>
        </row>
        <row r="321">
          <cell r="AW321" t="str">
            <v>.</v>
          </cell>
        </row>
        <row r="322">
          <cell r="AW322" t="str">
            <v>.</v>
          </cell>
        </row>
        <row r="323">
          <cell r="AW323" t="str">
            <v>.</v>
          </cell>
        </row>
        <row r="324">
          <cell r="AW324" t="str">
            <v>.</v>
          </cell>
        </row>
        <row r="325">
          <cell r="AW325" t="str">
            <v>.</v>
          </cell>
        </row>
        <row r="326">
          <cell r="AW326" t="str">
            <v>.</v>
          </cell>
        </row>
        <row r="327">
          <cell r="AW327" t="str">
            <v>.</v>
          </cell>
        </row>
        <row r="328">
          <cell r="AW328" t="str">
            <v>.</v>
          </cell>
        </row>
        <row r="329">
          <cell r="AW329" t="str">
            <v>.</v>
          </cell>
        </row>
        <row r="330">
          <cell r="AW330" t="str">
            <v>.</v>
          </cell>
        </row>
        <row r="331">
          <cell r="AW331" t="str">
            <v>.</v>
          </cell>
        </row>
        <row r="332">
          <cell r="AW332" t="str">
            <v>.</v>
          </cell>
        </row>
        <row r="333">
          <cell r="AW333" t="str">
            <v>.</v>
          </cell>
        </row>
        <row r="334">
          <cell r="AW334" t="str">
            <v>.</v>
          </cell>
        </row>
        <row r="335">
          <cell r="AW335" t="str">
            <v>.</v>
          </cell>
        </row>
        <row r="336">
          <cell r="AW336" t="str">
            <v>.</v>
          </cell>
        </row>
        <row r="337">
          <cell r="AW337" t="str">
            <v>.</v>
          </cell>
        </row>
        <row r="338">
          <cell r="AW338" t="str">
            <v>.</v>
          </cell>
        </row>
        <row r="339">
          <cell r="AW339" t="str">
            <v>.</v>
          </cell>
        </row>
        <row r="340">
          <cell r="AW340" t="str">
            <v>.</v>
          </cell>
        </row>
        <row r="341">
          <cell r="AW341" t="str">
            <v>.</v>
          </cell>
        </row>
        <row r="342">
          <cell r="AW342" t="str">
            <v>.</v>
          </cell>
        </row>
        <row r="343">
          <cell r="AW343" t="str">
            <v>.</v>
          </cell>
        </row>
        <row r="344">
          <cell r="AW344" t="str">
            <v>.</v>
          </cell>
        </row>
        <row r="345">
          <cell r="AW345" t="str">
            <v>.</v>
          </cell>
        </row>
        <row r="346">
          <cell r="AW346" t="str">
            <v>.</v>
          </cell>
        </row>
        <row r="347">
          <cell r="AW347" t="str">
            <v>.</v>
          </cell>
        </row>
        <row r="348">
          <cell r="AW348" t="str">
            <v>.</v>
          </cell>
        </row>
        <row r="349">
          <cell r="AW349" t="str">
            <v>.</v>
          </cell>
        </row>
        <row r="350">
          <cell r="AW350" t="str">
            <v>.</v>
          </cell>
        </row>
        <row r="351">
          <cell r="AW351" t="str">
            <v>.</v>
          </cell>
        </row>
        <row r="352">
          <cell r="AW352" t="str">
            <v>.</v>
          </cell>
        </row>
        <row r="353">
          <cell r="AW353" t="str">
            <v>.</v>
          </cell>
        </row>
        <row r="354">
          <cell r="AW354" t="str">
            <v>.</v>
          </cell>
        </row>
        <row r="355">
          <cell r="AW355" t="str">
            <v>.</v>
          </cell>
        </row>
        <row r="356">
          <cell r="AW356" t="str">
            <v>.</v>
          </cell>
        </row>
        <row r="357">
          <cell r="AW357" t="str">
            <v>.</v>
          </cell>
        </row>
        <row r="358">
          <cell r="AW358" t="str">
            <v>.</v>
          </cell>
        </row>
        <row r="359">
          <cell r="AW359" t="str">
            <v>.</v>
          </cell>
        </row>
        <row r="360">
          <cell r="AW360" t="str">
            <v>.</v>
          </cell>
        </row>
        <row r="361">
          <cell r="AW361" t="str">
            <v>.</v>
          </cell>
        </row>
        <row r="362">
          <cell r="AW362" t="str">
            <v>.</v>
          </cell>
        </row>
        <row r="363">
          <cell r="AW363" t="str">
            <v>.</v>
          </cell>
        </row>
        <row r="364">
          <cell r="AW364" t="str">
            <v>.</v>
          </cell>
        </row>
        <row r="365">
          <cell r="AW365" t="str">
            <v>.</v>
          </cell>
        </row>
        <row r="366">
          <cell r="AW366" t="str">
            <v>.</v>
          </cell>
        </row>
        <row r="367">
          <cell r="AW367" t="str">
            <v>.</v>
          </cell>
        </row>
        <row r="368">
          <cell r="AW368" t="str">
            <v>.</v>
          </cell>
        </row>
        <row r="369">
          <cell r="AW369" t="str">
            <v>.</v>
          </cell>
        </row>
        <row r="370">
          <cell r="AW370" t="str">
            <v>.</v>
          </cell>
        </row>
        <row r="371">
          <cell r="AW371" t="str">
            <v>.</v>
          </cell>
        </row>
        <row r="372">
          <cell r="AW372" t="str">
            <v>.</v>
          </cell>
        </row>
        <row r="373">
          <cell r="AW373" t="str">
            <v>.</v>
          </cell>
        </row>
        <row r="374">
          <cell r="AW374" t="str">
            <v>.</v>
          </cell>
        </row>
        <row r="375">
          <cell r="AW375" t="str">
            <v>.</v>
          </cell>
        </row>
        <row r="376">
          <cell r="AW376" t="str">
            <v>.</v>
          </cell>
        </row>
        <row r="377">
          <cell r="AW377" t="str">
            <v>.</v>
          </cell>
        </row>
        <row r="378">
          <cell r="AW378" t="str">
            <v>.</v>
          </cell>
        </row>
        <row r="379">
          <cell r="AW379" t="str">
            <v>.</v>
          </cell>
        </row>
        <row r="380">
          <cell r="AW380" t="str">
            <v>.</v>
          </cell>
        </row>
        <row r="381">
          <cell r="AW381" t="str">
            <v>.</v>
          </cell>
        </row>
        <row r="382">
          <cell r="AW382" t="str">
            <v>.</v>
          </cell>
        </row>
        <row r="383">
          <cell r="AW383" t="str">
            <v>.</v>
          </cell>
        </row>
        <row r="384">
          <cell r="AW384" t="str">
            <v>.</v>
          </cell>
        </row>
        <row r="385">
          <cell r="AW385" t="str">
            <v>.</v>
          </cell>
        </row>
        <row r="386">
          <cell r="AW386" t="str">
            <v>.</v>
          </cell>
        </row>
        <row r="387">
          <cell r="AW387" t="str">
            <v>.</v>
          </cell>
        </row>
        <row r="388">
          <cell r="AW388" t="str">
            <v>.</v>
          </cell>
        </row>
        <row r="389">
          <cell r="AW389" t="str">
            <v>.</v>
          </cell>
        </row>
        <row r="390">
          <cell r="AW390" t="str">
            <v>.</v>
          </cell>
        </row>
        <row r="391">
          <cell r="AW391" t="str">
            <v>.</v>
          </cell>
        </row>
        <row r="392">
          <cell r="AW392" t="str">
            <v>.</v>
          </cell>
        </row>
        <row r="393">
          <cell r="AW393" t="str">
            <v>.</v>
          </cell>
        </row>
        <row r="394">
          <cell r="AW394" t="str">
            <v>.</v>
          </cell>
        </row>
        <row r="395">
          <cell r="AW395" t="str">
            <v>.</v>
          </cell>
        </row>
        <row r="396">
          <cell r="AW396" t="str">
            <v>.</v>
          </cell>
        </row>
        <row r="397">
          <cell r="AW397" t="str">
            <v>.</v>
          </cell>
        </row>
        <row r="398">
          <cell r="AW398" t="str">
            <v>.</v>
          </cell>
        </row>
        <row r="399">
          <cell r="AW399" t="str">
            <v>.</v>
          </cell>
        </row>
        <row r="400">
          <cell r="AW400" t="str">
            <v>.</v>
          </cell>
        </row>
        <row r="401">
          <cell r="AW401" t="str">
            <v>.</v>
          </cell>
        </row>
        <row r="402">
          <cell r="AW402" t="str">
            <v>.</v>
          </cell>
        </row>
        <row r="403">
          <cell r="AW403" t="str">
            <v>.</v>
          </cell>
        </row>
        <row r="404">
          <cell r="AW404" t="str">
            <v>.</v>
          </cell>
        </row>
        <row r="405">
          <cell r="AW405" t="str">
            <v>.</v>
          </cell>
        </row>
        <row r="406">
          <cell r="AW406" t="str">
            <v>.</v>
          </cell>
        </row>
        <row r="407">
          <cell r="AW407" t="str">
            <v>.</v>
          </cell>
        </row>
        <row r="408">
          <cell r="AW408" t="str">
            <v>.</v>
          </cell>
        </row>
        <row r="409">
          <cell r="AW409" t="str">
            <v>.</v>
          </cell>
        </row>
        <row r="410">
          <cell r="AW410" t="str">
            <v>.</v>
          </cell>
        </row>
        <row r="411">
          <cell r="AW411" t="str">
            <v>.</v>
          </cell>
        </row>
        <row r="412">
          <cell r="AW412" t="str">
            <v>.</v>
          </cell>
        </row>
        <row r="413">
          <cell r="AW413" t="str">
            <v>.</v>
          </cell>
        </row>
        <row r="414">
          <cell r="AW414" t="str">
            <v>.</v>
          </cell>
        </row>
        <row r="415">
          <cell r="AW415" t="str">
            <v>.</v>
          </cell>
        </row>
        <row r="416">
          <cell r="AW416" t="str">
            <v>.</v>
          </cell>
        </row>
        <row r="417">
          <cell r="AW417" t="str">
            <v>.</v>
          </cell>
        </row>
        <row r="418">
          <cell r="AW418" t="str">
            <v>.</v>
          </cell>
        </row>
        <row r="419">
          <cell r="AW419" t="str">
            <v>.</v>
          </cell>
        </row>
        <row r="420">
          <cell r="AW420" t="str">
            <v>.</v>
          </cell>
        </row>
        <row r="421">
          <cell r="AW421" t="str">
            <v>.</v>
          </cell>
        </row>
        <row r="422">
          <cell r="AW422" t="str">
            <v>.</v>
          </cell>
        </row>
        <row r="423">
          <cell r="AW423" t="str">
            <v>.</v>
          </cell>
        </row>
        <row r="424">
          <cell r="AW424" t="str">
            <v>.</v>
          </cell>
        </row>
        <row r="425">
          <cell r="AW425" t="str">
            <v>.</v>
          </cell>
        </row>
        <row r="426">
          <cell r="AW426" t="str">
            <v>.</v>
          </cell>
        </row>
        <row r="427">
          <cell r="AW427" t="str">
            <v>.</v>
          </cell>
        </row>
        <row r="428">
          <cell r="AW428" t="str">
            <v>.</v>
          </cell>
        </row>
        <row r="429">
          <cell r="AW429" t="str">
            <v>.</v>
          </cell>
        </row>
        <row r="430">
          <cell r="AW430" t="str">
            <v>.</v>
          </cell>
        </row>
        <row r="431">
          <cell r="AW431" t="str">
            <v>.</v>
          </cell>
        </row>
        <row r="432">
          <cell r="AW432" t="str">
            <v>.</v>
          </cell>
        </row>
        <row r="433">
          <cell r="AW433" t="str">
            <v>.</v>
          </cell>
        </row>
        <row r="434">
          <cell r="AW434" t="str">
            <v>.</v>
          </cell>
        </row>
        <row r="435">
          <cell r="AW435" t="str">
            <v>.</v>
          </cell>
        </row>
        <row r="436">
          <cell r="AW436" t="str">
            <v>.</v>
          </cell>
        </row>
        <row r="437">
          <cell r="AW437" t="str">
            <v>.</v>
          </cell>
        </row>
        <row r="438">
          <cell r="AW438" t="str">
            <v>.</v>
          </cell>
        </row>
        <row r="439">
          <cell r="AW439" t="str">
            <v>.</v>
          </cell>
        </row>
        <row r="440">
          <cell r="AW440" t="str">
            <v>.</v>
          </cell>
        </row>
        <row r="441">
          <cell r="AW441" t="str">
            <v>.</v>
          </cell>
        </row>
        <row r="442">
          <cell r="AW442" t="str">
            <v>.</v>
          </cell>
        </row>
        <row r="443">
          <cell r="AW443" t="str">
            <v>.</v>
          </cell>
        </row>
        <row r="444">
          <cell r="AW444" t="str">
            <v>.</v>
          </cell>
        </row>
        <row r="445">
          <cell r="AW445" t="str">
            <v>.</v>
          </cell>
        </row>
        <row r="446">
          <cell r="AW446" t="str">
            <v>.</v>
          </cell>
        </row>
        <row r="447">
          <cell r="AW447" t="str">
            <v>.</v>
          </cell>
        </row>
        <row r="448">
          <cell r="AW448" t="str">
            <v>.</v>
          </cell>
        </row>
        <row r="449">
          <cell r="AW449" t="str">
            <v>.</v>
          </cell>
        </row>
        <row r="450">
          <cell r="AW450" t="str">
            <v>.</v>
          </cell>
        </row>
        <row r="451">
          <cell r="AW451" t="str">
            <v>.</v>
          </cell>
        </row>
        <row r="452">
          <cell r="AW452" t="str">
            <v>.</v>
          </cell>
        </row>
        <row r="453">
          <cell r="AW453" t="str">
            <v>.</v>
          </cell>
        </row>
        <row r="454">
          <cell r="AW454" t="str">
            <v>.</v>
          </cell>
        </row>
        <row r="455">
          <cell r="AW455" t="str">
            <v>.</v>
          </cell>
        </row>
        <row r="456">
          <cell r="AW456" t="str">
            <v>.</v>
          </cell>
        </row>
        <row r="457">
          <cell r="AW457" t="str">
            <v>.</v>
          </cell>
        </row>
        <row r="458">
          <cell r="AW458" t="str">
            <v>.</v>
          </cell>
        </row>
        <row r="459">
          <cell r="AW459" t="str">
            <v>.</v>
          </cell>
        </row>
        <row r="460">
          <cell r="AW460" t="str">
            <v>.</v>
          </cell>
        </row>
        <row r="461">
          <cell r="AW461" t="str">
            <v>.</v>
          </cell>
        </row>
        <row r="462">
          <cell r="AW462" t="str">
            <v>.</v>
          </cell>
        </row>
        <row r="463">
          <cell r="AW463" t="str">
            <v>.</v>
          </cell>
        </row>
        <row r="464">
          <cell r="AW464" t="str">
            <v>.</v>
          </cell>
        </row>
        <row r="465">
          <cell r="AW465" t="str">
            <v>.</v>
          </cell>
        </row>
        <row r="466">
          <cell r="AW466" t="str">
            <v>.</v>
          </cell>
        </row>
        <row r="467">
          <cell r="AW467" t="str">
            <v>.</v>
          </cell>
        </row>
        <row r="468">
          <cell r="AW468" t="str">
            <v>.</v>
          </cell>
        </row>
        <row r="469">
          <cell r="AW469" t="str">
            <v>.</v>
          </cell>
        </row>
        <row r="470">
          <cell r="AW470" t="str">
            <v>.</v>
          </cell>
        </row>
        <row r="471">
          <cell r="AW471" t="str">
            <v>.</v>
          </cell>
        </row>
        <row r="472">
          <cell r="AW472" t="str">
            <v>.</v>
          </cell>
        </row>
        <row r="473">
          <cell r="AW473" t="str">
            <v>.</v>
          </cell>
        </row>
        <row r="474">
          <cell r="AW474" t="str">
            <v>.</v>
          </cell>
        </row>
        <row r="475">
          <cell r="AW475" t="str">
            <v>.</v>
          </cell>
        </row>
        <row r="476">
          <cell r="AW476" t="str">
            <v>.</v>
          </cell>
        </row>
        <row r="477">
          <cell r="AW477" t="str">
            <v>.</v>
          </cell>
        </row>
        <row r="478">
          <cell r="AW478" t="str">
            <v>.</v>
          </cell>
        </row>
        <row r="479">
          <cell r="AW479" t="str">
            <v>.</v>
          </cell>
        </row>
        <row r="480">
          <cell r="AW480" t="str">
            <v>.</v>
          </cell>
        </row>
        <row r="481">
          <cell r="AW481" t="str">
            <v>.</v>
          </cell>
        </row>
        <row r="482">
          <cell r="AW482" t="str">
            <v>.</v>
          </cell>
        </row>
        <row r="483">
          <cell r="AW483" t="str">
            <v>.</v>
          </cell>
        </row>
        <row r="484">
          <cell r="AW484" t="str">
            <v>.</v>
          </cell>
        </row>
        <row r="485">
          <cell r="AW485" t="str">
            <v>.</v>
          </cell>
        </row>
        <row r="486">
          <cell r="AW486" t="str">
            <v>.</v>
          </cell>
        </row>
        <row r="487">
          <cell r="AW487" t="str">
            <v>.</v>
          </cell>
        </row>
        <row r="488">
          <cell r="AW488" t="str">
            <v>.</v>
          </cell>
        </row>
        <row r="489">
          <cell r="AW489" t="str">
            <v>.</v>
          </cell>
        </row>
        <row r="490">
          <cell r="AW490" t="str">
            <v>.</v>
          </cell>
        </row>
        <row r="491">
          <cell r="AW491" t="str">
            <v>.</v>
          </cell>
        </row>
        <row r="492">
          <cell r="AW492" t="str">
            <v>.</v>
          </cell>
        </row>
        <row r="493">
          <cell r="AW493" t="str">
            <v>.</v>
          </cell>
        </row>
        <row r="494">
          <cell r="AW494" t="str">
            <v>.</v>
          </cell>
        </row>
        <row r="495">
          <cell r="AW495" t="str">
            <v>.</v>
          </cell>
        </row>
        <row r="496">
          <cell r="AW496" t="str">
            <v>.</v>
          </cell>
        </row>
        <row r="497">
          <cell r="AW497" t="str">
            <v>.</v>
          </cell>
        </row>
        <row r="498">
          <cell r="AW498" t="str">
            <v>.</v>
          </cell>
        </row>
        <row r="499">
          <cell r="AW499" t="str">
            <v>.</v>
          </cell>
        </row>
        <row r="500">
          <cell r="AW500" t="str">
            <v>.</v>
          </cell>
        </row>
        <row r="501">
          <cell r="AW501" t="str">
            <v>.</v>
          </cell>
        </row>
        <row r="502">
          <cell r="AW502" t="str">
            <v>.</v>
          </cell>
        </row>
        <row r="503">
          <cell r="AW503" t="str">
            <v>.</v>
          </cell>
        </row>
        <row r="504">
          <cell r="AW504" t="str">
            <v>.</v>
          </cell>
        </row>
        <row r="505">
          <cell r="AW505" t="str">
            <v>.</v>
          </cell>
        </row>
        <row r="506">
          <cell r="AW506" t="str">
            <v>.</v>
          </cell>
        </row>
        <row r="507">
          <cell r="AW507" t="str">
            <v>.</v>
          </cell>
        </row>
        <row r="508">
          <cell r="AW508" t="str">
            <v>.</v>
          </cell>
        </row>
        <row r="509">
          <cell r="AW509" t="str">
            <v>.</v>
          </cell>
        </row>
        <row r="510">
          <cell r="AW510" t="str">
            <v>.</v>
          </cell>
        </row>
        <row r="511">
          <cell r="AW511" t="str">
            <v>.</v>
          </cell>
        </row>
        <row r="512">
          <cell r="AW512" t="str">
            <v>.</v>
          </cell>
        </row>
        <row r="513">
          <cell r="AW513" t="str">
            <v>.</v>
          </cell>
        </row>
        <row r="514">
          <cell r="AW514" t="str">
            <v>.</v>
          </cell>
        </row>
        <row r="515">
          <cell r="AW515" t="str">
            <v>.</v>
          </cell>
        </row>
        <row r="516">
          <cell r="AW516" t="str">
            <v>.</v>
          </cell>
        </row>
        <row r="517">
          <cell r="AW517" t="str">
            <v>.</v>
          </cell>
        </row>
        <row r="518">
          <cell r="AW518" t="str">
            <v>.</v>
          </cell>
        </row>
        <row r="519">
          <cell r="AW519" t="str">
            <v>.</v>
          </cell>
        </row>
        <row r="520">
          <cell r="AW520" t="str">
            <v>.</v>
          </cell>
        </row>
        <row r="521">
          <cell r="AW521" t="str">
            <v>.</v>
          </cell>
        </row>
        <row r="522">
          <cell r="AW522" t="str">
            <v>.</v>
          </cell>
        </row>
        <row r="523">
          <cell r="AW523" t="str">
            <v>.</v>
          </cell>
        </row>
        <row r="524">
          <cell r="AW524" t="str">
            <v>.</v>
          </cell>
        </row>
        <row r="525">
          <cell r="AW525" t="str">
            <v>.</v>
          </cell>
        </row>
        <row r="526">
          <cell r="AW526" t="str">
            <v>.</v>
          </cell>
        </row>
        <row r="527">
          <cell r="AW527" t="str">
            <v>.</v>
          </cell>
        </row>
        <row r="528">
          <cell r="AW528" t="str">
            <v>.</v>
          </cell>
        </row>
        <row r="529">
          <cell r="AW529" t="str">
            <v>.</v>
          </cell>
        </row>
        <row r="530">
          <cell r="AW530" t="str">
            <v>.</v>
          </cell>
        </row>
        <row r="531">
          <cell r="AW531" t="str">
            <v>.</v>
          </cell>
        </row>
        <row r="532">
          <cell r="AW532" t="str">
            <v>.</v>
          </cell>
        </row>
        <row r="533">
          <cell r="AW533" t="str">
            <v>.</v>
          </cell>
        </row>
        <row r="534">
          <cell r="AW534" t="str">
            <v>.</v>
          </cell>
        </row>
        <row r="535">
          <cell r="AW535" t="str">
            <v>.</v>
          </cell>
        </row>
        <row r="536">
          <cell r="AW536" t="str">
            <v>.</v>
          </cell>
        </row>
        <row r="537">
          <cell r="AW537" t="str">
            <v>.</v>
          </cell>
        </row>
        <row r="538">
          <cell r="AW538" t="str">
            <v>.</v>
          </cell>
        </row>
        <row r="539">
          <cell r="AW539" t="str">
            <v>.</v>
          </cell>
        </row>
        <row r="540">
          <cell r="AW540" t="str">
            <v>.</v>
          </cell>
        </row>
        <row r="541">
          <cell r="AW541" t="str">
            <v>.</v>
          </cell>
        </row>
        <row r="542">
          <cell r="AW542" t="str">
            <v>.</v>
          </cell>
        </row>
        <row r="543">
          <cell r="AW543" t="str">
            <v>.</v>
          </cell>
        </row>
        <row r="544">
          <cell r="AW544" t="str">
            <v>.</v>
          </cell>
        </row>
        <row r="545">
          <cell r="AW545" t="str">
            <v>.</v>
          </cell>
        </row>
        <row r="546">
          <cell r="AW546" t="str">
            <v>.</v>
          </cell>
        </row>
        <row r="547">
          <cell r="AW547" t="str">
            <v>.</v>
          </cell>
        </row>
        <row r="548">
          <cell r="AW548" t="str">
            <v>.</v>
          </cell>
        </row>
        <row r="549">
          <cell r="AW549" t="str">
            <v>.</v>
          </cell>
        </row>
        <row r="550">
          <cell r="AW550" t="str">
            <v>.</v>
          </cell>
        </row>
        <row r="551">
          <cell r="AW551" t="str">
            <v>.</v>
          </cell>
        </row>
        <row r="552">
          <cell r="AW552" t="str">
            <v>.</v>
          </cell>
        </row>
        <row r="553">
          <cell r="AW553" t="str">
            <v>.</v>
          </cell>
        </row>
        <row r="554">
          <cell r="AW554" t="str">
            <v>.</v>
          </cell>
        </row>
        <row r="555">
          <cell r="AW555" t="str">
            <v>.</v>
          </cell>
        </row>
        <row r="556">
          <cell r="AW556" t="str">
            <v>.</v>
          </cell>
        </row>
        <row r="557">
          <cell r="AW557" t="str">
            <v>.</v>
          </cell>
        </row>
        <row r="558">
          <cell r="AW558" t="str">
            <v>.</v>
          </cell>
        </row>
        <row r="559">
          <cell r="AW559" t="str">
            <v>.</v>
          </cell>
        </row>
        <row r="560">
          <cell r="AW560" t="str">
            <v>.</v>
          </cell>
        </row>
        <row r="561">
          <cell r="AW561" t="str">
            <v>.</v>
          </cell>
        </row>
        <row r="562">
          <cell r="AW562" t="str">
            <v>.</v>
          </cell>
        </row>
        <row r="563">
          <cell r="AW563" t="str">
            <v>.</v>
          </cell>
        </row>
        <row r="564">
          <cell r="AW564" t="str">
            <v>.</v>
          </cell>
        </row>
        <row r="565">
          <cell r="AW565" t="str">
            <v>.</v>
          </cell>
        </row>
        <row r="566">
          <cell r="AW566" t="str">
            <v>.</v>
          </cell>
        </row>
        <row r="567">
          <cell r="AW567" t="str">
            <v>.</v>
          </cell>
        </row>
        <row r="568">
          <cell r="AW568" t="str">
            <v>.</v>
          </cell>
        </row>
        <row r="569">
          <cell r="AW569" t="str">
            <v>.</v>
          </cell>
        </row>
        <row r="570">
          <cell r="AW570" t="str">
            <v>.</v>
          </cell>
        </row>
        <row r="571">
          <cell r="AW571" t="str">
            <v>.</v>
          </cell>
        </row>
        <row r="572">
          <cell r="AW572" t="str">
            <v>.</v>
          </cell>
        </row>
        <row r="573">
          <cell r="AW573" t="str">
            <v>.</v>
          </cell>
        </row>
        <row r="574">
          <cell r="AW574" t="str">
            <v>.</v>
          </cell>
        </row>
        <row r="575">
          <cell r="AW575" t="str">
            <v>.</v>
          </cell>
        </row>
        <row r="576">
          <cell r="AW576" t="str">
            <v>.</v>
          </cell>
        </row>
        <row r="577">
          <cell r="AW577" t="str">
            <v>.</v>
          </cell>
        </row>
        <row r="578">
          <cell r="AW578" t="str">
            <v>.</v>
          </cell>
        </row>
        <row r="579">
          <cell r="AW579" t="str">
            <v>.</v>
          </cell>
        </row>
        <row r="580">
          <cell r="AW580" t="str">
            <v>.</v>
          </cell>
        </row>
        <row r="581">
          <cell r="AW581" t="str">
            <v>.</v>
          </cell>
        </row>
        <row r="582">
          <cell r="AW582" t="str">
            <v>.</v>
          </cell>
        </row>
        <row r="583">
          <cell r="AW583" t="str">
            <v>.</v>
          </cell>
        </row>
        <row r="584">
          <cell r="AW584" t="str">
            <v>.</v>
          </cell>
        </row>
        <row r="585">
          <cell r="AW585" t="str">
            <v>.</v>
          </cell>
        </row>
        <row r="586">
          <cell r="AW586" t="str">
            <v>.</v>
          </cell>
        </row>
        <row r="587">
          <cell r="AW587" t="str">
            <v>.</v>
          </cell>
        </row>
        <row r="588">
          <cell r="AW588" t="str">
            <v>.</v>
          </cell>
        </row>
        <row r="589">
          <cell r="AW589" t="str">
            <v>.</v>
          </cell>
        </row>
        <row r="590">
          <cell r="AW590" t="str">
            <v>.</v>
          </cell>
        </row>
        <row r="591">
          <cell r="AW591" t="str">
            <v>.</v>
          </cell>
        </row>
        <row r="592">
          <cell r="AW592" t="str">
            <v>.</v>
          </cell>
        </row>
        <row r="593">
          <cell r="AW593" t="str">
            <v>.</v>
          </cell>
        </row>
        <row r="594">
          <cell r="AW594" t="str">
            <v>.</v>
          </cell>
        </row>
        <row r="595">
          <cell r="AW595" t="str">
            <v>.</v>
          </cell>
        </row>
        <row r="596">
          <cell r="AW596" t="str">
            <v>.</v>
          </cell>
        </row>
        <row r="597">
          <cell r="AW597" t="str">
            <v>.</v>
          </cell>
        </row>
        <row r="598">
          <cell r="AW598" t="str">
            <v>.</v>
          </cell>
        </row>
        <row r="599">
          <cell r="AW599" t="str">
            <v>.</v>
          </cell>
        </row>
        <row r="600">
          <cell r="AW600" t="str">
            <v>.</v>
          </cell>
        </row>
        <row r="601">
          <cell r="AW601" t="str">
            <v>.</v>
          </cell>
        </row>
        <row r="602">
          <cell r="AW602" t="str">
            <v>.</v>
          </cell>
        </row>
        <row r="603">
          <cell r="AW603" t="str">
            <v>.</v>
          </cell>
        </row>
        <row r="604">
          <cell r="AW604" t="str">
            <v>.</v>
          </cell>
        </row>
        <row r="605">
          <cell r="AW605" t="str">
            <v>.</v>
          </cell>
        </row>
        <row r="606">
          <cell r="AW606" t="str">
            <v>.</v>
          </cell>
        </row>
        <row r="607">
          <cell r="AW607" t="str">
            <v>.</v>
          </cell>
        </row>
        <row r="608">
          <cell r="AW608" t="str">
            <v>.</v>
          </cell>
        </row>
        <row r="609">
          <cell r="AW609" t="str">
            <v>.</v>
          </cell>
        </row>
        <row r="610">
          <cell r="AW610" t="str">
            <v>.</v>
          </cell>
        </row>
        <row r="611">
          <cell r="AW611" t="str">
            <v>.</v>
          </cell>
        </row>
        <row r="612">
          <cell r="AW612" t="str">
            <v>.</v>
          </cell>
        </row>
        <row r="613">
          <cell r="AW613" t="str">
            <v>.</v>
          </cell>
        </row>
        <row r="614">
          <cell r="AW614" t="str">
            <v>.</v>
          </cell>
        </row>
        <row r="615">
          <cell r="AW615" t="str">
            <v>.</v>
          </cell>
        </row>
        <row r="616">
          <cell r="AW616" t="str">
            <v>.</v>
          </cell>
        </row>
        <row r="617">
          <cell r="AW617" t="str">
            <v>.</v>
          </cell>
        </row>
        <row r="618">
          <cell r="AW618" t="str">
            <v>.</v>
          </cell>
        </row>
        <row r="619">
          <cell r="AW619" t="str">
            <v>.</v>
          </cell>
        </row>
        <row r="620">
          <cell r="AW620" t="str">
            <v>.</v>
          </cell>
        </row>
        <row r="621">
          <cell r="AW621" t="str">
            <v>.</v>
          </cell>
        </row>
        <row r="622">
          <cell r="AW622" t="str">
            <v>.</v>
          </cell>
        </row>
        <row r="623">
          <cell r="AW623" t="str">
            <v>.</v>
          </cell>
        </row>
        <row r="624">
          <cell r="AW624" t="str">
            <v>.</v>
          </cell>
        </row>
        <row r="625">
          <cell r="AW625" t="str">
            <v>.</v>
          </cell>
        </row>
        <row r="626">
          <cell r="AW626" t="str">
            <v>.</v>
          </cell>
        </row>
        <row r="627">
          <cell r="AW627" t="str">
            <v>.</v>
          </cell>
        </row>
        <row r="628">
          <cell r="AW628" t="str">
            <v>.</v>
          </cell>
        </row>
        <row r="629">
          <cell r="AW629" t="str">
            <v>.</v>
          </cell>
        </row>
        <row r="630">
          <cell r="AW630" t="str">
            <v>.</v>
          </cell>
        </row>
        <row r="631">
          <cell r="AW631" t="str">
            <v>.</v>
          </cell>
        </row>
        <row r="632">
          <cell r="AW632" t="str">
            <v>.</v>
          </cell>
        </row>
        <row r="633">
          <cell r="AW633" t="str">
            <v>.</v>
          </cell>
        </row>
        <row r="634">
          <cell r="AW634" t="str">
            <v>.</v>
          </cell>
        </row>
        <row r="635">
          <cell r="AW635" t="str">
            <v>.</v>
          </cell>
        </row>
        <row r="636">
          <cell r="AW636" t="str">
            <v>.</v>
          </cell>
        </row>
        <row r="637">
          <cell r="AW637" t="str">
            <v>.</v>
          </cell>
        </row>
        <row r="638">
          <cell r="AW638" t="str">
            <v>.</v>
          </cell>
        </row>
        <row r="639">
          <cell r="AW639" t="str">
            <v>.</v>
          </cell>
        </row>
        <row r="640">
          <cell r="AW640" t="str">
            <v>.</v>
          </cell>
        </row>
        <row r="641">
          <cell r="AW641" t="str">
            <v>.</v>
          </cell>
        </row>
        <row r="642">
          <cell r="AW642" t="str">
            <v>.</v>
          </cell>
        </row>
        <row r="643">
          <cell r="AW643" t="str">
            <v>.</v>
          </cell>
        </row>
        <row r="644">
          <cell r="AW644" t="str">
            <v>.</v>
          </cell>
        </row>
        <row r="645">
          <cell r="AW645" t="str">
            <v>.</v>
          </cell>
        </row>
        <row r="646">
          <cell r="AW646" t="str">
            <v>.</v>
          </cell>
        </row>
        <row r="647">
          <cell r="AW647" t="str">
            <v>.</v>
          </cell>
        </row>
        <row r="648">
          <cell r="AW648" t="str">
            <v>.</v>
          </cell>
        </row>
        <row r="649">
          <cell r="AW649" t="str">
            <v>.</v>
          </cell>
        </row>
        <row r="650">
          <cell r="AW650" t="str">
            <v>.</v>
          </cell>
        </row>
        <row r="651">
          <cell r="AW651" t="str">
            <v>.</v>
          </cell>
        </row>
        <row r="652">
          <cell r="AW652" t="str">
            <v>.</v>
          </cell>
        </row>
        <row r="653">
          <cell r="AW653" t="str">
            <v>.</v>
          </cell>
        </row>
        <row r="654">
          <cell r="AW654" t="str">
            <v>.</v>
          </cell>
        </row>
        <row r="655">
          <cell r="AW655" t="str">
            <v>.</v>
          </cell>
        </row>
        <row r="656">
          <cell r="AW656" t="str">
            <v>.</v>
          </cell>
        </row>
        <row r="657">
          <cell r="AW657" t="str">
            <v>.</v>
          </cell>
        </row>
        <row r="658">
          <cell r="AW658" t="str">
            <v>.</v>
          </cell>
        </row>
        <row r="659">
          <cell r="AW659" t="str">
            <v>.</v>
          </cell>
        </row>
        <row r="660">
          <cell r="AW660" t="str">
            <v>.</v>
          </cell>
        </row>
        <row r="661">
          <cell r="AW661" t="str">
            <v>.</v>
          </cell>
        </row>
        <row r="662">
          <cell r="AW662" t="str">
            <v>.</v>
          </cell>
        </row>
        <row r="663">
          <cell r="AW663" t="str">
            <v>.</v>
          </cell>
        </row>
        <row r="664">
          <cell r="AW664" t="str">
            <v>.</v>
          </cell>
        </row>
        <row r="665">
          <cell r="AW665" t="str">
            <v>.</v>
          </cell>
        </row>
        <row r="666">
          <cell r="AW666" t="str">
            <v>.</v>
          </cell>
        </row>
        <row r="667">
          <cell r="AW667" t="str">
            <v>.</v>
          </cell>
        </row>
        <row r="668">
          <cell r="AW668" t="str">
            <v>.</v>
          </cell>
        </row>
        <row r="669">
          <cell r="AW669" t="str">
            <v>.</v>
          </cell>
        </row>
        <row r="670">
          <cell r="AW670" t="str">
            <v>.</v>
          </cell>
        </row>
        <row r="671">
          <cell r="AW671" t="str">
            <v>.</v>
          </cell>
        </row>
        <row r="672">
          <cell r="AW672" t="str">
            <v>.</v>
          </cell>
        </row>
        <row r="673">
          <cell r="AW673" t="str">
            <v>.</v>
          </cell>
        </row>
        <row r="674">
          <cell r="AW674" t="str">
            <v>.</v>
          </cell>
        </row>
        <row r="675">
          <cell r="AW675" t="str">
            <v>.</v>
          </cell>
        </row>
        <row r="676">
          <cell r="AW676" t="str">
            <v>.</v>
          </cell>
        </row>
        <row r="677">
          <cell r="AW677" t="str">
            <v>.</v>
          </cell>
        </row>
        <row r="678">
          <cell r="AW678" t="str">
            <v>.</v>
          </cell>
        </row>
        <row r="679">
          <cell r="AW679" t="str">
            <v>.</v>
          </cell>
        </row>
        <row r="680">
          <cell r="AW680" t="str">
            <v>.</v>
          </cell>
        </row>
        <row r="681">
          <cell r="AW681" t="str">
            <v>.</v>
          </cell>
        </row>
        <row r="682">
          <cell r="AW682" t="str">
            <v>.</v>
          </cell>
        </row>
        <row r="683">
          <cell r="AW683" t="str">
            <v>.</v>
          </cell>
        </row>
        <row r="684">
          <cell r="AW684" t="str">
            <v>.</v>
          </cell>
        </row>
        <row r="685">
          <cell r="AW685" t="str">
            <v>.</v>
          </cell>
        </row>
        <row r="686">
          <cell r="AW686" t="str">
            <v>.</v>
          </cell>
        </row>
        <row r="687">
          <cell r="AW687" t="str">
            <v>.</v>
          </cell>
        </row>
        <row r="688">
          <cell r="AW688" t="str">
            <v>.</v>
          </cell>
        </row>
        <row r="689">
          <cell r="AW689" t="str">
            <v>.</v>
          </cell>
        </row>
        <row r="690">
          <cell r="AW690" t="str">
            <v>.</v>
          </cell>
        </row>
        <row r="691">
          <cell r="AW691" t="str">
            <v>.</v>
          </cell>
        </row>
        <row r="692">
          <cell r="AW692" t="str">
            <v>.</v>
          </cell>
        </row>
        <row r="693">
          <cell r="AW693" t="str">
            <v>.</v>
          </cell>
        </row>
        <row r="694">
          <cell r="AW694" t="str">
            <v>.</v>
          </cell>
        </row>
        <row r="695">
          <cell r="AW695" t="str">
            <v>.</v>
          </cell>
        </row>
        <row r="696">
          <cell r="AW696" t="str">
            <v>.</v>
          </cell>
        </row>
        <row r="697">
          <cell r="AW697" t="str">
            <v>.</v>
          </cell>
        </row>
        <row r="698">
          <cell r="AW698" t="str">
            <v>.</v>
          </cell>
        </row>
        <row r="699">
          <cell r="AW699" t="str">
            <v>.</v>
          </cell>
        </row>
        <row r="700">
          <cell r="AW700" t="str">
            <v>.</v>
          </cell>
        </row>
        <row r="701">
          <cell r="AW701" t="str">
            <v>.</v>
          </cell>
        </row>
        <row r="702">
          <cell r="AW702" t="str">
            <v>.</v>
          </cell>
        </row>
        <row r="703">
          <cell r="AW703" t="str">
            <v>.</v>
          </cell>
        </row>
        <row r="704">
          <cell r="AW704" t="str">
            <v>.</v>
          </cell>
        </row>
        <row r="705">
          <cell r="AW705" t="str">
            <v>.</v>
          </cell>
        </row>
        <row r="706">
          <cell r="AW706" t="str">
            <v>.</v>
          </cell>
        </row>
        <row r="707">
          <cell r="AW707" t="str">
            <v>.</v>
          </cell>
        </row>
        <row r="708">
          <cell r="AW708" t="str">
            <v>.</v>
          </cell>
        </row>
        <row r="709">
          <cell r="AW709" t="str">
            <v>.</v>
          </cell>
        </row>
        <row r="710">
          <cell r="AW710" t="str">
            <v>.</v>
          </cell>
        </row>
        <row r="711">
          <cell r="AW711" t="str">
            <v>.</v>
          </cell>
        </row>
        <row r="712">
          <cell r="AW712" t="str">
            <v>.</v>
          </cell>
        </row>
        <row r="713">
          <cell r="AW713" t="str">
            <v>.</v>
          </cell>
        </row>
        <row r="714">
          <cell r="AW714" t="str">
            <v>.</v>
          </cell>
        </row>
        <row r="715">
          <cell r="AW715" t="str">
            <v>.</v>
          </cell>
        </row>
        <row r="716">
          <cell r="AW716" t="str">
            <v>.</v>
          </cell>
        </row>
        <row r="717">
          <cell r="AW717" t="str">
            <v>.</v>
          </cell>
        </row>
        <row r="718">
          <cell r="AW718" t="str">
            <v>.</v>
          </cell>
        </row>
        <row r="719">
          <cell r="AW719" t="str">
            <v>.</v>
          </cell>
        </row>
        <row r="720">
          <cell r="AW720" t="str">
            <v>.</v>
          </cell>
        </row>
        <row r="721">
          <cell r="AW721" t="str">
            <v>.</v>
          </cell>
        </row>
        <row r="722">
          <cell r="AW722" t="str">
            <v>.</v>
          </cell>
        </row>
        <row r="723">
          <cell r="AW723" t="str">
            <v>.</v>
          </cell>
        </row>
        <row r="724">
          <cell r="AW724" t="str">
            <v>.</v>
          </cell>
        </row>
        <row r="725">
          <cell r="AW725" t="str">
            <v>.</v>
          </cell>
        </row>
        <row r="726">
          <cell r="AW726" t="str">
            <v>.</v>
          </cell>
        </row>
        <row r="727">
          <cell r="AW727" t="str">
            <v>.</v>
          </cell>
        </row>
        <row r="728">
          <cell r="AW728" t="str">
            <v>.</v>
          </cell>
        </row>
        <row r="729">
          <cell r="AW729" t="str">
            <v>.</v>
          </cell>
        </row>
        <row r="730">
          <cell r="AW730" t="str">
            <v>.</v>
          </cell>
        </row>
        <row r="731">
          <cell r="AW731" t="str">
            <v>.</v>
          </cell>
        </row>
        <row r="732">
          <cell r="AW732" t="str">
            <v>.</v>
          </cell>
        </row>
        <row r="733">
          <cell r="AW733" t="str">
            <v>.</v>
          </cell>
        </row>
        <row r="734">
          <cell r="AW734" t="str">
            <v>.</v>
          </cell>
        </row>
        <row r="735">
          <cell r="AW735" t="str">
            <v>.</v>
          </cell>
        </row>
        <row r="736">
          <cell r="AW736" t="str">
            <v>.</v>
          </cell>
        </row>
        <row r="737">
          <cell r="AW737" t="str">
            <v>.</v>
          </cell>
        </row>
        <row r="738">
          <cell r="AW738" t="str">
            <v>.</v>
          </cell>
        </row>
        <row r="739">
          <cell r="AW739" t="str">
            <v>.</v>
          </cell>
        </row>
        <row r="740">
          <cell r="AW740" t="str">
            <v>.</v>
          </cell>
        </row>
        <row r="741">
          <cell r="AW741" t="str">
            <v>.</v>
          </cell>
        </row>
        <row r="742">
          <cell r="AW742" t="str">
            <v>.</v>
          </cell>
        </row>
        <row r="743">
          <cell r="AW743" t="str">
            <v>.</v>
          </cell>
        </row>
        <row r="744">
          <cell r="AW744" t="str">
            <v>.</v>
          </cell>
        </row>
        <row r="745">
          <cell r="AW745" t="str">
            <v>.</v>
          </cell>
        </row>
        <row r="746">
          <cell r="AW746" t="str">
            <v>.</v>
          </cell>
        </row>
        <row r="747">
          <cell r="AW747" t="str">
            <v>.</v>
          </cell>
        </row>
        <row r="748">
          <cell r="AW748" t="str">
            <v>.</v>
          </cell>
        </row>
        <row r="749">
          <cell r="AW749" t="str">
            <v>.</v>
          </cell>
        </row>
        <row r="750">
          <cell r="AW750" t="str">
            <v>.</v>
          </cell>
        </row>
        <row r="751">
          <cell r="AW751" t="str">
            <v>.</v>
          </cell>
        </row>
        <row r="752">
          <cell r="AW752" t="str">
            <v>.</v>
          </cell>
        </row>
        <row r="753">
          <cell r="AW753" t="str">
            <v>.</v>
          </cell>
        </row>
        <row r="754">
          <cell r="AW754" t="str">
            <v>.</v>
          </cell>
        </row>
        <row r="755">
          <cell r="AW755" t="str">
            <v>.</v>
          </cell>
        </row>
        <row r="756">
          <cell r="AW756" t="str">
            <v>.</v>
          </cell>
        </row>
        <row r="757">
          <cell r="AW757" t="str">
            <v>.</v>
          </cell>
        </row>
        <row r="758">
          <cell r="AW758" t="str">
            <v>.</v>
          </cell>
        </row>
        <row r="759">
          <cell r="AW759" t="str">
            <v>.</v>
          </cell>
        </row>
        <row r="760">
          <cell r="AW760" t="str">
            <v>.</v>
          </cell>
        </row>
        <row r="761">
          <cell r="AW761" t="str">
            <v>.</v>
          </cell>
        </row>
        <row r="762">
          <cell r="AW762" t="str">
            <v>.</v>
          </cell>
        </row>
        <row r="763">
          <cell r="AW763" t="str">
            <v>.</v>
          </cell>
        </row>
        <row r="764">
          <cell r="AW764" t="str">
            <v>.</v>
          </cell>
        </row>
        <row r="765">
          <cell r="AW765" t="str">
            <v>.</v>
          </cell>
        </row>
        <row r="766">
          <cell r="AW766" t="str">
            <v>.</v>
          </cell>
        </row>
        <row r="767">
          <cell r="AW767" t="str">
            <v>.</v>
          </cell>
        </row>
        <row r="768">
          <cell r="AW768" t="str">
            <v>.</v>
          </cell>
        </row>
        <row r="769">
          <cell r="AW769" t="str">
            <v>.</v>
          </cell>
        </row>
        <row r="770">
          <cell r="AW770" t="str">
            <v>.</v>
          </cell>
        </row>
        <row r="771">
          <cell r="AW771" t="str">
            <v>.</v>
          </cell>
        </row>
        <row r="772">
          <cell r="AW772" t="str">
            <v>.</v>
          </cell>
        </row>
        <row r="773">
          <cell r="AW773" t="str">
            <v>.</v>
          </cell>
        </row>
        <row r="774">
          <cell r="AW774" t="str">
            <v>.</v>
          </cell>
        </row>
        <row r="775">
          <cell r="AW775" t="str">
            <v>.</v>
          </cell>
        </row>
        <row r="776">
          <cell r="AW776" t="str">
            <v>.</v>
          </cell>
        </row>
        <row r="777">
          <cell r="AW777" t="str">
            <v>.</v>
          </cell>
        </row>
        <row r="778">
          <cell r="AW778" t="str">
            <v>.</v>
          </cell>
        </row>
        <row r="779">
          <cell r="AW779" t="str">
            <v>.</v>
          </cell>
        </row>
        <row r="780">
          <cell r="AW780" t="str">
            <v>.</v>
          </cell>
        </row>
        <row r="781">
          <cell r="AW781" t="str">
            <v>.</v>
          </cell>
        </row>
        <row r="782">
          <cell r="AW782" t="str">
            <v>.</v>
          </cell>
        </row>
        <row r="783">
          <cell r="AW783" t="str">
            <v>.</v>
          </cell>
        </row>
        <row r="784">
          <cell r="AW784" t="str">
            <v>.</v>
          </cell>
        </row>
        <row r="785">
          <cell r="AW785" t="str">
            <v>.</v>
          </cell>
        </row>
        <row r="786">
          <cell r="AW786" t="str">
            <v>.</v>
          </cell>
        </row>
        <row r="787">
          <cell r="AW787" t="str">
            <v>.</v>
          </cell>
        </row>
        <row r="788">
          <cell r="AW788" t="str">
            <v>.</v>
          </cell>
        </row>
        <row r="789">
          <cell r="AW789" t="str">
            <v>.</v>
          </cell>
        </row>
        <row r="790">
          <cell r="AW790" t="str">
            <v>.</v>
          </cell>
        </row>
        <row r="791">
          <cell r="AW791" t="str">
            <v>.</v>
          </cell>
        </row>
        <row r="792">
          <cell r="AW792" t="str">
            <v>.</v>
          </cell>
        </row>
        <row r="793">
          <cell r="AW793" t="str">
            <v>.</v>
          </cell>
        </row>
        <row r="794">
          <cell r="AW794" t="str">
            <v>.</v>
          </cell>
        </row>
        <row r="795">
          <cell r="AW795" t="str">
            <v>.</v>
          </cell>
        </row>
        <row r="796">
          <cell r="AW796" t="str">
            <v>.</v>
          </cell>
        </row>
        <row r="797">
          <cell r="AW797" t="str">
            <v>.</v>
          </cell>
        </row>
        <row r="798">
          <cell r="AW798" t="str">
            <v>.</v>
          </cell>
        </row>
        <row r="799">
          <cell r="AW799" t="str">
            <v>.</v>
          </cell>
        </row>
        <row r="800">
          <cell r="AW800" t="str">
            <v>.</v>
          </cell>
        </row>
        <row r="801">
          <cell r="AW801" t="str">
            <v>.</v>
          </cell>
        </row>
        <row r="802">
          <cell r="AW802" t="str">
            <v>.</v>
          </cell>
        </row>
        <row r="803">
          <cell r="AW803" t="str">
            <v>.</v>
          </cell>
        </row>
        <row r="804">
          <cell r="AW804" t="str">
            <v>.</v>
          </cell>
        </row>
        <row r="805">
          <cell r="AW805" t="str">
            <v>.</v>
          </cell>
        </row>
        <row r="806">
          <cell r="AW806" t="str">
            <v>.</v>
          </cell>
        </row>
        <row r="807">
          <cell r="AW807" t="str">
            <v>.</v>
          </cell>
        </row>
        <row r="808">
          <cell r="AW808" t="str">
            <v>.</v>
          </cell>
        </row>
        <row r="809">
          <cell r="AW809" t="str">
            <v>.</v>
          </cell>
        </row>
        <row r="810">
          <cell r="AW810" t="str">
            <v>.</v>
          </cell>
        </row>
        <row r="811">
          <cell r="AW811" t="str">
            <v>.</v>
          </cell>
        </row>
        <row r="812">
          <cell r="AW812" t="str">
            <v>.</v>
          </cell>
        </row>
        <row r="813">
          <cell r="AW813" t="str">
            <v>.</v>
          </cell>
        </row>
        <row r="814">
          <cell r="AW814" t="str">
            <v>.</v>
          </cell>
        </row>
        <row r="815">
          <cell r="AW815" t="str">
            <v>.</v>
          </cell>
        </row>
        <row r="816">
          <cell r="AW816" t="str">
            <v>.</v>
          </cell>
        </row>
        <row r="817">
          <cell r="AW817" t="str">
            <v>.</v>
          </cell>
        </row>
        <row r="818">
          <cell r="AW818" t="str">
            <v>.</v>
          </cell>
        </row>
        <row r="819">
          <cell r="AW819" t="str">
            <v>.</v>
          </cell>
        </row>
        <row r="820">
          <cell r="AW820" t="str">
            <v>.</v>
          </cell>
        </row>
        <row r="821">
          <cell r="AW821" t="str">
            <v>.</v>
          </cell>
        </row>
        <row r="822">
          <cell r="AW822" t="str">
            <v>.</v>
          </cell>
        </row>
        <row r="823">
          <cell r="AW823" t="str">
            <v>.</v>
          </cell>
        </row>
        <row r="824">
          <cell r="AW824" t="str">
            <v>.</v>
          </cell>
        </row>
        <row r="825">
          <cell r="AW825" t="str">
            <v>.</v>
          </cell>
        </row>
        <row r="826">
          <cell r="AW826" t="str">
            <v>.</v>
          </cell>
        </row>
        <row r="827">
          <cell r="AW827" t="str">
            <v>.</v>
          </cell>
        </row>
        <row r="828">
          <cell r="AW828" t="str">
            <v>.</v>
          </cell>
        </row>
        <row r="829">
          <cell r="AW829" t="str">
            <v>.</v>
          </cell>
        </row>
        <row r="830">
          <cell r="AW830" t="str">
            <v>.</v>
          </cell>
        </row>
        <row r="831">
          <cell r="AW831" t="str">
            <v>.</v>
          </cell>
        </row>
        <row r="832">
          <cell r="AW832" t="str">
            <v>.</v>
          </cell>
        </row>
        <row r="833">
          <cell r="AW833" t="str">
            <v>.</v>
          </cell>
        </row>
        <row r="834">
          <cell r="AW834" t="str">
            <v>.</v>
          </cell>
        </row>
        <row r="835">
          <cell r="AW835" t="str">
            <v>.</v>
          </cell>
        </row>
        <row r="836">
          <cell r="AW836" t="str">
            <v>.</v>
          </cell>
        </row>
        <row r="837">
          <cell r="AW837" t="str">
            <v>.</v>
          </cell>
        </row>
        <row r="838">
          <cell r="AW838" t="str">
            <v>.</v>
          </cell>
        </row>
        <row r="839">
          <cell r="AW839" t="str">
            <v>.</v>
          </cell>
        </row>
        <row r="840">
          <cell r="AW840" t="str">
            <v>.</v>
          </cell>
        </row>
        <row r="841">
          <cell r="AW841" t="str">
            <v>.</v>
          </cell>
        </row>
        <row r="842">
          <cell r="AW842" t="str">
            <v>.</v>
          </cell>
        </row>
        <row r="843">
          <cell r="AW843" t="str">
            <v>.</v>
          </cell>
        </row>
        <row r="844">
          <cell r="AW844" t="str">
            <v>.</v>
          </cell>
        </row>
        <row r="845">
          <cell r="AW845" t="str">
            <v>.</v>
          </cell>
        </row>
        <row r="846">
          <cell r="AW846" t="str">
            <v>.</v>
          </cell>
        </row>
        <row r="847">
          <cell r="AW847" t="str">
            <v>.</v>
          </cell>
        </row>
        <row r="848">
          <cell r="AW848" t="str">
            <v>.</v>
          </cell>
        </row>
        <row r="849">
          <cell r="AW849" t="str">
            <v>.</v>
          </cell>
        </row>
        <row r="850">
          <cell r="AW850" t="str">
            <v>.</v>
          </cell>
        </row>
        <row r="851">
          <cell r="AW851" t="str">
            <v>.</v>
          </cell>
        </row>
        <row r="852">
          <cell r="AW852" t="str">
            <v>.</v>
          </cell>
        </row>
        <row r="853">
          <cell r="AW853" t="str">
            <v>.</v>
          </cell>
        </row>
        <row r="854">
          <cell r="AW854" t="str">
            <v>.</v>
          </cell>
        </row>
        <row r="855">
          <cell r="AW855" t="str">
            <v>.</v>
          </cell>
        </row>
        <row r="856">
          <cell r="AW856" t="str">
            <v>.</v>
          </cell>
        </row>
        <row r="857">
          <cell r="AW857" t="str">
            <v>.</v>
          </cell>
        </row>
        <row r="858">
          <cell r="AW858" t="str">
            <v>.</v>
          </cell>
        </row>
        <row r="859">
          <cell r="AW859" t="str">
            <v>.</v>
          </cell>
        </row>
        <row r="860">
          <cell r="AW860" t="str">
            <v>.</v>
          </cell>
        </row>
        <row r="861">
          <cell r="AW861" t="str">
            <v>.</v>
          </cell>
        </row>
        <row r="862">
          <cell r="AW862" t="str">
            <v>.</v>
          </cell>
        </row>
        <row r="863">
          <cell r="AW863" t="str">
            <v>.</v>
          </cell>
        </row>
        <row r="864">
          <cell r="AW864" t="str">
            <v>.</v>
          </cell>
        </row>
        <row r="865">
          <cell r="AW865" t="str">
            <v>.</v>
          </cell>
        </row>
        <row r="866">
          <cell r="AW866" t="str">
            <v>.</v>
          </cell>
        </row>
        <row r="867">
          <cell r="AW867" t="str">
            <v>.</v>
          </cell>
        </row>
        <row r="868">
          <cell r="AW868" t="str">
            <v>.</v>
          </cell>
        </row>
        <row r="869">
          <cell r="AW869" t="str">
            <v>.</v>
          </cell>
        </row>
        <row r="870">
          <cell r="AW870" t="str">
            <v>.</v>
          </cell>
        </row>
        <row r="871">
          <cell r="AW871" t="str">
            <v>.</v>
          </cell>
        </row>
        <row r="872">
          <cell r="AW872" t="str">
            <v>.</v>
          </cell>
        </row>
        <row r="873">
          <cell r="AW873" t="str">
            <v>.</v>
          </cell>
        </row>
        <row r="874">
          <cell r="AW874" t="str">
            <v>.</v>
          </cell>
        </row>
        <row r="875">
          <cell r="AW875" t="str">
            <v>.</v>
          </cell>
        </row>
        <row r="876">
          <cell r="AW876" t="str">
            <v>.</v>
          </cell>
        </row>
        <row r="877">
          <cell r="AW877" t="str">
            <v>.</v>
          </cell>
        </row>
        <row r="878">
          <cell r="AW878" t="str">
            <v>.</v>
          </cell>
        </row>
        <row r="879">
          <cell r="AW879" t="str">
            <v>.</v>
          </cell>
        </row>
        <row r="880">
          <cell r="AW880" t="str">
            <v>.</v>
          </cell>
        </row>
        <row r="881">
          <cell r="AW881" t="str">
            <v>.</v>
          </cell>
        </row>
        <row r="882">
          <cell r="AW882" t="str">
            <v>.</v>
          </cell>
        </row>
        <row r="883">
          <cell r="AW883" t="str">
            <v>.</v>
          </cell>
        </row>
        <row r="884">
          <cell r="AW884" t="str">
            <v>.</v>
          </cell>
        </row>
        <row r="885">
          <cell r="AW885" t="str">
            <v>.</v>
          </cell>
        </row>
        <row r="886">
          <cell r="AW886" t="str">
            <v>.</v>
          </cell>
        </row>
        <row r="887">
          <cell r="AW887" t="str">
            <v>.</v>
          </cell>
        </row>
        <row r="888">
          <cell r="AW888" t="str">
            <v>.</v>
          </cell>
        </row>
        <row r="889">
          <cell r="AW889" t="str">
            <v>.</v>
          </cell>
        </row>
        <row r="890">
          <cell r="AW890" t="str">
            <v>.</v>
          </cell>
        </row>
        <row r="891">
          <cell r="AW891" t="str">
            <v>.</v>
          </cell>
        </row>
        <row r="892">
          <cell r="AW892" t="str">
            <v>.</v>
          </cell>
        </row>
        <row r="893">
          <cell r="AW893" t="str">
            <v>.</v>
          </cell>
        </row>
        <row r="894">
          <cell r="AW894" t="str">
            <v>.</v>
          </cell>
        </row>
        <row r="895">
          <cell r="AW895" t="str">
            <v>.</v>
          </cell>
        </row>
        <row r="896">
          <cell r="AW896" t="str">
            <v>.</v>
          </cell>
        </row>
        <row r="897">
          <cell r="AW897" t="str">
            <v>.</v>
          </cell>
        </row>
        <row r="898">
          <cell r="AW898" t="str">
            <v>.</v>
          </cell>
        </row>
        <row r="899">
          <cell r="AW899" t="str">
            <v>.</v>
          </cell>
        </row>
        <row r="900">
          <cell r="AW900" t="str">
            <v>.</v>
          </cell>
        </row>
        <row r="901">
          <cell r="AW901" t="str">
            <v>.</v>
          </cell>
        </row>
        <row r="902">
          <cell r="AW902" t="str">
            <v>.</v>
          </cell>
        </row>
        <row r="903">
          <cell r="AW903" t="str">
            <v>.</v>
          </cell>
        </row>
        <row r="904">
          <cell r="AW904" t="str">
            <v>.</v>
          </cell>
        </row>
        <row r="905">
          <cell r="AW905" t="str">
            <v>.</v>
          </cell>
        </row>
        <row r="906">
          <cell r="AW906" t="str">
            <v>.</v>
          </cell>
        </row>
        <row r="907">
          <cell r="AW907" t="str">
            <v>.</v>
          </cell>
        </row>
        <row r="908">
          <cell r="AW908" t="str">
            <v>.</v>
          </cell>
        </row>
        <row r="909">
          <cell r="AW909" t="str">
            <v>.</v>
          </cell>
        </row>
        <row r="910">
          <cell r="AW910" t="str">
            <v>.</v>
          </cell>
        </row>
        <row r="911">
          <cell r="AW911" t="str">
            <v>.</v>
          </cell>
        </row>
        <row r="912">
          <cell r="AW912" t="str">
            <v>.</v>
          </cell>
        </row>
        <row r="913">
          <cell r="AW913" t="str">
            <v>.</v>
          </cell>
        </row>
        <row r="914">
          <cell r="AW914" t="str">
            <v>.</v>
          </cell>
        </row>
        <row r="915">
          <cell r="AW915" t="str">
            <v>.</v>
          </cell>
        </row>
        <row r="916">
          <cell r="AW916" t="str">
            <v>.</v>
          </cell>
        </row>
        <row r="917">
          <cell r="AW917" t="str">
            <v>.</v>
          </cell>
        </row>
        <row r="918">
          <cell r="AW918" t="str">
            <v>.</v>
          </cell>
        </row>
        <row r="919">
          <cell r="AW919" t="str">
            <v>.</v>
          </cell>
        </row>
        <row r="920">
          <cell r="AW920" t="str">
            <v>.</v>
          </cell>
        </row>
        <row r="921">
          <cell r="AW921" t="str">
            <v>.</v>
          </cell>
        </row>
        <row r="922">
          <cell r="AW922" t="str">
            <v>.</v>
          </cell>
        </row>
        <row r="923">
          <cell r="AW923" t="str">
            <v>.</v>
          </cell>
        </row>
        <row r="924">
          <cell r="AW924" t="str">
            <v>.</v>
          </cell>
        </row>
        <row r="925">
          <cell r="AW925" t="str">
            <v>.</v>
          </cell>
        </row>
        <row r="926">
          <cell r="AW926" t="str">
            <v>.</v>
          </cell>
        </row>
        <row r="927">
          <cell r="AW927" t="str">
            <v>.</v>
          </cell>
        </row>
        <row r="928">
          <cell r="AW928" t="str">
            <v>.</v>
          </cell>
        </row>
        <row r="929">
          <cell r="AW929" t="str">
            <v>.</v>
          </cell>
        </row>
        <row r="930">
          <cell r="AW930" t="str">
            <v>.</v>
          </cell>
        </row>
        <row r="931">
          <cell r="AW931" t="str">
            <v>.</v>
          </cell>
        </row>
        <row r="932">
          <cell r="AW932" t="str">
            <v>.</v>
          </cell>
        </row>
        <row r="933">
          <cell r="AW933" t="str">
            <v>.</v>
          </cell>
        </row>
        <row r="934">
          <cell r="AW934" t="str">
            <v>.</v>
          </cell>
        </row>
        <row r="935">
          <cell r="AW935" t="str">
            <v>.</v>
          </cell>
        </row>
        <row r="936">
          <cell r="AW936" t="str">
            <v>.</v>
          </cell>
        </row>
        <row r="937">
          <cell r="AW937" t="str">
            <v>.</v>
          </cell>
        </row>
        <row r="938">
          <cell r="AW938" t="str">
            <v>.</v>
          </cell>
        </row>
        <row r="939">
          <cell r="AW939" t="str">
            <v>.</v>
          </cell>
        </row>
        <row r="940">
          <cell r="AW940" t="str">
            <v>.</v>
          </cell>
        </row>
        <row r="941">
          <cell r="AW941" t="str">
            <v>.</v>
          </cell>
        </row>
        <row r="942">
          <cell r="AW942" t="str">
            <v>.</v>
          </cell>
        </row>
        <row r="943">
          <cell r="AW943" t="str">
            <v>.</v>
          </cell>
        </row>
        <row r="944">
          <cell r="AW944" t="str">
            <v>.</v>
          </cell>
        </row>
        <row r="945">
          <cell r="AW945" t="str">
            <v>.</v>
          </cell>
        </row>
        <row r="946">
          <cell r="AW946" t="str">
            <v>.</v>
          </cell>
        </row>
        <row r="947">
          <cell r="AW947" t="str">
            <v>.</v>
          </cell>
        </row>
        <row r="948">
          <cell r="AW948" t="str">
            <v>.</v>
          </cell>
        </row>
        <row r="949">
          <cell r="AW949" t="str">
            <v>.</v>
          </cell>
        </row>
        <row r="950">
          <cell r="AW950" t="str">
            <v>.</v>
          </cell>
        </row>
        <row r="951">
          <cell r="AW951" t="str">
            <v>.</v>
          </cell>
        </row>
        <row r="952">
          <cell r="AW952" t="str">
            <v>.</v>
          </cell>
        </row>
        <row r="953">
          <cell r="AW953" t="str">
            <v>.</v>
          </cell>
        </row>
        <row r="954">
          <cell r="AW954" t="str">
            <v>.</v>
          </cell>
        </row>
        <row r="955">
          <cell r="AW955" t="str">
            <v>.</v>
          </cell>
        </row>
        <row r="956">
          <cell r="AW956" t="str">
            <v>.</v>
          </cell>
        </row>
        <row r="957">
          <cell r="AW957" t="str">
            <v>.</v>
          </cell>
        </row>
        <row r="958">
          <cell r="AW958" t="str">
            <v>.</v>
          </cell>
        </row>
        <row r="959">
          <cell r="AW959" t="str">
            <v>.</v>
          </cell>
        </row>
        <row r="960">
          <cell r="AW960" t="str">
            <v>.</v>
          </cell>
        </row>
        <row r="961">
          <cell r="AW961" t="str">
            <v>.</v>
          </cell>
        </row>
        <row r="962">
          <cell r="AW962" t="str">
            <v>.</v>
          </cell>
        </row>
        <row r="963">
          <cell r="AW963" t="str">
            <v>.</v>
          </cell>
        </row>
        <row r="964">
          <cell r="AW964" t="str">
            <v>.</v>
          </cell>
        </row>
        <row r="965">
          <cell r="AW965" t="str">
            <v>.</v>
          </cell>
        </row>
        <row r="966">
          <cell r="AW966" t="str">
            <v>.</v>
          </cell>
        </row>
        <row r="967">
          <cell r="AW967" t="str">
            <v>.</v>
          </cell>
        </row>
        <row r="968">
          <cell r="AW968" t="str">
            <v>.</v>
          </cell>
        </row>
        <row r="969">
          <cell r="AW969" t="str">
            <v>.</v>
          </cell>
        </row>
        <row r="970">
          <cell r="AW970" t="str">
            <v>.</v>
          </cell>
        </row>
        <row r="971">
          <cell r="AW971" t="str">
            <v>.</v>
          </cell>
        </row>
        <row r="972">
          <cell r="AW972" t="str">
            <v>.</v>
          </cell>
        </row>
        <row r="973">
          <cell r="AW973" t="str">
            <v>.</v>
          </cell>
        </row>
        <row r="974">
          <cell r="AW974" t="str">
            <v>.</v>
          </cell>
        </row>
        <row r="975">
          <cell r="AW975" t="str">
            <v>.</v>
          </cell>
        </row>
        <row r="976">
          <cell r="AW976" t="str">
            <v>.</v>
          </cell>
        </row>
        <row r="977">
          <cell r="AW977" t="str">
            <v>.</v>
          </cell>
        </row>
        <row r="978">
          <cell r="AW978" t="str">
            <v>.</v>
          </cell>
        </row>
        <row r="979">
          <cell r="AW979" t="str">
            <v>.</v>
          </cell>
        </row>
        <row r="980">
          <cell r="AW980" t="str">
            <v>.</v>
          </cell>
        </row>
        <row r="981">
          <cell r="AW981" t="str">
            <v>.</v>
          </cell>
        </row>
        <row r="982">
          <cell r="AW982" t="str">
            <v>.</v>
          </cell>
        </row>
        <row r="983">
          <cell r="AW983" t="str">
            <v>.</v>
          </cell>
        </row>
        <row r="984">
          <cell r="AW984" t="str">
            <v>.</v>
          </cell>
        </row>
        <row r="985">
          <cell r="AW985" t="str">
            <v>.</v>
          </cell>
        </row>
        <row r="986">
          <cell r="AW986" t="str">
            <v>.</v>
          </cell>
        </row>
        <row r="987">
          <cell r="AW987" t="str">
            <v>.</v>
          </cell>
        </row>
        <row r="988">
          <cell r="AW988" t="str">
            <v>.</v>
          </cell>
        </row>
        <row r="989">
          <cell r="AW989" t="str">
            <v>.</v>
          </cell>
        </row>
        <row r="990">
          <cell r="AW990" t="str">
            <v>.</v>
          </cell>
        </row>
        <row r="991">
          <cell r="AW991" t="str">
            <v>.</v>
          </cell>
        </row>
        <row r="992">
          <cell r="AW992" t="str">
            <v>.</v>
          </cell>
        </row>
        <row r="993">
          <cell r="AW993" t="str">
            <v>.</v>
          </cell>
        </row>
        <row r="994">
          <cell r="AW994" t="str">
            <v>.</v>
          </cell>
        </row>
        <row r="995">
          <cell r="AW995" t="str">
            <v>.</v>
          </cell>
        </row>
        <row r="996">
          <cell r="A996" t="str">
            <v>.</v>
          </cell>
          <cell r="B996" t="str">
            <v>.</v>
          </cell>
          <cell r="C996" t="str">
            <v>.</v>
          </cell>
          <cell r="D996" t="str">
            <v>.</v>
          </cell>
          <cell r="E996" t="str">
            <v>.</v>
          </cell>
          <cell r="F996" t="str">
            <v>.</v>
          </cell>
          <cell r="O996" t="str">
            <v>.</v>
          </cell>
          <cell r="P996" t="str">
            <v>.</v>
          </cell>
          <cell r="Q996" t="str">
            <v>.</v>
          </cell>
          <cell r="R996" t="str">
            <v>.</v>
          </cell>
          <cell r="S996" t="str">
            <v>.</v>
          </cell>
          <cell r="T996" t="str">
            <v>.</v>
          </cell>
          <cell r="U996" t="str">
            <v>.</v>
          </cell>
          <cell r="V996" t="str">
            <v>.</v>
          </cell>
          <cell r="W996" t="str">
            <v>.</v>
          </cell>
          <cell r="X996" t="str">
            <v>.</v>
          </cell>
          <cell r="Y996" t="str">
            <v>.</v>
          </cell>
          <cell r="Z996" t="str">
            <v>.</v>
          </cell>
          <cell r="AA996" t="str">
            <v>.</v>
          </cell>
          <cell r="AB996" t="str">
            <v>.</v>
          </cell>
          <cell r="AC996" t="str">
            <v>.</v>
          </cell>
          <cell r="AD996" t="str">
            <v>.</v>
          </cell>
          <cell r="AE996" t="str">
            <v>.</v>
          </cell>
          <cell r="AF996" t="str">
            <v>.</v>
          </cell>
          <cell r="AG996" t="str">
            <v>.</v>
          </cell>
          <cell r="AH996" t="str">
            <v>.</v>
          </cell>
          <cell r="AI996" t="str">
            <v>.</v>
          </cell>
          <cell r="AJ996" t="str">
            <v>.</v>
          </cell>
          <cell r="AK996" t="str">
            <v>.</v>
          </cell>
          <cell r="AL996" t="str">
            <v>.</v>
          </cell>
          <cell r="AM996" t="str">
            <v>.</v>
          </cell>
          <cell r="AN996" t="str">
            <v>.</v>
          </cell>
          <cell r="AO996" t="str">
            <v>.</v>
          </cell>
          <cell r="AP996" t="str">
            <v>.</v>
          </cell>
          <cell r="AQ996" t="str">
            <v>.</v>
          </cell>
          <cell r="AR996" t="str">
            <v>.</v>
          </cell>
          <cell r="AS996" t="str">
            <v>.</v>
          </cell>
          <cell r="AT996" t="str">
            <v>.</v>
          </cell>
          <cell r="AU996" t="str">
            <v>.</v>
          </cell>
          <cell r="AV996" t="str">
            <v>.</v>
          </cell>
          <cell r="AW996" t="str">
            <v>.</v>
          </cell>
        </row>
      </sheetData>
      <sheetData sheetId="14" refreshError="1">
        <row r="1">
          <cell r="P1" t="str">
            <v>SmartCharts</v>
          </cell>
        </row>
        <row r="6">
          <cell r="C6" t="str">
            <v>Input value axis title here:</v>
          </cell>
        </row>
        <row r="7">
          <cell r="C7" t="str">
            <v>Current Dividend as % of Projected FCF</v>
          </cell>
        </row>
        <row r="10">
          <cell r="C10" t="str">
            <v>Input your data here:</v>
          </cell>
          <cell r="BB10" t="str">
            <v>.</v>
          </cell>
        </row>
        <row r="11">
          <cell r="D11" t="str">
            <v>Pre-Dividend FCF</v>
          </cell>
          <cell r="E11" t="str">
            <v>Current Dividend</v>
          </cell>
          <cell r="F11" t="str">
            <v>Div. / FCF</v>
          </cell>
          <cell r="AB11" t="str">
            <v>Cells below are used for chart calculations; please do not make any changes</v>
          </cell>
        </row>
        <row r="12">
          <cell r="AB12">
            <v>244.75657931408091</v>
          </cell>
          <cell r="AC12">
            <v>244.75657931408091</v>
          </cell>
        </row>
        <row r="13">
          <cell r="AB13">
            <v>244.75657931408091</v>
          </cell>
          <cell r="AC13">
            <v>244.75657931408091</v>
          </cell>
        </row>
        <row r="14">
          <cell r="C14" t="str">
            <v>2011e</v>
          </cell>
          <cell r="D14">
            <v>96.736330472514965</v>
          </cell>
          <cell r="E14">
            <v>113</v>
          </cell>
          <cell r="F14">
            <v>1.1681236971471223</v>
          </cell>
          <cell r="AB14">
            <v>148.02024884156594</v>
          </cell>
          <cell r="AC14">
            <v>131.75657931408091</v>
          </cell>
        </row>
        <row r="15">
          <cell r="C15" t="str">
            <v>2012e</v>
          </cell>
          <cell r="D15">
            <v>170.37541823634081</v>
          </cell>
          <cell r="E15">
            <v>113</v>
          </cell>
          <cell r="F15">
            <v>0.66324121853804663</v>
          </cell>
          <cell r="AB15">
            <v>74.381161077740103</v>
          </cell>
          <cell r="AC15">
            <v>131.75657931408091</v>
          </cell>
        </row>
        <row r="16">
          <cell r="C16" t="str">
            <v>2013e</v>
          </cell>
          <cell r="D16">
            <v>192.95025703722308</v>
          </cell>
          <cell r="E16">
            <v>113</v>
          </cell>
          <cell r="F16">
            <v>0.58564316904848979</v>
          </cell>
          <cell r="AB16">
            <v>51.806322276857827</v>
          </cell>
          <cell r="AC16">
            <v>131.75657931408091</v>
          </cell>
        </row>
        <row r="17">
          <cell r="C17" t="str">
            <v>2014e</v>
          </cell>
          <cell r="D17">
            <v>216.27040321437914</v>
          </cell>
          <cell r="E17">
            <v>113</v>
          </cell>
          <cell r="F17">
            <v>0.52249405522210157</v>
          </cell>
          <cell r="AB17">
            <v>28.486176099701765</v>
          </cell>
          <cell r="AC17">
            <v>131.75657931408091</v>
          </cell>
        </row>
        <row r="18">
          <cell r="C18" t="str">
            <v>2015e</v>
          </cell>
          <cell r="D18">
            <v>244.75657931408091</v>
          </cell>
          <cell r="E18">
            <v>113</v>
          </cell>
          <cell r="F18">
            <v>0.46168319689986403</v>
          </cell>
          <cell r="AB18">
            <v>0</v>
          </cell>
          <cell r="AC18">
            <v>131.75657931408091</v>
          </cell>
        </row>
        <row r="19">
          <cell r="AB19">
            <v>244.75657931408091</v>
          </cell>
          <cell r="AC19">
            <v>244.75657931408091</v>
          </cell>
        </row>
        <row r="20">
          <cell r="AB20">
            <v>244.75657931408091</v>
          </cell>
          <cell r="AC20">
            <v>244.75657931408091</v>
          </cell>
        </row>
        <row r="21">
          <cell r="AB21">
            <v>244.75657931408091</v>
          </cell>
          <cell r="AC21">
            <v>244.75657931408091</v>
          </cell>
        </row>
        <row r="22">
          <cell r="AB22">
            <v>244.75657931408091</v>
          </cell>
          <cell r="AC22">
            <v>244.75657931408091</v>
          </cell>
        </row>
        <row r="23">
          <cell r="AB23">
            <v>244.75657931408091</v>
          </cell>
          <cell r="AC23">
            <v>244.75657931408091</v>
          </cell>
        </row>
        <row r="24">
          <cell r="AB24">
            <v>244.75657931408091</v>
          </cell>
          <cell r="AC24">
            <v>244.75657931408091</v>
          </cell>
        </row>
        <row r="25">
          <cell r="AB25">
            <v>244.75657931408091</v>
          </cell>
          <cell r="AC25">
            <v>244.75657931408091</v>
          </cell>
        </row>
        <row r="26">
          <cell r="AB26">
            <v>244.75657931408091</v>
          </cell>
          <cell r="AC26">
            <v>244.75657931408091</v>
          </cell>
        </row>
        <row r="27">
          <cell r="AB27">
            <v>244.75657931408091</v>
          </cell>
          <cell r="AC27">
            <v>244.75657931408091</v>
          </cell>
        </row>
        <row r="28">
          <cell r="AB28">
            <v>244.75657931408091</v>
          </cell>
          <cell r="AC28">
            <v>244.75657931408091</v>
          </cell>
        </row>
        <row r="29">
          <cell r="AB29">
            <v>244.75657931408091</v>
          </cell>
          <cell r="AC29">
            <v>244.75657931408091</v>
          </cell>
        </row>
        <row r="30">
          <cell r="AB30">
            <v>244.75657931408091</v>
          </cell>
          <cell r="AC30">
            <v>244.75657931408091</v>
          </cell>
        </row>
        <row r="31">
          <cell r="AB31">
            <v>244.75657931408091</v>
          </cell>
          <cell r="AC31">
            <v>244.75657931408091</v>
          </cell>
        </row>
        <row r="998">
          <cell r="R998" t="str">
            <v>.</v>
          </cell>
          <cell r="S998" t="str">
            <v>.</v>
          </cell>
          <cell r="T998" t="str">
            <v>.</v>
          </cell>
          <cell r="U998" t="str">
            <v>.</v>
          </cell>
          <cell r="V998" t="str">
            <v>.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Valuation Summary"/>
      <sheetName val="__FDSCACHE__"/>
      <sheetName val="Financial Summary"/>
      <sheetName val="NVE - Consolidated"/>
      <sheetName val="Nevada Power"/>
      <sheetName val="Sierra Power"/>
      <sheetName val="Parent"/>
      <sheetName val="Debt"/>
      <sheetName val="EPS Walk"/>
      <sheetName val="Note Tables"/>
      <sheetName val="mwareDates"/>
      <sheetName val="Capex Chart"/>
      <sheetName val="FCF-Div. Working Chart"/>
      <sheetName val="MW FDS"/>
      <sheetName val="MWA RR (2)"/>
      <sheetName val="mwareSettings"/>
      <sheetName val="MW-Cache"/>
      <sheetName val="Summary"/>
      <sheetName val="Financials"/>
      <sheetName val="MWA RR"/>
      <sheetName val="Scorecard"/>
    </sheetNames>
    <sheetDataSet>
      <sheetData sheetId="0" refreshError="1"/>
      <sheetData sheetId="1" refreshError="1"/>
      <sheetData sheetId="2" refreshError="1"/>
      <sheetData sheetId="3" refreshError="1">
        <row r="2">
          <cell r="B2" t="str">
            <v>NV Energy</v>
          </cell>
        </row>
        <row r="3">
          <cell r="B3" t="str">
            <v>Financial Summary</v>
          </cell>
        </row>
        <row r="4">
          <cell r="B4" t="str">
            <v>$m, unless stated otherwise</v>
          </cell>
        </row>
        <row r="5">
          <cell r="B5" t="str">
            <v>Period Ended</v>
          </cell>
          <cell r="I5">
            <v>2009</v>
          </cell>
          <cell r="N5">
            <v>2010</v>
          </cell>
          <cell r="S5">
            <v>2011</v>
          </cell>
          <cell r="X5">
            <v>2012</v>
          </cell>
          <cell r="AC5">
            <v>2013</v>
          </cell>
          <cell r="AH5">
            <v>2014</v>
          </cell>
          <cell r="AM5">
            <v>2015</v>
          </cell>
          <cell r="AO5" t="str">
            <v>Period Ended</v>
          </cell>
          <cell r="AW5">
            <v>2009</v>
          </cell>
          <cell r="BB5">
            <v>2010</v>
          </cell>
          <cell r="BG5">
            <v>2011</v>
          </cell>
          <cell r="BL5">
            <v>2012</v>
          </cell>
          <cell r="BQ5">
            <v>2013</v>
          </cell>
          <cell r="BV5">
            <v>2014</v>
          </cell>
          <cell r="CA5">
            <v>2015</v>
          </cell>
        </row>
        <row r="7">
          <cell r="B7" t="str">
            <v>EPS AND EBITDA PROFILE</v>
          </cell>
          <cell r="AP7" t="str">
            <v>CAPITALIZATION PROFILE</v>
          </cell>
        </row>
        <row r="9">
          <cell r="C9" t="str">
            <v>EPS by Business Segment</v>
          </cell>
          <cell r="AQ9" t="str">
            <v>Cash</v>
          </cell>
          <cell r="AW9">
            <v>62.706000000000003</v>
          </cell>
          <cell r="BB9">
            <v>86.188999999999993</v>
          </cell>
          <cell r="BG9">
            <v>214.61727950251523</v>
          </cell>
          <cell r="BL9">
            <v>240.56529358885604</v>
          </cell>
          <cell r="BQ9">
            <v>265.84944011607911</v>
          </cell>
          <cell r="BV9">
            <v>386.21502646045826</v>
          </cell>
          <cell r="CA9">
            <v>381.82808254453914</v>
          </cell>
        </row>
        <row r="10">
          <cell r="C10" t="str">
            <v>Nevada Power</v>
          </cell>
          <cell r="I10">
            <v>0.57098225684245008</v>
          </cell>
          <cell r="N10">
            <v>0.78691105583816123</v>
          </cell>
          <cell r="S10">
            <v>0.64430447573699823</v>
          </cell>
          <cell r="X10">
            <v>1.0234410013720265</v>
          </cell>
          <cell r="AC10">
            <v>1.0471710948644808</v>
          </cell>
          <cell r="AH10">
            <v>1.0830719624121479</v>
          </cell>
          <cell r="AM10">
            <v>1.1820805154946072</v>
          </cell>
        </row>
        <row r="11">
          <cell r="C11" t="str">
            <v>Sierra Pacific Power</v>
          </cell>
          <cell r="I11">
            <v>0.31076106044897717</v>
          </cell>
          <cell r="N11">
            <v>0.30629110892201944</v>
          </cell>
          <cell r="S11">
            <v>0.30268756480263276</v>
          </cell>
          <cell r="X11">
            <v>0.31215547901530016</v>
          </cell>
          <cell r="AC11">
            <v>0.32721191357364682</v>
          </cell>
          <cell r="AH11">
            <v>0.36481066593765932</v>
          </cell>
          <cell r="AM11">
            <v>0.36374936985680045</v>
          </cell>
          <cell r="AQ11" t="str">
            <v>Short Term Debt</v>
          </cell>
          <cell r="AW11">
            <v>0</v>
          </cell>
          <cell r="BB11">
            <v>0</v>
          </cell>
          <cell r="BG11">
            <v>0</v>
          </cell>
          <cell r="BL11">
            <v>0</v>
          </cell>
          <cell r="BQ11">
            <v>0</v>
          </cell>
          <cell r="BV11">
            <v>0</v>
          </cell>
          <cell r="CA11">
            <v>0</v>
          </cell>
        </row>
        <row r="12">
          <cell r="C12" t="str">
            <v>Parent &amp; Other</v>
          </cell>
          <cell r="I12">
            <v>-0.10389033303618954</v>
          </cell>
          <cell r="N12">
            <v>-0.13260553515664844</v>
          </cell>
          <cell r="S12">
            <v>-9.1192023357962365E-2</v>
          </cell>
          <cell r="X12">
            <v>-8.9444278664941604E-2</v>
          </cell>
          <cell r="AC12">
            <v>-8.7148762122346318E-2</v>
          </cell>
          <cell r="AH12">
            <v>-8.0633309316615026E-2</v>
          </cell>
          <cell r="AM12">
            <v>-7.5917040694008744E-2</v>
          </cell>
          <cell r="AQ12" t="str">
            <v>Long Term Debt</v>
          </cell>
          <cell r="AW12">
            <v>5437.8310000000001</v>
          </cell>
          <cell r="BB12">
            <v>5280.0380000000005</v>
          </cell>
          <cell r="BG12">
            <v>5230.0380000000005</v>
          </cell>
          <cell r="BL12">
            <v>5150.0380000000005</v>
          </cell>
          <cell r="BQ12">
            <v>5075.0380000000005</v>
          </cell>
          <cell r="BV12">
            <v>5100.0380000000005</v>
          </cell>
          <cell r="CA12">
            <v>5000.0380000000005</v>
          </cell>
        </row>
        <row r="13">
          <cell r="C13" t="str">
            <v>Consolidated EPS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0.77785298425523774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0.9605966296035322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0.85580001718166865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1.2461522017223849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1.2872342463157813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1.3672493190331922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1.4699128446573988</v>
          </cell>
          <cell r="AQ13" t="str">
            <v>Total Debt</v>
          </cell>
          <cell r="AW13">
            <v>5437.8310000000001</v>
          </cell>
          <cell r="BB13">
            <v>5280.0380000000005</v>
          </cell>
          <cell r="BG13">
            <v>5230.0380000000005</v>
          </cell>
          <cell r="BL13">
            <v>5150.0380000000005</v>
          </cell>
          <cell r="BQ13">
            <v>5075.0380000000005</v>
          </cell>
          <cell r="BV13">
            <v>5100.0380000000005</v>
          </cell>
          <cell r="CA13">
            <v>5000.0380000000005</v>
          </cell>
        </row>
        <row r="14">
          <cell r="C14" t="str">
            <v>Growth</v>
          </cell>
          <cell r="N14">
            <v>0.2349333987877722</v>
          </cell>
          <cell r="S14">
            <v>-0.10909533636935242</v>
          </cell>
          <cell r="X14">
            <v>0.45612546938971676</v>
          </cell>
          <cell r="AC14">
            <v>3.296711632544902E-2</v>
          </cell>
          <cell r="AH14">
            <v>6.2160459874668339E-2</v>
          </cell>
          <cell r="AM14">
            <v>7.5087640706818393E-2</v>
          </cell>
        </row>
        <row r="15">
          <cell r="AQ15" t="str">
            <v>Preferred Equity</v>
          </cell>
          <cell r="AW15">
            <v>0</v>
          </cell>
          <cell r="BB15">
            <v>0</v>
          </cell>
          <cell r="BG15">
            <v>0</v>
          </cell>
          <cell r="BL15">
            <v>0</v>
          </cell>
          <cell r="BQ15">
            <v>0</v>
          </cell>
          <cell r="BV15">
            <v>0</v>
          </cell>
          <cell r="CA15">
            <v>0</v>
          </cell>
        </row>
        <row r="16">
          <cell r="C16" t="str">
            <v>Regulated / Unregulated EPS</v>
          </cell>
          <cell r="AQ16" t="str">
            <v>Common Equity</v>
          </cell>
          <cell r="AW16">
            <v>3223.922</v>
          </cell>
          <cell r="BB16">
            <v>3350.8180000000002</v>
          </cell>
          <cell r="BG16">
            <v>3437.9657186990507</v>
          </cell>
          <cell r="BL16">
            <v>3603.339317189053</v>
          </cell>
          <cell r="BQ16">
            <v>3750.1929482659471</v>
          </cell>
          <cell r="BV16">
            <v>3887.7369601607984</v>
          </cell>
          <cell r="CA16">
            <v>4021.3292751369854</v>
          </cell>
        </row>
        <row r="17">
          <cell r="C17" t="str">
            <v>Regulated Utility (includes Parent)</v>
          </cell>
          <cell r="I17">
            <v>1</v>
          </cell>
          <cell r="N17">
            <v>1</v>
          </cell>
          <cell r="S17">
            <v>1</v>
          </cell>
          <cell r="X17">
            <v>1</v>
          </cell>
          <cell r="AC17">
            <v>1</v>
          </cell>
          <cell r="AH17">
            <v>1</v>
          </cell>
          <cell r="AM17">
            <v>1</v>
          </cell>
        </row>
        <row r="18">
          <cell r="C18" t="str">
            <v>Merchant Power</v>
          </cell>
          <cell r="I18">
            <v>0</v>
          </cell>
          <cell r="N18">
            <v>0</v>
          </cell>
          <cell r="S18">
            <v>0</v>
          </cell>
          <cell r="X18">
            <v>0</v>
          </cell>
          <cell r="AC18">
            <v>0</v>
          </cell>
          <cell r="AH18">
            <v>0</v>
          </cell>
          <cell r="AM18">
            <v>0</v>
          </cell>
          <cell r="AQ18" t="str">
            <v>Total Capitalization</v>
          </cell>
          <cell r="AW18">
            <v>8661.7530000000006</v>
          </cell>
          <cell r="BB18">
            <v>8630.8559999999998</v>
          </cell>
          <cell r="BG18">
            <v>8668.0037186990521</v>
          </cell>
          <cell r="BL18">
            <v>8753.3773171890534</v>
          </cell>
          <cell r="BQ18">
            <v>8825.2309482659475</v>
          </cell>
          <cell r="BV18">
            <v>8987.7749601607993</v>
          </cell>
          <cell r="CA18">
            <v>9021.367275136985</v>
          </cell>
        </row>
        <row r="19">
          <cell r="C19" t="str">
            <v>Other (Non-Utility / Power operations)</v>
          </cell>
          <cell r="I19">
            <v>0</v>
          </cell>
          <cell r="N19">
            <v>0</v>
          </cell>
          <cell r="S19">
            <v>0</v>
          </cell>
          <cell r="X19">
            <v>0</v>
          </cell>
          <cell r="AC19">
            <v>0</v>
          </cell>
          <cell r="AH19">
            <v>0</v>
          </cell>
          <cell r="AM19">
            <v>0</v>
          </cell>
        </row>
        <row r="20">
          <cell r="AQ20" t="str">
            <v>Leverage Ratios</v>
          </cell>
        </row>
        <row r="21">
          <cell r="C21" t="str">
            <v>EBITDA by Business Segment</v>
          </cell>
          <cell r="AQ21" t="str">
            <v>LT Debt  / Total Cap</v>
          </cell>
          <cell r="AW21">
            <v>0.62779797576772278</v>
          </cell>
          <cell r="BB21">
            <v>0.61176295839022232</v>
          </cell>
          <cell r="BG21">
            <v>0.60337283759090921</v>
          </cell>
          <cell r="BL21">
            <v>0.58834868112983585</v>
          </cell>
          <cell r="BQ21">
            <v>0.57506007828579087</v>
          </cell>
          <cell r="BV21">
            <v>0.56744166633081305</v>
          </cell>
          <cell r="CA21">
            <v>0.55424392417546009</v>
          </cell>
        </row>
        <row r="22">
          <cell r="C22" t="str">
            <v>Nevada Power</v>
          </cell>
          <cell r="I22">
            <v>638.06100000000015</v>
          </cell>
          <cell r="N22">
            <v>718.31899999999973</v>
          </cell>
          <cell r="S22">
            <v>692.29769453775964</v>
          </cell>
          <cell r="X22">
            <v>841.88870360407191</v>
          </cell>
          <cell r="AC22">
            <v>850.41700135407177</v>
          </cell>
          <cell r="AH22">
            <v>864.69057499275152</v>
          </cell>
          <cell r="AM22">
            <v>899.03739152422258</v>
          </cell>
          <cell r="AQ22" t="str">
            <v>Total Debt / Total Cap</v>
          </cell>
          <cell r="AW22">
            <v>0.62779797576772278</v>
          </cell>
          <cell r="BB22">
            <v>0.61176295839022232</v>
          </cell>
          <cell r="BG22">
            <v>0.60337283759090921</v>
          </cell>
          <cell r="BL22">
            <v>0.58834868112983585</v>
          </cell>
          <cell r="BQ22">
            <v>0.57506007828579087</v>
          </cell>
          <cell r="BV22">
            <v>0.56744166633081305</v>
          </cell>
          <cell r="CA22">
            <v>0.55424392417546009</v>
          </cell>
        </row>
        <row r="23">
          <cell r="C23" t="str">
            <v>Sierra Pacific Power</v>
          </cell>
          <cell r="I23">
            <v>279.77100000000007</v>
          </cell>
          <cell r="N23">
            <v>288.10000000000014</v>
          </cell>
          <cell r="S23">
            <v>279.46208999999993</v>
          </cell>
          <cell r="X23">
            <v>285.56132590000004</v>
          </cell>
          <cell r="AC23">
            <v>292.7860310609999</v>
          </cell>
          <cell r="AH23">
            <v>308.195814640295</v>
          </cell>
          <cell r="AM23">
            <v>310.7371373663899</v>
          </cell>
          <cell r="AQ23" t="str">
            <v>Net Debt / LTM EBITDA</v>
          </cell>
          <cell r="AW23">
            <v>9.5289611635167173</v>
          </cell>
          <cell r="BB23">
            <v>5.1586822630130387</v>
          </cell>
          <cell r="BG23">
            <v>5.1825058249274631</v>
          </cell>
          <cell r="BL23">
            <v>4.3699965085036743</v>
          </cell>
          <cell r="BQ23">
            <v>4.2215377092954229</v>
          </cell>
          <cell r="BV23">
            <v>4.0327469079517408</v>
          </cell>
          <cell r="CA23">
            <v>3.8300775201351303</v>
          </cell>
        </row>
        <row r="24">
          <cell r="C24" t="str">
            <v>Corporate &amp; Other</v>
          </cell>
          <cell r="I24">
            <v>-3.2100000000001785</v>
          </cell>
          <cell r="N24">
            <v>0.39800000000031943</v>
          </cell>
          <cell r="S24">
            <v>-4</v>
          </cell>
          <cell r="X24">
            <v>-4</v>
          </cell>
          <cell r="AC24">
            <v>-4</v>
          </cell>
          <cell r="AH24">
            <v>-4</v>
          </cell>
          <cell r="AM24">
            <v>-4</v>
          </cell>
          <cell r="AQ24" t="str">
            <v>FFO / Total Debt</v>
          </cell>
          <cell r="AW24">
            <v>9.2841612768031948E-2</v>
          </cell>
          <cell r="BB24">
            <v>0.10606798663191445</v>
          </cell>
          <cell r="BG24">
            <v>0.10614772684448458</v>
          </cell>
          <cell r="BL24">
            <v>0.12894625005493404</v>
          </cell>
          <cell r="BQ24">
            <v>0.13391727507747295</v>
          </cell>
          <cell r="BV24">
            <v>0.13783336634977697</v>
          </cell>
          <cell r="CA24">
            <v>0.14628720464754197</v>
          </cell>
        </row>
        <row r="25">
          <cell r="C25" t="str">
            <v>Consolidated EBITDA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914.62200000000007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1006.8170000000002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967.75978453775951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1123.4500295040721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1139.2030324150717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1168.8863896330465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1205.7745288906126</v>
          </cell>
        </row>
        <row r="26">
          <cell r="AQ26" t="str">
            <v>Coverage Ratios</v>
          </cell>
        </row>
        <row r="27">
          <cell r="C27" t="str">
            <v>Regulated / Unregulated EBITDA</v>
          </cell>
          <cell r="AQ27" t="str">
            <v>FFO Interest Coverage ((FFO + Int.) / Int.)</v>
          </cell>
          <cell r="AW27">
            <v>2.4998989880984213</v>
          </cell>
          <cell r="BB27">
            <v>2.6208371559964934</v>
          </cell>
          <cell r="BG27">
            <v>2.7123600298622179</v>
          </cell>
          <cell r="BL27">
            <v>3.1101216481176945</v>
          </cell>
          <cell r="BQ27">
            <v>3.1946835077986964</v>
          </cell>
          <cell r="BV27">
            <v>3.2984109011742175</v>
          </cell>
          <cell r="CA27">
            <v>3.4286793911401889</v>
          </cell>
        </row>
        <row r="28">
          <cell r="C28" t="str">
            <v>Regulated Utility (includes Parent)</v>
          </cell>
          <cell r="I28">
            <v>1</v>
          </cell>
          <cell r="N28">
            <v>1</v>
          </cell>
          <cell r="S28">
            <v>1</v>
          </cell>
          <cell r="X28">
            <v>1</v>
          </cell>
          <cell r="AC28">
            <v>1</v>
          </cell>
          <cell r="AH28">
            <v>1</v>
          </cell>
          <cell r="AM28">
            <v>1</v>
          </cell>
          <cell r="AQ28" t="str">
            <v>Pretax Interest Coverage (EBIT / Int.)</v>
          </cell>
          <cell r="AW28">
            <v>1.7608780905185477</v>
          </cell>
          <cell r="BB28">
            <v>1.9499431303487145</v>
          </cell>
          <cell r="BG28">
            <v>1.8971263364762765</v>
          </cell>
          <cell r="BL28">
            <v>2.3963998899974324</v>
          </cell>
          <cell r="BQ28">
            <v>2.4673973891223868</v>
          </cell>
          <cell r="BV28">
            <v>2.5809875708239618</v>
          </cell>
          <cell r="CA28">
            <v>2.7295980496810768</v>
          </cell>
        </row>
        <row r="29">
          <cell r="C29" t="str">
            <v>Merchant Power</v>
          </cell>
          <cell r="I29">
            <v>0</v>
          </cell>
          <cell r="N29">
            <v>0</v>
          </cell>
          <cell r="S29">
            <v>0</v>
          </cell>
          <cell r="X29">
            <v>0</v>
          </cell>
          <cell r="AC29">
            <v>0</v>
          </cell>
          <cell r="AH29">
            <v>0</v>
          </cell>
          <cell r="AM29">
            <v>0</v>
          </cell>
        </row>
        <row r="30">
          <cell r="C30" t="str">
            <v>Other (Non-Utility / Power operations)</v>
          </cell>
          <cell r="I30">
            <v>0</v>
          </cell>
          <cell r="N30">
            <v>0</v>
          </cell>
          <cell r="S30">
            <v>0</v>
          </cell>
          <cell r="X30">
            <v>0</v>
          </cell>
          <cell r="AC30">
            <v>0</v>
          </cell>
          <cell r="AH30">
            <v>0</v>
          </cell>
          <cell r="AM30">
            <v>0</v>
          </cell>
        </row>
        <row r="33">
          <cell r="B33" t="str">
            <v>DIVIDEND AND SHARE COUNT DATA</v>
          </cell>
          <cell r="AP33" t="str">
            <v>CASH FLOW PROFILE</v>
          </cell>
        </row>
        <row r="35">
          <cell r="C35" t="str">
            <v>Dividend Per Share</v>
          </cell>
          <cell r="E35">
            <v>0.1</v>
          </cell>
          <cell r="F35">
            <v>0.1</v>
          </cell>
          <cell r="G35">
            <v>0.1</v>
          </cell>
          <cell r="H35">
            <v>0.10999999999999993</v>
          </cell>
          <cell r="I35">
            <v>0.41</v>
          </cell>
          <cell r="J35">
            <v>0.11</v>
          </cell>
          <cell r="K35">
            <v>0.11</v>
          </cell>
          <cell r="L35">
            <v>0.11</v>
          </cell>
          <cell r="M35">
            <v>0.12</v>
          </cell>
          <cell r="N35">
            <v>0.45</v>
          </cell>
          <cell r="O35">
            <v>0.12</v>
          </cell>
          <cell r="P35">
            <v>0.12</v>
          </cell>
          <cell r="Q35">
            <v>0.12</v>
          </cell>
          <cell r="R35">
            <v>0.13</v>
          </cell>
          <cell r="S35">
            <v>0.49</v>
          </cell>
          <cell r="T35">
            <v>0.13</v>
          </cell>
          <cell r="U35">
            <v>0.13</v>
          </cell>
          <cell r="V35">
            <v>0.13</v>
          </cell>
          <cell r="W35">
            <v>0.16</v>
          </cell>
          <cell r="X35">
            <v>0.55000000000000004</v>
          </cell>
          <cell r="Y35">
            <v>0.16</v>
          </cell>
          <cell r="Z35">
            <v>0.16</v>
          </cell>
          <cell r="AA35">
            <v>0.16</v>
          </cell>
          <cell r="AB35">
            <v>0.19</v>
          </cell>
          <cell r="AC35">
            <v>0.66999999999999993</v>
          </cell>
          <cell r="AD35">
            <v>0.19</v>
          </cell>
          <cell r="AE35">
            <v>0.19</v>
          </cell>
          <cell r="AF35">
            <v>0.19</v>
          </cell>
          <cell r="AG35">
            <v>0.22</v>
          </cell>
          <cell r="AH35">
            <v>0.79</v>
          </cell>
          <cell r="AI35">
            <v>0.22</v>
          </cell>
          <cell r="AJ35">
            <v>0.22</v>
          </cell>
          <cell r="AK35">
            <v>0.22</v>
          </cell>
          <cell r="AL35">
            <v>0.25</v>
          </cell>
          <cell r="AM35">
            <v>0.91</v>
          </cell>
          <cell r="AQ35" t="str">
            <v>Regulated / Unregulated OCF</v>
          </cell>
        </row>
        <row r="36">
          <cell r="C36" t="str">
            <v>Dividend Yield</v>
          </cell>
          <cell r="I36">
            <v>2.8571428571428571E-2</v>
          </cell>
          <cell r="N36">
            <v>3.1358885017421602E-2</v>
          </cell>
          <cell r="S36">
            <v>3.4146341463414637E-2</v>
          </cell>
          <cell r="X36">
            <v>3.8327526132404185E-2</v>
          </cell>
          <cell r="AC36">
            <v>4.6689895470383269E-2</v>
          </cell>
          <cell r="AH36">
            <v>5.5052264808362374E-2</v>
          </cell>
          <cell r="AM36">
            <v>6.3414634146341464E-2</v>
          </cell>
          <cell r="AQ36" t="str">
            <v>Regulated Utility (includes parent)</v>
          </cell>
          <cell r="AW36">
            <v>751.52100000000007</v>
          </cell>
          <cell r="BB36">
            <v>886.452</v>
          </cell>
          <cell r="BG36">
            <v>649.91933047251496</v>
          </cell>
          <cell r="BL36">
            <v>708.55066823634081</v>
          </cell>
          <cell r="BQ36">
            <v>669.10784037055646</v>
          </cell>
          <cell r="BV36">
            <v>692.42798654771252</v>
          </cell>
          <cell r="CA36">
            <v>720.91416264741429</v>
          </cell>
        </row>
        <row r="37">
          <cell r="C37" t="str">
            <v>Dividend Payout Ratio</v>
          </cell>
          <cell r="I37">
            <v>0.52709189049722305</v>
          </cell>
          <cell r="N37">
            <v>0.46845885789306679</v>
          </cell>
          <cell r="S37">
            <v>0.57256367160832056</v>
          </cell>
          <cell r="X37">
            <v>0.44135860711060065</v>
          </cell>
          <cell r="AC37">
            <v>0.52049578537676433</v>
          </cell>
          <cell r="AH37">
            <v>0.57780244539351744</v>
          </cell>
          <cell r="AM37">
            <v>0.61908432415399373</v>
          </cell>
          <cell r="AQ37" t="str">
            <v>Merchant Power</v>
          </cell>
          <cell r="AW37">
            <v>0</v>
          </cell>
          <cell r="BB37">
            <v>0</v>
          </cell>
          <cell r="BG37">
            <v>0</v>
          </cell>
          <cell r="BL37">
            <v>0</v>
          </cell>
          <cell r="BQ37">
            <v>0</v>
          </cell>
          <cell r="BV37">
            <v>0</v>
          </cell>
          <cell r="CA37">
            <v>0</v>
          </cell>
        </row>
        <row r="38">
          <cell r="C38" t="str">
            <v>Dividend Growth Rate</v>
          </cell>
          <cell r="N38">
            <v>9.7560975609756184E-2</v>
          </cell>
          <cell r="S38">
            <v>8.8888888888888795E-2</v>
          </cell>
          <cell r="X38">
            <v>0.12244897959183687</v>
          </cell>
          <cell r="AC38">
            <v>0.21818181818181803</v>
          </cell>
          <cell r="AH38">
            <v>0.17910447761194037</v>
          </cell>
          <cell r="AM38">
            <v>0.15189873417721511</v>
          </cell>
          <cell r="AQ38" t="str">
            <v>Other (non-utility/power operations)</v>
          </cell>
          <cell r="AW38">
            <v>0</v>
          </cell>
          <cell r="BB38">
            <v>0</v>
          </cell>
          <cell r="BG38">
            <v>0</v>
          </cell>
          <cell r="BL38">
            <v>0</v>
          </cell>
          <cell r="BQ38">
            <v>0</v>
          </cell>
          <cell r="BV38">
            <v>0</v>
          </cell>
          <cell r="CA38">
            <v>0</v>
          </cell>
        </row>
        <row r="39">
          <cell r="AQ39" t="str">
            <v>Consolidated OCF</v>
          </cell>
          <cell r="AW39">
            <v>751.52100000000007</v>
          </cell>
          <cell r="BB39">
            <v>886.452</v>
          </cell>
          <cell r="BG39">
            <v>649.91933047251496</v>
          </cell>
          <cell r="BL39">
            <v>708.55066823634081</v>
          </cell>
          <cell r="BQ39">
            <v>669.10784037055646</v>
          </cell>
          <cell r="BV39">
            <v>692.42798654771252</v>
          </cell>
          <cell r="CA39">
            <v>720.91416264741429</v>
          </cell>
        </row>
        <row r="40">
          <cell r="C40" t="str">
            <v>Actual Shares Outstanding</v>
          </cell>
          <cell r="I40">
            <v>235.834169</v>
          </cell>
          <cell r="N40">
            <v>235.322553</v>
          </cell>
          <cell r="S40">
            <v>235.322553</v>
          </cell>
          <cell r="X40">
            <v>235.322553</v>
          </cell>
          <cell r="AC40">
            <v>235.322553</v>
          </cell>
          <cell r="AH40">
            <v>235.322553</v>
          </cell>
          <cell r="AM40">
            <v>235.322553</v>
          </cell>
        </row>
        <row r="41">
          <cell r="C41" t="str">
            <v>Average Shares Outstanding</v>
          </cell>
          <cell r="I41">
            <v>234.542292</v>
          </cell>
          <cell r="N41">
            <v>235.04834700000001</v>
          </cell>
          <cell r="S41">
            <v>235.322553</v>
          </cell>
          <cell r="X41">
            <v>235.322553</v>
          </cell>
          <cell r="AC41">
            <v>235.322553</v>
          </cell>
          <cell r="AH41">
            <v>235.322553</v>
          </cell>
          <cell r="AM41">
            <v>235.322553</v>
          </cell>
          <cell r="AQ41" t="str">
            <v>Regulated / Unregulated CapEx</v>
          </cell>
        </row>
        <row r="42">
          <cell r="C42" t="str">
            <v>Diluted Average Shares Outstanding</v>
          </cell>
          <cell r="I42">
            <v>235.180688</v>
          </cell>
          <cell r="N42">
            <v>236.29481200000001</v>
          </cell>
          <cell r="S42">
            <v>236.569018</v>
          </cell>
          <cell r="X42">
            <v>236.569018</v>
          </cell>
          <cell r="AC42">
            <v>236.569018</v>
          </cell>
          <cell r="AH42">
            <v>236.569018</v>
          </cell>
          <cell r="AM42">
            <v>236.569018</v>
          </cell>
          <cell r="AQ42" t="str">
            <v>Regulated Utility (includes parent)</v>
          </cell>
          <cell r="AW42">
            <v>843.13199999999995</v>
          </cell>
          <cell r="BB42">
            <v>629.49599999999998</v>
          </cell>
          <cell r="BG42">
            <v>553.18299999999999</v>
          </cell>
          <cell r="BL42">
            <v>538.17525000000001</v>
          </cell>
          <cell r="BQ42">
            <v>476.15758333333338</v>
          </cell>
          <cell r="BV42">
            <v>476.15758333333338</v>
          </cell>
          <cell r="CA42">
            <v>476.15758333333338</v>
          </cell>
        </row>
        <row r="43">
          <cell r="AQ43" t="str">
            <v>Merchant Power</v>
          </cell>
          <cell r="AW43">
            <v>0</v>
          </cell>
          <cell r="BB43">
            <v>0</v>
          </cell>
          <cell r="BG43">
            <v>0</v>
          </cell>
          <cell r="BL43">
            <v>0</v>
          </cell>
          <cell r="BQ43">
            <v>0</v>
          </cell>
          <cell r="BV43">
            <v>0</v>
          </cell>
          <cell r="CA43">
            <v>0</v>
          </cell>
        </row>
        <row r="44">
          <cell r="AQ44" t="str">
            <v>Other (non-utility/power operations)</v>
          </cell>
          <cell r="AW44">
            <v>0</v>
          </cell>
          <cell r="BB44">
            <v>0</v>
          </cell>
          <cell r="BG44">
            <v>0</v>
          </cell>
          <cell r="BL44">
            <v>0</v>
          </cell>
          <cell r="BQ44">
            <v>0</v>
          </cell>
          <cell r="BV44">
            <v>0</v>
          </cell>
          <cell r="CA44">
            <v>0</v>
          </cell>
        </row>
        <row r="45">
          <cell r="AQ45" t="str">
            <v>Consolidated CapEx</v>
          </cell>
          <cell r="AW45">
            <v>843.13199999999995</v>
          </cell>
          <cell r="BB45">
            <v>629.49599999999998</v>
          </cell>
          <cell r="BG45">
            <v>553.18299999999999</v>
          </cell>
          <cell r="BL45">
            <v>538.17525000000001</v>
          </cell>
          <cell r="BQ45">
            <v>476.15758333333338</v>
          </cell>
          <cell r="BV45">
            <v>476.15758333333338</v>
          </cell>
          <cell r="CA45">
            <v>476.15758333333338</v>
          </cell>
        </row>
        <row r="47">
          <cell r="B47" t="str">
            <v>VALUATION PROFILE</v>
          </cell>
          <cell r="AQ47" t="str">
            <v>Free Cash Flow</v>
          </cell>
        </row>
        <row r="48">
          <cell r="AQ48" t="str">
            <v>Regulated Utility (includes parent)</v>
          </cell>
          <cell r="AW48">
            <v>-91.610999999999876</v>
          </cell>
          <cell r="BB48">
            <v>256.95600000000002</v>
          </cell>
          <cell r="BG48">
            <v>96.736330472514965</v>
          </cell>
          <cell r="BL48">
            <v>170.37541823634081</v>
          </cell>
          <cell r="BQ48">
            <v>192.95025703722308</v>
          </cell>
          <cell r="BV48">
            <v>216.27040321437914</v>
          </cell>
          <cell r="CA48">
            <v>244.75657931408091</v>
          </cell>
        </row>
        <row r="49">
          <cell r="C49" t="str">
            <v>Price to Earnings</v>
          </cell>
          <cell r="F49" t="e">
            <v>#NAME?</v>
          </cell>
          <cell r="G49" t="e">
            <v>#NAME?</v>
          </cell>
          <cell r="H49" t="e">
            <v>#NAME?</v>
          </cell>
          <cell r="K49" t="e">
            <v>#NAME?</v>
          </cell>
          <cell r="L49" t="e">
            <v>#NAME?</v>
          </cell>
          <cell r="M49" t="e">
            <v>#NAME?</v>
          </cell>
          <cell r="N49">
            <v>14.938632468367796</v>
          </cell>
          <cell r="O49" t="e">
            <v>#NAME?</v>
          </cell>
          <cell r="P49" t="e">
            <v>#NAME?</v>
          </cell>
          <cell r="Q49" t="e">
            <v>#NAME?</v>
          </cell>
          <cell r="S49">
            <v>16.767936097100815</v>
          </cell>
          <cell r="T49" t="e">
            <v>#NAME?</v>
          </cell>
          <cell r="U49" t="e">
            <v>#NAME?</v>
          </cell>
          <cell r="V49" t="e">
            <v>#NAME?</v>
          </cell>
          <cell r="X49">
            <v>11.515447294612942</v>
          </cell>
          <cell r="Y49" t="e">
            <v>#NAME?</v>
          </cell>
          <cell r="Z49" t="e">
            <v>#NAME?</v>
          </cell>
          <cell r="AA49" t="e">
            <v>#NAME?</v>
          </cell>
          <cell r="AC49">
            <v>11.147932119636669</v>
          </cell>
          <cell r="AD49" t="e">
            <v>#NAME?</v>
          </cell>
          <cell r="AE49" t="e">
            <v>#NAME?</v>
          </cell>
          <cell r="AF49" t="e">
            <v>#NAME?</v>
          </cell>
          <cell r="AH49">
            <v>10.495525432148071</v>
          </cell>
          <cell r="AI49" t="e">
            <v>#NAME?</v>
          </cell>
          <cell r="AJ49" t="e">
            <v>#NAME?</v>
          </cell>
          <cell r="AK49" t="e">
            <v>#NAME?</v>
          </cell>
          <cell r="AM49">
            <v>9.7624835731975921</v>
          </cell>
          <cell r="AQ49" t="str">
            <v>Merchant Power</v>
          </cell>
          <cell r="AW49">
            <v>0</v>
          </cell>
          <cell r="BB49">
            <v>0</v>
          </cell>
          <cell r="BG49">
            <v>0</v>
          </cell>
          <cell r="BL49">
            <v>0</v>
          </cell>
          <cell r="BQ49">
            <v>0</v>
          </cell>
          <cell r="BV49">
            <v>0</v>
          </cell>
          <cell r="CA49">
            <v>0</v>
          </cell>
        </row>
        <row r="50">
          <cell r="C50" t="str">
            <v>EV / EBITDA</v>
          </cell>
          <cell r="F50" t="e">
            <v>#NAME?</v>
          </cell>
          <cell r="G50" t="e">
            <v>#NAME?</v>
          </cell>
          <cell r="H50" t="e">
            <v>#NAME?</v>
          </cell>
          <cell r="K50" t="e">
            <v>#NAME?</v>
          </cell>
          <cell r="L50" t="e">
            <v>#NAME?</v>
          </cell>
          <cell r="M50" t="e">
            <v>#NAME?</v>
          </cell>
          <cell r="N50">
            <v>8.5222238500144485</v>
          </cell>
          <cell r="O50" t="e">
            <v>#NAME?</v>
          </cell>
          <cell r="P50" t="e">
            <v>#NAME?</v>
          </cell>
          <cell r="Q50" t="e">
            <v>#NAME?</v>
          </cell>
          <cell r="S50">
            <v>8.681794495635673</v>
          </cell>
          <cell r="T50" t="e">
            <v>#NAME?</v>
          </cell>
          <cell r="U50" t="e">
            <v>#NAME?</v>
          </cell>
          <cell r="V50" t="e">
            <v>#NAME?</v>
          </cell>
          <cell r="X50">
            <v>7.3843458440899665</v>
          </cell>
          <cell r="Y50" t="e">
            <v>#NAME?</v>
          </cell>
          <cell r="Z50" t="e">
            <v>#NAME?</v>
          </cell>
          <cell r="AA50" t="e">
            <v>#NAME?</v>
          </cell>
          <cell r="AC50">
            <v>7.194204348727375</v>
          </cell>
          <cell r="AD50" t="e">
            <v>#NAME?</v>
          </cell>
          <cell r="AE50" t="e">
            <v>#NAME?</v>
          </cell>
          <cell r="AF50" t="e">
            <v>#NAME?</v>
          </cell>
          <cell r="AH50">
            <v>6.9299239818187148</v>
          </cell>
          <cell r="AI50" t="e">
            <v>#NAME?</v>
          </cell>
          <cell r="AJ50" t="e">
            <v>#NAME?</v>
          </cell>
          <cell r="AK50" t="e">
            <v>#NAME?</v>
          </cell>
          <cell r="AM50">
            <v>6.6386215462854947</v>
          </cell>
          <cell r="AQ50" t="str">
            <v>Other (non-utility/power operations)</v>
          </cell>
          <cell r="AW50">
            <v>0</v>
          </cell>
          <cell r="BB50">
            <v>0</v>
          </cell>
          <cell r="BG50">
            <v>0</v>
          </cell>
          <cell r="BL50">
            <v>0</v>
          </cell>
          <cell r="BQ50">
            <v>0</v>
          </cell>
          <cell r="BV50">
            <v>0</v>
          </cell>
          <cell r="CA50">
            <v>0</v>
          </cell>
        </row>
        <row r="51">
          <cell r="C51" t="str">
            <v>Dividend Yield</v>
          </cell>
          <cell r="F51" t="e">
            <v>#NAME?</v>
          </cell>
          <cell r="G51" t="e">
            <v>#NAME?</v>
          </cell>
          <cell r="H51" t="e">
            <v>#NAME?</v>
          </cell>
          <cell r="K51" t="e">
            <v>#NAME?</v>
          </cell>
          <cell r="L51" t="e">
            <v>#NAME?</v>
          </cell>
          <cell r="M51" t="e">
            <v>#NAME?</v>
          </cell>
          <cell r="N51">
            <v>3.1358885017421602E-2</v>
          </cell>
          <cell r="O51" t="e">
            <v>#NAME?</v>
          </cell>
          <cell r="P51" t="e">
            <v>#NAME?</v>
          </cell>
          <cell r="Q51" t="e">
            <v>#NAME?</v>
          </cell>
          <cell r="S51">
            <v>3.4146341463414637E-2</v>
          </cell>
          <cell r="T51" t="e">
            <v>#NAME?</v>
          </cell>
          <cell r="U51" t="e">
            <v>#NAME?</v>
          </cell>
          <cell r="V51" t="e">
            <v>#NAME?</v>
          </cell>
          <cell r="X51">
            <v>3.8327526132404185E-2</v>
          </cell>
          <cell r="Y51" t="e">
            <v>#NAME?</v>
          </cell>
          <cell r="Z51" t="e">
            <v>#NAME?</v>
          </cell>
          <cell r="AA51" t="e">
            <v>#NAME?</v>
          </cell>
          <cell r="AC51">
            <v>4.6689895470383269E-2</v>
          </cell>
          <cell r="AD51" t="e">
            <v>#NAME?</v>
          </cell>
          <cell r="AE51" t="e">
            <v>#NAME?</v>
          </cell>
          <cell r="AF51" t="e">
            <v>#NAME?</v>
          </cell>
          <cell r="AH51">
            <v>5.5052264808362374E-2</v>
          </cell>
          <cell r="AI51" t="e">
            <v>#NAME?</v>
          </cell>
          <cell r="AJ51" t="e">
            <v>#NAME?</v>
          </cell>
          <cell r="AK51" t="e">
            <v>#NAME?</v>
          </cell>
          <cell r="AM51">
            <v>6.3414634146341464E-2</v>
          </cell>
          <cell r="AQ51" t="str">
            <v>Consolidated FCF (Pre-Dividends)</v>
          </cell>
          <cell r="AW51">
            <v>-91.610999999999876</v>
          </cell>
          <cell r="BB51">
            <v>256.95600000000002</v>
          </cell>
          <cell r="BG51">
            <v>96.736330472514965</v>
          </cell>
          <cell r="BL51">
            <v>170.37541823634081</v>
          </cell>
          <cell r="BQ51">
            <v>192.95025703722308</v>
          </cell>
          <cell r="BV51">
            <v>216.27040321437914</v>
          </cell>
          <cell r="CA51">
            <v>244.75657931408091</v>
          </cell>
        </row>
        <row r="52">
          <cell r="C52" t="str">
            <v>Book Value Per Share</v>
          </cell>
          <cell r="N52">
            <v>14.198922840277808</v>
          </cell>
          <cell r="S52">
            <v>14.568206917632667</v>
          </cell>
          <cell r="X52">
            <v>15.268969228441138</v>
          </cell>
          <cell r="AC52">
            <v>15.89125410827509</v>
          </cell>
          <cell r="AH52">
            <v>16.474089944789412</v>
          </cell>
          <cell r="AM52">
            <v>17.040180664249846</v>
          </cell>
          <cell r="AQ52" t="str">
            <v>Asset Sales and Other Investing Activities</v>
          </cell>
          <cell r="AW52">
            <v>42.51</v>
          </cell>
          <cell r="BB52">
            <v>61.439000000000007</v>
          </cell>
          <cell r="BG52">
            <v>197</v>
          </cell>
          <cell r="BL52">
            <v>65</v>
          </cell>
          <cell r="BQ52">
            <v>65</v>
          </cell>
          <cell r="BV52">
            <v>65</v>
          </cell>
          <cell r="CA52">
            <v>65</v>
          </cell>
        </row>
        <row r="53">
          <cell r="AI53" t="e">
            <v>#DIV/0!</v>
          </cell>
          <cell r="AJ53" t="e">
            <v>#DIV/0!</v>
          </cell>
          <cell r="AK53" t="e">
            <v>#DIV/0!</v>
          </cell>
          <cell r="AQ53" t="str">
            <v>Dividends</v>
          </cell>
          <cell r="AW53">
            <v>96.125</v>
          </cell>
          <cell r="BB53">
            <v>105.79900000000001</v>
          </cell>
          <cell r="BG53">
            <v>115.30805097</v>
          </cell>
          <cell r="BL53">
            <v>129.42740415</v>
          </cell>
          <cell r="BQ53">
            <v>157.66611051000001</v>
          </cell>
          <cell r="BV53">
            <v>185.90481686999999</v>
          </cell>
          <cell r="CA53">
            <v>214.14352322999997</v>
          </cell>
        </row>
        <row r="54">
          <cell r="C54" t="str">
            <v>Return on Average Equity</v>
          </cell>
          <cell r="G54">
            <v>0.28369855101953462</v>
          </cell>
          <cell r="H54">
            <v>0.30626823266015091</v>
          </cell>
          <cell r="L54">
            <v>0.30626823266015091</v>
          </cell>
          <cell r="M54">
            <v>0.28510549890465897</v>
          </cell>
          <cell r="N54">
            <v>6.9047293124899323E-2</v>
          </cell>
          <cell r="O54">
            <v>0.30983831750266577</v>
          </cell>
          <cell r="P54">
            <v>0.30607413360613378</v>
          </cell>
          <cell r="Q54">
            <v>0.30490945277694065</v>
          </cell>
          <cell r="S54">
            <v>5.9644194912677972E-2</v>
          </cell>
          <cell r="T54">
            <v>0.30607413360613378</v>
          </cell>
          <cell r="U54">
            <v>0.30490945277694065</v>
          </cell>
          <cell r="V54" t="e">
            <v>#DIV/0!</v>
          </cell>
          <cell r="X54">
            <v>8.3734762558208067E-2</v>
          </cell>
          <cell r="Y54">
            <v>0.30490945277694065</v>
          </cell>
          <cell r="Z54" t="e">
            <v>#DIV/0!</v>
          </cell>
          <cell r="AA54" t="e">
            <v>#DIV/0!</v>
          </cell>
          <cell r="AC54">
            <v>8.2822711751045081E-2</v>
          </cell>
          <cell r="AD54" t="e">
            <v>#DIV/0!</v>
          </cell>
          <cell r="AE54" t="e">
            <v>#DIV/0!</v>
          </cell>
          <cell r="AF54" t="e">
            <v>#DIV/0!</v>
          </cell>
          <cell r="AH54">
            <v>8.469541685843375E-2</v>
          </cell>
          <cell r="AI54" t="e">
            <v>#NAME?</v>
          </cell>
          <cell r="AJ54" t="e">
            <v>#NAME?</v>
          </cell>
          <cell r="AK54" t="e">
            <v>#NAME?</v>
          </cell>
          <cell r="AM54">
            <v>8.7933474789794783E-2</v>
          </cell>
          <cell r="AQ54" t="str">
            <v>Free Cash Flow (Post Dividends)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-145.22599999999989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212.59600000000003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178.42827950251495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105.94801408634081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100.28414652722307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95.365586344379153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95.613056084080938</v>
          </cell>
        </row>
        <row r="55">
          <cell r="C55" t="str">
            <v>Return on Invested Capital</v>
          </cell>
          <cell r="N55">
            <v>4.229627105248112E-2</v>
          </cell>
          <cell r="S55">
            <v>3.8399818426003991E-2</v>
          </cell>
          <cell r="X55">
            <v>4.6137780781766967E-2</v>
          </cell>
          <cell r="AC55">
            <v>4.6378463031126062E-2</v>
          </cell>
          <cell r="AH55">
            <v>4.7684134169814332E-2</v>
          </cell>
          <cell r="AM55">
            <v>4.9436807811758167E-2</v>
          </cell>
        </row>
        <row r="56">
          <cell r="C56" t="str">
            <v>Return on Average Assets</v>
          </cell>
          <cell r="G56" t="e">
            <v>#REF!</v>
          </cell>
          <cell r="H56" t="e">
            <v>#NAME?</v>
          </cell>
          <cell r="L56" t="e">
            <v>#REF!</v>
          </cell>
          <cell r="M56" t="e">
            <v>#NAME?</v>
          </cell>
          <cell r="N56">
            <v>1.9666656139498605E-2</v>
          </cell>
          <cell r="O56" t="e">
            <v>#NAME?</v>
          </cell>
          <cell r="P56" t="e">
            <v>#NAME?</v>
          </cell>
          <cell r="Q56" t="e">
            <v>#NAME?</v>
          </cell>
          <cell r="S56">
            <v>1.7240194155403763E-2</v>
          </cell>
          <cell r="T56" t="e">
            <v>#NAME?</v>
          </cell>
          <cell r="U56" t="e">
            <v>#NAME?</v>
          </cell>
          <cell r="V56" t="e">
            <v>#NAME?</v>
          </cell>
          <cell r="X56">
            <v>2.4800280995565121E-2</v>
          </cell>
          <cell r="Y56" t="e">
            <v>#NAME?</v>
          </cell>
          <cell r="Z56" t="e">
            <v>#NAME?</v>
          </cell>
          <cell r="AA56" t="e">
            <v>#NAME?</v>
          </cell>
          <cell r="AC56">
            <v>2.5391210942742704E-2</v>
          </cell>
          <cell r="AD56" t="e">
            <v>#NAME?</v>
          </cell>
          <cell r="AE56" t="e">
            <v>#NAME?</v>
          </cell>
          <cell r="AF56" t="e">
            <v>#NAME?</v>
          </cell>
          <cell r="AH56">
            <v>2.6708539785112523E-2</v>
          </cell>
          <cell r="AM56">
            <v>2.8483365475604015E-2</v>
          </cell>
          <cell r="AQ56" t="str">
            <v>Other Financing Activities</v>
          </cell>
        </row>
        <row r="57">
          <cell r="AQ57" t="str">
            <v>Equity Issuance / Buyback, Net</v>
          </cell>
          <cell r="AW57">
            <v>6.0510000000000002</v>
          </cell>
          <cell r="BB57">
            <v>6.1139999999999999</v>
          </cell>
          <cell r="BG57">
            <v>0</v>
          </cell>
          <cell r="BL57">
            <v>0</v>
          </cell>
          <cell r="BQ57">
            <v>0</v>
          </cell>
          <cell r="BV57">
            <v>0</v>
          </cell>
          <cell r="CA57">
            <v>0</v>
          </cell>
        </row>
        <row r="58">
          <cell r="C58" t="str">
            <v>Current Share Price:</v>
          </cell>
          <cell r="N58">
            <v>14.35</v>
          </cell>
          <cell r="S58">
            <v>14.35</v>
          </cell>
          <cell r="X58">
            <v>14.35</v>
          </cell>
          <cell r="AC58">
            <v>14.35</v>
          </cell>
          <cell r="AH58">
            <v>14.35</v>
          </cell>
          <cell r="AM58">
            <v>14.35</v>
          </cell>
          <cell r="AQ58" t="str">
            <v>LT Debt Issuance</v>
          </cell>
          <cell r="AW58">
            <v>1418.8720000000001</v>
          </cell>
          <cell r="BB58">
            <v>985.41899999999998</v>
          </cell>
          <cell r="BG58">
            <v>300</v>
          </cell>
          <cell r="BL58">
            <v>50</v>
          </cell>
          <cell r="BQ58">
            <v>175</v>
          </cell>
          <cell r="BV58">
            <v>150</v>
          </cell>
          <cell r="CA58">
            <v>150</v>
          </cell>
        </row>
        <row r="59">
          <cell r="C59" t="str">
            <v>Current Shares Outstanding</v>
          </cell>
          <cell r="N59">
            <v>235.99100000000001</v>
          </cell>
          <cell r="S59">
            <v>235.99100000000001</v>
          </cell>
          <cell r="X59">
            <v>235.99100000000001</v>
          </cell>
          <cell r="AC59">
            <v>235.99100000000001</v>
          </cell>
          <cell r="AH59">
            <v>235.99100000000001</v>
          </cell>
          <cell r="AM59">
            <v>235.99100000000001</v>
          </cell>
          <cell r="AQ59" t="str">
            <v>LT Debt Retirement</v>
          </cell>
          <cell r="AW59">
            <v>-1271.3499999999999</v>
          </cell>
          <cell r="BB59">
            <v>-1180.646</v>
          </cell>
          <cell r="BG59">
            <v>-350</v>
          </cell>
          <cell r="BL59">
            <v>-130</v>
          </cell>
          <cell r="BQ59">
            <v>-250</v>
          </cell>
          <cell r="BV59">
            <v>-125</v>
          </cell>
          <cell r="CA59">
            <v>-250</v>
          </cell>
        </row>
        <row r="60">
          <cell r="C60" t="str">
            <v>Equity Market Capitalization</v>
          </cell>
          <cell r="N60">
            <v>3386.4708500000002</v>
          </cell>
          <cell r="S60">
            <v>3386.4708500000002</v>
          </cell>
          <cell r="X60">
            <v>3386.4708500000002</v>
          </cell>
          <cell r="AC60">
            <v>3386.4708500000002</v>
          </cell>
          <cell r="AH60">
            <v>3386.4708500000002</v>
          </cell>
          <cell r="AM60">
            <v>3386.4708500000002</v>
          </cell>
          <cell r="AQ60" t="str">
            <v>ST Debt Change, Net</v>
          </cell>
          <cell r="AW60">
            <v>0</v>
          </cell>
          <cell r="BB60">
            <v>0</v>
          </cell>
          <cell r="BG60">
            <v>0</v>
          </cell>
          <cell r="BL60">
            <v>0</v>
          </cell>
          <cell r="BQ60">
            <v>0</v>
          </cell>
          <cell r="BV60">
            <v>0</v>
          </cell>
          <cell r="CA60">
            <v>0</v>
          </cell>
        </row>
        <row r="61">
          <cell r="C61" t="str">
            <v>Net Debt (Forecasted)</v>
          </cell>
          <cell r="N61">
            <v>5193.8490000000002</v>
          </cell>
          <cell r="S61">
            <v>5015.4207204974855</v>
          </cell>
          <cell r="X61">
            <v>4909.4727064111448</v>
          </cell>
          <cell r="AC61">
            <v>4809.1885598839217</v>
          </cell>
          <cell r="AH61">
            <v>4713.8229735395425</v>
          </cell>
          <cell r="AM61">
            <v>4618.2099174554614</v>
          </cell>
          <cell r="AQ61" t="str">
            <v>Other</v>
          </cell>
          <cell r="AW61">
            <v>0</v>
          </cell>
          <cell r="BB61">
            <v>0</v>
          </cell>
          <cell r="BG61">
            <v>0</v>
          </cell>
          <cell r="BL61">
            <v>0</v>
          </cell>
          <cell r="BQ61">
            <v>0</v>
          </cell>
          <cell r="BV61">
            <v>0</v>
          </cell>
          <cell r="CA61">
            <v>0</v>
          </cell>
        </row>
        <row r="62">
          <cell r="C62" t="str">
            <v>Enterprise Value</v>
          </cell>
          <cell r="N62">
            <v>8580.3198499999999</v>
          </cell>
          <cell r="S62">
            <v>8401.8915704974861</v>
          </cell>
          <cell r="X62">
            <v>8295.9435564111445</v>
          </cell>
          <cell r="AC62">
            <v>8195.6594098839214</v>
          </cell>
          <cell r="AH62">
            <v>8100.2938235395432</v>
          </cell>
          <cell r="AM62">
            <v>8004.680767455462</v>
          </cell>
          <cell r="AQ62" t="str">
            <v>Annual Change in Cash</v>
          </cell>
          <cell r="AW62">
            <v>8.3470000000002074</v>
          </cell>
          <cell r="BB62">
            <v>23.482999999999947</v>
          </cell>
          <cell r="BG62">
            <v>128.42827950251495</v>
          </cell>
          <cell r="BL62">
            <v>25.948014086340805</v>
          </cell>
          <cell r="BQ62">
            <v>25.284146527223072</v>
          </cell>
          <cell r="BV62">
            <v>120.36558634437915</v>
          </cell>
          <cell r="CA62">
            <v>-4.386943915919062</v>
          </cell>
        </row>
        <row r="65">
          <cell r="AQ65" t="str">
            <v>OCF</v>
          </cell>
          <cell r="AW65">
            <v>751.52100000000007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886.452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649.91933047251496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708.55066823634081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669.10784037055646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692.42798654771252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720.91416264741429</v>
          </cell>
        </row>
        <row r="66">
          <cell r="AQ66" t="str">
            <v>Capex</v>
          </cell>
          <cell r="AW66">
            <v>800.62199999999996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568.05700000000002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356.18299999999999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473.17525000000001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411.15758333333338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411.15758333333338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411.15758333333338</v>
          </cell>
        </row>
        <row r="67">
          <cell r="AQ67" t="str">
            <v>Dividend</v>
          </cell>
          <cell r="AW67">
            <v>113</v>
          </cell>
          <cell r="AX67">
            <v>113</v>
          </cell>
          <cell r="AY67">
            <v>113</v>
          </cell>
          <cell r="AZ67">
            <v>113</v>
          </cell>
          <cell r="BA67">
            <v>113</v>
          </cell>
          <cell r="BB67">
            <v>113</v>
          </cell>
          <cell r="BC67">
            <v>113</v>
          </cell>
          <cell r="BD67">
            <v>113</v>
          </cell>
          <cell r="BE67">
            <v>113</v>
          </cell>
          <cell r="BF67">
            <v>113</v>
          </cell>
          <cell r="BG67">
            <v>113</v>
          </cell>
          <cell r="BH67">
            <v>113</v>
          </cell>
          <cell r="BI67">
            <v>113</v>
          </cell>
          <cell r="BJ67">
            <v>113</v>
          </cell>
          <cell r="BK67">
            <v>113</v>
          </cell>
          <cell r="BL67">
            <v>113</v>
          </cell>
          <cell r="BM67">
            <v>113</v>
          </cell>
          <cell r="BN67">
            <v>113</v>
          </cell>
          <cell r="BO67">
            <v>113</v>
          </cell>
          <cell r="BP67">
            <v>113</v>
          </cell>
          <cell r="BQ67">
            <v>113</v>
          </cell>
          <cell r="BR67">
            <v>113</v>
          </cell>
          <cell r="BS67">
            <v>113</v>
          </cell>
          <cell r="BT67">
            <v>113</v>
          </cell>
          <cell r="BU67">
            <v>113</v>
          </cell>
          <cell r="BV67">
            <v>113</v>
          </cell>
          <cell r="BW67">
            <v>113</v>
          </cell>
          <cell r="BX67">
            <v>113</v>
          </cell>
          <cell r="BY67">
            <v>113</v>
          </cell>
          <cell r="BZ67">
            <v>113</v>
          </cell>
          <cell r="CA67">
            <v>113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Cover Sheet"/>
      <sheetName val="Valuation Summary"/>
      <sheetName val="SE Asset Sale PPAs"/>
      <sheetName val="Dispatch Assumptions"/>
      <sheetName val="Consolidated"/>
      <sheetName val="Southeast"/>
      <sheetName val="West"/>
      <sheetName val="Texas"/>
      <sheetName val="MW-Cache"/>
      <sheetName val="Northeast"/>
      <sheetName val="Parent"/>
      <sheetName val="Market Prices"/>
      <sheetName val="Debts"/>
      <sheetName val="SE Assets &amp; RFPs"/>
      <sheetName val="CPN Operating Plants"/>
      <sheetName val="Trading Vol"/>
      <sheetName val="Peak Dmnd"/>
      <sheetName val="New Resources"/>
      <sheetName val="ERCOT Res Margin"/>
      <sheetName val="ERCOT Margin Upside"/>
      <sheetName val="TX Brownfield"/>
      <sheetName val="mwareDates"/>
      <sheetName val="Sheet3"/>
      <sheetName val="Sheet2"/>
      <sheetName val="Plant Details"/>
      <sheetName val="Note Summary"/>
      <sheetName val="Financial Summary"/>
      <sheetName val="MWA RR"/>
      <sheetName val="Plants"/>
      <sheetName val="mwareSettings"/>
      <sheetName val="Summary"/>
      <sheetName val="ModelPaste"/>
      <sheetName val="Bal Sheet &amp; Cash Flow"/>
      <sheetName val="Gas"/>
      <sheetName val="Off Peak"/>
      <sheetName val="Peak"/>
    </sheetNames>
    <sheetDataSet>
      <sheetData sheetId="0" refreshError="1"/>
      <sheetData sheetId="1" refreshError="1"/>
      <sheetData sheetId="2" refreshError="1">
        <row r="10">
          <cell r="R10">
            <v>11</v>
          </cell>
        </row>
        <row r="27">
          <cell r="AN27">
            <v>12</v>
          </cell>
          <cell r="AQ27">
            <v>0.95</v>
          </cell>
        </row>
        <row r="28">
          <cell r="AN28">
            <v>7</v>
          </cell>
          <cell r="AQ28">
            <v>0.8</v>
          </cell>
        </row>
        <row r="29">
          <cell r="AN29">
            <v>2</v>
          </cell>
          <cell r="AQ29">
            <v>0.5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P1" t="str">
            <v>SmartCharts</v>
          </cell>
        </row>
        <row r="4">
          <cell r="A4">
            <v>2018</v>
          </cell>
          <cell r="B4">
            <v>2018</v>
          </cell>
          <cell r="C4">
            <v>2018</v>
          </cell>
          <cell r="D4">
            <v>2018</v>
          </cell>
        </row>
        <row r="5">
          <cell r="C5" t="str">
            <v>Define value axis here:</v>
          </cell>
        </row>
        <row r="6">
          <cell r="C6" t="str">
            <v>New Resources Needed (MW)</v>
          </cell>
        </row>
        <row r="8">
          <cell r="H8" t="str">
            <v/>
          </cell>
        </row>
        <row r="9">
          <cell r="C9" t="str">
            <v>Input your data here:</v>
          </cell>
        </row>
        <row r="11">
          <cell r="D11" t="str">
            <v>ERCOT 10/22 Moody's Low Case</v>
          </cell>
          <cell r="E11" t="str">
            <v>MS Case I</v>
          </cell>
          <cell r="F11" t="str">
            <v>MS Case II</v>
          </cell>
          <cell r="G11" t="str">
            <v>MS Case III</v>
          </cell>
          <cell r="AA11" t="str">
            <v>ERCOT 10/22 Moody's Low Case</v>
          </cell>
          <cell r="AB11" t="str">
            <v>MS Case I</v>
          </cell>
          <cell r="AC11" t="str">
            <v>MS Case II</v>
          </cell>
          <cell r="AD11" t="str">
            <v>MS Case III</v>
          </cell>
        </row>
        <row r="12">
          <cell r="C12">
            <v>2015</v>
          </cell>
          <cell r="D12">
            <v>1829.1000000000008</v>
          </cell>
          <cell r="E12">
            <v>8563.9671936000123</v>
          </cell>
          <cell r="F12">
            <v>5737.6133217900006</v>
          </cell>
          <cell r="G12">
            <v>3309.6342930000051</v>
          </cell>
          <cell r="Z12">
            <v>2015</v>
          </cell>
          <cell r="AA12">
            <v>1829.1000000000008</v>
          </cell>
          <cell r="AB12">
            <v>8563.9671936000123</v>
          </cell>
          <cell r="AC12">
            <v>5737.6133217900006</v>
          </cell>
          <cell r="AD12">
            <v>3309.6342930000051</v>
          </cell>
        </row>
        <row r="13">
          <cell r="C13">
            <v>2016</v>
          </cell>
          <cell r="D13">
            <v>1672.8625000000006</v>
          </cell>
          <cell r="E13">
            <v>11972.445881344011</v>
          </cell>
          <cell r="F13">
            <v>8199.4317214437051</v>
          </cell>
          <cell r="G13">
            <v>5698.6133217900006</v>
          </cell>
          <cell r="Z13">
            <v>2016</v>
          </cell>
          <cell r="AA13">
            <v>1672.8625000000006</v>
          </cell>
          <cell r="AB13">
            <v>11972.445881344011</v>
          </cell>
          <cell r="AC13">
            <v>8199.4317214437051</v>
          </cell>
          <cell r="AD13">
            <v>5698.6133217900006</v>
          </cell>
        </row>
        <row r="14">
          <cell r="C14">
            <v>2017</v>
          </cell>
          <cell r="D14">
            <v>1666.7750000000008</v>
          </cell>
          <cell r="E14">
            <v>14501.823716597781</v>
          </cell>
          <cell r="F14">
            <v>9719.2746730870258</v>
          </cell>
          <cell r="G14">
            <v>7143.4317214437051</v>
          </cell>
          <cell r="Z14">
            <v>2017</v>
          </cell>
          <cell r="AA14">
            <v>1666.7750000000008</v>
          </cell>
          <cell r="AB14">
            <v>14501.823716597781</v>
          </cell>
          <cell r="AC14">
            <v>9719.2746730870258</v>
          </cell>
          <cell r="AD14">
            <v>7143.4317214437051</v>
          </cell>
        </row>
        <row r="15">
          <cell r="C15">
            <v>2018</v>
          </cell>
          <cell r="D15">
            <v>1268.825000000001</v>
          </cell>
          <cell r="E15">
            <v>17054.616665261696</v>
          </cell>
          <cell r="F15">
            <v>11196.392913279642</v>
          </cell>
          <cell r="G15">
            <v>8543.2746730870258</v>
          </cell>
          <cell r="Z15">
            <v>2018</v>
          </cell>
          <cell r="AA15">
            <v>1268.825000000001</v>
          </cell>
          <cell r="AB15">
            <v>17054.616665261696</v>
          </cell>
          <cell r="AC15">
            <v>11196.392913279642</v>
          </cell>
          <cell r="AD15">
            <v>8543.2746730870258</v>
          </cell>
        </row>
        <row r="16">
          <cell r="Z16" t="b">
            <v>0</v>
          </cell>
          <cell r="AA16" t="b">
            <v>0</v>
          </cell>
          <cell r="AB16" t="b">
            <v>0</v>
          </cell>
          <cell r="AC16" t="b">
            <v>0</v>
          </cell>
          <cell r="AD16" t="b">
            <v>0</v>
          </cell>
        </row>
        <row r="17">
          <cell r="Z17" t="b">
            <v>0</v>
          </cell>
          <cell r="AA17" t="b">
            <v>0</v>
          </cell>
          <cell r="AB17" t="b">
            <v>0</v>
          </cell>
          <cell r="AC17" t="b">
            <v>0</v>
          </cell>
          <cell r="AD17" t="b">
            <v>0</v>
          </cell>
        </row>
        <row r="18">
          <cell r="Z18" t="b">
            <v>0</v>
          </cell>
          <cell r="AA18" t="b">
            <v>0</v>
          </cell>
          <cell r="AB18" t="b">
            <v>0</v>
          </cell>
          <cell r="AC18" t="b">
            <v>0</v>
          </cell>
          <cell r="AD18" t="b">
            <v>0</v>
          </cell>
        </row>
        <row r="19">
          <cell r="Z19" t="b">
            <v>0</v>
          </cell>
          <cell r="AA19" t="b">
            <v>0</v>
          </cell>
          <cell r="AB19" t="b">
            <v>0</v>
          </cell>
          <cell r="AC19" t="b">
            <v>0</v>
          </cell>
          <cell r="AD19" t="b">
            <v>0</v>
          </cell>
        </row>
        <row r="20">
          <cell r="Z20" t="b">
            <v>0</v>
          </cell>
          <cell r="AA20" t="b">
            <v>0</v>
          </cell>
          <cell r="AB20" t="b">
            <v>0</v>
          </cell>
          <cell r="AC20" t="b">
            <v>0</v>
          </cell>
          <cell r="AD20" t="b">
            <v>0</v>
          </cell>
        </row>
        <row r="21">
          <cell r="Z21" t="b">
            <v>0</v>
          </cell>
          <cell r="AA21" t="b">
            <v>0</v>
          </cell>
          <cell r="AB21" t="b">
            <v>0</v>
          </cell>
          <cell r="AC21" t="b">
            <v>0</v>
          </cell>
          <cell r="AD21" t="b">
            <v>0</v>
          </cell>
        </row>
        <row r="22">
          <cell r="Z22" t="b">
            <v>0</v>
          </cell>
          <cell r="AA22" t="b">
            <v>0</v>
          </cell>
          <cell r="AB22" t="b">
            <v>0</v>
          </cell>
          <cell r="AC22" t="b">
            <v>0</v>
          </cell>
          <cell r="AD22" t="b">
            <v>0</v>
          </cell>
        </row>
        <row r="23">
          <cell r="Z23" t="b">
            <v>0</v>
          </cell>
          <cell r="AA23" t="b">
            <v>0</v>
          </cell>
          <cell r="AB23" t="b">
            <v>0</v>
          </cell>
          <cell r="AC23" t="b">
            <v>0</v>
          </cell>
          <cell r="AD23" t="b">
            <v>0</v>
          </cell>
        </row>
        <row r="24">
          <cell r="Z24" t="b">
            <v>0</v>
          </cell>
          <cell r="AA24" t="b">
            <v>0</v>
          </cell>
          <cell r="AB24" t="b">
            <v>0</v>
          </cell>
          <cell r="AC24" t="b">
            <v>0</v>
          </cell>
          <cell r="AD24" t="b">
            <v>0</v>
          </cell>
        </row>
        <row r="25">
          <cell r="Z25" t="b">
            <v>0</v>
          </cell>
          <cell r="AA25" t="b">
            <v>0</v>
          </cell>
          <cell r="AB25" t="b">
            <v>0</v>
          </cell>
          <cell r="AC25" t="b">
            <v>0</v>
          </cell>
          <cell r="AD25" t="b">
            <v>0</v>
          </cell>
        </row>
        <row r="26">
          <cell r="Z26" t="b">
            <v>0</v>
          </cell>
          <cell r="AA26" t="b">
            <v>0</v>
          </cell>
          <cell r="AB26" t="b">
            <v>0</v>
          </cell>
          <cell r="AC26" t="b">
            <v>0</v>
          </cell>
          <cell r="AD26" t="b">
            <v>0</v>
          </cell>
        </row>
        <row r="27">
          <cell r="Z27" t="b">
            <v>0</v>
          </cell>
          <cell r="AA27" t="b">
            <v>0</v>
          </cell>
          <cell r="AB27" t="b">
            <v>0</v>
          </cell>
          <cell r="AC27" t="b">
            <v>0</v>
          </cell>
          <cell r="AD27" t="b">
            <v>0</v>
          </cell>
        </row>
        <row r="28">
          <cell r="Z28" t="b">
            <v>0</v>
          </cell>
          <cell r="AA28" t="b">
            <v>0</v>
          </cell>
          <cell r="AB28" t="b">
            <v>0</v>
          </cell>
          <cell r="AC28" t="b">
            <v>0</v>
          </cell>
          <cell r="AD28" t="b">
            <v>0</v>
          </cell>
        </row>
        <row r="29">
          <cell r="Z29" t="b">
            <v>0</v>
          </cell>
          <cell r="AA29" t="b">
            <v>0</v>
          </cell>
          <cell r="AB29" t="b">
            <v>0</v>
          </cell>
          <cell r="AC29" t="b">
            <v>0</v>
          </cell>
          <cell r="AD29" t="b">
            <v>0</v>
          </cell>
        </row>
        <row r="30">
          <cell r="Z30" t="b">
            <v>0</v>
          </cell>
          <cell r="AA30" t="b">
            <v>0</v>
          </cell>
          <cell r="AB30" t="b">
            <v>0</v>
          </cell>
          <cell r="AC30" t="b">
            <v>0</v>
          </cell>
          <cell r="AD30" t="b">
            <v>0</v>
          </cell>
        </row>
        <row r="31">
          <cell r="Z31" t="b">
            <v>0</v>
          </cell>
          <cell r="AA31" t="b">
            <v>0</v>
          </cell>
          <cell r="AB31" t="b">
            <v>0</v>
          </cell>
          <cell r="AC31" t="b">
            <v>0</v>
          </cell>
          <cell r="AD31" t="b">
            <v>0</v>
          </cell>
        </row>
        <row r="32">
          <cell r="Z32" t="b">
            <v>0</v>
          </cell>
          <cell r="AA32" t="b">
            <v>0</v>
          </cell>
          <cell r="AB32" t="b">
            <v>0</v>
          </cell>
          <cell r="AC32" t="b">
            <v>0</v>
          </cell>
          <cell r="AD32" t="b">
            <v>0</v>
          </cell>
        </row>
        <row r="33">
          <cell r="Z33" t="b">
            <v>0</v>
          </cell>
          <cell r="AA33" t="b">
            <v>0</v>
          </cell>
          <cell r="AB33" t="b">
            <v>0</v>
          </cell>
          <cell r="AC33" t="b">
            <v>0</v>
          </cell>
          <cell r="AD33" t="b">
            <v>0</v>
          </cell>
        </row>
        <row r="34">
          <cell r="Z34" t="b">
            <v>0</v>
          </cell>
          <cell r="AA34" t="b">
            <v>0</v>
          </cell>
          <cell r="AB34" t="b">
            <v>0</v>
          </cell>
          <cell r="AC34" t="b">
            <v>0</v>
          </cell>
          <cell r="AD34" t="b">
            <v>0</v>
          </cell>
        </row>
        <row r="35">
          <cell r="Z35" t="b">
            <v>0</v>
          </cell>
          <cell r="AA35" t="b">
            <v>0</v>
          </cell>
          <cell r="AB35" t="b">
            <v>0</v>
          </cell>
          <cell r="AC35" t="b">
            <v>0</v>
          </cell>
          <cell r="AD35" t="b">
            <v>0</v>
          </cell>
        </row>
        <row r="36">
          <cell r="Z36" t="b">
            <v>0</v>
          </cell>
          <cell r="AA36" t="b">
            <v>0</v>
          </cell>
          <cell r="AB36" t="b">
            <v>0</v>
          </cell>
          <cell r="AC36" t="b">
            <v>0</v>
          </cell>
          <cell r="AD36" t="b">
            <v>0</v>
          </cell>
        </row>
        <row r="37">
          <cell r="Z37" t="b">
            <v>0</v>
          </cell>
          <cell r="AA37" t="b">
            <v>0</v>
          </cell>
          <cell r="AB37" t="b">
            <v>0</v>
          </cell>
          <cell r="AC37" t="b">
            <v>0</v>
          </cell>
          <cell r="AD37" t="b">
            <v>0</v>
          </cell>
        </row>
        <row r="38">
          <cell r="Z38" t="b">
            <v>0</v>
          </cell>
          <cell r="AA38" t="b">
            <v>0</v>
          </cell>
          <cell r="AB38" t="b">
            <v>0</v>
          </cell>
          <cell r="AC38" t="b">
            <v>0</v>
          </cell>
          <cell r="AD38" t="b">
            <v>0</v>
          </cell>
        </row>
        <row r="39">
          <cell r="Z39" t="b">
            <v>0</v>
          </cell>
          <cell r="AA39" t="b">
            <v>0</v>
          </cell>
          <cell r="AB39" t="b">
            <v>0</v>
          </cell>
          <cell r="AC39" t="b">
            <v>0</v>
          </cell>
          <cell r="AD39" t="b">
            <v>0</v>
          </cell>
        </row>
        <row r="40">
          <cell r="Z40" t="b">
            <v>0</v>
          </cell>
          <cell r="AA40" t="b">
            <v>0</v>
          </cell>
          <cell r="AB40" t="b">
            <v>0</v>
          </cell>
          <cell r="AC40" t="b">
            <v>0</v>
          </cell>
          <cell r="AD40" t="b">
            <v>0</v>
          </cell>
        </row>
        <row r="41">
          <cell r="Z41" t="b">
            <v>0</v>
          </cell>
          <cell r="AA41" t="b">
            <v>0</v>
          </cell>
          <cell r="AB41" t="b">
            <v>0</v>
          </cell>
          <cell r="AC41" t="b">
            <v>0</v>
          </cell>
          <cell r="AD41" t="b">
            <v>0</v>
          </cell>
        </row>
        <row r="42">
          <cell r="Z42" t="b">
            <v>0</v>
          </cell>
          <cell r="AA42" t="b">
            <v>0</v>
          </cell>
          <cell r="AB42" t="b">
            <v>0</v>
          </cell>
          <cell r="AC42" t="b">
            <v>0</v>
          </cell>
          <cell r="AD42" t="b">
            <v>0</v>
          </cell>
        </row>
        <row r="43">
          <cell r="Z43" t="b">
            <v>0</v>
          </cell>
          <cell r="AA43" t="b">
            <v>0</v>
          </cell>
          <cell r="AB43" t="b">
            <v>0</v>
          </cell>
          <cell r="AC43" t="b">
            <v>0</v>
          </cell>
          <cell r="AD43" t="b">
            <v>0</v>
          </cell>
        </row>
        <row r="44">
          <cell r="Z44" t="b">
            <v>0</v>
          </cell>
          <cell r="AA44" t="b">
            <v>0</v>
          </cell>
          <cell r="AB44" t="b">
            <v>0</v>
          </cell>
          <cell r="AC44" t="b">
            <v>0</v>
          </cell>
          <cell r="AD44" t="b">
            <v>0</v>
          </cell>
        </row>
        <row r="45">
          <cell r="Z45" t="b">
            <v>0</v>
          </cell>
          <cell r="AA45" t="b">
            <v>0</v>
          </cell>
          <cell r="AB45" t="b">
            <v>0</v>
          </cell>
          <cell r="AC45" t="b">
            <v>0</v>
          </cell>
          <cell r="AD45" t="b">
            <v>0</v>
          </cell>
        </row>
        <row r="46">
          <cell r="Z46" t="b">
            <v>0</v>
          </cell>
          <cell r="AA46" t="b">
            <v>0</v>
          </cell>
          <cell r="AB46" t="b">
            <v>0</v>
          </cell>
          <cell r="AC46" t="b">
            <v>0</v>
          </cell>
          <cell r="AD46" t="b">
            <v>0</v>
          </cell>
        </row>
        <row r="47">
          <cell r="Z47" t="b">
            <v>0</v>
          </cell>
          <cell r="AA47" t="b">
            <v>0</v>
          </cell>
          <cell r="AB47" t="b">
            <v>0</v>
          </cell>
          <cell r="AC47" t="b">
            <v>0</v>
          </cell>
          <cell r="AD47" t="b">
            <v>0</v>
          </cell>
        </row>
        <row r="48">
          <cell r="Z48" t="b">
            <v>0</v>
          </cell>
          <cell r="AA48" t="b">
            <v>0</v>
          </cell>
          <cell r="AB48" t="b">
            <v>0</v>
          </cell>
          <cell r="AC48" t="b">
            <v>0</v>
          </cell>
          <cell r="AD48" t="b">
            <v>0</v>
          </cell>
        </row>
        <row r="49">
          <cell r="Z49" t="b">
            <v>0</v>
          </cell>
          <cell r="AA49" t="b">
            <v>0</v>
          </cell>
          <cell r="AB49" t="b">
            <v>0</v>
          </cell>
          <cell r="AC49" t="b">
            <v>0</v>
          </cell>
          <cell r="AD49" t="b">
            <v>0</v>
          </cell>
        </row>
        <row r="50">
          <cell r="Z50" t="b">
            <v>0</v>
          </cell>
          <cell r="AA50" t="b">
            <v>0</v>
          </cell>
          <cell r="AB50" t="b">
            <v>0</v>
          </cell>
          <cell r="AC50" t="b">
            <v>0</v>
          </cell>
          <cell r="AD50" t="b">
            <v>0</v>
          </cell>
        </row>
        <row r="51">
          <cell r="Z51" t="b">
            <v>0</v>
          </cell>
          <cell r="AA51" t="b">
            <v>0</v>
          </cell>
          <cell r="AB51" t="b">
            <v>0</v>
          </cell>
          <cell r="AC51" t="b">
            <v>0</v>
          </cell>
          <cell r="AD51" t="b">
            <v>0</v>
          </cell>
        </row>
        <row r="52">
          <cell r="Z52" t="b">
            <v>0</v>
          </cell>
          <cell r="AA52" t="b">
            <v>0</v>
          </cell>
          <cell r="AB52" t="b">
            <v>0</v>
          </cell>
          <cell r="AC52" t="b">
            <v>0</v>
          </cell>
          <cell r="AD52" t="b">
            <v>0</v>
          </cell>
        </row>
        <row r="53">
          <cell r="Z53" t="b">
            <v>0</v>
          </cell>
          <cell r="AA53" t="b">
            <v>0</v>
          </cell>
          <cell r="AB53" t="b">
            <v>0</v>
          </cell>
          <cell r="AC53" t="b">
            <v>0</v>
          </cell>
          <cell r="AD53" t="b">
            <v>0</v>
          </cell>
        </row>
        <row r="54">
          <cell r="Z54" t="b">
            <v>0</v>
          </cell>
          <cell r="AA54" t="b">
            <v>0</v>
          </cell>
          <cell r="AB54" t="b">
            <v>0</v>
          </cell>
          <cell r="AC54" t="b">
            <v>0</v>
          </cell>
          <cell r="AD54" t="b">
            <v>0</v>
          </cell>
        </row>
        <row r="55">
          <cell r="Z55" t="b">
            <v>0</v>
          </cell>
          <cell r="AA55" t="b">
            <v>0</v>
          </cell>
          <cell r="AB55" t="b">
            <v>0</v>
          </cell>
          <cell r="AC55" t="b">
            <v>0</v>
          </cell>
          <cell r="AD55" t="b">
            <v>0</v>
          </cell>
        </row>
        <row r="56">
          <cell r="Z56" t="b">
            <v>0</v>
          </cell>
          <cell r="AA56" t="b">
            <v>0</v>
          </cell>
          <cell r="AB56" t="b">
            <v>0</v>
          </cell>
          <cell r="AC56" t="b">
            <v>0</v>
          </cell>
          <cell r="AD56" t="b">
            <v>0</v>
          </cell>
        </row>
        <row r="57">
          <cell r="Z57" t="b">
            <v>0</v>
          </cell>
          <cell r="AA57" t="b">
            <v>0</v>
          </cell>
          <cell r="AB57" t="b">
            <v>0</v>
          </cell>
          <cell r="AC57" t="b">
            <v>0</v>
          </cell>
          <cell r="AD57" t="b">
            <v>0</v>
          </cell>
        </row>
        <row r="58">
          <cell r="Z58" t="b">
            <v>0</v>
          </cell>
          <cell r="AA58" t="b">
            <v>0</v>
          </cell>
          <cell r="AB58" t="b">
            <v>0</v>
          </cell>
          <cell r="AC58" t="b">
            <v>0</v>
          </cell>
          <cell r="AD58" t="b">
            <v>0</v>
          </cell>
        </row>
        <row r="59">
          <cell r="Z59" t="b">
            <v>0</v>
          </cell>
          <cell r="AA59" t="b">
            <v>0</v>
          </cell>
          <cell r="AB59" t="b">
            <v>0</v>
          </cell>
          <cell r="AC59" t="b">
            <v>0</v>
          </cell>
          <cell r="AD59" t="b">
            <v>0</v>
          </cell>
        </row>
        <row r="60">
          <cell r="Z60" t="b">
            <v>0</v>
          </cell>
          <cell r="AA60" t="b">
            <v>0</v>
          </cell>
          <cell r="AB60" t="b">
            <v>0</v>
          </cell>
          <cell r="AC60" t="b">
            <v>0</v>
          </cell>
          <cell r="AD60" t="b">
            <v>0</v>
          </cell>
        </row>
        <row r="61">
          <cell r="Z61" t="b">
            <v>0</v>
          </cell>
          <cell r="AA61" t="b">
            <v>0</v>
          </cell>
          <cell r="AB61" t="b">
            <v>0</v>
          </cell>
          <cell r="AC61" t="b">
            <v>0</v>
          </cell>
          <cell r="AD61" t="b">
            <v>0</v>
          </cell>
        </row>
        <row r="62">
          <cell r="Z62" t="b">
            <v>0</v>
          </cell>
          <cell r="AA62" t="b">
            <v>0</v>
          </cell>
          <cell r="AB62" t="b">
            <v>0</v>
          </cell>
          <cell r="AC62" t="b">
            <v>0</v>
          </cell>
          <cell r="AD62" t="b">
            <v>0</v>
          </cell>
        </row>
        <row r="63">
          <cell r="Z63" t="b">
            <v>0</v>
          </cell>
          <cell r="AA63" t="b">
            <v>0</v>
          </cell>
          <cell r="AB63" t="b">
            <v>0</v>
          </cell>
          <cell r="AC63" t="b">
            <v>0</v>
          </cell>
          <cell r="AD63" t="b">
            <v>0</v>
          </cell>
        </row>
        <row r="64">
          <cell r="Z64" t="b">
            <v>0</v>
          </cell>
          <cell r="AA64" t="b">
            <v>0</v>
          </cell>
          <cell r="AB64" t="b">
            <v>0</v>
          </cell>
          <cell r="AC64" t="b">
            <v>0</v>
          </cell>
          <cell r="AD64" t="b">
            <v>0</v>
          </cell>
        </row>
        <row r="65">
          <cell r="Z65" t="b">
            <v>0</v>
          </cell>
          <cell r="AA65" t="b">
            <v>0</v>
          </cell>
          <cell r="AB65" t="b">
            <v>0</v>
          </cell>
          <cell r="AC65" t="b">
            <v>0</v>
          </cell>
          <cell r="AD65" t="b">
            <v>0</v>
          </cell>
        </row>
        <row r="66">
          <cell r="Z66" t="b">
            <v>0</v>
          </cell>
          <cell r="AA66" t="b">
            <v>0</v>
          </cell>
          <cell r="AB66" t="b">
            <v>0</v>
          </cell>
          <cell r="AC66" t="b">
            <v>0</v>
          </cell>
          <cell r="AD66" t="b">
            <v>0</v>
          </cell>
        </row>
        <row r="67">
          <cell r="Z67" t="b">
            <v>0</v>
          </cell>
          <cell r="AA67" t="b">
            <v>0</v>
          </cell>
          <cell r="AB67" t="b">
            <v>0</v>
          </cell>
          <cell r="AC67" t="b">
            <v>0</v>
          </cell>
          <cell r="AD67" t="b">
            <v>0</v>
          </cell>
        </row>
        <row r="68">
          <cell r="Z68" t="b">
            <v>0</v>
          </cell>
          <cell r="AA68" t="b">
            <v>0</v>
          </cell>
          <cell r="AB68" t="b">
            <v>0</v>
          </cell>
          <cell r="AC68" t="b">
            <v>0</v>
          </cell>
          <cell r="AD68" t="b">
            <v>0</v>
          </cell>
        </row>
        <row r="69">
          <cell r="Z69" t="b">
            <v>0</v>
          </cell>
          <cell r="AA69" t="b">
            <v>0</v>
          </cell>
          <cell r="AB69" t="b">
            <v>0</v>
          </cell>
          <cell r="AC69" t="b">
            <v>0</v>
          </cell>
          <cell r="AD69" t="b">
            <v>0</v>
          </cell>
        </row>
        <row r="70">
          <cell r="Z70" t="b">
            <v>0</v>
          </cell>
          <cell r="AA70" t="b">
            <v>0</v>
          </cell>
          <cell r="AB70" t="b">
            <v>0</v>
          </cell>
          <cell r="AC70" t="b">
            <v>0</v>
          </cell>
          <cell r="AD70" t="b">
            <v>0</v>
          </cell>
        </row>
        <row r="71">
          <cell r="Z71" t="b">
            <v>0</v>
          </cell>
          <cell r="AA71" t="b">
            <v>0</v>
          </cell>
          <cell r="AB71" t="b">
            <v>0</v>
          </cell>
          <cell r="AC71" t="b">
            <v>0</v>
          </cell>
          <cell r="AD71" t="b">
            <v>0</v>
          </cell>
        </row>
        <row r="72">
          <cell r="Z72" t="b">
            <v>0</v>
          </cell>
          <cell r="AA72" t="b">
            <v>0</v>
          </cell>
          <cell r="AB72" t="b">
            <v>0</v>
          </cell>
          <cell r="AC72" t="b">
            <v>0</v>
          </cell>
          <cell r="AD72" t="b">
            <v>0</v>
          </cell>
        </row>
        <row r="73">
          <cell r="Z73" t="b">
            <v>0</v>
          </cell>
          <cell r="AA73" t="b">
            <v>0</v>
          </cell>
          <cell r="AB73" t="b">
            <v>0</v>
          </cell>
          <cell r="AC73" t="b">
            <v>0</v>
          </cell>
          <cell r="AD73" t="b">
            <v>0</v>
          </cell>
        </row>
        <row r="74">
          <cell r="Z74" t="b">
            <v>0</v>
          </cell>
          <cell r="AA74" t="b">
            <v>0</v>
          </cell>
          <cell r="AB74" t="b">
            <v>0</v>
          </cell>
          <cell r="AC74" t="b">
            <v>0</v>
          </cell>
          <cell r="AD74" t="b">
            <v>0</v>
          </cell>
        </row>
        <row r="75">
          <cell r="Z75" t="b">
            <v>0</v>
          </cell>
          <cell r="AA75" t="b">
            <v>0</v>
          </cell>
          <cell r="AB75" t="b">
            <v>0</v>
          </cell>
          <cell r="AC75" t="b">
            <v>0</v>
          </cell>
          <cell r="AD75" t="b">
            <v>0</v>
          </cell>
        </row>
        <row r="76">
          <cell r="Z76" t="b">
            <v>0</v>
          </cell>
          <cell r="AA76" t="b">
            <v>0</v>
          </cell>
          <cell r="AB76" t="b">
            <v>0</v>
          </cell>
          <cell r="AC76" t="b">
            <v>0</v>
          </cell>
          <cell r="AD76" t="b">
            <v>0</v>
          </cell>
        </row>
        <row r="77">
          <cell r="Z77" t="b">
            <v>0</v>
          </cell>
          <cell r="AA77" t="b">
            <v>0</v>
          </cell>
          <cell r="AB77" t="b">
            <v>0</v>
          </cell>
          <cell r="AC77" t="b">
            <v>0</v>
          </cell>
          <cell r="AD77" t="b">
            <v>0</v>
          </cell>
        </row>
        <row r="78">
          <cell r="Z78" t="b">
            <v>0</v>
          </cell>
          <cell r="AA78" t="b">
            <v>0</v>
          </cell>
          <cell r="AB78" t="b">
            <v>0</v>
          </cell>
          <cell r="AC78" t="b">
            <v>0</v>
          </cell>
          <cell r="AD78" t="b">
            <v>0</v>
          </cell>
        </row>
        <row r="79">
          <cell r="Z79" t="b">
            <v>0</v>
          </cell>
          <cell r="AA79" t="b">
            <v>0</v>
          </cell>
          <cell r="AB79" t="b">
            <v>0</v>
          </cell>
          <cell r="AC79" t="b">
            <v>0</v>
          </cell>
          <cell r="AD79" t="b">
            <v>0</v>
          </cell>
        </row>
        <row r="80">
          <cell r="Z80" t="b">
            <v>0</v>
          </cell>
          <cell r="AA80" t="b">
            <v>0</v>
          </cell>
          <cell r="AB80" t="b">
            <v>0</v>
          </cell>
          <cell r="AC80" t="b">
            <v>0</v>
          </cell>
          <cell r="AD80" t="b">
            <v>0</v>
          </cell>
        </row>
        <row r="81">
          <cell r="Z81" t="b">
            <v>0</v>
          </cell>
          <cell r="AA81" t="b">
            <v>0</v>
          </cell>
          <cell r="AB81" t="b">
            <v>0</v>
          </cell>
          <cell r="AC81" t="b">
            <v>0</v>
          </cell>
          <cell r="AD81" t="b">
            <v>0</v>
          </cell>
        </row>
        <row r="82">
          <cell r="Z82" t="b">
            <v>0</v>
          </cell>
          <cell r="AA82" t="b">
            <v>0</v>
          </cell>
          <cell r="AB82" t="b">
            <v>0</v>
          </cell>
          <cell r="AC82" t="b">
            <v>0</v>
          </cell>
          <cell r="AD82" t="b">
            <v>0</v>
          </cell>
        </row>
        <row r="83">
          <cell r="Z83" t="b">
            <v>0</v>
          </cell>
          <cell r="AA83" t="b">
            <v>0</v>
          </cell>
          <cell r="AB83" t="b">
            <v>0</v>
          </cell>
          <cell r="AC83" t="b">
            <v>0</v>
          </cell>
          <cell r="AD83" t="b">
            <v>0</v>
          </cell>
        </row>
        <row r="84">
          <cell r="Z84" t="b">
            <v>0</v>
          </cell>
          <cell r="AA84" t="b">
            <v>0</v>
          </cell>
          <cell r="AB84" t="b">
            <v>0</v>
          </cell>
          <cell r="AC84" t="b">
            <v>0</v>
          </cell>
          <cell r="AD84" t="b">
            <v>0</v>
          </cell>
        </row>
        <row r="85">
          <cell r="Z85" t="b">
            <v>0</v>
          </cell>
          <cell r="AA85" t="b">
            <v>0</v>
          </cell>
          <cell r="AB85" t="b">
            <v>0</v>
          </cell>
          <cell r="AC85" t="b">
            <v>0</v>
          </cell>
          <cell r="AD85" t="b">
            <v>0</v>
          </cell>
        </row>
        <row r="86">
          <cell r="Z86" t="b">
            <v>0</v>
          </cell>
          <cell r="AA86" t="b">
            <v>0</v>
          </cell>
          <cell r="AB86" t="b">
            <v>0</v>
          </cell>
          <cell r="AC86" t="b">
            <v>0</v>
          </cell>
          <cell r="AD86" t="b">
            <v>0</v>
          </cell>
        </row>
        <row r="87">
          <cell r="Z87" t="b">
            <v>0</v>
          </cell>
          <cell r="AA87" t="b">
            <v>0</v>
          </cell>
          <cell r="AB87" t="b">
            <v>0</v>
          </cell>
          <cell r="AC87" t="b">
            <v>0</v>
          </cell>
          <cell r="AD87" t="b">
            <v>0</v>
          </cell>
        </row>
        <row r="88">
          <cell r="Z88" t="b">
            <v>0</v>
          </cell>
          <cell r="AA88" t="b">
            <v>0</v>
          </cell>
          <cell r="AB88" t="b">
            <v>0</v>
          </cell>
          <cell r="AC88" t="b">
            <v>0</v>
          </cell>
          <cell r="AD88" t="b">
            <v>0</v>
          </cell>
        </row>
        <row r="89">
          <cell r="Z89" t="b">
            <v>0</v>
          </cell>
          <cell r="AA89" t="b">
            <v>0</v>
          </cell>
          <cell r="AB89" t="b">
            <v>0</v>
          </cell>
          <cell r="AC89" t="b">
            <v>0</v>
          </cell>
          <cell r="AD89" t="b">
            <v>0</v>
          </cell>
        </row>
        <row r="90">
          <cell r="Z90" t="b">
            <v>0</v>
          </cell>
          <cell r="AA90" t="b">
            <v>0</v>
          </cell>
          <cell r="AB90" t="b">
            <v>0</v>
          </cell>
          <cell r="AC90" t="b">
            <v>0</v>
          </cell>
          <cell r="AD90" t="b">
            <v>0</v>
          </cell>
        </row>
        <row r="91">
          <cell r="Z91" t="b">
            <v>0</v>
          </cell>
          <cell r="AA91" t="b">
            <v>0</v>
          </cell>
          <cell r="AB91" t="b">
            <v>0</v>
          </cell>
          <cell r="AC91" t="b">
            <v>0</v>
          </cell>
          <cell r="AD91" t="b">
            <v>0</v>
          </cell>
        </row>
        <row r="92">
          <cell r="Z92" t="b">
            <v>0</v>
          </cell>
          <cell r="AA92" t="b">
            <v>0</v>
          </cell>
          <cell r="AB92" t="b">
            <v>0</v>
          </cell>
          <cell r="AC92" t="b">
            <v>0</v>
          </cell>
          <cell r="AD92" t="b">
            <v>0</v>
          </cell>
        </row>
        <row r="93">
          <cell r="Z93" t="b">
            <v>0</v>
          </cell>
          <cell r="AA93" t="b">
            <v>0</v>
          </cell>
          <cell r="AB93" t="b">
            <v>0</v>
          </cell>
          <cell r="AC93" t="b">
            <v>0</v>
          </cell>
          <cell r="AD93" t="b">
            <v>0</v>
          </cell>
        </row>
        <row r="94">
          <cell r="Z94" t="b">
            <v>0</v>
          </cell>
          <cell r="AA94" t="b">
            <v>0</v>
          </cell>
          <cell r="AB94" t="b">
            <v>0</v>
          </cell>
          <cell r="AC94" t="b">
            <v>0</v>
          </cell>
          <cell r="AD94" t="b">
            <v>0</v>
          </cell>
        </row>
        <row r="95">
          <cell r="Z95" t="b">
            <v>0</v>
          </cell>
          <cell r="AA95" t="b">
            <v>0</v>
          </cell>
          <cell r="AB95" t="b">
            <v>0</v>
          </cell>
          <cell r="AC95" t="b">
            <v>0</v>
          </cell>
          <cell r="AD95" t="b">
            <v>0</v>
          </cell>
        </row>
        <row r="96">
          <cell r="Z96" t="b">
            <v>0</v>
          </cell>
          <cell r="AA96" t="b">
            <v>0</v>
          </cell>
          <cell r="AB96" t="b">
            <v>0</v>
          </cell>
          <cell r="AC96" t="b">
            <v>0</v>
          </cell>
          <cell r="AD96" t="b">
            <v>0</v>
          </cell>
        </row>
        <row r="97">
          <cell r="Z97" t="b">
            <v>0</v>
          </cell>
          <cell r="AA97" t="b">
            <v>0</v>
          </cell>
          <cell r="AB97" t="b">
            <v>0</v>
          </cell>
          <cell r="AC97" t="b">
            <v>0</v>
          </cell>
          <cell r="AD97" t="b">
            <v>0</v>
          </cell>
        </row>
        <row r="98">
          <cell r="Z98" t="b">
            <v>0</v>
          </cell>
          <cell r="AA98" t="b">
            <v>0</v>
          </cell>
          <cell r="AB98" t="b">
            <v>0</v>
          </cell>
          <cell r="AC98" t="b">
            <v>0</v>
          </cell>
          <cell r="AD98" t="b">
            <v>0</v>
          </cell>
        </row>
        <row r="99">
          <cell r="Z99" t="b">
            <v>0</v>
          </cell>
          <cell r="AA99" t="b">
            <v>0</v>
          </cell>
          <cell r="AB99" t="b">
            <v>0</v>
          </cell>
          <cell r="AC99" t="b">
            <v>0</v>
          </cell>
          <cell r="AD99" t="b">
            <v>0</v>
          </cell>
        </row>
        <row r="100">
          <cell r="Z100" t="b">
            <v>0</v>
          </cell>
          <cell r="AA100" t="b">
            <v>0</v>
          </cell>
          <cell r="AB100" t="b">
            <v>0</v>
          </cell>
          <cell r="AC100" t="b">
            <v>0</v>
          </cell>
          <cell r="AD100" t="b">
            <v>0</v>
          </cell>
        </row>
        <row r="101">
          <cell r="Z101" t="b">
            <v>0</v>
          </cell>
          <cell r="AA101" t="b">
            <v>0</v>
          </cell>
          <cell r="AB101" t="b">
            <v>0</v>
          </cell>
          <cell r="AC101" t="b">
            <v>0</v>
          </cell>
          <cell r="AD101" t="b">
            <v>0</v>
          </cell>
        </row>
        <row r="102">
          <cell r="Z102" t="b">
            <v>0</v>
          </cell>
          <cell r="AA102" t="b">
            <v>0</v>
          </cell>
          <cell r="AB102" t="b">
            <v>0</v>
          </cell>
          <cell r="AC102" t="b">
            <v>0</v>
          </cell>
          <cell r="AD102" t="b">
            <v>0</v>
          </cell>
        </row>
        <row r="103">
          <cell r="Z103" t="b">
            <v>0</v>
          </cell>
          <cell r="AA103" t="b">
            <v>0</v>
          </cell>
          <cell r="AB103" t="b">
            <v>0</v>
          </cell>
          <cell r="AC103" t="b">
            <v>0</v>
          </cell>
          <cell r="AD103" t="b">
            <v>0</v>
          </cell>
        </row>
        <row r="104">
          <cell r="Z104" t="b">
            <v>0</v>
          </cell>
          <cell r="AA104" t="b">
            <v>0</v>
          </cell>
          <cell r="AB104" t="b">
            <v>0</v>
          </cell>
          <cell r="AC104" t="b">
            <v>0</v>
          </cell>
          <cell r="AD104" t="b">
            <v>0</v>
          </cell>
        </row>
        <row r="105">
          <cell r="Z105" t="b">
            <v>0</v>
          </cell>
          <cell r="AA105" t="b">
            <v>0</v>
          </cell>
          <cell r="AB105" t="b">
            <v>0</v>
          </cell>
          <cell r="AC105" t="b">
            <v>0</v>
          </cell>
          <cell r="AD105" t="b">
            <v>0</v>
          </cell>
        </row>
        <row r="106">
          <cell r="Z106" t="b">
            <v>0</v>
          </cell>
          <cell r="AA106" t="b">
            <v>0</v>
          </cell>
          <cell r="AB106" t="b">
            <v>0</v>
          </cell>
          <cell r="AC106" t="b">
            <v>0</v>
          </cell>
          <cell r="AD106" t="b">
            <v>0</v>
          </cell>
        </row>
        <row r="107">
          <cell r="Z107" t="b">
            <v>0</v>
          </cell>
          <cell r="AA107" t="b">
            <v>0</v>
          </cell>
          <cell r="AB107" t="b">
            <v>0</v>
          </cell>
          <cell r="AC107" t="b">
            <v>0</v>
          </cell>
          <cell r="AD107" t="b">
            <v>0</v>
          </cell>
        </row>
        <row r="108">
          <cell r="Z108" t="b">
            <v>0</v>
          </cell>
          <cell r="AA108" t="b">
            <v>0</v>
          </cell>
          <cell r="AB108" t="b">
            <v>0</v>
          </cell>
          <cell r="AC108" t="b">
            <v>0</v>
          </cell>
          <cell r="AD108" t="b">
            <v>0</v>
          </cell>
        </row>
        <row r="109">
          <cell r="Z109" t="b">
            <v>0</v>
          </cell>
          <cell r="AA109" t="b">
            <v>0</v>
          </cell>
          <cell r="AB109" t="b">
            <v>0</v>
          </cell>
          <cell r="AC109" t="b">
            <v>0</v>
          </cell>
          <cell r="AD109" t="b">
            <v>0</v>
          </cell>
        </row>
        <row r="110">
          <cell r="Z110" t="b">
            <v>0</v>
          </cell>
          <cell r="AA110" t="b">
            <v>0</v>
          </cell>
          <cell r="AB110" t="b">
            <v>0</v>
          </cell>
          <cell r="AC110" t="b">
            <v>0</v>
          </cell>
          <cell r="AD110" t="b">
            <v>0</v>
          </cell>
        </row>
        <row r="111">
          <cell r="Z111" t="b">
            <v>0</v>
          </cell>
          <cell r="AA111" t="b">
            <v>0</v>
          </cell>
          <cell r="AB111" t="b">
            <v>0</v>
          </cell>
          <cell r="AC111" t="b">
            <v>0</v>
          </cell>
          <cell r="AD111" t="b">
            <v>0</v>
          </cell>
        </row>
        <row r="112">
          <cell r="Z112" t="b">
            <v>0</v>
          </cell>
          <cell r="AA112" t="b">
            <v>0</v>
          </cell>
          <cell r="AB112" t="b">
            <v>0</v>
          </cell>
          <cell r="AC112" t="b">
            <v>0</v>
          </cell>
          <cell r="AD112" t="b">
            <v>0</v>
          </cell>
        </row>
        <row r="113">
          <cell r="Z113" t="b">
            <v>0</v>
          </cell>
          <cell r="AA113" t="b">
            <v>0</v>
          </cell>
          <cell r="AB113" t="b">
            <v>0</v>
          </cell>
          <cell r="AC113" t="b">
            <v>0</v>
          </cell>
          <cell r="AD113" t="b">
            <v>0</v>
          </cell>
        </row>
        <row r="114">
          <cell r="Z114" t="b">
            <v>0</v>
          </cell>
          <cell r="AA114" t="b">
            <v>0</v>
          </cell>
          <cell r="AB114" t="b">
            <v>0</v>
          </cell>
          <cell r="AC114" t="b">
            <v>0</v>
          </cell>
          <cell r="AD114" t="b">
            <v>0</v>
          </cell>
        </row>
        <row r="115">
          <cell r="Z115" t="b">
            <v>0</v>
          </cell>
          <cell r="AA115" t="b">
            <v>0</v>
          </cell>
          <cell r="AB115" t="b">
            <v>0</v>
          </cell>
          <cell r="AC115" t="b">
            <v>0</v>
          </cell>
          <cell r="AD115" t="b">
            <v>0</v>
          </cell>
        </row>
        <row r="116">
          <cell r="Z116" t="b">
            <v>0</v>
          </cell>
          <cell r="AA116" t="b">
            <v>0</v>
          </cell>
          <cell r="AB116" t="b">
            <v>0</v>
          </cell>
          <cell r="AC116" t="b">
            <v>0</v>
          </cell>
          <cell r="AD116" t="b">
            <v>0</v>
          </cell>
        </row>
        <row r="117">
          <cell r="Z117" t="b">
            <v>0</v>
          </cell>
          <cell r="AA117" t="b">
            <v>0</v>
          </cell>
          <cell r="AB117" t="b">
            <v>0</v>
          </cell>
          <cell r="AC117" t="b">
            <v>0</v>
          </cell>
          <cell r="AD117" t="b">
            <v>0</v>
          </cell>
        </row>
        <row r="118">
          <cell r="Z118" t="b">
            <v>0</v>
          </cell>
          <cell r="AA118" t="b">
            <v>0</v>
          </cell>
          <cell r="AB118" t="b">
            <v>0</v>
          </cell>
          <cell r="AC118" t="b">
            <v>0</v>
          </cell>
          <cell r="AD118" t="b">
            <v>0</v>
          </cell>
        </row>
        <row r="119">
          <cell r="Z119" t="b">
            <v>0</v>
          </cell>
          <cell r="AA119" t="b">
            <v>0</v>
          </cell>
          <cell r="AB119" t="b">
            <v>0</v>
          </cell>
          <cell r="AC119" t="b">
            <v>0</v>
          </cell>
          <cell r="AD119" t="b">
            <v>0</v>
          </cell>
        </row>
        <row r="120">
          <cell r="Z120" t="b">
            <v>0</v>
          </cell>
          <cell r="AA120" t="b">
            <v>0</v>
          </cell>
          <cell r="AB120" t="b">
            <v>0</v>
          </cell>
          <cell r="AC120" t="b">
            <v>0</v>
          </cell>
          <cell r="AD120" t="b">
            <v>0</v>
          </cell>
        </row>
        <row r="121">
          <cell r="Z121" t="b">
            <v>0</v>
          </cell>
          <cell r="AA121" t="b">
            <v>0</v>
          </cell>
          <cell r="AB121" t="b">
            <v>0</v>
          </cell>
          <cell r="AC121" t="b">
            <v>0</v>
          </cell>
          <cell r="AD121" t="b">
            <v>0</v>
          </cell>
        </row>
        <row r="122">
          <cell r="Z122" t="b">
            <v>0</v>
          </cell>
          <cell r="AA122" t="b">
            <v>0</v>
          </cell>
          <cell r="AB122" t="b">
            <v>0</v>
          </cell>
          <cell r="AC122" t="b">
            <v>0</v>
          </cell>
          <cell r="AD122" t="b">
            <v>0</v>
          </cell>
        </row>
        <row r="123">
          <cell r="Z123" t="b">
            <v>0</v>
          </cell>
          <cell r="AA123" t="b">
            <v>0</v>
          </cell>
          <cell r="AB123" t="b">
            <v>0</v>
          </cell>
          <cell r="AC123" t="b">
            <v>0</v>
          </cell>
          <cell r="AD123" t="b">
            <v>0</v>
          </cell>
        </row>
        <row r="124">
          <cell r="Z124" t="b">
            <v>0</v>
          </cell>
          <cell r="AA124" t="b">
            <v>0</v>
          </cell>
          <cell r="AB124" t="b">
            <v>0</v>
          </cell>
          <cell r="AC124" t="b">
            <v>0</v>
          </cell>
          <cell r="AD124" t="b">
            <v>0</v>
          </cell>
        </row>
        <row r="125">
          <cell r="Z125" t="b">
            <v>0</v>
          </cell>
          <cell r="AA125" t="b">
            <v>0</v>
          </cell>
          <cell r="AB125" t="b">
            <v>0</v>
          </cell>
          <cell r="AC125" t="b">
            <v>0</v>
          </cell>
          <cell r="AD125" t="b">
            <v>0</v>
          </cell>
        </row>
        <row r="126">
          <cell r="Z126" t="b">
            <v>0</v>
          </cell>
          <cell r="AA126" t="b">
            <v>0</v>
          </cell>
          <cell r="AB126" t="b">
            <v>0</v>
          </cell>
          <cell r="AC126" t="b">
            <v>0</v>
          </cell>
          <cell r="AD126" t="b">
            <v>0</v>
          </cell>
        </row>
        <row r="127">
          <cell r="Z127" t="b">
            <v>0</v>
          </cell>
          <cell r="AA127" t="b">
            <v>0</v>
          </cell>
          <cell r="AB127" t="b">
            <v>0</v>
          </cell>
          <cell r="AC127" t="b">
            <v>0</v>
          </cell>
          <cell r="AD127" t="b">
            <v>0</v>
          </cell>
        </row>
        <row r="128">
          <cell r="Z128" t="b">
            <v>0</v>
          </cell>
          <cell r="AA128" t="b">
            <v>0</v>
          </cell>
          <cell r="AB128" t="b">
            <v>0</v>
          </cell>
          <cell r="AC128" t="b">
            <v>0</v>
          </cell>
          <cell r="AD128" t="b">
            <v>0</v>
          </cell>
        </row>
        <row r="129">
          <cell r="Z129" t="b">
            <v>0</v>
          </cell>
          <cell r="AA129" t="b">
            <v>0</v>
          </cell>
          <cell r="AB129" t="b">
            <v>0</v>
          </cell>
          <cell r="AC129" t="b">
            <v>0</v>
          </cell>
          <cell r="AD129" t="b">
            <v>0</v>
          </cell>
        </row>
        <row r="130">
          <cell r="Z130" t="b">
            <v>0</v>
          </cell>
          <cell r="AA130" t="b">
            <v>0</v>
          </cell>
          <cell r="AB130" t="b">
            <v>0</v>
          </cell>
          <cell r="AC130" t="b">
            <v>0</v>
          </cell>
          <cell r="AD130" t="b">
            <v>0</v>
          </cell>
        </row>
        <row r="131">
          <cell r="Z131" t="b">
            <v>0</v>
          </cell>
          <cell r="AA131" t="b">
            <v>0</v>
          </cell>
          <cell r="AB131" t="b">
            <v>0</v>
          </cell>
          <cell r="AC131" t="b">
            <v>0</v>
          </cell>
          <cell r="AD131" t="b">
            <v>0</v>
          </cell>
        </row>
        <row r="132">
          <cell r="Z132" t="b">
            <v>0</v>
          </cell>
          <cell r="AA132" t="b">
            <v>0</v>
          </cell>
          <cell r="AB132" t="b">
            <v>0</v>
          </cell>
          <cell r="AC132" t="b">
            <v>0</v>
          </cell>
          <cell r="AD132" t="b">
            <v>0</v>
          </cell>
        </row>
        <row r="133">
          <cell r="Z133" t="b">
            <v>0</v>
          </cell>
          <cell r="AA133" t="b">
            <v>0</v>
          </cell>
          <cell r="AB133" t="b">
            <v>0</v>
          </cell>
          <cell r="AC133" t="b">
            <v>0</v>
          </cell>
          <cell r="AD133" t="b">
            <v>0</v>
          </cell>
        </row>
        <row r="134">
          <cell r="Z134" t="b">
            <v>0</v>
          </cell>
          <cell r="AA134" t="b">
            <v>0</v>
          </cell>
          <cell r="AB134" t="b">
            <v>0</v>
          </cell>
          <cell r="AC134" t="b">
            <v>0</v>
          </cell>
          <cell r="AD134" t="b">
            <v>0</v>
          </cell>
        </row>
        <row r="135">
          <cell r="Z135" t="b">
            <v>0</v>
          </cell>
          <cell r="AA135" t="b">
            <v>0</v>
          </cell>
          <cell r="AB135" t="b">
            <v>0</v>
          </cell>
          <cell r="AC135" t="b">
            <v>0</v>
          </cell>
          <cell r="AD135" t="b">
            <v>0</v>
          </cell>
        </row>
        <row r="136">
          <cell r="Z136" t="b">
            <v>0</v>
          </cell>
          <cell r="AA136" t="b">
            <v>0</v>
          </cell>
          <cell r="AB136" t="b">
            <v>0</v>
          </cell>
          <cell r="AC136" t="b">
            <v>0</v>
          </cell>
          <cell r="AD136" t="b">
            <v>0</v>
          </cell>
        </row>
        <row r="137">
          <cell r="Z137" t="b">
            <v>0</v>
          </cell>
          <cell r="AA137" t="b">
            <v>0</v>
          </cell>
          <cell r="AB137" t="b">
            <v>0</v>
          </cell>
          <cell r="AC137" t="b">
            <v>0</v>
          </cell>
          <cell r="AD137" t="b">
            <v>0</v>
          </cell>
        </row>
        <row r="138">
          <cell r="Z138" t="b">
            <v>0</v>
          </cell>
          <cell r="AA138" t="b">
            <v>0</v>
          </cell>
          <cell r="AB138" t="b">
            <v>0</v>
          </cell>
          <cell r="AC138" t="b">
            <v>0</v>
          </cell>
          <cell r="AD138" t="b">
            <v>0</v>
          </cell>
        </row>
        <row r="139">
          <cell r="Z139" t="b">
            <v>0</v>
          </cell>
          <cell r="AA139" t="b">
            <v>0</v>
          </cell>
          <cell r="AB139" t="b">
            <v>0</v>
          </cell>
          <cell r="AC139" t="b">
            <v>0</v>
          </cell>
          <cell r="AD139" t="b">
            <v>0</v>
          </cell>
        </row>
        <row r="140">
          <cell r="Z140" t="b">
            <v>0</v>
          </cell>
          <cell r="AA140" t="b">
            <v>0</v>
          </cell>
          <cell r="AB140" t="b">
            <v>0</v>
          </cell>
          <cell r="AC140" t="b">
            <v>0</v>
          </cell>
          <cell r="AD140" t="b">
            <v>0</v>
          </cell>
        </row>
        <row r="141">
          <cell r="Z141" t="b">
            <v>0</v>
          </cell>
          <cell r="AA141" t="b">
            <v>0</v>
          </cell>
          <cell r="AB141" t="b">
            <v>0</v>
          </cell>
          <cell r="AC141" t="b">
            <v>0</v>
          </cell>
          <cell r="AD141" t="b">
            <v>0</v>
          </cell>
        </row>
        <row r="142">
          <cell r="Z142" t="b">
            <v>0</v>
          </cell>
          <cell r="AA142" t="b">
            <v>0</v>
          </cell>
          <cell r="AB142" t="b">
            <v>0</v>
          </cell>
          <cell r="AC142" t="b">
            <v>0</v>
          </cell>
          <cell r="AD142" t="b">
            <v>0</v>
          </cell>
        </row>
        <row r="143">
          <cell r="Z143" t="b">
            <v>0</v>
          </cell>
          <cell r="AA143" t="b">
            <v>0</v>
          </cell>
          <cell r="AB143" t="b">
            <v>0</v>
          </cell>
          <cell r="AC143" t="b">
            <v>0</v>
          </cell>
          <cell r="AD143" t="b">
            <v>0</v>
          </cell>
        </row>
        <row r="144">
          <cell r="Z144" t="b">
            <v>0</v>
          </cell>
          <cell r="AA144" t="b">
            <v>0</v>
          </cell>
          <cell r="AB144" t="b">
            <v>0</v>
          </cell>
          <cell r="AC144" t="b">
            <v>0</v>
          </cell>
          <cell r="AD144" t="b">
            <v>0</v>
          </cell>
        </row>
        <row r="145">
          <cell r="Z145" t="b">
            <v>0</v>
          </cell>
          <cell r="AA145" t="b">
            <v>0</v>
          </cell>
          <cell r="AB145" t="b">
            <v>0</v>
          </cell>
          <cell r="AC145" t="b">
            <v>0</v>
          </cell>
          <cell r="AD145" t="b">
            <v>0</v>
          </cell>
        </row>
        <row r="146">
          <cell r="Z146" t="b">
            <v>0</v>
          </cell>
          <cell r="AA146" t="b">
            <v>0</v>
          </cell>
          <cell r="AB146" t="b">
            <v>0</v>
          </cell>
          <cell r="AC146" t="b">
            <v>0</v>
          </cell>
          <cell r="AD146" t="b">
            <v>0</v>
          </cell>
        </row>
        <row r="147">
          <cell r="Z147" t="b">
            <v>0</v>
          </cell>
          <cell r="AA147" t="b">
            <v>0</v>
          </cell>
          <cell r="AB147" t="b">
            <v>0</v>
          </cell>
          <cell r="AC147" t="b">
            <v>0</v>
          </cell>
          <cell r="AD147" t="b">
            <v>0</v>
          </cell>
        </row>
        <row r="148">
          <cell r="Z148" t="b">
            <v>0</v>
          </cell>
          <cell r="AA148" t="b">
            <v>0</v>
          </cell>
          <cell r="AB148" t="b">
            <v>0</v>
          </cell>
          <cell r="AC148" t="b">
            <v>0</v>
          </cell>
          <cell r="AD148" t="b">
            <v>0</v>
          </cell>
        </row>
        <row r="149">
          <cell r="Z149" t="b">
            <v>0</v>
          </cell>
          <cell r="AA149" t="b">
            <v>0</v>
          </cell>
          <cell r="AB149" t="b">
            <v>0</v>
          </cell>
          <cell r="AC149" t="b">
            <v>0</v>
          </cell>
          <cell r="AD149" t="b">
            <v>0</v>
          </cell>
        </row>
        <row r="150">
          <cell r="Z150" t="b">
            <v>0</v>
          </cell>
          <cell r="AA150" t="b">
            <v>0</v>
          </cell>
          <cell r="AB150" t="b">
            <v>0</v>
          </cell>
          <cell r="AC150" t="b">
            <v>0</v>
          </cell>
          <cell r="AD150" t="b">
            <v>0</v>
          </cell>
        </row>
        <row r="151">
          <cell r="Z151" t="b">
            <v>0</v>
          </cell>
          <cell r="AA151" t="b">
            <v>0</v>
          </cell>
          <cell r="AB151" t="b">
            <v>0</v>
          </cell>
          <cell r="AC151" t="b">
            <v>0</v>
          </cell>
          <cell r="AD151" t="b">
            <v>0</v>
          </cell>
        </row>
        <row r="152">
          <cell r="Z152" t="b">
            <v>0</v>
          </cell>
          <cell r="AA152" t="b">
            <v>0</v>
          </cell>
          <cell r="AB152" t="b">
            <v>0</v>
          </cell>
          <cell r="AC152" t="b">
            <v>0</v>
          </cell>
          <cell r="AD152" t="b">
            <v>0</v>
          </cell>
        </row>
        <row r="153">
          <cell r="Z153" t="b">
            <v>0</v>
          </cell>
          <cell r="AA153" t="b">
            <v>0</v>
          </cell>
          <cell r="AB153" t="b">
            <v>0</v>
          </cell>
          <cell r="AC153" t="b">
            <v>0</v>
          </cell>
          <cell r="AD153" t="b">
            <v>0</v>
          </cell>
        </row>
        <row r="154">
          <cell r="Z154" t="b">
            <v>0</v>
          </cell>
          <cell r="AA154" t="b">
            <v>0</v>
          </cell>
          <cell r="AB154" t="b">
            <v>0</v>
          </cell>
          <cell r="AC154" t="b">
            <v>0</v>
          </cell>
          <cell r="AD154" t="b">
            <v>0</v>
          </cell>
        </row>
        <row r="155">
          <cell r="Z155" t="b">
            <v>0</v>
          </cell>
          <cell r="AA155" t="b">
            <v>0</v>
          </cell>
          <cell r="AB155" t="b">
            <v>0</v>
          </cell>
          <cell r="AC155" t="b">
            <v>0</v>
          </cell>
          <cell r="AD155" t="b">
            <v>0</v>
          </cell>
        </row>
        <row r="156">
          <cell r="Z156" t="b">
            <v>0</v>
          </cell>
          <cell r="AA156" t="b">
            <v>0</v>
          </cell>
          <cell r="AB156" t="b">
            <v>0</v>
          </cell>
          <cell r="AC156" t="b">
            <v>0</v>
          </cell>
          <cell r="AD156" t="b">
            <v>0</v>
          </cell>
        </row>
        <row r="157">
          <cell r="Z157" t="b">
            <v>0</v>
          </cell>
          <cell r="AA157" t="b">
            <v>0</v>
          </cell>
          <cell r="AB157" t="b">
            <v>0</v>
          </cell>
          <cell r="AC157" t="b">
            <v>0</v>
          </cell>
          <cell r="AD157" t="b">
            <v>0</v>
          </cell>
        </row>
        <row r="158">
          <cell r="Z158" t="b">
            <v>0</v>
          </cell>
          <cell r="AA158" t="b">
            <v>0</v>
          </cell>
          <cell r="AB158" t="b">
            <v>0</v>
          </cell>
          <cell r="AC158" t="b">
            <v>0</v>
          </cell>
          <cell r="AD158" t="b">
            <v>0</v>
          </cell>
        </row>
        <row r="159">
          <cell r="Z159" t="b">
            <v>0</v>
          </cell>
          <cell r="AA159" t="b">
            <v>0</v>
          </cell>
          <cell r="AB159" t="b">
            <v>0</v>
          </cell>
          <cell r="AC159" t="b">
            <v>0</v>
          </cell>
          <cell r="AD159" t="b">
            <v>0</v>
          </cell>
        </row>
        <row r="160">
          <cell r="Z160" t="b">
            <v>0</v>
          </cell>
          <cell r="AA160" t="b">
            <v>0</v>
          </cell>
          <cell r="AB160" t="b">
            <v>0</v>
          </cell>
          <cell r="AC160" t="b">
            <v>0</v>
          </cell>
          <cell r="AD160" t="b">
            <v>0</v>
          </cell>
        </row>
        <row r="161">
          <cell r="Z161" t="b">
            <v>0</v>
          </cell>
          <cell r="AA161" t="b">
            <v>0</v>
          </cell>
          <cell r="AB161" t="b">
            <v>0</v>
          </cell>
          <cell r="AC161" t="b">
            <v>0</v>
          </cell>
          <cell r="AD161" t="b">
            <v>0</v>
          </cell>
        </row>
        <row r="162">
          <cell r="Z162" t="b">
            <v>0</v>
          </cell>
          <cell r="AA162" t="b">
            <v>0</v>
          </cell>
          <cell r="AB162" t="b">
            <v>0</v>
          </cell>
          <cell r="AC162" t="b">
            <v>0</v>
          </cell>
          <cell r="AD162" t="b">
            <v>0</v>
          </cell>
        </row>
        <row r="163">
          <cell r="Z163" t="b">
            <v>0</v>
          </cell>
          <cell r="AA163" t="b">
            <v>0</v>
          </cell>
          <cell r="AB163" t="b">
            <v>0</v>
          </cell>
          <cell r="AC163" t="b">
            <v>0</v>
          </cell>
          <cell r="AD163" t="b">
            <v>0</v>
          </cell>
        </row>
        <row r="164">
          <cell r="Z164" t="b">
            <v>0</v>
          </cell>
          <cell r="AA164" t="b">
            <v>0</v>
          </cell>
          <cell r="AB164" t="b">
            <v>0</v>
          </cell>
          <cell r="AC164" t="b">
            <v>0</v>
          </cell>
          <cell r="AD164" t="b">
            <v>0</v>
          </cell>
        </row>
        <row r="165">
          <cell r="Z165" t="b">
            <v>0</v>
          </cell>
          <cell r="AA165" t="b">
            <v>0</v>
          </cell>
          <cell r="AB165" t="b">
            <v>0</v>
          </cell>
          <cell r="AC165" t="b">
            <v>0</v>
          </cell>
          <cell r="AD165" t="b">
            <v>0</v>
          </cell>
        </row>
        <row r="166">
          <cell r="Z166" t="b">
            <v>0</v>
          </cell>
          <cell r="AA166" t="b">
            <v>0</v>
          </cell>
          <cell r="AB166" t="b">
            <v>0</v>
          </cell>
          <cell r="AC166" t="b">
            <v>0</v>
          </cell>
          <cell r="AD166" t="b">
            <v>0</v>
          </cell>
        </row>
        <row r="167">
          <cell r="Z167" t="b">
            <v>0</v>
          </cell>
          <cell r="AA167" t="b">
            <v>0</v>
          </cell>
          <cell r="AB167" t="b">
            <v>0</v>
          </cell>
          <cell r="AC167" t="b">
            <v>0</v>
          </cell>
          <cell r="AD167" t="b">
            <v>0</v>
          </cell>
        </row>
        <row r="168">
          <cell r="Z168" t="b">
            <v>0</v>
          </cell>
          <cell r="AA168" t="b">
            <v>0</v>
          </cell>
          <cell r="AB168" t="b">
            <v>0</v>
          </cell>
          <cell r="AC168" t="b">
            <v>0</v>
          </cell>
          <cell r="AD168" t="b">
            <v>0</v>
          </cell>
        </row>
        <row r="169">
          <cell r="Z169" t="b">
            <v>0</v>
          </cell>
          <cell r="AA169" t="b">
            <v>0</v>
          </cell>
          <cell r="AB169" t="b">
            <v>0</v>
          </cell>
          <cell r="AC169" t="b">
            <v>0</v>
          </cell>
          <cell r="AD169" t="b">
            <v>0</v>
          </cell>
        </row>
        <row r="170">
          <cell r="Z170" t="b">
            <v>0</v>
          </cell>
          <cell r="AA170" t="b">
            <v>0</v>
          </cell>
          <cell r="AB170" t="b">
            <v>0</v>
          </cell>
          <cell r="AC170" t="b">
            <v>0</v>
          </cell>
          <cell r="AD170" t="b">
            <v>0</v>
          </cell>
        </row>
        <row r="171">
          <cell r="Z171" t="b">
            <v>0</v>
          </cell>
          <cell r="AA171" t="b">
            <v>0</v>
          </cell>
          <cell r="AB171" t="b">
            <v>0</v>
          </cell>
          <cell r="AC171" t="b">
            <v>0</v>
          </cell>
          <cell r="AD171" t="b">
            <v>0</v>
          </cell>
        </row>
        <row r="172">
          <cell r="Z172" t="b">
            <v>0</v>
          </cell>
          <cell r="AA172" t="b">
            <v>0</v>
          </cell>
          <cell r="AB172" t="b">
            <v>0</v>
          </cell>
          <cell r="AC172" t="b">
            <v>0</v>
          </cell>
          <cell r="AD172" t="b">
            <v>0</v>
          </cell>
        </row>
        <row r="173">
          <cell r="Z173" t="b">
            <v>0</v>
          </cell>
          <cell r="AA173" t="b">
            <v>0</v>
          </cell>
          <cell r="AB173" t="b">
            <v>0</v>
          </cell>
          <cell r="AC173" t="b">
            <v>0</v>
          </cell>
          <cell r="AD173" t="b">
            <v>0</v>
          </cell>
        </row>
        <row r="174">
          <cell r="Z174" t="b">
            <v>0</v>
          </cell>
          <cell r="AA174" t="b">
            <v>0</v>
          </cell>
          <cell r="AB174" t="b">
            <v>0</v>
          </cell>
          <cell r="AC174" t="b">
            <v>0</v>
          </cell>
          <cell r="AD174" t="b">
            <v>0</v>
          </cell>
        </row>
        <row r="175">
          <cell r="Z175" t="b">
            <v>0</v>
          </cell>
          <cell r="AA175" t="b">
            <v>0</v>
          </cell>
          <cell r="AB175" t="b">
            <v>0</v>
          </cell>
          <cell r="AC175" t="b">
            <v>0</v>
          </cell>
          <cell r="AD175" t="b">
            <v>0</v>
          </cell>
        </row>
        <row r="176">
          <cell r="Z176" t="b">
            <v>0</v>
          </cell>
          <cell r="AA176" t="b">
            <v>0</v>
          </cell>
          <cell r="AB176" t="b">
            <v>0</v>
          </cell>
          <cell r="AC176" t="b">
            <v>0</v>
          </cell>
          <cell r="AD176" t="b">
            <v>0</v>
          </cell>
        </row>
        <row r="177">
          <cell r="Z177" t="b">
            <v>0</v>
          </cell>
          <cell r="AA177" t="b">
            <v>0</v>
          </cell>
          <cell r="AB177" t="b">
            <v>0</v>
          </cell>
          <cell r="AC177" t="b">
            <v>0</v>
          </cell>
          <cell r="AD177" t="b">
            <v>0</v>
          </cell>
        </row>
        <row r="178">
          <cell r="Z178" t="b">
            <v>0</v>
          </cell>
          <cell r="AA178" t="b">
            <v>0</v>
          </cell>
          <cell r="AB178" t="b">
            <v>0</v>
          </cell>
          <cell r="AC178" t="b">
            <v>0</v>
          </cell>
          <cell r="AD178" t="b">
            <v>0</v>
          </cell>
        </row>
        <row r="179">
          <cell r="Z179" t="b">
            <v>0</v>
          </cell>
          <cell r="AA179" t="b">
            <v>0</v>
          </cell>
          <cell r="AB179" t="b">
            <v>0</v>
          </cell>
          <cell r="AC179" t="b">
            <v>0</v>
          </cell>
          <cell r="AD179" t="b">
            <v>0</v>
          </cell>
        </row>
        <row r="180">
          <cell r="Z180" t="b">
            <v>0</v>
          </cell>
          <cell r="AA180" t="b">
            <v>0</v>
          </cell>
          <cell r="AB180" t="b">
            <v>0</v>
          </cell>
          <cell r="AC180" t="b">
            <v>0</v>
          </cell>
          <cell r="AD180" t="b">
            <v>0</v>
          </cell>
        </row>
        <row r="181">
          <cell r="Z181" t="b">
            <v>0</v>
          </cell>
          <cell r="AA181" t="b">
            <v>0</v>
          </cell>
          <cell r="AB181" t="b">
            <v>0</v>
          </cell>
          <cell r="AC181" t="b">
            <v>0</v>
          </cell>
          <cell r="AD181" t="b">
            <v>0</v>
          </cell>
        </row>
        <row r="182">
          <cell r="Z182" t="b">
            <v>0</v>
          </cell>
          <cell r="AA182" t="b">
            <v>0</v>
          </cell>
          <cell r="AB182" t="b">
            <v>0</v>
          </cell>
          <cell r="AC182" t="b">
            <v>0</v>
          </cell>
          <cell r="AD182" t="b">
            <v>0</v>
          </cell>
        </row>
        <row r="183">
          <cell r="Z183" t="b">
            <v>0</v>
          </cell>
          <cell r="AA183" t="b">
            <v>0</v>
          </cell>
          <cell r="AB183" t="b">
            <v>0</v>
          </cell>
          <cell r="AC183" t="b">
            <v>0</v>
          </cell>
          <cell r="AD183" t="b">
            <v>0</v>
          </cell>
        </row>
        <row r="184">
          <cell r="Z184" t="b">
            <v>0</v>
          </cell>
          <cell r="AA184" t="b">
            <v>0</v>
          </cell>
          <cell r="AB184" t="b">
            <v>0</v>
          </cell>
          <cell r="AC184" t="b">
            <v>0</v>
          </cell>
          <cell r="AD184" t="b">
            <v>0</v>
          </cell>
        </row>
        <row r="185">
          <cell r="Z185" t="b">
            <v>0</v>
          </cell>
          <cell r="AA185" t="b">
            <v>0</v>
          </cell>
          <cell r="AB185" t="b">
            <v>0</v>
          </cell>
          <cell r="AC185" t="b">
            <v>0</v>
          </cell>
          <cell r="AD185" t="b">
            <v>0</v>
          </cell>
        </row>
        <row r="186">
          <cell r="Z186" t="b">
            <v>0</v>
          </cell>
          <cell r="AA186" t="b">
            <v>0</v>
          </cell>
          <cell r="AB186" t="b">
            <v>0</v>
          </cell>
          <cell r="AC186" t="b">
            <v>0</v>
          </cell>
          <cell r="AD186" t="b">
            <v>0</v>
          </cell>
        </row>
        <row r="187">
          <cell r="Z187" t="b">
            <v>0</v>
          </cell>
          <cell r="AA187" t="b">
            <v>0</v>
          </cell>
          <cell r="AB187" t="b">
            <v>0</v>
          </cell>
          <cell r="AC187" t="b">
            <v>0</v>
          </cell>
          <cell r="AD187" t="b">
            <v>0</v>
          </cell>
        </row>
        <row r="188">
          <cell r="Z188" t="b">
            <v>0</v>
          </cell>
          <cell r="AA188" t="b">
            <v>0</v>
          </cell>
          <cell r="AB188" t="b">
            <v>0</v>
          </cell>
          <cell r="AC188" t="b">
            <v>0</v>
          </cell>
          <cell r="AD188" t="b">
            <v>0</v>
          </cell>
        </row>
        <row r="189">
          <cell r="Z189" t="b">
            <v>0</v>
          </cell>
          <cell r="AA189" t="b">
            <v>0</v>
          </cell>
          <cell r="AB189" t="b">
            <v>0</v>
          </cell>
          <cell r="AC189" t="b">
            <v>0</v>
          </cell>
          <cell r="AD189" t="b">
            <v>0</v>
          </cell>
        </row>
        <row r="190">
          <cell r="Z190" t="b">
            <v>0</v>
          </cell>
          <cell r="AA190" t="b">
            <v>0</v>
          </cell>
          <cell r="AB190" t="b">
            <v>0</v>
          </cell>
          <cell r="AC190" t="b">
            <v>0</v>
          </cell>
          <cell r="AD190" t="b">
            <v>0</v>
          </cell>
        </row>
        <row r="191">
          <cell r="Z191" t="b">
            <v>0</v>
          </cell>
          <cell r="AA191" t="b">
            <v>0</v>
          </cell>
          <cell r="AB191" t="b">
            <v>0</v>
          </cell>
          <cell r="AC191" t="b">
            <v>0</v>
          </cell>
          <cell r="AD191" t="b">
            <v>0</v>
          </cell>
        </row>
        <row r="192">
          <cell r="Z192" t="b">
            <v>0</v>
          </cell>
          <cell r="AA192" t="b">
            <v>0</v>
          </cell>
          <cell r="AB192" t="b">
            <v>0</v>
          </cell>
          <cell r="AC192" t="b">
            <v>0</v>
          </cell>
          <cell r="AD192" t="b">
            <v>0</v>
          </cell>
        </row>
        <row r="193">
          <cell r="Z193" t="b">
            <v>0</v>
          </cell>
          <cell r="AA193" t="b">
            <v>0</v>
          </cell>
          <cell r="AB193" t="b">
            <v>0</v>
          </cell>
          <cell r="AC193" t="b">
            <v>0</v>
          </cell>
          <cell r="AD193" t="b">
            <v>0</v>
          </cell>
        </row>
        <row r="194">
          <cell r="Z194" t="b">
            <v>0</v>
          </cell>
          <cell r="AA194" t="b">
            <v>0</v>
          </cell>
          <cell r="AB194" t="b">
            <v>0</v>
          </cell>
          <cell r="AC194" t="b">
            <v>0</v>
          </cell>
          <cell r="AD194" t="b">
            <v>0</v>
          </cell>
        </row>
        <row r="195">
          <cell r="Z195" t="b">
            <v>0</v>
          </cell>
          <cell r="AA195" t="b">
            <v>0</v>
          </cell>
          <cell r="AB195" t="b">
            <v>0</v>
          </cell>
          <cell r="AC195" t="b">
            <v>0</v>
          </cell>
          <cell r="AD195" t="b">
            <v>0</v>
          </cell>
        </row>
        <row r="196">
          <cell r="Z196" t="b">
            <v>0</v>
          </cell>
          <cell r="AA196" t="b">
            <v>0</v>
          </cell>
          <cell r="AB196" t="b">
            <v>0</v>
          </cell>
          <cell r="AC196" t="b">
            <v>0</v>
          </cell>
          <cell r="AD196" t="b">
            <v>0</v>
          </cell>
        </row>
        <row r="197">
          <cell r="Z197" t="b">
            <v>0</v>
          </cell>
          <cell r="AA197" t="b">
            <v>0</v>
          </cell>
          <cell r="AB197" t="b">
            <v>0</v>
          </cell>
          <cell r="AC197" t="b">
            <v>0</v>
          </cell>
          <cell r="AD197" t="b">
            <v>0</v>
          </cell>
        </row>
        <row r="198">
          <cell r="Z198" t="b">
            <v>0</v>
          </cell>
          <cell r="AA198" t="b">
            <v>0</v>
          </cell>
          <cell r="AB198" t="b">
            <v>0</v>
          </cell>
          <cell r="AC198" t="b">
            <v>0</v>
          </cell>
          <cell r="AD198" t="b">
            <v>0</v>
          </cell>
        </row>
        <row r="199">
          <cell r="Z199" t="b">
            <v>0</v>
          </cell>
          <cell r="AA199" t="b">
            <v>0</v>
          </cell>
          <cell r="AB199" t="b">
            <v>0</v>
          </cell>
          <cell r="AC199" t="b">
            <v>0</v>
          </cell>
          <cell r="AD199" t="b">
            <v>0</v>
          </cell>
        </row>
        <row r="200">
          <cell r="Z200" t="b">
            <v>0</v>
          </cell>
          <cell r="AA200" t="b">
            <v>0</v>
          </cell>
          <cell r="AB200" t="b">
            <v>0</v>
          </cell>
          <cell r="AC200" t="b">
            <v>0</v>
          </cell>
          <cell r="AD200" t="b">
            <v>0</v>
          </cell>
        </row>
        <row r="201">
          <cell r="Z201" t="b">
            <v>0</v>
          </cell>
          <cell r="AA201" t="b">
            <v>0</v>
          </cell>
          <cell r="AB201" t="b">
            <v>0</v>
          </cell>
          <cell r="AC201" t="b">
            <v>0</v>
          </cell>
          <cell r="AD201" t="b">
            <v>0</v>
          </cell>
        </row>
        <row r="202">
          <cell r="Z202" t="b">
            <v>0</v>
          </cell>
          <cell r="AA202" t="b">
            <v>0</v>
          </cell>
          <cell r="AB202" t="b">
            <v>0</v>
          </cell>
          <cell r="AC202" t="b">
            <v>0</v>
          </cell>
          <cell r="AD202" t="b">
            <v>0</v>
          </cell>
        </row>
        <row r="203">
          <cell r="Z203" t="b">
            <v>0</v>
          </cell>
          <cell r="AA203" t="b">
            <v>0</v>
          </cell>
          <cell r="AB203" t="b">
            <v>0</v>
          </cell>
          <cell r="AC203" t="b">
            <v>0</v>
          </cell>
          <cell r="AD203" t="b">
            <v>0</v>
          </cell>
        </row>
        <row r="204">
          <cell r="Z204" t="b">
            <v>0</v>
          </cell>
          <cell r="AA204" t="b">
            <v>0</v>
          </cell>
          <cell r="AB204" t="b">
            <v>0</v>
          </cell>
          <cell r="AC204" t="b">
            <v>0</v>
          </cell>
          <cell r="AD204" t="b">
            <v>0</v>
          </cell>
        </row>
        <row r="205">
          <cell r="Z205" t="b">
            <v>0</v>
          </cell>
          <cell r="AA205" t="b">
            <v>0</v>
          </cell>
          <cell r="AB205" t="b">
            <v>0</v>
          </cell>
          <cell r="AC205" t="b">
            <v>0</v>
          </cell>
          <cell r="AD205" t="b">
            <v>0</v>
          </cell>
        </row>
        <row r="206">
          <cell r="Z206" t="b">
            <v>0</v>
          </cell>
          <cell r="AA206" t="b">
            <v>0</v>
          </cell>
          <cell r="AB206" t="b">
            <v>0</v>
          </cell>
          <cell r="AC206" t="b">
            <v>0</v>
          </cell>
          <cell r="AD206" t="b">
            <v>0</v>
          </cell>
        </row>
        <row r="207">
          <cell r="Z207" t="b">
            <v>0</v>
          </cell>
          <cell r="AA207" t="b">
            <v>0</v>
          </cell>
          <cell r="AB207" t="b">
            <v>0</v>
          </cell>
          <cell r="AC207" t="b">
            <v>0</v>
          </cell>
          <cell r="AD207" t="b">
            <v>0</v>
          </cell>
        </row>
        <row r="208">
          <cell r="Z208" t="b">
            <v>0</v>
          </cell>
          <cell r="AA208" t="b">
            <v>0</v>
          </cell>
          <cell r="AB208" t="b">
            <v>0</v>
          </cell>
          <cell r="AC208" t="b">
            <v>0</v>
          </cell>
          <cell r="AD208" t="b">
            <v>0</v>
          </cell>
        </row>
        <row r="209">
          <cell r="Z209" t="b">
            <v>0</v>
          </cell>
          <cell r="AA209" t="b">
            <v>0</v>
          </cell>
          <cell r="AB209" t="b">
            <v>0</v>
          </cell>
          <cell r="AC209" t="b">
            <v>0</v>
          </cell>
          <cell r="AD209" t="b">
            <v>0</v>
          </cell>
        </row>
        <row r="210">
          <cell r="Z210" t="b">
            <v>0</v>
          </cell>
          <cell r="AA210" t="b">
            <v>0</v>
          </cell>
          <cell r="AB210" t="b">
            <v>0</v>
          </cell>
          <cell r="AC210" t="b">
            <v>0</v>
          </cell>
          <cell r="AD210" t="b">
            <v>0</v>
          </cell>
        </row>
        <row r="211">
          <cell r="Z211" t="b">
            <v>0</v>
          </cell>
          <cell r="AA211" t="b">
            <v>0</v>
          </cell>
          <cell r="AB211" t="b">
            <v>0</v>
          </cell>
          <cell r="AC211" t="b">
            <v>0</v>
          </cell>
          <cell r="AD211" t="b">
            <v>0</v>
          </cell>
        </row>
        <row r="212">
          <cell r="Z212" t="b">
            <v>0</v>
          </cell>
          <cell r="AA212" t="b">
            <v>0</v>
          </cell>
          <cell r="AB212" t="b">
            <v>0</v>
          </cell>
          <cell r="AC212" t="b">
            <v>0</v>
          </cell>
          <cell r="AD212" t="b">
            <v>0</v>
          </cell>
        </row>
        <row r="213">
          <cell r="Z213" t="b">
            <v>0</v>
          </cell>
          <cell r="AA213" t="b">
            <v>0</v>
          </cell>
          <cell r="AB213" t="b">
            <v>0</v>
          </cell>
          <cell r="AC213" t="b">
            <v>0</v>
          </cell>
          <cell r="AD213" t="b">
            <v>0</v>
          </cell>
        </row>
        <row r="214">
          <cell r="Z214" t="b">
            <v>0</v>
          </cell>
          <cell r="AA214" t="b">
            <v>0</v>
          </cell>
          <cell r="AB214" t="b">
            <v>0</v>
          </cell>
          <cell r="AC214" t="b">
            <v>0</v>
          </cell>
          <cell r="AD214" t="b">
            <v>0</v>
          </cell>
        </row>
        <row r="215">
          <cell r="Z215" t="b">
            <v>0</v>
          </cell>
          <cell r="AA215" t="b">
            <v>0</v>
          </cell>
          <cell r="AB215" t="b">
            <v>0</v>
          </cell>
          <cell r="AC215" t="b">
            <v>0</v>
          </cell>
          <cell r="AD215" t="b">
            <v>0</v>
          </cell>
        </row>
        <row r="216">
          <cell r="Z216" t="b">
            <v>0</v>
          </cell>
          <cell r="AA216" t="b">
            <v>0</v>
          </cell>
          <cell r="AB216" t="b">
            <v>0</v>
          </cell>
          <cell r="AC216" t="b">
            <v>0</v>
          </cell>
          <cell r="AD216" t="b">
            <v>0</v>
          </cell>
        </row>
        <row r="217">
          <cell r="Z217" t="b">
            <v>0</v>
          </cell>
          <cell r="AA217" t="b">
            <v>0</v>
          </cell>
          <cell r="AB217" t="b">
            <v>0</v>
          </cell>
          <cell r="AC217" t="b">
            <v>0</v>
          </cell>
          <cell r="AD217" t="b">
            <v>0</v>
          </cell>
        </row>
        <row r="218">
          <cell r="Z218" t="b">
            <v>0</v>
          </cell>
          <cell r="AA218" t="b">
            <v>0</v>
          </cell>
          <cell r="AB218" t="b">
            <v>0</v>
          </cell>
          <cell r="AC218" t="b">
            <v>0</v>
          </cell>
          <cell r="AD218" t="b">
            <v>0</v>
          </cell>
        </row>
        <row r="219">
          <cell r="Z219" t="b">
            <v>0</v>
          </cell>
          <cell r="AA219" t="b">
            <v>0</v>
          </cell>
          <cell r="AB219" t="b">
            <v>0</v>
          </cell>
          <cell r="AC219" t="b">
            <v>0</v>
          </cell>
          <cell r="AD219" t="b">
            <v>0</v>
          </cell>
        </row>
        <row r="220">
          <cell r="Z220" t="b">
            <v>0</v>
          </cell>
          <cell r="AA220" t="b">
            <v>0</v>
          </cell>
          <cell r="AB220" t="b">
            <v>0</v>
          </cell>
          <cell r="AC220" t="b">
            <v>0</v>
          </cell>
          <cell r="AD220" t="b">
            <v>0</v>
          </cell>
        </row>
        <row r="221">
          <cell r="Z221" t="b">
            <v>0</v>
          </cell>
          <cell r="AA221" t="b">
            <v>0</v>
          </cell>
          <cell r="AB221" t="b">
            <v>0</v>
          </cell>
          <cell r="AC221" t="b">
            <v>0</v>
          </cell>
          <cell r="AD221" t="b">
            <v>0</v>
          </cell>
        </row>
        <row r="222">
          <cell r="Z222" t="b">
            <v>0</v>
          </cell>
          <cell r="AA222" t="b">
            <v>0</v>
          </cell>
          <cell r="AB222" t="b">
            <v>0</v>
          </cell>
          <cell r="AC222" t="b">
            <v>0</v>
          </cell>
          <cell r="AD222" t="b">
            <v>0</v>
          </cell>
        </row>
        <row r="223">
          <cell r="Z223" t="b">
            <v>0</v>
          </cell>
          <cell r="AA223" t="b">
            <v>0</v>
          </cell>
          <cell r="AB223" t="b">
            <v>0</v>
          </cell>
          <cell r="AC223" t="b">
            <v>0</v>
          </cell>
          <cell r="AD223" t="b">
            <v>0</v>
          </cell>
        </row>
        <row r="224">
          <cell r="Z224" t="b">
            <v>0</v>
          </cell>
          <cell r="AA224" t="b">
            <v>0</v>
          </cell>
          <cell r="AB224" t="b">
            <v>0</v>
          </cell>
          <cell r="AC224" t="b">
            <v>0</v>
          </cell>
          <cell r="AD224" t="b">
            <v>0</v>
          </cell>
        </row>
        <row r="225">
          <cell r="Z225" t="b">
            <v>0</v>
          </cell>
          <cell r="AA225" t="b">
            <v>0</v>
          </cell>
          <cell r="AB225" t="b">
            <v>0</v>
          </cell>
          <cell r="AC225" t="b">
            <v>0</v>
          </cell>
          <cell r="AD225" t="b">
            <v>0</v>
          </cell>
        </row>
        <row r="226">
          <cell r="Z226" t="b">
            <v>0</v>
          </cell>
          <cell r="AA226" t="b">
            <v>0</v>
          </cell>
          <cell r="AB226" t="b">
            <v>0</v>
          </cell>
          <cell r="AC226" t="b">
            <v>0</v>
          </cell>
          <cell r="AD226" t="b">
            <v>0</v>
          </cell>
        </row>
        <row r="227">
          <cell r="Z227" t="b">
            <v>0</v>
          </cell>
          <cell r="AA227" t="b">
            <v>0</v>
          </cell>
          <cell r="AB227" t="b">
            <v>0</v>
          </cell>
          <cell r="AC227" t="b">
            <v>0</v>
          </cell>
          <cell r="AD227" t="b">
            <v>0</v>
          </cell>
        </row>
        <row r="228">
          <cell r="Z228" t="b">
            <v>0</v>
          </cell>
          <cell r="AA228" t="b">
            <v>0</v>
          </cell>
          <cell r="AB228" t="b">
            <v>0</v>
          </cell>
          <cell r="AC228" t="b">
            <v>0</v>
          </cell>
          <cell r="AD228" t="b">
            <v>0</v>
          </cell>
        </row>
        <row r="229">
          <cell r="Z229" t="b">
            <v>0</v>
          </cell>
          <cell r="AA229" t="b">
            <v>0</v>
          </cell>
          <cell r="AB229" t="b">
            <v>0</v>
          </cell>
          <cell r="AC229" t="b">
            <v>0</v>
          </cell>
          <cell r="AD229" t="b">
            <v>0</v>
          </cell>
        </row>
        <row r="230">
          <cell r="Z230" t="b">
            <v>0</v>
          </cell>
          <cell r="AA230" t="b">
            <v>0</v>
          </cell>
          <cell r="AB230" t="b">
            <v>0</v>
          </cell>
          <cell r="AC230" t="b">
            <v>0</v>
          </cell>
          <cell r="AD230" t="b">
            <v>0</v>
          </cell>
        </row>
        <row r="231">
          <cell r="Z231" t="b">
            <v>0</v>
          </cell>
          <cell r="AA231" t="b">
            <v>0</v>
          </cell>
          <cell r="AB231" t="b">
            <v>0</v>
          </cell>
          <cell r="AC231" t="b">
            <v>0</v>
          </cell>
          <cell r="AD231" t="b">
            <v>0</v>
          </cell>
        </row>
        <row r="232">
          <cell r="Z232" t="b">
            <v>0</v>
          </cell>
          <cell r="AA232" t="b">
            <v>0</v>
          </cell>
          <cell r="AB232" t="b">
            <v>0</v>
          </cell>
          <cell r="AC232" t="b">
            <v>0</v>
          </cell>
          <cell r="AD232" t="b">
            <v>0</v>
          </cell>
        </row>
        <row r="233">
          <cell r="Z233" t="b">
            <v>0</v>
          </cell>
          <cell r="AA233" t="b">
            <v>0</v>
          </cell>
          <cell r="AB233" t="b">
            <v>0</v>
          </cell>
          <cell r="AC233" t="b">
            <v>0</v>
          </cell>
          <cell r="AD233" t="b">
            <v>0</v>
          </cell>
        </row>
        <row r="234">
          <cell r="Z234" t="b">
            <v>0</v>
          </cell>
          <cell r="AA234" t="b">
            <v>0</v>
          </cell>
          <cell r="AB234" t="b">
            <v>0</v>
          </cell>
          <cell r="AC234" t="b">
            <v>0</v>
          </cell>
          <cell r="AD234" t="b">
            <v>0</v>
          </cell>
        </row>
        <row r="235">
          <cell r="Z235" t="b">
            <v>0</v>
          </cell>
          <cell r="AA235" t="b">
            <v>0</v>
          </cell>
          <cell r="AB235" t="b">
            <v>0</v>
          </cell>
          <cell r="AC235" t="b">
            <v>0</v>
          </cell>
          <cell r="AD235" t="b">
            <v>0</v>
          </cell>
        </row>
        <row r="236">
          <cell r="Z236" t="b">
            <v>0</v>
          </cell>
          <cell r="AA236" t="b">
            <v>0</v>
          </cell>
          <cell r="AB236" t="b">
            <v>0</v>
          </cell>
          <cell r="AC236" t="b">
            <v>0</v>
          </cell>
          <cell r="AD236" t="b">
            <v>0</v>
          </cell>
        </row>
        <row r="237">
          <cell r="Z237" t="b">
            <v>0</v>
          </cell>
          <cell r="AA237" t="b">
            <v>0</v>
          </cell>
          <cell r="AB237" t="b">
            <v>0</v>
          </cell>
          <cell r="AC237" t="b">
            <v>0</v>
          </cell>
          <cell r="AD237" t="b">
            <v>0</v>
          </cell>
        </row>
        <row r="238">
          <cell r="Z238" t="b">
            <v>0</v>
          </cell>
          <cell r="AA238" t="b">
            <v>0</v>
          </cell>
          <cell r="AB238" t="b">
            <v>0</v>
          </cell>
          <cell r="AC238" t="b">
            <v>0</v>
          </cell>
          <cell r="AD238" t="b">
            <v>0</v>
          </cell>
        </row>
        <row r="239">
          <cell r="Z239" t="b">
            <v>0</v>
          </cell>
          <cell r="AA239" t="b">
            <v>0</v>
          </cell>
          <cell r="AB239" t="b">
            <v>0</v>
          </cell>
          <cell r="AC239" t="b">
            <v>0</v>
          </cell>
          <cell r="AD239" t="b">
            <v>0</v>
          </cell>
        </row>
        <row r="240">
          <cell r="Z240" t="b">
            <v>0</v>
          </cell>
          <cell r="AA240" t="b">
            <v>0</v>
          </cell>
          <cell r="AB240" t="b">
            <v>0</v>
          </cell>
          <cell r="AC240" t="b">
            <v>0</v>
          </cell>
          <cell r="AD240" t="b">
            <v>0</v>
          </cell>
        </row>
        <row r="241">
          <cell r="Z241" t="b">
            <v>0</v>
          </cell>
          <cell r="AA241" t="b">
            <v>0</v>
          </cell>
          <cell r="AB241" t="b">
            <v>0</v>
          </cell>
          <cell r="AC241" t="b">
            <v>0</v>
          </cell>
          <cell r="AD241" t="b">
            <v>0</v>
          </cell>
        </row>
        <row r="242">
          <cell r="Z242" t="b">
            <v>0</v>
          </cell>
          <cell r="AA242" t="b">
            <v>0</v>
          </cell>
          <cell r="AB242" t="b">
            <v>0</v>
          </cell>
          <cell r="AC242" t="b">
            <v>0</v>
          </cell>
          <cell r="AD242" t="b">
            <v>0</v>
          </cell>
        </row>
        <row r="243">
          <cell r="Z243" t="b">
            <v>0</v>
          </cell>
          <cell r="AA243" t="b">
            <v>0</v>
          </cell>
          <cell r="AB243" t="b">
            <v>0</v>
          </cell>
          <cell r="AC243" t="b">
            <v>0</v>
          </cell>
          <cell r="AD243" t="b">
            <v>0</v>
          </cell>
        </row>
        <row r="244">
          <cell r="Z244" t="b">
            <v>0</v>
          </cell>
          <cell r="AA244" t="b">
            <v>0</v>
          </cell>
          <cell r="AB244" t="b">
            <v>0</v>
          </cell>
          <cell r="AC244" t="b">
            <v>0</v>
          </cell>
          <cell r="AD244" t="b">
            <v>0</v>
          </cell>
        </row>
        <row r="245">
          <cell r="Z245" t="b">
            <v>0</v>
          </cell>
          <cell r="AA245" t="b">
            <v>0</v>
          </cell>
          <cell r="AB245" t="b">
            <v>0</v>
          </cell>
          <cell r="AC245" t="b">
            <v>0</v>
          </cell>
          <cell r="AD245" t="b">
            <v>0</v>
          </cell>
        </row>
        <row r="246">
          <cell r="Z246" t="b">
            <v>0</v>
          </cell>
          <cell r="AA246" t="b">
            <v>0</v>
          </cell>
          <cell r="AB246" t="b">
            <v>0</v>
          </cell>
          <cell r="AC246" t="b">
            <v>0</v>
          </cell>
          <cell r="AD246" t="b">
            <v>0</v>
          </cell>
        </row>
        <row r="247">
          <cell r="Z247" t="b">
            <v>0</v>
          </cell>
          <cell r="AA247" t="b">
            <v>0</v>
          </cell>
          <cell r="AB247" t="b">
            <v>0</v>
          </cell>
          <cell r="AC247" t="b">
            <v>0</v>
          </cell>
          <cell r="AD247" t="b">
            <v>0</v>
          </cell>
        </row>
        <row r="248">
          <cell r="Z248" t="b">
            <v>0</v>
          </cell>
          <cell r="AA248" t="b">
            <v>0</v>
          </cell>
          <cell r="AB248" t="b">
            <v>0</v>
          </cell>
          <cell r="AC248" t="b">
            <v>0</v>
          </cell>
          <cell r="AD248" t="b">
            <v>0</v>
          </cell>
        </row>
        <row r="249">
          <cell r="Z249" t="b">
            <v>0</v>
          </cell>
          <cell r="AA249" t="b">
            <v>0</v>
          </cell>
          <cell r="AB249" t="b">
            <v>0</v>
          </cell>
          <cell r="AC249" t="b">
            <v>0</v>
          </cell>
          <cell r="AD249" t="b">
            <v>0</v>
          </cell>
        </row>
        <row r="250">
          <cell r="Z250" t="b">
            <v>0</v>
          </cell>
          <cell r="AA250" t="b">
            <v>0</v>
          </cell>
          <cell r="AB250" t="b">
            <v>0</v>
          </cell>
          <cell r="AC250" t="b">
            <v>0</v>
          </cell>
          <cell r="AD250" t="b">
            <v>0</v>
          </cell>
        </row>
        <row r="251">
          <cell r="Z251" t="b">
            <v>0</v>
          </cell>
          <cell r="AA251" t="b">
            <v>0</v>
          </cell>
          <cell r="AB251" t="b">
            <v>0</v>
          </cell>
          <cell r="AC251" t="b">
            <v>0</v>
          </cell>
          <cell r="AD251" t="b">
            <v>0</v>
          </cell>
        </row>
        <row r="252">
          <cell r="Z252" t="b">
            <v>0</v>
          </cell>
          <cell r="AA252" t="b">
            <v>0</v>
          </cell>
          <cell r="AB252" t="b">
            <v>0</v>
          </cell>
          <cell r="AC252" t="b">
            <v>0</v>
          </cell>
          <cell r="AD252" t="b">
            <v>0</v>
          </cell>
        </row>
        <row r="253">
          <cell r="Z253" t="b">
            <v>0</v>
          </cell>
          <cell r="AA253" t="b">
            <v>0</v>
          </cell>
          <cell r="AB253" t="b">
            <v>0</v>
          </cell>
          <cell r="AC253" t="b">
            <v>0</v>
          </cell>
          <cell r="AD253" t="b">
            <v>0</v>
          </cell>
        </row>
        <row r="254">
          <cell r="Z254" t="b">
            <v>0</v>
          </cell>
          <cell r="AA254" t="b">
            <v>0</v>
          </cell>
          <cell r="AB254" t="b">
            <v>0</v>
          </cell>
          <cell r="AC254" t="b">
            <v>0</v>
          </cell>
          <cell r="AD254" t="b">
            <v>0</v>
          </cell>
        </row>
        <row r="255">
          <cell r="Z255" t="b">
            <v>0</v>
          </cell>
          <cell r="AA255" t="b">
            <v>0</v>
          </cell>
          <cell r="AB255" t="b">
            <v>0</v>
          </cell>
          <cell r="AC255" t="b">
            <v>0</v>
          </cell>
          <cell r="AD255" t="b">
            <v>0</v>
          </cell>
        </row>
        <row r="256">
          <cell r="Z256" t="b">
            <v>0</v>
          </cell>
          <cell r="AA256" t="b">
            <v>0</v>
          </cell>
          <cell r="AB256" t="b">
            <v>0</v>
          </cell>
          <cell r="AC256" t="b">
            <v>0</v>
          </cell>
          <cell r="AD256" t="b">
            <v>0</v>
          </cell>
        </row>
        <row r="257">
          <cell r="Z257" t="b">
            <v>0</v>
          </cell>
          <cell r="AA257" t="b">
            <v>0</v>
          </cell>
          <cell r="AB257" t="b">
            <v>0</v>
          </cell>
          <cell r="AC257" t="b">
            <v>0</v>
          </cell>
          <cell r="AD257" t="b">
            <v>0</v>
          </cell>
        </row>
        <row r="258">
          <cell r="Z258" t="b">
            <v>0</v>
          </cell>
          <cell r="AA258" t="b">
            <v>0</v>
          </cell>
          <cell r="AB258" t="b">
            <v>0</v>
          </cell>
          <cell r="AC258" t="b">
            <v>0</v>
          </cell>
          <cell r="AD258" t="b">
            <v>0</v>
          </cell>
        </row>
        <row r="259">
          <cell r="Z259" t="b">
            <v>0</v>
          </cell>
          <cell r="AA259" t="b">
            <v>0</v>
          </cell>
          <cell r="AB259" t="b">
            <v>0</v>
          </cell>
          <cell r="AC259" t="b">
            <v>0</v>
          </cell>
          <cell r="AD259" t="b">
            <v>0</v>
          </cell>
        </row>
        <row r="260">
          <cell r="Z260" t="b">
            <v>0</v>
          </cell>
          <cell r="AA260" t="b">
            <v>0</v>
          </cell>
          <cell r="AB260" t="b">
            <v>0</v>
          </cell>
          <cell r="AC260" t="b">
            <v>0</v>
          </cell>
          <cell r="AD260" t="b">
            <v>0</v>
          </cell>
        </row>
        <row r="261">
          <cell r="Z261" t="b">
            <v>0</v>
          </cell>
          <cell r="AA261" t="b">
            <v>0</v>
          </cell>
          <cell r="AB261" t="b">
            <v>0</v>
          </cell>
          <cell r="AC261" t="b">
            <v>0</v>
          </cell>
          <cell r="AD261" t="b">
            <v>0</v>
          </cell>
        </row>
        <row r="262">
          <cell r="Z262" t="b">
            <v>0</v>
          </cell>
          <cell r="AA262" t="b">
            <v>0</v>
          </cell>
          <cell r="AB262" t="b">
            <v>0</v>
          </cell>
          <cell r="AC262" t="b">
            <v>0</v>
          </cell>
          <cell r="AD262" t="b">
            <v>0</v>
          </cell>
        </row>
        <row r="263">
          <cell r="Z263" t="b">
            <v>0</v>
          </cell>
          <cell r="AA263" t="b">
            <v>0</v>
          </cell>
          <cell r="AB263" t="b">
            <v>0</v>
          </cell>
          <cell r="AC263" t="b">
            <v>0</v>
          </cell>
          <cell r="AD263" t="b">
            <v>0</v>
          </cell>
        </row>
        <row r="264">
          <cell r="Z264" t="b">
            <v>0</v>
          </cell>
          <cell r="AA264" t="b">
            <v>0</v>
          </cell>
          <cell r="AB264" t="b">
            <v>0</v>
          </cell>
          <cell r="AC264" t="b">
            <v>0</v>
          </cell>
          <cell r="AD264" t="b">
            <v>0</v>
          </cell>
        </row>
        <row r="265">
          <cell r="Z265" t="b">
            <v>0</v>
          </cell>
          <cell r="AA265" t="b">
            <v>0</v>
          </cell>
          <cell r="AB265" t="b">
            <v>0</v>
          </cell>
          <cell r="AC265" t="b">
            <v>0</v>
          </cell>
          <cell r="AD265" t="b">
            <v>0</v>
          </cell>
        </row>
        <row r="266">
          <cell r="Z266" t="b">
            <v>0</v>
          </cell>
          <cell r="AA266" t="b">
            <v>0</v>
          </cell>
          <cell r="AB266" t="b">
            <v>0</v>
          </cell>
          <cell r="AC266" t="b">
            <v>0</v>
          </cell>
          <cell r="AD266" t="b">
            <v>0</v>
          </cell>
        </row>
        <row r="267">
          <cell r="Z267" t="b">
            <v>0</v>
          </cell>
          <cell r="AA267" t="b">
            <v>0</v>
          </cell>
          <cell r="AB267" t="b">
            <v>0</v>
          </cell>
          <cell r="AC267" t="b">
            <v>0</v>
          </cell>
          <cell r="AD267" t="b">
            <v>0</v>
          </cell>
        </row>
        <row r="268">
          <cell r="Z268" t="b">
            <v>0</v>
          </cell>
          <cell r="AA268" t="b">
            <v>0</v>
          </cell>
          <cell r="AB268" t="b">
            <v>0</v>
          </cell>
          <cell r="AC268" t="b">
            <v>0</v>
          </cell>
          <cell r="AD268" t="b">
            <v>0</v>
          </cell>
        </row>
        <row r="269">
          <cell r="Z269" t="b">
            <v>0</v>
          </cell>
          <cell r="AA269" t="b">
            <v>0</v>
          </cell>
          <cell r="AB269" t="b">
            <v>0</v>
          </cell>
          <cell r="AC269" t="b">
            <v>0</v>
          </cell>
          <cell r="AD269" t="b">
            <v>0</v>
          </cell>
        </row>
        <row r="270">
          <cell r="Z270" t="b">
            <v>0</v>
          </cell>
          <cell r="AA270" t="b">
            <v>0</v>
          </cell>
          <cell r="AB270" t="b">
            <v>0</v>
          </cell>
          <cell r="AC270" t="b">
            <v>0</v>
          </cell>
          <cell r="AD270" t="b">
            <v>0</v>
          </cell>
        </row>
        <row r="271">
          <cell r="Z271" t="b">
            <v>0</v>
          </cell>
          <cell r="AA271" t="b">
            <v>0</v>
          </cell>
          <cell r="AB271" t="b">
            <v>0</v>
          </cell>
          <cell r="AC271" t="b">
            <v>0</v>
          </cell>
          <cell r="AD271" t="b">
            <v>0</v>
          </cell>
        </row>
        <row r="272">
          <cell r="Z272" t="b">
            <v>0</v>
          </cell>
          <cell r="AA272" t="b">
            <v>0</v>
          </cell>
          <cell r="AB272" t="b">
            <v>0</v>
          </cell>
          <cell r="AC272" t="b">
            <v>0</v>
          </cell>
          <cell r="AD272" t="b">
            <v>0</v>
          </cell>
        </row>
        <row r="273">
          <cell r="Z273" t="b">
            <v>0</v>
          </cell>
          <cell r="AA273" t="b">
            <v>0</v>
          </cell>
          <cell r="AB273" t="b">
            <v>0</v>
          </cell>
          <cell r="AC273" t="b">
            <v>0</v>
          </cell>
          <cell r="AD273" t="b">
            <v>0</v>
          </cell>
        </row>
        <row r="274">
          <cell r="Z274" t="b">
            <v>0</v>
          </cell>
          <cell r="AA274" t="b">
            <v>0</v>
          </cell>
          <cell r="AB274" t="b">
            <v>0</v>
          </cell>
          <cell r="AC274" t="b">
            <v>0</v>
          </cell>
          <cell r="AD274" t="b">
            <v>0</v>
          </cell>
        </row>
        <row r="275">
          <cell r="Z275" t="b">
            <v>0</v>
          </cell>
          <cell r="AA275" t="b">
            <v>0</v>
          </cell>
          <cell r="AB275" t="b">
            <v>0</v>
          </cell>
          <cell r="AC275" t="b">
            <v>0</v>
          </cell>
          <cell r="AD275" t="b">
            <v>0</v>
          </cell>
        </row>
        <row r="276">
          <cell r="Z276" t="b">
            <v>0</v>
          </cell>
          <cell r="AA276" t="b">
            <v>0</v>
          </cell>
          <cell r="AB276" t="b">
            <v>0</v>
          </cell>
          <cell r="AC276" t="b">
            <v>0</v>
          </cell>
          <cell r="AD276" t="b">
            <v>0</v>
          </cell>
        </row>
        <row r="277">
          <cell r="Z277" t="b">
            <v>0</v>
          </cell>
          <cell r="AA277" t="b">
            <v>0</v>
          </cell>
          <cell r="AB277" t="b">
            <v>0</v>
          </cell>
          <cell r="AC277" t="b">
            <v>0</v>
          </cell>
          <cell r="AD277" t="b">
            <v>0</v>
          </cell>
        </row>
        <row r="278">
          <cell r="Z278" t="b">
            <v>0</v>
          </cell>
          <cell r="AA278" t="b">
            <v>0</v>
          </cell>
          <cell r="AB278" t="b">
            <v>0</v>
          </cell>
          <cell r="AC278" t="b">
            <v>0</v>
          </cell>
          <cell r="AD278" t="b">
            <v>0</v>
          </cell>
        </row>
        <row r="279">
          <cell r="Z279" t="b">
            <v>0</v>
          </cell>
          <cell r="AA279" t="b">
            <v>0</v>
          </cell>
          <cell r="AB279" t="b">
            <v>0</v>
          </cell>
          <cell r="AC279" t="b">
            <v>0</v>
          </cell>
          <cell r="AD279" t="b">
            <v>0</v>
          </cell>
        </row>
        <row r="280">
          <cell r="Z280" t="b">
            <v>0</v>
          </cell>
          <cell r="AA280" t="b">
            <v>0</v>
          </cell>
          <cell r="AB280" t="b">
            <v>0</v>
          </cell>
          <cell r="AC280" t="b">
            <v>0</v>
          </cell>
          <cell r="AD280" t="b">
            <v>0</v>
          </cell>
        </row>
        <row r="281">
          <cell r="Z281" t="b">
            <v>0</v>
          </cell>
          <cell r="AA281" t="b">
            <v>0</v>
          </cell>
          <cell r="AB281" t="b">
            <v>0</v>
          </cell>
          <cell r="AC281" t="b">
            <v>0</v>
          </cell>
          <cell r="AD281" t="b">
            <v>0</v>
          </cell>
        </row>
        <row r="282">
          <cell r="Z282" t="b">
            <v>0</v>
          </cell>
          <cell r="AA282" t="b">
            <v>0</v>
          </cell>
          <cell r="AB282" t="b">
            <v>0</v>
          </cell>
          <cell r="AC282" t="b">
            <v>0</v>
          </cell>
          <cell r="AD282" t="b">
            <v>0</v>
          </cell>
        </row>
        <row r="283">
          <cell r="Z283" t="b">
            <v>0</v>
          </cell>
          <cell r="AA283" t="b">
            <v>0</v>
          </cell>
          <cell r="AB283" t="b">
            <v>0</v>
          </cell>
          <cell r="AC283" t="b">
            <v>0</v>
          </cell>
          <cell r="AD283" t="b">
            <v>0</v>
          </cell>
        </row>
        <row r="284">
          <cell r="Z284" t="b">
            <v>0</v>
          </cell>
          <cell r="AA284" t="b">
            <v>0</v>
          </cell>
          <cell r="AB284" t="b">
            <v>0</v>
          </cell>
          <cell r="AC284" t="b">
            <v>0</v>
          </cell>
          <cell r="AD284" t="b">
            <v>0</v>
          </cell>
        </row>
        <row r="285">
          <cell r="Z285" t="b">
            <v>0</v>
          </cell>
          <cell r="AA285" t="b">
            <v>0</v>
          </cell>
          <cell r="AB285" t="b">
            <v>0</v>
          </cell>
          <cell r="AC285" t="b">
            <v>0</v>
          </cell>
          <cell r="AD285" t="b">
            <v>0</v>
          </cell>
        </row>
        <row r="286">
          <cell r="Z286" t="b">
            <v>0</v>
          </cell>
          <cell r="AA286" t="b">
            <v>0</v>
          </cell>
          <cell r="AB286" t="b">
            <v>0</v>
          </cell>
          <cell r="AC286" t="b">
            <v>0</v>
          </cell>
          <cell r="AD286" t="b">
            <v>0</v>
          </cell>
        </row>
        <row r="287">
          <cell r="Z287" t="b">
            <v>0</v>
          </cell>
          <cell r="AA287" t="b">
            <v>0</v>
          </cell>
          <cell r="AB287" t="b">
            <v>0</v>
          </cell>
          <cell r="AC287" t="b">
            <v>0</v>
          </cell>
          <cell r="AD287" t="b">
            <v>0</v>
          </cell>
        </row>
        <row r="288">
          <cell r="Z288" t="b">
            <v>0</v>
          </cell>
          <cell r="AA288" t="b">
            <v>0</v>
          </cell>
          <cell r="AB288" t="b">
            <v>0</v>
          </cell>
          <cell r="AC288" t="b">
            <v>0</v>
          </cell>
          <cell r="AD288" t="b">
            <v>0</v>
          </cell>
        </row>
        <row r="289">
          <cell r="Z289" t="b">
            <v>0</v>
          </cell>
          <cell r="AA289" t="b">
            <v>0</v>
          </cell>
          <cell r="AB289" t="b">
            <v>0</v>
          </cell>
          <cell r="AC289" t="b">
            <v>0</v>
          </cell>
          <cell r="AD289" t="b">
            <v>0</v>
          </cell>
        </row>
        <row r="290">
          <cell r="Z290" t="b">
            <v>0</v>
          </cell>
          <cell r="AA290" t="b">
            <v>0</v>
          </cell>
          <cell r="AB290" t="b">
            <v>0</v>
          </cell>
          <cell r="AC290" t="b">
            <v>0</v>
          </cell>
          <cell r="AD290" t="b">
            <v>0</v>
          </cell>
        </row>
        <row r="291">
          <cell r="Z291" t="b">
            <v>0</v>
          </cell>
          <cell r="AA291" t="b">
            <v>0</v>
          </cell>
          <cell r="AB291" t="b">
            <v>0</v>
          </cell>
          <cell r="AC291" t="b">
            <v>0</v>
          </cell>
          <cell r="AD291" t="b">
            <v>0</v>
          </cell>
        </row>
        <row r="292">
          <cell r="Z292" t="b">
            <v>0</v>
          </cell>
          <cell r="AA292" t="b">
            <v>0</v>
          </cell>
          <cell r="AB292" t="b">
            <v>0</v>
          </cell>
          <cell r="AC292" t="b">
            <v>0</v>
          </cell>
          <cell r="AD292" t="b">
            <v>0</v>
          </cell>
        </row>
        <row r="293">
          <cell r="Z293" t="b">
            <v>0</v>
          </cell>
          <cell r="AA293" t="b">
            <v>0</v>
          </cell>
          <cell r="AB293" t="b">
            <v>0</v>
          </cell>
          <cell r="AC293" t="b">
            <v>0</v>
          </cell>
          <cell r="AD293" t="b">
            <v>0</v>
          </cell>
        </row>
        <row r="294">
          <cell r="Z294" t="b">
            <v>0</v>
          </cell>
          <cell r="AA294" t="b">
            <v>0</v>
          </cell>
          <cell r="AB294" t="b">
            <v>0</v>
          </cell>
          <cell r="AC294" t="b">
            <v>0</v>
          </cell>
          <cell r="AD294" t="b">
            <v>0</v>
          </cell>
        </row>
        <row r="295">
          <cell r="Z295" t="b">
            <v>0</v>
          </cell>
          <cell r="AA295" t="b">
            <v>0</v>
          </cell>
          <cell r="AB295" t="b">
            <v>0</v>
          </cell>
          <cell r="AC295" t="b">
            <v>0</v>
          </cell>
          <cell r="AD295" t="b">
            <v>0</v>
          </cell>
        </row>
        <row r="296">
          <cell r="Z296" t="b">
            <v>0</v>
          </cell>
          <cell r="AA296" t="b">
            <v>0</v>
          </cell>
          <cell r="AB296" t="b">
            <v>0</v>
          </cell>
          <cell r="AC296" t="b">
            <v>0</v>
          </cell>
          <cell r="AD296" t="b">
            <v>0</v>
          </cell>
        </row>
        <row r="297">
          <cell r="Z297" t="b">
            <v>0</v>
          </cell>
          <cell r="AA297" t="b">
            <v>0</v>
          </cell>
          <cell r="AB297" t="b">
            <v>0</v>
          </cell>
          <cell r="AC297" t="b">
            <v>0</v>
          </cell>
          <cell r="AD297" t="b">
            <v>0</v>
          </cell>
        </row>
        <row r="298">
          <cell r="Z298" t="b">
            <v>0</v>
          </cell>
          <cell r="AA298" t="b">
            <v>0</v>
          </cell>
          <cell r="AB298" t="b">
            <v>0</v>
          </cell>
          <cell r="AC298" t="b">
            <v>0</v>
          </cell>
          <cell r="AD298" t="b">
            <v>0</v>
          </cell>
        </row>
        <row r="299">
          <cell r="Z299" t="b">
            <v>0</v>
          </cell>
          <cell r="AA299" t="b">
            <v>0</v>
          </cell>
          <cell r="AB299" t="b">
            <v>0</v>
          </cell>
          <cell r="AC299" t="b">
            <v>0</v>
          </cell>
          <cell r="AD299" t="b">
            <v>0</v>
          </cell>
        </row>
        <row r="300">
          <cell r="Z300" t="b">
            <v>0</v>
          </cell>
          <cell r="AA300" t="b">
            <v>0</v>
          </cell>
          <cell r="AB300" t="b">
            <v>0</v>
          </cell>
          <cell r="AC300" t="b">
            <v>0</v>
          </cell>
          <cell r="AD300" t="b">
            <v>0</v>
          </cell>
        </row>
        <row r="301">
          <cell r="Z301" t="b">
            <v>0</v>
          </cell>
          <cell r="AA301" t="b">
            <v>0</v>
          </cell>
          <cell r="AB301" t="b">
            <v>0</v>
          </cell>
          <cell r="AC301" t="b">
            <v>0</v>
          </cell>
          <cell r="AD301" t="b">
            <v>0</v>
          </cell>
        </row>
        <row r="302">
          <cell r="Z302" t="b">
            <v>0</v>
          </cell>
          <cell r="AA302" t="b">
            <v>0</v>
          </cell>
          <cell r="AB302" t="b">
            <v>0</v>
          </cell>
          <cell r="AC302" t="b">
            <v>0</v>
          </cell>
          <cell r="AD302" t="b">
            <v>0</v>
          </cell>
        </row>
        <row r="303">
          <cell r="Z303" t="b">
            <v>0</v>
          </cell>
          <cell r="AA303" t="b">
            <v>0</v>
          </cell>
          <cell r="AB303" t="b">
            <v>0</v>
          </cell>
          <cell r="AC303" t="b">
            <v>0</v>
          </cell>
          <cell r="AD303" t="b">
            <v>0</v>
          </cell>
        </row>
        <row r="304">
          <cell r="Z304" t="b">
            <v>0</v>
          </cell>
          <cell r="AA304" t="b">
            <v>0</v>
          </cell>
          <cell r="AB304" t="b">
            <v>0</v>
          </cell>
          <cell r="AC304" t="b">
            <v>0</v>
          </cell>
          <cell r="AD304" t="b">
            <v>0</v>
          </cell>
        </row>
        <row r="305">
          <cell r="Z305" t="b">
            <v>0</v>
          </cell>
          <cell r="AA305" t="b">
            <v>0</v>
          </cell>
          <cell r="AB305" t="b">
            <v>0</v>
          </cell>
          <cell r="AC305" t="b">
            <v>0</v>
          </cell>
          <cell r="AD305" t="b">
            <v>0</v>
          </cell>
        </row>
        <row r="306">
          <cell r="Z306" t="b">
            <v>0</v>
          </cell>
          <cell r="AA306" t="b">
            <v>0</v>
          </cell>
          <cell r="AB306" t="b">
            <v>0</v>
          </cell>
          <cell r="AC306" t="b">
            <v>0</v>
          </cell>
          <cell r="AD306" t="b">
            <v>0</v>
          </cell>
        </row>
        <row r="307">
          <cell r="Z307" t="b">
            <v>0</v>
          </cell>
          <cell r="AA307" t="b">
            <v>0</v>
          </cell>
          <cell r="AB307" t="b">
            <v>0</v>
          </cell>
          <cell r="AC307" t="b">
            <v>0</v>
          </cell>
          <cell r="AD307" t="b">
            <v>0</v>
          </cell>
        </row>
        <row r="308">
          <cell r="Z308" t="b">
            <v>0</v>
          </cell>
          <cell r="AA308" t="b">
            <v>0</v>
          </cell>
          <cell r="AB308" t="b">
            <v>0</v>
          </cell>
          <cell r="AC308" t="b">
            <v>0</v>
          </cell>
          <cell r="AD308" t="b">
            <v>0</v>
          </cell>
        </row>
        <row r="309">
          <cell r="Z309" t="b">
            <v>0</v>
          </cell>
          <cell r="AA309" t="b">
            <v>0</v>
          </cell>
          <cell r="AB309" t="b">
            <v>0</v>
          </cell>
          <cell r="AC309" t="b">
            <v>0</v>
          </cell>
          <cell r="AD309" t="b">
            <v>0</v>
          </cell>
        </row>
        <row r="310">
          <cell r="Z310" t="b">
            <v>0</v>
          </cell>
          <cell r="AA310" t="b">
            <v>0</v>
          </cell>
          <cell r="AB310" t="b">
            <v>0</v>
          </cell>
          <cell r="AC310" t="b">
            <v>0</v>
          </cell>
          <cell r="AD310" t="b">
            <v>0</v>
          </cell>
        </row>
        <row r="311">
          <cell r="Z311" t="b">
            <v>0</v>
          </cell>
          <cell r="AA311" t="b">
            <v>0</v>
          </cell>
          <cell r="AB311" t="b">
            <v>0</v>
          </cell>
          <cell r="AC311" t="b">
            <v>0</v>
          </cell>
          <cell r="AD311" t="b">
            <v>0</v>
          </cell>
        </row>
        <row r="312">
          <cell r="Z312" t="b">
            <v>0</v>
          </cell>
          <cell r="AA312" t="b">
            <v>0</v>
          </cell>
          <cell r="AB312" t="b">
            <v>0</v>
          </cell>
          <cell r="AC312" t="b">
            <v>0</v>
          </cell>
          <cell r="AD312" t="b">
            <v>0</v>
          </cell>
        </row>
        <row r="313">
          <cell r="Z313" t="b">
            <v>0</v>
          </cell>
          <cell r="AA313" t="b">
            <v>0</v>
          </cell>
          <cell r="AB313" t="b">
            <v>0</v>
          </cell>
          <cell r="AC313" t="b">
            <v>0</v>
          </cell>
          <cell r="AD313" t="b">
            <v>0</v>
          </cell>
        </row>
        <row r="314">
          <cell r="Z314" t="b">
            <v>0</v>
          </cell>
          <cell r="AA314" t="b">
            <v>0</v>
          </cell>
          <cell r="AB314" t="b">
            <v>0</v>
          </cell>
          <cell r="AC314" t="b">
            <v>0</v>
          </cell>
          <cell r="AD314" t="b">
            <v>0</v>
          </cell>
        </row>
        <row r="315">
          <cell r="Z315" t="b">
            <v>0</v>
          </cell>
          <cell r="AA315" t="b">
            <v>0</v>
          </cell>
          <cell r="AB315" t="b">
            <v>0</v>
          </cell>
          <cell r="AC315" t="b">
            <v>0</v>
          </cell>
          <cell r="AD315" t="b">
            <v>0</v>
          </cell>
        </row>
        <row r="316">
          <cell r="Z316" t="b">
            <v>0</v>
          </cell>
          <cell r="AA316" t="b">
            <v>0</v>
          </cell>
          <cell r="AB316" t="b">
            <v>0</v>
          </cell>
          <cell r="AC316" t="b">
            <v>0</v>
          </cell>
          <cell r="AD316" t="b">
            <v>0</v>
          </cell>
        </row>
        <row r="317">
          <cell r="Z317" t="b">
            <v>0</v>
          </cell>
          <cell r="AA317" t="b">
            <v>0</v>
          </cell>
          <cell r="AB317" t="b">
            <v>0</v>
          </cell>
          <cell r="AC317" t="b">
            <v>0</v>
          </cell>
          <cell r="AD317" t="b">
            <v>0</v>
          </cell>
        </row>
        <row r="318">
          <cell r="Z318" t="b">
            <v>0</v>
          </cell>
          <cell r="AA318" t="b">
            <v>0</v>
          </cell>
          <cell r="AB318" t="b">
            <v>0</v>
          </cell>
          <cell r="AC318" t="b">
            <v>0</v>
          </cell>
          <cell r="AD318" t="b">
            <v>0</v>
          </cell>
        </row>
        <row r="319">
          <cell r="Z319" t="b">
            <v>0</v>
          </cell>
          <cell r="AA319" t="b">
            <v>0</v>
          </cell>
          <cell r="AB319" t="b">
            <v>0</v>
          </cell>
          <cell r="AC319" t="b">
            <v>0</v>
          </cell>
          <cell r="AD319" t="b">
            <v>0</v>
          </cell>
        </row>
        <row r="320">
          <cell r="Z320" t="b">
            <v>0</v>
          </cell>
          <cell r="AA320" t="b">
            <v>0</v>
          </cell>
          <cell r="AB320" t="b">
            <v>0</v>
          </cell>
          <cell r="AC320" t="b">
            <v>0</v>
          </cell>
          <cell r="AD320" t="b">
            <v>0</v>
          </cell>
        </row>
        <row r="321">
          <cell r="Z321" t="b">
            <v>0</v>
          </cell>
          <cell r="AA321" t="b">
            <v>0</v>
          </cell>
          <cell r="AB321" t="b">
            <v>0</v>
          </cell>
          <cell r="AC321" t="b">
            <v>0</v>
          </cell>
          <cell r="AD321" t="b">
            <v>0</v>
          </cell>
        </row>
        <row r="322">
          <cell r="Z322" t="b">
            <v>0</v>
          </cell>
          <cell r="AA322" t="b">
            <v>0</v>
          </cell>
          <cell r="AB322" t="b">
            <v>0</v>
          </cell>
          <cell r="AC322" t="b">
            <v>0</v>
          </cell>
          <cell r="AD322" t="b">
            <v>0</v>
          </cell>
        </row>
        <row r="323">
          <cell r="Z323" t="b">
            <v>0</v>
          </cell>
          <cell r="AA323" t="b">
            <v>0</v>
          </cell>
          <cell r="AB323" t="b">
            <v>0</v>
          </cell>
          <cell r="AC323" t="b">
            <v>0</v>
          </cell>
          <cell r="AD323" t="b">
            <v>0</v>
          </cell>
        </row>
        <row r="324">
          <cell r="Z324" t="b">
            <v>0</v>
          </cell>
          <cell r="AA324" t="b">
            <v>0</v>
          </cell>
          <cell r="AB324" t="b">
            <v>0</v>
          </cell>
          <cell r="AC324" t="b">
            <v>0</v>
          </cell>
          <cell r="AD324" t="b">
            <v>0</v>
          </cell>
        </row>
        <row r="325">
          <cell r="Z325" t="b">
            <v>0</v>
          </cell>
          <cell r="AA325" t="b">
            <v>0</v>
          </cell>
          <cell r="AB325" t="b">
            <v>0</v>
          </cell>
          <cell r="AC325" t="b">
            <v>0</v>
          </cell>
          <cell r="AD325" t="b">
            <v>0</v>
          </cell>
        </row>
        <row r="326">
          <cell r="Z326" t="b">
            <v>0</v>
          </cell>
          <cell r="AA326" t="b">
            <v>0</v>
          </cell>
          <cell r="AB326" t="b">
            <v>0</v>
          </cell>
          <cell r="AC326" t="b">
            <v>0</v>
          </cell>
          <cell r="AD326" t="b">
            <v>0</v>
          </cell>
        </row>
        <row r="327">
          <cell r="Z327" t="b">
            <v>0</v>
          </cell>
          <cell r="AA327" t="b">
            <v>0</v>
          </cell>
          <cell r="AB327" t="b">
            <v>0</v>
          </cell>
          <cell r="AC327" t="b">
            <v>0</v>
          </cell>
          <cell r="AD327" t="b">
            <v>0</v>
          </cell>
        </row>
        <row r="328">
          <cell r="Z328" t="b">
            <v>0</v>
          </cell>
          <cell r="AA328" t="b">
            <v>0</v>
          </cell>
          <cell r="AB328" t="b">
            <v>0</v>
          </cell>
          <cell r="AC328" t="b">
            <v>0</v>
          </cell>
          <cell r="AD328" t="b">
            <v>0</v>
          </cell>
        </row>
        <row r="329">
          <cell r="Z329" t="b">
            <v>0</v>
          </cell>
          <cell r="AA329" t="b">
            <v>0</v>
          </cell>
          <cell r="AB329" t="b">
            <v>0</v>
          </cell>
          <cell r="AC329" t="b">
            <v>0</v>
          </cell>
          <cell r="AD329" t="b">
            <v>0</v>
          </cell>
        </row>
        <row r="330">
          <cell r="Z330" t="b">
            <v>0</v>
          </cell>
          <cell r="AA330" t="b">
            <v>0</v>
          </cell>
          <cell r="AB330" t="b">
            <v>0</v>
          </cell>
          <cell r="AC330" t="b">
            <v>0</v>
          </cell>
          <cell r="AD330" t="b">
            <v>0</v>
          </cell>
        </row>
        <row r="331">
          <cell r="Z331" t="b">
            <v>0</v>
          </cell>
          <cell r="AA331" t="b">
            <v>0</v>
          </cell>
          <cell r="AB331" t="b">
            <v>0</v>
          </cell>
          <cell r="AC331" t="b">
            <v>0</v>
          </cell>
          <cell r="AD331" t="b">
            <v>0</v>
          </cell>
        </row>
        <row r="332">
          <cell r="Z332" t="b">
            <v>0</v>
          </cell>
          <cell r="AA332" t="b">
            <v>0</v>
          </cell>
          <cell r="AB332" t="b">
            <v>0</v>
          </cell>
          <cell r="AC332" t="b">
            <v>0</v>
          </cell>
          <cell r="AD332" t="b">
            <v>0</v>
          </cell>
        </row>
        <row r="333">
          <cell r="Z333" t="b">
            <v>0</v>
          </cell>
          <cell r="AA333" t="b">
            <v>0</v>
          </cell>
          <cell r="AB333" t="b">
            <v>0</v>
          </cell>
          <cell r="AC333" t="b">
            <v>0</v>
          </cell>
          <cell r="AD333" t="b">
            <v>0</v>
          </cell>
        </row>
        <row r="334">
          <cell r="Z334" t="b">
            <v>0</v>
          </cell>
          <cell r="AA334" t="b">
            <v>0</v>
          </cell>
          <cell r="AB334" t="b">
            <v>0</v>
          </cell>
          <cell r="AC334" t="b">
            <v>0</v>
          </cell>
          <cell r="AD334" t="b">
            <v>0</v>
          </cell>
        </row>
        <row r="335">
          <cell r="Z335" t="b">
            <v>0</v>
          </cell>
          <cell r="AA335" t="b">
            <v>0</v>
          </cell>
          <cell r="AB335" t="b">
            <v>0</v>
          </cell>
          <cell r="AC335" t="b">
            <v>0</v>
          </cell>
          <cell r="AD335" t="b">
            <v>0</v>
          </cell>
        </row>
        <row r="336">
          <cell r="Z336" t="b">
            <v>0</v>
          </cell>
          <cell r="AA336" t="b">
            <v>0</v>
          </cell>
          <cell r="AB336" t="b">
            <v>0</v>
          </cell>
          <cell r="AC336" t="b">
            <v>0</v>
          </cell>
          <cell r="AD336" t="b">
            <v>0</v>
          </cell>
        </row>
        <row r="337">
          <cell r="Z337" t="b">
            <v>0</v>
          </cell>
          <cell r="AA337" t="b">
            <v>0</v>
          </cell>
          <cell r="AB337" t="b">
            <v>0</v>
          </cell>
          <cell r="AC337" t="b">
            <v>0</v>
          </cell>
          <cell r="AD337" t="b">
            <v>0</v>
          </cell>
        </row>
        <row r="338">
          <cell r="Z338" t="b">
            <v>0</v>
          </cell>
          <cell r="AA338" t="b">
            <v>0</v>
          </cell>
          <cell r="AB338" t="b">
            <v>0</v>
          </cell>
          <cell r="AC338" t="b">
            <v>0</v>
          </cell>
          <cell r="AD338" t="b">
            <v>0</v>
          </cell>
        </row>
        <row r="339">
          <cell r="Z339" t="b">
            <v>0</v>
          </cell>
          <cell r="AA339" t="b">
            <v>0</v>
          </cell>
          <cell r="AB339" t="b">
            <v>0</v>
          </cell>
          <cell r="AC339" t="b">
            <v>0</v>
          </cell>
          <cell r="AD339" t="b">
            <v>0</v>
          </cell>
        </row>
        <row r="340">
          <cell r="Z340" t="b">
            <v>0</v>
          </cell>
          <cell r="AA340" t="b">
            <v>0</v>
          </cell>
          <cell r="AB340" t="b">
            <v>0</v>
          </cell>
          <cell r="AC340" t="b">
            <v>0</v>
          </cell>
          <cell r="AD340" t="b">
            <v>0</v>
          </cell>
        </row>
        <row r="341">
          <cell r="Z341" t="b">
            <v>0</v>
          </cell>
          <cell r="AA341" t="b">
            <v>0</v>
          </cell>
          <cell r="AB341" t="b">
            <v>0</v>
          </cell>
          <cell r="AC341" t="b">
            <v>0</v>
          </cell>
          <cell r="AD341" t="b">
            <v>0</v>
          </cell>
        </row>
        <row r="342">
          <cell r="Z342" t="b">
            <v>0</v>
          </cell>
          <cell r="AA342" t="b">
            <v>0</v>
          </cell>
          <cell r="AB342" t="b">
            <v>0</v>
          </cell>
          <cell r="AC342" t="b">
            <v>0</v>
          </cell>
          <cell r="AD342" t="b">
            <v>0</v>
          </cell>
        </row>
        <row r="343">
          <cell r="Z343" t="b">
            <v>0</v>
          </cell>
          <cell r="AA343" t="b">
            <v>0</v>
          </cell>
          <cell r="AB343" t="b">
            <v>0</v>
          </cell>
          <cell r="AC343" t="b">
            <v>0</v>
          </cell>
          <cell r="AD343" t="b">
            <v>0</v>
          </cell>
        </row>
        <row r="344">
          <cell r="Z344" t="b">
            <v>0</v>
          </cell>
          <cell r="AA344" t="b">
            <v>0</v>
          </cell>
          <cell r="AB344" t="b">
            <v>0</v>
          </cell>
          <cell r="AC344" t="b">
            <v>0</v>
          </cell>
          <cell r="AD344" t="b">
            <v>0</v>
          </cell>
        </row>
        <row r="345">
          <cell r="Z345" t="b">
            <v>0</v>
          </cell>
          <cell r="AA345" t="b">
            <v>0</v>
          </cell>
          <cell r="AB345" t="b">
            <v>0</v>
          </cell>
          <cell r="AC345" t="b">
            <v>0</v>
          </cell>
          <cell r="AD345" t="b">
            <v>0</v>
          </cell>
        </row>
        <row r="346">
          <cell r="Z346" t="b">
            <v>0</v>
          </cell>
          <cell r="AA346" t="b">
            <v>0</v>
          </cell>
          <cell r="AB346" t="b">
            <v>0</v>
          </cell>
          <cell r="AC346" t="b">
            <v>0</v>
          </cell>
          <cell r="AD346" t="b">
            <v>0</v>
          </cell>
        </row>
        <row r="347">
          <cell r="Z347" t="b">
            <v>0</v>
          </cell>
          <cell r="AA347" t="b">
            <v>0</v>
          </cell>
          <cell r="AB347" t="b">
            <v>0</v>
          </cell>
          <cell r="AC347" t="b">
            <v>0</v>
          </cell>
          <cell r="AD347" t="b">
            <v>0</v>
          </cell>
        </row>
        <row r="348">
          <cell r="Z348" t="b">
            <v>0</v>
          </cell>
          <cell r="AA348" t="b">
            <v>0</v>
          </cell>
          <cell r="AB348" t="b">
            <v>0</v>
          </cell>
          <cell r="AC348" t="b">
            <v>0</v>
          </cell>
          <cell r="AD348" t="b">
            <v>0</v>
          </cell>
        </row>
        <row r="349">
          <cell r="Z349" t="b">
            <v>0</v>
          </cell>
          <cell r="AA349" t="b">
            <v>0</v>
          </cell>
          <cell r="AB349" t="b">
            <v>0</v>
          </cell>
          <cell r="AC349" t="b">
            <v>0</v>
          </cell>
          <cell r="AD349" t="b">
            <v>0</v>
          </cell>
        </row>
        <row r="350">
          <cell r="Z350" t="b">
            <v>0</v>
          </cell>
          <cell r="AA350" t="b">
            <v>0</v>
          </cell>
          <cell r="AB350" t="b">
            <v>0</v>
          </cell>
          <cell r="AC350" t="b">
            <v>0</v>
          </cell>
          <cell r="AD350" t="b">
            <v>0</v>
          </cell>
        </row>
        <row r="351">
          <cell r="Z351" t="b">
            <v>0</v>
          </cell>
          <cell r="AA351" t="b">
            <v>0</v>
          </cell>
          <cell r="AB351" t="b">
            <v>0</v>
          </cell>
          <cell r="AC351" t="b">
            <v>0</v>
          </cell>
          <cell r="AD351" t="b">
            <v>0</v>
          </cell>
        </row>
        <row r="352">
          <cell r="Z352" t="b">
            <v>0</v>
          </cell>
          <cell r="AA352" t="b">
            <v>0</v>
          </cell>
          <cell r="AB352" t="b">
            <v>0</v>
          </cell>
          <cell r="AC352" t="b">
            <v>0</v>
          </cell>
          <cell r="AD352" t="b">
            <v>0</v>
          </cell>
        </row>
        <row r="353">
          <cell r="Z353" t="b">
            <v>0</v>
          </cell>
          <cell r="AA353" t="b">
            <v>0</v>
          </cell>
          <cell r="AB353" t="b">
            <v>0</v>
          </cell>
          <cell r="AC353" t="b">
            <v>0</v>
          </cell>
          <cell r="AD353" t="b">
            <v>0</v>
          </cell>
        </row>
        <row r="354">
          <cell r="Z354" t="b">
            <v>0</v>
          </cell>
          <cell r="AA354" t="b">
            <v>0</v>
          </cell>
          <cell r="AB354" t="b">
            <v>0</v>
          </cell>
          <cell r="AC354" t="b">
            <v>0</v>
          </cell>
          <cell r="AD354" t="b">
            <v>0</v>
          </cell>
        </row>
        <row r="355">
          <cell r="Z355" t="b">
            <v>0</v>
          </cell>
          <cell r="AA355" t="b">
            <v>0</v>
          </cell>
          <cell r="AB355" t="b">
            <v>0</v>
          </cell>
          <cell r="AC355" t="b">
            <v>0</v>
          </cell>
          <cell r="AD355" t="b">
            <v>0</v>
          </cell>
        </row>
        <row r="356">
          <cell r="Z356" t="b">
            <v>0</v>
          </cell>
          <cell r="AA356" t="b">
            <v>0</v>
          </cell>
          <cell r="AB356" t="b">
            <v>0</v>
          </cell>
          <cell r="AC356" t="b">
            <v>0</v>
          </cell>
          <cell r="AD356" t="b">
            <v>0</v>
          </cell>
        </row>
        <row r="357">
          <cell r="Z357" t="b">
            <v>0</v>
          </cell>
          <cell r="AA357" t="b">
            <v>0</v>
          </cell>
          <cell r="AB357" t="b">
            <v>0</v>
          </cell>
          <cell r="AC357" t="b">
            <v>0</v>
          </cell>
          <cell r="AD357" t="b">
            <v>0</v>
          </cell>
        </row>
        <row r="358">
          <cell r="Z358" t="b">
            <v>0</v>
          </cell>
          <cell r="AA358" t="b">
            <v>0</v>
          </cell>
          <cell r="AB358" t="b">
            <v>0</v>
          </cell>
          <cell r="AC358" t="b">
            <v>0</v>
          </cell>
          <cell r="AD358" t="b">
            <v>0</v>
          </cell>
        </row>
        <row r="359">
          <cell r="Z359" t="b">
            <v>0</v>
          </cell>
          <cell r="AA359" t="b">
            <v>0</v>
          </cell>
          <cell r="AB359" t="b">
            <v>0</v>
          </cell>
          <cell r="AC359" t="b">
            <v>0</v>
          </cell>
          <cell r="AD359" t="b">
            <v>0</v>
          </cell>
        </row>
        <row r="360">
          <cell r="Z360" t="b">
            <v>0</v>
          </cell>
          <cell r="AA360" t="b">
            <v>0</v>
          </cell>
          <cell r="AB360" t="b">
            <v>0</v>
          </cell>
          <cell r="AC360" t="b">
            <v>0</v>
          </cell>
          <cell r="AD360" t="b">
            <v>0</v>
          </cell>
        </row>
        <row r="361">
          <cell r="Z361" t="b">
            <v>0</v>
          </cell>
          <cell r="AA361" t="b">
            <v>0</v>
          </cell>
          <cell r="AB361" t="b">
            <v>0</v>
          </cell>
          <cell r="AC361" t="b">
            <v>0</v>
          </cell>
          <cell r="AD361" t="b">
            <v>0</v>
          </cell>
        </row>
        <row r="362">
          <cell r="Z362" t="b">
            <v>0</v>
          </cell>
          <cell r="AA362" t="b">
            <v>0</v>
          </cell>
          <cell r="AB362" t="b">
            <v>0</v>
          </cell>
          <cell r="AC362" t="b">
            <v>0</v>
          </cell>
          <cell r="AD362" t="b">
            <v>0</v>
          </cell>
        </row>
        <row r="363">
          <cell r="Z363" t="b">
            <v>0</v>
          </cell>
          <cell r="AA363" t="b">
            <v>0</v>
          </cell>
          <cell r="AB363" t="b">
            <v>0</v>
          </cell>
          <cell r="AC363" t="b">
            <v>0</v>
          </cell>
          <cell r="AD363" t="b">
            <v>0</v>
          </cell>
        </row>
        <row r="364">
          <cell r="Z364" t="b">
            <v>0</v>
          </cell>
          <cell r="AA364" t="b">
            <v>0</v>
          </cell>
          <cell r="AB364" t="b">
            <v>0</v>
          </cell>
          <cell r="AC364" t="b">
            <v>0</v>
          </cell>
          <cell r="AD364" t="b">
            <v>0</v>
          </cell>
        </row>
        <row r="365">
          <cell r="Z365" t="b">
            <v>0</v>
          </cell>
          <cell r="AA365" t="b">
            <v>0</v>
          </cell>
          <cell r="AB365" t="b">
            <v>0</v>
          </cell>
          <cell r="AC365" t="b">
            <v>0</v>
          </cell>
          <cell r="AD365" t="b">
            <v>0</v>
          </cell>
        </row>
        <row r="366">
          <cell r="Z366" t="b">
            <v>0</v>
          </cell>
          <cell r="AA366" t="b">
            <v>0</v>
          </cell>
          <cell r="AB366" t="b">
            <v>0</v>
          </cell>
          <cell r="AC366" t="b">
            <v>0</v>
          </cell>
          <cell r="AD366" t="b">
            <v>0</v>
          </cell>
        </row>
        <row r="367">
          <cell r="Z367" t="b">
            <v>0</v>
          </cell>
          <cell r="AA367" t="b">
            <v>0</v>
          </cell>
          <cell r="AB367" t="b">
            <v>0</v>
          </cell>
          <cell r="AC367" t="b">
            <v>0</v>
          </cell>
          <cell r="AD367" t="b">
            <v>0</v>
          </cell>
        </row>
        <row r="368">
          <cell r="Z368" t="b">
            <v>0</v>
          </cell>
          <cell r="AA368" t="b">
            <v>0</v>
          </cell>
          <cell r="AB368" t="b">
            <v>0</v>
          </cell>
          <cell r="AC368" t="b">
            <v>0</v>
          </cell>
          <cell r="AD368" t="b">
            <v>0</v>
          </cell>
        </row>
        <row r="369">
          <cell r="Z369" t="b">
            <v>0</v>
          </cell>
          <cell r="AA369" t="b">
            <v>0</v>
          </cell>
          <cell r="AB369" t="b">
            <v>0</v>
          </cell>
          <cell r="AC369" t="b">
            <v>0</v>
          </cell>
          <cell r="AD369" t="b">
            <v>0</v>
          </cell>
        </row>
        <row r="370">
          <cell r="Z370" t="b">
            <v>0</v>
          </cell>
          <cell r="AA370" t="b">
            <v>0</v>
          </cell>
          <cell r="AB370" t="b">
            <v>0</v>
          </cell>
          <cell r="AC370" t="b">
            <v>0</v>
          </cell>
          <cell r="AD370" t="b">
            <v>0</v>
          </cell>
        </row>
        <row r="371">
          <cell r="Z371" t="b">
            <v>0</v>
          </cell>
          <cell r="AA371" t="b">
            <v>0</v>
          </cell>
          <cell r="AB371" t="b">
            <v>0</v>
          </cell>
          <cell r="AC371" t="b">
            <v>0</v>
          </cell>
          <cell r="AD371" t="b">
            <v>0</v>
          </cell>
        </row>
        <row r="372">
          <cell r="Z372" t="b">
            <v>0</v>
          </cell>
          <cell r="AA372" t="b">
            <v>0</v>
          </cell>
          <cell r="AB372" t="b">
            <v>0</v>
          </cell>
          <cell r="AC372" t="b">
            <v>0</v>
          </cell>
          <cell r="AD372" t="b">
            <v>0</v>
          </cell>
        </row>
        <row r="373">
          <cell r="Z373" t="b">
            <v>0</v>
          </cell>
          <cell r="AA373" t="b">
            <v>0</v>
          </cell>
          <cell r="AB373" t="b">
            <v>0</v>
          </cell>
          <cell r="AC373" t="b">
            <v>0</v>
          </cell>
          <cell r="AD373" t="b">
            <v>0</v>
          </cell>
        </row>
        <row r="374">
          <cell r="Z374" t="b">
            <v>0</v>
          </cell>
          <cell r="AA374" t="b">
            <v>0</v>
          </cell>
          <cell r="AB374" t="b">
            <v>0</v>
          </cell>
          <cell r="AC374" t="b">
            <v>0</v>
          </cell>
          <cell r="AD374" t="b">
            <v>0</v>
          </cell>
        </row>
        <row r="375">
          <cell r="Z375" t="b">
            <v>0</v>
          </cell>
          <cell r="AA375" t="b">
            <v>0</v>
          </cell>
          <cell r="AB375" t="b">
            <v>0</v>
          </cell>
          <cell r="AC375" t="b">
            <v>0</v>
          </cell>
          <cell r="AD375" t="b">
            <v>0</v>
          </cell>
        </row>
        <row r="376">
          <cell r="Z376" t="b">
            <v>0</v>
          </cell>
          <cell r="AA376" t="b">
            <v>0</v>
          </cell>
          <cell r="AB376" t="b">
            <v>0</v>
          </cell>
          <cell r="AC376" t="b">
            <v>0</v>
          </cell>
          <cell r="AD376" t="b">
            <v>0</v>
          </cell>
        </row>
        <row r="377">
          <cell r="Z377" t="b">
            <v>0</v>
          </cell>
          <cell r="AA377" t="b">
            <v>0</v>
          </cell>
          <cell r="AB377" t="b">
            <v>0</v>
          </cell>
          <cell r="AC377" t="b">
            <v>0</v>
          </cell>
          <cell r="AD377" t="b">
            <v>0</v>
          </cell>
        </row>
        <row r="378">
          <cell r="Z378" t="b">
            <v>0</v>
          </cell>
          <cell r="AA378" t="b">
            <v>0</v>
          </cell>
          <cell r="AB378" t="b">
            <v>0</v>
          </cell>
          <cell r="AC378" t="b">
            <v>0</v>
          </cell>
          <cell r="AD378" t="b">
            <v>0</v>
          </cell>
        </row>
        <row r="379">
          <cell r="Z379" t="b">
            <v>0</v>
          </cell>
          <cell r="AA379" t="b">
            <v>0</v>
          </cell>
          <cell r="AB379" t="b">
            <v>0</v>
          </cell>
          <cell r="AC379" t="b">
            <v>0</v>
          </cell>
          <cell r="AD379" t="b">
            <v>0</v>
          </cell>
        </row>
        <row r="380">
          <cell r="Z380" t="b">
            <v>0</v>
          </cell>
          <cell r="AA380" t="b">
            <v>0</v>
          </cell>
          <cell r="AB380" t="b">
            <v>0</v>
          </cell>
          <cell r="AC380" t="b">
            <v>0</v>
          </cell>
          <cell r="AD380" t="b">
            <v>0</v>
          </cell>
        </row>
        <row r="381">
          <cell r="Z381" t="b">
            <v>0</v>
          </cell>
          <cell r="AA381" t="b">
            <v>0</v>
          </cell>
          <cell r="AB381" t="b">
            <v>0</v>
          </cell>
          <cell r="AC381" t="b">
            <v>0</v>
          </cell>
          <cell r="AD381" t="b">
            <v>0</v>
          </cell>
        </row>
        <row r="382">
          <cell r="Z382" t="b">
            <v>0</v>
          </cell>
          <cell r="AA382" t="b">
            <v>0</v>
          </cell>
          <cell r="AB382" t="b">
            <v>0</v>
          </cell>
          <cell r="AC382" t="b">
            <v>0</v>
          </cell>
          <cell r="AD382" t="b">
            <v>0</v>
          </cell>
        </row>
        <row r="383">
          <cell r="Z383" t="b">
            <v>0</v>
          </cell>
          <cell r="AA383" t="b">
            <v>0</v>
          </cell>
          <cell r="AB383" t="b">
            <v>0</v>
          </cell>
          <cell r="AC383" t="b">
            <v>0</v>
          </cell>
          <cell r="AD383" t="b">
            <v>0</v>
          </cell>
        </row>
        <row r="384">
          <cell r="Z384" t="b">
            <v>0</v>
          </cell>
          <cell r="AA384" t="b">
            <v>0</v>
          </cell>
          <cell r="AB384" t="b">
            <v>0</v>
          </cell>
          <cell r="AC384" t="b">
            <v>0</v>
          </cell>
          <cell r="AD384" t="b">
            <v>0</v>
          </cell>
        </row>
        <row r="385">
          <cell r="Z385" t="b">
            <v>0</v>
          </cell>
          <cell r="AA385" t="b">
            <v>0</v>
          </cell>
          <cell r="AB385" t="b">
            <v>0</v>
          </cell>
          <cell r="AC385" t="b">
            <v>0</v>
          </cell>
          <cell r="AD385" t="b">
            <v>0</v>
          </cell>
        </row>
        <row r="386">
          <cell r="Z386" t="b">
            <v>0</v>
          </cell>
          <cell r="AA386" t="b">
            <v>0</v>
          </cell>
          <cell r="AB386" t="b">
            <v>0</v>
          </cell>
          <cell r="AC386" t="b">
            <v>0</v>
          </cell>
          <cell r="AD386" t="b">
            <v>0</v>
          </cell>
        </row>
        <row r="387">
          <cell r="Z387" t="b">
            <v>0</v>
          </cell>
          <cell r="AA387" t="b">
            <v>0</v>
          </cell>
          <cell r="AB387" t="b">
            <v>0</v>
          </cell>
          <cell r="AC387" t="b">
            <v>0</v>
          </cell>
          <cell r="AD387" t="b">
            <v>0</v>
          </cell>
        </row>
        <row r="388">
          <cell r="Z388" t="b">
            <v>0</v>
          </cell>
          <cell r="AA388" t="b">
            <v>0</v>
          </cell>
          <cell r="AB388" t="b">
            <v>0</v>
          </cell>
          <cell r="AC388" t="b">
            <v>0</v>
          </cell>
          <cell r="AD388" t="b">
            <v>0</v>
          </cell>
        </row>
        <row r="389">
          <cell r="Z389" t="b">
            <v>0</v>
          </cell>
          <cell r="AA389" t="b">
            <v>0</v>
          </cell>
          <cell r="AB389" t="b">
            <v>0</v>
          </cell>
          <cell r="AC389" t="b">
            <v>0</v>
          </cell>
          <cell r="AD389" t="b">
            <v>0</v>
          </cell>
        </row>
        <row r="390">
          <cell r="Z390" t="b">
            <v>0</v>
          </cell>
          <cell r="AA390" t="b">
            <v>0</v>
          </cell>
          <cell r="AB390" t="b">
            <v>0</v>
          </cell>
          <cell r="AC390" t="b">
            <v>0</v>
          </cell>
          <cell r="AD390" t="b">
            <v>0</v>
          </cell>
        </row>
        <row r="391">
          <cell r="Z391" t="b">
            <v>0</v>
          </cell>
          <cell r="AA391" t="b">
            <v>0</v>
          </cell>
          <cell r="AB391" t="b">
            <v>0</v>
          </cell>
          <cell r="AC391" t="b">
            <v>0</v>
          </cell>
          <cell r="AD391" t="b">
            <v>0</v>
          </cell>
        </row>
        <row r="392">
          <cell r="Z392" t="b">
            <v>0</v>
          </cell>
          <cell r="AA392" t="b">
            <v>0</v>
          </cell>
          <cell r="AB392" t="b">
            <v>0</v>
          </cell>
          <cell r="AC392" t="b">
            <v>0</v>
          </cell>
          <cell r="AD392" t="b">
            <v>0</v>
          </cell>
        </row>
        <row r="393">
          <cell r="Z393" t="b">
            <v>0</v>
          </cell>
          <cell r="AA393" t="b">
            <v>0</v>
          </cell>
          <cell r="AB393" t="b">
            <v>0</v>
          </cell>
          <cell r="AC393" t="b">
            <v>0</v>
          </cell>
          <cell r="AD393" t="b">
            <v>0</v>
          </cell>
        </row>
        <row r="394">
          <cell r="Z394" t="b">
            <v>0</v>
          </cell>
          <cell r="AA394" t="b">
            <v>0</v>
          </cell>
          <cell r="AB394" t="b">
            <v>0</v>
          </cell>
          <cell r="AC394" t="b">
            <v>0</v>
          </cell>
          <cell r="AD394" t="b">
            <v>0</v>
          </cell>
        </row>
        <row r="395">
          <cell r="Z395" t="b">
            <v>0</v>
          </cell>
          <cell r="AA395" t="b">
            <v>0</v>
          </cell>
          <cell r="AB395" t="b">
            <v>0</v>
          </cell>
          <cell r="AC395" t="b">
            <v>0</v>
          </cell>
          <cell r="AD395" t="b">
            <v>0</v>
          </cell>
        </row>
        <row r="396">
          <cell r="Z396" t="b">
            <v>0</v>
          </cell>
          <cell r="AA396" t="b">
            <v>0</v>
          </cell>
          <cell r="AB396" t="b">
            <v>0</v>
          </cell>
          <cell r="AC396" t="b">
            <v>0</v>
          </cell>
          <cell r="AD396" t="b">
            <v>0</v>
          </cell>
        </row>
        <row r="397">
          <cell r="Z397" t="b">
            <v>0</v>
          </cell>
          <cell r="AA397" t="b">
            <v>0</v>
          </cell>
          <cell r="AB397" t="b">
            <v>0</v>
          </cell>
          <cell r="AC397" t="b">
            <v>0</v>
          </cell>
          <cell r="AD397" t="b">
            <v>0</v>
          </cell>
        </row>
        <row r="398">
          <cell r="Z398" t="b">
            <v>0</v>
          </cell>
          <cell r="AA398" t="b">
            <v>0</v>
          </cell>
          <cell r="AB398" t="b">
            <v>0</v>
          </cell>
          <cell r="AC398" t="b">
            <v>0</v>
          </cell>
          <cell r="AD398" t="b">
            <v>0</v>
          </cell>
        </row>
        <row r="399">
          <cell r="Z399" t="b">
            <v>0</v>
          </cell>
          <cell r="AA399" t="b">
            <v>0</v>
          </cell>
          <cell r="AB399" t="b">
            <v>0</v>
          </cell>
          <cell r="AC399" t="b">
            <v>0</v>
          </cell>
          <cell r="AD399" t="b">
            <v>0</v>
          </cell>
        </row>
        <row r="400">
          <cell r="Z400" t="b">
            <v>0</v>
          </cell>
          <cell r="AA400" t="b">
            <v>0</v>
          </cell>
          <cell r="AB400" t="b">
            <v>0</v>
          </cell>
          <cell r="AC400" t="b">
            <v>0</v>
          </cell>
          <cell r="AD400" t="b">
            <v>0</v>
          </cell>
        </row>
        <row r="401">
          <cell r="Z401" t="b">
            <v>0</v>
          </cell>
          <cell r="AA401" t="b">
            <v>0</v>
          </cell>
          <cell r="AB401" t="b">
            <v>0</v>
          </cell>
          <cell r="AC401" t="b">
            <v>0</v>
          </cell>
          <cell r="AD401" t="b">
            <v>0</v>
          </cell>
        </row>
        <row r="402">
          <cell r="Z402" t="b">
            <v>0</v>
          </cell>
          <cell r="AA402" t="b">
            <v>0</v>
          </cell>
          <cell r="AB402" t="b">
            <v>0</v>
          </cell>
          <cell r="AC402" t="b">
            <v>0</v>
          </cell>
          <cell r="AD402" t="b">
            <v>0</v>
          </cell>
        </row>
        <row r="403">
          <cell r="Z403" t="b">
            <v>0</v>
          </cell>
          <cell r="AA403" t="b">
            <v>0</v>
          </cell>
          <cell r="AB403" t="b">
            <v>0</v>
          </cell>
          <cell r="AC403" t="b">
            <v>0</v>
          </cell>
          <cell r="AD403" t="b">
            <v>0</v>
          </cell>
        </row>
        <row r="404">
          <cell r="Z404" t="b">
            <v>0</v>
          </cell>
          <cell r="AA404" t="b">
            <v>0</v>
          </cell>
          <cell r="AB404" t="b">
            <v>0</v>
          </cell>
          <cell r="AC404" t="b">
            <v>0</v>
          </cell>
          <cell r="AD404" t="b">
            <v>0</v>
          </cell>
        </row>
        <row r="405">
          <cell r="Z405" t="b">
            <v>0</v>
          </cell>
          <cell r="AA405" t="b">
            <v>0</v>
          </cell>
          <cell r="AB405" t="b">
            <v>0</v>
          </cell>
          <cell r="AC405" t="b">
            <v>0</v>
          </cell>
          <cell r="AD405" t="b">
            <v>0</v>
          </cell>
        </row>
        <row r="406">
          <cell r="Z406" t="b">
            <v>0</v>
          </cell>
          <cell r="AA406" t="b">
            <v>0</v>
          </cell>
          <cell r="AB406" t="b">
            <v>0</v>
          </cell>
          <cell r="AC406" t="b">
            <v>0</v>
          </cell>
          <cell r="AD406" t="b">
            <v>0</v>
          </cell>
        </row>
        <row r="407">
          <cell r="Z407" t="b">
            <v>0</v>
          </cell>
          <cell r="AA407" t="b">
            <v>0</v>
          </cell>
          <cell r="AB407" t="b">
            <v>0</v>
          </cell>
          <cell r="AC407" t="b">
            <v>0</v>
          </cell>
          <cell r="AD407" t="b">
            <v>0</v>
          </cell>
        </row>
        <row r="408">
          <cell r="Z408" t="b">
            <v>0</v>
          </cell>
          <cell r="AA408" t="b">
            <v>0</v>
          </cell>
          <cell r="AB408" t="b">
            <v>0</v>
          </cell>
          <cell r="AC408" t="b">
            <v>0</v>
          </cell>
          <cell r="AD408" t="b">
            <v>0</v>
          </cell>
        </row>
        <row r="409">
          <cell r="Z409" t="b">
            <v>0</v>
          </cell>
          <cell r="AA409" t="b">
            <v>0</v>
          </cell>
          <cell r="AB409" t="b">
            <v>0</v>
          </cell>
          <cell r="AC409" t="b">
            <v>0</v>
          </cell>
          <cell r="AD409" t="b">
            <v>0</v>
          </cell>
        </row>
        <row r="410">
          <cell r="Z410" t="b">
            <v>0</v>
          </cell>
          <cell r="AA410" t="b">
            <v>0</v>
          </cell>
          <cell r="AB410" t="b">
            <v>0</v>
          </cell>
          <cell r="AC410" t="b">
            <v>0</v>
          </cell>
          <cell r="AD410" t="b">
            <v>0</v>
          </cell>
        </row>
        <row r="411">
          <cell r="Z411" t="b">
            <v>0</v>
          </cell>
          <cell r="AA411" t="b">
            <v>0</v>
          </cell>
          <cell r="AB411" t="b">
            <v>0</v>
          </cell>
          <cell r="AC411" t="b">
            <v>0</v>
          </cell>
          <cell r="AD411" t="b">
            <v>0</v>
          </cell>
        </row>
        <row r="412">
          <cell r="Z412" t="b">
            <v>0</v>
          </cell>
          <cell r="AA412" t="b">
            <v>0</v>
          </cell>
          <cell r="AB412" t="b">
            <v>0</v>
          </cell>
          <cell r="AC412" t="b">
            <v>0</v>
          </cell>
          <cell r="AD412" t="b">
            <v>0</v>
          </cell>
        </row>
        <row r="413">
          <cell r="Z413" t="b">
            <v>0</v>
          </cell>
          <cell r="AA413" t="b">
            <v>0</v>
          </cell>
          <cell r="AB413" t="b">
            <v>0</v>
          </cell>
          <cell r="AC413" t="b">
            <v>0</v>
          </cell>
          <cell r="AD413" t="b">
            <v>0</v>
          </cell>
        </row>
        <row r="414">
          <cell r="Z414" t="b">
            <v>0</v>
          </cell>
          <cell r="AA414" t="b">
            <v>0</v>
          </cell>
          <cell r="AB414" t="b">
            <v>0</v>
          </cell>
          <cell r="AC414" t="b">
            <v>0</v>
          </cell>
          <cell r="AD414" t="b">
            <v>0</v>
          </cell>
        </row>
        <row r="415">
          <cell r="Z415" t="b">
            <v>0</v>
          </cell>
          <cell r="AA415" t="b">
            <v>0</v>
          </cell>
          <cell r="AB415" t="b">
            <v>0</v>
          </cell>
          <cell r="AC415" t="b">
            <v>0</v>
          </cell>
          <cell r="AD415" t="b">
            <v>0</v>
          </cell>
        </row>
        <row r="416">
          <cell r="Z416" t="b">
            <v>0</v>
          </cell>
          <cell r="AA416" t="b">
            <v>0</v>
          </cell>
          <cell r="AB416" t="b">
            <v>0</v>
          </cell>
          <cell r="AC416" t="b">
            <v>0</v>
          </cell>
          <cell r="AD416" t="b">
            <v>0</v>
          </cell>
        </row>
        <row r="417">
          <cell r="Z417" t="b">
            <v>0</v>
          </cell>
          <cell r="AA417" t="b">
            <v>0</v>
          </cell>
          <cell r="AB417" t="b">
            <v>0</v>
          </cell>
          <cell r="AC417" t="b">
            <v>0</v>
          </cell>
          <cell r="AD417" t="b">
            <v>0</v>
          </cell>
        </row>
        <row r="418">
          <cell r="Z418" t="b">
            <v>0</v>
          </cell>
          <cell r="AA418" t="b">
            <v>0</v>
          </cell>
          <cell r="AB418" t="b">
            <v>0</v>
          </cell>
          <cell r="AC418" t="b">
            <v>0</v>
          </cell>
          <cell r="AD418" t="b">
            <v>0</v>
          </cell>
        </row>
        <row r="419">
          <cell r="Z419" t="b">
            <v>0</v>
          </cell>
          <cell r="AA419" t="b">
            <v>0</v>
          </cell>
          <cell r="AB419" t="b">
            <v>0</v>
          </cell>
          <cell r="AC419" t="b">
            <v>0</v>
          </cell>
          <cell r="AD419" t="b">
            <v>0</v>
          </cell>
        </row>
        <row r="420">
          <cell r="Z420" t="b">
            <v>0</v>
          </cell>
          <cell r="AA420" t="b">
            <v>0</v>
          </cell>
          <cell r="AB420" t="b">
            <v>0</v>
          </cell>
          <cell r="AC420" t="b">
            <v>0</v>
          </cell>
          <cell r="AD420" t="b">
            <v>0</v>
          </cell>
        </row>
        <row r="421">
          <cell r="Z421" t="b">
            <v>0</v>
          </cell>
          <cell r="AA421" t="b">
            <v>0</v>
          </cell>
          <cell r="AB421" t="b">
            <v>0</v>
          </cell>
          <cell r="AC421" t="b">
            <v>0</v>
          </cell>
          <cell r="AD421" t="b">
            <v>0</v>
          </cell>
        </row>
        <row r="422">
          <cell r="Z422" t="b">
            <v>0</v>
          </cell>
          <cell r="AA422" t="b">
            <v>0</v>
          </cell>
          <cell r="AB422" t="b">
            <v>0</v>
          </cell>
          <cell r="AC422" t="b">
            <v>0</v>
          </cell>
          <cell r="AD422" t="b">
            <v>0</v>
          </cell>
        </row>
        <row r="423">
          <cell r="Z423" t="b">
            <v>0</v>
          </cell>
          <cell r="AA423" t="b">
            <v>0</v>
          </cell>
          <cell r="AB423" t="b">
            <v>0</v>
          </cell>
          <cell r="AC423" t="b">
            <v>0</v>
          </cell>
          <cell r="AD423" t="b">
            <v>0</v>
          </cell>
        </row>
        <row r="424">
          <cell r="Z424" t="b">
            <v>0</v>
          </cell>
          <cell r="AA424" t="b">
            <v>0</v>
          </cell>
          <cell r="AB424" t="b">
            <v>0</v>
          </cell>
          <cell r="AC424" t="b">
            <v>0</v>
          </cell>
          <cell r="AD424" t="b">
            <v>0</v>
          </cell>
        </row>
        <row r="425">
          <cell r="Z425" t="b">
            <v>0</v>
          </cell>
          <cell r="AA425" t="b">
            <v>0</v>
          </cell>
          <cell r="AB425" t="b">
            <v>0</v>
          </cell>
          <cell r="AC425" t="b">
            <v>0</v>
          </cell>
          <cell r="AD425" t="b">
            <v>0</v>
          </cell>
        </row>
        <row r="426">
          <cell r="Z426" t="b">
            <v>0</v>
          </cell>
          <cell r="AA426" t="b">
            <v>0</v>
          </cell>
          <cell r="AB426" t="b">
            <v>0</v>
          </cell>
          <cell r="AC426" t="b">
            <v>0</v>
          </cell>
          <cell r="AD426" t="b">
            <v>0</v>
          </cell>
        </row>
        <row r="427">
          <cell r="Z427" t="b">
            <v>0</v>
          </cell>
          <cell r="AA427" t="b">
            <v>0</v>
          </cell>
          <cell r="AB427" t="b">
            <v>0</v>
          </cell>
          <cell r="AC427" t="b">
            <v>0</v>
          </cell>
          <cell r="AD427" t="b">
            <v>0</v>
          </cell>
        </row>
        <row r="428">
          <cell r="Z428" t="b">
            <v>0</v>
          </cell>
          <cell r="AA428" t="b">
            <v>0</v>
          </cell>
          <cell r="AB428" t="b">
            <v>0</v>
          </cell>
          <cell r="AC428" t="b">
            <v>0</v>
          </cell>
          <cell r="AD428" t="b">
            <v>0</v>
          </cell>
        </row>
        <row r="429">
          <cell r="Z429" t="b">
            <v>0</v>
          </cell>
          <cell r="AA429" t="b">
            <v>0</v>
          </cell>
          <cell r="AB429" t="b">
            <v>0</v>
          </cell>
          <cell r="AC429" t="b">
            <v>0</v>
          </cell>
          <cell r="AD429" t="b">
            <v>0</v>
          </cell>
        </row>
        <row r="430">
          <cell r="Z430" t="b">
            <v>0</v>
          </cell>
          <cell r="AA430" t="b">
            <v>0</v>
          </cell>
          <cell r="AB430" t="b">
            <v>0</v>
          </cell>
          <cell r="AC430" t="b">
            <v>0</v>
          </cell>
          <cell r="AD430" t="b">
            <v>0</v>
          </cell>
        </row>
        <row r="431">
          <cell r="Z431" t="b">
            <v>0</v>
          </cell>
          <cell r="AA431" t="b">
            <v>0</v>
          </cell>
          <cell r="AB431" t="b">
            <v>0</v>
          </cell>
          <cell r="AC431" t="b">
            <v>0</v>
          </cell>
          <cell r="AD431" t="b">
            <v>0</v>
          </cell>
        </row>
        <row r="432">
          <cell r="Z432" t="b">
            <v>0</v>
          </cell>
          <cell r="AA432" t="b">
            <v>0</v>
          </cell>
          <cell r="AB432" t="b">
            <v>0</v>
          </cell>
          <cell r="AC432" t="b">
            <v>0</v>
          </cell>
          <cell r="AD432" t="b">
            <v>0</v>
          </cell>
        </row>
        <row r="433">
          <cell r="Z433" t="b">
            <v>0</v>
          </cell>
          <cell r="AA433" t="b">
            <v>0</v>
          </cell>
          <cell r="AB433" t="b">
            <v>0</v>
          </cell>
          <cell r="AC433" t="b">
            <v>0</v>
          </cell>
          <cell r="AD433" t="b">
            <v>0</v>
          </cell>
        </row>
        <row r="434">
          <cell r="Z434" t="b">
            <v>0</v>
          </cell>
          <cell r="AA434" t="b">
            <v>0</v>
          </cell>
          <cell r="AB434" t="b">
            <v>0</v>
          </cell>
          <cell r="AC434" t="b">
            <v>0</v>
          </cell>
          <cell r="AD434" t="b">
            <v>0</v>
          </cell>
        </row>
        <row r="435">
          <cell r="Z435" t="b">
            <v>0</v>
          </cell>
          <cell r="AA435" t="b">
            <v>0</v>
          </cell>
          <cell r="AB435" t="b">
            <v>0</v>
          </cell>
          <cell r="AC435" t="b">
            <v>0</v>
          </cell>
          <cell r="AD435" t="b">
            <v>0</v>
          </cell>
        </row>
        <row r="436">
          <cell r="Z436" t="b">
            <v>0</v>
          </cell>
          <cell r="AA436" t="b">
            <v>0</v>
          </cell>
          <cell r="AB436" t="b">
            <v>0</v>
          </cell>
          <cell r="AC436" t="b">
            <v>0</v>
          </cell>
          <cell r="AD436" t="b">
            <v>0</v>
          </cell>
        </row>
        <row r="437">
          <cell r="Z437" t="b">
            <v>0</v>
          </cell>
          <cell r="AA437" t="b">
            <v>0</v>
          </cell>
          <cell r="AB437" t="b">
            <v>0</v>
          </cell>
          <cell r="AC437" t="b">
            <v>0</v>
          </cell>
          <cell r="AD437" t="b">
            <v>0</v>
          </cell>
        </row>
        <row r="438">
          <cell r="Z438" t="b">
            <v>0</v>
          </cell>
          <cell r="AA438" t="b">
            <v>0</v>
          </cell>
          <cell r="AB438" t="b">
            <v>0</v>
          </cell>
          <cell r="AC438" t="b">
            <v>0</v>
          </cell>
          <cell r="AD438" t="b">
            <v>0</v>
          </cell>
        </row>
        <row r="439">
          <cell r="Z439" t="b">
            <v>0</v>
          </cell>
          <cell r="AA439" t="b">
            <v>0</v>
          </cell>
          <cell r="AB439" t="b">
            <v>0</v>
          </cell>
          <cell r="AC439" t="b">
            <v>0</v>
          </cell>
          <cell r="AD439" t="b">
            <v>0</v>
          </cell>
        </row>
        <row r="440">
          <cell r="Z440" t="b">
            <v>0</v>
          </cell>
          <cell r="AA440" t="b">
            <v>0</v>
          </cell>
          <cell r="AB440" t="b">
            <v>0</v>
          </cell>
          <cell r="AC440" t="b">
            <v>0</v>
          </cell>
          <cell r="AD440" t="b">
            <v>0</v>
          </cell>
        </row>
        <row r="441">
          <cell r="Z441" t="b">
            <v>0</v>
          </cell>
          <cell r="AA441" t="b">
            <v>0</v>
          </cell>
          <cell r="AB441" t="b">
            <v>0</v>
          </cell>
          <cell r="AC441" t="b">
            <v>0</v>
          </cell>
          <cell r="AD441" t="b">
            <v>0</v>
          </cell>
        </row>
        <row r="442">
          <cell r="Z442" t="b">
            <v>0</v>
          </cell>
          <cell r="AA442" t="b">
            <v>0</v>
          </cell>
          <cell r="AB442" t="b">
            <v>0</v>
          </cell>
          <cell r="AC442" t="b">
            <v>0</v>
          </cell>
          <cell r="AD442" t="b">
            <v>0</v>
          </cell>
        </row>
        <row r="443">
          <cell r="Z443" t="b">
            <v>0</v>
          </cell>
          <cell r="AA443" t="b">
            <v>0</v>
          </cell>
          <cell r="AB443" t="b">
            <v>0</v>
          </cell>
          <cell r="AC443" t="b">
            <v>0</v>
          </cell>
          <cell r="AD443" t="b">
            <v>0</v>
          </cell>
        </row>
        <row r="444">
          <cell r="Z444" t="b">
            <v>0</v>
          </cell>
          <cell r="AA444" t="b">
            <v>0</v>
          </cell>
          <cell r="AB444" t="b">
            <v>0</v>
          </cell>
          <cell r="AC444" t="b">
            <v>0</v>
          </cell>
          <cell r="AD444" t="b">
            <v>0</v>
          </cell>
        </row>
        <row r="445">
          <cell r="Z445" t="b">
            <v>0</v>
          </cell>
          <cell r="AA445" t="b">
            <v>0</v>
          </cell>
          <cell r="AB445" t="b">
            <v>0</v>
          </cell>
          <cell r="AC445" t="b">
            <v>0</v>
          </cell>
          <cell r="AD445" t="b">
            <v>0</v>
          </cell>
        </row>
        <row r="446">
          <cell r="Z446" t="b">
            <v>0</v>
          </cell>
          <cell r="AA446" t="b">
            <v>0</v>
          </cell>
          <cell r="AB446" t="b">
            <v>0</v>
          </cell>
          <cell r="AC446" t="b">
            <v>0</v>
          </cell>
          <cell r="AD446" t="b">
            <v>0</v>
          </cell>
        </row>
        <row r="447">
          <cell r="Z447" t="b">
            <v>0</v>
          </cell>
          <cell r="AA447" t="b">
            <v>0</v>
          </cell>
          <cell r="AB447" t="b">
            <v>0</v>
          </cell>
          <cell r="AC447" t="b">
            <v>0</v>
          </cell>
          <cell r="AD447" t="b">
            <v>0</v>
          </cell>
        </row>
        <row r="448">
          <cell r="Z448" t="b">
            <v>0</v>
          </cell>
          <cell r="AA448" t="b">
            <v>0</v>
          </cell>
          <cell r="AB448" t="b">
            <v>0</v>
          </cell>
          <cell r="AC448" t="b">
            <v>0</v>
          </cell>
          <cell r="AD448" t="b">
            <v>0</v>
          </cell>
        </row>
        <row r="449">
          <cell r="Z449" t="b">
            <v>0</v>
          </cell>
          <cell r="AA449" t="b">
            <v>0</v>
          </cell>
          <cell r="AB449" t="b">
            <v>0</v>
          </cell>
          <cell r="AC449" t="b">
            <v>0</v>
          </cell>
          <cell r="AD449" t="b">
            <v>0</v>
          </cell>
        </row>
        <row r="450">
          <cell r="Z450" t="b">
            <v>0</v>
          </cell>
          <cell r="AA450" t="b">
            <v>0</v>
          </cell>
          <cell r="AB450" t="b">
            <v>0</v>
          </cell>
          <cell r="AC450" t="b">
            <v>0</v>
          </cell>
          <cell r="AD450" t="b">
            <v>0</v>
          </cell>
        </row>
        <row r="451">
          <cell r="Z451" t="b">
            <v>0</v>
          </cell>
          <cell r="AA451" t="b">
            <v>0</v>
          </cell>
          <cell r="AB451" t="b">
            <v>0</v>
          </cell>
          <cell r="AC451" t="b">
            <v>0</v>
          </cell>
          <cell r="AD451" t="b">
            <v>0</v>
          </cell>
        </row>
        <row r="452">
          <cell r="Z452" t="b">
            <v>0</v>
          </cell>
          <cell r="AA452" t="b">
            <v>0</v>
          </cell>
          <cell r="AB452" t="b">
            <v>0</v>
          </cell>
          <cell r="AC452" t="b">
            <v>0</v>
          </cell>
          <cell r="AD452" t="b">
            <v>0</v>
          </cell>
        </row>
        <row r="453">
          <cell r="Z453" t="b">
            <v>0</v>
          </cell>
          <cell r="AA453" t="b">
            <v>0</v>
          </cell>
          <cell r="AB453" t="b">
            <v>0</v>
          </cell>
          <cell r="AC453" t="b">
            <v>0</v>
          </cell>
          <cell r="AD453" t="b">
            <v>0</v>
          </cell>
        </row>
        <row r="454">
          <cell r="Z454" t="b">
            <v>0</v>
          </cell>
          <cell r="AA454" t="b">
            <v>0</v>
          </cell>
          <cell r="AB454" t="b">
            <v>0</v>
          </cell>
          <cell r="AC454" t="b">
            <v>0</v>
          </cell>
          <cell r="AD454" t="b">
            <v>0</v>
          </cell>
        </row>
        <row r="455">
          <cell r="Z455" t="b">
            <v>0</v>
          </cell>
          <cell r="AA455" t="b">
            <v>0</v>
          </cell>
          <cell r="AB455" t="b">
            <v>0</v>
          </cell>
          <cell r="AC455" t="b">
            <v>0</v>
          </cell>
          <cell r="AD455" t="b">
            <v>0</v>
          </cell>
        </row>
        <row r="456">
          <cell r="Z456" t="b">
            <v>0</v>
          </cell>
          <cell r="AA456" t="b">
            <v>0</v>
          </cell>
          <cell r="AB456" t="b">
            <v>0</v>
          </cell>
          <cell r="AC456" t="b">
            <v>0</v>
          </cell>
          <cell r="AD456" t="b">
            <v>0</v>
          </cell>
        </row>
        <row r="457">
          <cell r="Z457" t="b">
            <v>0</v>
          </cell>
          <cell r="AA457" t="b">
            <v>0</v>
          </cell>
          <cell r="AB457" t="b">
            <v>0</v>
          </cell>
          <cell r="AC457" t="b">
            <v>0</v>
          </cell>
          <cell r="AD457" t="b">
            <v>0</v>
          </cell>
        </row>
        <row r="458">
          <cell r="Z458" t="b">
            <v>0</v>
          </cell>
          <cell r="AA458" t="b">
            <v>0</v>
          </cell>
          <cell r="AB458" t="b">
            <v>0</v>
          </cell>
          <cell r="AC458" t="b">
            <v>0</v>
          </cell>
          <cell r="AD458" t="b">
            <v>0</v>
          </cell>
        </row>
        <row r="459">
          <cell r="Z459" t="b">
            <v>0</v>
          </cell>
          <cell r="AA459" t="b">
            <v>0</v>
          </cell>
          <cell r="AB459" t="b">
            <v>0</v>
          </cell>
          <cell r="AC459" t="b">
            <v>0</v>
          </cell>
          <cell r="AD459" t="b">
            <v>0</v>
          </cell>
        </row>
        <row r="460">
          <cell r="Z460" t="b">
            <v>0</v>
          </cell>
          <cell r="AA460" t="b">
            <v>0</v>
          </cell>
          <cell r="AB460" t="b">
            <v>0</v>
          </cell>
          <cell r="AC460" t="b">
            <v>0</v>
          </cell>
          <cell r="AD460" t="b">
            <v>0</v>
          </cell>
        </row>
        <row r="461">
          <cell r="Z461" t="b">
            <v>0</v>
          </cell>
          <cell r="AA461" t="b">
            <v>0</v>
          </cell>
          <cell r="AB461" t="b">
            <v>0</v>
          </cell>
          <cell r="AC461" t="b">
            <v>0</v>
          </cell>
          <cell r="AD461" t="b">
            <v>0</v>
          </cell>
        </row>
        <row r="462">
          <cell r="Z462" t="b">
            <v>0</v>
          </cell>
          <cell r="AA462" t="b">
            <v>0</v>
          </cell>
          <cell r="AB462" t="b">
            <v>0</v>
          </cell>
          <cell r="AC462" t="b">
            <v>0</v>
          </cell>
          <cell r="AD462" t="b">
            <v>0</v>
          </cell>
        </row>
        <row r="463">
          <cell r="Z463" t="b">
            <v>0</v>
          </cell>
          <cell r="AA463" t="b">
            <v>0</v>
          </cell>
          <cell r="AB463" t="b">
            <v>0</v>
          </cell>
          <cell r="AC463" t="b">
            <v>0</v>
          </cell>
          <cell r="AD463" t="b">
            <v>0</v>
          </cell>
        </row>
        <row r="464">
          <cell r="Z464" t="b">
            <v>0</v>
          </cell>
          <cell r="AA464" t="b">
            <v>0</v>
          </cell>
          <cell r="AB464" t="b">
            <v>0</v>
          </cell>
          <cell r="AC464" t="b">
            <v>0</v>
          </cell>
          <cell r="AD464" t="b">
            <v>0</v>
          </cell>
        </row>
        <row r="465">
          <cell r="Z465" t="b">
            <v>0</v>
          </cell>
          <cell r="AA465" t="b">
            <v>0</v>
          </cell>
          <cell r="AB465" t="b">
            <v>0</v>
          </cell>
          <cell r="AC465" t="b">
            <v>0</v>
          </cell>
          <cell r="AD465" t="b">
            <v>0</v>
          </cell>
        </row>
        <row r="466">
          <cell r="Z466" t="b">
            <v>0</v>
          </cell>
          <cell r="AA466" t="b">
            <v>0</v>
          </cell>
          <cell r="AB466" t="b">
            <v>0</v>
          </cell>
          <cell r="AC466" t="b">
            <v>0</v>
          </cell>
          <cell r="AD466" t="b">
            <v>0</v>
          </cell>
        </row>
        <row r="467">
          <cell r="Z467" t="b">
            <v>0</v>
          </cell>
          <cell r="AA467" t="b">
            <v>0</v>
          </cell>
          <cell r="AB467" t="b">
            <v>0</v>
          </cell>
          <cell r="AC467" t="b">
            <v>0</v>
          </cell>
          <cell r="AD467" t="b">
            <v>0</v>
          </cell>
        </row>
        <row r="468">
          <cell r="Z468" t="b">
            <v>0</v>
          </cell>
          <cell r="AA468" t="b">
            <v>0</v>
          </cell>
          <cell r="AB468" t="b">
            <v>0</v>
          </cell>
          <cell r="AC468" t="b">
            <v>0</v>
          </cell>
          <cell r="AD468" t="b">
            <v>0</v>
          </cell>
        </row>
        <row r="469">
          <cell r="Z469" t="b">
            <v>0</v>
          </cell>
          <cell r="AA469" t="b">
            <v>0</v>
          </cell>
          <cell r="AB469" t="b">
            <v>0</v>
          </cell>
          <cell r="AC469" t="b">
            <v>0</v>
          </cell>
          <cell r="AD469" t="b">
            <v>0</v>
          </cell>
        </row>
        <row r="470">
          <cell r="Z470" t="b">
            <v>0</v>
          </cell>
          <cell r="AA470" t="b">
            <v>0</v>
          </cell>
          <cell r="AB470" t="b">
            <v>0</v>
          </cell>
          <cell r="AC470" t="b">
            <v>0</v>
          </cell>
          <cell r="AD470" t="b">
            <v>0</v>
          </cell>
        </row>
        <row r="471">
          <cell r="Z471" t="b">
            <v>0</v>
          </cell>
          <cell r="AA471" t="b">
            <v>0</v>
          </cell>
          <cell r="AB471" t="b">
            <v>0</v>
          </cell>
          <cell r="AC471" t="b">
            <v>0</v>
          </cell>
          <cell r="AD471" t="b">
            <v>0</v>
          </cell>
        </row>
        <row r="472">
          <cell r="Z472" t="b">
            <v>0</v>
          </cell>
          <cell r="AA472" t="b">
            <v>0</v>
          </cell>
          <cell r="AB472" t="b">
            <v>0</v>
          </cell>
          <cell r="AC472" t="b">
            <v>0</v>
          </cell>
          <cell r="AD472" t="b">
            <v>0</v>
          </cell>
        </row>
        <row r="473">
          <cell r="Z473" t="b">
            <v>0</v>
          </cell>
          <cell r="AA473" t="b">
            <v>0</v>
          </cell>
          <cell r="AB473" t="b">
            <v>0</v>
          </cell>
          <cell r="AC473" t="b">
            <v>0</v>
          </cell>
          <cell r="AD473" t="b">
            <v>0</v>
          </cell>
        </row>
        <row r="474">
          <cell r="Z474" t="b">
            <v>0</v>
          </cell>
          <cell r="AA474" t="b">
            <v>0</v>
          </cell>
          <cell r="AB474" t="b">
            <v>0</v>
          </cell>
          <cell r="AC474" t="b">
            <v>0</v>
          </cell>
          <cell r="AD474" t="b">
            <v>0</v>
          </cell>
        </row>
        <row r="475">
          <cell r="Z475" t="b">
            <v>0</v>
          </cell>
          <cell r="AA475" t="b">
            <v>0</v>
          </cell>
          <cell r="AB475" t="b">
            <v>0</v>
          </cell>
          <cell r="AC475" t="b">
            <v>0</v>
          </cell>
          <cell r="AD475" t="b">
            <v>0</v>
          </cell>
        </row>
        <row r="476">
          <cell r="Z476" t="b">
            <v>0</v>
          </cell>
          <cell r="AA476" t="b">
            <v>0</v>
          </cell>
          <cell r="AB476" t="b">
            <v>0</v>
          </cell>
          <cell r="AC476" t="b">
            <v>0</v>
          </cell>
          <cell r="AD476" t="b">
            <v>0</v>
          </cell>
        </row>
        <row r="477">
          <cell r="Z477" t="b">
            <v>0</v>
          </cell>
          <cell r="AA477" t="b">
            <v>0</v>
          </cell>
          <cell r="AB477" t="b">
            <v>0</v>
          </cell>
          <cell r="AC477" t="b">
            <v>0</v>
          </cell>
          <cell r="AD477" t="b">
            <v>0</v>
          </cell>
        </row>
        <row r="478">
          <cell r="Z478" t="b">
            <v>0</v>
          </cell>
          <cell r="AA478" t="b">
            <v>0</v>
          </cell>
          <cell r="AB478" t="b">
            <v>0</v>
          </cell>
          <cell r="AC478" t="b">
            <v>0</v>
          </cell>
          <cell r="AD478" t="b">
            <v>0</v>
          </cell>
        </row>
        <row r="479">
          <cell r="Z479" t="b">
            <v>0</v>
          </cell>
          <cell r="AA479" t="b">
            <v>0</v>
          </cell>
          <cell r="AB479" t="b">
            <v>0</v>
          </cell>
          <cell r="AC479" t="b">
            <v>0</v>
          </cell>
          <cell r="AD479" t="b">
            <v>0</v>
          </cell>
        </row>
        <row r="480">
          <cell r="Z480" t="b">
            <v>0</v>
          </cell>
          <cell r="AA480" t="b">
            <v>0</v>
          </cell>
          <cell r="AB480" t="b">
            <v>0</v>
          </cell>
          <cell r="AC480" t="b">
            <v>0</v>
          </cell>
          <cell r="AD480" t="b">
            <v>0</v>
          </cell>
        </row>
        <row r="481">
          <cell r="Z481" t="b">
            <v>0</v>
          </cell>
          <cell r="AA481" t="b">
            <v>0</v>
          </cell>
          <cell r="AB481" t="b">
            <v>0</v>
          </cell>
          <cell r="AC481" t="b">
            <v>0</v>
          </cell>
          <cell r="AD481" t="b">
            <v>0</v>
          </cell>
        </row>
        <row r="482">
          <cell r="Z482" t="b">
            <v>0</v>
          </cell>
          <cell r="AA482" t="b">
            <v>0</v>
          </cell>
          <cell r="AB482" t="b">
            <v>0</v>
          </cell>
          <cell r="AC482" t="b">
            <v>0</v>
          </cell>
          <cell r="AD482" t="b">
            <v>0</v>
          </cell>
        </row>
        <row r="483">
          <cell r="Z483" t="b">
            <v>0</v>
          </cell>
          <cell r="AA483" t="b">
            <v>0</v>
          </cell>
          <cell r="AB483" t="b">
            <v>0</v>
          </cell>
          <cell r="AC483" t="b">
            <v>0</v>
          </cell>
          <cell r="AD483" t="b">
            <v>0</v>
          </cell>
        </row>
        <row r="484">
          <cell r="Z484" t="b">
            <v>0</v>
          </cell>
          <cell r="AA484" t="b">
            <v>0</v>
          </cell>
          <cell r="AB484" t="b">
            <v>0</v>
          </cell>
          <cell r="AC484" t="b">
            <v>0</v>
          </cell>
          <cell r="AD484" t="b">
            <v>0</v>
          </cell>
        </row>
        <row r="485">
          <cell r="Z485" t="b">
            <v>0</v>
          </cell>
          <cell r="AA485" t="b">
            <v>0</v>
          </cell>
          <cell r="AB485" t="b">
            <v>0</v>
          </cell>
          <cell r="AC485" t="b">
            <v>0</v>
          </cell>
          <cell r="AD485" t="b">
            <v>0</v>
          </cell>
        </row>
        <row r="486">
          <cell r="Z486" t="b">
            <v>0</v>
          </cell>
          <cell r="AA486" t="b">
            <v>0</v>
          </cell>
          <cell r="AB486" t="b">
            <v>0</v>
          </cell>
          <cell r="AC486" t="b">
            <v>0</v>
          </cell>
          <cell r="AD486" t="b">
            <v>0</v>
          </cell>
        </row>
        <row r="487">
          <cell r="Z487" t="b">
            <v>0</v>
          </cell>
          <cell r="AA487" t="b">
            <v>0</v>
          </cell>
          <cell r="AB487" t="b">
            <v>0</v>
          </cell>
          <cell r="AC487" t="b">
            <v>0</v>
          </cell>
          <cell r="AD487" t="b">
            <v>0</v>
          </cell>
        </row>
        <row r="488">
          <cell r="Z488" t="b">
            <v>0</v>
          </cell>
          <cell r="AA488" t="b">
            <v>0</v>
          </cell>
          <cell r="AB488" t="b">
            <v>0</v>
          </cell>
          <cell r="AC488" t="b">
            <v>0</v>
          </cell>
          <cell r="AD488" t="b">
            <v>0</v>
          </cell>
        </row>
        <row r="489">
          <cell r="Z489" t="b">
            <v>0</v>
          </cell>
          <cell r="AA489" t="b">
            <v>0</v>
          </cell>
          <cell r="AB489" t="b">
            <v>0</v>
          </cell>
          <cell r="AC489" t="b">
            <v>0</v>
          </cell>
          <cell r="AD489" t="b">
            <v>0</v>
          </cell>
        </row>
        <row r="490">
          <cell r="Z490" t="b">
            <v>0</v>
          </cell>
          <cell r="AA490" t="b">
            <v>0</v>
          </cell>
          <cell r="AB490" t="b">
            <v>0</v>
          </cell>
          <cell r="AC490" t="b">
            <v>0</v>
          </cell>
          <cell r="AD490" t="b">
            <v>0</v>
          </cell>
        </row>
        <row r="491">
          <cell r="Z491" t="b">
            <v>0</v>
          </cell>
          <cell r="AA491" t="b">
            <v>0</v>
          </cell>
          <cell r="AB491" t="b">
            <v>0</v>
          </cell>
          <cell r="AC491" t="b">
            <v>0</v>
          </cell>
          <cell r="AD491" t="b">
            <v>0</v>
          </cell>
        </row>
        <row r="492">
          <cell r="Z492" t="b">
            <v>0</v>
          </cell>
          <cell r="AA492" t="b">
            <v>0</v>
          </cell>
          <cell r="AB492" t="b">
            <v>0</v>
          </cell>
          <cell r="AC492" t="b">
            <v>0</v>
          </cell>
          <cell r="AD492" t="b">
            <v>0</v>
          </cell>
        </row>
        <row r="493">
          <cell r="Z493" t="b">
            <v>0</v>
          </cell>
          <cell r="AA493" t="b">
            <v>0</v>
          </cell>
          <cell r="AB493" t="b">
            <v>0</v>
          </cell>
          <cell r="AC493" t="b">
            <v>0</v>
          </cell>
          <cell r="AD493" t="b">
            <v>0</v>
          </cell>
        </row>
        <row r="494">
          <cell r="Z494" t="b">
            <v>0</v>
          </cell>
          <cell r="AA494" t="b">
            <v>0</v>
          </cell>
          <cell r="AB494" t="b">
            <v>0</v>
          </cell>
          <cell r="AC494" t="b">
            <v>0</v>
          </cell>
          <cell r="AD494" t="b">
            <v>0</v>
          </cell>
        </row>
        <row r="495">
          <cell r="Z495" t="b">
            <v>0</v>
          </cell>
          <cell r="AA495" t="b">
            <v>0</v>
          </cell>
          <cell r="AB495" t="b">
            <v>0</v>
          </cell>
          <cell r="AC495" t="b">
            <v>0</v>
          </cell>
          <cell r="AD495" t="b">
            <v>0</v>
          </cell>
        </row>
        <row r="496">
          <cell r="Z496" t="b">
            <v>0</v>
          </cell>
          <cell r="AA496" t="b">
            <v>0</v>
          </cell>
          <cell r="AB496" t="b">
            <v>0</v>
          </cell>
          <cell r="AC496" t="b">
            <v>0</v>
          </cell>
          <cell r="AD496" t="b">
            <v>0</v>
          </cell>
        </row>
        <row r="497">
          <cell r="Z497" t="b">
            <v>0</v>
          </cell>
          <cell r="AA497" t="b">
            <v>0</v>
          </cell>
          <cell r="AB497" t="b">
            <v>0</v>
          </cell>
          <cell r="AC497" t="b">
            <v>0</v>
          </cell>
          <cell r="AD497" t="b">
            <v>0</v>
          </cell>
        </row>
        <row r="498">
          <cell r="Z498" t="b">
            <v>0</v>
          </cell>
          <cell r="AA498" t="b">
            <v>0</v>
          </cell>
          <cell r="AB498" t="b">
            <v>0</v>
          </cell>
          <cell r="AC498" t="b">
            <v>0</v>
          </cell>
          <cell r="AD498" t="b">
            <v>0</v>
          </cell>
        </row>
        <row r="499">
          <cell r="Z499" t="b">
            <v>0</v>
          </cell>
          <cell r="AA499" t="b">
            <v>0</v>
          </cell>
          <cell r="AB499" t="b">
            <v>0</v>
          </cell>
          <cell r="AC499" t="b">
            <v>0</v>
          </cell>
          <cell r="AD499" t="b">
            <v>0</v>
          </cell>
        </row>
        <row r="500">
          <cell r="Z500" t="b">
            <v>0</v>
          </cell>
          <cell r="AA500" t="b">
            <v>0</v>
          </cell>
          <cell r="AB500" t="b">
            <v>0</v>
          </cell>
          <cell r="AC500" t="b">
            <v>0</v>
          </cell>
          <cell r="AD500" t="b">
            <v>0</v>
          </cell>
        </row>
        <row r="501">
          <cell r="Z501" t="b">
            <v>0</v>
          </cell>
          <cell r="AA501" t="b">
            <v>0</v>
          </cell>
          <cell r="AB501" t="b">
            <v>0</v>
          </cell>
          <cell r="AC501" t="b">
            <v>0</v>
          </cell>
          <cell r="AD501" t="b">
            <v>0</v>
          </cell>
        </row>
        <row r="502">
          <cell r="Z502" t="b">
            <v>0</v>
          </cell>
          <cell r="AA502" t="b">
            <v>0</v>
          </cell>
          <cell r="AB502" t="b">
            <v>0</v>
          </cell>
          <cell r="AC502" t="b">
            <v>0</v>
          </cell>
          <cell r="AD502" t="b">
            <v>0</v>
          </cell>
        </row>
        <row r="503">
          <cell r="Z503" t="b">
            <v>0</v>
          </cell>
          <cell r="AA503" t="b">
            <v>0</v>
          </cell>
          <cell r="AB503" t="b">
            <v>0</v>
          </cell>
          <cell r="AC503" t="b">
            <v>0</v>
          </cell>
          <cell r="AD503" t="b">
            <v>0</v>
          </cell>
        </row>
        <row r="504">
          <cell r="Z504" t="b">
            <v>0</v>
          </cell>
          <cell r="AA504" t="b">
            <v>0</v>
          </cell>
          <cell r="AB504" t="b">
            <v>0</v>
          </cell>
          <cell r="AC504" t="b">
            <v>0</v>
          </cell>
          <cell r="AD504" t="b">
            <v>0</v>
          </cell>
        </row>
        <row r="505">
          <cell r="Z505" t="b">
            <v>0</v>
          </cell>
          <cell r="AA505" t="b">
            <v>0</v>
          </cell>
          <cell r="AB505" t="b">
            <v>0</v>
          </cell>
          <cell r="AC505" t="b">
            <v>0</v>
          </cell>
          <cell r="AD505" t="b">
            <v>0</v>
          </cell>
        </row>
        <row r="506">
          <cell r="Z506" t="b">
            <v>0</v>
          </cell>
          <cell r="AA506" t="b">
            <v>0</v>
          </cell>
          <cell r="AB506" t="b">
            <v>0</v>
          </cell>
          <cell r="AC506" t="b">
            <v>0</v>
          </cell>
          <cell r="AD506" t="b">
            <v>0</v>
          </cell>
        </row>
        <row r="507">
          <cell r="Z507" t="b">
            <v>0</v>
          </cell>
          <cell r="AA507" t="b">
            <v>0</v>
          </cell>
          <cell r="AB507" t="b">
            <v>0</v>
          </cell>
          <cell r="AC507" t="b">
            <v>0</v>
          </cell>
          <cell r="AD507" t="b">
            <v>0</v>
          </cell>
        </row>
        <row r="508">
          <cell r="Z508" t="b">
            <v>0</v>
          </cell>
          <cell r="AA508" t="b">
            <v>0</v>
          </cell>
          <cell r="AB508" t="b">
            <v>0</v>
          </cell>
          <cell r="AC508" t="b">
            <v>0</v>
          </cell>
          <cell r="AD508" t="b">
            <v>0</v>
          </cell>
        </row>
        <row r="509">
          <cell r="Z509" t="b">
            <v>0</v>
          </cell>
          <cell r="AA509" t="b">
            <v>0</v>
          </cell>
          <cell r="AB509" t="b">
            <v>0</v>
          </cell>
          <cell r="AC509" t="b">
            <v>0</v>
          </cell>
          <cell r="AD509" t="b">
            <v>0</v>
          </cell>
        </row>
        <row r="510">
          <cell r="Z510" t="b">
            <v>0</v>
          </cell>
          <cell r="AA510" t="b">
            <v>0</v>
          </cell>
          <cell r="AB510" t="b">
            <v>0</v>
          </cell>
          <cell r="AC510" t="b">
            <v>0</v>
          </cell>
          <cell r="AD510" t="b">
            <v>0</v>
          </cell>
        </row>
        <row r="511">
          <cell r="Z511" t="b">
            <v>0</v>
          </cell>
          <cell r="AA511" t="b">
            <v>0</v>
          </cell>
          <cell r="AB511" t="b">
            <v>0</v>
          </cell>
          <cell r="AC511" t="b">
            <v>0</v>
          </cell>
          <cell r="AD511" t="b">
            <v>0</v>
          </cell>
        </row>
        <row r="512">
          <cell r="Z512" t="b">
            <v>0</v>
          </cell>
          <cell r="AA512" t="b">
            <v>0</v>
          </cell>
          <cell r="AB512" t="b">
            <v>0</v>
          </cell>
          <cell r="AC512" t="b">
            <v>0</v>
          </cell>
          <cell r="AD512" t="b">
            <v>0</v>
          </cell>
        </row>
        <row r="513">
          <cell r="Z513" t="b">
            <v>0</v>
          </cell>
          <cell r="AA513" t="b">
            <v>0</v>
          </cell>
          <cell r="AB513" t="b">
            <v>0</v>
          </cell>
          <cell r="AC513" t="b">
            <v>0</v>
          </cell>
          <cell r="AD513" t="b">
            <v>0</v>
          </cell>
        </row>
        <row r="514">
          <cell r="Z514" t="b">
            <v>0</v>
          </cell>
          <cell r="AA514" t="b">
            <v>0</v>
          </cell>
          <cell r="AB514" t="b">
            <v>0</v>
          </cell>
          <cell r="AC514" t="b">
            <v>0</v>
          </cell>
          <cell r="AD514" t="b">
            <v>0</v>
          </cell>
        </row>
        <row r="515">
          <cell r="Z515" t="b">
            <v>0</v>
          </cell>
          <cell r="AA515" t="b">
            <v>0</v>
          </cell>
          <cell r="AB515" t="b">
            <v>0</v>
          </cell>
          <cell r="AC515" t="b">
            <v>0</v>
          </cell>
          <cell r="AD515" t="b">
            <v>0</v>
          </cell>
        </row>
        <row r="516">
          <cell r="Z516" t="b">
            <v>0</v>
          </cell>
          <cell r="AA516" t="b">
            <v>0</v>
          </cell>
          <cell r="AB516" t="b">
            <v>0</v>
          </cell>
          <cell r="AC516" t="b">
            <v>0</v>
          </cell>
          <cell r="AD516" t="b">
            <v>0</v>
          </cell>
        </row>
        <row r="517">
          <cell r="Z517" t="b">
            <v>0</v>
          </cell>
          <cell r="AA517" t="b">
            <v>0</v>
          </cell>
          <cell r="AB517" t="b">
            <v>0</v>
          </cell>
          <cell r="AC517" t="b">
            <v>0</v>
          </cell>
          <cell r="AD517" t="b">
            <v>0</v>
          </cell>
        </row>
        <row r="518">
          <cell r="Z518" t="b">
            <v>0</v>
          </cell>
          <cell r="AA518" t="b">
            <v>0</v>
          </cell>
          <cell r="AB518" t="b">
            <v>0</v>
          </cell>
          <cell r="AC518" t="b">
            <v>0</v>
          </cell>
          <cell r="AD518" t="b">
            <v>0</v>
          </cell>
        </row>
        <row r="519">
          <cell r="Z519" t="b">
            <v>0</v>
          </cell>
          <cell r="AA519" t="b">
            <v>0</v>
          </cell>
          <cell r="AB519" t="b">
            <v>0</v>
          </cell>
          <cell r="AC519" t="b">
            <v>0</v>
          </cell>
          <cell r="AD519" t="b">
            <v>0</v>
          </cell>
        </row>
        <row r="520">
          <cell r="Z520" t="b">
            <v>0</v>
          </cell>
          <cell r="AA520" t="b">
            <v>0</v>
          </cell>
          <cell r="AB520" t="b">
            <v>0</v>
          </cell>
          <cell r="AC520" t="b">
            <v>0</v>
          </cell>
          <cell r="AD520" t="b">
            <v>0</v>
          </cell>
        </row>
        <row r="521">
          <cell r="Z521" t="b">
            <v>0</v>
          </cell>
          <cell r="AA521" t="b">
            <v>0</v>
          </cell>
          <cell r="AB521" t="b">
            <v>0</v>
          </cell>
          <cell r="AC521" t="b">
            <v>0</v>
          </cell>
          <cell r="AD521" t="b">
            <v>0</v>
          </cell>
        </row>
        <row r="522">
          <cell r="Z522" t="b">
            <v>0</v>
          </cell>
          <cell r="AA522" t="b">
            <v>0</v>
          </cell>
          <cell r="AB522" t="b">
            <v>0</v>
          </cell>
          <cell r="AC522" t="b">
            <v>0</v>
          </cell>
          <cell r="AD522" t="b">
            <v>0</v>
          </cell>
        </row>
        <row r="523">
          <cell r="Z523" t="b">
            <v>0</v>
          </cell>
          <cell r="AA523" t="b">
            <v>0</v>
          </cell>
          <cell r="AB523" t="b">
            <v>0</v>
          </cell>
          <cell r="AC523" t="b">
            <v>0</v>
          </cell>
          <cell r="AD523" t="b">
            <v>0</v>
          </cell>
        </row>
        <row r="524">
          <cell r="Z524" t="b">
            <v>0</v>
          </cell>
          <cell r="AA524" t="b">
            <v>0</v>
          </cell>
          <cell r="AB524" t="b">
            <v>0</v>
          </cell>
          <cell r="AC524" t="b">
            <v>0</v>
          </cell>
          <cell r="AD524" t="b">
            <v>0</v>
          </cell>
        </row>
        <row r="525">
          <cell r="Z525" t="b">
            <v>0</v>
          </cell>
          <cell r="AA525" t="b">
            <v>0</v>
          </cell>
          <cell r="AB525" t="b">
            <v>0</v>
          </cell>
          <cell r="AC525" t="b">
            <v>0</v>
          </cell>
          <cell r="AD525" t="b">
            <v>0</v>
          </cell>
        </row>
        <row r="526">
          <cell r="Z526" t="b">
            <v>0</v>
          </cell>
          <cell r="AA526" t="b">
            <v>0</v>
          </cell>
          <cell r="AB526" t="b">
            <v>0</v>
          </cell>
          <cell r="AC526" t="b">
            <v>0</v>
          </cell>
          <cell r="AD526" t="b">
            <v>0</v>
          </cell>
        </row>
        <row r="527">
          <cell r="Z527" t="b">
            <v>0</v>
          </cell>
          <cell r="AA527" t="b">
            <v>0</v>
          </cell>
          <cell r="AB527" t="b">
            <v>0</v>
          </cell>
          <cell r="AC527" t="b">
            <v>0</v>
          </cell>
          <cell r="AD527" t="b">
            <v>0</v>
          </cell>
        </row>
        <row r="528">
          <cell r="Z528" t="b">
            <v>0</v>
          </cell>
          <cell r="AA528" t="b">
            <v>0</v>
          </cell>
          <cell r="AB528" t="b">
            <v>0</v>
          </cell>
          <cell r="AC528" t="b">
            <v>0</v>
          </cell>
          <cell r="AD528" t="b">
            <v>0</v>
          </cell>
        </row>
        <row r="529">
          <cell r="Z529" t="b">
            <v>0</v>
          </cell>
          <cell r="AA529" t="b">
            <v>0</v>
          </cell>
          <cell r="AB529" t="b">
            <v>0</v>
          </cell>
          <cell r="AC529" t="b">
            <v>0</v>
          </cell>
          <cell r="AD529" t="b">
            <v>0</v>
          </cell>
        </row>
        <row r="530">
          <cell r="Z530" t="b">
            <v>0</v>
          </cell>
          <cell r="AA530" t="b">
            <v>0</v>
          </cell>
          <cell r="AB530" t="b">
            <v>0</v>
          </cell>
          <cell r="AC530" t="b">
            <v>0</v>
          </cell>
          <cell r="AD530" t="b">
            <v>0</v>
          </cell>
        </row>
        <row r="531">
          <cell r="Z531" t="b">
            <v>0</v>
          </cell>
          <cell r="AA531" t="b">
            <v>0</v>
          </cell>
          <cell r="AB531" t="b">
            <v>0</v>
          </cell>
          <cell r="AC531" t="b">
            <v>0</v>
          </cell>
          <cell r="AD531" t="b">
            <v>0</v>
          </cell>
        </row>
        <row r="532">
          <cell r="Z532" t="b">
            <v>0</v>
          </cell>
          <cell r="AA532" t="b">
            <v>0</v>
          </cell>
          <cell r="AB532" t="b">
            <v>0</v>
          </cell>
          <cell r="AC532" t="b">
            <v>0</v>
          </cell>
          <cell r="AD532" t="b">
            <v>0</v>
          </cell>
        </row>
        <row r="533">
          <cell r="Z533" t="b">
            <v>0</v>
          </cell>
          <cell r="AA533" t="b">
            <v>0</v>
          </cell>
          <cell r="AB533" t="b">
            <v>0</v>
          </cell>
          <cell r="AC533" t="b">
            <v>0</v>
          </cell>
          <cell r="AD533" t="b">
            <v>0</v>
          </cell>
        </row>
        <row r="534">
          <cell r="Z534" t="b">
            <v>0</v>
          </cell>
          <cell r="AA534" t="b">
            <v>0</v>
          </cell>
          <cell r="AB534" t="b">
            <v>0</v>
          </cell>
          <cell r="AC534" t="b">
            <v>0</v>
          </cell>
          <cell r="AD534" t="b">
            <v>0</v>
          </cell>
        </row>
        <row r="535">
          <cell r="Z535" t="b">
            <v>0</v>
          </cell>
          <cell r="AA535" t="b">
            <v>0</v>
          </cell>
          <cell r="AB535" t="b">
            <v>0</v>
          </cell>
          <cell r="AC535" t="b">
            <v>0</v>
          </cell>
          <cell r="AD535" t="b">
            <v>0</v>
          </cell>
        </row>
        <row r="536">
          <cell r="Z536" t="b">
            <v>0</v>
          </cell>
          <cell r="AA536" t="b">
            <v>0</v>
          </cell>
          <cell r="AB536" t="b">
            <v>0</v>
          </cell>
          <cell r="AC536" t="b">
            <v>0</v>
          </cell>
          <cell r="AD536" t="b">
            <v>0</v>
          </cell>
        </row>
        <row r="537">
          <cell r="Z537" t="b">
            <v>0</v>
          </cell>
          <cell r="AA537" t="b">
            <v>0</v>
          </cell>
          <cell r="AB537" t="b">
            <v>0</v>
          </cell>
          <cell r="AC537" t="b">
            <v>0</v>
          </cell>
          <cell r="AD537" t="b">
            <v>0</v>
          </cell>
        </row>
        <row r="538">
          <cell r="Z538" t="b">
            <v>0</v>
          </cell>
          <cell r="AA538" t="b">
            <v>0</v>
          </cell>
          <cell r="AB538" t="b">
            <v>0</v>
          </cell>
          <cell r="AC538" t="b">
            <v>0</v>
          </cell>
          <cell r="AD538" t="b">
            <v>0</v>
          </cell>
        </row>
        <row r="539">
          <cell r="Z539" t="b">
            <v>0</v>
          </cell>
          <cell r="AA539" t="b">
            <v>0</v>
          </cell>
          <cell r="AB539" t="b">
            <v>0</v>
          </cell>
          <cell r="AC539" t="b">
            <v>0</v>
          </cell>
          <cell r="AD539" t="b">
            <v>0</v>
          </cell>
        </row>
        <row r="540">
          <cell r="Z540" t="b">
            <v>0</v>
          </cell>
          <cell r="AA540" t="b">
            <v>0</v>
          </cell>
          <cell r="AB540" t="b">
            <v>0</v>
          </cell>
          <cell r="AC540" t="b">
            <v>0</v>
          </cell>
          <cell r="AD540" t="b">
            <v>0</v>
          </cell>
        </row>
        <row r="541">
          <cell r="Z541" t="b">
            <v>0</v>
          </cell>
          <cell r="AA541" t="b">
            <v>0</v>
          </cell>
          <cell r="AB541" t="b">
            <v>0</v>
          </cell>
          <cell r="AC541" t="b">
            <v>0</v>
          </cell>
          <cell r="AD541" t="b">
            <v>0</v>
          </cell>
        </row>
        <row r="542">
          <cell r="Z542" t="b">
            <v>0</v>
          </cell>
          <cell r="AA542" t="b">
            <v>0</v>
          </cell>
          <cell r="AB542" t="b">
            <v>0</v>
          </cell>
          <cell r="AC542" t="b">
            <v>0</v>
          </cell>
          <cell r="AD542" t="b">
            <v>0</v>
          </cell>
        </row>
        <row r="543">
          <cell r="Z543" t="b">
            <v>0</v>
          </cell>
          <cell r="AA543" t="b">
            <v>0</v>
          </cell>
          <cell r="AB543" t="b">
            <v>0</v>
          </cell>
          <cell r="AC543" t="b">
            <v>0</v>
          </cell>
          <cell r="AD543" t="b">
            <v>0</v>
          </cell>
        </row>
        <row r="544">
          <cell r="Z544" t="b">
            <v>0</v>
          </cell>
          <cell r="AA544" t="b">
            <v>0</v>
          </cell>
          <cell r="AB544" t="b">
            <v>0</v>
          </cell>
          <cell r="AC544" t="b">
            <v>0</v>
          </cell>
          <cell r="AD544" t="b">
            <v>0</v>
          </cell>
        </row>
        <row r="545">
          <cell r="Z545" t="b">
            <v>0</v>
          </cell>
          <cell r="AA545" t="b">
            <v>0</v>
          </cell>
          <cell r="AB545" t="b">
            <v>0</v>
          </cell>
          <cell r="AC545" t="b">
            <v>0</v>
          </cell>
          <cell r="AD545" t="b">
            <v>0</v>
          </cell>
        </row>
        <row r="546">
          <cell r="Z546" t="b">
            <v>0</v>
          </cell>
          <cell r="AA546" t="b">
            <v>0</v>
          </cell>
          <cell r="AB546" t="b">
            <v>0</v>
          </cell>
          <cell r="AC546" t="b">
            <v>0</v>
          </cell>
          <cell r="AD546" t="b">
            <v>0</v>
          </cell>
        </row>
        <row r="547">
          <cell r="Z547" t="b">
            <v>0</v>
          </cell>
          <cell r="AA547" t="b">
            <v>0</v>
          </cell>
          <cell r="AB547" t="b">
            <v>0</v>
          </cell>
          <cell r="AC547" t="b">
            <v>0</v>
          </cell>
          <cell r="AD547" t="b">
            <v>0</v>
          </cell>
        </row>
        <row r="548">
          <cell r="Z548" t="b">
            <v>0</v>
          </cell>
          <cell r="AA548" t="b">
            <v>0</v>
          </cell>
          <cell r="AB548" t="b">
            <v>0</v>
          </cell>
          <cell r="AC548" t="b">
            <v>0</v>
          </cell>
          <cell r="AD548" t="b">
            <v>0</v>
          </cell>
        </row>
        <row r="549">
          <cell r="Z549" t="b">
            <v>0</v>
          </cell>
          <cell r="AA549" t="b">
            <v>0</v>
          </cell>
          <cell r="AB549" t="b">
            <v>0</v>
          </cell>
          <cell r="AC549" t="b">
            <v>0</v>
          </cell>
          <cell r="AD549" t="b">
            <v>0</v>
          </cell>
        </row>
        <row r="550">
          <cell r="Z550" t="b">
            <v>0</v>
          </cell>
          <cell r="AA550" t="b">
            <v>0</v>
          </cell>
          <cell r="AB550" t="b">
            <v>0</v>
          </cell>
          <cell r="AC550" t="b">
            <v>0</v>
          </cell>
          <cell r="AD550" t="b">
            <v>0</v>
          </cell>
        </row>
        <row r="551">
          <cell r="Z551" t="b">
            <v>0</v>
          </cell>
          <cell r="AA551" t="b">
            <v>0</v>
          </cell>
          <cell r="AB551" t="b">
            <v>0</v>
          </cell>
          <cell r="AC551" t="b">
            <v>0</v>
          </cell>
          <cell r="AD551" t="b">
            <v>0</v>
          </cell>
        </row>
        <row r="552">
          <cell r="Z552" t="b">
            <v>0</v>
          </cell>
          <cell r="AA552" t="b">
            <v>0</v>
          </cell>
          <cell r="AB552" t="b">
            <v>0</v>
          </cell>
          <cell r="AC552" t="b">
            <v>0</v>
          </cell>
          <cell r="AD552" t="b">
            <v>0</v>
          </cell>
        </row>
        <row r="553">
          <cell r="Z553" t="b">
            <v>0</v>
          </cell>
          <cell r="AA553" t="b">
            <v>0</v>
          </cell>
          <cell r="AB553" t="b">
            <v>0</v>
          </cell>
          <cell r="AC553" t="b">
            <v>0</v>
          </cell>
          <cell r="AD553" t="b">
            <v>0</v>
          </cell>
        </row>
        <row r="554">
          <cell r="Z554" t="b">
            <v>0</v>
          </cell>
          <cell r="AA554" t="b">
            <v>0</v>
          </cell>
          <cell r="AB554" t="b">
            <v>0</v>
          </cell>
          <cell r="AC554" t="b">
            <v>0</v>
          </cell>
          <cell r="AD554" t="b">
            <v>0</v>
          </cell>
        </row>
        <row r="555">
          <cell r="Z555" t="b">
            <v>0</v>
          </cell>
          <cell r="AA555" t="b">
            <v>0</v>
          </cell>
          <cell r="AB555" t="b">
            <v>0</v>
          </cell>
          <cell r="AC555" t="b">
            <v>0</v>
          </cell>
          <cell r="AD555" t="b">
            <v>0</v>
          </cell>
        </row>
        <row r="556">
          <cell r="Z556" t="b">
            <v>0</v>
          </cell>
          <cell r="AA556" t="b">
            <v>0</v>
          </cell>
          <cell r="AB556" t="b">
            <v>0</v>
          </cell>
          <cell r="AC556" t="b">
            <v>0</v>
          </cell>
          <cell r="AD556" t="b">
            <v>0</v>
          </cell>
        </row>
        <row r="557">
          <cell r="Z557" t="b">
            <v>0</v>
          </cell>
          <cell r="AA557" t="b">
            <v>0</v>
          </cell>
          <cell r="AB557" t="b">
            <v>0</v>
          </cell>
          <cell r="AC557" t="b">
            <v>0</v>
          </cell>
          <cell r="AD557" t="b">
            <v>0</v>
          </cell>
        </row>
        <row r="558">
          <cell r="Z558" t="b">
            <v>0</v>
          </cell>
          <cell r="AA558" t="b">
            <v>0</v>
          </cell>
          <cell r="AB558" t="b">
            <v>0</v>
          </cell>
          <cell r="AC558" t="b">
            <v>0</v>
          </cell>
          <cell r="AD558" t="b">
            <v>0</v>
          </cell>
        </row>
        <row r="559">
          <cell r="Z559" t="b">
            <v>0</v>
          </cell>
          <cell r="AA559" t="b">
            <v>0</v>
          </cell>
          <cell r="AB559" t="b">
            <v>0</v>
          </cell>
          <cell r="AC559" t="b">
            <v>0</v>
          </cell>
          <cell r="AD559" t="b">
            <v>0</v>
          </cell>
        </row>
        <row r="560">
          <cell r="Z560" t="b">
            <v>0</v>
          </cell>
          <cell r="AA560" t="b">
            <v>0</v>
          </cell>
          <cell r="AB560" t="b">
            <v>0</v>
          </cell>
          <cell r="AC560" t="b">
            <v>0</v>
          </cell>
          <cell r="AD560" t="b">
            <v>0</v>
          </cell>
        </row>
        <row r="561">
          <cell r="Z561" t="b">
            <v>0</v>
          </cell>
          <cell r="AA561" t="b">
            <v>0</v>
          </cell>
          <cell r="AB561" t="b">
            <v>0</v>
          </cell>
          <cell r="AC561" t="b">
            <v>0</v>
          </cell>
          <cell r="AD561" t="b">
            <v>0</v>
          </cell>
        </row>
        <row r="562">
          <cell r="Z562" t="b">
            <v>0</v>
          </cell>
          <cell r="AA562" t="b">
            <v>0</v>
          </cell>
          <cell r="AB562" t="b">
            <v>0</v>
          </cell>
          <cell r="AC562" t="b">
            <v>0</v>
          </cell>
          <cell r="AD562" t="b">
            <v>0</v>
          </cell>
        </row>
        <row r="563">
          <cell r="Z563" t="b">
            <v>0</v>
          </cell>
          <cell r="AA563" t="b">
            <v>0</v>
          </cell>
          <cell r="AB563" t="b">
            <v>0</v>
          </cell>
          <cell r="AC563" t="b">
            <v>0</v>
          </cell>
          <cell r="AD563" t="b">
            <v>0</v>
          </cell>
        </row>
        <row r="564">
          <cell r="Z564" t="b">
            <v>0</v>
          </cell>
          <cell r="AA564" t="b">
            <v>0</v>
          </cell>
          <cell r="AB564" t="b">
            <v>0</v>
          </cell>
          <cell r="AC564" t="b">
            <v>0</v>
          </cell>
          <cell r="AD564" t="b">
            <v>0</v>
          </cell>
        </row>
        <row r="565">
          <cell r="Z565" t="b">
            <v>0</v>
          </cell>
          <cell r="AA565" t="b">
            <v>0</v>
          </cell>
          <cell r="AB565" t="b">
            <v>0</v>
          </cell>
          <cell r="AC565" t="b">
            <v>0</v>
          </cell>
          <cell r="AD565" t="b">
            <v>0</v>
          </cell>
        </row>
        <row r="566">
          <cell r="Z566" t="b">
            <v>0</v>
          </cell>
          <cell r="AA566" t="b">
            <v>0</v>
          </cell>
          <cell r="AB566" t="b">
            <v>0</v>
          </cell>
          <cell r="AC566" t="b">
            <v>0</v>
          </cell>
          <cell r="AD566" t="b">
            <v>0</v>
          </cell>
        </row>
        <row r="567">
          <cell r="Z567" t="b">
            <v>0</v>
          </cell>
          <cell r="AA567" t="b">
            <v>0</v>
          </cell>
          <cell r="AB567" t="b">
            <v>0</v>
          </cell>
          <cell r="AC567" t="b">
            <v>0</v>
          </cell>
          <cell r="AD567" t="b">
            <v>0</v>
          </cell>
        </row>
        <row r="568">
          <cell r="Z568" t="b">
            <v>0</v>
          </cell>
          <cell r="AA568" t="b">
            <v>0</v>
          </cell>
          <cell r="AB568" t="b">
            <v>0</v>
          </cell>
          <cell r="AC568" t="b">
            <v>0</v>
          </cell>
          <cell r="AD568" t="b">
            <v>0</v>
          </cell>
        </row>
        <row r="569">
          <cell r="Z569" t="b">
            <v>0</v>
          </cell>
          <cell r="AA569" t="b">
            <v>0</v>
          </cell>
          <cell r="AB569" t="b">
            <v>0</v>
          </cell>
          <cell r="AC569" t="b">
            <v>0</v>
          </cell>
          <cell r="AD569" t="b">
            <v>0</v>
          </cell>
        </row>
        <row r="570">
          <cell r="Z570" t="b">
            <v>0</v>
          </cell>
          <cell r="AA570" t="b">
            <v>0</v>
          </cell>
          <cell r="AB570" t="b">
            <v>0</v>
          </cell>
          <cell r="AC570" t="b">
            <v>0</v>
          </cell>
          <cell r="AD570" t="b">
            <v>0</v>
          </cell>
        </row>
        <row r="571">
          <cell r="Z571" t="b">
            <v>0</v>
          </cell>
          <cell r="AA571" t="b">
            <v>0</v>
          </cell>
          <cell r="AB571" t="b">
            <v>0</v>
          </cell>
          <cell r="AC571" t="b">
            <v>0</v>
          </cell>
          <cell r="AD571" t="b">
            <v>0</v>
          </cell>
        </row>
        <row r="572">
          <cell r="Z572" t="b">
            <v>0</v>
          </cell>
          <cell r="AA572" t="b">
            <v>0</v>
          </cell>
          <cell r="AB572" t="b">
            <v>0</v>
          </cell>
          <cell r="AC572" t="b">
            <v>0</v>
          </cell>
          <cell r="AD572" t="b">
            <v>0</v>
          </cell>
        </row>
        <row r="573">
          <cell r="Z573" t="b">
            <v>0</v>
          </cell>
          <cell r="AA573" t="b">
            <v>0</v>
          </cell>
          <cell r="AB573" t="b">
            <v>0</v>
          </cell>
          <cell r="AC573" t="b">
            <v>0</v>
          </cell>
          <cell r="AD573" t="b">
            <v>0</v>
          </cell>
        </row>
        <row r="574">
          <cell r="Z574" t="b">
            <v>0</v>
          </cell>
          <cell r="AA574" t="b">
            <v>0</v>
          </cell>
          <cell r="AB574" t="b">
            <v>0</v>
          </cell>
          <cell r="AC574" t="b">
            <v>0</v>
          </cell>
          <cell r="AD574" t="b">
            <v>0</v>
          </cell>
        </row>
        <row r="575">
          <cell r="Z575" t="b">
            <v>0</v>
          </cell>
          <cell r="AA575" t="b">
            <v>0</v>
          </cell>
          <cell r="AB575" t="b">
            <v>0</v>
          </cell>
          <cell r="AC575" t="b">
            <v>0</v>
          </cell>
          <cell r="AD575" t="b">
            <v>0</v>
          </cell>
        </row>
        <row r="576">
          <cell r="Z576" t="b">
            <v>0</v>
          </cell>
          <cell r="AA576" t="b">
            <v>0</v>
          </cell>
          <cell r="AB576" t="b">
            <v>0</v>
          </cell>
          <cell r="AC576" t="b">
            <v>0</v>
          </cell>
          <cell r="AD576" t="b">
            <v>0</v>
          </cell>
        </row>
        <row r="577">
          <cell r="Z577" t="b">
            <v>0</v>
          </cell>
          <cell r="AA577" t="b">
            <v>0</v>
          </cell>
          <cell r="AB577" t="b">
            <v>0</v>
          </cell>
          <cell r="AC577" t="b">
            <v>0</v>
          </cell>
          <cell r="AD577" t="b">
            <v>0</v>
          </cell>
        </row>
        <row r="578">
          <cell r="Z578" t="b">
            <v>0</v>
          </cell>
          <cell r="AA578" t="b">
            <v>0</v>
          </cell>
          <cell r="AB578" t="b">
            <v>0</v>
          </cell>
          <cell r="AC578" t="b">
            <v>0</v>
          </cell>
          <cell r="AD578" t="b">
            <v>0</v>
          </cell>
        </row>
        <row r="579">
          <cell r="Z579" t="b">
            <v>0</v>
          </cell>
          <cell r="AA579" t="b">
            <v>0</v>
          </cell>
          <cell r="AB579" t="b">
            <v>0</v>
          </cell>
          <cell r="AC579" t="b">
            <v>0</v>
          </cell>
          <cell r="AD579" t="b">
            <v>0</v>
          </cell>
        </row>
        <row r="580">
          <cell r="Z580" t="b">
            <v>0</v>
          </cell>
          <cell r="AA580" t="b">
            <v>0</v>
          </cell>
          <cell r="AB580" t="b">
            <v>0</v>
          </cell>
          <cell r="AC580" t="b">
            <v>0</v>
          </cell>
          <cell r="AD580" t="b">
            <v>0</v>
          </cell>
        </row>
        <row r="581">
          <cell r="Z581" t="b">
            <v>0</v>
          </cell>
          <cell r="AA581" t="b">
            <v>0</v>
          </cell>
          <cell r="AB581" t="b">
            <v>0</v>
          </cell>
          <cell r="AC581" t="b">
            <v>0</v>
          </cell>
          <cell r="AD581" t="b">
            <v>0</v>
          </cell>
        </row>
        <row r="582">
          <cell r="Z582" t="b">
            <v>0</v>
          </cell>
          <cell r="AA582" t="b">
            <v>0</v>
          </cell>
          <cell r="AB582" t="b">
            <v>0</v>
          </cell>
          <cell r="AC582" t="b">
            <v>0</v>
          </cell>
          <cell r="AD582" t="b">
            <v>0</v>
          </cell>
        </row>
        <row r="583">
          <cell r="Z583" t="b">
            <v>0</v>
          </cell>
          <cell r="AA583" t="b">
            <v>0</v>
          </cell>
          <cell r="AB583" t="b">
            <v>0</v>
          </cell>
          <cell r="AC583" t="b">
            <v>0</v>
          </cell>
          <cell r="AD583" t="b">
            <v>0</v>
          </cell>
        </row>
        <row r="584">
          <cell r="Z584" t="b">
            <v>0</v>
          </cell>
          <cell r="AA584" t="b">
            <v>0</v>
          </cell>
          <cell r="AB584" t="b">
            <v>0</v>
          </cell>
          <cell r="AC584" t="b">
            <v>0</v>
          </cell>
          <cell r="AD584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Valuation Summary"/>
      <sheetName val="EWC"/>
      <sheetName val="MW-Cache"/>
      <sheetName val="mwareSettings"/>
      <sheetName val="Rate Case"/>
      <sheetName val="EMG 5"/>
    </sheetNames>
    <sheetDataSet>
      <sheetData sheetId="0" refreshError="1"/>
      <sheetData sheetId="1" refreshError="1">
        <row r="8">
          <cell r="BO8">
            <v>0.4</v>
          </cell>
        </row>
        <row r="11">
          <cell r="BO11">
            <v>72.260000000000005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  <sheetName val="Oil Consumption – barrels"/>
      <sheetName val="New Resources"/>
      <sheetName val="Trading Vol"/>
      <sheetName val="TX Brownfield"/>
      <sheetName val="ERCOT Res Margin"/>
      <sheetName val="SE Assets &amp; RFPs"/>
    </sheetNames>
    <sheetDataSet>
      <sheetData sheetId="0" refreshError="1"/>
      <sheetData sheetId="1" refreshError="1">
        <row r="1">
          <cell r="O1" t="str">
            <v>Jennifer Rowland/Seth Tennant (212) 622-6702/6616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Fin Stats"/>
      <sheetName val="Model Introduction"/>
      <sheetName val="Quarterly"/>
      <sheetName val="Cash Flow"/>
      <sheetName val="Balance Sheet"/>
      <sheetName val="APS"/>
      <sheetName val="Power Plants"/>
    </sheetNames>
    <sheetDataSet>
      <sheetData sheetId="0" refreshError="1">
        <row r="1">
          <cell r="K1" t="str">
            <v>no</v>
          </cell>
        </row>
        <row r="2">
          <cell r="K2" t="str">
            <v>yes</v>
          </cell>
        </row>
      </sheetData>
      <sheetData sheetId="1" refreshError="1">
        <row r="22">
          <cell r="B22">
            <v>0.77868308483197712</v>
          </cell>
          <cell r="C22">
            <v>0.77606831840530421</v>
          </cell>
          <cell r="D22">
            <v>0.74089945591522299</v>
          </cell>
          <cell r="E22">
            <v>0.56459162653765549</v>
          </cell>
          <cell r="F22">
            <v>0.55949532085758447</v>
          </cell>
          <cell r="G22">
            <v>0.73700848488157678</v>
          </cell>
          <cell r="H22">
            <v>0.69402864309410139</v>
          </cell>
          <cell r="I22">
            <v>0.70492076089335931</v>
          </cell>
          <cell r="J22">
            <v>0.70594664159430798</v>
          </cell>
          <cell r="K22">
            <v>0.6975307483044092</v>
          </cell>
          <cell r="L22">
            <v>0.69864210564587026</v>
          </cell>
        </row>
        <row r="23">
          <cell r="B23">
            <v>0.26512586803380017</v>
          </cell>
          <cell r="C23">
            <v>0.26212612094661353</v>
          </cell>
          <cell r="D23">
            <v>0.24889253359674626</v>
          </cell>
          <cell r="E23">
            <v>0.20671051526483869</v>
          </cell>
          <cell r="F23">
            <v>0.19918190876953953</v>
          </cell>
          <cell r="G23">
            <v>0.19567402614588736</v>
          </cell>
          <cell r="H23">
            <v>0.17107108535153723</v>
          </cell>
          <cell r="I23">
            <v>0.19520208673037562</v>
          </cell>
          <cell r="J23">
            <v>0.21129361392514523</v>
          </cell>
          <cell r="K23">
            <v>0.2082445975058651</v>
          </cell>
          <cell r="L23">
            <v>0.20815358761461225</v>
          </cell>
        </row>
        <row r="24">
          <cell r="B24">
            <v>0.26088832927490679</v>
          </cell>
          <cell r="C24">
            <v>0.25757266872681783</v>
          </cell>
          <cell r="D24">
            <v>0.25312829427217692</v>
          </cell>
          <cell r="E24">
            <v>0.20558951018777882</v>
          </cell>
          <cell r="F24">
            <v>0.19707200770300976</v>
          </cell>
          <cell r="G24">
            <v>0.18863988224226549</v>
          </cell>
          <cell r="H24">
            <v>0.18144387994827263</v>
          </cell>
          <cell r="I24">
            <v>0.19520208673037562</v>
          </cell>
          <cell r="J24">
            <v>0.21129361392514523</v>
          </cell>
          <cell r="K24">
            <v>0.2082445975058651</v>
          </cell>
          <cell r="L24">
            <v>0.20815358761461225</v>
          </cell>
        </row>
        <row r="25">
          <cell r="B25">
            <v>0.18185176534040171</v>
          </cell>
          <cell r="C25">
            <v>0.18649941016318411</v>
          </cell>
          <cell r="D25">
            <v>0.18699715115774271</v>
          </cell>
          <cell r="E25">
            <v>0.15916925734134915</v>
          </cell>
          <cell r="F25">
            <v>0.15937015873315177</v>
          </cell>
          <cell r="G25">
            <v>0.13394601026285033</v>
          </cell>
          <cell r="H25">
            <v>0.11928802506306217</v>
          </cell>
          <cell r="I25">
            <v>0.12875036830087194</v>
          </cell>
          <cell r="J25">
            <v>0.1486966617201877</v>
          </cell>
          <cell r="K25">
            <v>0.14377537219807365</v>
          </cell>
          <cell r="L25">
            <v>0.14648565228403998</v>
          </cell>
        </row>
        <row r="26">
          <cell r="B26">
            <v>0.11822201815916197</v>
          </cell>
          <cell r="C26">
            <v>0.11874566422274271</v>
          </cell>
          <cell r="D26">
            <v>0.1226324993488165</v>
          </cell>
          <cell r="E26">
            <v>9.6916130099419157E-2</v>
          </cell>
          <cell r="F26">
            <v>9.6454682648604906E-2</v>
          </cell>
          <cell r="G26">
            <v>8.1581432984526719E-2</v>
          </cell>
          <cell r="H26">
            <v>8.1826866705561496E-2</v>
          </cell>
          <cell r="I26">
            <v>7.8537724663531885E-2</v>
          </cell>
          <cell r="J26">
            <v>9.0704963649314505E-2</v>
          </cell>
          <cell r="K26">
            <v>8.7702977040824942E-2</v>
          </cell>
          <cell r="L26">
            <v>8.9356247893264379E-2</v>
          </cell>
        </row>
        <row r="29">
          <cell r="B29">
            <v>3.4429436923328942E-2</v>
          </cell>
          <cell r="C29">
            <v>3.5613639256115222E-2</v>
          </cell>
          <cell r="D29">
            <v>4.0382013379539436E-2</v>
          </cell>
          <cell r="E29">
            <v>4.4156396121133194E-2</v>
          </cell>
          <cell r="F29">
            <v>4.3469069913782049E-2</v>
          </cell>
          <cell r="G29">
            <v>2.6293957209824085E-2</v>
          </cell>
          <cell r="H29">
            <v>2.6927331351401528E-2</v>
          </cell>
          <cell r="I29">
            <v>2.6258240985668199E-2</v>
          </cell>
          <cell r="J29">
            <v>3.2988277881780916E-2</v>
          </cell>
          <cell r="K29">
            <v>3.1580055492802954E-2</v>
          </cell>
          <cell r="L29">
            <v>3.288898464941778E-2</v>
          </cell>
        </row>
        <row r="30">
          <cell r="B30">
            <v>0.10727568535752587</v>
          </cell>
          <cell r="C30">
            <v>0.1089888716857194</v>
          </cell>
          <cell r="D30">
            <v>0.12085679246022625</v>
          </cell>
          <cell r="E30">
            <v>0.13177966314092776</v>
          </cell>
          <cell r="F30">
            <v>0.13411082300277516</v>
          </cell>
          <cell r="G30">
            <v>8.298293155729565E-2</v>
          </cell>
          <cell r="H30">
            <v>8.4685748760105831E-2</v>
          </cell>
          <cell r="I30">
            <v>8.1853777456058971E-2</v>
          </cell>
          <cell r="J30">
            <v>0.10026353723059922</v>
          </cell>
          <cell r="K30">
            <v>9.307361227777565E-2</v>
          </cell>
          <cell r="L30">
            <v>9.4387736900846675E-2</v>
          </cell>
        </row>
        <row r="31">
          <cell r="B31">
            <v>7.2264624543368086E-2</v>
          </cell>
          <cell r="C31">
            <v>7.1857363711487862E-2</v>
          </cell>
          <cell r="D31">
            <v>7.9219866129955185E-2</v>
          </cell>
          <cell r="E31">
            <v>8.2655835228165483E-2</v>
          </cell>
          <cell r="F31">
            <v>7.6463608154272986E-2</v>
          </cell>
          <cell r="G31">
            <v>5.1994278471109386E-2</v>
          </cell>
          <cell r="H31">
            <v>5.6995930564830218E-2</v>
          </cell>
          <cell r="I31">
            <v>5.4579630121736056E-2</v>
          </cell>
          <cell r="J31">
            <v>6.4433361252323407E-2</v>
          </cell>
          <cell r="K31">
            <v>6.2986023648644238E-2</v>
          </cell>
          <cell r="L31">
            <v>6.4307005297087078E-2</v>
          </cell>
        </row>
        <row r="32">
          <cell r="B32">
            <v>0.42281997187060483</v>
          </cell>
          <cell r="C32">
            <v>0.1084138281647178</v>
          </cell>
          <cell r="D32">
            <v>-0.24764039641340263</v>
          </cell>
          <cell r="E32">
            <v>0.60520287958115204</v>
          </cell>
          <cell r="F32">
            <v>-8.9334453075792575E-2</v>
          </cell>
          <cell r="G32">
            <v>-0.14659498207885299</v>
          </cell>
          <cell r="H32">
            <v>0.22455265473745961</v>
          </cell>
        </row>
        <row r="35">
          <cell r="B35">
            <v>130.75</v>
          </cell>
          <cell r="C35">
            <v>178.83</v>
          </cell>
          <cell r="D35">
            <v>38.299999999999997</v>
          </cell>
          <cell r="E35">
            <v>82.775000000000006</v>
          </cell>
          <cell r="F35">
            <v>405.762</v>
          </cell>
          <cell r="G35">
            <v>102.18300000000001</v>
          </cell>
          <cell r="H35">
            <v>102.18300000000001</v>
          </cell>
          <cell r="I35">
            <v>102.18300000000001</v>
          </cell>
          <cell r="J35">
            <v>102.18300000000001</v>
          </cell>
          <cell r="K35">
            <v>102.18300000000001</v>
          </cell>
          <cell r="L35">
            <v>102.18300000000001</v>
          </cell>
        </row>
        <row r="36">
          <cell r="B36">
            <v>2352.9430000000002</v>
          </cell>
          <cell r="C36">
            <v>2217.0059999999999</v>
          </cell>
          <cell r="D36">
            <v>2320.8500000000004</v>
          </cell>
          <cell r="E36">
            <v>2418.5520000000001</v>
          </cell>
          <cell r="F36">
            <v>2799.2179999999998</v>
          </cell>
          <cell r="G36">
            <v>3162.7180000000003</v>
          </cell>
          <cell r="H36">
            <v>3494.2825784246579</v>
          </cell>
          <cell r="I36">
            <v>3409.4023946979632</v>
          </cell>
          <cell r="J36">
            <v>3356.307959796603</v>
          </cell>
          <cell r="K36">
            <v>3235.6895480620424</v>
          </cell>
          <cell r="L36">
            <v>3235.6895480620424</v>
          </cell>
        </row>
        <row r="37">
          <cell r="B37">
            <v>171.161</v>
          </cell>
          <cell r="C37">
            <v>95.241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B38">
            <v>2027.4359999999999</v>
          </cell>
          <cell r="C38">
            <v>2163.3510000000001</v>
          </cell>
          <cell r="D38">
            <v>2205.7330000000002</v>
          </cell>
          <cell r="E38">
            <v>2382.7139999999999</v>
          </cell>
          <cell r="F38">
            <v>2499.3229999999999</v>
          </cell>
          <cell r="G38">
            <v>2686.1529999999998</v>
          </cell>
          <cell r="H38">
            <v>2759.296875</v>
          </cell>
          <cell r="I38">
            <v>2821.0838979547543</v>
          </cell>
          <cell r="J38">
            <v>2933.86001457155</v>
          </cell>
          <cell r="K38">
            <v>3026.3719752234369</v>
          </cell>
          <cell r="L38">
            <v>3122.5776971706782</v>
          </cell>
        </row>
        <row r="39">
          <cell r="B39">
            <v>4682.29</v>
          </cell>
          <cell r="C39">
            <v>4654.4279999999999</v>
          </cell>
          <cell r="D39">
            <v>4564.8830000000007</v>
          </cell>
          <cell r="E39">
            <v>4884.0410000000002</v>
          </cell>
          <cell r="F39">
            <v>5704.3029999999999</v>
          </cell>
          <cell r="G39">
            <v>5951.0540000000001</v>
          </cell>
          <cell r="H39">
            <v>6355.7624534246579</v>
          </cell>
          <cell r="I39">
            <v>6332.6692926527176</v>
          </cell>
          <cell r="J39">
            <v>6392.3509743681534</v>
          </cell>
          <cell r="K39">
            <v>6364.2445232854789</v>
          </cell>
          <cell r="L39">
            <v>6460.4502452327206</v>
          </cell>
        </row>
        <row r="41">
          <cell r="B41">
            <v>0.50251970723727069</v>
          </cell>
          <cell r="C41">
            <v>0.47632190249800832</v>
          </cell>
          <cell r="D41">
            <v>0.50841390677482867</v>
          </cell>
          <cell r="E41">
            <v>0.49519486015780784</v>
          </cell>
          <cell r="F41">
            <v>0.49072042631676471</v>
          </cell>
          <cell r="G41">
            <v>0.53145510022258247</v>
          </cell>
          <cell r="H41">
            <v>0.54978180887516392</v>
          </cell>
          <cell r="I41">
            <v>0.53838314257995701</v>
          </cell>
          <cell r="J41">
            <v>0.52505063837305244</v>
          </cell>
          <cell r="K41">
            <v>0.50841691205033235</v>
          </cell>
          <cell r="L41">
            <v>0.50084582733993099</v>
          </cell>
        </row>
        <row r="42">
          <cell r="B42">
            <v>0.53044407757742473</v>
          </cell>
          <cell r="C42">
            <v>0.51474337985247598</v>
          </cell>
          <cell r="D42">
            <v>0.51680404514201139</v>
          </cell>
          <cell r="E42">
            <v>0.51214291608117135</v>
          </cell>
          <cell r="F42">
            <v>0.56185304322017959</v>
          </cell>
          <cell r="G42">
            <v>0.54862567202381296</v>
          </cell>
          <cell r="H42">
            <v>0.56585903025478623</v>
          </cell>
          <cell r="I42">
            <v>0.55451899229479285</v>
          </cell>
          <cell r="J42">
            <v>0.54103583699711588</v>
          </cell>
          <cell r="K42">
            <v>0.52447270620251063</v>
          </cell>
          <cell r="L42">
            <v>0.51666252681461589</v>
          </cell>
        </row>
        <row r="43">
          <cell r="B43">
            <v>0.43300094611824552</v>
          </cell>
          <cell r="C43">
            <v>0.4647941701966386</v>
          </cell>
          <cell r="D43">
            <v>0.48319595485798866</v>
          </cell>
          <cell r="E43">
            <v>0.48785708391882865</v>
          </cell>
          <cell r="F43">
            <v>0.43814695677982041</v>
          </cell>
          <cell r="G43">
            <v>0.45137432797618704</v>
          </cell>
          <cell r="H43">
            <v>0.43414096974521377</v>
          </cell>
          <cell r="I43">
            <v>0.44548100770520721</v>
          </cell>
          <cell r="J43">
            <v>0.45896416300288406</v>
          </cell>
          <cell r="K43">
            <v>0.47552729379748943</v>
          </cell>
          <cell r="L43">
            <v>0.48333747318538411</v>
          </cell>
        </row>
        <row r="44">
          <cell r="B44">
            <v>3.6554976304329717E-2</v>
          </cell>
          <cell r="C44">
            <v>2.0462449950885479E-2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B45">
            <v>2.9342101554263951</v>
          </cell>
          <cell r="C45">
            <v>3.2130507699344415</v>
          </cell>
          <cell r="D45">
            <v>3.5435593285054274</v>
          </cell>
          <cell r="E45">
            <v>3.8531244179829027</v>
          </cell>
          <cell r="F45">
            <v>3.8041997019713105</v>
          </cell>
          <cell r="G45">
            <v>2.6412958646796154</v>
          </cell>
          <cell r="H45">
            <v>2.4990566498851354</v>
          </cell>
          <cell r="I45">
            <v>2.6619930489627879</v>
          </cell>
          <cell r="J45">
            <v>3.2140353503573347</v>
          </cell>
          <cell r="K45">
            <v>3.2301395977950058</v>
          </cell>
          <cell r="L45">
            <v>3.3753941411983486</v>
          </cell>
          <cell r="M45" t="str">
            <v>why add back taxes OTI?</v>
          </cell>
        </row>
        <row r="50">
          <cell r="B50">
            <v>2483.6930000000002</v>
          </cell>
          <cell r="C50">
            <v>2395.8359999999998</v>
          </cell>
          <cell r="D50">
            <v>2359.1500000000005</v>
          </cell>
          <cell r="E50">
            <v>2501.3270000000002</v>
          </cell>
          <cell r="F50">
            <v>3204.98</v>
          </cell>
          <cell r="G50">
            <v>3264.9010000000003</v>
          </cell>
          <cell r="H50">
            <v>3596.4655784246579</v>
          </cell>
          <cell r="I50">
            <v>3511.5853946979632</v>
          </cell>
          <cell r="J50">
            <v>3458.490959796603</v>
          </cell>
          <cell r="K50">
            <v>3337.8725480620424</v>
          </cell>
          <cell r="L50">
            <v>3337.8725480620424</v>
          </cell>
        </row>
        <row r="51">
          <cell r="B51">
            <v>2456.2089999999998</v>
          </cell>
          <cell r="C51">
            <v>2375.2979999999998</v>
          </cell>
          <cell r="D51">
            <v>2338.4450000000006</v>
          </cell>
          <cell r="E51">
            <v>2490.9639999999999</v>
          </cell>
          <cell r="F51">
            <v>3176.3609999999999</v>
          </cell>
          <cell r="G51">
            <v>3187.1940000000009</v>
          </cell>
          <cell r="H51">
            <v>3518.7585784246585</v>
          </cell>
          <cell r="I51">
            <v>3433.8783946979638</v>
          </cell>
          <cell r="J51">
            <v>3380.7839597966035</v>
          </cell>
          <cell r="K51">
            <v>3260.1655480620429</v>
          </cell>
          <cell r="L51">
            <v>3119.937592121988</v>
          </cell>
        </row>
        <row r="52">
          <cell r="B52">
            <v>171.161</v>
          </cell>
          <cell r="C52">
            <v>95.241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B54">
            <v>84.824946999999995</v>
          </cell>
          <cell r="C54">
            <v>84.824946999999995</v>
          </cell>
          <cell r="D54">
            <v>84.824946999999995</v>
          </cell>
          <cell r="E54">
            <v>84.824946999999995</v>
          </cell>
          <cell r="F54">
            <v>84.824946999999995</v>
          </cell>
          <cell r="G54">
            <v>91.379947000000001</v>
          </cell>
          <cell r="H54">
            <v>91.287999999999997</v>
          </cell>
          <cell r="I54">
            <v>91.287999999999997</v>
          </cell>
          <cell r="J54">
            <v>91.287999999999997</v>
          </cell>
          <cell r="K54">
            <v>91.287999999999997</v>
          </cell>
          <cell r="L54">
            <v>91.287999999999997</v>
          </cell>
        </row>
        <row r="55">
          <cell r="B55">
            <v>39.340000000000003</v>
          </cell>
          <cell r="C55">
            <v>42.38</v>
          </cell>
          <cell r="D55">
            <v>30.56</v>
          </cell>
          <cell r="E55">
            <v>47.63</v>
          </cell>
          <cell r="F55">
            <v>41.85</v>
          </cell>
          <cell r="G55">
            <v>34.090000000000003</v>
          </cell>
          <cell r="H55">
            <v>40.020000000000003</v>
          </cell>
          <cell r="I55">
            <v>40.020000000000003</v>
          </cell>
          <cell r="J55">
            <v>40.020000000000003</v>
          </cell>
          <cell r="K55">
            <v>40.020000000000003</v>
          </cell>
          <cell r="L55">
            <v>40.020000000000003</v>
          </cell>
        </row>
        <row r="56">
          <cell r="B56">
            <v>3337.0134149800001</v>
          </cell>
          <cell r="C56">
            <v>3594.88125386</v>
          </cell>
          <cell r="D56">
            <v>2592.2503803199997</v>
          </cell>
          <cell r="E56">
            <v>4040.2122256100001</v>
          </cell>
          <cell r="F56">
            <v>3549.92403195</v>
          </cell>
          <cell r="G56">
            <v>3115.1423932300004</v>
          </cell>
          <cell r="H56">
            <v>3653.3457600000002</v>
          </cell>
          <cell r="I56">
            <v>3653.3457600000002</v>
          </cell>
          <cell r="J56">
            <v>3653.3457600000002</v>
          </cell>
          <cell r="K56">
            <v>3653.3457600000002</v>
          </cell>
          <cell r="L56">
            <v>3653.3457600000002</v>
          </cell>
        </row>
        <row r="57">
          <cell r="B57">
            <v>5964.3834149800005</v>
          </cell>
          <cell r="C57">
            <v>6065.4202538600002</v>
          </cell>
          <cell r="D57">
            <v>4930.6953803200004</v>
          </cell>
          <cell r="E57">
            <v>6531.1762256100001</v>
          </cell>
          <cell r="F57">
            <v>6726.2850319499994</v>
          </cell>
          <cell r="G57">
            <v>6302.3363932300017</v>
          </cell>
          <cell r="H57">
            <v>7172.1043384246586</v>
          </cell>
          <cell r="I57">
            <v>7087.224154697964</v>
          </cell>
          <cell r="J57">
            <v>7034.1297197966032</v>
          </cell>
          <cell r="K57">
            <v>6913.5113080620431</v>
          </cell>
          <cell r="L57">
            <v>6773.2833521219882</v>
          </cell>
        </row>
        <row r="59">
          <cell r="B59">
            <v>7.1419052193648733E-2</v>
          </cell>
          <cell r="C59">
            <v>6.7209355657072631E-2</v>
          </cell>
          <cell r="D59">
            <v>6.6095673047197198E-2</v>
          </cell>
          <cell r="E59">
            <v>6.8489985653671426E-2</v>
          </cell>
          <cell r="F59">
            <v>6.1623743692724553E-2</v>
          </cell>
          <cell r="G59">
            <v>5.8224563944839172E-2</v>
          </cell>
          <cell r="H59">
            <v>5.8000000000000003E-2</v>
          </cell>
          <cell r="I59">
            <v>0.06</v>
          </cell>
          <cell r="J59">
            <v>0.06</v>
          </cell>
          <cell r="K59">
            <v>0.06</v>
          </cell>
          <cell r="L59">
            <v>0.06</v>
          </cell>
        </row>
        <row r="60">
          <cell r="B60">
            <v>1.2250413823173705</v>
          </cell>
          <cell r="C60">
            <v>1.1074652240898493</v>
          </cell>
          <cell r="D60">
            <v>1.0695537492525162</v>
          </cell>
          <cell r="E60">
            <v>1.049780628308727</v>
          </cell>
          <cell r="F60">
            <v>1.2823392574709231</v>
          </cell>
          <cell r="G60">
            <v>1.2154560816156044</v>
          </cell>
          <cell r="H60">
            <v>1.3033992866116146</v>
          </cell>
          <cell r="I60">
            <v>1.2447646088242228</v>
          </cell>
          <cell r="J60">
            <v>1.1788193515094032</v>
          </cell>
          <cell r="K60">
            <v>1.1029287131221228</v>
          </cell>
          <cell r="L60">
            <v>1.0689477962666676</v>
          </cell>
        </row>
        <row r="61">
          <cell r="B61">
            <v>0.53044407757742473</v>
          </cell>
          <cell r="C61">
            <v>0.51474337985247598</v>
          </cell>
          <cell r="D61">
            <v>0.51680404514201139</v>
          </cell>
          <cell r="E61">
            <v>0.51214291608117135</v>
          </cell>
          <cell r="F61">
            <v>0.56185304322017959</v>
          </cell>
          <cell r="G61">
            <v>0.54862567202381296</v>
          </cell>
          <cell r="H61">
            <v>0.56585903025478623</v>
          </cell>
          <cell r="I61">
            <v>0.55451899229479285</v>
          </cell>
          <cell r="J61">
            <v>0.54103583699711588</v>
          </cell>
          <cell r="K61">
            <v>0.52447270620251063</v>
          </cell>
          <cell r="L61">
            <v>0.51666252681461589</v>
          </cell>
        </row>
        <row r="62">
          <cell r="B62">
            <v>0.41451067388284157</v>
          </cell>
          <cell r="C62">
            <v>0.39366619027996919</v>
          </cell>
          <cell r="D62">
            <v>0.47646116629484381</v>
          </cell>
          <cell r="E62">
            <v>0.38237590783027842</v>
          </cell>
          <cell r="F62">
            <v>0.47446714044208105</v>
          </cell>
          <cell r="G62">
            <v>0.51173648810358507</v>
          </cell>
          <cell r="H62">
            <v>0.49607712677474292</v>
          </cell>
          <cell r="I62">
            <v>0.4901073463065248</v>
          </cell>
          <cell r="J62">
            <v>0.48630066972284408</v>
          </cell>
          <cell r="K62">
            <v>0.47743789436712591</v>
          </cell>
          <cell r="L62">
            <v>0.47743789436712591</v>
          </cell>
        </row>
        <row r="66">
          <cell r="B66">
            <v>7.5977710553970706E-2</v>
          </cell>
          <cell r="C66">
            <v>7.7249979326107346E-2</v>
          </cell>
          <cell r="D66">
            <v>8.3353354292845475E-2</v>
          </cell>
          <cell r="E66">
            <v>9.3669566055606654E-2</v>
          </cell>
          <cell r="F66">
            <v>8.8814110892888112E-2</v>
          </cell>
          <cell r="G66">
            <v>6.0799238384120408E-2</v>
          </cell>
          <cell r="H66">
            <v>5.9708988914749503E-2</v>
          </cell>
          <cell r="I66">
            <v>6.5263711881527839E-2</v>
          </cell>
          <cell r="J66">
            <v>7.6844884451492762E-2</v>
          </cell>
          <cell r="K66">
            <v>7.4984637548282912E-2</v>
          </cell>
          <cell r="L66">
            <v>7.6614230220987886E-2</v>
          </cell>
        </row>
        <row r="67">
          <cell r="B67">
            <v>9.1004533008720551E-2</v>
          </cell>
          <cell r="C67">
            <v>8.8829998434062585E-2</v>
          </cell>
          <cell r="D67">
            <v>9.5142593390104516E-2</v>
          </cell>
          <cell r="E67">
            <v>0.10419309915734913</v>
          </cell>
          <cell r="F67">
            <v>7.5825321705534923E-2</v>
          </cell>
          <cell r="G67">
            <v>0.10641773201130075</v>
          </cell>
          <cell r="H67">
            <v>7.069003098962412E-2</v>
          </cell>
          <cell r="I67">
            <v>8.2490386641547356E-2</v>
          </cell>
          <cell r="J67">
            <v>9.0424324384454316E-2</v>
          </cell>
          <cell r="K67">
            <v>9.1707759900882035E-2</v>
          </cell>
          <cell r="L67">
            <v>9.4545730492907626E-2</v>
          </cell>
        </row>
        <row r="74">
          <cell r="B74">
            <v>2.6997279285722819</v>
          </cell>
          <cell r="C74">
            <v>2.5481084105032643</v>
          </cell>
          <cell r="D74">
            <v>2.415469076999317</v>
          </cell>
          <cell r="E74">
            <v>2.3320874162059351</v>
          </cell>
          <cell r="F74">
            <v>2.9222121420723677</v>
          </cell>
          <cell r="G74">
            <v>3.5396408429479345</v>
          </cell>
          <cell r="H74">
            <v>3.7880460051343272</v>
          </cell>
          <cell r="I74">
            <v>3.4466743542136675</v>
          </cell>
          <cell r="J74">
            <v>3.0204432253681572</v>
          </cell>
          <cell r="K74">
            <v>2.8921701379812936</v>
          </cell>
          <cell r="L74">
            <v>2.7986823133468923</v>
          </cell>
        </row>
        <row r="75">
          <cell r="B75">
            <v>5.1863989221064042</v>
          </cell>
          <cell r="C75">
            <v>5.7340509223967073</v>
          </cell>
          <cell r="D75">
            <v>6.2152957197948346</v>
          </cell>
          <cell r="E75">
            <v>6.4439130774360613</v>
          </cell>
          <cell r="F75">
            <v>6.237928131860631</v>
          </cell>
          <cell r="G75">
            <v>4.8970921620574108</v>
          </cell>
          <cell r="H75">
            <v>4.6406227088322982</v>
          </cell>
          <cell r="I75">
            <v>4.7778355009750619</v>
          </cell>
          <cell r="J75">
            <v>5.4759210454593399</v>
          </cell>
          <cell r="K75">
            <v>5.6604121959133007</v>
          </cell>
          <cell r="L75">
            <v>5.9551834758748692</v>
          </cell>
        </row>
        <row r="76">
          <cell r="B76">
            <v>7.9803771084376534</v>
          </cell>
          <cell r="C76">
            <v>8.2211465830170525</v>
          </cell>
          <cell r="D76">
            <v>7.4676964689250367</v>
          </cell>
          <cell r="E76">
            <v>8.9479902625495278</v>
          </cell>
          <cell r="F76">
            <v>8.1249998085217783</v>
          </cell>
          <cell r="G76">
            <v>10.254636343320499</v>
          </cell>
          <cell r="H76">
            <v>6.8157168862187003</v>
          </cell>
          <cell r="I76">
            <v>7.0195890596680615</v>
          </cell>
          <cell r="J76">
            <v>7.516717778282012</v>
          </cell>
          <cell r="K76">
            <v>7.4554020692514413</v>
          </cell>
          <cell r="L76">
            <v>7.8501242195521268</v>
          </cell>
        </row>
        <row r="77">
          <cell r="B77">
            <v>0.28809679779264197</v>
          </cell>
          <cell r="C77">
            <v>0.27899155033983958</v>
          </cell>
          <cell r="D77">
            <v>0.261554373397198</v>
          </cell>
          <cell r="E77">
            <v>0.28016848656733012</v>
          </cell>
          <cell r="F77">
            <v>0.17216706500508577</v>
          </cell>
          <cell r="G77">
            <v>0.24902654016155451</v>
          </cell>
          <cell r="H77">
            <v>0.19427935142536698</v>
          </cell>
          <cell r="I77">
            <v>0.20206630999949976</v>
          </cell>
          <cell r="J77">
            <v>0.22884865272666285</v>
          </cell>
          <cell r="K77">
            <v>0.24053663796061861</v>
          </cell>
          <cell r="L77">
            <v>0.25071454643560781</v>
          </cell>
        </row>
        <row r="78">
          <cell r="B78">
            <v>0.25100485446470244</v>
          </cell>
          <cell r="C78">
            <v>0.25287123158680308</v>
          </cell>
          <cell r="D78">
            <v>0.26941907042790819</v>
          </cell>
          <cell r="E78">
            <v>0.2852062125423826</v>
          </cell>
          <cell r="F78">
            <v>0.17817365474979557</v>
          </cell>
          <cell r="G78">
            <v>0.26670762758196942</v>
          </cell>
          <cell r="H78">
            <v>0.16830733768359432</v>
          </cell>
          <cell r="I78">
            <v>0.20431819337499155</v>
          </cell>
          <cell r="J78">
            <v>0.22866153015703403</v>
          </cell>
          <cell r="K78">
            <v>0.24131437019733359</v>
          </cell>
          <cell r="L78">
            <v>0.24992414896859885</v>
          </cell>
        </row>
        <row r="79">
          <cell r="B79">
            <v>0.21228831421596803</v>
          </cell>
          <cell r="C79">
            <v>0.20952561026714681</v>
          </cell>
          <cell r="D79">
            <v>0.22181251722018508</v>
          </cell>
          <cell r="E79">
            <v>0.2369386329736177</v>
          </cell>
          <cell r="F79">
            <v>0.13786170272513393</v>
          </cell>
          <cell r="G79">
            <v>0.22452533782800749</v>
          </cell>
          <cell r="H79">
            <v>0.12453321512714843</v>
          </cell>
          <cell r="I79">
            <v>0.15687506405467222</v>
          </cell>
          <cell r="J79">
            <v>0.17785052557648862</v>
          </cell>
          <cell r="K79">
            <v>0.18593232749251909</v>
          </cell>
          <cell r="L79">
            <v>0.1918071905746577</v>
          </cell>
        </row>
        <row r="82">
          <cell r="B82">
            <v>2.9896269096142105</v>
          </cell>
          <cell r="C82">
            <v>2.9652782176221635</v>
          </cell>
          <cell r="D82">
            <v>2.2413871640359466</v>
          </cell>
          <cell r="E82">
            <v>2.0936464707124998</v>
          </cell>
          <cell r="F82">
            <v>1.9818176180274707</v>
          </cell>
          <cell r="G82">
            <v>2.3897116661642559</v>
          </cell>
          <cell r="H82">
            <v>2.5452381240834008</v>
          </cell>
          <cell r="I82">
            <v>2.4371480909920908</v>
          </cell>
          <cell r="J82">
            <v>2.2115018389272976</v>
          </cell>
          <cell r="K82">
            <v>2.1860156914406863</v>
          </cell>
          <cell r="L82">
            <v>2.085631859415026</v>
          </cell>
        </row>
        <row r="83">
          <cell r="B83">
            <v>2.9158830685692023</v>
          </cell>
          <cell r="C83">
            <v>2.7572084772763126</v>
          </cell>
          <cell r="D83">
            <v>1.5805932384256305</v>
          </cell>
          <cell r="E83">
            <v>1.9243311945410693</v>
          </cell>
          <cell r="F83">
            <v>2.5504639562025861</v>
          </cell>
          <cell r="G83">
            <v>2.2365746651101626</v>
          </cell>
          <cell r="H83">
            <v>2.4663366101100372</v>
          </cell>
          <cell r="I83">
            <v>2.2281945137994579</v>
          </cell>
          <cell r="J83">
            <v>2.2241545949557389</v>
          </cell>
          <cell r="K83">
            <v>2.1288109023230124</v>
          </cell>
        </row>
        <row r="85">
          <cell r="B85">
            <v>6.4831734365458331</v>
          </cell>
          <cell r="C85">
            <v>6.4509208318505582</v>
          </cell>
          <cell r="D85">
            <v>5.0484039672196959</v>
          </cell>
          <cell r="E85">
            <v>6.0892773670809355</v>
          </cell>
          <cell r="F85">
            <v>6.1328407014720563</v>
          </cell>
          <cell r="G85">
            <v>6.8326749581301502</v>
          </cell>
          <cell r="H85">
            <v>7.5541557663055636</v>
          </cell>
          <cell r="I85">
            <v>6.9562180584995126</v>
          </cell>
          <cell r="J85">
            <v>6.1431964708012341</v>
          </cell>
          <cell r="K85">
            <v>5.9903578299842799</v>
          </cell>
          <cell r="L85">
            <v>5.6791468361716522</v>
          </cell>
        </row>
        <row r="86">
          <cell r="B86">
            <v>6.3434623835591095</v>
          </cell>
          <cell r="C86">
            <v>6.2102176895085837</v>
          </cell>
          <cell r="D86">
            <v>4.5970849271562688</v>
          </cell>
          <cell r="E86">
            <v>5.9549458868672875</v>
          </cell>
          <cell r="F86">
            <v>7.2922986701279973</v>
          </cell>
          <cell r="G86">
            <v>6.6380560794480896</v>
          </cell>
          <cell r="H86">
            <v>7.0395292469084465</v>
          </cell>
          <cell r="I86">
            <v>6.1895660372007937</v>
          </cell>
          <cell r="J86">
            <v>6.0948701993112531</v>
          </cell>
          <cell r="K86">
            <v>5.7967227754788846</v>
          </cell>
        </row>
        <row r="88">
          <cell r="B88">
            <v>5.4283632998031797</v>
          </cell>
          <cell r="C88">
            <v>5.9701825900653329</v>
          </cell>
          <cell r="D88">
            <v>4.0872797986154827</v>
          </cell>
          <cell r="E88">
            <v>5.6707149905942567</v>
          </cell>
          <cell r="F88">
            <v>6.2242606949038892</v>
          </cell>
          <cell r="G88">
            <v>3.3262623367257196</v>
          </cell>
          <cell r="H88">
            <v>6.0432154659793706</v>
          </cell>
          <cell r="I88">
            <v>5.099716456509003</v>
          </cell>
          <cell r="J88">
            <v>4.626755540892848</v>
          </cell>
          <cell r="K88">
            <v>4.5425882101289128</v>
          </cell>
          <cell r="L88">
            <v>4.3860980122045747</v>
          </cell>
        </row>
        <row r="91">
          <cell r="B91">
            <v>14.348351621328252</v>
          </cell>
          <cell r="C91">
            <v>14.891241704131879</v>
          </cell>
          <cell r="D91">
            <v>9.6298913156295001</v>
          </cell>
          <cell r="E91">
            <v>13.380833156926812</v>
          </cell>
          <cell r="F91">
            <v>10.857296245498182</v>
          </cell>
          <cell r="G91">
            <v>13.462153723164471</v>
          </cell>
          <cell r="H91">
            <v>15.864739174935824</v>
          </cell>
          <cell r="I91">
            <v>16.020783055852679</v>
          </cell>
          <cell r="J91">
            <v>12.682421476397479</v>
          </cell>
          <cell r="K91">
            <v>13.191572415001621</v>
          </cell>
          <cell r="L91">
            <v>12.60868479211968</v>
          </cell>
        </row>
        <row r="94">
          <cell r="B94">
            <v>1.6459278689832872</v>
          </cell>
          <cell r="C94">
            <v>1.6617189045420737</v>
          </cell>
          <cell r="D94">
            <v>1.1752330768592569</v>
          </cell>
          <cell r="E94">
            <v>1.6956345686515462</v>
          </cell>
          <cell r="F94">
            <v>1.4203542447094673</v>
          </cell>
          <cell r="G94">
            <v>1.1597040054047556</v>
          </cell>
          <cell r="H94">
            <v>1.3240132995837934</v>
          </cell>
          <cell r="I94">
            <v>1.2950149276484204</v>
          </cell>
          <cell r="J94">
            <v>1.2452351993125077</v>
          </cell>
          <cell r="K94">
            <v>1.2071701000106816</v>
          </cell>
          <cell r="L94">
            <v>1.1699775359665969</v>
          </cell>
        </row>
        <row r="99">
          <cell r="B99">
            <v>1995.0260000000001</v>
          </cell>
          <cell r="C99">
            <v>2045.481</v>
          </cell>
          <cell r="D99">
            <v>2199.8409999999999</v>
          </cell>
          <cell r="E99">
            <v>3119.5220000000004</v>
          </cell>
          <cell r="F99">
            <v>3393.998</v>
          </cell>
          <cell r="G99">
            <v>2637.2789999999995</v>
          </cell>
          <cell r="H99">
            <v>2817.8519999999999</v>
          </cell>
          <cell r="I99">
            <v>2907.9989767109164</v>
          </cell>
          <cell r="J99">
            <v>3180.7026320215728</v>
          </cell>
          <cell r="K99">
            <v>3162.6082718124117</v>
          </cell>
          <cell r="L99">
            <v>3247.5929639959304</v>
          </cell>
        </row>
        <row r="100">
          <cell r="B100">
            <v>919.97900000000027</v>
          </cell>
          <cell r="C100">
            <v>940.24099999999999</v>
          </cell>
          <cell r="D100">
            <v>976.68399999999986</v>
          </cell>
          <cell r="E100">
            <v>1072.5700000000002</v>
          </cell>
          <cell r="F100">
            <v>1096.7649999999999</v>
          </cell>
          <cell r="G100">
            <v>922.38199999999961</v>
          </cell>
          <cell r="H100">
            <v>949.42499999999984</v>
          </cell>
          <cell r="I100">
            <v>1018.8329484637677</v>
          </cell>
          <cell r="J100">
            <v>1145.0276339410593</v>
          </cell>
          <cell r="K100">
            <v>1154.1065666322952</v>
          </cell>
          <cell r="L100">
            <v>1192.6586065677252</v>
          </cell>
        </row>
        <row r="101">
          <cell r="B101">
            <v>520.47900000000027</v>
          </cell>
          <cell r="C101">
            <v>526.86</v>
          </cell>
          <cell r="D101">
            <v>556.84199999999987</v>
          </cell>
          <cell r="E101">
            <v>641.34100000000024</v>
          </cell>
          <cell r="F101">
            <v>668.86199999999974</v>
          </cell>
          <cell r="G101">
            <v>497.49599999999958</v>
          </cell>
          <cell r="H101">
            <v>511.28199999999987</v>
          </cell>
          <cell r="I101">
            <v>567.64746846376784</v>
          </cell>
          <cell r="J101">
            <v>672.06215394105948</v>
          </cell>
          <cell r="K101">
            <v>658.59608663229528</v>
          </cell>
          <cell r="L101">
            <v>675.99812656772519</v>
          </cell>
        </row>
        <row r="103">
          <cell r="B103">
            <v>177.38300000000001</v>
          </cell>
          <cell r="C103">
            <v>163.97499999999999</v>
          </cell>
          <cell r="D103">
            <v>157.142</v>
          </cell>
          <cell r="E103">
            <v>166.447</v>
          </cell>
          <cell r="F103">
            <v>175.822</v>
          </cell>
          <cell r="G103">
            <v>188.35300000000001</v>
          </cell>
          <cell r="H103">
            <v>204.59</v>
          </cell>
          <cell r="I103">
            <v>213.24152919367862</v>
          </cell>
          <cell r="J103">
            <v>209.10229063483698</v>
          </cell>
          <cell r="K103">
            <v>203.89090523575933</v>
          </cell>
          <cell r="L103">
            <v>200.27235288372253</v>
          </cell>
        </row>
        <row r="104">
          <cell r="B104">
            <v>362.79900000000026</v>
          </cell>
          <cell r="C104">
            <v>381.48099999999999</v>
          </cell>
          <cell r="D104">
            <v>411.36399999999986</v>
          </cell>
          <cell r="E104">
            <v>496.53200000000027</v>
          </cell>
          <cell r="F104">
            <v>540.9019999999997</v>
          </cell>
          <cell r="G104">
            <v>353.25299999999959</v>
          </cell>
          <cell r="H104">
            <v>336.13599999999985</v>
          </cell>
          <cell r="I104">
            <v>374.40593927008922</v>
          </cell>
          <cell r="J104">
            <v>472.95986330622247</v>
          </cell>
          <cell r="K104">
            <v>454.70518139653598</v>
          </cell>
          <cell r="L104">
            <v>475.72577368400266</v>
          </cell>
        </row>
        <row r="106">
          <cell r="B106">
            <v>235.85600000000028</v>
          </cell>
          <cell r="C106">
            <v>242.892</v>
          </cell>
          <cell r="D106">
            <v>269.77199999999982</v>
          </cell>
          <cell r="E106">
            <v>302.33200000000028</v>
          </cell>
          <cell r="F106">
            <v>327.36699999999973</v>
          </cell>
          <cell r="G106">
            <v>215.15299999999959</v>
          </cell>
          <cell r="H106">
            <v>230.57599999999985</v>
          </cell>
          <cell r="I106">
            <v>228.38762295475442</v>
          </cell>
          <cell r="J106">
            <v>288.50551661679572</v>
          </cell>
          <cell r="K106">
            <v>277.37016065188698</v>
          </cell>
          <cell r="L106">
            <v>290.19272194724158</v>
          </cell>
        </row>
        <row r="107">
          <cell r="B107">
            <v>2.7417783616009705</v>
          </cell>
          <cell r="C107">
            <v>2.8459681765987859</v>
          </cell>
          <cell r="D107">
            <v>3.1734522227058291</v>
          </cell>
          <cell r="E107">
            <v>3.5595690822393626</v>
          </cell>
          <cell r="F107">
            <v>3.8545508065465643</v>
          </cell>
          <cell r="G107">
            <v>2.5322842615696013</v>
          </cell>
          <cell r="H107">
            <v>2.522575351457796</v>
          </cell>
          <cell r="I107">
            <v>2.4980052386003679</v>
          </cell>
          <cell r="J107">
            <v>3.155548810176267</v>
          </cell>
          <cell r="K107">
            <v>3.0337550930993458</v>
          </cell>
          <cell r="L107">
            <v>3.1740027338150414</v>
          </cell>
        </row>
        <row r="110">
          <cell r="B110">
            <v>399.5</v>
          </cell>
          <cell r="C110">
            <v>413.38099999999997</v>
          </cell>
          <cell r="D110">
            <v>419.84199999999998</v>
          </cell>
          <cell r="E110">
            <v>431.22899999999998</v>
          </cell>
          <cell r="F110">
            <v>427.90300000000002</v>
          </cell>
          <cell r="G110">
            <v>424.88600000000002</v>
          </cell>
          <cell r="H110">
            <v>438.14299999999997</v>
          </cell>
          <cell r="I110">
            <v>451.18547999999993</v>
          </cell>
          <cell r="J110">
            <v>472.96547999999996</v>
          </cell>
          <cell r="K110">
            <v>495.51047999999992</v>
          </cell>
          <cell r="L110">
            <v>516.66047999999989</v>
          </cell>
        </row>
        <row r="111">
          <cell r="B111">
            <v>307.87599999999998</v>
          </cell>
          <cell r="C111">
            <v>319.142</v>
          </cell>
          <cell r="D111">
            <v>343.44799999999998</v>
          </cell>
          <cell r="E111">
            <v>658.60799999999995</v>
          </cell>
          <cell r="F111">
            <v>1055.5740000000001</v>
          </cell>
          <cell r="G111">
            <v>895.52200000000005</v>
          </cell>
          <cell r="H111">
            <v>750</v>
          </cell>
          <cell r="I111">
            <v>446</v>
          </cell>
          <cell r="J111">
            <v>552</v>
          </cell>
          <cell r="K111">
            <v>500</v>
          </cell>
          <cell r="L111">
            <v>500</v>
          </cell>
        </row>
        <row r="113">
          <cell r="B113">
            <v>623.41900000000032</v>
          </cell>
          <cell r="C113">
            <v>605.83799999999985</v>
          </cell>
          <cell r="D113">
            <v>635.5999999999998</v>
          </cell>
          <cell r="E113">
            <v>713.39400000000023</v>
          </cell>
          <cell r="F113">
            <v>571.04299999999978</v>
          </cell>
          <cell r="G113">
            <v>870.77399999999955</v>
          </cell>
          <cell r="H113">
            <v>605.31154657534228</v>
          </cell>
          <cell r="I113">
            <v>717.48078372669443</v>
          </cell>
          <cell r="J113">
            <v>790.82383490136044</v>
          </cell>
          <cell r="K113">
            <v>805.47661173456083</v>
          </cell>
          <cell r="L113">
            <v>834.21495594005455</v>
          </cell>
        </row>
        <row r="114">
          <cell r="B114">
            <v>219.38300000000038</v>
          </cell>
          <cell r="C114">
            <v>182.84699999999987</v>
          </cell>
          <cell r="D114">
            <v>179.84099999999978</v>
          </cell>
          <cell r="E114">
            <v>-65.946999999999662</v>
          </cell>
          <cell r="F114">
            <v>-613.73000000000025</v>
          </cell>
          <cell r="G114">
            <v>-162.46900000000051</v>
          </cell>
          <cell r="H114">
            <v>-302.12057842465777</v>
          </cell>
          <cell r="I114">
            <v>104.88018372669444</v>
          </cell>
          <cell r="J114">
            <v>63.094434901360387</v>
          </cell>
          <cell r="K114">
            <v>120.61841173456082</v>
          </cell>
          <cell r="L114">
            <v>140.22795594005447</v>
          </cell>
        </row>
        <row r="116">
          <cell r="B116">
            <v>7.2471199562907636</v>
          </cell>
          <cell r="C116">
            <v>7.0986103625243109</v>
          </cell>
          <cell r="D116">
            <v>7.4768553917820446</v>
          </cell>
          <cell r="E116">
            <v>8.3992935774415756</v>
          </cell>
          <cell r="F116">
            <v>6.7236900977275376</v>
          </cell>
          <cell r="G116">
            <v>10.248740643095894</v>
          </cell>
          <cell r="H116">
            <v>6.622302352993187</v>
          </cell>
          <cell r="I116">
            <v>7.8474951188552131</v>
          </cell>
          <cell r="J116">
            <v>8.649689754794597</v>
          </cell>
          <cell r="K116">
            <v>8.8099555030686538</v>
          </cell>
          <cell r="L116">
            <v>9.1242831073637678</v>
          </cell>
        </row>
        <row r="118">
          <cell r="B118">
            <v>1.125</v>
          </cell>
          <cell r="C118">
            <v>1.2250000000000001</v>
          </cell>
          <cell r="D118">
            <v>1.325</v>
          </cell>
          <cell r="E118">
            <v>1.425</v>
          </cell>
          <cell r="F118">
            <v>1.5249999999999999</v>
          </cell>
          <cell r="G118">
            <v>1.625</v>
          </cell>
          <cell r="H118">
            <v>1.7250000000000001</v>
          </cell>
          <cell r="I118">
            <v>1.8250000000000002</v>
          </cell>
          <cell r="J118">
            <v>1.9250000000000003</v>
          </cell>
          <cell r="K118">
            <v>2.0250000000000004</v>
          </cell>
          <cell r="L118">
            <v>2.1250000000000004</v>
          </cell>
        </row>
        <row r="119">
          <cell r="B119">
            <v>0.41031763024896495</v>
          </cell>
          <cell r="C119">
            <v>0.43043348484099936</v>
          </cell>
          <cell r="D119">
            <v>0.41752637412333404</v>
          </cell>
          <cell r="E119">
            <v>0.40032935646904694</v>
          </cell>
          <cell r="F119">
            <v>0.39563624311552509</v>
          </cell>
          <cell r="G119">
            <v>0.64171310648701274</v>
          </cell>
          <cell r="H119">
            <v>0.683824964436889</v>
          </cell>
          <cell r="I119">
            <v>0.73058293545555075</v>
          </cell>
          <cell r="J119">
            <v>0.61003651529398173</v>
          </cell>
          <cell r="K119">
            <v>0.66748960870510454</v>
          </cell>
          <cell r="L119">
            <v>0.66950162876697461</v>
          </cell>
        </row>
        <row r="133">
          <cell r="B133">
            <v>8.9177971870604833E-2</v>
          </cell>
          <cell r="C133">
            <v>-0.1773721718352822</v>
          </cell>
          <cell r="D133">
            <v>-0.45807239641340264</v>
          </cell>
          <cell r="E133">
            <v>0.69648887958115202</v>
          </cell>
          <cell r="F133">
            <v>2.8915546924207419E-2</v>
          </cell>
          <cell r="G133">
            <v>7.4410017921147015E-2</v>
          </cell>
          <cell r="H133">
            <v>-6.2296345262540409E-2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duction"/>
      <sheetName val="Income Statement"/>
      <sheetName val="Cash Flow"/>
      <sheetName val="Balance Sheet"/>
      <sheetName val="Fin Stats"/>
      <sheetName val="PTF Worksheet"/>
      <sheetName val="Power Plants"/>
      <sheetName val="Op Co"/>
      <sheetName val="DCF - Valuation"/>
      <sheetName val="Inc Stat"/>
    </sheetNames>
    <sheetDataSet>
      <sheetData sheetId="0" refreshError="1"/>
      <sheetData sheetId="1" refreshError="1">
        <row r="1">
          <cell r="A1" t="str">
            <v>Wisconsin Energy Corporation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ImportantDisclosures"/>
      <sheetName val="IndexInformation"/>
      <sheetName val="Income"/>
      <sheetName val="GWP"/>
      <sheetName val="Income Statement"/>
      <sheetName val="Margins"/>
      <sheetName val="Euro vs. PM"/>
      <sheetName val="Ruble"/>
      <sheetName val="Comps"/>
      <sheetName val="Switches"/>
      <sheetName val="MS_IRI_Methodology"/>
      <sheetName val="MARKET_SHARE ($)_RAW_DATA"/>
      <sheetName val="NEXXUS_RAW_DATA"/>
      <sheetName val="HAIR_CARE_MARKET SHARE ROLL-UP"/>
      <sheetName val="TOTAL_ACV_DOLLAR_SALES"/>
      <sheetName val="EBITDA"/>
      <sheetName val="SSB Nielsen Sales"/>
      <sheetName val="TimeSeries"/>
      <sheetName val="Valuation Analyzer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B"/>
      <sheetName val="Ratios"/>
      <sheetName val="C"/>
      <sheetName val="summary"/>
      <sheetName val="Oil Consumption – barrels"/>
      <sheetName val="rev change analysis"/>
      <sheetName val="O1000"/>
      <sheetName val="S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able 5-4"/>
      <sheetName val="Assumptions"/>
      <sheetName val="c1"/>
    </sheetNames>
    <sheetDataSet>
      <sheetData sheetId="0" refreshError="1">
        <row r="9">
          <cell r="P9" t="str">
            <v>Maritimes</v>
          </cell>
          <cell r="Q9">
            <v>30823.08</v>
          </cell>
        </row>
        <row r="10">
          <cell r="P10" t="str">
            <v>NE-BOST</v>
          </cell>
          <cell r="Q10">
            <v>24898.53</v>
          </cell>
        </row>
        <row r="11">
          <cell r="P11" t="str">
            <v>NE-CTSW</v>
          </cell>
          <cell r="Q11">
            <v>16690.25</v>
          </cell>
        </row>
        <row r="12">
          <cell r="P12" t="str">
            <v>NE-EAST</v>
          </cell>
          <cell r="Q12">
            <v>46399.81</v>
          </cell>
        </row>
        <row r="13">
          <cell r="P13" t="str">
            <v>NE-MAINE</v>
          </cell>
          <cell r="Q13">
            <v>11410.84</v>
          </cell>
        </row>
        <row r="14">
          <cell r="P14" t="str">
            <v>NE-WEST</v>
          </cell>
          <cell r="Q14">
            <v>39253.03</v>
          </cell>
        </row>
        <row r="15">
          <cell r="P15" t="str">
            <v>NY_AB</v>
          </cell>
          <cell r="Q15">
            <v>28005.46</v>
          </cell>
        </row>
        <row r="16">
          <cell r="P16" t="str">
            <v>NY_CDE</v>
          </cell>
          <cell r="Q16">
            <v>31251.27</v>
          </cell>
        </row>
        <row r="17">
          <cell r="P17" t="str">
            <v>NY_F</v>
          </cell>
          <cell r="Q17">
            <v>12484.24</v>
          </cell>
        </row>
        <row r="18">
          <cell r="P18" t="str">
            <v>NY_GHI</v>
          </cell>
          <cell r="Q18">
            <v>19863.47</v>
          </cell>
        </row>
        <row r="19">
          <cell r="P19" t="str">
            <v>NY_J</v>
          </cell>
          <cell r="Q19">
            <v>53270.2</v>
          </cell>
        </row>
        <row r="20">
          <cell r="P20" t="str">
            <v>NY_K</v>
          </cell>
          <cell r="Q20">
            <v>23713.360000000001</v>
          </cell>
        </row>
        <row r="21">
          <cell r="P21" t="str">
            <v>On EC</v>
          </cell>
          <cell r="Q21">
            <v>82011.02</v>
          </cell>
        </row>
        <row r="22">
          <cell r="P22" t="str">
            <v>On Middleport</v>
          </cell>
          <cell r="Q22">
            <v>31245.09</v>
          </cell>
        </row>
        <row r="23">
          <cell r="P23" t="str">
            <v>On Niagara</v>
          </cell>
          <cell r="Q23">
            <v>5887.81</v>
          </cell>
        </row>
        <row r="24">
          <cell r="P24" t="str">
            <v>On North</v>
          </cell>
          <cell r="Q24">
            <v>19515.099999999999</v>
          </cell>
        </row>
        <row r="25">
          <cell r="P25" t="str">
            <v>On West</v>
          </cell>
          <cell r="Q25">
            <v>18182.86</v>
          </cell>
        </row>
        <row r="26">
          <cell r="P26" t="str">
            <v>PJMEX</v>
          </cell>
          <cell r="Q26">
            <v>151783.73000000001</v>
          </cell>
        </row>
        <row r="27">
          <cell r="P27" t="str">
            <v>PJMWX</v>
          </cell>
          <cell r="Q27">
            <v>143593.29999999999</v>
          </cell>
        </row>
        <row r="28">
          <cell r="P28" t="str">
            <v>Quebec</v>
          </cell>
          <cell r="Q28">
            <v>190161</v>
          </cell>
        </row>
        <row r="29">
          <cell r="P29" t="str">
            <v>VP</v>
          </cell>
          <cell r="Q29">
            <v>97093.89</v>
          </cell>
        </row>
        <row r="34">
          <cell r="P34" t="str">
            <v>Maritimes</v>
          </cell>
          <cell r="Q34">
            <v>30625.5039</v>
          </cell>
        </row>
        <row r="35">
          <cell r="P35" t="str">
            <v>NE-BOST</v>
          </cell>
          <cell r="Q35">
            <v>15951.549800000001</v>
          </cell>
        </row>
        <row r="36">
          <cell r="P36" t="str">
            <v>NE-CTSW</v>
          </cell>
          <cell r="Q36">
            <v>8313.1406000000006</v>
          </cell>
        </row>
        <row r="37">
          <cell r="P37" t="str">
            <v>NE-EAST</v>
          </cell>
          <cell r="Q37">
            <v>61254.515599999999</v>
          </cell>
        </row>
        <row r="38">
          <cell r="P38" t="str">
            <v>NE-MAINE</v>
          </cell>
          <cell r="Q38">
            <v>15242.4355</v>
          </cell>
        </row>
        <row r="39">
          <cell r="P39" t="str">
            <v>NE-WEST</v>
          </cell>
          <cell r="Q39">
            <v>33389.734400000001</v>
          </cell>
        </row>
        <row r="40">
          <cell r="P40" t="str">
            <v>NY_AB</v>
          </cell>
          <cell r="Q40">
            <v>37828.0625</v>
          </cell>
        </row>
        <row r="41">
          <cell r="P41" t="str">
            <v>NY_CDE</v>
          </cell>
          <cell r="Q41">
            <v>43763.472699999998</v>
          </cell>
        </row>
        <row r="42">
          <cell r="P42" t="str">
            <v>NY_F</v>
          </cell>
          <cell r="Q42">
            <v>16510.044900000001</v>
          </cell>
        </row>
        <row r="43">
          <cell r="P43" t="str">
            <v>NY_GHI</v>
          </cell>
          <cell r="Q43">
            <v>22728.025399999999</v>
          </cell>
        </row>
        <row r="44">
          <cell r="P44" t="str">
            <v>NY_J</v>
          </cell>
          <cell r="Q44">
            <v>22814.3125</v>
          </cell>
        </row>
        <row r="45">
          <cell r="P45" t="str">
            <v>NY_K</v>
          </cell>
          <cell r="Q45">
            <v>12421.3516</v>
          </cell>
        </row>
        <row r="46">
          <cell r="P46" t="str">
            <v>On EC</v>
          </cell>
          <cell r="Q46">
            <v>64159.281199999998</v>
          </cell>
        </row>
        <row r="47">
          <cell r="P47" t="str">
            <v>On Middleport</v>
          </cell>
          <cell r="Q47">
            <v>52800.257799999999</v>
          </cell>
        </row>
        <row r="48">
          <cell r="P48" t="str">
            <v>On Niagara</v>
          </cell>
          <cell r="Q48">
            <v>13327.8613</v>
          </cell>
        </row>
        <row r="49">
          <cell r="P49" t="str">
            <v>On North</v>
          </cell>
          <cell r="Q49">
            <v>21765.293000000001</v>
          </cell>
        </row>
        <row r="50">
          <cell r="P50" t="str">
            <v>On West</v>
          </cell>
          <cell r="Q50">
            <v>14380.7246</v>
          </cell>
        </row>
        <row r="51">
          <cell r="P51" t="str">
            <v>PJMEX</v>
          </cell>
          <cell r="Q51">
            <v>114927.36719999999</v>
          </cell>
        </row>
        <row r="52">
          <cell r="P52" t="str">
            <v>PJMWX</v>
          </cell>
          <cell r="Q52">
            <v>167412.9375</v>
          </cell>
        </row>
        <row r="53">
          <cell r="P53" t="str">
            <v>Quebec</v>
          </cell>
          <cell r="Q53">
            <v>188532.4062</v>
          </cell>
        </row>
        <row r="54">
          <cell r="P54" t="str">
            <v>VP</v>
          </cell>
          <cell r="Q54">
            <v>80380.156199999998</v>
          </cell>
        </row>
        <row r="56">
          <cell r="P56" t="str">
            <v>Transarea</v>
          </cell>
          <cell r="Q56" t="str">
            <v>2006 Peak</v>
          </cell>
          <cell r="R56" t="str">
            <v>2030 Peak</v>
          </cell>
          <cell r="S56" t="str">
            <v>Growth</v>
          </cell>
        </row>
        <row r="57">
          <cell r="P57" t="str">
            <v>Maritimes</v>
          </cell>
          <cell r="Q57">
            <v>5681.6523151397705</v>
          </cell>
          <cell r="R57">
            <v>8364.4919128417969</v>
          </cell>
          <cell r="S57">
            <v>1.5590422155297823E-2</v>
          </cell>
        </row>
        <row r="58">
          <cell r="P58" t="str">
            <v>NE-BOST</v>
          </cell>
          <cell r="Q58">
            <v>5019.6340026855469</v>
          </cell>
          <cell r="R58">
            <v>7403.301513671875</v>
          </cell>
          <cell r="S58">
            <v>1.566417806740672E-2</v>
          </cell>
          <cell r="U58" t="str">
            <v>TransArea</v>
          </cell>
          <cell r="V58">
            <v>2006</v>
          </cell>
          <cell r="W58">
            <v>2030</v>
          </cell>
          <cell r="X58" t="str">
            <v>Growth Rate</v>
          </cell>
        </row>
        <row r="59">
          <cell r="P59" t="str">
            <v>NE-CTSW</v>
          </cell>
          <cell r="Q59">
            <v>3454.9498596191406</v>
          </cell>
          <cell r="R59">
            <v>4895.6216583251953</v>
          </cell>
          <cell r="S59">
            <v>1.4038966441656697E-2</v>
          </cell>
          <cell r="U59" t="str">
            <v>Maritimes</v>
          </cell>
          <cell r="V59">
            <v>30823.08</v>
          </cell>
          <cell r="W59">
            <v>45110.400000000001</v>
          </cell>
          <cell r="X59">
            <v>1.5350590632267069E-2</v>
          </cell>
        </row>
        <row r="60">
          <cell r="P60" t="str">
            <v>NE-EAST</v>
          </cell>
          <cell r="Q60">
            <v>9293.1017227172852</v>
          </cell>
          <cell r="R60">
            <v>13834.064109802246</v>
          </cell>
          <cell r="S60">
            <v>1.6041773121631797E-2</v>
          </cell>
          <cell r="U60" t="str">
            <v>NE-BOST</v>
          </cell>
          <cell r="V60">
            <v>24898.53</v>
          </cell>
          <cell r="W60">
            <v>36766.35</v>
          </cell>
          <cell r="X60">
            <v>1.5713143649888073E-2</v>
          </cell>
        </row>
        <row r="61">
          <cell r="P61" t="str">
            <v>NE-MAINE</v>
          </cell>
          <cell r="Q61">
            <v>1854.7192497253418</v>
          </cell>
          <cell r="R61">
            <v>2402.6331176757812</v>
          </cell>
          <cell r="S61">
            <v>1.0407057879102011E-2</v>
          </cell>
          <cell r="U61" t="str">
            <v>NE-CTSW</v>
          </cell>
          <cell r="V61">
            <v>16690.25</v>
          </cell>
          <cell r="W61">
            <v>23582.42</v>
          </cell>
          <cell r="X61">
            <v>1.3923108187573252E-2</v>
          </cell>
        </row>
        <row r="62">
          <cell r="P62" t="str">
            <v>NE-WEST</v>
          </cell>
          <cell r="Q62">
            <v>7234.1174011230469</v>
          </cell>
          <cell r="R62">
            <v>10110.289001464844</v>
          </cell>
          <cell r="S62">
            <v>1.3479855189370893E-2</v>
          </cell>
          <cell r="U62" t="str">
            <v>NE-EAST</v>
          </cell>
          <cell r="V62">
            <v>46399.81</v>
          </cell>
          <cell r="W62">
            <v>69113.460000000006</v>
          </cell>
          <cell r="X62">
            <v>1.6065855542184426E-2</v>
          </cell>
        </row>
        <row r="63">
          <cell r="P63" t="str">
            <v>NY_AB</v>
          </cell>
          <cell r="Q63">
            <v>4455.8887939453125</v>
          </cell>
          <cell r="R63">
            <v>4644.54638671875</v>
          </cell>
          <cell r="S63">
            <v>1.6600629978966719E-3</v>
          </cell>
          <cell r="U63" t="str">
            <v>NE-MAINE</v>
          </cell>
          <cell r="V63">
            <v>11410.84</v>
          </cell>
          <cell r="W63">
            <v>14779.92</v>
          </cell>
          <cell r="X63">
            <v>1.0401956970312209E-2</v>
          </cell>
        </row>
        <row r="64">
          <cell r="P64" t="str">
            <v>NY_CDE</v>
          </cell>
          <cell r="Q64">
            <v>5155.5890502929687</v>
          </cell>
          <cell r="R64">
            <v>5373.4819946289062</v>
          </cell>
          <cell r="S64">
            <v>1.657161009149366E-3</v>
          </cell>
          <cell r="U64" t="str">
            <v>NE-WEST</v>
          </cell>
          <cell r="V64">
            <v>39253.03</v>
          </cell>
          <cell r="W64">
            <v>54897.91</v>
          </cell>
          <cell r="X64">
            <v>1.3508289131146878E-2</v>
          </cell>
        </row>
        <row r="65">
          <cell r="P65" t="str">
            <v>NY_F</v>
          </cell>
          <cell r="Q65">
            <v>2110</v>
          </cell>
          <cell r="R65">
            <v>2179</v>
          </cell>
          <cell r="S65">
            <v>1.2879530390208505E-3</v>
          </cell>
          <cell r="U65" t="str">
            <v>NY_AB</v>
          </cell>
          <cell r="V65">
            <v>28005.46</v>
          </cell>
          <cell r="W65">
            <v>29247.98</v>
          </cell>
          <cell r="X65">
            <v>1.7379492983085054E-3</v>
          </cell>
        </row>
        <row r="66">
          <cell r="P66" t="str">
            <v>NY_GHI</v>
          </cell>
          <cell r="Q66">
            <v>4464.412353515625</v>
          </cell>
          <cell r="R66">
            <v>7994.59912109375</v>
          </cell>
          <cell r="S66">
            <v>2.3578831242596632E-2</v>
          </cell>
          <cell r="U66" t="str">
            <v>NY_CDE</v>
          </cell>
          <cell r="V66">
            <v>31251.27</v>
          </cell>
          <cell r="W66">
            <v>32579.06</v>
          </cell>
          <cell r="X66">
            <v>1.6657752786093383E-3</v>
          </cell>
        </row>
        <row r="67">
          <cell r="P67" t="str">
            <v>NY_J</v>
          </cell>
          <cell r="Q67">
            <v>11505</v>
          </cell>
          <cell r="R67">
            <v>13835</v>
          </cell>
          <cell r="S67">
            <v>7.4040711742044962E-3</v>
          </cell>
          <cell r="U67" t="str">
            <v>NY_F</v>
          </cell>
          <cell r="V67">
            <v>12484.24</v>
          </cell>
          <cell r="W67">
            <v>14014.32</v>
          </cell>
          <cell r="X67">
            <v>4.6352141304095706E-3</v>
          </cell>
        </row>
        <row r="68">
          <cell r="P68" t="str">
            <v>NY_K</v>
          </cell>
          <cell r="Q68">
            <v>5320</v>
          </cell>
          <cell r="R68">
            <v>6772</v>
          </cell>
          <cell r="S68">
            <v>9.699666201873347E-3</v>
          </cell>
          <cell r="U68" t="str">
            <v>NY_GHI</v>
          </cell>
          <cell r="V68">
            <v>19863.47</v>
          </cell>
          <cell r="W68">
            <v>32550.15</v>
          </cell>
          <cell r="X68">
            <v>1.9952425376741356E-2</v>
          </cell>
        </row>
        <row r="69">
          <cell r="P69" t="str">
            <v>On EC</v>
          </cell>
          <cell r="Q69">
            <v>13604</v>
          </cell>
          <cell r="R69">
            <v>16610</v>
          </cell>
          <cell r="S69">
            <v>8.017612544781727E-3</v>
          </cell>
          <cell r="U69" t="str">
            <v>NY_J</v>
          </cell>
          <cell r="V69">
            <v>53270.2</v>
          </cell>
          <cell r="W69">
            <v>65327.25</v>
          </cell>
          <cell r="X69">
            <v>8.1946812324338314E-3</v>
          </cell>
        </row>
        <row r="70">
          <cell r="P70" t="str">
            <v>On Middleport</v>
          </cell>
          <cell r="Q70">
            <v>4782</v>
          </cell>
          <cell r="R70">
            <v>6560</v>
          </cell>
          <cell r="S70">
            <v>1.2725558845826823E-2</v>
          </cell>
          <cell r="U70" t="str">
            <v>NY_K</v>
          </cell>
          <cell r="V70">
            <v>23713.360000000001</v>
          </cell>
          <cell r="W70">
            <v>29876.03</v>
          </cell>
          <cell r="X70">
            <v>9.2835425967014995E-3</v>
          </cell>
        </row>
        <row r="71">
          <cell r="P71" t="str">
            <v>On Niagara</v>
          </cell>
          <cell r="Q71">
            <v>983</v>
          </cell>
          <cell r="R71">
            <v>1072</v>
          </cell>
          <cell r="S71">
            <v>3.4729054694884187E-3</v>
          </cell>
          <cell r="U71" t="str">
            <v>On EC</v>
          </cell>
          <cell r="V71">
            <v>82011.02</v>
          </cell>
          <cell r="W71">
            <v>96094.59</v>
          </cell>
          <cell r="X71">
            <v>6.3593107133974591E-3</v>
          </cell>
        </row>
        <row r="72">
          <cell r="P72" t="str">
            <v>On North</v>
          </cell>
          <cell r="Q72">
            <v>2882.217041015625</v>
          </cell>
          <cell r="R72">
            <v>3023.096923828125</v>
          </cell>
          <cell r="S72">
            <v>1.9107020095820992E-3</v>
          </cell>
          <cell r="U72" t="str">
            <v>On Middleport</v>
          </cell>
          <cell r="V72">
            <v>31245.09</v>
          </cell>
          <cell r="W72">
            <v>41631.019999999997</v>
          </cell>
          <cell r="X72">
            <v>1.1545473125542216E-2</v>
          </cell>
        </row>
        <row r="73">
          <cell r="P73" t="str">
            <v>On West</v>
          </cell>
          <cell r="Q73">
            <v>3214</v>
          </cell>
          <cell r="R73">
            <v>4309</v>
          </cell>
          <cell r="S73">
            <v>1.1796621379846606E-2</v>
          </cell>
          <cell r="U73" t="str">
            <v>On Niagara</v>
          </cell>
          <cell r="V73">
            <v>5887.81</v>
          </cell>
          <cell r="W73">
            <v>6229.7</v>
          </cell>
          <cell r="X73">
            <v>2.2603132917820012E-3</v>
          </cell>
        </row>
        <row r="74">
          <cell r="P74" t="str">
            <v>Quebec</v>
          </cell>
          <cell r="Q74">
            <v>35767</v>
          </cell>
          <cell r="R74">
            <v>41355</v>
          </cell>
          <cell r="S74">
            <v>5.8235976990683724E-3</v>
          </cell>
          <cell r="U74" t="str">
            <v>On North</v>
          </cell>
          <cell r="V74">
            <v>19515.099999999999</v>
          </cell>
          <cell r="W74">
            <v>20062.439999999999</v>
          </cell>
          <cell r="X74">
            <v>1.1070477394234945E-3</v>
          </cell>
        </row>
        <row r="75">
          <cell r="U75" t="str">
            <v>On West</v>
          </cell>
          <cell r="V75">
            <v>18182.86</v>
          </cell>
          <cell r="W75">
            <v>24305.24</v>
          </cell>
          <cell r="X75">
            <v>1.1676143064269562E-2</v>
          </cell>
        </row>
        <row r="76">
          <cell r="U76" t="str">
            <v>Quebec</v>
          </cell>
          <cell r="V76">
            <v>190161</v>
          </cell>
          <cell r="W76">
            <v>222257.92000000001</v>
          </cell>
          <cell r="X76">
            <v>6.2581983051854806E-3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Price Deck"/>
      <sheetName val="Prior Week"/>
      <sheetName val="Price Change"/>
      <sheetName val="Analyzer"/>
      <sheetName val="Summary"/>
      <sheetName val="Price Deck"/>
      <sheetName val="Off Peak"/>
      <sheetName val="Peak"/>
      <sheetName val="Historicals"/>
      <sheetName val="Gas"/>
      <sheetName val="Income Statement"/>
      <sheetName val="Data"/>
      <sheetName val="Valu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Price Deck"/>
      <sheetName val="Prior Week"/>
      <sheetName val="Price Change"/>
      <sheetName val="Analyzer"/>
      <sheetName val="Summary"/>
      <sheetName val="Price Deck"/>
      <sheetName val="Off Peak"/>
      <sheetName val="Peak"/>
      <sheetName val="Historicals"/>
      <sheetName val="Gas"/>
      <sheetName val="Data"/>
      <sheetName val="Assum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Price Deck"/>
      <sheetName val="Prior Week"/>
      <sheetName val="Price Change"/>
      <sheetName val="Analyzer"/>
      <sheetName val="Summary"/>
      <sheetName val="Price Deck"/>
      <sheetName val="Off Peak"/>
      <sheetName val="Peak"/>
      <sheetName val="Historicals"/>
      <sheetName val="Ga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1"/>
      <sheetName val="ImportantDisclosures"/>
      <sheetName val="OtherDisclosures"/>
      <sheetName val="MWare_Cached"/>
      <sheetName val="IndexInformation"/>
      <sheetName val="ModPubIndex"/>
      <sheetName val="CircularReferenceAlert"/>
      <sheetName val="GoodCharList"/>
      <sheetName val="Graphics"/>
      <sheetName val="MATINC"/>
      <sheetName val="MATQTRS"/>
      <sheetName val="UNIV-EBS DATA"/>
      <sheetName val="RELPE"/>
      <sheetName val="Ratios"/>
      <sheetName val="SALESCAT"/>
      <sheetName val="MATBAL"/>
      <sheetName val="MATCASH"/>
      <sheetName val="FinSum"/>
      <sheetName val="Macro1"/>
      <sheetName val="Macro2"/>
    </sheetNames>
    <sheetDataSet>
      <sheetData sheetId="0" refreshError="1"/>
      <sheetData sheetId="1"/>
      <sheetData sheetId="2"/>
      <sheetData sheetId="3"/>
      <sheetData sheetId="4" refreshError="1">
        <row r="37">
          <cell r="B37" t="str">
            <v>excel</v>
          </cell>
        </row>
        <row r="38">
          <cell r="B38" t="str">
            <v>en-US</v>
          </cell>
        </row>
      </sheetData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ing"/>
      <sheetName val="Insurance"/>
      <sheetName val="Banks"/>
      <sheetName val="Oils"/>
      <sheetName val="General Europe"/>
      <sheetName val="General UK"/>
      <sheetName val="Latest_Chart"/>
      <sheetName val="Add4Sheet"/>
      <sheetName val="Module2"/>
      <sheetName val="Module1"/>
      <sheetName val="LINKTAB"/>
      <sheetName val="Model"/>
      <sheetName val="P"/>
      <sheetName val="Market_Share"/>
      <sheetName val="Assumptions"/>
      <sheetName val="Summary"/>
      <sheetName val="Consol_Income"/>
      <sheetName val="Rate Case"/>
      <sheetName val="Balance Sheet"/>
      <sheetName val="Sheet9"/>
      <sheetName val="Leases"/>
      <sheetName val="Graph"/>
      <sheetName val="Income"/>
      <sheetName val="Financial Summary"/>
      <sheetName val="BizJet Deliveries"/>
      <sheetName val="Exclusion List"/>
      <sheetName val="CFOld"/>
      <sheetName val="PLOld"/>
      <sheetName val="Headline"/>
      <sheetName val="MTT old"/>
      <sheetName val="DOMNETREV1002B"/>
      <sheetName val="Cash flow"/>
      <sheetName val="Profit &amp; Loss"/>
      <sheetName val="Inputs, sensitivity &amp; val"/>
      <sheetName val="c1"/>
      <sheetName val="Monthly figures"/>
      <sheetName val="Consolidated"/>
      <sheetName val="CENMODEL"/>
      <sheetName val="Customize Your Statement"/>
      <sheetName val="Sainsbury"/>
      <sheetName val="KQ"/>
      <sheetName val="Presentation Tables"/>
      <sheetName val="BS"/>
    </sheetNames>
    <definedNames>
      <definedName name="Update_Thi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4.xml" Type="http://schemas.openxmlformats.org/officeDocument/2006/relationships/drawing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6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drawing7.xml" Type="http://schemas.openxmlformats.org/officeDocument/2006/relationships/drawing"/>
<Relationship Id="rId3" Target="../drawings/vmlDrawing5.vml" Type="http://schemas.openxmlformats.org/officeDocument/2006/relationships/vmlDrawing"/>
<Relationship Id="rId4" Target="../comments5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drawing8.xml" Type="http://schemas.openxmlformats.org/officeDocument/2006/relationships/drawing"/>
<Relationship Id="rId3" Target="../drawings/vmlDrawing6.vml" Type="http://schemas.openxmlformats.org/officeDocument/2006/relationships/vmlDrawing"/>
<Relationship Id="rId4" Target="../comments6.xml" Type="http://schemas.openxmlformats.org/officeDocument/2006/relationships/comment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drawing9.xml" Type="http://schemas.openxmlformats.org/officeDocument/2006/relationships/drawing"/>
<Relationship Id="rId3" Target="../drawings/vmlDrawing7.vml" Type="http://schemas.openxmlformats.org/officeDocument/2006/relationships/vmlDrawing"/>
<Relationship Id="rId4" Target="../comments7.xml" Type="http://schemas.openxmlformats.org/officeDocument/2006/relationships/comment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Relationship Id="rId2" Target="../drawings/drawing10.xml" Type="http://schemas.openxmlformats.org/officeDocument/2006/relationships/drawing"/>
<Relationship Id="rId3" Target="../drawings/vmlDrawing8.vml" Type="http://schemas.openxmlformats.org/officeDocument/2006/relationships/vmlDrawing"/>
<Relationship Id="rId4" Target="../comments8.xml" Type="http://schemas.openxmlformats.org/officeDocument/2006/relationships/comment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Relationship Id="rId2" Target="../drawings/drawing11.xml" Type="http://schemas.openxmlformats.org/officeDocument/2006/relationships/drawing"/>
<Relationship Id="rId3" Target="../drawings/vmlDrawing9.vml" Type="http://schemas.openxmlformats.org/officeDocument/2006/relationships/vmlDrawing"/>
<Relationship Id="rId4" Target="../comments9.xml" Type="http://schemas.openxmlformats.org/officeDocument/2006/relationships/comment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Relationship Id="rId2" Target="../drawings/drawing12.xml" Type="http://schemas.openxmlformats.org/officeDocument/2006/relationships/drawing"/>
<Relationship Id="rId3" Target="../drawings/vmlDrawing10.vml" Type="http://schemas.openxmlformats.org/officeDocument/2006/relationships/vmlDrawing"/>
<Relationship Id="rId4" Target="../comments10.xml" Type="http://schemas.openxmlformats.org/officeDocument/2006/relationships/comments"/>
</Relationships>

</file>

<file path=xl/worksheets/_rels/sheet14.xml.rels><?xml version="1.0" encoding="UTF-8" standalone="yes"?>
<Relationships xmlns="http://schemas.openxmlformats.org/package/2006/relationships">
<Relationship Id="rId1" Target="../printerSettings/printerSettings14.bin" Type="http://schemas.openxmlformats.org/officeDocument/2006/relationships/printerSettings"/>
<Relationship Id="rId2" Target="../drawings/drawing13.xml" Type="http://schemas.openxmlformats.org/officeDocument/2006/relationships/drawing"/>
<Relationship Id="rId3" Target="../drawings/vmlDrawing11.vml" Type="http://schemas.openxmlformats.org/officeDocument/2006/relationships/vmlDrawing"/>
<Relationship Id="rId4" Target="../comments11.xml" Type="http://schemas.openxmlformats.org/officeDocument/2006/relationships/comments"/>
</Relationships>

</file>

<file path=xl/worksheets/_rels/sheet15.xml.rels><?xml version="1.0" encoding="UTF-8" standalone="yes"?>
<Relationships xmlns="http://schemas.openxmlformats.org/package/2006/relationships">
<Relationship Id="rId1" Target="../printerSettings/printerSettings15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"/>
  <sheetViews>
    <sheetView workbookViewId="0"/>
  </sheetViews>
  <sheetFormatPr defaultRowHeight="12.75"/>
  <sheetData>
    <row r="1" spans="1:2">
      <c r="A1" s="182"/>
      <c r="B1" t="s">
        <v>850</v>
      </c>
    </row>
  </sheetData>
  <phoneticPr fontId="39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7"/>
  <sheetViews>
    <sheetView showGridLines="0" tabSelected="1" workbookViewId="0">
      <selection activeCell="Z1" sqref="Z1"/>
    </sheetView>
  </sheetViews>
  <sheetFormatPr defaultRowHeight="12.75"/>
  <cols>
    <col min="1" max="1" width="25.7109375" style="2338" customWidth="1"/>
    <col min="2" max="5" width="9.140625" style="2338"/>
    <col min="6" max="6" width="18.7109375" style="2338" customWidth="1"/>
    <col min="7" max="256" width="9.140625" style="2338"/>
    <col min="257" max="257" width="100.7109375" style="2338" customWidth="1"/>
    <col min="258" max="512" width="9.140625" style="2338"/>
    <col min="513" max="513" width="100.7109375" style="2338" customWidth="1"/>
    <col min="514" max="768" width="9.140625" style="2338"/>
    <col min="769" max="769" width="100.7109375" style="2338" customWidth="1"/>
    <col min="770" max="1024" width="9.140625" style="2338"/>
    <col min="1025" max="1025" width="100.7109375" style="2338" customWidth="1"/>
    <col min="1026" max="1280" width="9.140625" style="2338"/>
    <col min="1281" max="1281" width="100.7109375" style="2338" customWidth="1"/>
    <col min="1282" max="1536" width="9.140625" style="2338"/>
    <col min="1537" max="1537" width="100.7109375" style="2338" customWidth="1"/>
    <col min="1538" max="1792" width="9.140625" style="2338"/>
    <col min="1793" max="1793" width="100.7109375" style="2338" customWidth="1"/>
    <col min="1794" max="2048" width="9.140625" style="2338"/>
    <col min="2049" max="2049" width="100.7109375" style="2338" customWidth="1"/>
    <col min="2050" max="2304" width="9.140625" style="2338"/>
    <col min="2305" max="2305" width="100.7109375" style="2338" customWidth="1"/>
    <col min="2306" max="2560" width="9.140625" style="2338"/>
    <col min="2561" max="2561" width="100.7109375" style="2338" customWidth="1"/>
    <col min="2562" max="2816" width="9.140625" style="2338"/>
    <col min="2817" max="2817" width="100.7109375" style="2338" customWidth="1"/>
    <col min="2818" max="3072" width="9.140625" style="2338"/>
    <col min="3073" max="3073" width="100.7109375" style="2338" customWidth="1"/>
    <col min="3074" max="3328" width="9.140625" style="2338"/>
    <col min="3329" max="3329" width="100.7109375" style="2338" customWidth="1"/>
    <col min="3330" max="3584" width="9.140625" style="2338"/>
    <col min="3585" max="3585" width="100.7109375" style="2338" customWidth="1"/>
    <col min="3586" max="3840" width="9.140625" style="2338"/>
    <col min="3841" max="3841" width="100.7109375" style="2338" customWidth="1"/>
    <col min="3842" max="4096" width="9.140625" style="2338"/>
    <col min="4097" max="4097" width="100.7109375" style="2338" customWidth="1"/>
    <col min="4098" max="4352" width="9.140625" style="2338"/>
    <col min="4353" max="4353" width="100.7109375" style="2338" customWidth="1"/>
    <col min="4354" max="4608" width="9.140625" style="2338"/>
    <col min="4609" max="4609" width="100.7109375" style="2338" customWidth="1"/>
    <col min="4610" max="4864" width="9.140625" style="2338"/>
    <col min="4865" max="4865" width="100.7109375" style="2338" customWidth="1"/>
    <col min="4866" max="5120" width="9.140625" style="2338"/>
    <col min="5121" max="5121" width="100.7109375" style="2338" customWidth="1"/>
    <col min="5122" max="5376" width="9.140625" style="2338"/>
    <col min="5377" max="5377" width="100.7109375" style="2338" customWidth="1"/>
    <col min="5378" max="5632" width="9.140625" style="2338"/>
    <col min="5633" max="5633" width="100.7109375" style="2338" customWidth="1"/>
    <col min="5634" max="5888" width="9.140625" style="2338"/>
    <col min="5889" max="5889" width="100.7109375" style="2338" customWidth="1"/>
    <col min="5890" max="6144" width="9.140625" style="2338"/>
    <col min="6145" max="6145" width="100.7109375" style="2338" customWidth="1"/>
    <col min="6146" max="6400" width="9.140625" style="2338"/>
    <col min="6401" max="6401" width="100.7109375" style="2338" customWidth="1"/>
    <col min="6402" max="6656" width="9.140625" style="2338"/>
    <col min="6657" max="6657" width="100.7109375" style="2338" customWidth="1"/>
    <col min="6658" max="6912" width="9.140625" style="2338"/>
    <col min="6913" max="6913" width="100.7109375" style="2338" customWidth="1"/>
    <col min="6914" max="7168" width="9.140625" style="2338"/>
    <col min="7169" max="7169" width="100.7109375" style="2338" customWidth="1"/>
    <col min="7170" max="7424" width="9.140625" style="2338"/>
    <col min="7425" max="7425" width="100.7109375" style="2338" customWidth="1"/>
    <col min="7426" max="7680" width="9.140625" style="2338"/>
    <col min="7681" max="7681" width="100.7109375" style="2338" customWidth="1"/>
    <col min="7682" max="7936" width="9.140625" style="2338"/>
    <col min="7937" max="7937" width="100.7109375" style="2338" customWidth="1"/>
    <col min="7938" max="8192" width="9.140625" style="2338"/>
    <col min="8193" max="8193" width="100.7109375" style="2338" customWidth="1"/>
    <col min="8194" max="8448" width="9.140625" style="2338"/>
    <col min="8449" max="8449" width="100.7109375" style="2338" customWidth="1"/>
    <col min="8450" max="8704" width="9.140625" style="2338"/>
    <col min="8705" max="8705" width="100.7109375" style="2338" customWidth="1"/>
    <col min="8706" max="8960" width="9.140625" style="2338"/>
    <col min="8961" max="8961" width="100.7109375" style="2338" customWidth="1"/>
    <col min="8962" max="9216" width="9.140625" style="2338"/>
    <col min="9217" max="9217" width="100.7109375" style="2338" customWidth="1"/>
    <col min="9218" max="9472" width="9.140625" style="2338"/>
    <col min="9473" max="9473" width="100.7109375" style="2338" customWidth="1"/>
    <col min="9474" max="9728" width="9.140625" style="2338"/>
    <col min="9729" max="9729" width="100.7109375" style="2338" customWidth="1"/>
    <col min="9730" max="9984" width="9.140625" style="2338"/>
    <col min="9985" max="9985" width="100.7109375" style="2338" customWidth="1"/>
    <col min="9986" max="10240" width="9.140625" style="2338"/>
    <col min="10241" max="10241" width="100.7109375" style="2338" customWidth="1"/>
    <col min="10242" max="10496" width="9.140625" style="2338"/>
    <col min="10497" max="10497" width="100.7109375" style="2338" customWidth="1"/>
    <col min="10498" max="10752" width="9.140625" style="2338"/>
    <col min="10753" max="10753" width="100.7109375" style="2338" customWidth="1"/>
    <col min="10754" max="11008" width="9.140625" style="2338"/>
    <col min="11009" max="11009" width="100.7109375" style="2338" customWidth="1"/>
    <col min="11010" max="11264" width="9.140625" style="2338"/>
    <col min="11265" max="11265" width="100.7109375" style="2338" customWidth="1"/>
    <col min="11266" max="11520" width="9.140625" style="2338"/>
    <col min="11521" max="11521" width="100.7109375" style="2338" customWidth="1"/>
    <col min="11522" max="11776" width="9.140625" style="2338"/>
    <col min="11777" max="11777" width="100.7109375" style="2338" customWidth="1"/>
    <col min="11778" max="12032" width="9.140625" style="2338"/>
    <col min="12033" max="12033" width="100.7109375" style="2338" customWidth="1"/>
    <col min="12034" max="12288" width="9.140625" style="2338"/>
    <col min="12289" max="12289" width="100.7109375" style="2338" customWidth="1"/>
    <col min="12290" max="12544" width="9.140625" style="2338"/>
    <col min="12545" max="12545" width="100.7109375" style="2338" customWidth="1"/>
    <col min="12546" max="12800" width="9.140625" style="2338"/>
    <col min="12801" max="12801" width="100.7109375" style="2338" customWidth="1"/>
    <col min="12802" max="13056" width="9.140625" style="2338"/>
    <col min="13057" max="13057" width="100.7109375" style="2338" customWidth="1"/>
    <col min="13058" max="13312" width="9.140625" style="2338"/>
    <col min="13313" max="13313" width="100.7109375" style="2338" customWidth="1"/>
    <col min="13314" max="13568" width="9.140625" style="2338"/>
    <col min="13569" max="13569" width="100.7109375" style="2338" customWidth="1"/>
    <col min="13570" max="13824" width="9.140625" style="2338"/>
    <col min="13825" max="13825" width="100.7109375" style="2338" customWidth="1"/>
    <col min="13826" max="14080" width="9.140625" style="2338"/>
    <col min="14081" max="14081" width="100.7109375" style="2338" customWidth="1"/>
    <col min="14082" max="14336" width="9.140625" style="2338"/>
    <col min="14337" max="14337" width="100.7109375" style="2338" customWidth="1"/>
    <col min="14338" max="14592" width="9.140625" style="2338"/>
    <col min="14593" max="14593" width="100.7109375" style="2338" customWidth="1"/>
    <col min="14594" max="14848" width="9.140625" style="2338"/>
    <col min="14849" max="14849" width="100.7109375" style="2338" customWidth="1"/>
    <col min="14850" max="15104" width="9.140625" style="2338"/>
    <col min="15105" max="15105" width="100.7109375" style="2338" customWidth="1"/>
    <col min="15106" max="15360" width="9.140625" style="2338"/>
    <col min="15361" max="15361" width="100.7109375" style="2338" customWidth="1"/>
    <col min="15362" max="15616" width="9.140625" style="2338"/>
    <col min="15617" max="15617" width="100.7109375" style="2338" customWidth="1"/>
    <col min="15618" max="15872" width="9.140625" style="2338"/>
    <col min="15873" max="15873" width="100.7109375" style="2338" customWidth="1"/>
    <col min="15874" max="16128" width="9.140625" style="2338"/>
    <col min="16129" max="16129" width="100.7109375" style="2338" customWidth="1"/>
    <col min="16130" max="16384" width="9.140625" style="2338"/>
  </cols>
  <sheetData>
    <row r="1" spans="1:8" ht="30" customHeight="1">
      <c r="A1" s="2336"/>
      <c r="B1" s="2337"/>
      <c r="C1" s="2337"/>
      <c r="D1" s="2337"/>
      <c r="E1" s="2337"/>
      <c r="F1" s="2337"/>
      <c r="G1" s="2337"/>
      <c r="H1" s="2337"/>
    </row>
    <row r="2" spans="1:8" ht="14.25">
      <c r="A2" s="2339" t="s">
        <v>1239</v>
      </c>
      <c r="B2" s="2337"/>
      <c r="C2" s="2337"/>
      <c r="D2" s="2337"/>
      <c r="E2" s="2337"/>
      <c r="F2" s="2337"/>
      <c r="G2" s="2337"/>
      <c r="H2" s="2337"/>
    </row>
    <row r="3" spans="1:8" ht="14.25">
      <c r="A3" s="2339" t="s">
        <v>1240</v>
      </c>
      <c r="B3" s="2337"/>
      <c r="C3" s="2337"/>
      <c r="D3" s="2337"/>
      <c r="E3" s="2337"/>
      <c r="F3" s="2337"/>
      <c r="G3" s="2337"/>
      <c r="H3" s="2337"/>
    </row>
    <row r="4" spans="1:8" ht="14.25">
      <c r="A4" s="2339" t="s">
        <v>1241</v>
      </c>
      <c r="B4" s="2337"/>
      <c r="C4" s="2337"/>
      <c r="D4" s="2337"/>
      <c r="E4" s="2337"/>
      <c r="F4" s="2337"/>
      <c r="G4" s="2337"/>
      <c r="H4" s="2337"/>
    </row>
    <row r="5" spans="1:8" ht="14.25">
      <c r="A5" s="2339" t="s">
        <v>1242</v>
      </c>
      <c r="B5" s="2337"/>
      <c r="C5" s="2337"/>
      <c r="D5" s="2337"/>
      <c r="E5" s="2337"/>
      <c r="F5" s="2337"/>
      <c r="G5" s="2337"/>
      <c r="H5" s="2337"/>
    </row>
    <row r="6" spans="1:8" ht="14.25">
      <c r="A6" s="2339"/>
      <c r="B6" s="2337"/>
      <c r="C6" s="2337"/>
      <c r="D6" s="2337"/>
      <c r="E6" s="2337"/>
      <c r="F6" s="2337"/>
      <c r="G6" s="2337"/>
      <c r="H6" s="2337"/>
    </row>
    <row r="7" spans="1:8">
      <c r="A7" s="2336" t="s">
        <v>1243</v>
      </c>
      <c r="B7" s="2337"/>
      <c r="C7" s="2337"/>
      <c r="D7" s="2337"/>
      <c r="E7" s="2337"/>
      <c r="F7" s="2337"/>
      <c r="G7" s="2337"/>
      <c r="H7" s="2337"/>
    </row>
    <row r="8" spans="1:8">
      <c r="A8" s="2336" t="s">
        <v>1244</v>
      </c>
      <c r="B8" s="2337"/>
      <c r="C8" s="2337"/>
      <c r="D8" s="2337"/>
      <c r="E8" s="2337"/>
      <c r="F8" s="2337"/>
      <c r="G8" s="2337"/>
      <c r="H8" s="2337"/>
    </row>
    <row r="9" spans="1:8">
      <c r="A9" s="2336"/>
      <c r="B9" s="2337"/>
      <c r="C9" s="2337"/>
      <c r="D9" s="2337"/>
      <c r="E9" s="2337"/>
      <c r="F9" s="2337"/>
      <c r="G9" s="2337"/>
      <c r="H9" s="2337"/>
    </row>
    <row r="10" spans="1:8">
      <c r="A10" s="2340" t="s">
        <v>1245</v>
      </c>
      <c r="B10" s="2337"/>
      <c r="C10" s="2337"/>
      <c r="D10" s="2337"/>
      <c r="E10" s="2337"/>
      <c r="F10" s="2337"/>
      <c r="G10" s="2337"/>
      <c r="H10" s="2337"/>
    </row>
    <row r="11" spans="1:8">
      <c r="A11" s="2340" t="s">
        <v>1246</v>
      </c>
      <c r="B11" s="2337"/>
      <c r="C11" s="2337"/>
      <c r="D11" s="2337"/>
      <c r="E11" s="2337"/>
      <c r="F11" s="2337"/>
      <c r="G11" s="2337"/>
      <c r="H11" s="2337"/>
    </row>
    <row r="12" spans="1:8">
      <c r="A12" s="2340" t="s">
        <v>1247</v>
      </c>
      <c r="B12" s="2337"/>
      <c r="C12" s="2337"/>
      <c r="D12" s="2337"/>
      <c r="E12" s="2337"/>
      <c r="F12" s="2337"/>
      <c r="G12" s="2337"/>
      <c r="H12" s="2337"/>
    </row>
    <row r="13" spans="1:8">
      <c r="A13" s="2340" t="s">
        <v>1248</v>
      </c>
      <c r="B13" s="2337"/>
      <c r="C13" s="2337"/>
      <c r="D13" s="2337"/>
      <c r="E13" s="2337"/>
      <c r="F13" s="2337"/>
      <c r="G13" s="2337"/>
      <c r="H13" s="2337"/>
    </row>
    <row r="14" spans="1:8">
      <c r="A14" s="2340" t="s">
        <v>1249</v>
      </c>
      <c r="B14" s="2337"/>
      <c r="C14" s="2337"/>
      <c r="D14" s="2337"/>
      <c r="E14" s="2337"/>
      <c r="F14" s="2337"/>
      <c r="G14" s="2337"/>
      <c r="H14" s="2337"/>
    </row>
    <row r="15" spans="1:8">
      <c r="A15" s="2340" t="s">
        <v>1250</v>
      </c>
      <c r="B15" s="2337"/>
      <c r="C15" s="2337"/>
      <c r="D15" s="2337"/>
      <c r="E15" s="2337"/>
      <c r="F15" s="2337"/>
      <c r="G15" s="2337"/>
      <c r="H15" s="2337"/>
    </row>
    <row r="16" spans="1:8">
      <c r="A16" s="2340"/>
      <c r="B16" s="2337"/>
      <c r="C16" s="2337"/>
      <c r="D16" s="2337"/>
      <c r="E16" s="2337"/>
      <c r="F16" s="2337"/>
      <c r="G16" s="2337"/>
      <c r="H16" s="2337"/>
    </row>
    <row r="17" spans="1:8">
      <c r="A17" s="2340" t="s">
        <v>1236</v>
      </c>
      <c r="B17" s="2337"/>
      <c r="C17" s="2337"/>
      <c r="D17" s="2337"/>
      <c r="E17" s="2337"/>
      <c r="F17" s="2337"/>
      <c r="G17" s="2337"/>
      <c r="H17" s="2337"/>
    </row>
    <row r="18" spans="1:8">
      <c r="A18" s="2340"/>
      <c r="B18" s="2337"/>
      <c r="C18" s="2337"/>
      <c r="D18" s="2337"/>
      <c r="E18" s="2337"/>
      <c r="F18" s="2337"/>
      <c r="G18" s="2337"/>
      <c r="H18" s="2337"/>
    </row>
    <row r="19" spans="1:8">
      <c r="A19" s="2340" t="s">
        <v>1237</v>
      </c>
      <c r="B19" s="2337"/>
      <c r="C19" s="2337"/>
      <c r="D19" s="2337"/>
      <c r="E19" s="2337"/>
      <c r="F19" s="2337"/>
      <c r="G19" s="2337"/>
      <c r="H19" s="2337"/>
    </row>
    <row r="20" spans="1:8">
      <c r="A20" s="2336"/>
      <c r="B20" s="2337"/>
      <c r="C20" s="2337"/>
      <c r="D20" s="2337"/>
      <c r="E20" s="2337"/>
      <c r="F20" s="2337"/>
      <c r="G20" s="2337"/>
      <c r="H20" s="2337"/>
    </row>
    <row r="21" spans="1:8">
      <c r="A21" s="2341" t="s">
        <v>1238</v>
      </c>
      <c r="B21" s="2337"/>
      <c r="C21" s="2337"/>
      <c r="D21" s="2337"/>
      <c r="E21" s="2337"/>
      <c r="F21" s="2337"/>
      <c r="G21" s="2337"/>
      <c r="H21" s="2337"/>
    </row>
    <row r="22" spans="1:8">
      <c r="A22" s="2342"/>
      <c r="B22" s="2342"/>
      <c r="C22" s="2342"/>
      <c r="D22" s="2342"/>
      <c r="E22" s="2342"/>
      <c r="F22" s="2342"/>
      <c r="G22" s="2342"/>
      <c r="H22" s="2342"/>
    </row>
    <row r="23" spans="1:8">
      <c r="A23" s="2343" t="s">
        <v>1532</v>
      </c>
      <c r="B23" s="2342"/>
      <c r="C23" s="2342"/>
      <c r="D23" s="2342"/>
      <c r="E23" s="2342"/>
      <c r="F23" s="2342"/>
      <c r="G23" s="2342"/>
      <c r="H23" s="2342"/>
    </row>
    <row r="24" spans="1:8">
      <c r="A24" s="2343" t="s">
        <v>1533</v>
      </c>
      <c r="B24" s="2342"/>
      <c r="C24" s="2342"/>
      <c r="D24" s="2342"/>
      <c r="E24" s="2342"/>
      <c r="F24" s="2342"/>
      <c r="G24" s="2342"/>
      <c r="H24" s="2342"/>
    </row>
    <row r="25" spans="1:8">
      <c r="A25" s="2343" t="s">
        <v>1534</v>
      </c>
      <c r="B25" s="2342"/>
      <c r="C25" s="2342"/>
      <c r="D25" s="2342"/>
      <c r="E25" s="2342"/>
      <c r="F25" s="2342"/>
      <c r="G25" s="2342"/>
      <c r="H25" s="2342"/>
    </row>
    <row r="26" spans="1:8">
      <c r="A26" s="2343" t="s">
        <v>1535</v>
      </c>
      <c r="B26" s="2342"/>
      <c r="C26" s="2342"/>
      <c r="D26" s="2342"/>
      <c r="E26" s="2342"/>
      <c r="F26" s="2342"/>
      <c r="G26" s="2342"/>
      <c r="H26" s="2342"/>
    </row>
    <row r="27" spans="1:8">
      <c r="A27" s="2342"/>
      <c r="B27" s="2342"/>
      <c r="C27" s="2342"/>
      <c r="D27" s="2342"/>
      <c r="E27" s="2342"/>
      <c r="F27" s="2342"/>
      <c r="G27" s="2342"/>
      <c r="H27" s="2342"/>
    </row>
    <row r="28" spans="1:8">
      <c r="A28" s="2342"/>
      <c r="B28" s="2342"/>
      <c r="C28" s="2342"/>
      <c r="D28" s="2342"/>
      <c r="E28" s="2342"/>
      <c r="F28" s="2342"/>
      <c r="G28" s="2342"/>
      <c r="H28" s="2342"/>
    </row>
    <row r="29" spans="1:8">
      <c r="A29" s="2343" t="s">
        <v>1527</v>
      </c>
      <c r="B29" s="2342"/>
      <c r="C29" s="2342"/>
      <c r="D29" s="2342"/>
      <c r="E29" s="2342"/>
      <c r="F29" s="2342"/>
      <c r="G29" s="2342"/>
      <c r="H29" s="2342"/>
    </row>
    <row r="30" spans="1:8">
      <c r="A30" s="2343" t="s">
        <v>1528</v>
      </c>
      <c r="B30" s="2342"/>
      <c r="C30" s="2342"/>
      <c r="D30" s="2342"/>
      <c r="E30" s="2342"/>
      <c r="F30" s="2342"/>
      <c r="G30" s="2342"/>
      <c r="H30" s="2342"/>
    </row>
    <row r="31" spans="1:8">
      <c r="A31" s="2343" t="s">
        <v>1529</v>
      </c>
      <c r="B31" s="2342"/>
      <c r="C31" s="2342"/>
      <c r="D31" s="2342"/>
      <c r="E31" s="2342"/>
      <c r="F31" s="2342"/>
      <c r="G31" s="2342"/>
      <c r="H31" s="2342"/>
    </row>
    <row r="32" spans="1:8">
      <c r="A32" s="2343" t="s">
        <v>1530</v>
      </c>
      <c r="B32" s="2342"/>
      <c r="C32" s="2342"/>
      <c r="D32" s="2342"/>
      <c r="E32" s="2342"/>
      <c r="F32" s="2342"/>
      <c r="G32" s="2342"/>
      <c r="H32" s="2342"/>
    </row>
    <row r="33" spans="1:8">
      <c r="A33" s="2343" t="s">
        <v>1531</v>
      </c>
      <c r="B33" s="2342"/>
      <c r="C33" s="2342"/>
      <c r="D33" s="2342"/>
      <c r="E33" s="2342"/>
      <c r="F33" s="2342"/>
      <c r="G33" s="2342"/>
      <c r="H33" s="2342"/>
    </row>
    <row r="34" spans="1:8">
      <c r="A34" s="2342"/>
      <c r="B34" s="2342"/>
      <c r="C34" s="2342"/>
      <c r="D34" s="2342"/>
      <c r="E34" s="2342"/>
      <c r="F34" s="2342"/>
      <c r="G34" s="2342"/>
      <c r="H34" s="2342"/>
    </row>
    <row r="35" spans="1:8">
      <c r="A35" s="2343" t="s">
        <v>1523</v>
      </c>
      <c r="B35" s="2342"/>
      <c r="C35" s="2342"/>
      <c r="D35" s="2342"/>
      <c r="E35" s="2342"/>
      <c r="F35" s="2342"/>
      <c r="G35" s="2342"/>
      <c r="H35" s="2342"/>
    </row>
    <row r="36" spans="1:8">
      <c r="A36" s="2343" t="s">
        <v>1524</v>
      </c>
      <c r="B36" s="2342"/>
      <c r="C36" s="2342"/>
      <c r="D36" s="2342"/>
      <c r="E36" s="2342"/>
      <c r="F36" s="2342"/>
      <c r="G36" s="2342"/>
      <c r="H36" s="2342"/>
    </row>
    <row r="37" spans="1:8">
      <c r="A37" s="2343" t="s">
        <v>1525</v>
      </c>
      <c r="B37" s="2342"/>
      <c r="C37" s="2342"/>
      <c r="D37" s="2342"/>
      <c r="E37" s="2342"/>
      <c r="F37" s="2342"/>
      <c r="G37" s="2342"/>
      <c r="H37" s="2342"/>
    </row>
    <row r="38" spans="1:8">
      <c r="A38" s="2343" t="s">
        <v>1526</v>
      </c>
      <c r="B38" s="2342"/>
      <c r="C38" s="2342"/>
      <c r="D38" s="2342"/>
      <c r="E38" s="2342"/>
      <c r="F38" s="2342"/>
      <c r="G38" s="2342"/>
      <c r="H38" s="2342"/>
    </row>
    <row r="39" spans="1:8">
      <c r="A39" s="2342"/>
      <c r="B39" s="2342"/>
      <c r="C39" s="2342"/>
      <c r="D39" s="2342"/>
      <c r="E39" s="2342"/>
      <c r="F39" s="2342"/>
      <c r="G39" s="2342"/>
      <c r="H39" s="2342"/>
    </row>
    <row r="40" spans="1:8">
      <c r="A40" s="2343" t="s">
        <v>1517</v>
      </c>
      <c r="B40" s="2342"/>
      <c r="C40" s="2342"/>
      <c r="D40" s="2342"/>
      <c r="E40" s="2342"/>
      <c r="F40" s="2342"/>
      <c r="G40" s="2342"/>
      <c r="H40" s="2342"/>
    </row>
    <row r="41" spans="1:8">
      <c r="A41" s="2343" t="s">
        <v>1518</v>
      </c>
      <c r="B41" s="2342"/>
      <c r="C41" s="2342"/>
      <c r="D41" s="2342"/>
      <c r="E41" s="2342"/>
      <c r="F41" s="2342"/>
      <c r="G41" s="2342"/>
      <c r="H41" s="2342"/>
    </row>
    <row r="42" spans="1:8">
      <c r="A42" s="2343" t="s">
        <v>1519</v>
      </c>
      <c r="B42" s="2342"/>
      <c r="C42" s="2342"/>
      <c r="D42" s="2342"/>
      <c r="E42" s="2342"/>
      <c r="F42" s="2342"/>
      <c r="G42" s="2342"/>
      <c r="H42" s="2342"/>
    </row>
    <row r="43" spans="1:8">
      <c r="A43" s="2343" t="s">
        <v>1520</v>
      </c>
      <c r="B43" s="2342"/>
      <c r="C43" s="2342"/>
      <c r="D43" s="2342"/>
      <c r="E43" s="2342"/>
      <c r="F43" s="2342"/>
      <c r="G43" s="2342"/>
      <c r="H43" s="2342"/>
    </row>
    <row r="44" spans="1:8">
      <c r="A44" s="2343" t="s">
        <v>1521</v>
      </c>
      <c r="B44" s="2342"/>
      <c r="C44" s="2342"/>
      <c r="D44" s="2342"/>
      <c r="E44" s="2342"/>
      <c r="F44" s="2342"/>
      <c r="G44" s="2342"/>
      <c r="H44" s="2342"/>
    </row>
    <row r="45" spans="1:8">
      <c r="A45" s="2343" t="s">
        <v>1522</v>
      </c>
      <c r="B45" s="2342"/>
      <c r="C45" s="2342"/>
      <c r="D45" s="2342"/>
      <c r="E45" s="2342"/>
      <c r="F45" s="2342"/>
      <c r="G45" s="2342"/>
      <c r="H45" s="2342"/>
    </row>
    <row r="46" spans="1:8">
      <c r="A46" s="2342"/>
      <c r="B46" s="2342"/>
      <c r="C46" s="2342"/>
      <c r="D46" s="2342"/>
      <c r="E46" s="2342"/>
      <c r="F46" s="2342"/>
      <c r="G46" s="2342"/>
      <c r="H46" s="2342"/>
    </row>
    <row r="47" spans="1:8" ht="15.75">
      <c r="A47" s="2344" t="s">
        <v>1251</v>
      </c>
      <c r="B47" s="2342"/>
      <c r="C47" s="2342"/>
      <c r="D47" s="2342"/>
      <c r="E47" s="2342"/>
      <c r="F47" s="2342"/>
      <c r="G47" s="2342"/>
      <c r="H47" s="2342"/>
    </row>
    <row r="48" spans="1:8">
      <c r="A48" s="2342"/>
      <c r="B48" s="2342"/>
      <c r="C48" s="2342"/>
      <c r="D48" s="2342"/>
      <c r="E48" s="2342"/>
      <c r="F48" s="2342"/>
      <c r="G48" s="2342"/>
      <c r="H48" s="2342"/>
    </row>
    <row r="49" spans="1:8">
      <c r="A49" s="2343" t="s">
        <v>1513</v>
      </c>
      <c r="B49" s="2342"/>
      <c r="C49" s="2342"/>
      <c r="D49" s="2342"/>
      <c r="E49" s="2342"/>
      <c r="F49" s="2342"/>
      <c r="G49" s="2342"/>
      <c r="H49" s="2342"/>
    </row>
    <row r="50" spans="1:8">
      <c r="A50" s="2343" t="s">
        <v>1514</v>
      </c>
      <c r="B50" s="2342"/>
      <c r="C50" s="2342"/>
      <c r="D50" s="2342"/>
      <c r="E50" s="2342"/>
      <c r="F50" s="2342"/>
      <c r="G50" s="2342"/>
      <c r="H50" s="2342"/>
    </row>
    <row r="51" spans="1:8">
      <c r="A51" s="2343" t="s">
        <v>1515</v>
      </c>
      <c r="B51" s="2342"/>
      <c r="C51" s="2342"/>
      <c r="D51" s="2342"/>
      <c r="E51" s="2342"/>
      <c r="F51" s="2342"/>
      <c r="G51" s="2342"/>
      <c r="H51" s="2342"/>
    </row>
    <row r="52" spans="1:8">
      <c r="A52" s="2343" t="s">
        <v>1516</v>
      </c>
      <c r="B52" s="2342"/>
      <c r="C52" s="2342"/>
      <c r="D52" s="2342"/>
      <c r="E52" s="2342"/>
      <c r="F52" s="2342"/>
      <c r="G52" s="2342"/>
      <c r="H52" s="2342"/>
    </row>
    <row r="53" spans="1:8">
      <c r="A53" s="2342"/>
      <c r="B53" s="2342"/>
      <c r="C53" s="2342"/>
      <c r="D53" s="2342"/>
      <c r="E53" s="2342"/>
      <c r="F53" s="2342"/>
      <c r="G53" s="2342"/>
      <c r="H53" s="2342"/>
    </row>
    <row r="54" spans="1:8">
      <c r="A54" s="2343" t="s">
        <v>1252</v>
      </c>
      <c r="B54" s="2342"/>
      <c r="C54" s="2342"/>
      <c r="D54" s="2342"/>
      <c r="E54" s="2342"/>
      <c r="F54" s="2342"/>
      <c r="G54" s="2342"/>
      <c r="H54" s="2342"/>
    </row>
    <row r="55" spans="1:8">
      <c r="A55" s="2342"/>
      <c r="B55" s="2342"/>
      <c r="C55" s="2342"/>
      <c r="D55" s="2342"/>
      <c r="E55" s="2342"/>
      <c r="F55" s="2342"/>
      <c r="G55" s="2342"/>
      <c r="H55" s="2342"/>
    </row>
    <row r="56" spans="1:8" ht="15.75">
      <c r="A56" s="2344" t="s">
        <v>1253</v>
      </c>
      <c r="B56" s="2342"/>
      <c r="C56" s="2342"/>
      <c r="D56" s="2342"/>
      <c r="E56" s="2342"/>
      <c r="F56" s="2342"/>
      <c r="G56" s="2342"/>
      <c r="H56" s="2342"/>
    </row>
    <row r="57" spans="1:8">
      <c r="A57" s="2342"/>
      <c r="B57" s="2342"/>
      <c r="C57" s="2342"/>
      <c r="D57" s="2342"/>
      <c r="E57" s="2342"/>
      <c r="F57" s="2342"/>
      <c r="G57" s="2342"/>
      <c r="H57" s="2342"/>
    </row>
    <row r="58" spans="1:8">
      <c r="A58" s="2343" t="s">
        <v>1511</v>
      </c>
      <c r="B58" s="2342"/>
      <c r="C58" s="2342"/>
      <c r="D58" s="2342"/>
      <c r="E58" s="2342"/>
      <c r="F58" s="2342"/>
      <c r="G58" s="2342"/>
      <c r="H58" s="2342"/>
    </row>
    <row r="59" spans="1:8">
      <c r="A59" s="2343" t="s">
        <v>1512</v>
      </c>
      <c r="B59" s="2342"/>
      <c r="C59" s="2342"/>
      <c r="D59" s="2342"/>
      <c r="E59" s="2342"/>
      <c r="F59" s="2342"/>
      <c r="G59" s="2342"/>
      <c r="H59" s="2342"/>
    </row>
    <row r="60" spans="1:8">
      <c r="A60" s="2342"/>
      <c r="B60" s="2342"/>
      <c r="C60" s="2342"/>
      <c r="D60" s="2342"/>
      <c r="E60" s="2342"/>
      <c r="F60" s="2342"/>
      <c r="G60" s="2342"/>
      <c r="H60" s="2342"/>
    </row>
    <row r="61" spans="1:8" ht="15.75">
      <c r="A61" s="2344" t="s">
        <v>1254</v>
      </c>
      <c r="B61" s="2342"/>
      <c r="C61" s="2342"/>
      <c r="D61" s="2342"/>
      <c r="E61" s="2342"/>
      <c r="F61" s="2342"/>
      <c r="G61" s="2342"/>
      <c r="H61" s="2342"/>
    </row>
    <row r="62" spans="1:8">
      <c r="A62" s="2342"/>
      <c r="B62" s="2342"/>
      <c r="C62" s="2342"/>
      <c r="D62" s="2342"/>
      <c r="E62" s="2342"/>
      <c r="F62" s="2342"/>
      <c r="G62" s="2342"/>
      <c r="H62" s="2342"/>
    </row>
    <row r="63" spans="1:8">
      <c r="A63" s="2343" t="s">
        <v>1509</v>
      </c>
      <c r="B63" s="2342"/>
      <c r="C63" s="2342"/>
      <c r="D63" s="2342"/>
      <c r="E63" s="2342"/>
      <c r="F63" s="2342"/>
      <c r="G63" s="2342"/>
      <c r="H63" s="2342"/>
    </row>
    <row r="64" spans="1:8">
      <c r="A64" s="2343" t="s">
        <v>1510</v>
      </c>
      <c r="B64" s="2342"/>
      <c r="C64" s="2342"/>
      <c r="D64" s="2342"/>
      <c r="E64" s="2342"/>
      <c r="F64" s="2342"/>
      <c r="G64" s="2342"/>
      <c r="H64" s="2342"/>
    </row>
    <row r="65" spans="1:8">
      <c r="A65" s="2342"/>
      <c r="B65" s="2342"/>
      <c r="C65" s="2342"/>
      <c r="D65" s="2342"/>
      <c r="E65" s="2342"/>
      <c r="F65" s="2342"/>
      <c r="G65" s="2342"/>
      <c r="H65" s="2342"/>
    </row>
    <row r="66" spans="1:8">
      <c r="A66" s="2343" t="s">
        <v>1508</v>
      </c>
      <c r="B66" s="2342"/>
      <c r="C66" s="2342"/>
      <c r="D66" s="2342"/>
      <c r="E66" s="2342"/>
      <c r="F66" s="2342"/>
      <c r="G66" s="2342"/>
      <c r="H66" s="2342"/>
    </row>
    <row r="67" spans="1:8">
      <c r="A67" s="2343" t="s">
        <v>345</v>
      </c>
      <c r="B67" s="2342"/>
      <c r="C67" s="2342"/>
      <c r="D67" s="2342"/>
      <c r="E67" s="2342"/>
      <c r="F67" s="2342"/>
      <c r="G67" s="2342"/>
      <c r="H67" s="2342"/>
    </row>
    <row r="68" spans="1:8">
      <c r="A68" s="2342"/>
      <c r="B68" s="2342"/>
      <c r="C68" s="2342"/>
      <c r="D68" s="2342"/>
      <c r="E68" s="2342"/>
      <c r="F68" s="2342"/>
      <c r="G68" s="2342"/>
      <c r="H68" s="2342"/>
    </row>
    <row r="69" spans="1:8">
      <c r="A69" s="2343" t="s">
        <v>1506</v>
      </c>
      <c r="B69" s="2342"/>
      <c r="C69" s="2342"/>
      <c r="D69" s="2342"/>
      <c r="E69" s="2342"/>
      <c r="F69" s="2342"/>
      <c r="G69" s="2342"/>
      <c r="H69" s="2342"/>
    </row>
    <row r="70" spans="1:8">
      <c r="A70" s="2343" t="s">
        <v>1507</v>
      </c>
      <c r="B70" s="2342"/>
      <c r="C70" s="2342"/>
      <c r="D70" s="2342"/>
      <c r="E70" s="2342"/>
      <c r="F70" s="2342"/>
      <c r="G70" s="2342"/>
      <c r="H70" s="2342"/>
    </row>
    <row r="71" spans="1:8">
      <c r="A71" s="2342"/>
      <c r="B71" s="2342"/>
      <c r="C71" s="2342"/>
      <c r="D71" s="2342"/>
      <c r="E71" s="2342"/>
      <c r="F71" s="2342"/>
      <c r="G71" s="2342"/>
      <c r="H71" s="2342"/>
    </row>
    <row r="72" spans="1:8">
      <c r="A72" s="2343" t="s">
        <v>1504</v>
      </c>
      <c r="B72" s="2342"/>
      <c r="C72" s="2342"/>
      <c r="D72" s="2342"/>
      <c r="E72" s="2342"/>
      <c r="F72" s="2342"/>
      <c r="G72" s="2342"/>
      <c r="H72" s="2342"/>
    </row>
    <row r="73" spans="1:8">
      <c r="A73" s="2343" t="s">
        <v>1505</v>
      </c>
      <c r="B73" s="2342"/>
      <c r="C73" s="2342"/>
      <c r="D73" s="2342"/>
      <c r="E73" s="2342"/>
      <c r="F73" s="2342"/>
      <c r="G73" s="2342"/>
      <c r="H73" s="2342"/>
    </row>
    <row r="74" spans="1:8">
      <c r="A74" s="2342"/>
      <c r="B74" s="2342"/>
      <c r="C74" s="2342"/>
      <c r="D74" s="2342"/>
      <c r="E74" s="2342"/>
      <c r="F74" s="2342"/>
      <c r="G74" s="2342"/>
      <c r="H74" s="2342"/>
    </row>
    <row r="75" spans="1:8">
      <c r="A75" s="2343" t="s">
        <v>1502</v>
      </c>
      <c r="B75" s="2342"/>
      <c r="C75" s="2342"/>
      <c r="D75" s="2342"/>
      <c r="E75" s="2342"/>
      <c r="F75" s="2342"/>
      <c r="G75" s="2342"/>
      <c r="H75" s="2342"/>
    </row>
    <row r="76" spans="1:8">
      <c r="A76" s="2343" t="s">
        <v>1503</v>
      </c>
      <c r="B76" s="2342"/>
      <c r="C76" s="2342"/>
      <c r="D76" s="2342"/>
      <c r="E76" s="2342"/>
      <c r="F76" s="2342"/>
      <c r="G76" s="2342"/>
      <c r="H76" s="2342"/>
    </row>
    <row r="77" spans="1:8">
      <c r="A77" s="2342"/>
      <c r="B77" s="2342"/>
      <c r="C77" s="2342"/>
      <c r="D77" s="2342"/>
      <c r="E77" s="2342"/>
      <c r="F77" s="2342"/>
      <c r="G77" s="2342"/>
      <c r="H77" s="2342"/>
    </row>
    <row r="78" spans="1:8">
      <c r="A78" s="2343" t="s">
        <v>1499</v>
      </c>
      <c r="B78" s="2342"/>
      <c r="C78" s="2342"/>
      <c r="D78" s="2342"/>
      <c r="E78" s="2342"/>
      <c r="F78" s="2342"/>
      <c r="G78" s="2342"/>
      <c r="H78" s="2342"/>
    </row>
    <row r="79" spans="1:8">
      <c r="A79" s="2343" t="s">
        <v>1500</v>
      </c>
      <c r="B79" s="2342"/>
      <c r="C79" s="2342"/>
      <c r="D79" s="2342"/>
      <c r="E79" s="2342"/>
      <c r="F79" s="2342"/>
      <c r="G79" s="2342"/>
      <c r="H79" s="2342"/>
    </row>
    <row r="80" spans="1:8">
      <c r="A80" s="2343" t="s">
        <v>1501</v>
      </c>
      <c r="B80" s="2342"/>
      <c r="C80" s="2342"/>
      <c r="D80" s="2342"/>
      <c r="E80" s="2342"/>
      <c r="F80" s="2342"/>
      <c r="G80" s="2342"/>
      <c r="H80" s="2342"/>
    </row>
    <row r="81" spans="1:8">
      <c r="A81" s="2342"/>
      <c r="B81" s="2342"/>
      <c r="C81" s="2342"/>
      <c r="D81" s="2342"/>
      <c r="E81" s="2342"/>
      <c r="F81" s="2342"/>
      <c r="G81" s="2342"/>
      <c r="H81" s="2342"/>
    </row>
    <row r="82" spans="1:8">
      <c r="A82" s="2343" t="s">
        <v>1255</v>
      </c>
      <c r="B82" s="2342"/>
      <c r="C82" s="2342"/>
      <c r="D82" s="2342"/>
      <c r="E82" s="2342"/>
      <c r="F82" s="2342"/>
      <c r="G82" s="2342"/>
      <c r="H82" s="2342"/>
    </row>
    <row r="83" spans="1:8">
      <c r="A83" s="2342"/>
      <c r="B83" s="2342"/>
      <c r="C83" s="2342"/>
      <c r="D83" s="2342"/>
      <c r="E83" s="2342"/>
      <c r="F83" s="2342"/>
      <c r="G83" s="2342"/>
      <c r="H83" s="2342"/>
    </row>
    <row r="84" spans="1:8">
      <c r="A84" s="2343" t="s">
        <v>1494</v>
      </c>
      <c r="B84" s="2342"/>
      <c r="C84" s="2342"/>
      <c r="D84" s="2342"/>
      <c r="E84" s="2342"/>
      <c r="F84" s="2342"/>
      <c r="G84" s="2342"/>
      <c r="H84" s="2342"/>
    </row>
    <row r="85" spans="1:8">
      <c r="A85" s="2343" t="s">
        <v>1495</v>
      </c>
      <c r="B85" s="2342"/>
      <c r="C85" s="2342"/>
      <c r="D85" s="2342"/>
      <c r="E85" s="2342"/>
      <c r="F85" s="2342"/>
      <c r="G85" s="2342"/>
      <c r="H85" s="2342"/>
    </row>
    <row r="86" spans="1:8">
      <c r="A86" s="2343" t="s">
        <v>1496</v>
      </c>
      <c r="B86" s="2342"/>
      <c r="C86" s="2342"/>
      <c r="D86" s="2342"/>
      <c r="E86" s="2342"/>
      <c r="F86" s="2342"/>
      <c r="G86" s="2342"/>
      <c r="H86" s="2342"/>
    </row>
    <row r="87" spans="1:8">
      <c r="A87" s="2343" t="s">
        <v>1497</v>
      </c>
      <c r="B87" s="2342"/>
      <c r="C87" s="2342"/>
      <c r="D87" s="2342"/>
      <c r="E87" s="2342"/>
      <c r="F87" s="2342"/>
      <c r="G87" s="2342"/>
      <c r="H87" s="2342"/>
    </row>
    <row r="88" spans="1:8">
      <c r="A88" s="2343" t="s">
        <v>1498</v>
      </c>
      <c r="B88" s="2342"/>
      <c r="C88" s="2342"/>
      <c r="D88" s="2342"/>
      <c r="E88" s="2342"/>
      <c r="F88" s="2342"/>
      <c r="G88" s="2342"/>
      <c r="H88" s="2342"/>
    </row>
    <row r="89" spans="1:8">
      <c r="A89" s="2343" t="s">
        <v>1381</v>
      </c>
      <c r="B89" s="2342"/>
      <c r="C89" s="2342"/>
      <c r="D89" s="2342"/>
      <c r="E89" s="2342"/>
      <c r="F89" s="2342"/>
      <c r="G89" s="2342"/>
      <c r="H89" s="2342"/>
    </row>
    <row r="90" spans="1:8">
      <c r="A90" s="2342"/>
      <c r="B90" s="2342"/>
      <c r="C90" s="2342"/>
      <c r="D90" s="2342"/>
      <c r="E90" s="2342"/>
      <c r="F90" s="2342"/>
      <c r="G90" s="2342"/>
      <c r="H90" s="2342"/>
    </row>
    <row r="91" spans="1:8">
      <c r="A91" s="2343" t="s">
        <v>1487</v>
      </c>
      <c r="B91" s="2342"/>
      <c r="C91" s="2342"/>
      <c r="D91" s="2342"/>
      <c r="E91" s="2342"/>
      <c r="F91" s="2342"/>
      <c r="G91" s="2342"/>
      <c r="H91" s="2342"/>
    </row>
    <row r="92" spans="1:8">
      <c r="A92" s="2343" t="s">
        <v>1488</v>
      </c>
      <c r="B92" s="2342"/>
      <c r="C92" s="2342"/>
      <c r="D92" s="2342"/>
      <c r="E92" s="2342"/>
      <c r="F92" s="2342"/>
      <c r="G92" s="2342"/>
      <c r="H92" s="2342"/>
    </row>
    <row r="93" spans="1:8">
      <c r="A93" s="2343" t="s">
        <v>1489</v>
      </c>
      <c r="B93" s="2342"/>
      <c r="C93" s="2342"/>
      <c r="D93" s="2342"/>
      <c r="E93" s="2342"/>
      <c r="F93" s="2342"/>
      <c r="G93" s="2342"/>
      <c r="H93" s="2342"/>
    </row>
    <row r="94" spans="1:8">
      <c r="A94" s="2343" t="s">
        <v>1490</v>
      </c>
      <c r="B94" s="2342"/>
      <c r="C94" s="2342"/>
      <c r="D94" s="2342"/>
      <c r="E94" s="2342"/>
      <c r="F94" s="2342"/>
      <c r="G94" s="2342"/>
      <c r="H94" s="2342"/>
    </row>
    <row r="95" spans="1:8">
      <c r="A95" s="2343" t="s">
        <v>1491</v>
      </c>
      <c r="B95" s="2342"/>
      <c r="C95" s="2342"/>
      <c r="D95" s="2342"/>
      <c r="E95" s="2342"/>
      <c r="F95" s="2342"/>
      <c r="G95" s="2342"/>
      <c r="H95" s="2342"/>
    </row>
    <row r="96" spans="1:8">
      <c r="A96" s="2343" t="s">
        <v>1492</v>
      </c>
      <c r="B96" s="2342"/>
      <c r="C96" s="2342"/>
      <c r="D96" s="2342"/>
      <c r="E96" s="2342"/>
      <c r="F96" s="2342"/>
      <c r="G96" s="2342"/>
      <c r="H96" s="2342"/>
    </row>
    <row r="97" spans="1:8">
      <c r="A97" s="2343" t="s">
        <v>1493</v>
      </c>
      <c r="B97" s="2342"/>
      <c r="C97" s="2342"/>
      <c r="D97" s="2342"/>
      <c r="E97" s="2342"/>
      <c r="F97" s="2342"/>
      <c r="G97" s="2342"/>
      <c r="H97" s="2342"/>
    </row>
    <row r="98" spans="1:8">
      <c r="A98" s="2342"/>
      <c r="B98" s="2342"/>
      <c r="C98" s="2342"/>
      <c r="D98" s="2342"/>
      <c r="E98" s="2342"/>
      <c r="F98" s="2342"/>
      <c r="G98" s="2342"/>
      <c r="H98" s="2342"/>
    </row>
    <row r="99" spans="1:8">
      <c r="A99" s="2343" t="s">
        <v>1485</v>
      </c>
      <c r="B99" s="2342"/>
      <c r="C99" s="2342"/>
      <c r="D99" s="2342"/>
      <c r="E99" s="2342"/>
      <c r="F99" s="2342"/>
      <c r="G99" s="2342"/>
      <c r="H99" s="2342"/>
    </row>
    <row r="100" spans="1:8">
      <c r="A100" s="2343" t="s">
        <v>1486</v>
      </c>
      <c r="B100" s="2342"/>
      <c r="C100" s="2342"/>
      <c r="D100" s="2342"/>
      <c r="E100" s="2342"/>
      <c r="F100" s="2342"/>
      <c r="G100" s="2342"/>
      <c r="H100" s="2342"/>
    </row>
    <row r="101" spans="1:8">
      <c r="A101" s="2342"/>
      <c r="B101" s="2342"/>
      <c r="C101" s="2342"/>
      <c r="D101" s="2342"/>
      <c r="E101" s="2342"/>
      <c r="F101" s="2342"/>
      <c r="G101" s="2342"/>
      <c r="H101" s="2342"/>
    </row>
    <row r="102" spans="1:8" ht="15.75">
      <c r="A102" s="2344" t="s">
        <v>1256</v>
      </c>
      <c r="B102" s="2342"/>
      <c r="C102" s="2342"/>
      <c r="D102" s="2342"/>
      <c r="E102" s="2342"/>
      <c r="F102" s="2342"/>
      <c r="G102" s="2342"/>
      <c r="H102" s="2342"/>
    </row>
    <row r="103" spans="1:8">
      <c r="A103" s="2342"/>
      <c r="B103" s="2342"/>
      <c r="C103" s="2342"/>
      <c r="D103" s="2342"/>
      <c r="E103" s="2342"/>
      <c r="F103" s="2342"/>
      <c r="G103" s="2342"/>
      <c r="H103" s="2342"/>
    </row>
    <row r="104" spans="1:8">
      <c r="A104" s="2343" t="s">
        <v>1476</v>
      </c>
      <c r="B104" s="2342"/>
      <c r="C104" s="2342"/>
      <c r="D104" s="2342"/>
      <c r="E104" s="2342"/>
      <c r="F104" s="2342"/>
      <c r="G104" s="2342"/>
      <c r="H104" s="2342"/>
    </row>
    <row r="105" spans="1:8">
      <c r="A105" s="2343" t="s">
        <v>1477</v>
      </c>
      <c r="B105" s="2342"/>
      <c r="C105" s="2342"/>
      <c r="D105" s="2342"/>
      <c r="E105" s="2342"/>
      <c r="F105" s="2342"/>
      <c r="G105" s="2342"/>
      <c r="H105" s="2342"/>
    </row>
    <row r="106" spans="1:8">
      <c r="A106" s="2343" t="s">
        <v>1478</v>
      </c>
      <c r="B106" s="2342"/>
      <c r="C106" s="2342"/>
      <c r="D106" s="2342"/>
      <c r="E106" s="2342"/>
      <c r="F106" s="2342"/>
      <c r="G106" s="2342"/>
      <c r="H106" s="2342"/>
    </row>
    <row r="107" spans="1:8">
      <c r="A107" s="2343" t="s">
        <v>1479</v>
      </c>
      <c r="B107" s="2342"/>
      <c r="C107" s="2342"/>
      <c r="D107" s="2342"/>
      <c r="E107" s="2342"/>
      <c r="F107" s="2342"/>
      <c r="G107" s="2342"/>
      <c r="H107" s="2342"/>
    </row>
    <row r="108" spans="1:8">
      <c r="A108" s="2343" t="s">
        <v>1480</v>
      </c>
      <c r="B108" s="2342"/>
      <c r="C108" s="2342"/>
      <c r="D108" s="2342"/>
      <c r="E108" s="2342"/>
      <c r="F108" s="2342"/>
      <c r="G108" s="2342"/>
      <c r="H108" s="2342"/>
    </row>
    <row r="109" spans="1:8">
      <c r="A109" s="2343" t="s">
        <v>1481</v>
      </c>
      <c r="B109" s="2342"/>
      <c r="C109" s="2342"/>
      <c r="D109" s="2342"/>
      <c r="E109" s="2342"/>
      <c r="F109" s="2342"/>
      <c r="G109" s="2342"/>
      <c r="H109" s="2342"/>
    </row>
    <row r="110" spans="1:8">
      <c r="A110" s="2343" t="s">
        <v>1482</v>
      </c>
      <c r="B110" s="2342"/>
      <c r="C110" s="2342"/>
      <c r="D110" s="2342"/>
      <c r="E110" s="2342"/>
      <c r="F110" s="2342"/>
      <c r="G110" s="2342"/>
      <c r="H110" s="2342"/>
    </row>
    <row r="111" spans="1:8">
      <c r="A111" s="2343" t="s">
        <v>1483</v>
      </c>
      <c r="B111" s="2342"/>
      <c r="C111" s="2342"/>
      <c r="D111" s="2342"/>
      <c r="E111" s="2342"/>
      <c r="F111" s="2342"/>
      <c r="G111" s="2342"/>
      <c r="H111" s="2342"/>
    </row>
    <row r="112" spans="1:8">
      <c r="A112" s="2343" t="s">
        <v>1484</v>
      </c>
      <c r="B112" s="2342"/>
      <c r="C112" s="2342"/>
      <c r="D112" s="2342"/>
      <c r="E112" s="2342"/>
      <c r="F112" s="2342"/>
      <c r="G112" s="2342"/>
      <c r="H112" s="2342"/>
    </row>
    <row r="113" spans="1:8">
      <c r="A113" s="2342"/>
      <c r="B113" s="2342"/>
      <c r="C113" s="2342"/>
      <c r="D113" s="2342"/>
      <c r="E113" s="2342"/>
      <c r="F113" s="2342"/>
      <c r="G113" s="2342"/>
      <c r="H113" s="2342"/>
    </row>
    <row r="114" spans="1:8" ht="15.75">
      <c r="A114" s="2345" t="s">
        <v>1257</v>
      </c>
      <c r="B114" s="2345"/>
      <c r="C114" s="2345"/>
      <c r="D114" s="2345"/>
      <c r="E114" s="2345"/>
      <c r="F114" s="2345"/>
      <c r="G114" s="2345"/>
      <c r="H114" s="2345"/>
    </row>
    <row r="115" spans="1:8">
      <c r="A115" s="2346" t="s">
        <v>1258</v>
      </c>
      <c r="B115" s="2346"/>
      <c r="C115" s="2346"/>
      <c r="D115" s="2346"/>
      <c r="E115" s="2346"/>
      <c r="F115" s="2346"/>
      <c r="G115" s="2346"/>
      <c r="H115" s="2346"/>
    </row>
    <row r="116" spans="1:8">
      <c r="A116" s="2347"/>
      <c r="B116" s="2347"/>
      <c r="C116" s="2347"/>
      <c r="D116" s="2347"/>
      <c r="E116" s="2347"/>
      <c r="F116" s="2347"/>
      <c r="G116" s="2347"/>
      <c r="H116" s="2347"/>
    </row>
    <row r="117" spans="1:8">
      <c r="A117" s="2346" t="s">
        <v>1474</v>
      </c>
      <c r="B117" s="2346"/>
      <c r="C117" s="2346"/>
      <c r="D117" s="2346"/>
      <c r="E117" s="2346"/>
      <c r="F117" s="2346"/>
      <c r="G117" s="2346"/>
      <c r="H117" s="2346"/>
    </row>
    <row r="118" spans="1:8">
      <c r="A118" s="2343" t="s">
        <v>1475</v>
      </c>
      <c r="B118" s="2343"/>
      <c r="C118" s="2343"/>
      <c r="D118" s="2343"/>
      <c r="E118" s="2343"/>
      <c r="F118" s="2343"/>
      <c r="G118" s="2343"/>
      <c r="H118" s="2343"/>
    </row>
    <row r="119" spans="1:8">
      <c r="A119" s="2347"/>
      <c r="B119" s="2347"/>
      <c r="C119" s="2347"/>
      <c r="D119" s="2347"/>
      <c r="E119" s="2347"/>
      <c r="F119" s="2347"/>
      <c r="G119" s="2347"/>
      <c r="H119" s="2347"/>
    </row>
    <row r="120" spans="1:8">
      <c r="A120" s="2346" t="s">
        <v>1467</v>
      </c>
      <c r="B120" s="2346"/>
      <c r="C120" s="2346"/>
      <c r="D120" s="2346"/>
      <c r="E120" s="2346"/>
      <c r="F120" s="2346"/>
      <c r="G120" s="2346"/>
      <c r="H120" s="2346"/>
    </row>
    <row r="121" spans="1:8">
      <c r="A121" s="2343" t="s">
        <v>1468</v>
      </c>
      <c r="B121" s="2343"/>
      <c r="C121" s="2343"/>
      <c r="D121" s="2343"/>
      <c r="E121" s="2343"/>
      <c r="F121" s="2343"/>
      <c r="G121" s="2343"/>
      <c r="H121" s="2343"/>
    </row>
    <row r="122" spans="1:8">
      <c r="A122" s="2343" t="s">
        <v>1469</v>
      </c>
      <c r="B122" s="2343"/>
      <c r="C122" s="2343"/>
      <c r="D122" s="2343"/>
      <c r="E122" s="2343"/>
      <c r="F122" s="2343"/>
      <c r="G122" s="2343"/>
      <c r="H122" s="2343"/>
    </row>
    <row r="123" spans="1:8">
      <c r="A123" s="2343" t="s">
        <v>1470</v>
      </c>
      <c r="B123" s="2343"/>
      <c r="C123" s="2343"/>
      <c r="D123" s="2343"/>
      <c r="E123" s="2343"/>
      <c r="F123" s="2343"/>
      <c r="G123" s="2343"/>
      <c r="H123" s="2343"/>
    </row>
    <row r="124" spans="1:8">
      <c r="A124" s="2343" t="s">
        <v>1471</v>
      </c>
      <c r="B124" s="2343"/>
      <c r="C124" s="2343"/>
      <c r="D124" s="2343"/>
      <c r="E124" s="2343"/>
      <c r="F124" s="2343"/>
      <c r="G124" s="2343"/>
      <c r="H124" s="2343"/>
    </row>
    <row r="125" spans="1:8">
      <c r="A125" s="2343" t="s">
        <v>1472</v>
      </c>
      <c r="B125" s="2343"/>
      <c r="C125" s="2343"/>
      <c r="D125" s="2343"/>
      <c r="E125" s="2343"/>
      <c r="F125" s="2343"/>
      <c r="G125" s="2343"/>
      <c r="H125" s="2343"/>
    </row>
    <row r="126" spans="1:8">
      <c r="A126" s="2343" t="s">
        <v>1473</v>
      </c>
      <c r="B126" s="2343"/>
      <c r="C126" s="2343"/>
      <c r="D126" s="2343"/>
      <c r="E126" s="2343"/>
      <c r="F126" s="2343"/>
      <c r="G126" s="2343"/>
      <c r="H126" s="2343"/>
    </row>
    <row r="127" spans="1:8">
      <c r="A127" s="2348"/>
      <c r="B127" s="2348"/>
      <c r="C127" s="2348"/>
      <c r="D127" s="2348"/>
      <c r="E127" s="2348"/>
      <c r="F127" s="2348"/>
      <c r="G127" s="2348"/>
      <c r="H127" s="2348"/>
    </row>
    <row r="128" spans="1:8">
      <c r="A128" s="2349"/>
      <c r="B128" s="2350" t="s">
        <v>1259</v>
      </c>
      <c r="C128" s="2351"/>
      <c r="D128" s="2350" t="s">
        <v>1260</v>
      </c>
      <c r="E128" s="2352"/>
      <c r="F128" s="2351"/>
      <c r="G128" s="2350" t="s">
        <v>1261</v>
      </c>
      <c r="H128" s="2351"/>
    </row>
    <row r="129" spans="1:8">
      <c r="A129" s="2349" t="s">
        <v>1262</v>
      </c>
      <c r="B129" s="2349" t="s">
        <v>374</v>
      </c>
      <c r="C129" s="2349" t="s">
        <v>1263</v>
      </c>
      <c r="D129" s="2349" t="s">
        <v>374</v>
      </c>
      <c r="E129" s="2349" t="s">
        <v>1264</v>
      </c>
      <c r="F129" s="2349" t="s">
        <v>1265</v>
      </c>
      <c r="G129" s="2349" t="s">
        <v>374</v>
      </c>
      <c r="H129" s="2349" t="s">
        <v>1266</v>
      </c>
    </row>
    <row r="130" spans="1:8">
      <c r="A130" s="2349" t="s">
        <v>1267</v>
      </c>
      <c r="B130" s="2349">
        <v>1189</v>
      </c>
      <c r="C130" s="2353">
        <v>0.38</v>
      </c>
      <c r="D130" s="2349">
        <v>315</v>
      </c>
      <c r="E130" s="2353">
        <v>0.41</v>
      </c>
      <c r="F130" s="2353">
        <v>0.26</v>
      </c>
      <c r="G130" s="2349">
        <v>555</v>
      </c>
      <c r="H130" s="2353">
        <v>0.39</v>
      </c>
    </row>
    <row r="131" spans="1:8">
      <c r="A131" s="2349" t="s">
        <v>1268</v>
      </c>
      <c r="B131" s="2349">
        <v>1355</v>
      </c>
      <c r="C131" s="2353">
        <v>0.43</v>
      </c>
      <c r="D131" s="2349">
        <v>364</v>
      </c>
      <c r="E131" s="2353">
        <v>0.47</v>
      </c>
      <c r="F131" s="2353">
        <v>0.27</v>
      </c>
      <c r="G131" s="2349">
        <v>644</v>
      </c>
      <c r="H131" s="2353">
        <v>0.45</v>
      </c>
    </row>
    <row r="132" spans="1:8">
      <c r="A132" s="2349" t="s">
        <v>1269</v>
      </c>
      <c r="B132" s="2349">
        <v>53</v>
      </c>
      <c r="C132" s="2353">
        <v>0.02</v>
      </c>
      <c r="D132" s="2349">
        <v>4</v>
      </c>
      <c r="E132" s="2353">
        <v>0.01</v>
      </c>
      <c r="F132" s="2353">
        <v>0.08</v>
      </c>
      <c r="G132" s="2349">
        <v>7</v>
      </c>
      <c r="H132" s="2353">
        <v>0</v>
      </c>
    </row>
    <row r="133" spans="1:8">
      <c r="A133" s="2349" t="s">
        <v>1270</v>
      </c>
      <c r="B133" s="2349">
        <v>545</v>
      </c>
      <c r="C133" s="2353">
        <v>0.17</v>
      </c>
      <c r="D133" s="2349">
        <v>84</v>
      </c>
      <c r="E133" s="2353">
        <v>0.11</v>
      </c>
      <c r="F133" s="2353">
        <v>0.15</v>
      </c>
      <c r="G133" s="2349">
        <v>214</v>
      </c>
      <c r="H133" s="2353">
        <v>0.15</v>
      </c>
    </row>
    <row r="134" spans="1:8">
      <c r="A134" s="2349" t="s">
        <v>215</v>
      </c>
      <c r="B134" s="2354">
        <v>3142</v>
      </c>
      <c r="C134" s="2349"/>
      <c r="D134" s="2349">
        <v>767</v>
      </c>
      <c r="E134" s="2349"/>
      <c r="F134" s="2349"/>
      <c r="G134" s="2349">
        <v>1420</v>
      </c>
      <c r="H134" s="2349"/>
    </row>
    <row r="135" spans="1:8">
      <c r="A135" s="2355"/>
      <c r="B135" s="2355"/>
      <c r="C135" s="2355"/>
      <c r="D135" s="2355"/>
      <c r="E135" s="2355"/>
      <c r="F135" s="2355"/>
      <c r="G135" s="2355"/>
      <c r="H135" s="2355"/>
    </row>
    <row r="136" spans="1:8">
      <c r="A136" s="2346" t="s">
        <v>1463</v>
      </c>
      <c r="B136" s="2346"/>
      <c r="C136" s="2346"/>
      <c r="D136" s="2346"/>
      <c r="E136" s="2346"/>
      <c r="F136" s="2346"/>
      <c r="G136" s="2346"/>
      <c r="H136" s="2346"/>
    </row>
    <row r="137" spans="1:8">
      <c r="A137" s="2343" t="s">
        <v>1464</v>
      </c>
      <c r="B137" s="2343"/>
      <c r="C137" s="2343"/>
      <c r="D137" s="2343"/>
      <c r="E137" s="2343"/>
      <c r="F137" s="2343"/>
      <c r="G137" s="2343"/>
      <c r="H137" s="2343"/>
    </row>
    <row r="138" spans="1:8">
      <c r="A138" s="2343" t="s">
        <v>1465</v>
      </c>
      <c r="B138" s="2343"/>
      <c r="C138" s="2343"/>
      <c r="D138" s="2343"/>
      <c r="E138" s="2343"/>
      <c r="F138" s="2343"/>
      <c r="G138" s="2343"/>
      <c r="H138" s="2343"/>
    </row>
    <row r="139" spans="1:8">
      <c r="A139" s="2343" t="s">
        <v>1466</v>
      </c>
      <c r="B139" s="2343"/>
      <c r="C139" s="2343"/>
      <c r="D139" s="2343"/>
      <c r="E139" s="2343"/>
      <c r="F139" s="2343"/>
      <c r="G139" s="2343"/>
      <c r="H139" s="2343"/>
    </row>
    <row r="140" spans="1:8">
      <c r="A140" s="2342"/>
      <c r="B140" s="2342"/>
      <c r="C140" s="2342"/>
      <c r="D140" s="2342"/>
      <c r="E140" s="2342"/>
      <c r="F140" s="2342"/>
      <c r="G140" s="2342"/>
      <c r="H140" s="2342"/>
    </row>
    <row r="141" spans="1:8" ht="15.75">
      <c r="A141" s="2344" t="s">
        <v>1271</v>
      </c>
      <c r="B141" s="2342"/>
      <c r="C141" s="2342"/>
      <c r="D141" s="2342"/>
      <c r="E141" s="2342"/>
      <c r="F141" s="2342"/>
      <c r="G141" s="2342"/>
      <c r="H141" s="2342"/>
    </row>
    <row r="142" spans="1:8">
      <c r="A142" s="2342"/>
      <c r="B142" s="2342"/>
      <c r="C142" s="2342"/>
      <c r="D142" s="2342"/>
      <c r="E142" s="2342"/>
      <c r="F142" s="2342"/>
      <c r="G142" s="2342"/>
      <c r="H142" s="2342"/>
    </row>
    <row r="143" spans="1:8">
      <c r="A143" s="2343" t="s">
        <v>1461</v>
      </c>
      <c r="B143" s="2342"/>
      <c r="C143" s="2342"/>
      <c r="D143" s="2342"/>
      <c r="E143" s="2342"/>
      <c r="F143" s="2342"/>
      <c r="G143" s="2342"/>
      <c r="H143" s="2342"/>
    </row>
    <row r="144" spans="1:8">
      <c r="A144" s="2343" t="s">
        <v>1462</v>
      </c>
      <c r="B144" s="2342"/>
      <c r="C144" s="2342"/>
      <c r="D144" s="2342"/>
      <c r="E144" s="2342"/>
      <c r="F144" s="2342"/>
      <c r="G144" s="2342"/>
      <c r="H144" s="2342"/>
    </row>
    <row r="145" spans="1:8">
      <c r="A145" s="2342"/>
      <c r="B145" s="2342"/>
      <c r="C145" s="2342"/>
      <c r="D145" s="2342"/>
      <c r="E145" s="2342"/>
      <c r="F145" s="2342"/>
      <c r="G145" s="2342"/>
      <c r="H145" s="2342"/>
    </row>
    <row r="146" spans="1:8">
      <c r="A146" s="2343" t="s">
        <v>1458</v>
      </c>
      <c r="B146" s="2342"/>
      <c r="C146" s="2342"/>
      <c r="D146" s="2342"/>
      <c r="E146" s="2342"/>
      <c r="F146" s="2342"/>
      <c r="G146" s="2342"/>
      <c r="H146" s="2342"/>
    </row>
    <row r="147" spans="1:8">
      <c r="A147" s="2343" t="s">
        <v>1459</v>
      </c>
      <c r="B147" s="2342"/>
      <c r="C147" s="2342"/>
      <c r="D147" s="2342"/>
      <c r="E147" s="2342"/>
      <c r="F147" s="2342"/>
      <c r="G147" s="2342"/>
      <c r="H147" s="2342"/>
    </row>
    <row r="148" spans="1:8">
      <c r="A148" s="2343" t="s">
        <v>1460</v>
      </c>
      <c r="B148" s="2342"/>
      <c r="C148" s="2342"/>
      <c r="D148" s="2342"/>
      <c r="E148" s="2342"/>
      <c r="F148" s="2342"/>
      <c r="G148" s="2342"/>
      <c r="H148" s="2342"/>
    </row>
    <row r="149" spans="1:8">
      <c r="A149" s="2342"/>
      <c r="B149" s="2342"/>
      <c r="C149" s="2342"/>
      <c r="D149" s="2342"/>
      <c r="E149" s="2342"/>
      <c r="F149" s="2342"/>
      <c r="G149" s="2342"/>
      <c r="H149" s="2342"/>
    </row>
    <row r="150" spans="1:8">
      <c r="A150" s="2343" t="s">
        <v>1455</v>
      </c>
      <c r="B150" s="2342"/>
      <c r="C150" s="2342"/>
      <c r="D150" s="2342"/>
      <c r="E150" s="2342"/>
      <c r="F150" s="2342"/>
      <c r="G150" s="2342"/>
      <c r="H150" s="2342"/>
    </row>
    <row r="151" spans="1:8">
      <c r="A151" s="2343" t="s">
        <v>1456</v>
      </c>
      <c r="B151" s="2342"/>
      <c r="C151" s="2342"/>
      <c r="D151" s="2342"/>
      <c r="E151" s="2342"/>
      <c r="F151" s="2342"/>
      <c r="G151" s="2342"/>
      <c r="H151" s="2342"/>
    </row>
    <row r="152" spans="1:8">
      <c r="A152" s="2343" t="s">
        <v>1457</v>
      </c>
      <c r="B152" s="2342"/>
      <c r="C152" s="2342"/>
      <c r="D152" s="2342"/>
      <c r="E152" s="2342"/>
      <c r="F152" s="2342"/>
      <c r="G152" s="2342"/>
      <c r="H152" s="2342"/>
    </row>
    <row r="153" spans="1:8">
      <c r="A153" s="2342"/>
      <c r="B153" s="2342"/>
      <c r="C153" s="2342"/>
      <c r="D153" s="2342"/>
      <c r="E153" s="2342"/>
      <c r="F153" s="2342"/>
      <c r="G153" s="2342"/>
      <c r="H153" s="2342"/>
    </row>
    <row r="154" spans="1:8">
      <c r="A154" s="2343" t="s">
        <v>1452</v>
      </c>
      <c r="B154" s="2342"/>
      <c r="C154" s="2342"/>
      <c r="D154" s="2342"/>
      <c r="E154" s="2342"/>
      <c r="F154" s="2342"/>
      <c r="G154" s="2342"/>
      <c r="H154" s="2342"/>
    </row>
    <row r="155" spans="1:8">
      <c r="A155" s="2343" t="s">
        <v>1453</v>
      </c>
      <c r="B155" s="2342"/>
      <c r="C155" s="2342"/>
      <c r="D155" s="2342"/>
      <c r="E155" s="2342"/>
      <c r="F155" s="2342"/>
      <c r="G155" s="2342"/>
      <c r="H155" s="2342"/>
    </row>
    <row r="156" spans="1:8">
      <c r="A156" s="2343" t="s">
        <v>1454</v>
      </c>
      <c r="B156" s="2342"/>
      <c r="C156" s="2342"/>
      <c r="D156" s="2342"/>
      <c r="E156" s="2342"/>
      <c r="F156" s="2342"/>
      <c r="G156" s="2342"/>
      <c r="H156" s="2342"/>
    </row>
    <row r="157" spans="1:8">
      <c r="A157" s="2342"/>
      <c r="B157" s="2342"/>
      <c r="C157" s="2342"/>
      <c r="D157" s="2342"/>
      <c r="E157" s="2342"/>
      <c r="F157" s="2342"/>
      <c r="G157" s="2342"/>
      <c r="H157" s="2342"/>
    </row>
    <row r="158" spans="1:8">
      <c r="A158" s="2343" t="s">
        <v>1450</v>
      </c>
      <c r="B158" s="2342"/>
      <c r="C158" s="2342"/>
      <c r="D158" s="2342"/>
      <c r="E158" s="2342"/>
      <c r="F158" s="2342"/>
      <c r="G158" s="2342"/>
      <c r="H158" s="2342"/>
    </row>
    <row r="159" spans="1:8">
      <c r="A159" s="2343" t="s">
        <v>1451</v>
      </c>
      <c r="B159" s="2342"/>
      <c r="C159" s="2342"/>
      <c r="D159" s="2342"/>
      <c r="E159" s="2342"/>
      <c r="F159" s="2342"/>
      <c r="G159" s="2342"/>
      <c r="H159" s="2342"/>
    </row>
    <row r="160" spans="1:8">
      <c r="A160" s="2342"/>
      <c r="B160" s="2342"/>
      <c r="C160" s="2342"/>
      <c r="D160" s="2342"/>
      <c r="E160" s="2342"/>
      <c r="F160" s="2342"/>
      <c r="G160" s="2342"/>
      <c r="H160" s="2342"/>
    </row>
    <row r="161" spans="1:8" ht="15.75">
      <c r="A161" s="2344" t="s">
        <v>1272</v>
      </c>
      <c r="B161" s="2342"/>
      <c r="C161" s="2342"/>
      <c r="D161" s="2342"/>
      <c r="E161" s="2342"/>
      <c r="F161" s="2342"/>
      <c r="G161" s="2342"/>
      <c r="H161" s="2342"/>
    </row>
    <row r="162" spans="1:8">
      <c r="A162" s="2342"/>
      <c r="B162" s="2342"/>
      <c r="C162" s="2342"/>
      <c r="D162" s="2342"/>
      <c r="E162" s="2342"/>
      <c r="F162" s="2342"/>
      <c r="G162" s="2342"/>
      <c r="H162" s="2342"/>
    </row>
    <row r="163" spans="1:8">
      <c r="A163" s="2343" t="s">
        <v>1448</v>
      </c>
      <c r="B163" s="2342"/>
      <c r="C163" s="2342"/>
      <c r="D163" s="2342"/>
      <c r="E163" s="2342"/>
      <c r="F163" s="2342"/>
      <c r="G163" s="2342"/>
      <c r="H163" s="2342"/>
    </row>
    <row r="164" spans="1:8">
      <c r="A164" s="2343" t="s">
        <v>1449</v>
      </c>
      <c r="B164" s="2342"/>
      <c r="C164" s="2342"/>
      <c r="D164" s="2342"/>
      <c r="E164" s="2342"/>
      <c r="F164" s="2342"/>
      <c r="G164" s="2342"/>
      <c r="H164" s="2342"/>
    </row>
    <row r="165" spans="1:8">
      <c r="A165" s="2342"/>
      <c r="B165" s="2342"/>
      <c r="C165" s="2342"/>
      <c r="D165" s="2342"/>
      <c r="E165" s="2342"/>
      <c r="F165" s="2342"/>
      <c r="G165" s="2342"/>
      <c r="H165" s="2342"/>
    </row>
    <row r="166" spans="1:8">
      <c r="A166" s="2343" t="s">
        <v>1446</v>
      </c>
      <c r="B166" s="2342"/>
      <c r="C166" s="2342"/>
      <c r="D166" s="2342"/>
      <c r="E166" s="2342"/>
      <c r="F166" s="2342"/>
      <c r="G166" s="2342"/>
      <c r="H166" s="2342"/>
    </row>
    <row r="167" spans="1:8">
      <c r="A167" s="2343" t="s">
        <v>1447</v>
      </c>
      <c r="B167" s="2342"/>
      <c r="C167" s="2342"/>
      <c r="D167" s="2342"/>
      <c r="E167" s="2342"/>
      <c r="F167" s="2342"/>
      <c r="G167" s="2342"/>
      <c r="H167" s="2342"/>
    </row>
    <row r="168" spans="1:8">
      <c r="A168" s="2342"/>
      <c r="B168" s="2342"/>
      <c r="C168" s="2342"/>
      <c r="D168" s="2342"/>
      <c r="E168" s="2342"/>
      <c r="F168" s="2342"/>
      <c r="G168" s="2342"/>
      <c r="H168" s="2342"/>
    </row>
    <row r="169" spans="1:8">
      <c r="A169" s="2343" t="s">
        <v>1444</v>
      </c>
      <c r="B169" s="2342"/>
      <c r="C169" s="2342"/>
      <c r="D169" s="2342"/>
      <c r="E169" s="2342"/>
      <c r="F169" s="2342"/>
      <c r="G169" s="2342"/>
      <c r="H169" s="2342"/>
    </row>
    <row r="170" spans="1:8">
      <c r="A170" s="2343" t="s">
        <v>1445</v>
      </c>
      <c r="B170" s="2342"/>
      <c r="C170" s="2342"/>
      <c r="D170" s="2342"/>
      <c r="E170" s="2342"/>
      <c r="F170" s="2342"/>
      <c r="G170" s="2342"/>
      <c r="H170" s="2342"/>
    </row>
    <row r="171" spans="1:8">
      <c r="A171" s="2342"/>
      <c r="B171" s="2342"/>
      <c r="C171" s="2342"/>
      <c r="D171" s="2342"/>
      <c r="E171" s="2342"/>
      <c r="F171" s="2342"/>
      <c r="G171" s="2342"/>
      <c r="H171" s="2342"/>
    </row>
    <row r="172" spans="1:8">
      <c r="A172" s="2343" t="s">
        <v>1441</v>
      </c>
      <c r="B172" s="2342"/>
      <c r="C172" s="2342"/>
      <c r="D172" s="2342"/>
      <c r="E172" s="2342"/>
      <c r="F172" s="2342"/>
      <c r="G172" s="2342"/>
      <c r="H172" s="2342"/>
    </row>
    <row r="173" spans="1:8">
      <c r="A173" s="2343" t="s">
        <v>1442</v>
      </c>
      <c r="B173" s="2342"/>
      <c r="C173" s="2342"/>
      <c r="D173" s="2342"/>
      <c r="E173" s="2342"/>
      <c r="F173" s="2342"/>
      <c r="G173" s="2342"/>
      <c r="H173" s="2342"/>
    </row>
    <row r="174" spans="1:8">
      <c r="A174" s="2343" t="s">
        <v>1443</v>
      </c>
      <c r="B174" s="2342"/>
      <c r="C174" s="2342"/>
      <c r="D174" s="2342"/>
      <c r="E174" s="2342"/>
      <c r="F174" s="2342"/>
      <c r="G174" s="2342"/>
      <c r="H174" s="2342"/>
    </row>
    <row r="175" spans="1:8">
      <c r="A175" s="2342"/>
      <c r="B175" s="2342"/>
      <c r="C175" s="2342"/>
      <c r="D175" s="2342"/>
      <c r="E175" s="2342"/>
      <c r="F175" s="2342"/>
      <c r="G175" s="2342"/>
      <c r="H175" s="2342"/>
    </row>
    <row r="176" spans="1:8">
      <c r="A176" s="2342"/>
      <c r="B176" s="2342"/>
      <c r="C176" s="2342"/>
      <c r="D176" s="2342"/>
      <c r="E176" s="2342"/>
      <c r="F176" s="2342"/>
      <c r="G176" s="2342"/>
      <c r="H176" s="2342"/>
    </row>
    <row r="177" spans="1:8">
      <c r="A177" s="2343" t="s">
        <v>1273</v>
      </c>
      <c r="B177" s="2342"/>
      <c r="C177" s="2342"/>
      <c r="D177" s="2342"/>
      <c r="E177" s="2342"/>
      <c r="F177" s="2342"/>
      <c r="G177" s="2342"/>
      <c r="H177" s="2342"/>
    </row>
    <row r="178" spans="1:8">
      <c r="A178" s="2342"/>
      <c r="B178" s="2342"/>
      <c r="C178" s="2342"/>
      <c r="D178" s="2342"/>
      <c r="E178" s="2342"/>
      <c r="F178" s="2342"/>
      <c r="G178" s="2342"/>
      <c r="H178" s="2342"/>
    </row>
    <row r="179" spans="1:8" ht="15.75">
      <c r="A179" s="2344" t="s">
        <v>1274</v>
      </c>
      <c r="B179" s="2342"/>
      <c r="C179" s="2342"/>
      <c r="D179" s="2342"/>
      <c r="E179" s="2342"/>
      <c r="F179" s="2342"/>
      <c r="G179" s="2342"/>
      <c r="H179" s="2342"/>
    </row>
    <row r="180" spans="1:8">
      <c r="A180" s="2342"/>
      <c r="B180" s="2342"/>
      <c r="C180" s="2342"/>
      <c r="D180" s="2342"/>
      <c r="E180" s="2342"/>
      <c r="F180" s="2342"/>
      <c r="G180" s="2342"/>
      <c r="H180" s="2342"/>
    </row>
    <row r="181" spans="1:8">
      <c r="A181" s="2342"/>
      <c r="B181" s="2342"/>
      <c r="C181" s="2342"/>
      <c r="D181" s="2342"/>
      <c r="E181" s="2342"/>
      <c r="F181" s="2342"/>
      <c r="G181" s="2342"/>
      <c r="H181" s="2342"/>
    </row>
    <row r="182" spans="1:8">
      <c r="A182" s="2342"/>
      <c r="B182" s="2342"/>
      <c r="C182" s="2342"/>
      <c r="D182" s="2342"/>
      <c r="E182" s="2342"/>
      <c r="F182" s="2342"/>
      <c r="G182" s="2342"/>
      <c r="H182" s="2342"/>
    </row>
    <row r="183" spans="1:8">
      <c r="A183" s="2342"/>
      <c r="B183" s="2342"/>
      <c r="C183" s="2342"/>
      <c r="D183" s="2342"/>
      <c r="E183" s="2342"/>
      <c r="F183" s="2342"/>
      <c r="G183" s="2342"/>
      <c r="H183" s="2342"/>
    </row>
    <row r="184" spans="1:8">
      <c r="A184" s="2342"/>
      <c r="B184" s="2342"/>
      <c r="C184" s="2342"/>
      <c r="D184" s="2342"/>
      <c r="E184" s="2342"/>
      <c r="F184" s="2342"/>
      <c r="G184" s="2342"/>
      <c r="H184" s="2342"/>
    </row>
    <row r="185" spans="1:8">
      <c r="A185" s="2342"/>
      <c r="B185" s="2342"/>
      <c r="C185" s="2342"/>
      <c r="D185" s="2342"/>
      <c r="E185" s="2342"/>
      <c r="F185" s="2342"/>
      <c r="G185" s="2342"/>
      <c r="H185" s="2342"/>
    </row>
    <row r="186" spans="1:8">
      <c r="A186" s="2342"/>
      <c r="B186" s="2342"/>
      <c r="C186" s="2342"/>
      <c r="D186" s="2342"/>
      <c r="E186" s="2342"/>
      <c r="F186" s="2342"/>
      <c r="G186" s="2342"/>
      <c r="H186" s="2342"/>
    </row>
    <row r="187" spans="1:8">
      <c r="A187" s="2342"/>
      <c r="B187" s="2342"/>
      <c r="C187" s="2342"/>
      <c r="D187" s="2342"/>
      <c r="E187" s="2342"/>
      <c r="F187" s="2342"/>
      <c r="G187" s="2342"/>
      <c r="H187" s="2342"/>
    </row>
    <row r="188" spans="1:8">
      <c r="A188" s="2342"/>
      <c r="B188" s="2342"/>
      <c r="C188" s="2342"/>
      <c r="D188" s="2342"/>
      <c r="E188" s="2342"/>
      <c r="F188" s="2342"/>
      <c r="G188" s="2342"/>
      <c r="H188" s="2342"/>
    </row>
    <row r="189" spans="1:8">
      <c r="A189" s="2342"/>
      <c r="B189" s="2342"/>
      <c r="C189" s="2342"/>
      <c r="D189" s="2342"/>
      <c r="E189" s="2342"/>
      <c r="F189" s="2342"/>
      <c r="G189" s="2342"/>
      <c r="H189" s="2342"/>
    </row>
    <row r="190" spans="1:8">
      <c r="A190" s="2342"/>
      <c r="B190" s="2342"/>
      <c r="C190" s="2342"/>
      <c r="D190" s="2342"/>
      <c r="E190" s="2342"/>
      <c r="F190" s="2342"/>
      <c r="G190" s="2342"/>
      <c r="H190" s="2342"/>
    </row>
    <row r="191" spans="1:8">
      <c r="A191" s="2342"/>
      <c r="B191" s="2342"/>
      <c r="C191" s="2342"/>
      <c r="D191" s="2342"/>
      <c r="E191" s="2342"/>
      <c r="F191" s="2342"/>
      <c r="G191" s="2342"/>
      <c r="H191" s="2342"/>
    </row>
    <row r="192" spans="1:8">
      <c r="A192" s="2342"/>
      <c r="B192" s="2342"/>
      <c r="C192" s="2342"/>
      <c r="D192" s="2342"/>
      <c r="E192" s="2342"/>
      <c r="F192" s="2342"/>
      <c r="G192" s="2342"/>
      <c r="H192" s="2342"/>
    </row>
    <row r="193" spans="1:8">
      <c r="A193" s="2342"/>
      <c r="B193" s="2342"/>
      <c r="C193" s="2342"/>
      <c r="D193" s="2342"/>
      <c r="E193" s="2342"/>
      <c r="F193" s="2342"/>
      <c r="G193" s="2342"/>
      <c r="H193" s="2342"/>
    </row>
    <row r="194" spans="1:8">
      <c r="A194" s="2342"/>
      <c r="B194" s="2342"/>
      <c r="C194" s="2342"/>
      <c r="D194" s="2342"/>
      <c r="E194" s="2342"/>
      <c r="F194" s="2342"/>
      <c r="G194" s="2342"/>
      <c r="H194" s="2342"/>
    </row>
    <row r="195" spans="1:8">
      <c r="A195" s="2342"/>
      <c r="B195" s="2342"/>
      <c r="C195" s="2342"/>
      <c r="D195" s="2342"/>
      <c r="E195" s="2342"/>
      <c r="F195" s="2342"/>
      <c r="G195" s="2342"/>
      <c r="H195" s="2342"/>
    </row>
    <row r="196" spans="1:8">
      <c r="A196" s="2342"/>
      <c r="B196" s="2342"/>
      <c r="C196" s="2342"/>
      <c r="D196" s="2342"/>
      <c r="E196" s="2342"/>
      <c r="F196" s="2342"/>
      <c r="G196" s="2342"/>
      <c r="H196" s="2342"/>
    </row>
    <row r="197" spans="1:8">
      <c r="A197" s="2342"/>
      <c r="B197" s="2342"/>
      <c r="C197" s="2342"/>
      <c r="D197" s="2342"/>
      <c r="E197" s="2342"/>
      <c r="F197" s="2342"/>
      <c r="G197" s="2342"/>
      <c r="H197" s="2342"/>
    </row>
    <row r="198" spans="1:8">
      <c r="A198" s="2342"/>
      <c r="B198" s="2342"/>
      <c r="C198" s="2342"/>
      <c r="D198" s="2342"/>
      <c r="E198" s="2342"/>
      <c r="F198" s="2342"/>
      <c r="G198" s="2342"/>
      <c r="H198" s="2342"/>
    </row>
    <row r="199" spans="1:8">
      <c r="A199" s="2342"/>
      <c r="B199" s="2342"/>
      <c r="C199" s="2342"/>
      <c r="D199" s="2342"/>
      <c r="E199" s="2342"/>
      <c r="F199" s="2342"/>
      <c r="G199" s="2342"/>
      <c r="H199" s="2342"/>
    </row>
    <row r="200" spans="1:8">
      <c r="A200" s="2342"/>
      <c r="B200" s="2342"/>
      <c r="C200" s="2342"/>
      <c r="D200" s="2342"/>
      <c r="E200" s="2342"/>
      <c r="F200" s="2342"/>
      <c r="G200" s="2342"/>
      <c r="H200" s="2342"/>
    </row>
    <row r="201" spans="1:8">
      <c r="A201" s="2342"/>
      <c r="B201" s="2342"/>
      <c r="C201" s="2342"/>
      <c r="D201" s="2342"/>
      <c r="E201" s="2342"/>
      <c r="F201" s="2342"/>
      <c r="G201" s="2342"/>
      <c r="H201" s="2342"/>
    </row>
    <row r="202" spans="1:8">
      <c r="A202" s="2342"/>
      <c r="B202" s="2342"/>
      <c r="C202" s="2342"/>
      <c r="D202" s="2342"/>
      <c r="E202" s="2342"/>
      <c r="F202" s="2342"/>
      <c r="G202" s="2342"/>
      <c r="H202" s="2342"/>
    </row>
    <row r="203" spans="1:8">
      <c r="A203" s="2342"/>
      <c r="B203" s="2342"/>
      <c r="C203" s="2342"/>
      <c r="D203" s="2342"/>
      <c r="E203" s="2342"/>
      <c r="F203" s="2342"/>
      <c r="G203" s="2342"/>
      <c r="H203" s="2342"/>
    </row>
    <row r="204" spans="1:8">
      <c r="A204" s="2342"/>
      <c r="B204" s="2342"/>
      <c r="C204" s="2342"/>
      <c r="D204" s="2342"/>
      <c r="E204" s="2342"/>
      <c r="F204" s="2342"/>
      <c r="G204" s="2342"/>
      <c r="H204" s="2342"/>
    </row>
    <row r="205" spans="1:8">
      <c r="A205" s="2342"/>
      <c r="B205" s="2342"/>
      <c r="C205" s="2342"/>
      <c r="D205" s="2342"/>
      <c r="E205" s="2342"/>
      <c r="F205" s="2342"/>
      <c r="G205" s="2342"/>
      <c r="H205" s="2342"/>
    </row>
    <row r="206" spans="1:8" ht="15.75">
      <c r="A206" s="2344" t="s">
        <v>1275</v>
      </c>
      <c r="B206" s="2342"/>
      <c r="C206" s="2342"/>
      <c r="D206" s="2342"/>
      <c r="E206" s="2342"/>
      <c r="F206" s="2342"/>
      <c r="G206" s="2342"/>
      <c r="H206" s="2342"/>
    </row>
    <row r="207" spans="1:8">
      <c r="A207" s="2342"/>
      <c r="B207" s="2342"/>
      <c r="C207" s="2342"/>
      <c r="D207" s="2342"/>
      <c r="E207" s="2342"/>
      <c r="F207" s="2342"/>
      <c r="G207" s="2342"/>
      <c r="H207" s="2342"/>
    </row>
    <row r="208" spans="1:8">
      <c r="A208" s="2343" t="s">
        <v>1436</v>
      </c>
      <c r="B208" s="2342"/>
      <c r="C208" s="2342"/>
      <c r="D208" s="2342"/>
      <c r="E208" s="2342"/>
      <c r="F208" s="2342"/>
      <c r="G208" s="2342"/>
      <c r="H208" s="2342"/>
    </row>
    <row r="209" spans="1:8">
      <c r="A209" s="2343" t="s">
        <v>1437</v>
      </c>
      <c r="B209" s="2342"/>
      <c r="C209" s="2342"/>
      <c r="D209" s="2342"/>
      <c r="E209" s="2342"/>
      <c r="F209" s="2342"/>
      <c r="G209" s="2342"/>
      <c r="H209" s="2342"/>
    </row>
    <row r="210" spans="1:8">
      <c r="A210" s="2343" t="s">
        <v>1438</v>
      </c>
      <c r="B210" s="2342"/>
      <c r="C210" s="2342"/>
      <c r="D210" s="2342"/>
      <c r="E210" s="2342"/>
      <c r="F210" s="2342"/>
      <c r="G210" s="2342"/>
      <c r="H210" s="2342"/>
    </row>
    <row r="211" spans="1:8">
      <c r="A211" s="2343" t="s">
        <v>1439</v>
      </c>
      <c r="B211" s="2342"/>
      <c r="C211" s="2342"/>
      <c r="D211" s="2342"/>
      <c r="E211" s="2342"/>
      <c r="F211" s="2342"/>
      <c r="G211" s="2342"/>
      <c r="H211" s="2342"/>
    </row>
    <row r="212" spans="1:8">
      <c r="A212" s="2343" t="s">
        <v>1440</v>
      </c>
      <c r="B212" s="2342"/>
      <c r="C212" s="2342"/>
      <c r="D212" s="2342"/>
      <c r="E212" s="2342"/>
      <c r="F212" s="2342"/>
      <c r="G212" s="2342"/>
      <c r="H212" s="2342"/>
    </row>
    <row r="213" spans="1:8">
      <c r="A213" s="2342"/>
      <c r="B213" s="2342"/>
      <c r="C213" s="2342"/>
      <c r="D213" s="2342"/>
      <c r="E213" s="2342"/>
      <c r="F213" s="2342"/>
      <c r="G213" s="2342"/>
      <c r="H213" s="2342"/>
    </row>
    <row r="214" spans="1:8">
      <c r="A214" s="2343" t="s">
        <v>1433</v>
      </c>
      <c r="B214" s="2342"/>
      <c r="C214" s="2342"/>
      <c r="D214" s="2342"/>
      <c r="E214" s="2342"/>
      <c r="F214" s="2342"/>
      <c r="G214" s="2342"/>
      <c r="H214" s="2342"/>
    </row>
    <row r="215" spans="1:8">
      <c r="A215" s="2343" t="s">
        <v>1434</v>
      </c>
      <c r="B215" s="2342"/>
      <c r="C215" s="2342"/>
      <c r="D215" s="2342"/>
      <c r="E215" s="2342"/>
      <c r="F215" s="2342"/>
      <c r="G215" s="2342"/>
      <c r="H215" s="2342"/>
    </row>
    <row r="216" spans="1:8">
      <c r="A216" s="2343" t="s">
        <v>1435</v>
      </c>
      <c r="B216" s="2342"/>
      <c r="C216" s="2342"/>
      <c r="D216" s="2342"/>
      <c r="E216" s="2342"/>
      <c r="F216" s="2342"/>
      <c r="G216" s="2342"/>
      <c r="H216" s="2342"/>
    </row>
    <row r="217" spans="1:8" ht="15.75">
      <c r="A217" s="2344" t="s">
        <v>1276</v>
      </c>
      <c r="B217" s="2342"/>
      <c r="C217" s="2342"/>
      <c r="D217" s="2342"/>
      <c r="E217" s="2342"/>
      <c r="F217" s="2342"/>
      <c r="G217" s="2342"/>
      <c r="H217" s="2342"/>
    </row>
    <row r="218" spans="1:8">
      <c r="A218" s="2342"/>
      <c r="B218" s="2342"/>
      <c r="C218" s="2342"/>
      <c r="D218" s="2342"/>
      <c r="E218" s="2342"/>
      <c r="F218" s="2342"/>
      <c r="G218" s="2342"/>
      <c r="H218" s="2342"/>
    </row>
    <row r="219" spans="1:8">
      <c r="A219" s="2343" t="s">
        <v>1431</v>
      </c>
      <c r="B219" s="2342"/>
      <c r="C219" s="2342"/>
      <c r="D219" s="2342"/>
      <c r="E219" s="2342"/>
      <c r="F219" s="2342"/>
      <c r="G219" s="2342"/>
      <c r="H219" s="2342"/>
    </row>
    <row r="220" spans="1:8">
      <c r="A220" s="2343" t="s">
        <v>1432</v>
      </c>
      <c r="B220" s="2342"/>
      <c r="C220" s="2342"/>
      <c r="D220" s="2342"/>
      <c r="E220" s="2342"/>
      <c r="F220" s="2342"/>
      <c r="G220" s="2342"/>
      <c r="H220" s="2342"/>
    </row>
    <row r="221" spans="1:8">
      <c r="A221" s="2342"/>
      <c r="B221" s="2342"/>
      <c r="C221" s="2342"/>
      <c r="D221" s="2342"/>
      <c r="E221" s="2342"/>
      <c r="F221" s="2342"/>
      <c r="G221" s="2342"/>
      <c r="H221" s="2342"/>
    </row>
    <row r="222" spans="1:8">
      <c r="A222" s="2343" t="s">
        <v>1424</v>
      </c>
      <c r="B222" s="2342"/>
      <c r="C222" s="2342"/>
      <c r="D222" s="2342"/>
      <c r="E222" s="2342"/>
      <c r="F222" s="2342"/>
      <c r="G222" s="2342"/>
      <c r="H222" s="2342"/>
    </row>
    <row r="223" spans="1:8">
      <c r="A223" s="2343" t="s">
        <v>1425</v>
      </c>
      <c r="B223" s="2342"/>
      <c r="C223" s="2342"/>
      <c r="D223" s="2342"/>
      <c r="E223" s="2342"/>
      <c r="F223" s="2342"/>
      <c r="G223" s="2342"/>
      <c r="H223" s="2342"/>
    </row>
    <row r="224" spans="1:8">
      <c r="A224" s="2343" t="s">
        <v>1426</v>
      </c>
      <c r="B224" s="2342"/>
      <c r="C224" s="2342"/>
      <c r="D224" s="2342"/>
      <c r="E224" s="2342"/>
      <c r="F224" s="2342"/>
      <c r="G224" s="2342"/>
      <c r="H224" s="2342"/>
    </row>
    <row r="225" spans="1:8">
      <c r="A225" s="2343" t="s">
        <v>1427</v>
      </c>
      <c r="B225" s="2342"/>
      <c r="C225" s="2342"/>
      <c r="D225" s="2342"/>
      <c r="E225" s="2342"/>
      <c r="F225" s="2342"/>
      <c r="G225" s="2342"/>
      <c r="H225" s="2342"/>
    </row>
    <row r="226" spans="1:8">
      <c r="A226" s="2343" t="s">
        <v>1428</v>
      </c>
      <c r="B226" s="2342"/>
      <c r="C226" s="2342"/>
      <c r="D226" s="2342"/>
      <c r="E226" s="2342"/>
      <c r="F226" s="2342"/>
      <c r="G226" s="2342"/>
      <c r="H226" s="2342"/>
    </row>
    <row r="227" spans="1:8">
      <c r="A227" s="2343" t="s">
        <v>1429</v>
      </c>
      <c r="B227" s="2342"/>
      <c r="C227" s="2342"/>
      <c r="D227" s="2342"/>
      <c r="E227" s="2342"/>
      <c r="F227" s="2342"/>
      <c r="G227" s="2342"/>
      <c r="H227" s="2342"/>
    </row>
    <row r="228" spans="1:8">
      <c r="A228" s="2343" t="s">
        <v>1430</v>
      </c>
      <c r="B228" s="2342"/>
      <c r="C228" s="2342"/>
      <c r="D228" s="2342"/>
      <c r="E228" s="2342"/>
      <c r="F228" s="2342"/>
      <c r="G228" s="2342"/>
      <c r="H228" s="2342"/>
    </row>
    <row r="229" spans="1:8">
      <c r="A229" s="2342"/>
      <c r="B229" s="2342"/>
      <c r="C229" s="2342"/>
      <c r="D229" s="2342"/>
      <c r="E229" s="2342"/>
      <c r="F229" s="2342"/>
      <c r="G229" s="2342"/>
      <c r="H229" s="2342"/>
    </row>
    <row r="230" spans="1:8">
      <c r="A230" s="2343" t="s">
        <v>1421</v>
      </c>
      <c r="B230" s="2342"/>
      <c r="C230" s="2342"/>
      <c r="D230" s="2342"/>
      <c r="E230" s="2342"/>
      <c r="F230" s="2342"/>
      <c r="G230" s="2342"/>
      <c r="H230" s="2342"/>
    </row>
    <row r="231" spans="1:8">
      <c r="A231" s="2343" t="s">
        <v>1422</v>
      </c>
      <c r="B231" s="2342"/>
      <c r="C231" s="2342"/>
      <c r="D231" s="2342"/>
      <c r="E231" s="2342"/>
      <c r="F231" s="2342"/>
      <c r="G231" s="2342"/>
      <c r="H231" s="2342"/>
    </row>
    <row r="232" spans="1:8">
      <c r="A232" s="2343" t="s">
        <v>1423</v>
      </c>
      <c r="B232" s="2342"/>
      <c r="C232" s="2342"/>
      <c r="D232" s="2342"/>
      <c r="E232" s="2342"/>
      <c r="F232" s="2342"/>
      <c r="G232" s="2342"/>
      <c r="H232" s="2342"/>
    </row>
    <row r="233" spans="1:8">
      <c r="A233" s="2342"/>
      <c r="B233" s="2342"/>
      <c r="C233" s="2342"/>
      <c r="D233" s="2342"/>
      <c r="E233" s="2342"/>
      <c r="F233" s="2342"/>
      <c r="G233" s="2342"/>
      <c r="H233" s="2342"/>
    </row>
    <row r="234" spans="1:8">
      <c r="A234" s="2343" t="s">
        <v>1416</v>
      </c>
      <c r="B234" s="2342"/>
      <c r="C234" s="2342"/>
      <c r="D234" s="2342"/>
      <c r="E234" s="2342"/>
      <c r="F234" s="2342"/>
      <c r="G234" s="2342"/>
      <c r="H234" s="2342"/>
    </row>
    <row r="235" spans="1:8">
      <c r="A235" s="2343" t="s">
        <v>1417</v>
      </c>
      <c r="B235" s="2342"/>
      <c r="C235" s="2342"/>
      <c r="D235" s="2342"/>
      <c r="E235" s="2342"/>
      <c r="F235" s="2342"/>
      <c r="G235" s="2342"/>
      <c r="H235" s="2342"/>
    </row>
    <row r="236" spans="1:8">
      <c r="A236" s="2343" t="s">
        <v>1418</v>
      </c>
      <c r="B236" s="2342"/>
      <c r="C236" s="2342"/>
      <c r="D236" s="2342"/>
      <c r="E236" s="2342"/>
      <c r="F236" s="2342"/>
      <c r="G236" s="2342"/>
      <c r="H236" s="2342"/>
    </row>
    <row r="237" spans="1:8">
      <c r="A237" s="2343" t="s">
        <v>1419</v>
      </c>
      <c r="B237" s="2342"/>
      <c r="C237" s="2342"/>
      <c r="D237" s="2342"/>
      <c r="E237" s="2342"/>
      <c r="F237" s="2342"/>
      <c r="G237" s="2342"/>
      <c r="H237" s="2342"/>
    </row>
    <row r="238" spans="1:8">
      <c r="A238" s="2343" t="s">
        <v>1420</v>
      </c>
      <c r="B238" s="2342"/>
      <c r="C238" s="2342"/>
      <c r="D238" s="2342"/>
      <c r="E238" s="2342"/>
      <c r="F238" s="2342"/>
      <c r="G238" s="2342"/>
      <c r="H238" s="2342"/>
    </row>
    <row r="239" spans="1:8">
      <c r="A239" s="2342"/>
      <c r="B239" s="2342"/>
      <c r="C239" s="2342"/>
      <c r="D239" s="2342"/>
      <c r="E239" s="2342"/>
      <c r="F239" s="2342"/>
      <c r="G239" s="2342"/>
      <c r="H239" s="2342"/>
    </row>
    <row r="240" spans="1:8">
      <c r="A240" s="2343" t="s">
        <v>1410</v>
      </c>
      <c r="B240" s="2342"/>
      <c r="C240" s="2342"/>
      <c r="D240" s="2342"/>
      <c r="E240" s="2342"/>
      <c r="F240" s="2342"/>
      <c r="G240" s="2342"/>
      <c r="H240" s="2342"/>
    </row>
    <row r="241" spans="1:8">
      <c r="A241" s="2343" t="s">
        <v>1411</v>
      </c>
      <c r="B241" s="2342"/>
      <c r="C241" s="2342"/>
      <c r="D241" s="2342"/>
      <c r="E241" s="2342"/>
      <c r="F241" s="2342"/>
      <c r="G241" s="2342"/>
      <c r="H241" s="2342"/>
    </row>
    <row r="242" spans="1:8">
      <c r="A242" s="2343" t="s">
        <v>1412</v>
      </c>
      <c r="B242" s="2342"/>
      <c r="C242" s="2342"/>
      <c r="D242" s="2342"/>
      <c r="E242" s="2342"/>
      <c r="F242" s="2342"/>
      <c r="G242" s="2342"/>
      <c r="H242" s="2342"/>
    </row>
    <row r="243" spans="1:8">
      <c r="A243" s="2343" t="s">
        <v>1413</v>
      </c>
      <c r="B243" s="2342"/>
      <c r="C243" s="2342"/>
      <c r="D243" s="2342"/>
      <c r="E243" s="2342"/>
      <c r="F243" s="2342"/>
      <c r="G243" s="2342"/>
      <c r="H243" s="2342"/>
    </row>
    <row r="244" spans="1:8">
      <c r="A244" s="2343" t="s">
        <v>1414</v>
      </c>
      <c r="B244" s="2342"/>
      <c r="C244" s="2342"/>
      <c r="D244" s="2342"/>
      <c r="E244" s="2342"/>
      <c r="F244" s="2342"/>
      <c r="G244" s="2342"/>
      <c r="H244" s="2342"/>
    </row>
    <row r="245" spans="1:8">
      <c r="A245" s="2343" t="s">
        <v>1415</v>
      </c>
      <c r="B245" s="2342"/>
      <c r="C245" s="2342"/>
      <c r="D245" s="2342"/>
      <c r="E245" s="2342"/>
      <c r="F245" s="2342"/>
      <c r="G245" s="2342"/>
      <c r="H245" s="2342"/>
    </row>
    <row r="246" spans="1:8">
      <c r="A246" s="2342"/>
      <c r="B246" s="2342"/>
      <c r="C246" s="2342"/>
      <c r="D246" s="2342"/>
      <c r="E246" s="2342"/>
      <c r="F246" s="2342"/>
      <c r="G246" s="2342"/>
      <c r="H246" s="2342"/>
    </row>
    <row r="247" spans="1:8">
      <c r="A247" s="2343" t="s">
        <v>1400</v>
      </c>
      <c r="B247" s="2342"/>
      <c r="C247" s="2342"/>
      <c r="D247" s="2342"/>
      <c r="E247" s="2342"/>
      <c r="F247" s="2342"/>
      <c r="G247" s="2342"/>
      <c r="H247" s="2342"/>
    </row>
    <row r="248" spans="1:8">
      <c r="A248" s="2343" t="s">
        <v>1401</v>
      </c>
      <c r="B248" s="2342"/>
      <c r="C248" s="2342"/>
      <c r="D248" s="2342"/>
      <c r="E248" s="2342"/>
      <c r="F248" s="2342"/>
      <c r="G248" s="2342"/>
      <c r="H248" s="2342"/>
    </row>
    <row r="249" spans="1:8">
      <c r="A249" s="2343" t="s">
        <v>1402</v>
      </c>
      <c r="B249" s="2342"/>
      <c r="C249" s="2342"/>
      <c r="D249" s="2342"/>
      <c r="E249" s="2342"/>
      <c r="F249" s="2342"/>
      <c r="G249" s="2342"/>
      <c r="H249" s="2342"/>
    </row>
    <row r="250" spans="1:8">
      <c r="A250" s="2343" t="s">
        <v>1403</v>
      </c>
      <c r="B250" s="2342"/>
      <c r="C250" s="2342"/>
      <c r="D250" s="2342"/>
      <c r="E250" s="2342"/>
      <c r="F250" s="2342"/>
      <c r="G250" s="2342"/>
      <c r="H250" s="2342"/>
    </row>
    <row r="251" spans="1:8">
      <c r="A251" s="2343" t="s">
        <v>1404</v>
      </c>
      <c r="B251" s="2342"/>
      <c r="C251" s="2342"/>
      <c r="D251" s="2342"/>
      <c r="E251" s="2342"/>
      <c r="F251" s="2342"/>
      <c r="G251" s="2342"/>
      <c r="H251" s="2342"/>
    </row>
    <row r="252" spans="1:8">
      <c r="A252" s="2343" t="s">
        <v>1405</v>
      </c>
      <c r="B252" s="2342"/>
      <c r="C252" s="2342"/>
      <c r="D252" s="2342"/>
      <c r="E252" s="2342"/>
      <c r="F252" s="2342"/>
      <c r="G252" s="2342"/>
      <c r="H252" s="2342"/>
    </row>
    <row r="253" spans="1:8">
      <c r="A253" s="2343" t="s">
        <v>1406</v>
      </c>
      <c r="B253" s="2342"/>
      <c r="C253" s="2342"/>
      <c r="D253" s="2342"/>
      <c r="E253" s="2342"/>
      <c r="F253" s="2342"/>
      <c r="G253" s="2342"/>
      <c r="H253" s="2342"/>
    </row>
    <row r="254" spans="1:8">
      <c r="A254" s="2343" t="s">
        <v>1407</v>
      </c>
      <c r="B254" s="2342"/>
      <c r="C254" s="2342"/>
      <c r="D254" s="2342"/>
      <c r="E254" s="2342"/>
      <c r="F254" s="2342"/>
      <c r="G254" s="2342"/>
      <c r="H254" s="2342"/>
    </row>
    <row r="255" spans="1:8">
      <c r="A255" s="2343" t="s">
        <v>1408</v>
      </c>
      <c r="B255" s="2342"/>
      <c r="C255" s="2342"/>
      <c r="D255" s="2342"/>
      <c r="E255" s="2342"/>
      <c r="F255" s="2342"/>
      <c r="G255" s="2342"/>
      <c r="H255" s="2342"/>
    </row>
    <row r="256" spans="1:8">
      <c r="A256" s="2343" t="s">
        <v>1409</v>
      </c>
      <c r="B256" s="2342"/>
      <c r="C256" s="2342"/>
      <c r="D256" s="2342"/>
      <c r="E256" s="2342"/>
      <c r="F256" s="2342"/>
      <c r="G256" s="2342"/>
      <c r="H256" s="2342"/>
    </row>
    <row r="257" spans="1:8">
      <c r="A257" s="2342"/>
      <c r="B257" s="2342"/>
      <c r="C257" s="2342"/>
      <c r="D257" s="2342"/>
      <c r="E257" s="2342"/>
      <c r="F257" s="2342"/>
      <c r="G257" s="2342"/>
      <c r="H257" s="2342"/>
    </row>
    <row r="258" spans="1:8">
      <c r="A258" s="2343" t="s">
        <v>1398</v>
      </c>
      <c r="B258" s="2342"/>
      <c r="C258" s="2342"/>
      <c r="D258" s="2342"/>
      <c r="E258" s="2342"/>
      <c r="F258" s="2342"/>
      <c r="G258" s="2342"/>
      <c r="H258" s="2342"/>
    </row>
    <row r="259" spans="1:8">
      <c r="A259" s="2343" t="s">
        <v>1399</v>
      </c>
      <c r="B259" s="2342"/>
      <c r="C259" s="2342"/>
      <c r="D259" s="2342"/>
      <c r="E259" s="2342"/>
      <c r="F259" s="2342"/>
      <c r="G259" s="2342"/>
      <c r="H259" s="2342"/>
    </row>
    <row r="260" spans="1:8">
      <c r="A260" s="2342"/>
      <c r="B260" s="2342"/>
      <c r="C260" s="2342"/>
      <c r="D260" s="2342"/>
      <c r="E260" s="2342"/>
      <c r="F260" s="2342"/>
      <c r="G260" s="2342"/>
      <c r="H260" s="2342"/>
    </row>
    <row r="261" spans="1:8">
      <c r="A261" s="2343" t="s">
        <v>1382</v>
      </c>
      <c r="B261" s="2342"/>
      <c r="C261" s="2342"/>
      <c r="D261" s="2342"/>
      <c r="E261" s="2342"/>
      <c r="F261" s="2342"/>
      <c r="G261" s="2342"/>
      <c r="H261" s="2342"/>
    </row>
    <row r="262" spans="1:8">
      <c r="A262" s="2343" t="s">
        <v>1383</v>
      </c>
      <c r="B262" s="2342"/>
      <c r="C262" s="2342"/>
      <c r="D262" s="2342"/>
      <c r="E262" s="2342"/>
      <c r="F262" s="2342"/>
      <c r="G262" s="2342"/>
      <c r="H262" s="2342"/>
    </row>
    <row r="263" spans="1:8">
      <c r="A263" s="2343" t="s">
        <v>1384</v>
      </c>
      <c r="B263" s="2342"/>
      <c r="C263" s="2342"/>
      <c r="D263" s="2342"/>
      <c r="E263" s="2342"/>
      <c r="F263" s="2342"/>
      <c r="G263" s="2342"/>
      <c r="H263" s="2342"/>
    </row>
    <row r="264" spans="1:8">
      <c r="A264" s="2343" t="s">
        <v>1385</v>
      </c>
      <c r="B264" s="2342"/>
      <c r="C264" s="2342"/>
      <c r="D264" s="2342"/>
      <c r="E264" s="2342"/>
      <c r="F264" s="2342"/>
      <c r="G264" s="2342"/>
      <c r="H264" s="2342"/>
    </row>
    <row r="265" spans="1:8">
      <c r="A265" s="2343" t="s">
        <v>1386</v>
      </c>
      <c r="B265" s="2342"/>
      <c r="C265" s="2342"/>
      <c r="D265" s="2342"/>
      <c r="E265" s="2342"/>
      <c r="F265" s="2342"/>
      <c r="G265" s="2342"/>
      <c r="H265" s="2342"/>
    </row>
    <row r="266" spans="1:8">
      <c r="A266" s="2343" t="s">
        <v>1387</v>
      </c>
      <c r="B266" s="2342"/>
      <c r="C266" s="2342"/>
      <c r="D266" s="2342"/>
      <c r="E266" s="2342"/>
      <c r="F266" s="2342"/>
      <c r="G266" s="2342"/>
      <c r="H266" s="2342"/>
    </row>
    <row r="267" spans="1:8">
      <c r="A267" s="2343" t="s">
        <v>1388</v>
      </c>
      <c r="B267" s="2342"/>
      <c r="C267" s="2342"/>
      <c r="D267" s="2342"/>
      <c r="E267" s="2342"/>
      <c r="F267" s="2342"/>
      <c r="G267" s="2342"/>
      <c r="H267" s="2342"/>
    </row>
    <row r="268" spans="1:8">
      <c r="A268" s="2343" t="s">
        <v>1389</v>
      </c>
      <c r="B268" s="2342"/>
      <c r="C268" s="2342"/>
      <c r="D268" s="2342"/>
      <c r="E268" s="2342"/>
      <c r="F268" s="2342"/>
      <c r="G268" s="2342"/>
      <c r="H268" s="2342"/>
    </row>
    <row r="269" spans="1:8">
      <c r="A269" s="2343" t="s">
        <v>1390</v>
      </c>
      <c r="B269" s="2342"/>
      <c r="C269" s="2342"/>
      <c r="D269" s="2342"/>
      <c r="E269" s="2342"/>
      <c r="F269" s="2342"/>
      <c r="G269" s="2342"/>
      <c r="H269" s="2342"/>
    </row>
    <row r="270" spans="1:8">
      <c r="A270" s="2343" t="s">
        <v>1391</v>
      </c>
      <c r="B270" s="2342"/>
      <c r="C270" s="2342"/>
      <c r="D270" s="2342"/>
      <c r="E270" s="2342"/>
      <c r="F270" s="2342"/>
      <c r="G270" s="2342"/>
      <c r="H270" s="2342"/>
    </row>
    <row r="271" spans="1:8">
      <c r="A271" s="2343" t="s">
        <v>1392</v>
      </c>
      <c r="B271" s="2342"/>
      <c r="C271" s="2342"/>
      <c r="D271" s="2342"/>
      <c r="E271" s="2342"/>
      <c r="F271" s="2342"/>
      <c r="G271" s="2342"/>
      <c r="H271" s="2342"/>
    </row>
    <row r="272" spans="1:8">
      <c r="A272" s="2343" t="s">
        <v>1393</v>
      </c>
      <c r="B272" s="2342"/>
      <c r="C272" s="2342"/>
      <c r="D272" s="2342"/>
      <c r="E272" s="2342"/>
      <c r="F272" s="2342"/>
      <c r="G272" s="2342"/>
      <c r="H272" s="2342"/>
    </row>
    <row r="273" spans="1:8">
      <c r="A273" s="2343" t="s">
        <v>1394</v>
      </c>
      <c r="B273" s="2342"/>
      <c r="C273" s="2342"/>
      <c r="D273" s="2342"/>
      <c r="E273" s="2342"/>
      <c r="F273" s="2342"/>
      <c r="G273" s="2342"/>
      <c r="H273" s="2342"/>
    </row>
    <row r="274" spans="1:8">
      <c r="A274" s="2343" t="s">
        <v>1395</v>
      </c>
      <c r="B274" s="2342"/>
      <c r="C274" s="2342"/>
      <c r="D274" s="2342"/>
      <c r="E274" s="2342"/>
      <c r="F274" s="2342"/>
      <c r="G274" s="2342"/>
      <c r="H274" s="2342"/>
    </row>
    <row r="275" spans="1:8">
      <c r="A275" s="2343" t="s">
        <v>1396</v>
      </c>
      <c r="B275" s="2342"/>
      <c r="C275" s="2342"/>
      <c r="D275" s="2342"/>
      <c r="E275" s="2342"/>
      <c r="F275" s="2342"/>
      <c r="G275" s="2342"/>
      <c r="H275" s="2342"/>
    </row>
    <row r="276" spans="1:8">
      <c r="A276" s="2343" t="s">
        <v>1397</v>
      </c>
      <c r="B276" s="2342"/>
      <c r="C276" s="2342"/>
      <c r="D276" s="2342"/>
      <c r="E276" s="2342"/>
      <c r="F276" s="2342"/>
      <c r="G276" s="2342"/>
      <c r="H276" s="2342"/>
    </row>
    <row r="277" spans="1:8">
      <c r="A277" s="2342"/>
      <c r="B277" s="2342"/>
      <c r="C277" s="2342"/>
      <c r="D277" s="2342"/>
      <c r="E277" s="2342"/>
      <c r="F277" s="2342"/>
      <c r="G277" s="2342"/>
      <c r="H277" s="2342"/>
    </row>
    <row r="278" spans="1:8">
      <c r="A278" s="2343" t="s">
        <v>1375</v>
      </c>
      <c r="B278" s="2342"/>
      <c r="C278" s="2342"/>
      <c r="D278" s="2342"/>
      <c r="E278" s="2342"/>
      <c r="F278" s="2342"/>
      <c r="G278" s="2342"/>
      <c r="H278" s="2342"/>
    </row>
    <row r="279" spans="1:8">
      <c r="A279" s="2343" t="s">
        <v>1376</v>
      </c>
      <c r="B279" s="2342"/>
      <c r="C279" s="2342"/>
      <c r="D279" s="2342"/>
      <c r="E279" s="2342"/>
      <c r="F279" s="2342"/>
      <c r="G279" s="2342"/>
      <c r="H279" s="2342"/>
    </row>
    <row r="280" spans="1:8">
      <c r="A280" s="2343" t="s">
        <v>1377</v>
      </c>
      <c r="B280" s="2342"/>
      <c r="C280" s="2342"/>
      <c r="D280" s="2342"/>
      <c r="E280" s="2342"/>
      <c r="F280" s="2342"/>
      <c r="G280" s="2342"/>
      <c r="H280" s="2342"/>
    </row>
    <row r="281" spans="1:8">
      <c r="A281" s="2343" t="s">
        <v>1378</v>
      </c>
      <c r="B281" s="2342"/>
      <c r="C281" s="2342"/>
      <c r="D281" s="2342"/>
      <c r="E281" s="2342"/>
      <c r="F281" s="2342"/>
      <c r="G281" s="2342"/>
      <c r="H281" s="2342"/>
    </row>
    <row r="282" spans="1:8">
      <c r="A282" s="2343" t="s">
        <v>1379</v>
      </c>
      <c r="B282" s="2342"/>
      <c r="C282" s="2342"/>
      <c r="D282" s="2342"/>
      <c r="E282" s="2342"/>
      <c r="F282" s="2342"/>
      <c r="G282" s="2342"/>
      <c r="H282" s="2342"/>
    </row>
    <row r="283" spans="1:8">
      <c r="A283" s="2343" t="s">
        <v>1380</v>
      </c>
      <c r="B283" s="2342"/>
      <c r="C283" s="2342"/>
      <c r="D283" s="2342"/>
      <c r="E283" s="2342"/>
      <c r="F283" s="2342"/>
      <c r="G283" s="2342"/>
      <c r="H283" s="2342"/>
    </row>
    <row r="284" spans="1:8">
      <c r="A284" s="2343" t="s">
        <v>1381</v>
      </c>
      <c r="B284" s="2342"/>
      <c r="C284" s="2342"/>
      <c r="D284" s="2342"/>
      <c r="E284" s="2342"/>
      <c r="F284" s="2342"/>
      <c r="G284" s="2342"/>
      <c r="H284" s="2342"/>
    </row>
    <row r="285" spans="1:8">
      <c r="A285" s="2342"/>
      <c r="B285" s="2342"/>
      <c r="C285" s="2342"/>
      <c r="D285" s="2342"/>
      <c r="E285" s="2342"/>
      <c r="F285" s="2342"/>
      <c r="G285" s="2342"/>
      <c r="H285" s="2342"/>
    </row>
    <row r="286" spans="1:8">
      <c r="A286" s="2343" t="s">
        <v>1366</v>
      </c>
      <c r="B286" s="2342"/>
      <c r="C286" s="2342"/>
      <c r="D286" s="2342"/>
      <c r="E286" s="2342"/>
      <c r="F286" s="2342"/>
      <c r="G286" s="2342"/>
      <c r="H286" s="2342"/>
    </row>
    <row r="287" spans="1:8">
      <c r="A287" s="2343" t="s">
        <v>1367</v>
      </c>
      <c r="B287" s="2342"/>
      <c r="C287" s="2342"/>
      <c r="D287" s="2342"/>
      <c r="E287" s="2342"/>
      <c r="F287" s="2342"/>
      <c r="G287" s="2342"/>
      <c r="H287" s="2342"/>
    </row>
    <row r="288" spans="1:8">
      <c r="A288" s="2343" t="s">
        <v>1368</v>
      </c>
      <c r="B288" s="2342"/>
      <c r="C288" s="2342"/>
      <c r="D288" s="2342"/>
      <c r="E288" s="2342"/>
      <c r="F288" s="2342"/>
      <c r="G288" s="2342"/>
      <c r="H288" s="2342"/>
    </row>
    <row r="289" spans="1:8">
      <c r="A289" s="2343" t="s">
        <v>1369</v>
      </c>
      <c r="B289" s="2342"/>
      <c r="C289" s="2342"/>
      <c r="D289" s="2342"/>
      <c r="E289" s="2342"/>
      <c r="F289" s="2342"/>
      <c r="G289" s="2342"/>
      <c r="H289" s="2342"/>
    </row>
    <row r="290" spans="1:8">
      <c r="A290" s="2343" t="s">
        <v>1370</v>
      </c>
      <c r="B290" s="2342"/>
      <c r="C290" s="2342"/>
      <c r="D290" s="2342"/>
      <c r="E290" s="2342"/>
      <c r="F290" s="2342"/>
      <c r="G290" s="2342"/>
      <c r="H290" s="2342"/>
    </row>
    <row r="291" spans="1:8">
      <c r="A291" s="2343" t="s">
        <v>1371</v>
      </c>
      <c r="B291" s="2342"/>
      <c r="C291" s="2342"/>
      <c r="D291" s="2342"/>
      <c r="E291" s="2342"/>
      <c r="F291" s="2342"/>
      <c r="G291" s="2342"/>
      <c r="H291" s="2342"/>
    </row>
    <row r="292" spans="1:8">
      <c r="A292" s="2343" t="s">
        <v>1372</v>
      </c>
      <c r="B292" s="2342"/>
      <c r="C292" s="2342"/>
      <c r="D292" s="2342"/>
      <c r="E292" s="2342"/>
      <c r="F292" s="2342"/>
      <c r="G292" s="2342"/>
      <c r="H292" s="2342"/>
    </row>
    <row r="293" spans="1:8">
      <c r="A293" s="2343" t="s">
        <v>1373</v>
      </c>
      <c r="B293" s="2342"/>
      <c r="C293" s="2342"/>
      <c r="D293" s="2342"/>
      <c r="E293" s="2342"/>
      <c r="F293" s="2342"/>
      <c r="G293" s="2342"/>
      <c r="H293" s="2342"/>
    </row>
    <row r="294" spans="1:8">
      <c r="A294" s="2343" t="s">
        <v>1374</v>
      </c>
      <c r="B294" s="2342"/>
      <c r="C294" s="2342"/>
      <c r="D294" s="2342"/>
      <c r="E294" s="2342"/>
      <c r="F294" s="2342"/>
      <c r="G294" s="2342"/>
      <c r="H294" s="2342"/>
    </row>
    <row r="295" spans="1:8">
      <c r="A295" s="2342"/>
      <c r="B295" s="2342"/>
      <c r="C295" s="2342"/>
      <c r="D295" s="2342"/>
      <c r="E295" s="2342"/>
      <c r="F295" s="2342"/>
      <c r="G295" s="2342"/>
      <c r="H295" s="2342"/>
    </row>
    <row r="296" spans="1:8">
      <c r="A296" s="2343" t="s">
        <v>1359</v>
      </c>
      <c r="B296" s="2342"/>
      <c r="C296" s="2342"/>
      <c r="D296" s="2342"/>
      <c r="E296" s="2342"/>
      <c r="F296" s="2342"/>
      <c r="G296" s="2342"/>
      <c r="H296" s="2342"/>
    </row>
    <row r="297" spans="1:8">
      <c r="A297" s="2343" t="s">
        <v>1360</v>
      </c>
      <c r="B297" s="2342"/>
      <c r="C297" s="2342"/>
      <c r="D297" s="2342"/>
      <c r="E297" s="2342"/>
      <c r="F297" s="2342"/>
      <c r="G297" s="2342"/>
      <c r="H297" s="2342"/>
    </row>
    <row r="298" spans="1:8">
      <c r="A298" s="2343" t="s">
        <v>1361</v>
      </c>
      <c r="B298" s="2342"/>
      <c r="C298" s="2342"/>
      <c r="D298" s="2342"/>
      <c r="E298" s="2342"/>
      <c r="F298" s="2342"/>
      <c r="G298" s="2342"/>
      <c r="H298" s="2342"/>
    </row>
    <row r="299" spans="1:8">
      <c r="A299" s="2343" t="s">
        <v>1362</v>
      </c>
      <c r="B299" s="2342"/>
      <c r="C299" s="2342"/>
      <c r="D299" s="2342"/>
      <c r="E299" s="2342"/>
      <c r="F299" s="2342"/>
      <c r="G299" s="2342"/>
      <c r="H299" s="2342"/>
    </row>
    <row r="300" spans="1:8">
      <c r="A300" s="2343" t="s">
        <v>1363</v>
      </c>
      <c r="B300" s="2342"/>
      <c r="C300" s="2342"/>
      <c r="D300" s="2342"/>
      <c r="E300" s="2342"/>
      <c r="F300" s="2342"/>
      <c r="G300" s="2342"/>
      <c r="H300" s="2342"/>
    </row>
    <row r="301" spans="1:8">
      <c r="A301" s="2343" t="s">
        <v>1364</v>
      </c>
      <c r="B301" s="2342"/>
      <c r="C301" s="2342"/>
      <c r="D301" s="2342"/>
      <c r="E301" s="2342"/>
      <c r="F301" s="2342"/>
      <c r="G301" s="2342"/>
      <c r="H301" s="2342"/>
    </row>
    <row r="302" spans="1:8">
      <c r="A302" s="2343" t="s">
        <v>1365</v>
      </c>
      <c r="B302" s="2342"/>
      <c r="C302" s="2342"/>
      <c r="D302" s="2342"/>
      <c r="E302" s="2342"/>
      <c r="F302" s="2342"/>
      <c r="G302" s="2342"/>
      <c r="H302" s="2342"/>
    </row>
    <row r="303" spans="1:8">
      <c r="A303" s="2342"/>
      <c r="B303" s="2342"/>
      <c r="C303" s="2342"/>
      <c r="D303" s="2342"/>
      <c r="E303" s="2342"/>
      <c r="F303" s="2342"/>
      <c r="G303" s="2342"/>
      <c r="H303" s="2342"/>
    </row>
    <row r="304" spans="1:8">
      <c r="A304" s="2343" t="s">
        <v>1356</v>
      </c>
      <c r="B304" s="2342"/>
      <c r="C304" s="2342"/>
      <c r="D304" s="2342"/>
      <c r="E304" s="2342"/>
      <c r="F304" s="2342"/>
      <c r="G304" s="2342"/>
      <c r="H304" s="2342"/>
    </row>
    <row r="305" spans="1:8">
      <c r="A305" s="2343" t="s">
        <v>1357</v>
      </c>
      <c r="B305" s="2342"/>
      <c r="C305" s="2342"/>
      <c r="D305" s="2342"/>
      <c r="E305" s="2342"/>
      <c r="F305" s="2342"/>
      <c r="G305" s="2342"/>
      <c r="H305" s="2342"/>
    </row>
    <row r="306" spans="1:8">
      <c r="A306" s="2343" t="s">
        <v>1358</v>
      </c>
      <c r="B306" s="2342"/>
      <c r="C306" s="2342"/>
      <c r="D306" s="2342"/>
      <c r="E306" s="2342"/>
      <c r="F306" s="2342"/>
      <c r="G306" s="2342"/>
      <c r="H306" s="2342"/>
    </row>
    <row r="307" spans="1:8">
      <c r="A307" s="2342"/>
      <c r="B307" s="2342"/>
      <c r="C307" s="2342"/>
      <c r="D307" s="2342"/>
      <c r="E307" s="2342"/>
      <c r="F307" s="2342"/>
      <c r="G307" s="2342"/>
      <c r="H307" s="2342"/>
    </row>
    <row r="308" spans="1:8">
      <c r="A308" s="2343" t="s">
        <v>1354</v>
      </c>
      <c r="B308" s="2342"/>
      <c r="C308" s="2342"/>
      <c r="D308" s="2342"/>
      <c r="E308" s="2342"/>
      <c r="F308" s="2342"/>
      <c r="G308" s="2342"/>
      <c r="H308" s="2342"/>
    </row>
    <row r="309" spans="1:8">
      <c r="A309" s="2343" t="s">
        <v>1355</v>
      </c>
      <c r="B309" s="2342"/>
      <c r="C309" s="2342"/>
      <c r="D309" s="2342"/>
      <c r="E309" s="2342"/>
      <c r="F309" s="2342"/>
      <c r="G309" s="2342"/>
      <c r="H309" s="2342"/>
    </row>
    <row r="310" spans="1:8">
      <c r="A310" s="2342"/>
      <c r="B310" s="2342"/>
      <c r="C310" s="2342"/>
      <c r="D310" s="2342"/>
      <c r="E310" s="2342"/>
      <c r="F310" s="2342"/>
      <c r="G310" s="2342"/>
      <c r="H310" s="2342"/>
    </row>
    <row r="311" spans="1:8">
      <c r="A311" s="2343" t="s">
        <v>1341</v>
      </c>
      <c r="B311" s="2342"/>
      <c r="C311" s="2342"/>
      <c r="D311" s="2342"/>
      <c r="E311" s="2342"/>
      <c r="F311" s="2342"/>
      <c r="G311" s="2342"/>
      <c r="H311" s="2342"/>
    </row>
    <row r="312" spans="1:8">
      <c r="A312" s="2343" t="s">
        <v>1342</v>
      </c>
      <c r="B312" s="2342"/>
      <c r="C312" s="2342"/>
      <c r="D312" s="2342"/>
      <c r="E312" s="2342"/>
      <c r="F312" s="2342"/>
      <c r="G312" s="2342"/>
      <c r="H312" s="2342"/>
    </row>
    <row r="313" spans="1:8">
      <c r="A313" s="2343" t="s">
        <v>1343</v>
      </c>
      <c r="B313" s="2342"/>
      <c r="C313" s="2342"/>
      <c r="D313" s="2342"/>
      <c r="E313" s="2342"/>
      <c r="F313" s="2342"/>
      <c r="G313" s="2342"/>
      <c r="H313" s="2342"/>
    </row>
    <row r="314" spans="1:8">
      <c r="A314" s="2343" t="s">
        <v>1344</v>
      </c>
      <c r="B314" s="2342"/>
      <c r="C314" s="2342"/>
      <c r="D314" s="2342"/>
      <c r="E314" s="2342"/>
      <c r="F314" s="2342"/>
      <c r="G314" s="2342"/>
      <c r="H314" s="2342"/>
    </row>
    <row r="315" spans="1:8">
      <c r="A315" s="2343" t="s">
        <v>1345</v>
      </c>
      <c r="B315" s="2342"/>
      <c r="C315" s="2342"/>
      <c r="D315" s="2342"/>
      <c r="E315" s="2342"/>
      <c r="F315" s="2342"/>
      <c r="G315" s="2342"/>
      <c r="H315" s="2342"/>
    </row>
    <row r="316" spans="1:8">
      <c r="A316" s="2343" t="s">
        <v>1346</v>
      </c>
      <c r="B316" s="2342"/>
      <c r="C316" s="2342"/>
      <c r="D316" s="2342"/>
      <c r="E316" s="2342"/>
      <c r="F316" s="2342"/>
      <c r="G316" s="2342"/>
      <c r="H316" s="2342"/>
    </row>
    <row r="317" spans="1:8">
      <c r="A317" s="2343" t="s">
        <v>1347</v>
      </c>
      <c r="B317" s="2342"/>
      <c r="C317" s="2342"/>
      <c r="D317" s="2342"/>
      <c r="E317" s="2342"/>
      <c r="F317" s="2342"/>
      <c r="G317" s="2342"/>
      <c r="H317" s="2342"/>
    </row>
    <row r="318" spans="1:8">
      <c r="A318" s="2343" t="s">
        <v>1348</v>
      </c>
      <c r="B318" s="2342"/>
      <c r="C318" s="2342"/>
      <c r="D318" s="2342"/>
      <c r="E318" s="2342"/>
      <c r="F318" s="2342"/>
      <c r="G318" s="2342"/>
      <c r="H318" s="2342"/>
    </row>
    <row r="319" spans="1:8">
      <c r="A319" s="2343" t="s">
        <v>1349</v>
      </c>
      <c r="B319" s="2342"/>
      <c r="C319" s="2342"/>
      <c r="D319" s="2342"/>
      <c r="E319" s="2342"/>
      <c r="F319" s="2342"/>
      <c r="G319" s="2342"/>
      <c r="H319" s="2342"/>
    </row>
    <row r="320" spans="1:8">
      <c r="A320" s="2343" t="s">
        <v>1350</v>
      </c>
      <c r="B320" s="2342"/>
      <c r="C320" s="2342"/>
      <c r="D320" s="2342"/>
      <c r="E320" s="2342"/>
      <c r="F320" s="2342"/>
      <c r="G320" s="2342"/>
      <c r="H320" s="2342"/>
    </row>
    <row r="321" spans="1:8">
      <c r="A321" s="2343" t="s">
        <v>1351</v>
      </c>
      <c r="B321" s="2342"/>
      <c r="C321" s="2342"/>
      <c r="D321" s="2342"/>
      <c r="E321" s="2342"/>
      <c r="F321" s="2342"/>
      <c r="G321" s="2342"/>
      <c r="H321" s="2342"/>
    </row>
    <row r="322" spans="1:8">
      <c r="A322" s="2343" t="s">
        <v>1352</v>
      </c>
      <c r="B322" s="2342"/>
      <c r="C322" s="2342"/>
      <c r="D322" s="2342"/>
      <c r="E322" s="2342"/>
      <c r="F322" s="2342"/>
      <c r="G322" s="2342"/>
      <c r="H322" s="2342"/>
    </row>
    <row r="323" spans="1:8">
      <c r="A323" s="2343" t="s">
        <v>1353</v>
      </c>
      <c r="B323" s="2342"/>
      <c r="C323" s="2342"/>
      <c r="D323" s="2342"/>
      <c r="E323" s="2342"/>
      <c r="F323" s="2342"/>
      <c r="G323" s="2342"/>
      <c r="H323" s="2342"/>
    </row>
    <row r="324" spans="1:8">
      <c r="A324" s="2342"/>
      <c r="B324" s="2342"/>
      <c r="C324" s="2342"/>
      <c r="D324" s="2342"/>
      <c r="E324" s="2342"/>
      <c r="F324" s="2342"/>
      <c r="G324" s="2342"/>
      <c r="H324" s="2342"/>
    </row>
    <row r="325" spans="1:8">
      <c r="A325" s="2343" t="s">
        <v>1333</v>
      </c>
      <c r="B325" s="2342"/>
      <c r="C325" s="2342"/>
      <c r="D325" s="2342"/>
      <c r="E325" s="2342"/>
      <c r="F325" s="2342"/>
      <c r="G325" s="2342"/>
      <c r="H325" s="2342"/>
    </row>
    <row r="326" spans="1:8">
      <c r="A326" s="2343" t="s">
        <v>1334</v>
      </c>
      <c r="B326" s="2342"/>
      <c r="C326" s="2342"/>
      <c r="D326" s="2342"/>
      <c r="E326" s="2342"/>
      <c r="F326" s="2342"/>
      <c r="G326" s="2342"/>
      <c r="H326" s="2342"/>
    </row>
    <row r="327" spans="1:8">
      <c r="A327" s="2343" t="s">
        <v>1335</v>
      </c>
      <c r="B327" s="2342"/>
      <c r="C327" s="2342"/>
      <c r="D327" s="2342"/>
      <c r="E327" s="2342"/>
      <c r="F327" s="2342"/>
      <c r="G327" s="2342"/>
      <c r="H327" s="2342"/>
    </row>
    <row r="328" spans="1:8">
      <c r="A328" s="2343" t="s">
        <v>1336</v>
      </c>
      <c r="B328" s="2342"/>
      <c r="C328" s="2342"/>
      <c r="D328" s="2342"/>
      <c r="E328" s="2342"/>
      <c r="F328" s="2342"/>
      <c r="G328" s="2342"/>
      <c r="H328" s="2342"/>
    </row>
    <row r="329" spans="1:8">
      <c r="A329" s="2343" t="s">
        <v>1337</v>
      </c>
      <c r="B329" s="2342"/>
      <c r="C329" s="2342"/>
      <c r="D329" s="2342"/>
      <c r="E329" s="2342"/>
      <c r="F329" s="2342"/>
      <c r="G329" s="2342"/>
      <c r="H329" s="2342"/>
    </row>
    <row r="330" spans="1:8">
      <c r="A330" s="2343" t="s">
        <v>1338</v>
      </c>
      <c r="B330" s="2342"/>
      <c r="C330" s="2342"/>
      <c r="D330" s="2342"/>
      <c r="E330" s="2342"/>
      <c r="F330" s="2342"/>
      <c r="G330" s="2342"/>
      <c r="H330" s="2342"/>
    </row>
    <row r="331" spans="1:8">
      <c r="A331" s="2343" t="s">
        <v>1339</v>
      </c>
      <c r="B331" s="2342"/>
      <c r="C331" s="2342"/>
      <c r="D331" s="2342"/>
      <c r="E331" s="2342"/>
      <c r="F331" s="2342"/>
      <c r="G331" s="2342"/>
      <c r="H331" s="2342"/>
    </row>
    <row r="332" spans="1:8">
      <c r="A332" s="2343" t="s">
        <v>1340</v>
      </c>
      <c r="B332" s="2342"/>
      <c r="C332" s="2342"/>
      <c r="D332" s="2342"/>
      <c r="E332" s="2342"/>
      <c r="F332" s="2342"/>
      <c r="G332" s="2342"/>
      <c r="H332" s="2342"/>
    </row>
    <row r="333" spans="1:8">
      <c r="A333" s="2342"/>
      <c r="B333" s="2342"/>
      <c r="C333" s="2342"/>
      <c r="D333" s="2342"/>
      <c r="E333" s="2342"/>
      <c r="F333" s="2342"/>
      <c r="G333" s="2342"/>
      <c r="H333" s="2342"/>
    </row>
    <row r="334" spans="1:8">
      <c r="A334" s="2343" t="s">
        <v>1298</v>
      </c>
      <c r="B334" s="2342"/>
      <c r="C334" s="2342"/>
      <c r="D334" s="2342"/>
      <c r="E334" s="2342"/>
      <c r="F334" s="2342"/>
      <c r="G334" s="2342"/>
      <c r="H334" s="2342"/>
    </row>
    <row r="335" spans="1:8">
      <c r="A335" s="2343" t="s">
        <v>1299</v>
      </c>
      <c r="B335" s="2342"/>
      <c r="C335" s="2342"/>
      <c r="D335" s="2342"/>
      <c r="E335" s="2342"/>
      <c r="F335" s="2342"/>
      <c r="G335" s="2342"/>
      <c r="H335" s="2342"/>
    </row>
    <row r="336" spans="1:8">
      <c r="A336" s="2343" t="s">
        <v>1300</v>
      </c>
      <c r="B336" s="2342"/>
      <c r="C336" s="2342"/>
      <c r="D336" s="2342"/>
      <c r="E336" s="2342"/>
      <c r="F336" s="2342"/>
      <c r="G336" s="2342"/>
      <c r="H336" s="2342"/>
    </row>
    <row r="337" spans="1:8">
      <c r="A337" s="2343" t="s">
        <v>1301</v>
      </c>
      <c r="B337" s="2342"/>
      <c r="C337" s="2342"/>
      <c r="D337" s="2342"/>
      <c r="E337" s="2342"/>
      <c r="F337" s="2342"/>
      <c r="G337" s="2342"/>
      <c r="H337" s="2342"/>
    </row>
    <row r="338" spans="1:8">
      <c r="A338" s="2343" t="s">
        <v>1302</v>
      </c>
      <c r="B338" s="2342"/>
      <c r="C338" s="2342"/>
      <c r="D338" s="2342"/>
      <c r="E338" s="2342"/>
      <c r="F338" s="2342"/>
      <c r="G338" s="2342"/>
      <c r="H338" s="2342"/>
    </row>
    <row r="339" spans="1:8">
      <c r="A339" s="2343" t="s">
        <v>1303</v>
      </c>
      <c r="B339" s="2342"/>
      <c r="C339" s="2342"/>
      <c r="D339" s="2342"/>
      <c r="E339" s="2342"/>
      <c r="F339" s="2342"/>
      <c r="G339" s="2342"/>
      <c r="H339" s="2342"/>
    </row>
    <row r="340" spans="1:8">
      <c r="A340" s="2343" t="s">
        <v>1304</v>
      </c>
      <c r="B340" s="2342"/>
      <c r="C340" s="2342"/>
      <c r="D340" s="2342"/>
      <c r="E340" s="2342"/>
      <c r="F340" s="2342"/>
      <c r="G340" s="2342"/>
      <c r="H340" s="2342"/>
    </row>
    <row r="341" spans="1:8">
      <c r="A341" s="2343" t="s">
        <v>1305</v>
      </c>
      <c r="B341" s="2342"/>
      <c r="C341" s="2342"/>
      <c r="D341" s="2342"/>
      <c r="E341" s="2342"/>
      <c r="F341" s="2342"/>
      <c r="G341" s="2342"/>
      <c r="H341" s="2342"/>
    </row>
    <row r="342" spans="1:8">
      <c r="A342" s="2343" t="s">
        <v>1306</v>
      </c>
      <c r="B342" s="2342"/>
      <c r="C342" s="2342"/>
      <c r="D342" s="2342"/>
      <c r="E342" s="2342"/>
      <c r="F342" s="2342"/>
      <c r="G342" s="2342"/>
      <c r="H342" s="2342"/>
    </row>
    <row r="343" spans="1:8">
      <c r="A343" s="2343" t="s">
        <v>1307</v>
      </c>
      <c r="B343" s="2342"/>
      <c r="C343" s="2342"/>
      <c r="D343" s="2342"/>
      <c r="E343" s="2342"/>
      <c r="F343" s="2342"/>
      <c r="G343" s="2342"/>
      <c r="H343" s="2342"/>
    </row>
    <row r="344" spans="1:8">
      <c r="A344" s="2343" t="s">
        <v>1308</v>
      </c>
      <c r="B344" s="2342"/>
      <c r="C344" s="2342"/>
      <c r="D344" s="2342"/>
      <c r="E344" s="2342"/>
      <c r="F344" s="2342"/>
      <c r="G344" s="2342"/>
      <c r="H344" s="2342"/>
    </row>
    <row r="345" spans="1:8">
      <c r="A345" s="2343" t="s">
        <v>1309</v>
      </c>
      <c r="B345" s="2342"/>
      <c r="C345" s="2342"/>
      <c r="D345" s="2342"/>
      <c r="E345" s="2342"/>
      <c r="F345" s="2342"/>
      <c r="G345" s="2342"/>
      <c r="H345" s="2342"/>
    </row>
    <row r="346" spans="1:8">
      <c r="A346" s="2343" t="s">
        <v>1310</v>
      </c>
      <c r="B346" s="2342"/>
      <c r="C346" s="2342"/>
      <c r="D346" s="2342"/>
      <c r="E346" s="2342"/>
      <c r="F346" s="2342"/>
      <c r="G346" s="2342"/>
      <c r="H346" s="2342"/>
    </row>
    <row r="347" spans="1:8">
      <c r="A347" s="2343" t="s">
        <v>1311</v>
      </c>
      <c r="B347" s="2342"/>
      <c r="C347" s="2342"/>
      <c r="D347" s="2342"/>
      <c r="E347" s="2342"/>
      <c r="F347" s="2342"/>
      <c r="G347" s="2342"/>
      <c r="H347" s="2342"/>
    </row>
    <row r="348" spans="1:8">
      <c r="A348" s="2343" t="s">
        <v>1312</v>
      </c>
      <c r="B348" s="2342"/>
      <c r="C348" s="2342"/>
      <c r="D348" s="2342"/>
      <c r="E348" s="2342"/>
      <c r="F348" s="2342"/>
      <c r="G348" s="2342"/>
      <c r="H348" s="2342"/>
    </row>
    <row r="349" spans="1:8">
      <c r="A349" s="2343" t="s">
        <v>1313</v>
      </c>
      <c r="B349" s="2342"/>
      <c r="C349" s="2342"/>
      <c r="D349" s="2342"/>
      <c r="E349" s="2342"/>
      <c r="F349" s="2342"/>
      <c r="G349" s="2342"/>
      <c r="H349" s="2342"/>
    </row>
    <row r="350" spans="1:8">
      <c r="A350" s="2343" t="s">
        <v>1314</v>
      </c>
      <c r="B350" s="2342"/>
      <c r="C350" s="2342"/>
      <c r="D350" s="2342"/>
      <c r="E350" s="2342"/>
      <c r="F350" s="2342"/>
      <c r="G350" s="2342"/>
      <c r="H350" s="2342"/>
    </row>
    <row r="351" spans="1:8">
      <c r="A351" s="2343" t="s">
        <v>1315</v>
      </c>
      <c r="B351" s="2342"/>
      <c r="C351" s="2342"/>
      <c r="D351" s="2342"/>
      <c r="E351" s="2342"/>
      <c r="F351" s="2342"/>
      <c r="G351" s="2342"/>
      <c r="H351" s="2342"/>
    </row>
    <row r="352" spans="1:8">
      <c r="A352" s="2343" t="s">
        <v>1316</v>
      </c>
      <c r="B352" s="2342"/>
      <c r="C352" s="2342"/>
      <c r="D352" s="2342"/>
      <c r="E352" s="2342"/>
      <c r="F352" s="2342"/>
      <c r="G352" s="2342"/>
      <c r="H352" s="2342"/>
    </row>
    <row r="353" spans="1:8">
      <c r="A353" s="2343" t="s">
        <v>1317</v>
      </c>
      <c r="B353" s="2342"/>
      <c r="C353" s="2342"/>
      <c r="D353" s="2342"/>
      <c r="E353" s="2342"/>
      <c r="F353" s="2342"/>
      <c r="G353" s="2342"/>
      <c r="H353" s="2342"/>
    </row>
    <row r="354" spans="1:8">
      <c r="A354" s="2343" t="s">
        <v>1318</v>
      </c>
      <c r="B354" s="2342"/>
      <c r="C354" s="2342"/>
      <c r="D354" s="2342"/>
      <c r="E354" s="2342"/>
      <c r="F354" s="2342"/>
      <c r="G354" s="2342"/>
      <c r="H354" s="2342"/>
    </row>
    <row r="355" spans="1:8">
      <c r="A355" s="2343" t="s">
        <v>1319</v>
      </c>
      <c r="B355" s="2342"/>
      <c r="C355" s="2342"/>
      <c r="D355" s="2342"/>
      <c r="E355" s="2342"/>
      <c r="F355" s="2342"/>
      <c r="G355" s="2342"/>
      <c r="H355" s="2342"/>
    </row>
    <row r="356" spans="1:8">
      <c r="A356" s="2343" t="s">
        <v>1320</v>
      </c>
      <c r="B356" s="2342"/>
      <c r="C356" s="2342"/>
      <c r="D356" s="2342"/>
      <c r="E356" s="2342"/>
      <c r="F356" s="2342"/>
      <c r="G356" s="2342"/>
      <c r="H356" s="2342"/>
    </row>
    <row r="357" spans="1:8">
      <c r="A357" s="2343" t="s">
        <v>1321</v>
      </c>
      <c r="B357" s="2342"/>
      <c r="C357" s="2342"/>
      <c r="D357" s="2342"/>
      <c r="E357" s="2342"/>
      <c r="F357" s="2342"/>
      <c r="G357" s="2342"/>
      <c r="H357" s="2342"/>
    </row>
    <row r="358" spans="1:8">
      <c r="A358" s="2343" t="s">
        <v>1322</v>
      </c>
      <c r="B358" s="2342"/>
      <c r="C358" s="2342"/>
      <c r="D358" s="2342"/>
      <c r="E358" s="2342"/>
      <c r="F358" s="2342"/>
      <c r="G358" s="2342"/>
      <c r="H358" s="2342"/>
    </row>
    <row r="359" spans="1:8">
      <c r="A359" s="2343" t="s">
        <v>1323</v>
      </c>
      <c r="B359" s="2342"/>
      <c r="C359" s="2342"/>
      <c r="D359" s="2342"/>
      <c r="E359" s="2342"/>
      <c r="F359" s="2342"/>
      <c r="G359" s="2342"/>
      <c r="H359" s="2342"/>
    </row>
    <row r="360" spans="1:8">
      <c r="A360" s="2343" t="s">
        <v>1324</v>
      </c>
      <c r="B360" s="2342"/>
      <c r="C360" s="2342"/>
      <c r="D360" s="2342"/>
      <c r="E360" s="2342"/>
      <c r="F360" s="2342"/>
      <c r="G360" s="2342"/>
      <c r="H360" s="2342"/>
    </row>
    <row r="361" spans="1:8">
      <c r="A361" s="2343" t="s">
        <v>1325</v>
      </c>
      <c r="B361" s="2342"/>
      <c r="C361" s="2342"/>
      <c r="D361" s="2342"/>
      <c r="E361" s="2342"/>
      <c r="F361" s="2342"/>
      <c r="G361" s="2342"/>
      <c r="H361" s="2342"/>
    </row>
    <row r="362" spans="1:8">
      <c r="A362" s="2343" t="s">
        <v>1326</v>
      </c>
      <c r="B362" s="2342"/>
      <c r="C362" s="2342"/>
      <c r="D362" s="2342"/>
      <c r="E362" s="2342"/>
      <c r="F362" s="2342"/>
      <c r="G362" s="2342"/>
      <c r="H362" s="2342"/>
    </row>
    <row r="363" spans="1:8">
      <c r="A363" s="2343" t="s">
        <v>1327</v>
      </c>
      <c r="B363" s="2342"/>
      <c r="C363" s="2342"/>
      <c r="D363" s="2342"/>
      <c r="E363" s="2342"/>
      <c r="F363" s="2342"/>
      <c r="G363" s="2342"/>
      <c r="H363" s="2342"/>
    </row>
    <row r="364" spans="1:8">
      <c r="A364" s="2343" t="s">
        <v>1328</v>
      </c>
      <c r="B364" s="2342"/>
      <c r="C364" s="2342"/>
      <c r="D364" s="2342"/>
      <c r="E364" s="2342"/>
      <c r="F364" s="2342"/>
      <c r="G364" s="2342"/>
      <c r="H364" s="2342"/>
    </row>
    <row r="365" spans="1:8">
      <c r="A365" s="2343" t="s">
        <v>1329</v>
      </c>
      <c r="B365" s="2342"/>
      <c r="C365" s="2342"/>
      <c r="D365" s="2342"/>
      <c r="E365" s="2342"/>
      <c r="F365" s="2342"/>
      <c r="G365" s="2342"/>
      <c r="H365" s="2342"/>
    </row>
    <row r="366" spans="1:8">
      <c r="A366" s="2343" t="s">
        <v>1330</v>
      </c>
      <c r="B366" s="2342"/>
      <c r="C366" s="2342"/>
      <c r="D366" s="2342"/>
      <c r="E366" s="2342"/>
      <c r="F366" s="2342"/>
      <c r="G366" s="2342"/>
      <c r="H366" s="2342"/>
    </row>
    <row r="367" spans="1:8">
      <c r="A367" s="2343" t="s">
        <v>1331</v>
      </c>
      <c r="B367" s="2342"/>
      <c r="C367" s="2342"/>
      <c r="D367" s="2342"/>
      <c r="E367" s="2342"/>
      <c r="F367" s="2342"/>
      <c r="G367" s="2342"/>
      <c r="H367" s="2342"/>
    </row>
    <row r="368" spans="1:8">
      <c r="A368" s="2343" t="s">
        <v>1332</v>
      </c>
      <c r="B368" s="2342"/>
      <c r="C368" s="2342"/>
      <c r="D368" s="2342"/>
      <c r="E368" s="2342"/>
      <c r="F368" s="2342"/>
      <c r="G368" s="2342"/>
      <c r="H368" s="2342"/>
    </row>
    <row r="369" spans="1:8">
      <c r="A369" s="2342"/>
      <c r="B369" s="2342"/>
      <c r="C369" s="2342"/>
      <c r="D369" s="2342"/>
      <c r="E369" s="2342"/>
      <c r="F369" s="2342"/>
      <c r="G369" s="2342"/>
      <c r="H369" s="2342"/>
    </row>
    <row r="370" spans="1:8">
      <c r="A370" s="2343" t="s">
        <v>1290</v>
      </c>
      <c r="B370" s="2342"/>
      <c r="C370" s="2342"/>
      <c r="D370" s="2342"/>
      <c r="E370" s="2342"/>
      <c r="F370" s="2342"/>
      <c r="G370" s="2342"/>
      <c r="H370" s="2342"/>
    </row>
    <row r="371" spans="1:8">
      <c r="A371" s="2343" t="s">
        <v>1294</v>
      </c>
      <c r="B371" s="2342"/>
      <c r="C371" s="2342"/>
      <c r="D371" s="2342"/>
      <c r="E371" s="2342"/>
      <c r="F371" s="2342"/>
      <c r="G371" s="2342"/>
      <c r="H371" s="2342"/>
    </row>
    <row r="372" spans="1:8">
      <c r="A372" s="2343" t="s">
        <v>1295</v>
      </c>
      <c r="B372" s="2342"/>
      <c r="C372" s="2342"/>
      <c r="D372" s="2342"/>
      <c r="E372" s="2342"/>
      <c r="F372" s="2342"/>
      <c r="G372" s="2342"/>
      <c r="H372" s="2342"/>
    </row>
    <row r="373" spans="1:8">
      <c r="A373" s="2343" t="s">
        <v>1296</v>
      </c>
      <c r="B373" s="2342"/>
      <c r="C373" s="2342"/>
      <c r="D373" s="2342"/>
      <c r="E373" s="2342"/>
      <c r="F373" s="2342"/>
      <c r="G373" s="2342"/>
      <c r="H373" s="2342"/>
    </row>
    <row r="374" spans="1:8">
      <c r="A374" s="2343" t="s">
        <v>1297</v>
      </c>
      <c r="B374" s="2342"/>
      <c r="C374" s="2342"/>
      <c r="D374" s="2342"/>
      <c r="E374" s="2342"/>
      <c r="F374" s="2342"/>
      <c r="G374" s="2342"/>
      <c r="H374" s="2342"/>
    </row>
    <row r="375" spans="1:8">
      <c r="A375" s="2342"/>
      <c r="B375" s="2342"/>
      <c r="C375" s="2342"/>
      <c r="D375" s="2342"/>
      <c r="E375" s="2342"/>
      <c r="F375" s="2342"/>
      <c r="G375" s="2342"/>
      <c r="H375" s="2342"/>
    </row>
    <row r="376" spans="1:8">
      <c r="A376" s="2343" t="s">
        <v>1290</v>
      </c>
      <c r="B376" s="2342"/>
      <c r="C376" s="2342"/>
      <c r="D376" s="2342"/>
      <c r="E376" s="2342"/>
      <c r="F376" s="2342"/>
      <c r="G376" s="2342"/>
      <c r="H376" s="2342"/>
    </row>
    <row r="377" spans="1:8">
      <c r="A377" s="2343" t="s">
        <v>1291</v>
      </c>
      <c r="B377" s="2342"/>
      <c r="C377" s="2342"/>
      <c r="D377" s="2342"/>
      <c r="E377" s="2342"/>
      <c r="F377" s="2342"/>
      <c r="G377" s="2342"/>
      <c r="H377" s="2342"/>
    </row>
    <row r="378" spans="1:8">
      <c r="A378" s="2343" t="s">
        <v>1292</v>
      </c>
      <c r="B378" s="2342"/>
      <c r="C378" s="2342"/>
      <c r="D378" s="2342"/>
      <c r="E378" s="2342"/>
      <c r="F378" s="2342"/>
      <c r="G378" s="2342"/>
      <c r="H378" s="2342"/>
    </row>
    <row r="379" spans="1:8">
      <c r="A379" s="2343" t="s">
        <v>1293</v>
      </c>
      <c r="B379" s="2342"/>
      <c r="C379" s="2342"/>
      <c r="D379" s="2342"/>
      <c r="E379" s="2342"/>
      <c r="F379" s="2342"/>
      <c r="G379" s="2342"/>
      <c r="H379" s="2342"/>
    </row>
    <row r="380" spans="1:8">
      <c r="A380" s="2342"/>
      <c r="B380" s="2342"/>
      <c r="C380" s="2342"/>
      <c r="D380" s="2342"/>
      <c r="E380" s="2342"/>
      <c r="F380" s="2342"/>
      <c r="G380" s="2342"/>
      <c r="H380" s="2342"/>
    </row>
    <row r="381" spans="1:8">
      <c r="A381" s="2343" t="s">
        <v>1284</v>
      </c>
      <c r="B381" s="2342"/>
      <c r="C381" s="2342"/>
      <c r="D381" s="2342"/>
      <c r="E381" s="2342"/>
      <c r="F381" s="2342"/>
      <c r="G381" s="2342"/>
      <c r="H381" s="2342"/>
    </row>
    <row r="382" spans="1:8">
      <c r="A382" s="2343" t="s">
        <v>1285</v>
      </c>
      <c r="B382" s="2342"/>
      <c r="C382" s="2342"/>
      <c r="D382" s="2342"/>
      <c r="E382" s="2342"/>
      <c r="F382" s="2342"/>
      <c r="G382" s="2342"/>
      <c r="H382" s="2342"/>
    </row>
    <row r="383" spans="1:8">
      <c r="A383" s="2343" t="s">
        <v>1286</v>
      </c>
      <c r="B383" s="2342"/>
      <c r="C383" s="2342"/>
      <c r="D383" s="2342"/>
      <c r="E383" s="2342"/>
      <c r="F383" s="2342"/>
      <c r="G383" s="2342"/>
      <c r="H383" s="2342"/>
    </row>
    <row r="384" spans="1:8">
      <c r="A384" s="2343" t="s">
        <v>1287</v>
      </c>
      <c r="B384" s="2342"/>
      <c r="C384" s="2342"/>
      <c r="D384" s="2342"/>
      <c r="E384" s="2342"/>
      <c r="F384" s="2342"/>
      <c r="G384" s="2342"/>
      <c r="H384" s="2342"/>
    </row>
    <row r="385" spans="1:8">
      <c r="A385" s="2343" t="s">
        <v>1288</v>
      </c>
      <c r="B385" s="2342"/>
      <c r="C385" s="2342"/>
      <c r="D385" s="2342"/>
      <c r="E385" s="2342"/>
      <c r="F385" s="2342"/>
      <c r="G385" s="2342"/>
      <c r="H385" s="2342"/>
    </row>
    <row r="386" spans="1:8">
      <c r="A386" s="2343" t="s">
        <v>1289</v>
      </c>
      <c r="B386" s="2342"/>
      <c r="C386" s="2342"/>
      <c r="D386" s="2342"/>
      <c r="E386" s="2342"/>
      <c r="F386" s="2342"/>
      <c r="G386" s="2342"/>
      <c r="H386" s="2342"/>
    </row>
    <row r="387" spans="1:8">
      <c r="A387" s="2342"/>
      <c r="B387" s="2342"/>
      <c r="C387" s="2342"/>
      <c r="D387" s="2342"/>
      <c r="E387" s="2342"/>
      <c r="F387" s="2342"/>
      <c r="G387" s="2342"/>
      <c r="H387" s="2342"/>
    </row>
    <row r="388" spans="1:8">
      <c r="A388" s="2343" t="s">
        <v>1279</v>
      </c>
      <c r="B388" s="2342"/>
      <c r="C388" s="2342"/>
      <c r="D388" s="2342"/>
      <c r="E388" s="2342"/>
      <c r="F388" s="2342"/>
      <c r="G388" s="2342"/>
      <c r="H388" s="2342"/>
    </row>
    <row r="389" spans="1:8">
      <c r="A389" s="2343" t="s">
        <v>1280</v>
      </c>
      <c r="B389" s="2342"/>
      <c r="C389" s="2342"/>
      <c r="D389" s="2342"/>
      <c r="E389" s="2342"/>
      <c r="F389" s="2342"/>
      <c r="G389" s="2342"/>
      <c r="H389" s="2342"/>
    </row>
    <row r="390" spans="1:8">
      <c r="A390" s="2343" t="s">
        <v>1281</v>
      </c>
      <c r="B390" s="2342"/>
      <c r="C390" s="2342"/>
      <c r="D390" s="2342"/>
      <c r="E390" s="2342"/>
      <c r="F390" s="2342"/>
      <c r="G390" s="2342"/>
      <c r="H390" s="2342"/>
    </row>
    <row r="391" spans="1:8">
      <c r="A391" s="2343" t="s">
        <v>1282</v>
      </c>
      <c r="B391" s="2342"/>
      <c r="C391" s="2342"/>
      <c r="D391" s="2342"/>
      <c r="E391" s="2342"/>
      <c r="F391" s="2342"/>
      <c r="G391" s="2342"/>
      <c r="H391" s="2342"/>
    </row>
    <row r="392" spans="1:8">
      <c r="A392" s="2343" t="s">
        <v>1283</v>
      </c>
      <c r="B392" s="2342"/>
      <c r="C392" s="2342"/>
      <c r="D392" s="2342"/>
      <c r="E392" s="2342"/>
      <c r="F392" s="2342"/>
      <c r="G392" s="2342"/>
      <c r="H392" s="2342"/>
    </row>
    <row r="393" spans="1:8">
      <c r="A393" s="2342"/>
      <c r="B393" s="2342"/>
      <c r="C393" s="2342"/>
      <c r="D393" s="2342"/>
      <c r="E393" s="2342"/>
      <c r="F393" s="2342"/>
      <c r="G393" s="2342"/>
      <c r="H393" s="2342"/>
    </row>
    <row r="394" spans="1:8">
      <c r="A394" s="2343" t="s">
        <v>1277</v>
      </c>
      <c r="B394" s="2342"/>
      <c r="C394" s="2342"/>
      <c r="D394" s="2342"/>
      <c r="E394" s="2342"/>
      <c r="F394" s="2342"/>
      <c r="G394" s="2342"/>
      <c r="H394" s="2342"/>
    </row>
    <row r="395" spans="1:8">
      <c r="A395" s="2343" t="s">
        <v>1278</v>
      </c>
      <c r="B395" s="2342"/>
      <c r="C395" s="2342"/>
      <c r="D395" s="2342"/>
      <c r="E395" s="2342"/>
      <c r="F395" s="2342"/>
      <c r="G395" s="2342"/>
      <c r="H395" s="2342"/>
    </row>
    <row r="397" spans="1:8">
      <c r="A397" s="2338" t="s">
        <v>1536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autoPageBreaks="0"/>
  </sheetPr>
  <dimension ref="A1:AC73"/>
  <sheetViews>
    <sheetView showGridLines="0" zoomScale="85" workbookViewId="0"/>
  </sheetViews>
  <sheetFormatPr defaultRowHeight="12.75"/>
  <cols>
    <col min="2" max="2" width="38.42578125" customWidth="1"/>
    <col min="3" max="3" width="12.85546875" customWidth="1"/>
    <col min="7" max="7" width="4.5703125" customWidth="1"/>
    <col min="15" max="15" width="9.140625" customWidth="1"/>
  </cols>
  <sheetData>
    <row r="1" spans="1:29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</row>
    <row r="2" spans="1:29" ht="28.5" customHeight="1">
      <c r="A2" s="193"/>
      <c r="B2" s="194" t="s">
        <v>344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</row>
    <row r="3" spans="1:29" ht="15.75">
      <c r="A3" s="193"/>
      <c r="B3" s="86" t="s">
        <v>1</v>
      </c>
      <c r="C3" s="86" t="s">
        <v>752</v>
      </c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</row>
    <row r="4" spans="1:29" ht="15.75">
      <c r="A4" s="193"/>
      <c r="B4" s="86" t="s">
        <v>877</v>
      </c>
      <c r="C4" s="86" t="s">
        <v>1186</v>
      </c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</row>
    <row r="5" spans="1:29" ht="15.75">
      <c r="A5" s="193"/>
      <c r="B5" s="86" t="s">
        <v>878</v>
      </c>
      <c r="C5" s="222">
        <f>basept</f>
        <v>38</v>
      </c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</row>
    <row r="6" spans="1:29" ht="15.75">
      <c r="A6" s="193"/>
      <c r="B6" s="86" t="s">
        <v>879</v>
      </c>
      <c r="C6" s="223">
        <v>43214</v>
      </c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  <c r="O6" s="193"/>
      <c r="P6" s="193"/>
      <c r="Q6" s="193"/>
      <c r="R6" s="193"/>
      <c r="S6" s="193"/>
      <c r="T6" s="193"/>
      <c r="U6" s="193"/>
      <c r="V6" s="193"/>
      <c r="W6" s="193"/>
      <c r="X6" s="193"/>
      <c r="Y6" s="193"/>
      <c r="Z6" s="193"/>
      <c r="AA6" s="193"/>
      <c r="AB6" s="193"/>
      <c r="AC6" s="193"/>
    </row>
    <row r="7" spans="1:29">
      <c r="A7" s="193"/>
      <c r="B7" s="193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</row>
    <row r="8" spans="1:29">
      <c r="A8" s="195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5"/>
      <c r="T8" s="195"/>
      <c r="U8" s="195"/>
      <c r="V8" s="195"/>
      <c r="W8" s="195"/>
      <c r="X8" s="195"/>
      <c r="Y8" s="195"/>
      <c r="Z8" s="195"/>
      <c r="AA8" s="195"/>
      <c r="AB8" s="195"/>
      <c r="AC8" s="195"/>
    </row>
    <row r="9" spans="1:29">
      <c r="A9" s="195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5"/>
      <c r="T9" s="195"/>
      <c r="U9" s="195"/>
      <c r="V9" s="195"/>
      <c r="W9" s="195"/>
      <c r="X9" s="195"/>
      <c r="Y9" s="195"/>
      <c r="Z9" s="195"/>
      <c r="AA9" s="195"/>
      <c r="AB9" s="195"/>
      <c r="AC9" s="195"/>
    </row>
    <row r="10" spans="1:29" ht="15">
      <c r="A10" s="195"/>
      <c r="B10" s="197" t="s">
        <v>880</v>
      </c>
      <c r="C10" s="197" t="s">
        <v>938</v>
      </c>
      <c r="G10" s="197" t="s">
        <v>1002</v>
      </c>
      <c r="H10" s="197"/>
      <c r="I10" s="197"/>
      <c r="J10" s="197"/>
      <c r="K10" s="197"/>
      <c r="L10" s="197" t="s">
        <v>1106</v>
      </c>
      <c r="M10" s="197"/>
      <c r="N10" s="197"/>
      <c r="O10" s="197"/>
      <c r="P10" s="197"/>
      <c r="Q10" s="197"/>
      <c r="R10" s="198"/>
      <c r="S10" s="195"/>
      <c r="T10" s="195"/>
      <c r="U10" s="197"/>
      <c r="V10" s="195"/>
      <c r="W10" s="195"/>
      <c r="X10" s="195"/>
      <c r="Y10" s="195"/>
      <c r="Z10" s="195"/>
      <c r="AA10" s="195"/>
      <c r="AB10" s="195"/>
      <c r="AC10" s="195"/>
    </row>
    <row r="11" spans="1:29" ht="15">
      <c r="A11" s="195"/>
      <c r="B11" s="197" t="s">
        <v>881</v>
      </c>
      <c r="C11" s="197" t="s">
        <v>939</v>
      </c>
      <c r="G11" s="197" t="s">
        <v>1003</v>
      </c>
      <c r="H11" s="197"/>
      <c r="I11" s="197"/>
      <c r="J11" s="197"/>
      <c r="K11" s="197"/>
      <c r="L11" s="197" t="s">
        <v>1107</v>
      </c>
      <c r="M11" s="197"/>
      <c r="N11" s="197"/>
      <c r="O11" s="197"/>
      <c r="P11" s="197"/>
      <c r="Q11" s="197"/>
      <c r="R11" s="198"/>
      <c r="S11" s="195"/>
      <c r="T11" s="195"/>
      <c r="U11" s="197"/>
      <c r="V11" s="195"/>
      <c r="W11" s="195"/>
      <c r="X11" s="195"/>
      <c r="Y11" s="195"/>
      <c r="Z11" s="195"/>
      <c r="AA11" s="195"/>
      <c r="AB11" s="195"/>
      <c r="AC11" s="195"/>
    </row>
    <row r="12" spans="1:29" ht="15">
      <c r="A12" s="195"/>
      <c r="B12" s="197" t="s">
        <v>882</v>
      </c>
      <c r="C12" s="197" t="s">
        <v>940</v>
      </c>
      <c r="G12" s="197" t="s">
        <v>1004</v>
      </c>
      <c r="H12" s="197"/>
      <c r="I12" s="197"/>
      <c r="J12" s="197"/>
      <c r="K12" s="197"/>
      <c r="L12" s="197" t="s">
        <v>1108</v>
      </c>
      <c r="M12" s="197"/>
      <c r="N12" s="197"/>
      <c r="O12" s="197"/>
      <c r="P12" s="197"/>
      <c r="Q12" s="197"/>
      <c r="R12" s="198"/>
      <c r="S12" s="195"/>
      <c r="T12" s="195"/>
      <c r="U12" s="197"/>
      <c r="V12" s="195"/>
      <c r="W12" s="195"/>
      <c r="X12" s="195"/>
      <c r="Y12" s="195"/>
      <c r="Z12" s="195"/>
      <c r="AA12" s="195"/>
      <c r="AB12" s="195"/>
      <c r="AC12" s="195"/>
    </row>
    <row r="13" spans="1:29">
      <c r="A13" s="195"/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</row>
    <row r="14" spans="1:29">
      <c r="A14" s="195"/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195"/>
      <c r="T14" s="195"/>
      <c r="U14" s="195"/>
      <c r="V14" s="195"/>
      <c r="W14" s="195"/>
      <c r="X14" s="195"/>
      <c r="Y14" s="195"/>
      <c r="Z14" s="195"/>
      <c r="AA14" s="195"/>
      <c r="AB14" s="195"/>
      <c r="AC14" s="195"/>
    </row>
    <row r="15" spans="1:29">
      <c r="A15" s="195"/>
      <c r="B15" s="195"/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195"/>
      <c r="T15" s="195"/>
      <c r="U15" s="195"/>
      <c r="V15" s="195"/>
      <c r="W15" s="195"/>
      <c r="X15" s="195"/>
      <c r="Y15" s="195"/>
      <c r="Z15" s="195"/>
      <c r="AA15" s="195"/>
      <c r="AB15" s="195"/>
      <c r="AC15" s="195"/>
    </row>
    <row r="16" spans="1:29">
      <c r="A16" s="195"/>
      <c r="B16" s="195"/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/>
      <c r="AC16" s="195"/>
    </row>
    <row r="17" spans="1:29">
      <c r="A17" s="195"/>
      <c r="B17" s="19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5"/>
      <c r="S17" s="195"/>
      <c r="T17" s="195"/>
      <c r="U17" s="195"/>
      <c r="V17" s="195"/>
      <c r="W17" s="195"/>
      <c r="X17" s="195"/>
      <c r="Y17" s="195"/>
      <c r="Z17" s="195"/>
      <c r="AA17" s="195"/>
      <c r="AB17" s="195"/>
      <c r="AC17" s="195"/>
    </row>
    <row r="18" spans="1:29">
      <c r="A18" s="195"/>
      <c r="B18" s="19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</row>
    <row r="19" spans="1:29">
      <c r="A19" s="195"/>
      <c r="B19" s="195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95"/>
      <c r="V19" s="195"/>
      <c r="W19" s="195"/>
      <c r="X19" s="195"/>
      <c r="Y19" s="195"/>
      <c r="Z19" s="195"/>
      <c r="AA19" s="195"/>
      <c r="AB19" s="195"/>
      <c r="AC19" s="195"/>
    </row>
    <row r="20" spans="1:29">
      <c r="A20" s="195"/>
      <c r="B20" s="195"/>
      <c r="C20" s="195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195"/>
      <c r="X20" s="195"/>
      <c r="Y20" s="195"/>
      <c r="Z20" s="195"/>
      <c r="AA20" s="195"/>
      <c r="AB20" s="195"/>
      <c r="AC20" s="195"/>
    </row>
    <row r="21" spans="1:29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95"/>
      <c r="W21" s="195"/>
      <c r="X21" s="195"/>
      <c r="Y21" s="195"/>
      <c r="Z21" s="195"/>
      <c r="AA21" s="195"/>
      <c r="AB21" s="195"/>
      <c r="AC21" s="195"/>
    </row>
    <row r="22" spans="1:29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  <c r="O22" s="195"/>
      <c r="P22" s="195"/>
      <c r="Q22" s="195"/>
      <c r="R22" s="195"/>
      <c r="S22" s="195"/>
      <c r="T22" s="195"/>
      <c r="U22" s="195"/>
      <c r="V22" s="195"/>
      <c r="W22" s="195"/>
      <c r="X22" s="195"/>
      <c r="Y22" s="195"/>
      <c r="Z22" s="195"/>
      <c r="AA22" s="195"/>
      <c r="AB22" s="195"/>
      <c r="AC22" s="195"/>
    </row>
    <row r="23" spans="1:29">
      <c r="A23" s="195"/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</row>
    <row r="24" spans="1:29">
      <c r="A24" s="195"/>
      <c r="B24" s="195"/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</row>
    <row r="25" spans="1:29">
      <c r="A25" s="195"/>
      <c r="B25" s="195"/>
      <c r="C25" s="195"/>
      <c r="D25" s="195"/>
      <c r="E25" s="195"/>
      <c r="F25" s="195"/>
      <c r="G25" s="195"/>
      <c r="H25" s="195"/>
      <c r="I25" s="195"/>
      <c r="J25" s="195"/>
      <c r="K25" s="195"/>
      <c r="L25" s="195"/>
      <c r="M25" s="195"/>
      <c r="N25" s="195"/>
      <c r="O25" s="195"/>
      <c r="P25" s="195"/>
      <c r="Q25" s="195"/>
      <c r="R25" s="195"/>
      <c r="S25" s="195"/>
      <c r="T25" s="195"/>
      <c r="U25" s="195"/>
      <c r="V25" s="195"/>
      <c r="W25" s="195"/>
      <c r="X25" s="195"/>
      <c r="Y25" s="195"/>
      <c r="Z25" s="195"/>
      <c r="AA25" s="195"/>
      <c r="AB25" s="195"/>
      <c r="AC25" s="195"/>
    </row>
    <row r="26" spans="1:29">
      <c r="A26" s="195"/>
      <c r="B26" s="195"/>
      <c r="C26" s="195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195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</row>
    <row r="27" spans="1:29">
      <c r="A27" s="195"/>
      <c r="B27" s="195"/>
      <c r="C27" s="195"/>
      <c r="D27" s="195"/>
      <c r="E27" s="195"/>
      <c r="F27" s="195"/>
      <c r="G27" s="195"/>
      <c r="H27" s="195"/>
      <c r="I27" s="195"/>
      <c r="J27" s="195"/>
      <c r="K27" s="195"/>
      <c r="L27" s="195"/>
      <c r="M27" s="195"/>
      <c r="N27" s="195"/>
      <c r="O27" s="195"/>
      <c r="P27" s="195"/>
      <c r="Q27" s="195"/>
      <c r="R27" s="195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</row>
    <row r="28" spans="1:29">
      <c r="A28" s="195"/>
      <c r="B28" s="195"/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  <c r="N28" s="195"/>
      <c r="O28" s="195"/>
      <c r="P28" s="195"/>
      <c r="Q28" s="195"/>
      <c r="R28" s="195"/>
      <c r="S28" s="195"/>
      <c r="T28" s="195"/>
      <c r="U28" s="195"/>
      <c r="V28" s="195"/>
      <c r="W28" s="195"/>
      <c r="X28" s="195"/>
      <c r="Y28" s="195"/>
      <c r="Z28" s="195"/>
      <c r="AA28" s="195"/>
      <c r="AB28" s="195"/>
      <c r="AC28" s="195"/>
    </row>
    <row r="29" spans="1:29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  <c r="O29" s="195"/>
      <c r="P29" s="195"/>
      <c r="Q29" s="195"/>
      <c r="R29" s="195"/>
      <c r="S29" s="195"/>
      <c r="T29" s="195"/>
      <c r="U29" s="195"/>
      <c r="V29" s="195"/>
      <c r="W29" s="195"/>
      <c r="X29" s="195"/>
      <c r="Y29" s="195"/>
      <c r="Z29" s="195"/>
      <c r="AA29" s="195"/>
      <c r="AB29" s="195"/>
      <c r="AC29" s="195"/>
    </row>
    <row r="30" spans="1:29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5"/>
      <c r="P30" s="195"/>
      <c r="Q30" s="195"/>
      <c r="R30" s="195"/>
      <c r="S30" s="195"/>
      <c r="T30" s="195"/>
      <c r="U30" s="195"/>
      <c r="V30" s="195"/>
      <c r="W30" s="195"/>
      <c r="X30" s="195"/>
      <c r="Y30" s="195"/>
      <c r="Z30" s="195"/>
      <c r="AA30" s="195"/>
      <c r="AB30" s="195"/>
      <c r="AC30" s="195"/>
    </row>
    <row r="31" spans="1:29">
      <c r="A31" s="195"/>
      <c r="B31" s="195"/>
      <c r="C31" s="195"/>
      <c r="D31" s="195"/>
      <c r="E31" s="195"/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195"/>
      <c r="T31" s="195"/>
      <c r="U31" s="195"/>
      <c r="V31" s="195"/>
      <c r="W31" s="195"/>
      <c r="X31" s="195"/>
      <c r="Y31" s="195"/>
      <c r="Z31" s="195"/>
      <c r="AA31" s="195"/>
      <c r="AB31" s="195"/>
      <c r="AC31" s="195"/>
    </row>
    <row r="32" spans="1:29">
      <c r="A32" s="195"/>
      <c r="B32" s="195"/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</row>
    <row r="33" spans="1:29">
      <c r="A33" s="195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  <c r="O33" s="195"/>
      <c r="P33" s="195"/>
      <c r="Q33" s="195"/>
      <c r="R33" s="195"/>
      <c r="S33" s="195"/>
      <c r="T33" s="195"/>
      <c r="U33" s="195"/>
      <c r="V33" s="195"/>
      <c r="W33" s="195"/>
      <c r="X33" s="195"/>
      <c r="Y33" s="195"/>
      <c r="Z33" s="195"/>
      <c r="AA33" s="195"/>
      <c r="AB33" s="195"/>
      <c r="AC33" s="195"/>
    </row>
    <row r="34" spans="1:29">
      <c r="A34" s="195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  <c r="O34" s="195"/>
      <c r="P34" s="195"/>
      <c r="Q34" s="195"/>
      <c r="R34" s="195"/>
      <c r="S34" s="195"/>
      <c r="T34" s="195"/>
      <c r="U34" s="195"/>
      <c r="V34" s="195"/>
      <c r="W34" s="195"/>
      <c r="X34" s="195"/>
      <c r="Y34" s="195"/>
      <c r="Z34" s="195"/>
      <c r="AA34" s="195"/>
      <c r="AB34" s="195"/>
      <c r="AC34" s="195"/>
    </row>
    <row r="35" spans="1:29">
      <c r="A35" s="195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  <c r="X35" s="195"/>
      <c r="Y35" s="195"/>
      <c r="Z35" s="195"/>
      <c r="AA35" s="195"/>
      <c r="AB35" s="195"/>
      <c r="AC35" s="195"/>
    </row>
    <row r="36" spans="1:29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  <c r="S36" s="195"/>
      <c r="T36" s="195"/>
      <c r="U36" s="195"/>
      <c r="V36" s="195"/>
      <c r="W36" s="195"/>
      <c r="X36" s="195"/>
      <c r="Y36" s="195"/>
      <c r="Z36" s="195"/>
      <c r="AA36" s="195"/>
      <c r="AB36" s="195"/>
      <c r="AC36" s="195"/>
    </row>
    <row r="37" spans="1:29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195"/>
      <c r="T37" s="195"/>
      <c r="U37" s="195"/>
      <c r="V37" s="195"/>
      <c r="W37" s="195"/>
      <c r="X37" s="195"/>
      <c r="Y37" s="195"/>
      <c r="Z37" s="195"/>
      <c r="AA37" s="195"/>
      <c r="AB37" s="195"/>
      <c r="AC37" s="195"/>
    </row>
    <row r="38" spans="1:29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95"/>
      <c r="W38" s="195"/>
      <c r="X38" s="195"/>
      <c r="Y38" s="195"/>
      <c r="Z38" s="195"/>
      <c r="AA38" s="195"/>
      <c r="AB38" s="195"/>
      <c r="AC38" s="195"/>
    </row>
    <row r="39" spans="1:29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</row>
    <row r="40" spans="1:29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</row>
    <row r="41" spans="1:29">
      <c r="A41" s="195"/>
      <c r="B41" s="195"/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  <c r="S41" s="195"/>
      <c r="T41" s="195"/>
      <c r="U41" s="195"/>
      <c r="V41" s="195"/>
      <c r="W41" s="195"/>
      <c r="X41" s="195"/>
      <c r="Y41" s="195"/>
      <c r="Z41" s="195"/>
      <c r="AA41" s="195"/>
      <c r="AB41" s="195"/>
      <c r="AC41" s="195"/>
    </row>
    <row r="42" spans="1:29">
      <c r="A42" s="195"/>
      <c r="B42" s="195"/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  <c r="R42" s="195"/>
      <c r="S42" s="195"/>
      <c r="T42" s="195"/>
      <c r="U42" s="195"/>
      <c r="V42" s="195"/>
      <c r="W42" s="195"/>
      <c r="X42" s="195"/>
      <c r="Y42" s="195"/>
      <c r="Z42" s="195"/>
      <c r="AA42" s="195"/>
      <c r="AB42" s="195"/>
      <c r="AC42" s="195"/>
    </row>
    <row r="43" spans="1:29">
      <c r="A43" s="195"/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  <c r="R43" s="195"/>
      <c r="S43" s="195"/>
      <c r="T43" s="195"/>
      <c r="U43" s="195"/>
      <c r="V43" s="195"/>
      <c r="W43" s="195"/>
      <c r="X43" s="195"/>
      <c r="Y43" s="195"/>
      <c r="Z43" s="195"/>
      <c r="AA43" s="195"/>
      <c r="AB43" s="195"/>
      <c r="AC43" s="195"/>
    </row>
    <row r="44" spans="1:29">
      <c r="A44" s="195"/>
      <c r="B44" s="195"/>
      <c r="C44" s="195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5"/>
      <c r="V44" s="195"/>
      <c r="W44" s="195"/>
      <c r="X44" s="195"/>
      <c r="Y44" s="195"/>
      <c r="Z44" s="195"/>
      <c r="AA44" s="195"/>
      <c r="AB44" s="195"/>
      <c r="AC44" s="195"/>
    </row>
    <row r="45" spans="1:29">
      <c r="A45" s="195"/>
      <c r="B45" s="195"/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5"/>
      <c r="U45" s="195"/>
      <c r="V45" s="195"/>
      <c r="W45" s="195"/>
      <c r="X45" s="195"/>
      <c r="Y45" s="195"/>
      <c r="Z45" s="195"/>
      <c r="AA45" s="195"/>
      <c r="AB45" s="195"/>
      <c r="AC45" s="195"/>
    </row>
    <row r="46" spans="1:29">
      <c r="A46" s="195"/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5"/>
      <c r="V46" s="195"/>
      <c r="W46" s="195"/>
      <c r="X46" s="195"/>
      <c r="Y46" s="195"/>
      <c r="Z46" s="195"/>
      <c r="AA46" s="195"/>
      <c r="AB46" s="195"/>
      <c r="AC46" s="195"/>
    </row>
    <row r="47" spans="1:29">
      <c r="A47" s="195"/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195"/>
      <c r="T47" s="195"/>
      <c r="U47" s="195"/>
      <c r="V47" s="195"/>
      <c r="W47" s="195"/>
      <c r="X47" s="195"/>
      <c r="Y47" s="195"/>
      <c r="Z47" s="195"/>
      <c r="AA47" s="195"/>
      <c r="AB47" s="195"/>
      <c r="AC47" s="195"/>
    </row>
    <row r="48" spans="1:29">
      <c r="A48" s="195"/>
      <c r="B48" s="195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  <c r="R48" s="195"/>
      <c r="S48" s="195"/>
      <c r="T48" s="195"/>
      <c r="U48" s="195"/>
      <c r="V48" s="195"/>
      <c r="W48" s="195"/>
      <c r="X48" s="195"/>
      <c r="Y48" s="195"/>
      <c r="Z48" s="195"/>
      <c r="AA48" s="195"/>
      <c r="AB48" s="195"/>
      <c r="AC48" s="195"/>
    </row>
    <row r="49" spans="1:29">
      <c r="A49" s="195"/>
      <c r="B49" s="195"/>
      <c r="C49" s="195"/>
      <c r="D49" s="195"/>
      <c r="E49" s="195"/>
      <c r="F49" s="195"/>
      <c r="G49" s="195"/>
      <c r="H49" s="195"/>
      <c r="I49" s="195"/>
      <c r="J49" s="195"/>
      <c r="K49" s="195"/>
      <c r="L49" s="195"/>
      <c r="M49" s="195"/>
      <c r="N49" s="195"/>
      <c r="O49" s="195"/>
      <c r="P49" s="195"/>
      <c r="Q49" s="195"/>
      <c r="R49" s="195"/>
      <c r="S49" s="195"/>
      <c r="T49" s="195"/>
      <c r="U49" s="195"/>
      <c r="V49" s="195"/>
      <c r="W49" s="195"/>
      <c r="X49" s="195"/>
      <c r="Y49" s="195"/>
      <c r="Z49" s="195"/>
      <c r="AA49" s="195"/>
      <c r="AB49" s="195"/>
      <c r="AC49" s="195"/>
    </row>
    <row r="50" spans="1:29">
      <c r="A50" s="195"/>
      <c r="B50" s="195"/>
      <c r="C50" s="195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  <c r="W50" s="195"/>
      <c r="X50" s="195"/>
      <c r="Y50" s="195"/>
      <c r="Z50" s="195"/>
      <c r="AA50" s="195"/>
      <c r="AB50" s="195"/>
      <c r="AC50" s="195"/>
    </row>
    <row r="51" spans="1:29">
      <c r="A51" s="195"/>
      <c r="B51" s="195"/>
      <c r="C51" s="195"/>
      <c r="D51" s="195"/>
      <c r="E51" s="195"/>
      <c r="F51" s="195"/>
      <c r="G51" s="195"/>
      <c r="H51" s="195"/>
      <c r="I51" s="195"/>
      <c r="J51" s="195"/>
      <c r="K51" s="195"/>
      <c r="L51" s="195"/>
      <c r="M51" s="195"/>
      <c r="N51" s="195"/>
      <c r="O51" s="195"/>
      <c r="P51" s="195"/>
      <c r="Q51" s="195"/>
      <c r="R51" s="195"/>
      <c r="S51" s="195"/>
      <c r="T51" s="195"/>
      <c r="U51" s="195"/>
      <c r="V51" s="195"/>
      <c r="W51" s="195"/>
      <c r="X51" s="195"/>
      <c r="Y51" s="195"/>
      <c r="Z51" s="195"/>
      <c r="AA51" s="195"/>
      <c r="AB51" s="195"/>
      <c r="AC51" s="195"/>
    </row>
    <row r="52" spans="1:29">
      <c r="A52" s="195"/>
      <c r="B52" s="195"/>
      <c r="C52" s="195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95"/>
      <c r="W52" s="195"/>
      <c r="X52" s="195"/>
      <c r="Y52" s="195"/>
      <c r="Z52" s="195"/>
      <c r="AA52" s="195"/>
      <c r="AB52" s="195"/>
      <c r="AC52" s="195"/>
    </row>
    <row r="53" spans="1:29">
      <c r="A53" s="195"/>
      <c r="B53" s="195"/>
      <c r="C53" s="195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  <c r="S53" s="195"/>
      <c r="T53" s="195"/>
      <c r="U53" s="195"/>
      <c r="V53" s="195"/>
      <c r="W53" s="195"/>
      <c r="X53" s="195"/>
      <c r="Y53" s="195"/>
      <c r="Z53" s="195"/>
      <c r="AA53" s="195"/>
      <c r="AB53" s="195"/>
      <c r="AC53" s="195"/>
    </row>
    <row r="54" spans="1:29">
      <c r="A54" s="195"/>
      <c r="B54" s="195"/>
      <c r="C54" s="195"/>
      <c r="D54" s="195"/>
      <c r="E54" s="195"/>
      <c r="F54" s="195"/>
      <c r="G54" s="195"/>
      <c r="H54" s="195"/>
      <c r="I54" s="195"/>
      <c r="J54" s="195"/>
      <c r="K54" s="195"/>
      <c r="L54" s="195"/>
      <c r="M54" s="195"/>
      <c r="N54" s="195"/>
      <c r="O54" s="195"/>
      <c r="P54" s="195"/>
      <c r="Q54" s="195"/>
      <c r="R54" s="195"/>
      <c r="S54" s="195"/>
      <c r="T54" s="195"/>
      <c r="U54" s="195"/>
      <c r="V54" s="195"/>
      <c r="W54" s="195"/>
      <c r="X54" s="195"/>
      <c r="Y54" s="195"/>
      <c r="Z54" s="195"/>
      <c r="AA54" s="195"/>
      <c r="AB54" s="195"/>
      <c r="AC54" s="195"/>
    </row>
    <row r="55" spans="1:29">
      <c r="A55" s="195"/>
      <c r="B55" s="195"/>
      <c r="C55" s="195"/>
      <c r="D55" s="195"/>
      <c r="E55" s="195"/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195"/>
      <c r="X55" s="195"/>
      <c r="Y55" s="195"/>
      <c r="Z55" s="195"/>
      <c r="AA55" s="195"/>
      <c r="AB55" s="195"/>
      <c r="AC55" s="195"/>
    </row>
    <row r="56" spans="1:29">
      <c r="A56" s="195"/>
      <c r="B56" s="195"/>
      <c r="C56" s="195"/>
      <c r="D56" s="195"/>
      <c r="E56" s="195"/>
      <c r="F56" s="195"/>
      <c r="G56" s="195"/>
      <c r="H56" s="195"/>
      <c r="I56" s="195"/>
      <c r="J56" s="195"/>
      <c r="K56" s="195"/>
      <c r="L56" s="195"/>
      <c r="M56" s="195"/>
      <c r="N56" s="195"/>
      <c r="O56" s="195"/>
      <c r="P56" s="195"/>
      <c r="Q56" s="195"/>
      <c r="R56" s="195"/>
      <c r="S56" s="195"/>
      <c r="T56" s="195"/>
      <c r="U56" s="195"/>
      <c r="V56" s="195"/>
      <c r="W56" s="195"/>
      <c r="X56" s="195"/>
      <c r="Y56" s="195"/>
      <c r="Z56" s="195"/>
      <c r="AA56" s="195"/>
      <c r="AB56" s="195"/>
      <c r="AC56" s="195"/>
    </row>
    <row r="57" spans="1:29">
      <c r="A57" s="195"/>
      <c r="B57" s="195"/>
      <c r="C57" s="195"/>
      <c r="D57" s="195"/>
      <c r="E57" s="195"/>
      <c r="F57" s="195"/>
      <c r="G57" s="195"/>
      <c r="H57" s="195"/>
      <c r="I57" s="195"/>
      <c r="J57" s="195"/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5"/>
    </row>
    <row r="58" spans="1:29">
      <c r="A58" s="195"/>
      <c r="B58" s="195"/>
      <c r="C58" s="195"/>
      <c r="D58" s="195"/>
      <c r="E58" s="195"/>
      <c r="F58" s="195"/>
      <c r="G58" s="195"/>
      <c r="H58" s="195"/>
      <c r="I58" s="195"/>
      <c r="J58" s="195"/>
      <c r="K58" s="195"/>
      <c r="L58" s="195"/>
      <c r="M58" s="195"/>
      <c r="N58" s="195"/>
      <c r="O58" s="195"/>
      <c r="P58" s="195"/>
      <c r="Q58" s="195"/>
      <c r="R58" s="195"/>
      <c r="S58" s="195"/>
      <c r="T58" s="195"/>
      <c r="U58" s="195"/>
      <c r="V58" s="195"/>
      <c r="W58" s="195"/>
      <c r="X58" s="195"/>
      <c r="Y58" s="195"/>
      <c r="Z58" s="195"/>
      <c r="AA58" s="195"/>
      <c r="AB58" s="195"/>
      <c r="AC58" s="195"/>
    </row>
    <row r="59" spans="1:29">
      <c r="A59" s="195"/>
      <c r="B59" s="195"/>
      <c r="C59" s="195"/>
      <c r="D59" s="195"/>
      <c r="E59" s="195"/>
      <c r="F59" s="195"/>
      <c r="G59" s="195"/>
      <c r="H59" s="195"/>
      <c r="I59" s="195"/>
      <c r="J59" s="195"/>
      <c r="K59" s="195"/>
      <c r="L59" s="195"/>
      <c r="M59" s="195"/>
      <c r="N59" s="195"/>
      <c r="O59" s="195"/>
      <c r="P59" s="195"/>
      <c r="Q59" s="195"/>
      <c r="R59" s="195"/>
      <c r="S59" s="195"/>
      <c r="T59" s="195"/>
      <c r="U59" s="195"/>
      <c r="V59" s="195"/>
      <c r="W59" s="195"/>
      <c r="X59" s="195"/>
      <c r="Y59" s="195"/>
      <c r="Z59" s="195"/>
      <c r="AA59" s="195"/>
      <c r="AB59" s="195"/>
      <c r="AC59" s="195"/>
    </row>
    <row r="60" spans="1:29">
      <c r="A60" s="195"/>
      <c r="B60" s="195"/>
      <c r="C60" s="195"/>
      <c r="D60" s="195"/>
      <c r="E60" s="195"/>
      <c r="F60" s="195"/>
      <c r="G60" s="195"/>
      <c r="H60" s="195"/>
      <c r="I60" s="195"/>
      <c r="J60" s="195"/>
      <c r="K60" s="195"/>
      <c r="L60" s="195"/>
      <c r="M60" s="195"/>
      <c r="N60" s="195"/>
      <c r="O60" s="195"/>
      <c r="P60" s="195"/>
      <c r="Q60" s="195"/>
      <c r="R60" s="195"/>
      <c r="S60" s="195"/>
      <c r="T60" s="195"/>
      <c r="U60" s="195"/>
      <c r="V60" s="195"/>
      <c r="W60" s="195"/>
      <c r="X60" s="195"/>
      <c r="Y60" s="195"/>
      <c r="Z60" s="195"/>
      <c r="AA60" s="195"/>
      <c r="AB60" s="195"/>
      <c r="AC60" s="195"/>
    </row>
    <row r="61" spans="1:29">
      <c r="A61" s="195"/>
      <c r="B61" s="195"/>
      <c r="C61" s="195"/>
      <c r="D61" s="195"/>
      <c r="E61" s="195"/>
      <c r="F61" s="195"/>
      <c r="G61" s="195"/>
      <c r="H61" s="195"/>
      <c r="I61" s="195"/>
      <c r="J61" s="195"/>
      <c r="K61" s="195"/>
      <c r="L61" s="195"/>
      <c r="M61" s="195"/>
      <c r="N61" s="195"/>
      <c r="O61" s="195"/>
      <c r="P61" s="195"/>
      <c r="Q61" s="195"/>
      <c r="R61" s="195"/>
      <c r="S61" s="195"/>
      <c r="T61" s="195"/>
      <c r="U61" s="195"/>
      <c r="V61" s="195"/>
      <c r="W61" s="195"/>
      <c r="X61" s="195"/>
      <c r="Y61" s="195"/>
      <c r="Z61" s="195"/>
      <c r="AA61" s="195"/>
      <c r="AB61" s="195"/>
      <c r="AC61" s="195"/>
    </row>
    <row r="62" spans="1:29">
      <c r="A62" s="195"/>
      <c r="B62" s="195"/>
      <c r="C62" s="195"/>
      <c r="D62" s="195"/>
      <c r="E62" s="195"/>
      <c r="F62" s="195"/>
      <c r="G62" s="195"/>
      <c r="H62" s="195"/>
      <c r="I62" s="195"/>
      <c r="J62" s="195"/>
      <c r="K62" s="195"/>
      <c r="L62" s="195"/>
      <c r="M62" s="195"/>
      <c r="N62" s="195"/>
      <c r="O62" s="195"/>
      <c r="P62" s="195"/>
      <c r="Q62" s="195"/>
      <c r="R62" s="195"/>
      <c r="S62" s="195"/>
      <c r="T62" s="195"/>
      <c r="U62" s="195"/>
      <c r="V62" s="195"/>
      <c r="W62" s="195"/>
      <c r="X62" s="195"/>
      <c r="Y62" s="195"/>
      <c r="Z62" s="195"/>
      <c r="AA62" s="195"/>
      <c r="AB62" s="195"/>
      <c r="AC62" s="195"/>
    </row>
    <row r="63" spans="1:29">
      <c r="A63" s="195"/>
      <c r="B63" s="195"/>
      <c r="C63" s="195"/>
      <c r="D63" s="195"/>
      <c r="E63" s="195"/>
      <c r="F63" s="195"/>
      <c r="G63" s="195"/>
      <c r="H63" s="195"/>
      <c r="I63" s="195"/>
      <c r="J63" s="195"/>
      <c r="K63" s="195"/>
      <c r="L63" s="195"/>
      <c r="M63" s="195"/>
      <c r="N63" s="195"/>
      <c r="O63" s="195"/>
      <c r="P63" s="195"/>
      <c r="Q63" s="195"/>
      <c r="R63" s="195"/>
      <c r="S63" s="195"/>
      <c r="T63" s="195"/>
      <c r="U63" s="195"/>
      <c r="V63" s="195"/>
      <c r="W63" s="195"/>
      <c r="X63" s="195"/>
      <c r="Y63" s="195"/>
      <c r="Z63" s="195"/>
      <c r="AA63" s="195"/>
      <c r="AB63" s="195"/>
      <c r="AC63" s="195"/>
    </row>
    <row r="64" spans="1:29">
      <c r="A64" s="195"/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5"/>
      <c r="P64" s="195"/>
      <c r="Q64" s="195"/>
      <c r="R64" s="195"/>
      <c r="S64" s="195"/>
      <c r="T64" s="195"/>
      <c r="U64" s="195"/>
      <c r="V64" s="195"/>
      <c r="W64" s="195"/>
      <c r="X64" s="195"/>
      <c r="Y64" s="195"/>
      <c r="Z64" s="195"/>
      <c r="AA64" s="195"/>
      <c r="AB64" s="195"/>
      <c r="AC64" s="195"/>
    </row>
    <row r="65" spans="1:29">
      <c r="A65" s="195"/>
      <c r="B65" s="195"/>
      <c r="C65" s="195"/>
      <c r="D65" s="195"/>
      <c r="E65" s="195"/>
      <c r="F65" s="195"/>
      <c r="G65" s="195"/>
      <c r="H65" s="195"/>
      <c r="I65" s="195"/>
      <c r="J65" s="195"/>
      <c r="K65" s="195"/>
      <c r="L65" s="195"/>
      <c r="M65" s="195"/>
      <c r="N65" s="195"/>
      <c r="O65" s="195"/>
      <c r="P65" s="195"/>
      <c r="Q65" s="195"/>
      <c r="R65" s="195"/>
      <c r="S65" s="195"/>
      <c r="T65" s="195"/>
      <c r="U65" s="195"/>
      <c r="V65" s="195"/>
      <c r="W65" s="195"/>
      <c r="X65" s="195"/>
      <c r="Y65" s="195"/>
      <c r="Z65" s="195"/>
      <c r="AA65" s="195"/>
      <c r="AB65" s="195"/>
      <c r="AC65" s="195"/>
    </row>
    <row r="66" spans="1:29">
      <c r="A66" s="195"/>
      <c r="B66" s="195"/>
      <c r="C66" s="195"/>
      <c r="D66" s="195"/>
      <c r="E66" s="195"/>
      <c r="F66" s="195"/>
      <c r="G66" s="195"/>
      <c r="H66" s="195"/>
      <c r="I66" s="195"/>
      <c r="J66" s="195"/>
      <c r="K66" s="195"/>
      <c r="L66" s="195"/>
      <c r="M66" s="195"/>
      <c r="N66" s="195"/>
      <c r="O66" s="195"/>
      <c r="P66" s="195"/>
      <c r="Q66" s="195"/>
      <c r="R66" s="195"/>
      <c r="S66" s="195"/>
      <c r="T66" s="195"/>
      <c r="U66" s="195"/>
      <c r="V66" s="195"/>
      <c r="W66" s="195"/>
      <c r="X66" s="195"/>
      <c r="Y66" s="195"/>
      <c r="Z66" s="195"/>
      <c r="AA66" s="195"/>
      <c r="AB66" s="195"/>
      <c r="AC66" s="195"/>
    </row>
    <row r="67" spans="1:29">
      <c r="A67" s="195"/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5"/>
      <c r="P67" s="195"/>
      <c r="Q67" s="195"/>
      <c r="R67" s="195"/>
      <c r="S67" s="195"/>
      <c r="T67" s="195"/>
      <c r="U67" s="195"/>
      <c r="V67" s="195"/>
      <c r="W67" s="195"/>
      <c r="X67" s="195"/>
      <c r="Y67" s="195"/>
      <c r="Z67" s="195"/>
      <c r="AA67" s="195"/>
      <c r="AB67" s="195"/>
      <c r="AC67" s="195"/>
    </row>
    <row r="68" spans="1:29">
      <c r="A68" s="195"/>
      <c r="B68" s="195"/>
      <c r="C68" s="195"/>
      <c r="D68" s="195"/>
      <c r="E68" s="195"/>
      <c r="F68" s="195"/>
      <c r="G68" s="195"/>
      <c r="H68" s="195"/>
      <c r="I68" s="195"/>
      <c r="J68" s="195"/>
      <c r="K68" s="195"/>
      <c r="L68" s="195"/>
      <c r="M68" s="195"/>
      <c r="N68" s="195"/>
      <c r="O68" s="195"/>
      <c r="P68" s="195"/>
      <c r="Q68" s="195"/>
      <c r="R68" s="195"/>
      <c r="S68" s="195"/>
      <c r="T68" s="195"/>
      <c r="U68" s="195"/>
      <c r="V68" s="195"/>
      <c r="W68" s="195"/>
      <c r="X68" s="195"/>
      <c r="Y68" s="195"/>
      <c r="Z68" s="195"/>
      <c r="AA68" s="195"/>
      <c r="AB68" s="195"/>
      <c r="AC68" s="195"/>
    </row>
    <row r="69" spans="1:29">
      <c r="A69" s="195"/>
      <c r="B69" s="195"/>
      <c r="C69" s="195"/>
      <c r="D69" s="195"/>
      <c r="E69" s="195"/>
      <c r="F69" s="195"/>
      <c r="G69" s="195"/>
      <c r="H69" s="195"/>
      <c r="I69" s="195"/>
      <c r="J69" s="195"/>
      <c r="K69" s="195"/>
      <c r="L69" s="195"/>
      <c r="M69" s="195"/>
      <c r="N69" s="195"/>
      <c r="O69" s="195"/>
      <c r="P69" s="195"/>
      <c r="Q69" s="195"/>
      <c r="R69" s="195"/>
      <c r="S69" s="195"/>
      <c r="T69" s="195"/>
      <c r="U69" s="195"/>
      <c r="V69" s="195"/>
      <c r="W69" s="195"/>
      <c r="X69" s="195"/>
      <c r="Y69" s="195"/>
      <c r="Z69" s="195"/>
      <c r="AA69" s="195"/>
      <c r="AB69" s="195"/>
      <c r="AC69" s="195"/>
    </row>
    <row r="70" spans="1:29">
      <c r="A70" s="195"/>
      <c r="B70" s="195"/>
      <c r="C70" s="195"/>
      <c r="D70" s="195"/>
      <c r="E70" s="195"/>
      <c r="F70" s="195"/>
      <c r="G70" s="195"/>
      <c r="H70" s="195"/>
      <c r="I70" s="195"/>
      <c r="J70" s="195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5"/>
      <c r="Y70" s="195"/>
      <c r="Z70" s="195"/>
      <c r="AA70" s="195"/>
      <c r="AB70" s="195"/>
      <c r="AC70" s="195"/>
    </row>
    <row r="71" spans="1:29">
      <c r="A71" s="195"/>
      <c r="B71" s="195"/>
      <c r="C71" s="195"/>
      <c r="D71" s="195"/>
      <c r="E71" s="195"/>
      <c r="F71" s="195"/>
      <c r="G71" s="195"/>
      <c r="H71" s="195"/>
      <c r="I71" s="195"/>
      <c r="J71" s="195"/>
      <c r="K71" s="195"/>
      <c r="L71" s="195"/>
      <c r="M71" s="195"/>
      <c r="N71" s="195"/>
      <c r="O71" s="195"/>
      <c r="P71" s="195"/>
      <c r="Q71" s="195"/>
      <c r="R71" s="195"/>
      <c r="S71" s="195"/>
      <c r="T71" s="195"/>
      <c r="U71" s="195"/>
      <c r="V71" s="195"/>
      <c r="W71" s="195"/>
      <c r="X71" s="195"/>
      <c r="Y71" s="195"/>
      <c r="Z71" s="195"/>
      <c r="AA71" s="195"/>
      <c r="AB71" s="195"/>
      <c r="AC71" s="195"/>
    </row>
    <row r="72" spans="1:29">
      <c r="A72" s="195"/>
      <c r="B72" s="195"/>
      <c r="C72" s="195"/>
      <c r="D72" s="195"/>
      <c r="E72" s="195"/>
      <c r="F72" s="195"/>
      <c r="G72" s="195"/>
      <c r="H72" s="195"/>
      <c r="I72" s="195"/>
      <c r="J72" s="195"/>
      <c r="K72" s="195"/>
      <c r="L72" s="195"/>
      <c r="M72" s="195"/>
      <c r="N72" s="195"/>
      <c r="O72" s="195"/>
      <c r="P72" s="195"/>
      <c r="Q72" s="195"/>
      <c r="R72" s="195"/>
      <c r="S72" s="195"/>
      <c r="T72" s="195"/>
      <c r="U72" s="195"/>
      <c r="V72" s="195"/>
      <c r="W72" s="195"/>
      <c r="X72" s="195"/>
      <c r="Y72" s="195"/>
      <c r="Z72" s="195"/>
      <c r="AA72" s="195"/>
      <c r="AB72" s="195"/>
      <c r="AC72" s="195"/>
    </row>
    <row r="73" spans="1:29">
      <c r="A73" s="195"/>
      <c r="B73" s="195"/>
      <c r="C73" s="195"/>
      <c r="D73" s="195"/>
      <c r="E73" s="195"/>
      <c r="F73" s="195"/>
      <c r="G73" s="195"/>
      <c r="H73" s="195"/>
      <c r="I73" s="195"/>
      <c r="J73" s="195"/>
      <c r="K73" s="195"/>
      <c r="L73" s="195"/>
      <c r="M73" s="195"/>
      <c r="N73" s="195"/>
      <c r="O73" s="195"/>
      <c r="P73" s="195"/>
      <c r="Q73" s="195"/>
      <c r="R73" s="195"/>
      <c r="S73" s="195"/>
      <c r="T73" s="195"/>
      <c r="U73" s="195"/>
      <c r="V73" s="195"/>
      <c r="W73" s="195"/>
      <c r="X73" s="195"/>
      <c r="Y73" s="195"/>
      <c r="Z73" s="195"/>
      <c r="AA73" s="195"/>
      <c r="AB73" s="195"/>
      <c r="AC73" s="195"/>
    </row>
  </sheetData>
  <phoneticPr fontId="39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FT199"/>
  <sheetViews>
    <sheetView zoomScale="85" zoomScaleNormal="85" workbookViewId="0">
      <pane ySplit="4" topLeftCell="A5" activePane="bottomLeft" state="frozen"/>
      <selection activeCell="X6" sqref="X6"/>
      <selection pane="bottomLeft" activeCell="A5" sqref="A5"/>
    </sheetView>
  </sheetViews>
  <sheetFormatPr defaultColWidth="9.28515625" defaultRowHeight="12.75" outlineLevelCol="1"/>
  <cols>
    <col min="1" max="2" width="2.7109375" style="895" customWidth="1"/>
    <col min="3" max="3" width="39.5703125" style="895" customWidth="1"/>
    <col min="4" max="4" width="2.7109375" style="895" customWidth="1"/>
    <col min="5" max="23" width="1.7109375" style="895" hidden="1" customWidth="1" outlineLevel="1"/>
    <col min="24" max="24" width="9.140625" style="895" customWidth="1" collapsed="1"/>
    <col min="25" max="28" width="1.7109375" style="895" hidden="1" customWidth="1" outlineLevel="1"/>
    <col min="29" max="29" width="9.140625" style="895" customWidth="1" collapsed="1"/>
    <col min="30" max="33" width="1.7109375" style="895" hidden="1" customWidth="1" outlineLevel="1"/>
    <col min="34" max="34" width="9.140625" style="895" customWidth="1" collapsed="1"/>
    <col min="35" max="37" width="1.7109375" style="895" hidden="1" customWidth="1" outlineLevel="1"/>
    <col min="38" max="38" width="2.140625" style="895" hidden="1" customWidth="1" outlineLevel="1"/>
    <col min="39" max="39" width="9.140625" style="895" customWidth="1" collapsed="1"/>
    <col min="40" max="42" width="1.7109375" style="895" hidden="1" customWidth="1" outlineLevel="1"/>
    <col min="43" max="43" width="2.140625" style="895" hidden="1" customWidth="1" outlineLevel="1"/>
    <col min="44" max="44" width="9.140625" style="895" customWidth="1" collapsed="1"/>
    <col min="45" max="47" width="1.7109375" style="895" hidden="1" customWidth="1" outlineLevel="1"/>
    <col min="48" max="48" width="2.140625" style="895" hidden="1" customWidth="1" outlineLevel="1"/>
    <col min="49" max="49" width="9.140625" style="895" customWidth="1" collapsed="1"/>
    <col min="50" max="52" width="1.7109375" style="895" hidden="1" customWidth="1" outlineLevel="1"/>
    <col min="53" max="53" width="2.140625" style="895" hidden="1" customWidth="1" outlineLevel="1"/>
    <col min="54" max="54" width="9.140625" style="895" customWidth="1" collapsed="1"/>
    <col min="55" max="57" width="1.7109375" style="895" hidden="1" customWidth="1" outlineLevel="1"/>
    <col min="58" max="58" width="2.140625" style="895" hidden="1" customWidth="1" outlineLevel="1"/>
    <col min="59" max="59" width="9.140625" style="895" customWidth="1" collapsed="1"/>
    <col min="60" max="62" width="1.7109375" style="895" hidden="1" customWidth="1" outlineLevel="1"/>
    <col min="63" max="63" width="2.140625" style="895" hidden="1" customWidth="1" outlineLevel="1"/>
    <col min="64" max="64" width="9.140625" style="895" customWidth="1" collapsed="1"/>
    <col min="65" max="67" width="1.7109375" style="895" hidden="1" customWidth="1" outlineLevel="1"/>
    <col min="68" max="68" width="2.140625" style="895" hidden="1" customWidth="1" outlineLevel="1"/>
    <col min="69" max="69" width="9.140625" style="895" customWidth="1" collapsed="1"/>
    <col min="70" max="72" width="2.7109375" style="895" customWidth="1"/>
    <col min="73" max="73" width="39.7109375" style="895" customWidth="1"/>
    <col min="74" max="74" width="2.7109375" style="895" customWidth="1"/>
    <col min="75" max="75" width="9.28515625" style="895" customWidth="1"/>
    <col min="76" max="79" width="9.28515625" style="895" hidden="1" customWidth="1" outlineLevel="1"/>
    <col min="80" max="80" width="9.28515625" style="895" customWidth="1" collapsed="1"/>
    <col min="81" max="84" width="9.28515625" style="895" hidden="1" customWidth="1" outlineLevel="1"/>
    <col min="85" max="85" width="9.28515625" style="895" customWidth="1" collapsed="1"/>
    <col min="86" max="89" width="9.28515625" style="895" hidden="1" customWidth="1" outlineLevel="1"/>
    <col min="90" max="90" width="9.28515625" style="895" customWidth="1" collapsed="1"/>
    <col min="91" max="94" width="9.28515625" style="895" hidden="1" customWidth="1" outlineLevel="1"/>
    <col min="95" max="95" width="9.28515625" style="895" customWidth="1" collapsed="1"/>
    <col min="96" max="99" width="9.28515625" style="895" hidden="1" customWidth="1" outlineLevel="1"/>
    <col min="100" max="100" width="9.28515625" style="895" customWidth="1" collapsed="1"/>
    <col min="101" max="104" width="9.28515625" style="895" hidden="1" customWidth="1" outlineLevel="1"/>
    <col min="105" max="105" width="9.5703125" style="895" customWidth="1" collapsed="1"/>
    <col min="106" max="109" width="9.28515625" style="895" hidden="1" customWidth="1" outlineLevel="1"/>
    <col min="110" max="110" width="9.5703125" style="895" customWidth="1" collapsed="1"/>
    <col min="111" max="111" width="2.7109375" style="895" customWidth="1"/>
    <col min="112" max="114" width="10.42578125" style="895" customWidth="1"/>
    <col min="115" max="115" width="9.28515625" style="895" customWidth="1"/>
    <col min="116" max="116" width="18" style="895" customWidth="1"/>
    <col min="117" max="170" width="9.28515625" style="895" customWidth="1"/>
    <col min="171" max="171" width="41.42578125" bestFit="1" customWidth="1"/>
    <col min="172" max="176" width="9.28515625" customWidth="1"/>
    <col min="177" max="16384" width="9.28515625" style="895"/>
  </cols>
  <sheetData>
    <row r="1" spans="1:138" ht="15" customHeight="1">
      <c r="A1" s="892"/>
      <c r="B1" s="892"/>
      <c r="C1" s="892"/>
      <c r="D1" s="893"/>
      <c r="E1" s="894"/>
      <c r="F1" s="894"/>
      <c r="G1" s="894"/>
      <c r="H1" s="894"/>
      <c r="I1" s="894"/>
      <c r="J1" s="894"/>
      <c r="K1" s="894"/>
      <c r="L1" s="894"/>
      <c r="M1" s="894"/>
      <c r="N1" s="894"/>
      <c r="O1" s="894"/>
      <c r="P1" s="894"/>
      <c r="Q1" s="894"/>
      <c r="R1" s="894"/>
      <c r="S1" s="894"/>
      <c r="T1" s="894"/>
      <c r="U1" s="894"/>
      <c r="V1" s="894"/>
      <c r="W1" s="894"/>
      <c r="X1" s="894"/>
      <c r="Y1" s="894"/>
      <c r="Z1" s="894"/>
      <c r="AA1" s="894"/>
      <c r="AB1" s="894"/>
      <c r="AC1" s="894"/>
      <c r="AD1" s="894"/>
      <c r="AE1" s="894"/>
      <c r="AF1" s="894"/>
      <c r="AG1" s="894"/>
      <c r="AH1" s="894"/>
      <c r="AI1" s="894"/>
      <c r="AJ1" s="894"/>
      <c r="AK1" s="894"/>
      <c r="AL1" s="894"/>
      <c r="AM1" s="894"/>
      <c r="AN1" s="894"/>
      <c r="AO1" s="894"/>
      <c r="AP1" s="894"/>
      <c r="AQ1" s="894"/>
      <c r="AR1" s="894"/>
      <c r="AS1" s="894"/>
      <c r="AT1" s="894"/>
      <c r="AU1" s="894"/>
      <c r="AV1" s="894"/>
      <c r="AW1" s="894"/>
      <c r="AX1" s="894"/>
      <c r="AY1" s="894"/>
      <c r="AZ1" s="894"/>
      <c r="BA1" s="894"/>
      <c r="BB1" s="894"/>
      <c r="BC1" s="894"/>
      <c r="BD1" s="894"/>
      <c r="BE1" s="894"/>
      <c r="BF1" s="894"/>
      <c r="BG1" s="894"/>
      <c r="BH1" s="894"/>
      <c r="BI1" s="894"/>
      <c r="BJ1" s="894"/>
      <c r="BK1" s="894"/>
      <c r="BL1" s="894"/>
      <c r="BM1" s="894"/>
      <c r="BN1" s="894"/>
      <c r="BO1" s="894"/>
      <c r="BP1" s="894"/>
      <c r="BQ1" s="894"/>
      <c r="BR1" s="894"/>
      <c r="BS1" s="894"/>
      <c r="BT1" s="894"/>
      <c r="BU1" s="894"/>
      <c r="BV1" s="894"/>
      <c r="BW1" s="894"/>
      <c r="BX1" s="894"/>
      <c r="BY1" s="894"/>
      <c r="BZ1" s="894"/>
      <c r="CA1" s="894"/>
      <c r="CB1" s="894"/>
      <c r="CC1" s="894"/>
      <c r="CD1" s="894"/>
      <c r="CE1" s="894"/>
      <c r="CF1" s="894"/>
      <c r="CG1" s="894"/>
      <c r="CH1" s="894"/>
      <c r="CI1" s="894"/>
      <c r="CJ1" s="894"/>
      <c r="CK1" s="894"/>
      <c r="CL1" s="894"/>
      <c r="CM1" s="894"/>
      <c r="CN1" s="894"/>
      <c r="CO1" s="894"/>
      <c r="CP1" s="894"/>
      <c r="CQ1" s="894"/>
      <c r="CR1" s="894"/>
      <c r="CS1" s="894"/>
      <c r="CT1" s="894"/>
      <c r="CU1" s="894"/>
      <c r="CV1" s="894"/>
      <c r="CW1" s="894"/>
      <c r="CX1" s="894"/>
      <c r="CY1" s="894"/>
      <c r="CZ1" s="894"/>
      <c r="DA1" s="894"/>
      <c r="DB1" s="894"/>
      <c r="DC1" s="894"/>
      <c r="DD1" s="894"/>
      <c r="DE1" s="894"/>
      <c r="DF1" s="894"/>
      <c r="DG1" s="894"/>
      <c r="DH1" s="894"/>
      <c r="DI1" s="894"/>
      <c r="DJ1" s="894"/>
      <c r="DK1" s="894"/>
    </row>
    <row r="2" spans="1:138" ht="15" customHeight="1">
      <c r="A2" s="892"/>
      <c r="B2" s="892" t="s">
        <v>344</v>
      </c>
      <c r="C2" s="892"/>
      <c r="D2" s="893"/>
      <c r="E2" s="894"/>
      <c r="F2" s="894"/>
      <c r="G2" s="894"/>
      <c r="H2" s="894"/>
      <c r="I2" s="894"/>
      <c r="J2" s="894"/>
      <c r="K2" s="894"/>
      <c r="L2" s="894"/>
      <c r="M2" s="894"/>
      <c r="N2" s="896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894"/>
      <c r="CD2" s="894"/>
      <c r="CE2" s="894"/>
      <c r="CF2" s="894"/>
      <c r="CG2" s="894"/>
      <c r="CH2" s="894"/>
      <c r="CI2" s="894"/>
      <c r="CJ2" s="894"/>
      <c r="CK2" s="894"/>
      <c r="CL2" s="894"/>
      <c r="CM2" s="894"/>
      <c r="CN2" s="894"/>
      <c r="CO2" s="894"/>
      <c r="CP2" s="894"/>
      <c r="CQ2" s="894"/>
      <c r="CR2" s="894"/>
      <c r="CS2" s="894"/>
      <c r="CT2" s="894"/>
      <c r="CU2" s="894"/>
      <c r="CV2" s="894"/>
      <c r="CW2" s="894"/>
      <c r="CX2" s="894"/>
      <c r="CY2" s="894"/>
      <c r="CZ2" s="894"/>
      <c r="DA2" s="894"/>
      <c r="DB2" s="894"/>
      <c r="DC2" s="894"/>
      <c r="DD2" s="894"/>
      <c r="DE2" s="894"/>
      <c r="DF2" s="894"/>
      <c r="DG2" s="894"/>
      <c r="DH2" s="894"/>
      <c r="DI2" s="894"/>
      <c r="DJ2" s="894"/>
      <c r="DK2" s="894"/>
    </row>
    <row r="3" spans="1:138" ht="15" customHeight="1">
      <c r="A3" s="897"/>
      <c r="B3" s="898" t="s">
        <v>2</v>
      </c>
      <c r="C3" s="898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4"/>
      <c r="BY3" s="894"/>
      <c r="BZ3" s="894"/>
      <c r="CA3" s="894"/>
      <c r="CB3" s="894"/>
      <c r="CC3" s="894"/>
      <c r="CD3" s="894"/>
      <c r="CE3" s="894"/>
      <c r="CF3" s="894"/>
      <c r="CG3" s="894"/>
      <c r="CH3" s="894"/>
      <c r="CI3" s="894"/>
      <c r="CJ3" s="894"/>
      <c r="CK3" s="894"/>
      <c r="CL3" s="894"/>
      <c r="CM3" s="894"/>
      <c r="CN3" s="894"/>
      <c r="CO3" s="894"/>
      <c r="CP3" s="894"/>
      <c r="CQ3" s="894"/>
      <c r="CR3" s="894"/>
      <c r="CS3" s="894"/>
      <c r="CT3" s="894"/>
      <c r="CU3" s="894"/>
      <c r="CV3" s="894"/>
      <c r="CW3" s="894"/>
      <c r="CX3" s="894"/>
      <c r="CY3" s="894"/>
      <c r="CZ3" s="894"/>
      <c r="DA3" s="894"/>
      <c r="DB3" s="894"/>
      <c r="DC3" s="894"/>
      <c r="DD3" s="894"/>
      <c r="DE3" s="894"/>
      <c r="DF3" s="894"/>
      <c r="DG3" s="894"/>
      <c r="DH3" s="894"/>
      <c r="DI3" s="894"/>
      <c r="DJ3" s="894"/>
      <c r="DK3" s="894"/>
    </row>
    <row r="4" spans="1:138">
      <c r="A4" s="899"/>
      <c r="B4" s="900" t="s">
        <v>3</v>
      </c>
      <c r="C4" s="900"/>
      <c r="D4" s="899"/>
      <c r="E4" s="901"/>
      <c r="F4" s="901"/>
      <c r="G4" s="901"/>
      <c r="H4" s="901"/>
      <c r="I4" s="901"/>
      <c r="J4" s="901"/>
      <c r="K4" s="901"/>
      <c r="L4" s="901"/>
      <c r="M4" s="901"/>
      <c r="N4" s="901"/>
      <c r="O4" s="901"/>
      <c r="P4" s="901"/>
      <c r="Q4" s="901"/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901"/>
      <c r="AI4" s="901"/>
      <c r="AJ4" s="901"/>
      <c r="AK4" s="901"/>
      <c r="AL4" s="901"/>
      <c r="AM4" s="901"/>
      <c r="AN4" s="901"/>
      <c r="AO4" s="901"/>
      <c r="AP4" s="901"/>
      <c r="AQ4" s="901"/>
      <c r="AR4" s="901"/>
      <c r="AS4" s="901"/>
      <c r="AT4" s="901"/>
      <c r="AU4" s="901"/>
      <c r="AV4" s="901"/>
      <c r="AW4" s="901"/>
      <c r="AX4" s="901"/>
      <c r="AY4" s="901"/>
      <c r="AZ4" s="901"/>
      <c r="BA4" s="901"/>
      <c r="BB4" s="901"/>
      <c r="BC4" s="901"/>
      <c r="BD4" s="901"/>
      <c r="BE4" s="901"/>
      <c r="BF4" s="901"/>
      <c r="BG4" s="901"/>
      <c r="BH4" s="901"/>
      <c r="BI4" s="901"/>
      <c r="BJ4" s="901"/>
      <c r="BK4" s="901"/>
      <c r="BL4" s="901"/>
      <c r="BM4" s="901"/>
      <c r="BN4" s="901"/>
      <c r="BO4" s="901"/>
      <c r="BP4" s="901"/>
      <c r="BQ4" s="901"/>
      <c r="BR4" s="901"/>
      <c r="BS4" s="901"/>
      <c r="BT4" s="901"/>
      <c r="BU4" s="901"/>
      <c r="BV4" s="901"/>
      <c r="BW4" s="901"/>
      <c r="BX4" s="901"/>
      <c r="BY4" s="901"/>
      <c r="BZ4" s="901"/>
      <c r="CA4" s="901"/>
      <c r="CB4" s="901"/>
      <c r="CC4" s="901"/>
      <c r="CD4" s="901"/>
      <c r="CE4" s="901"/>
      <c r="CF4" s="901"/>
      <c r="CG4" s="901"/>
      <c r="CH4" s="901"/>
      <c r="CI4" s="901"/>
      <c r="CJ4" s="901"/>
      <c r="CK4" s="901"/>
      <c r="CL4" s="901"/>
      <c r="CM4" s="901"/>
      <c r="CN4" s="901"/>
      <c r="CO4" s="901"/>
      <c r="CP4" s="901"/>
      <c r="CQ4" s="901"/>
      <c r="CR4" s="901"/>
      <c r="CS4" s="901"/>
      <c r="CT4" s="901"/>
      <c r="CU4" s="901"/>
      <c r="CV4" s="901"/>
      <c r="CW4" s="901"/>
      <c r="CX4" s="901"/>
      <c r="CY4" s="901"/>
      <c r="CZ4" s="901"/>
      <c r="DA4" s="901"/>
      <c r="DB4" s="901"/>
      <c r="DC4" s="901"/>
      <c r="DD4" s="901"/>
      <c r="DE4" s="901"/>
      <c r="DF4" s="901"/>
      <c r="DG4" s="901"/>
      <c r="DH4" s="901"/>
      <c r="DI4" s="901"/>
      <c r="DJ4" s="901"/>
      <c r="DK4" s="901"/>
    </row>
    <row r="5" spans="1:138">
      <c r="A5" s="902"/>
      <c r="B5" s="902"/>
      <c r="C5" s="903"/>
      <c r="D5" s="904"/>
      <c r="E5" s="905"/>
      <c r="F5" s="905"/>
      <c r="G5" s="905"/>
      <c r="H5" s="905"/>
      <c r="I5" s="905"/>
      <c r="J5" s="905"/>
      <c r="K5" s="905"/>
      <c r="L5" s="905"/>
      <c r="M5" s="905"/>
      <c r="N5" s="905"/>
      <c r="O5" s="905"/>
      <c r="P5" s="905"/>
      <c r="Q5" s="905"/>
      <c r="R5" s="905"/>
      <c r="S5" s="905"/>
      <c r="T5" s="905"/>
      <c r="U5" s="905"/>
      <c r="V5" s="905"/>
      <c r="W5" s="905"/>
      <c r="X5" s="905"/>
      <c r="Y5" s="905"/>
      <c r="Z5" s="905"/>
      <c r="AA5" s="905"/>
      <c r="AB5" s="905"/>
      <c r="AC5" s="906"/>
      <c r="AD5" s="905"/>
      <c r="AE5" s="905"/>
      <c r="AF5" s="905"/>
      <c r="AG5" s="905"/>
      <c r="AH5" s="905"/>
      <c r="AI5" s="905"/>
      <c r="AJ5" s="905"/>
      <c r="AK5" s="905"/>
      <c r="AL5" s="905"/>
      <c r="AM5" s="905"/>
      <c r="AN5" s="907"/>
      <c r="AO5" s="907"/>
      <c r="AP5" s="907"/>
      <c r="AQ5" s="907"/>
      <c r="AR5" s="905"/>
      <c r="AS5" s="907"/>
      <c r="AT5" s="907"/>
      <c r="AU5" s="907"/>
      <c r="AV5" s="907"/>
      <c r="AW5" s="905"/>
      <c r="AX5" s="907"/>
      <c r="AY5" s="907"/>
      <c r="AZ5" s="907"/>
      <c r="BA5" s="907"/>
      <c r="BB5" s="905"/>
      <c r="BC5" s="907"/>
      <c r="BD5" s="907"/>
      <c r="BE5" s="907"/>
      <c r="BF5" s="907"/>
      <c r="BG5" s="999"/>
      <c r="BH5" s="907"/>
      <c r="BI5" s="907"/>
      <c r="BJ5" s="907"/>
      <c r="BK5" s="907"/>
      <c r="BL5" s="905"/>
      <c r="BM5" s="907"/>
      <c r="BN5" s="907"/>
      <c r="BO5" s="907"/>
      <c r="BP5" s="907"/>
      <c r="BQ5" s="905"/>
      <c r="BR5" s="905"/>
      <c r="BS5" s="905"/>
      <c r="BT5" s="905"/>
      <c r="BU5" s="905"/>
      <c r="BV5" s="905"/>
      <c r="BW5" s="905"/>
      <c r="BX5" s="905"/>
      <c r="BY5" s="905"/>
      <c r="BZ5" s="905"/>
      <c r="CA5" s="905"/>
      <c r="CB5" s="905"/>
      <c r="CC5" s="905"/>
      <c r="CD5" s="905"/>
      <c r="CE5" s="905"/>
      <c r="CF5" s="905"/>
      <c r="CG5" s="905"/>
      <c r="CH5" s="905"/>
      <c r="CI5" s="905"/>
      <c r="CJ5" s="905"/>
      <c r="CK5" s="905"/>
      <c r="CQ5" s="905"/>
      <c r="CV5" s="905"/>
      <c r="DA5" s="905"/>
      <c r="DF5" s="905"/>
      <c r="DG5" s="905"/>
      <c r="DH5" s="905"/>
      <c r="DI5" s="905"/>
      <c r="DJ5" s="905"/>
      <c r="DK5" s="905"/>
    </row>
    <row r="6" spans="1:138">
      <c r="A6" s="937"/>
      <c r="B6" s="908" t="s">
        <v>476</v>
      </c>
      <c r="C6" s="908"/>
      <c r="D6" s="909"/>
      <c r="E6" s="910"/>
      <c r="F6" s="910"/>
      <c r="G6" s="910"/>
      <c r="H6" s="910"/>
      <c r="I6" s="910"/>
      <c r="J6" s="910"/>
      <c r="K6" s="910"/>
      <c r="L6" s="910"/>
      <c r="M6" s="910"/>
      <c r="N6" s="910"/>
      <c r="O6" s="910"/>
      <c r="P6" s="910"/>
      <c r="Q6" s="910"/>
      <c r="R6" s="910"/>
      <c r="S6" s="910"/>
      <c r="T6" s="910"/>
      <c r="U6" s="910"/>
      <c r="V6" s="910"/>
      <c r="W6" s="910"/>
      <c r="X6" s="910" t="s">
        <v>768</v>
      </c>
      <c r="Y6" s="910"/>
      <c r="Z6" s="910"/>
      <c r="AA6" s="910"/>
      <c r="AB6" s="910"/>
      <c r="AC6" s="910" t="s">
        <v>669</v>
      </c>
      <c r="AD6" s="910"/>
      <c r="AE6" s="910"/>
      <c r="AF6" s="910"/>
      <c r="AG6" s="910"/>
      <c r="AH6" s="910" t="s">
        <v>964</v>
      </c>
      <c r="AI6" s="910"/>
      <c r="AJ6" s="910"/>
      <c r="AK6" s="910"/>
      <c r="AL6" s="910"/>
      <c r="AM6" s="910" t="s">
        <v>1011</v>
      </c>
      <c r="AN6" s="911"/>
      <c r="AO6" s="911"/>
      <c r="AP6" s="911"/>
      <c r="AQ6" s="911"/>
      <c r="AR6" s="910" t="s">
        <v>1158</v>
      </c>
      <c r="AS6" s="911"/>
      <c r="AT6" s="911"/>
      <c r="AU6" s="911"/>
      <c r="AV6" s="911"/>
      <c r="AW6" s="910" t="s">
        <v>1220</v>
      </c>
      <c r="AX6" s="911"/>
      <c r="AY6" s="911"/>
      <c r="AZ6" s="911"/>
      <c r="BA6" s="911"/>
      <c r="BB6" s="910" t="s">
        <v>138</v>
      </c>
      <c r="BC6" s="911"/>
      <c r="BD6" s="911"/>
      <c r="BE6" s="911"/>
      <c r="BF6" s="911"/>
      <c r="BG6" s="910" t="s">
        <v>969</v>
      </c>
      <c r="BH6" s="911"/>
      <c r="BI6" s="911"/>
      <c r="BJ6" s="911"/>
      <c r="BK6" s="911"/>
      <c r="BL6" s="910" t="s">
        <v>970</v>
      </c>
      <c r="BM6" s="911"/>
      <c r="BN6" s="911"/>
      <c r="BO6" s="911"/>
      <c r="BP6" s="911"/>
      <c r="BQ6" s="910" t="s">
        <v>1135</v>
      </c>
      <c r="BR6" s="937"/>
      <c r="BS6" s="937"/>
      <c r="BT6" s="908" t="s">
        <v>5</v>
      </c>
      <c r="BU6" s="908"/>
      <c r="BV6" s="909"/>
      <c r="CB6" s="910" t="s">
        <v>6</v>
      </c>
      <c r="CC6" s="910"/>
      <c r="CD6" s="910"/>
      <c r="CE6" s="910"/>
      <c r="CF6" s="910"/>
      <c r="CG6" s="910" t="s">
        <v>7</v>
      </c>
      <c r="CH6" s="910"/>
      <c r="CI6" s="910"/>
      <c r="CJ6" s="910"/>
      <c r="CK6" s="910"/>
      <c r="CL6" s="910" t="s">
        <v>8</v>
      </c>
      <c r="CQ6" s="905"/>
      <c r="CV6" s="905"/>
      <c r="DA6" s="905"/>
      <c r="DF6" s="905"/>
      <c r="DG6" s="1330"/>
      <c r="DK6" s="914"/>
      <c r="DL6" s="2164" t="s">
        <v>1109</v>
      </c>
      <c r="DM6" s="2164"/>
      <c r="DN6"/>
      <c r="DO6" s="2165">
        <v>2015</v>
      </c>
      <c r="DP6" s="2165">
        <f t="shared" ref="DP6" si="0">+DO6+1</f>
        <v>2016</v>
      </c>
      <c r="DQ6" s="2165">
        <f t="shared" ref="DQ6" si="1">+DP6+1</f>
        <v>2017</v>
      </c>
      <c r="DR6" s="2166">
        <f t="shared" ref="DR6" si="2">+DQ6+1</f>
        <v>2018</v>
      </c>
      <c r="DS6" s="2166">
        <f t="shared" ref="DS6" si="3">+DR6+1</f>
        <v>2019</v>
      </c>
      <c r="DT6" s="2166">
        <f t="shared" ref="DT6" si="4">+DS6+1</f>
        <v>2020</v>
      </c>
      <c r="DU6" s="2166">
        <f t="shared" ref="DU6" si="5">+DT6+1</f>
        <v>2021</v>
      </c>
      <c r="DV6" s="2166">
        <f t="shared" ref="DV6" si="6">+DU6+1</f>
        <v>2022</v>
      </c>
      <c r="DW6" s="2166">
        <f t="shared" ref="DW6" si="7">+DV6+1</f>
        <v>2023</v>
      </c>
      <c r="DX6" s="2166">
        <f t="shared" ref="DX6" si="8">+DW6+1</f>
        <v>2024</v>
      </c>
      <c r="DY6" s="2166">
        <f t="shared" ref="DY6" si="9">+DX6+1</f>
        <v>2025</v>
      </c>
      <c r="DZ6" s="2166">
        <f t="shared" ref="DZ6" si="10">+DY6+1</f>
        <v>2026</v>
      </c>
      <c r="EA6" s="2166">
        <f t="shared" ref="EA6" si="11">+DZ6+1</f>
        <v>2027</v>
      </c>
      <c r="EB6" s="2166">
        <f t="shared" ref="EB6" si="12">+EA6+1</f>
        <v>2028</v>
      </c>
      <c r="EC6" s="2166">
        <f t="shared" ref="EC6" si="13">+EB6+1</f>
        <v>2029</v>
      </c>
      <c r="ED6" s="2166">
        <f t="shared" ref="ED6" si="14">+EC6+1</f>
        <v>2030</v>
      </c>
      <c r="EE6" s="2166">
        <f t="shared" ref="EE6" si="15">+ED6+1</f>
        <v>2031</v>
      </c>
      <c r="EF6" s="2166">
        <f t="shared" ref="EF6" si="16">+EE6+1</f>
        <v>2032</v>
      </c>
      <c r="EG6" s="2166">
        <f t="shared" ref="EG6:EH6" si="17">+EF6+1</f>
        <v>2033</v>
      </c>
      <c r="EH6" s="2166">
        <f t="shared" si="17"/>
        <v>2034</v>
      </c>
    </row>
    <row r="7" spans="1:138">
      <c r="A7" s="937"/>
      <c r="C7" s="39" t="s">
        <v>337</v>
      </c>
      <c r="N7" s="912"/>
      <c r="X7" s="912">
        <f>+Financial!X10</f>
        <v>2.0620525059665873</v>
      </c>
      <c r="AC7" s="912">
        <f>+Financial!AC10</f>
        <v>2.042959427207637</v>
      </c>
      <c r="AH7" s="912">
        <f>+Financial!AH10</f>
        <v>1.9216152019002375</v>
      </c>
      <c r="AM7" s="912">
        <f>+Financial!AM10</f>
        <v>1.8089622641509433</v>
      </c>
      <c r="AR7" s="912">
        <f>FirstEnergy!AR75</f>
        <v>1.8098591549295775</v>
      </c>
      <c r="AW7" s="912">
        <f>FirstEnergy!AW75</f>
        <v>2.3198198198198199</v>
      </c>
      <c r="BB7" s="912">
        <f>FirstEnergy!BB75</f>
        <v>2.4984704003215126</v>
      </c>
      <c r="BG7" s="912">
        <f>FirstEnergy!BG75</f>
        <v>2.4513351949919358</v>
      </c>
      <c r="BL7" s="912">
        <f>FirstEnergy!BL75</f>
        <v>2.0387003132460046</v>
      </c>
      <c r="BQ7" s="912">
        <f>FirstEnergy!BQ75</f>
        <v>2.1097705240164255</v>
      </c>
      <c r="BR7" s="937"/>
      <c r="BS7" s="937"/>
      <c r="BU7" s="895" t="s">
        <v>9</v>
      </c>
      <c r="CB7" s="1607" t="s">
        <v>969</v>
      </c>
      <c r="CC7" s="913"/>
      <c r="CD7" s="913"/>
      <c r="CE7" s="913"/>
      <c r="CF7" s="913"/>
      <c r="CG7" s="1607" t="s">
        <v>969</v>
      </c>
      <c r="CH7" s="913"/>
      <c r="CI7" s="913"/>
      <c r="CJ7" s="913"/>
      <c r="CK7" s="913"/>
      <c r="CL7" s="1607" t="s">
        <v>969</v>
      </c>
      <c r="DK7" s="914"/>
      <c r="DL7" s="2167" t="s">
        <v>201</v>
      </c>
      <c r="DM7" s="2168"/>
      <c r="DN7"/>
      <c r="DO7" s="895">
        <f>FirstEnergy!AM34-Competitive!AM28</f>
        <v>754</v>
      </c>
      <c r="DP7" s="2169">
        <f>FirstEnergy!AR34-Competitive!AR28</f>
        <v>1185</v>
      </c>
      <c r="DQ7" s="2169">
        <f>FirstEnergy!AW34-Competitive!AW28</f>
        <v>1657</v>
      </c>
      <c r="DR7" s="2169">
        <f>FirstEnergy!BB34-Competitive!BB28</f>
        <v>1722.9035073906534</v>
      </c>
      <c r="DS7" s="2169">
        <f>FirstEnergy!BG34-Competitive!BG28</f>
        <v>1863.5121053174762</v>
      </c>
      <c r="DT7" s="2169">
        <f>FirstEnergy!BL34-Competitive!BL28</f>
        <v>1790.993793480684</v>
      </c>
      <c r="DU7" s="2169">
        <f>FirstEnergy!BQ34-Competitive!BQ28</f>
        <v>1903.8343311032468</v>
      </c>
      <c r="DV7" s="2170">
        <f>+DU7</f>
        <v>1903.8343311032468</v>
      </c>
      <c r="DW7" s="2170">
        <f>+DV7</f>
        <v>1903.8343311032468</v>
      </c>
      <c r="DX7" s="2170">
        <f>+DW7</f>
        <v>1903.8343311032468</v>
      </c>
      <c r="DY7" s="2170">
        <f t="shared" ref="DS7:EH9" si="18">+DX7</f>
        <v>1903.8343311032468</v>
      </c>
      <c r="DZ7" s="2170">
        <f t="shared" si="18"/>
        <v>1903.8343311032468</v>
      </c>
      <c r="EA7" s="2170">
        <f t="shared" si="18"/>
        <v>1903.8343311032468</v>
      </c>
      <c r="EB7" s="2170">
        <f t="shared" si="18"/>
        <v>1903.8343311032468</v>
      </c>
      <c r="EC7" s="2170">
        <f t="shared" si="18"/>
        <v>1903.8343311032468</v>
      </c>
      <c r="ED7" s="2170">
        <f t="shared" si="18"/>
        <v>1903.8343311032468</v>
      </c>
      <c r="EE7" s="2170">
        <f t="shared" si="18"/>
        <v>1903.8343311032468</v>
      </c>
      <c r="EF7" s="2170">
        <f t="shared" si="18"/>
        <v>1903.8343311032468</v>
      </c>
      <c r="EG7" s="2170">
        <f t="shared" si="18"/>
        <v>1903.8343311032468</v>
      </c>
      <c r="EH7" s="2170">
        <f t="shared" si="18"/>
        <v>1903.8343311032468</v>
      </c>
    </row>
    <row r="8" spans="1:138">
      <c r="A8" s="937"/>
      <c r="C8" s="39" t="s">
        <v>338</v>
      </c>
      <c r="X8" s="912">
        <f>+Financial!X11</f>
        <v>1.1408114558472553</v>
      </c>
      <c r="AC8" s="912">
        <f>+Financial!AC11</f>
        <v>0.73269689737470167</v>
      </c>
      <c r="AH8" s="912">
        <f>+Financial!AH11</f>
        <v>0.23515439429928742</v>
      </c>
      <c r="AM8" s="912">
        <f>+Financial!AM11</f>
        <v>0.6132075471698113</v>
      </c>
      <c r="AN8" s="915"/>
      <c r="AO8" s="915"/>
      <c r="AP8" s="915"/>
      <c r="AQ8" s="915"/>
      <c r="AR8" s="912">
        <f>FirstEnergy!AR76</f>
        <v>0.60093896713615025</v>
      </c>
      <c r="AS8" s="915"/>
      <c r="AT8" s="915"/>
      <c r="AU8" s="915"/>
      <c r="AV8" s="915"/>
      <c r="AW8" s="912">
        <f>FirstEnergy!AW76</f>
        <v>0.46171171171171171</v>
      </c>
      <c r="AX8" s="915"/>
      <c r="AY8" s="915"/>
      <c r="AZ8" s="915"/>
      <c r="BA8" s="915"/>
      <c r="BB8" s="912">
        <f>FirstEnergy!BB76</f>
        <v>-0.12991255158265183</v>
      </c>
      <c r="BC8" s="915"/>
      <c r="BD8" s="915"/>
      <c r="BE8" s="915"/>
      <c r="BF8" s="915"/>
      <c r="BG8" s="912">
        <f>FirstEnergy!BG76</f>
        <v>-0.37905205376250078</v>
      </c>
      <c r="BH8" s="915"/>
      <c r="BI8" s="915"/>
      <c r="BJ8" s="915"/>
      <c r="BK8" s="915"/>
      <c r="BL8" s="912">
        <f>FirstEnergy!BL76</f>
        <v>-0.42678644580883757</v>
      </c>
      <c r="BM8" s="915"/>
      <c r="BN8" s="915"/>
      <c r="BO8" s="915"/>
      <c r="BP8" s="915"/>
      <c r="BQ8" s="912">
        <f>FirstEnergy!BQ76</f>
        <v>-0.2435304518030558</v>
      </c>
      <c r="BR8" s="937"/>
      <c r="BS8" s="937"/>
      <c r="BU8" s="927" t="s">
        <v>655</v>
      </c>
      <c r="CB8" s="917">
        <f>(BG52*0.5*0.1025+BG58)/FirstEnergy!BG48</f>
        <v>1.8094082995544116</v>
      </c>
      <c r="CC8" s="916"/>
      <c r="CD8" s="916"/>
      <c r="CE8" s="916"/>
      <c r="CF8" s="916"/>
      <c r="CG8" s="2026">
        <f>Distribution!BG48</f>
        <v>2.29702748523458</v>
      </c>
      <c r="CH8" s="916"/>
      <c r="CI8" s="916"/>
      <c r="CJ8" s="916"/>
      <c r="CK8" s="916"/>
      <c r="CL8" s="917">
        <f>2.93+Valuation!BG10</f>
        <v>2.3721199334609873</v>
      </c>
      <c r="CQ8" s="935"/>
      <c r="CV8" s="935"/>
      <c r="DK8" s="918"/>
      <c r="DL8" t="s">
        <v>1110</v>
      </c>
      <c r="DM8"/>
      <c r="DN8"/>
      <c r="DO8" s="2171">
        <v>0.37</v>
      </c>
      <c r="DP8" s="2172">
        <f>+DO8</f>
        <v>0.37</v>
      </c>
      <c r="DQ8" s="2172">
        <f t="shared" ref="DQ8:EF8" si="19">+DP8</f>
        <v>0.37</v>
      </c>
      <c r="DR8" s="2209">
        <v>0.21</v>
      </c>
      <c r="DS8" s="2172">
        <f t="shared" si="19"/>
        <v>0.21</v>
      </c>
      <c r="DT8" s="2172">
        <f t="shared" si="19"/>
        <v>0.21</v>
      </c>
      <c r="DU8" s="2172">
        <f t="shared" si="19"/>
        <v>0.21</v>
      </c>
      <c r="DV8" s="2172">
        <f t="shared" si="19"/>
        <v>0.21</v>
      </c>
      <c r="DW8" s="2172">
        <f t="shared" si="19"/>
        <v>0.21</v>
      </c>
      <c r="DX8" s="2172">
        <f t="shared" si="19"/>
        <v>0.21</v>
      </c>
      <c r="DY8" s="2172">
        <f t="shared" si="19"/>
        <v>0.21</v>
      </c>
      <c r="DZ8" s="2172">
        <f t="shared" si="19"/>
        <v>0.21</v>
      </c>
      <c r="EA8" s="2172">
        <f t="shared" si="19"/>
        <v>0.21</v>
      </c>
      <c r="EB8" s="2172">
        <f t="shared" si="19"/>
        <v>0.21</v>
      </c>
      <c r="EC8" s="2172">
        <f t="shared" si="19"/>
        <v>0.21</v>
      </c>
      <c r="ED8" s="2172">
        <f t="shared" si="19"/>
        <v>0.21</v>
      </c>
      <c r="EE8" s="2172">
        <f t="shared" si="19"/>
        <v>0.21</v>
      </c>
      <c r="EF8" s="2172">
        <f t="shared" si="19"/>
        <v>0.21</v>
      </c>
      <c r="EG8" s="2172">
        <f t="shared" si="18"/>
        <v>0.21</v>
      </c>
      <c r="EH8" s="2172">
        <f t="shared" si="18"/>
        <v>0.21</v>
      </c>
    </row>
    <row r="9" spans="1:138">
      <c r="A9" s="937"/>
      <c r="C9" s="162" t="s">
        <v>339</v>
      </c>
      <c r="N9" s="912"/>
      <c r="X9" s="912">
        <f>+Financial!X12</f>
        <v>0.54653937947494036</v>
      </c>
      <c r="AC9" s="912">
        <f>+Financial!AC12</f>
        <v>0.51073985680190925</v>
      </c>
      <c r="AH9" s="912">
        <f>+Financial!AH12</f>
        <v>0.53681710213776723</v>
      </c>
      <c r="AM9" s="912">
        <f>+Financial!AM12</f>
        <v>0.70754716981132071</v>
      </c>
      <c r="AN9" s="919"/>
      <c r="AO9" s="919"/>
      <c r="AP9" s="919"/>
      <c r="AQ9" s="919"/>
      <c r="AR9" s="912">
        <f>FirstEnergy!AR77</f>
        <v>0.77934272300469487</v>
      </c>
      <c r="AS9" s="919"/>
      <c r="AT9" s="919"/>
      <c r="AU9" s="919"/>
      <c r="AV9" s="919"/>
      <c r="AW9" s="912">
        <f>FirstEnergy!AW77</f>
        <v>0.82657657657657657</v>
      </c>
      <c r="AX9" s="919"/>
      <c r="AY9" s="919"/>
      <c r="AZ9" s="919"/>
      <c r="BA9" s="919"/>
      <c r="BB9" s="912">
        <f>FirstEnergy!BB77</f>
        <v>0.85211771388220769</v>
      </c>
      <c r="BC9" s="919"/>
      <c r="BD9" s="919"/>
      <c r="BE9" s="919"/>
      <c r="BF9" s="919"/>
      <c r="BG9" s="912">
        <f>FirstEnergy!BG77</f>
        <v>0.87980256212939401</v>
      </c>
      <c r="BH9" s="919"/>
      <c r="BI9" s="919"/>
      <c r="BJ9" s="919"/>
      <c r="BK9" s="919"/>
      <c r="BL9" s="912">
        <f>FirstEnergy!BL77</f>
        <v>0.89420574415901177</v>
      </c>
      <c r="BM9" s="919"/>
      <c r="BN9" s="919"/>
      <c r="BO9" s="919"/>
      <c r="BP9" s="919"/>
      <c r="BQ9" s="912">
        <f>FirstEnergy!BQ77</f>
        <v>0.96845632883617327</v>
      </c>
      <c r="BR9" s="937"/>
      <c r="BS9" s="937"/>
      <c r="DL9" t="s">
        <v>1111</v>
      </c>
      <c r="DM9"/>
      <c r="DN9"/>
      <c r="DO9" s="2171">
        <v>0.1</v>
      </c>
      <c r="DP9" s="2171">
        <v>0.1</v>
      </c>
      <c r="DQ9" s="2171">
        <v>0.1</v>
      </c>
      <c r="DR9" s="2171">
        <v>0</v>
      </c>
      <c r="DS9" s="2172">
        <f t="shared" si="18"/>
        <v>0</v>
      </c>
      <c r="DT9" s="2172">
        <f t="shared" si="18"/>
        <v>0</v>
      </c>
      <c r="DU9" s="2172">
        <f t="shared" si="18"/>
        <v>0</v>
      </c>
      <c r="DV9" s="2172">
        <f t="shared" si="18"/>
        <v>0</v>
      </c>
      <c r="DW9" s="2172">
        <f t="shared" si="18"/>
        <v>0</v>
      </c>
      <c r="DX9" s="2172">
        <f t="shared" si="18"/>
        <v>0</v>
      </c>
      <c r="DY9" s="2172">
        <f t="shared" si="18"/>
        <v>0</v>
      </c>
      <c r="DZ9" s="2172">
        <f t="shared" si="18"/>
        <v>0</v>
      </c>
      <c r="EA9" s="2172">
        <f t="shared" si="18"/>
        <v>0</v>
      </c>
      <c r="EB9" s="2172">
        <f t="shared" si="18"/>
        <v>0</v>
      </c>
      <c r="EC9" s="2172">
        <f t="shared" si="18"/>
        <v>0</v>
      </c>
      <c r="ED9" s="2172">
        <f t="shared" si="18"/>
        <v>0</v>
      </c>
      <c r="EE9" s="2172">
        <f t="shared" si="18"/>
        <v>0</v>
      </c>
      <c r="EF9" s="2172">
        <f t="shared" si="18"/>
        <v>0</v>
      </c>
      <c r="EG9" s="2172">
        <f t="shared" si="18"/>
        <v>0</v>
      </c>
      <c r="EH9" s="2172">
        <f t="shared" si="18"/>
        <v>0</v>
      </c>
    </row>
    <row r="10" spans="1:138" collapsed="1">
      <c r="A10" s="937"/>
      <c r="C10" s="162" t="s">
        <v>883</v>
      </c>
      <c r="N10" s="912"/>
      <c r="X10" s="912">
        <f>+Financial!X13</f>
        <v>-0.42720763723150357</v>
      </c>
      <c r="AC10" s="912">
        <f>+Financial!AC13</f>
        <v>-0.25536992840095463</v>
      </c>
      <c r="AH10" s="912">
        <f>+Financial!AH13</f>
        <v>-0.14014251781472684</v>
      </c>
      <c r="AM10" s="912">
        <f>+Financial!AM13</f>
        <v>-0.43160377358490565</v>
      </c>
      <c r="AN10" s="923"/>
      <c r="AO10" s="923"/>
      <c r="AP10" s="923"/>
      <c r="AQ10" s="923"/>
      <c r="AR10" s="912">
        <f>FirstEnergy!AR78</f>
        <v>-0.56103286384976525</v>
      </c>
      <c r="AS10" s="923"/>
      <c r="AT10" s="923"/>
      <c r="AU10" s="923"/>
      <c r="AV10" s="923"/>
      <c r="AW10" s="912">
        <f>FirstEnergy!AW78</f>
        <v>-0.53153153153153154</v>
      </c>
      <c r="AX10" s="923"/>
      <c r="AY10" s="923"/>
      <c r="AZ10" s="923"/>
      <c r="BA10" s="923"/>
      <c r="BB10" s="912">
        <f>FirstEnergy!BB78</f>
        <v>-0.63476246628274169</v>
      </c>
      <c r="BC10" s="923"/>
      <c r="BD10" s="923"/>
      <c r="BE10" s="923"/>
      <c r="BF10" s="923"/>
      <c r="BG10" s="912">
        <f>FirstEnergy!BG78</f>
        <v>-0.55788006653901279</v>
      </c>
      <c r="BH10" s="923"/>
      <c r="BI10" s="923"/>
      <c r="BJ10" s="923"/>
      <c r="BK10" s="923"/>
      <c r="BL10" s="912">
        <f>FirstEnergy!BL78</f>
        <v>-0.47348257593268367</v>
      </c>
      <c r="BM10" s="923"/>
      <c r="BN10" s="923"/>
      <c r="BO10" s="923"/>
      <c r="BP10" s="923"/>
      <c r="BQ10" s="912">
        <f>FirstEnergy!BQ78</f>
        <v>-0.47747454956192842</v>
      </c>
      <c r="BR10" s="937"/>
      <c r="BS10" s="937"/>
      <c r="BU10" s="895" t="s">
        <v>10</v>
      </c>
      <c r="CB10" s="924">
        <f>CG10</f>
        <v>17.399999999999999</v>
      </c>
      <c r="CC10" s="924"/>
      <c r="CD10" s="924"/>
      <c r="CE10" s="924"/>
      <c r="CF10" s="924"/>
      <c r="CG10" s="2297">
        <v>17.399999999999999</v>
      </c>
      <c r="CH10" s="925"/>
      <c r="CI10" s="925"/>
      <c r="CJ10" s="925"/>
      <c r="CK10" s="925"/>
      <c r="CL10" s="925">
        <f>CG10</f>
        <v>17.399999999999999</v>
      </c>
      <c r="CV10" s="935"/>
      <c r="DL10" s="2055" t="s">
        <v>1112</v>
      </c>
      <c r="DM10"/>
      <c r="DN10"/>
      <c r="DO10" s="2173">
        <f>+DO8-DO9</f>
        <v>0.27</v>
      </c>
      <c r="DP10" s="2173">
        <f t="shared" ref="DP10:EH10" si="20">+DP8-DP9</f>
        <v>0.27</v>
      </c>
      <c r="DQ10" s="2173">
        <f t="shared" si="20"/>
        <v>0.27</v>
      </c>
      <c r="DR10" s="2173">
        <f t="shared" si="20"/>
        <v>0.21</v>
      </c>
      <c r="DS10" s="2173">
        <f t="shared" si="20"/>
        <v>0.21</v>
      </c>
      <c r="DT10" s="2173">
        <f t="shared" si="20"/>
        <v>0.21</v>
      </c>
      <c r="DU10" s="2173">
        <f t="shared" si="20"/>
        <v>0.21</v>
      </c>
      <c r="DV10" s="2173">
        <f t="shared" si="20"/>
        <v>0.21</v>
      </c>
      <c r="DW10" s="2173">
        <f t="shared" si="20"/>
        <v>0.21</v>
      </c>
      <c r="DX10" s="2173">
        <f t="shared" si="20"/>
        <v>0.21</v>
      </c>
      <c r="DY10" s="2173">
        <f t="shared" si="20"/>
        <v>0.21</v>
      </c>
      <c r="DZ10" s="2173">
        <f t="shared" si="20"/>
        <v>0.21</v>
      </c>
      <c r="EA10" s="2173">
        <f t="shared" si="20"/>
        <v>0.21</v>
      </c>
      <c r="EB10" s="2173">
        <f t="shared" si="20"/>
        <v>0.21</v>
      </c>
      <c r="EC10" s="2173">
        <f t="shared" si="20"/>
        <v>0.21</v>
      </c>
      <c r="ED10" s="2173">
        <f t="shared" si="20"/>
        <v>0.21</v>
      </c>
      <c r="EE10" s="2173">
        <f t="shared" si="20"/>
        <v>0.21</v>
      </c>
      <c r="EF10" s="2173">
        <f t="shared" si="20"/>
        <v>0.21</v>
      </c>
      <c r="EG10" s="2173">
        <f t="shared" si="20"/>
        <v>0.21</v>
      </c>
      <c r="EH10" s="2173">
        <f t="shared" si="20"/>
        <v>0.21</v>
      </c>
    </row>
    <row r="11" spans="1:138">
      <c r="A11" s="937"/>
      <c r="C11" s="921" t="s">
        <v>33</v>
      </c>
      <c r="D11" s="921"/>
      <c r="E11" s="921"/>
      <c r="F11" s="921"/>
      <c r="G11" s="921"/>
      <c r="H11" s="921"/>
      <c r="I11" s="921"/>
      <c r="J11" s="921"/>
      <c r="K11" s="921"/>
      <c r="L11" s="921"/>
      <c r="M11" s="921"/>
      <c r="N11" s="922"/>
      <c r="O11" s="922"/>
      <c r="P11" s="922"/>
      <c r="Q11" s="922"/>
      <c r="R11" s="922"/>
      <c r="S11" s="922"/>
      <c r="T11" s="922"/>
      <c r="U11" s="922"/>
      <c r="V11" s="922"/>
      <c r="W11" s="922"/>
      <c r="X11" s="922">
        <f>SUM(X7:X10)</f>
        <v>3.3221957040572794</v>
      </c>
      <c r="Y11" s="922"/>
      <c r="Z11" s="922"/>
      <c r="AA11" s="922"/>
      <c r="AB11" s="922"/>
      <c r="AC11" s="922">
        <f>SUM(AC7:AC10)</f>
        <v>3.0310262529832932</v>
      </c>
      <c r="AD11" s="922"/>
      <c r="AE11" s="922"/>
      <c r="AF11" s="922"/>
      <c r="AG11" s="922"/>
      <c r="AH11" s="922">
        <f>SUM(AH7:AH10)</f>
        <v>2.5534441805225656</v>
      </c>
      <c r="AI11" s="922"/>
      <c r="AJ11" s="922"/>
      <c r="AK11" s="922"/>
      <c r="AL11" s="922"/>
      <c r="AM11" s="922">
        <f>SUM(AM7:AM10)</f>
        <v>2.6981132075471699</v>
      </c>
      <c r="AN11" s="923"/>
      <c r="AO11" s="923"/>
      <c r="AP11" s="923"/>
      <c r="AQ11" s="923"/>
      <c r="AR11" s="922">
        <f>SUM(AR7:AR10)</f>
        <v>2.6291079812206579</v>
      </c>
      <c r="AS11" s="923"/>
      <c r="AT11" s="923"/>
      <c r="AU11" s="923"/>
      <c r="AV11" s="923"/>
      <c r="AW11" s="922">
        <f>SUM(AW7:AW10)</f>
        <v>3.0765765765765765</v>
      </c>
      <c r="AX11" s="923"/>
      <c r="AY11" s="923"/>
      <c r="AZ11" s="923"/>
      <c r="BA11" s="923"/>
      <c r="BB11" s="922">
        <f>SUM(BB7:BB10)</f>
        <v>2.5859130963383268</v>
      </c>
      <c r="BC11" s="923"/>
      <c r="BD11" s="923"/>
      <c r="BE11" s="923"/>
      <c r="BF11" s="923"/>
      <c r="BG11" s="922">
        <f>SUM(BG7:BG10)</f>
        <v>2.3942056368198159</v>
      </c>
      <c r="BH11" s="923"/>
      <c r="BI11" s="923"/>
      <c r="BJ11" s="923"/>
      <c r="BK11" s="923"/>
      <c r="BL11" s="922">
        <f>SUM(BL7:BL10)</f>
        <v>2.0326370356634955</v>
      </c>
      <c r="BM11" s="923"/>
      <c r="BN11" s="923"/>
      <c r="BO11" s="923"/>
      <c r="BP11" s="923"/>
      <c r="BQ11" s="922">
        <f>SUM(BQ7:BQ10)</f>
        <v>2.3572218514876147</v>
      </c>
      <c r="BR11" s="937"/>
      <c r="BS11" s="937"/>
      <c r="BU11" s="895" t="s">
        <v>478</v>
      </c>
      <c r="CB11" s="929">
        <v>-0.05</v>
      </c>
      <c r="CC11" s="929"/>
      <c r="CD11" s="929"/>
      <c r="CE11" s="929"/>
      <c r="CF11" s="929"/>
      <c r="CG11" s="929">
        <v>-0.05</v>
      </c>
      <c r="CH11" s="929"/>
      <c r="CI11" s="929"/>
      <c r="CJ11" s="929"/>
      <c r="CK11" s="929"/>
      <c r="CL11" s="929">
        <v>0</v>
      </c>
      <c r="CQ11" s="935"/>
      <c r="CV11" s="935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</row>
    <row r="12" spans="1:138">
      <c r="A12" s="937"/>
      <c r="B12" s="1619" t="s">
        <v>752</v>
      </c>
      <c r="C12" s="926" t="s">
        <v>477</v>
      </c>
      <c r="X12" s="1337" t="s">
        <v>417</v>
      </c>
      <c r="Y12" s="1129"/>
      <c r="Z12" s="1129"/>
      <c r="AA12" s="1129"/>
      <c r="AB12" s="1129"/>
      <c r="AC12" s="1566"/>
      <c r="AD12" s="1566"/>
      <c r="AE12" s="1566"/>
      <c r="AF12" s="1566"/>
      <c r="AG12" s="1566"/>
      <c r="AH12" s="1617"/>
      <c r="AI12" s="1618"/>
      <c r="AJ12" s="1618"/>
      <c r="AK12" s="1618"/>
      <c r="AL12" s="1618"/>
      <c r="AM12" s="1617"/>
      <c r="AN12" s="1618"/>
      <c r="AO12" s="1618"/>
      <c r="AP12" s="1618"/>
      <c r="AQ12" s="1618"/>
      <c r="AR12" s="1617" t="s">
        <v>1146</v>
      </c>
      <c r="AS12" s="1567"/>
      <c r="AT12" s="1567"/>
      <c r="AU12" s="1567"/>
      <c r="AV12" s="1567"/>
      <c r="AW12" s="1617" t="s">
        <v>1147</v>
      </c>
      <c r="AX12" s="1567"/>
      <c r="AY12" s="1567"/>
      <c r="AZ12" s="1567"/>
      <c r="BA12" s="1567"/>
      <c r="BB12" s="1617" t="s">
        <v>1148</v>
      </c>
      <c r="BC12" s="1567"/>
      <c r="BD12" s="1567"/>
      <c r="BE12" s="1567"/>
      <c r="BF12" s="1567"/>
      <c r="BG12" s="1617" t="s">
        <v>1149</v>
      </c>
      <c r="BH12" s="1567"/>
      <c r="BI12" s="1567"/>
      <c r="BJ12" s="1567"/>
      <c r="BK12" s="1567"/>
      <c r="BL12" s="1617">
        <v>2.335</v>
      </c>
      <c r="BM12" s="1567"/>
      <c r="BN12" s="1567"/>
      <c r="BO12" s="1567"/>
      <c r="BP12" s="1567"/>
      <c r="BQ12" s="1617">
        <v>2.57</v>
      </c>
      <c r="BR12" s="937"/>
      <c r="BS12" s="937"/>
      <c r="BT12" s="921"/>
      <c r="BU12" s="895" t="s">
        <v>479</v>
      </c>
      <c r="CB12" s="925">
        <f>+CB10*(1+CB11)</f>
        <v>16.529999999999998</v>
      </c>
      <c r="CC12" s="925"/>
      <c r="CD12" s="925"/>
      <c r="CE12" s="925"/>
      <c r="CF12" s="925"/>
      <c r="CG12" s="925">
        <f>+CG10*(1+CG11)</f>
        <v>16.529999999999998</v>
      </c>
      <c r="CH12" s="925"/>
      <c r="CI12" s="925"/>
      <c r="CJ12" s="925"/>
      <c r="CK12" s="925"/>
      <c r="CL12" s="925">
        <f>+CL10*(1+CL11)</f>
        <v>17.399999999999999</v>
      </c>
      <c r="DL12" s="2055" t="s">
        <v>840</v>
      </c>
      <c r="DM12"/>
      <c r="DN12"/>
      <c r="DO12" s="2067">
        <f>DO9*DO7</f>
        <v>75.400000000000006</v>
      </c>
      <c r="DP12" s="2067">
        <f t="shared" ref="DP12:EH12" si="21">DP9*DP7</f>
        <v>118.5</v>
      </c>
      <c r="DQ12" s="2067">
        <f t="shared" si="21"/>
        <v>165.70000000000002</v>
      </c>
      <c r="DR12" s="2067">
        <f t="shared" si="21"/>
        <v>0</v>
      </c>
      <c r="DS12" s="2067">
        <f t="shared" si="21"/>
        <v>0</v>
      </c>
      <c r="DT12" s="2067">
        <f t="shared" si="21"/>
        <v>0</v>
      </c>
      <c r="DU12" s="2067">
        <f t="shared" si="21"/>
        <v>0</v>
      </c>
      <c r="DV12" s="2067">
        <f t="shared" si="21"/>
        <v>0</v>
      </c>
      <c r="DW12" s="2067">
        <f t="shared" si="21"/>
        <v>0</v>
      </c>
      <c r="DX12" s="2067">
        <f t="shared" si="21"/>
        <v>0</v>
      </c>
      <c r="DY12" s="2067">
        <f t="shared" si="21"/>
        <v>0</v>
      </c>
      <c r="DZ12" s="2067">
        <f t="shared" si="21"/>
        <v>0</v>
      </c>
      <c r="EA12" s="2067">
        <f t="shared" si="21"/>
        <v>0</v>
      </c>
      <c r="EB12" s="2067">
        <f t="shared" si="21"/>
        <v>0</v>
      </c>
      <c r="EC12" s="2067">
        <f t="shared" si="21"/>
        <v>0</v>
      </c>
      <c r="ED12" s="2067">
        <f t="shared" si="21"/>
        <v>0</v>
      </c>
      <c r="EE12" s="2067">
        <f t="shared" si="21"/>
        <v>0</v>
      </c>
      <c r="EF12" s="2067">
        <f t="shared" si="21"/>
        <v>0</v>
      </c>
      <c r="EG12" s="2067">
        <f t="shared" si="21"/>
        <v>0</v>
      </c>
      <c r="EH12" s="2067">
        <f t="shared" si="21"/>
        <v>0</v>
      </c>
    </row>
    <row r="13" spans="1:138">
      <c r="A13" s="937"/>
      <c r="C13" s="926"/>
      <c r="X13" s="1337"/>
      <c r="Y13" s="1129"/>
      <c r="Z13" s="1129"/>
      <c r="AA13" s="1129"/>
      <c r="AB13" s="1129"/>
      <c r="AC13" s="1338"/>
      <c r="AD13" s="1338"/>
      <c r="AE13" s="1338"/>
      <c r="AF13" s="1338"/>
      <c r="AG13" s="1338"/>
      <c r="AH13" s="1338"/>
      <c r="AI13" s="1338"/>
      <c r="AJ13" s="1338"/>
      <c r="AK13" s="1338"/>
      <c r="AL13" s="1338"/>
      <c r="AM13" s="1338"/>
      <c r="AN13" s="928"/>
      <c r="AO13" s="928"/>
      <c r="AP13" s="928"/>
      <c r="AQ13" s="928"/>
      <c r="AR13" s="1338"/>
      <c r="AS13" s="928"/>
      <c r="AT13" s="928"/>
      <c r="AU13" s="928"/>
      <c r="AV13" s="928"/>
      <c r="AW13" s="1338"/>
      <c r="AX13" s="928"/>
      <c r="AY13" s="928"/>
      <c r="AZ13" s="928"/>
      <c r="BA13" s="928"/>
      <c r="BB13" s="1338"/>
      <c r="BC13" s="928"/>
      <c r="BD13" s="928"/>
      <c r="BE13" s="928"/>
      <c r="BF13" s="928"/>
      <c r="BG13" s="1338"/>
      <c r="BH13" s="928"/>
      <c r="BI13" s="928"/>
      <c r="BJ13" s="928"/>
      <c r="BK13" s="928"/>
      <c r="BL13" s="1338"/>
      <c r="BM13" s="928"/>
      <c r="BN13" s="928"/>
      <c r="BO13" s="928"/>
      <c r="BP13" s="928"/>
      <c r="BQ13" s="1338"/>
      <c r="BR13" s="937"/>
      <c r="BS13" s="937"/>
      <c r="BT13" s="921"/>
      <c r="BU13" s="921" t="s">
        <v>480</v>
      </c>
      <c r="BV13" s="921"/>
      <c r="CB13" s="934">
        <f>+CB12*CB8</f>
        <v>29.90951919163442</v>
      </c>
      <c r="CC13" s="934"/>
      <c r="CD13" s="934"/>
      <c r="CE13" s="934"/>
      <c r="CF13" s="934"/>
      <c r="CG13" s="934">
        <f>+CG12*CG8</f>
        <v>37.969864330927599</v>
      </c>
      <c r="CH13" s="934"/>
      <c r="CI13" s="934"/>
      <c r="CJ13" s="934"/>
      <c r="CK13" s="934"/>
      <c r="CL13" s="934">
        <f>+CL12*CL8</f>
        <v>41.274886842221179</v>
      </c>
      <c r="CQ13" s="935"/>
      <c r="CV13" s="935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</row>
    <row r="14" spans="1:138" collapsed="1">
      <c r="A14" s="937"/>
      <c r="C14" s="895" t="s">
        <v>10</v>
      </c>
      <c r="E14" s="930"/>
      <c r="F14" s="930"/>
      <c r="G14" s="930"/>
      <c r="H14" s="930"/>
      <c r="I14" s="930"/>
      <c r="J14" s="930"/>
      <c r="K14" s="930"/>
      <c r="L14" s="930"/>
      <c r="M14" s="930"/>
      <c r="N14" s="930"/>
      <c r="O14" s="930"/>
      <c r="P14" s="930"/>
      <c r="Q14" s="930"/>
      <c r="R14" s="930"/>
      <c r="S14" s="930"/>
      <c r="T14" s="930"/>
      <c r="U14" s="930"/>
      <c r="V14" s="930"/>
      <c r="W14" s="930"/>
      <c r="X14" s="931"/>
      <c r="Y14" s="930"/>
      <c r="Z14" s="930"/>
      <c r="AA14" s="930"/>
      <c r="AB14" s="930"/>
      <c r="AC14" s="931"/>
      <c r="AD14" s="930"/>
      <c r="AE14" s="930"/>
      <c r="AF14" s="930"/>
      <c r="AG14" s="930"/>
      <c r="AH14" s="931">
        <v>13.3</v>
      </c>
      <c r="AI14" s="931"/>
      <c r="AJ14" s="931"/>
      <c r="AK14" s="931"/>
      <c r="AL14" s="931"/>
      <c r="AM14" s="931">
        <v>13.3</v>
      </c>
      <c r="AN14" s="931"/>
      <c r="AO14" s="931"/>
      <c r="AP14" s="931"/>
      <c r="AQ14" s="931"/>
      <c r="AR14" s="931">
        <v>13.3</v>
      </c>
      <c r="AS14" s="931"/>
      <c r="AT14" s="931"/>
      <c r="AU14" s="931"/>
      <c r="AV14" s="931"/>
      <c r="AW14" s="931">
        <v>13.3</v>
      </c>
      <c r="AX14" s="931"/>
      <c r="AY14" s="931"/>
      <c r="AZ14" s="931"/>
      <c r="BA14" s="931"/>
      <c r="BB14" s="931">
        <v>13.3</v>
      </c>
      <c r="BC14" s="931"/>
      <c r="BD14" s="931"/>
      <c r="BE14" s="931"/>
      <c r="BF14" s="931"/>
      <c r="BG14" s="931">
        <v>13.3</v>
      </c>
      <c r="BH14" s="931"/>
      <c r="BI14" s="931"/>
      <c r="BJ14" s="931"/>
      <c r="BK14" s="931"/>
      <c r="BL14" s="931">
        <v>13.3</v>
      </c>
      <c r="BM14" s="931"/>
      <c r="BN14" s="931"/>
      <c r="BO14" s="931"/>
      <c r="BP14" s="931"/>
      <c r="BQ14" s="931">
        <v>13.3</v>
      </c>
      <c r="BR14" s="937"/>
      <c r="BS14" s="937"/>
      <c r="BT14" s="921"/>
      <c r="CG14" s="935"/>
      <c r="CM14" s="935"/>
      <c r="CN14" s="935"/>
      <c r="CO14" s="935"/>
      <c r="CP14" s="935"/>
      <c r="CR14" s="935"/>
      <c r="CS14" s="935"/>
      <c r="CT14" s="935"/>
      <c r="CU14" s="935"/>
      <c r="CW14" s="935"/>
      <c r="CX14" s="935"/>
      <c r="CY14" s="935"/>
      <c r="CZ14" s="935"/>
      <c r="DB14" s="935"/>
      <c r="DC14" s="935"/>
      <c r="DD14" s="935"/>
      <c r="DE14" s="935"/>
      <c r="DL14" s="2174" t="s">
        <v>1113</v>
      </c>
      <c r="DM14" s="2175"/>
      <c r="DN14" s="2103">
        <f>(4300)*0.21+712*0.21+4300*0.21</f>
        <v>1955.52</v>
      </c>
      <c r="DO14" s="1589">
        <v>0</v>
      </c>
      <c r="DP14" s="1589">
        <v>0</v>
      </c>
      <c r="DQ14" s="1589">
        <f>DN14</f>
        <v>1955.52</v>
      </c>
      <c r="DR14" s="1589">
        <f>MAX(0,DQ14-DR15)</f>
        <v>1593.7102634479629</v>
      </c>
      <c r="DS14" s="1589">
        <f>MAX(0,DR14-DS15)</f>
        <v>1202.372721331293</v>
      </c>
      <c r="DT14" s="1589">
        <f>MAX(0,DS14-DT15)</f>
        <v>826.26402470034941</v>
      </c>
      <c r="DU14" s="1589">
        <f t="shared" ref="DU14:EH14" si="22">MAX(0,DT14-DU15)</f>
        <v>426.45881516866763</v>
      </c>
      <c r="DV14" s="1589">
        <f t="shared" si="22"/>
        <v>26.653605636985844</v>
      </c>
      <c r="DW14" s="1589">
        <f t="shared" si="22"/>
        <v>0</v>
      </c>
      <c r="DX14" s="1589">
        <f t="shared" si="22"/>
        <v>0</v>
      </c>
      <c r="DY14" s="1589">
        <f t="shared" si="22"/>
        <v>0</v>
      </c>
      <c r="DZ14" s="1589">
        <f t="shared" si="22"/>
        <v>0</v>
      </c>
      <c r="EA14" s="1589">
        <f t="shared" si="22"/>
        <v>0</v>
      </c>
      <c r="EB14" s="1589">
        <f>MAX(0,EA14-EB15)</f>
        <v>0</v>
      </c>
      <c r="EC14" s="1589">
        <f t="shared" si="22"/>
        <v>0</v>
      </c>
      <c r="ED14" s="1589">
        <f t="shared" si="22"/>
        <v>0</v>
      </c>
      <c r="EE14" s="1589">
        <f t="shared" si="22"/>
        <v>0</v>
      </c>
      <c r="EF14" s="1589">
        <f t="shared" si="22"/>
        <v>0</v>
      </c>
      <c r="EG14" s="1589">
        <f t="shared" si="22"/>
        <v>0</v>
      </c>
      <c r="EH14" s="1589">
        <f t="shared" si="22"/>
        <v>0</v>
      </c>
    </row>
    <row r="15" spans="1:138">
      <c r="A15" s="937"/>
      <c r="C15" s="895" t="s">
        <v>478</v>
      </c>
      <c r="E15" s="933"/>
      <c r="F15" s="933"/>
      <c r="G15" s="933"/>
      <c r="H15" s="933"/>
      <c r="I15" s="933"/>
      <c r="J15" s="933"/>
      <c r="K15" s="933"/>
      <c r="L15" s="933"/>
      <c r="M15" s="933"/>
      <c r="N15" s="933"/>
      <c r="O15" s="933"/>
      <c r="P15" s="933"/>
      <c r="Q15" s="933"/>
      <c r="R15" s="933"/>
      <c r="S15" s="933"/>
      <c r="T15" s="933"/>
      <c r="U15" s="933"/>
      <c r="V15" s="933"/>
      <c r="W15" s="933"/>
      <c r="X15" s="929"/>
      <c r="Y15" s="933"/>
      <c r="Z15" s="933"/>
      <c r="AA15" s="933"/>
      <c r="AB15" s="933"/>
      <c r="AC15" s="929"/>
      <c r="AD15" s="933"/>
      <c r="AE15" s="933"/>
      <c r="AF15" s="933"/>
      <c r="AG15" s="933"/>
      <c r="AH15" s="929">
        <v>0</v>
      </c>
      <c r="AI15" s="925"/>
      <c r="AJ15" s="925"/>
      <c r="AK15" s="925"/>
      <c r="AL15" s="925"/>
      <c r="AM15" s="929">
        <v>0</v>
      </c>
      <c r="AN15" s="936"/>
      <c r="AO15" s="936"/>
      <c r="AP15" s="936"/>
      <c r="AQ15" s="936"/>
      <c r="AR15" s="929">
        <v>0</v>
      </c>
      <c r="AS15" s="936"/>
      <c r="AT15" s="936"/>
      <c r="AU15" s="936"/>
      <c r="AV15" s="936"/>
      <c r="AW15" s="929">
        <v>0</v>
      </c>
      <c r="AX15" s="936"/>
      <c r="AY15" s="936"/>
      <c r="AZ15" s="936"/>
      <c r="BA15" s="936"/>
      <c r="BB15" s="929">
        <v>0</v>
      </c>
      <c r="BC15" s="936"/>
      <c r="BD15" s="936"/>
      <c r="BE15" s="936"/>
      <c r="BF15" s="936"/>
      <c r="BG15" s="929">
        <v>0</v>
      </c>
      <c r="BH15" s="936"/>
      <c r="BI15" s="936"/>
      <c r="BJ15" s="936"/>
      <c r="BK15" s="936"/>
      <c r="BL15" s="929">
        <v>0</v>
      </c>
      <c r="BM15" s="936"/>
      <c r="BN15" s="936"/>
      <c r="BO15" s="936"/>
      <c r="BP15" s="936"/>
      <c r="BQ15" s="929">
        <v>0</v>
      </c>
      <c r="BR15" s="937"/>
      <c r="BS15" s="937"/>
      <c r="BT15" s="920"/>
      <c r="BU15" s="921" t="s">
        <v>1197</v>
      </c>
      <c r="BV15" s="921"/>
      <c r="BW15" s="921"/>
      <c r="CB15" s="939">
        <v>-3.35</v>
      </c>
      <c r="CC15" s="939"/>
      <c r="CD15" s="939"/>
      <c r="CE15" s="939"/>
      <c r="CF15" s="939"/>
      <c r="CG15" s="2265">
        <v>0</v>
      </c>
      <c r="CH15" s="939"/>
      <c r="CI15" s="939"/>
      <c r="CJ15" s="939"/>
      <c r="CK15" s="939"/>
      <c r="CL15" s="939">
        <v>1.2</v>
      </c>
      <c r="DA15" s="2267"/>
      <c r="DL15" s="2176" t="s">
        <v>1114</v>
      </c>
      <c r="DM15" s="2175"/>
      <c r="DN15"/>
      <c r="DO15" s="2067">
        <v>0</v>
      </c>
      <c r="DP15" s="2067">
        <f>IF(DO14=0,0,MIN(DP10*DP7,DO14))</f>
        <v>0</v>
      </c>
      <c r="DQ15" s="2067">
        <f>IF(DP14=0,0,MIN(DQ10*DQ7,DP14))</f>
        <v>0</v>
      </c>
      <c r="DR15" s="2067">
        <f>IF(DQ14=0,0,MIN(DR10*DR7,DQ14))</f>
        <v>361.80973655203718</v>
      </c>
      <c r="DS15" s="2067">
        <f>IF(DR14=0,0,MIN(DS10*DS7,DR14))</f>
        <v>391.33754211666997</v>
      </c>
      <c r="DT15" s="2067">
        <f t="shared" ref="DT15:EH15" si="23">IF(DS14=0,0,MIN(DT10*DT7,DS14))</f>
        <v>376.1086966309436</v>
      </c>
      <c r="DU15" s="2067">
        <f t="shared" si="23"/>
        <v>399.80520953168178</v>
      </c>
      <c r="DV15" s="2067">
        <f t="shared" si="23"/>
        <v>399.80520953168178</v>
      </c>
      <c r="DW15" s="2067">
        <f t="shared" si="23"/>
        <v>26.653605636985844</v>
      </c>
      <c r="DX15" s="2067">
        <f t="shared" si="23"/>
        <v>0</v>
      </c>
      <c r="DY15" s="2067">
        <f t="shared" si="23"/>
        <v>0</v>
      </c>
      <c r="DZ15" s="2067">
        <f t="shared" si="23"/>
        <v>0</v>
      </c>
      <c r="EA15" s="2067">
        <f t="shared" si="23"/>
        <v>0</v>
      </c>
      <c r="EB15" s="2067">
        <f t="shared" si="23"/>
        <v>0</v>
      </c>
      <c r="EC15" s="2067">
        <f t="shared" si="23"/>
        <v>0</v>
      </c>
      <c r="ED15" s="2067">
        <f t="shared" si="23"/>
        <v>0</v>
      </c>
      <c r="EE15" s="2067">
        <f t="shared" si="23"/>
        <v>0</v>
      </c>
      <c r="EF15" s="2067">
        <f t="shared" si="23"/>
        <v>0</v>
      </c>
      <c r="EG15" s="2067">
        <f t="shared" si="23"/>
        <v>0</v>
      </c>
      <c r="EH15" s="2067">
        <f t="shared" si="23"/>
        <v>0</v>
      </c>
    </row>
    <row r="16" spans="1:138" collapsed="1">
      <c r="A16" s="937"/>
      <c r="B16" s="937"/>
      <c r="C16" s="921" t="s">
        <v>479</v>
      </c>
      <c r="D16" s="921"/>
      <c r="E16" s="938"/>
      <c r="F16" s="938"/>
      <c r="G16" s="938"/>
      <c r="H16" s="938"/>
      <c r="I16" s="938"/>
      <c r="J16" s="938"/>
      <c r="K16" s="938"/>
      <c r="L16" s="938"/>
      <c r="M16" s="938"/>
      <c r="N16" s="938"/>
      <c r="O16" s="938"/>
      <c r="P16" s="938"/>
      <c r="Q16" s="938"/>
      <c r="R16" s="938"/>
      <c r="S16" s="938"/>
      <c r="T16" s="938"/>
      <c r="U16" s="938"/>
      <c r="V16" s="938"/>
      <c r="W16" s="938"/>
      <c r="X16" s="938"/>
      <c r="Y16" s="938"/>
      <c r="Z16" s="938"/>
      <c r="AA16" s="938"/>
      <c r="AB16" s="938"/>
      <c r="AC16" s="938"/>
      <c r="AD16" s="938"/>
      <c r="AE16" s="938"/>
      <c r="AF16" s="938"/>
      <c r="AG16" s="938"/>
      <c r="AH16" s="938">
        <f>+AH14*(1+AH15)</f>
        <v>13.3</v>
      </c>
      <c r="AM16" s="938">
        <f>+AM14*(1+AM15)</f>
        <v>13.3</v>
      </c>
      <c r="AN16" s="936"/>
      <c r="AO16" s="936"/>
      <c r="AP16" s="936"/>
      <c r="AQ16" s="936"/>
      <c r="AR16" s="938">
        <f>+AR14*(1+AR15)</f>
        <v>13.3</v>
      </c>
      <c r="AS16" s="936"/>
      <c r="AT16" s="936"/>
      <c r="AU16" s="936"/>
      <c r="AV16" s="936"/>
      <c r="AW16" s="938">
        <f>+AW14*(1+AW15)</f>
        <v>13.3</v>
      </c>
      <c r="AX16" s="936"/>
      <c r="AY16" s="936"/>
      <c r="AZ16" s="936"/>
      <c r="BA16" s="936"/>
      <c r="BB16" s="938">
        <f>+BB14*(1+BB15)</f>
        <v>13.3</v>
      </c>
      <c r="BC16" s="936"/>
      <c r="BD16" s="936"/>
      <c r="BE16" s="936"/>
      <c r="BF16" s="936"/>
      <c r="BG16" s="938">
        <f>+BG14*(1+BG15)</f>
        <v>13.3</v>
      </c>
      <c r="BH16" s="936"/>
      <c r="BI16" s="936"/>
      <c r="BJ16" s="936"/>
      <c r="BK16" s="936"/>
      <c r="BL16" s="938">
        <f>+BL14*(1+BL15)</f>
        <v>13.3</v>
      </c>
      <c r="BM16" s="936"/>
      <c r="BN16" s="936"/>
      <c r="BO16" s="936"/>
      <c r="BP16" s="936"/>
      <c r="BQ16" s="938">
        <f>+BQ14*(1+BQ15)</f>
        <v>13.3</v>
      </c>
      <c r="BR16" s="937"/>
      <c r="BS16" s="937"/>
      <c r="CC16" s="939"/>
      <c r="CD16" s="939"/>
      <c r="CE16" s="939"/>
      <c r="CF16" s="939"/>
      <c r="CH16" s="939"/>
      <c r="CI16" s="939"/>
      <c r="CJ16" s="939"/>
      <c r="CK16" s="939"/>
      <c r="CM16" s="935"/>
      <c r="CN16" s="935"/>
      <c r="CO16" s="935"/>
      <c r="CP16" s="935"/>
      <c r="CQ16" s="935"/>
      <c r="CR16" s="935"/>
      <c r="CS16" s="935"/>
      <c r="CT16" s="935"/>
      <c r="CU16" s="935"/>
      <c r="CV16" s="935"/>
      <c r="CW16" s="935"/>
      <c r="CX16" s="935"/>
      <c r="CY16" s="935"/>
      <c r="CZ16" s="935"/>
      <c r="DA16" s="912"/>
      <c r="DB16" s="935"/>
      <c r="DC16" s="935"/>
      <c r="DD16" s="935"/>
      <c r="DE16" s="935"/>
      <c r="DL16" s="2175"/>
      <c r="DM16" s="2175"/>
      <c r="DN16" s="2175"/>
      <c r="DO16"/>
      <c r="DP16"/>
      <c r="DQ16"/>
      <c r="DR16" s="2105"/>
      <c r="DS16"/>
      <c r="DT16"/>
      <c r="DU16"/>
      <c r="DV16"/>
      <c r="DW16"/>
      <c r="DX16"/>
      <c r="DY16"/>
      <c r="DZ16"/>
      <c r="EA16"/>
      <c r="EB16"/>
      <c r="EC16" s="2175"/>
      <c r="ED16"/>
      <c r="EE16"/>
      <c r="EF16"/>
      <c r="EG16" s="2175"/>
      <c r="EH16" s="2175"/>
    </row>
    <row r="17" spans="1:147">
      <c r="A17" s="937"/>
      <c r="BR17" s="937"/>
      <c r="BS17" s="937"/>
      <c r="BU17" s="940" t="s">
        <v>481</v>
      </c>
      <c r="BV17" s="941"/>
      <c r="BW17" s="941"/>
      <c r="CB17" s="942">
        <f>+CB13+CB15</f>
        <v>26.559519191634418</v>
      </c>
      <c r="CC17" s="939"/>
      <c r="CD17" s="939"/>
      <c r="CE17" s="939"/>
      <c r="CF17" s="939"/>
      <c r="CG17" s="942">
        <f>+CG13+CG15</f>
        <v>37.969864330927599</v>
      </c>
      <c r="CH17" s="939"/>
      <c r="CI17" s="939"/>
      <c r="CJ17" s="939"/>
      <c r="CK17" s="939"/>
      <c r="CL17" s="944">
        <f>+CL13+CL15</f>
        <v>42.474886842221181</v>
      </c>
      <c r="CQ17" s="935"/>
      <c r="CV17" s="980"/>
      <c r="DL17" s="2177" t="s">
        <v>1115</v>
      </c>
      <c r="DM17" s="2175"/>
      <c r="DN17" s="2175"/>
      <c r="DO17" s="2067">
        <f>NPV($DO$42,DO15:$EC$15)</f>
        <v>1236.8934604361805</v>
      </c>
      <c r="DP17" s="2067">
        <f>NPV($DO$42,DP15:$EC$15)</f>
        <v>1334.9349370823254</v>
      </c>
      <c r="DQ17" s="2067">
        <f>NPV($DO$42,DQ15:$EC$15)</f>
        <v>1440.747601345201</v>
      </c>
      <c r="DR17" s="2067">
        <f>NPV($DO$42,DR15:$EC$15)</f>
        <v>1554.9474308603992</v>
      </c>
      <c r="DS17" s="2067">
        <f>NPV($DO$42,DS15:$EC$15)</f>
        <v>1316.3894917387752</v>
      </c>
      <c r="DT17" s="2067">
        <f>NPV($DO$42,DT15:$EC$15)</f>
        <v>1029.3946224065708</v>
      </c>
      <c r="DU17" s="2067">
        <f>NPV($DO$42,DU15:$EC$15)</f>
        <v>734.88015523881097</v>
      </c>
      <c r="DV17" s="2067">
        <f>NPV($DO$42,DV15:$EC$15)</f>
        <v>393.32469629773698</v>
      </c>
      <c r="DW17"/>
      <c r="DX17"/>
      <c r="DY17"/>
      <c r="DZ17"/>
      <c r="EA17"/>
      <c r="EB17"/>
      <c r="EC17" s="2175"/>
      <c r="ED17"/>
      <c r="EE17"/>
      <c r="EF17"/>
      <c r="EG17" s="2175"/>
      <c r="EH17" s="2175"/>
    </row>
    <row r="18" spans="1:147" collapsed="1">
      <c r="A18" s="937"/>
      <c r="C18" s="940" t="s">
        <v>318</v>
      </c>
      <c r="D18" s="941"/>
      <c r="E18" s="942"/>
      <c r="F18" s="942"/>
      <c r="G18" s="942"/>
      <c r="H18" s="942"/>
      <c r="I18" s="942"/>
      <c r="J18" s="942"/>
      <c r="K18" s="942"/>
      <c r="L18" s="942"/>
      <c r="M18" s="942"/>
      <c r="N18" s="942"/>
      <c r="O18" s="942"/>
      <c r="P18" s="942"/>
      <c r="Q18" s="942"/>
      <c r="R18" s="942"/>
      <c r="S18" s="942"/>
      <c r="T18" s="942"/>
      <c r="U18" s="942"/>
      <c r="V18" s="942"/>
      <c r="W18" s="942"/>
      <c r="X18" s="942"/>
      <c r="Y18" s="942"/>
      <c r="Z18" s="942"/>
      <c r="AA18" s="942"/>
      <c r="AB18" s="942"/>
      <c r="AC18" s="942"/>
      <c r="AD18" s="942"/>
      <c r="AE18" s="942"/>
      <c r="AF18" s="942"/>
      <c r="AG18" s="942"/>
      <c r="AH18" s="942">
        <f>AH16*AH11</f>
        <v>33.960807600950126</v>
      </c>
      <c r="AI18" s="943"/>
      <c r="AJ18" s="943"/>
      <c r="AK18" s="943"/>
      <c r="AL18" s="943"/>
      <c r="AM18" s="942">
        <f>AM16*AM11</f>
        <v>35.884905660377363</v>
      </c>
      <c r="AN18" s="942"/>
      <c r="AO18" s="942"/>
      <c r="AP18" s="942"/>
      <c r="AQ18" s="942"/>
      <c r="AR18" s="942">
        <f>AR16*AR11</f>
        <v>34.967136150234751</v>
      </c>
      <c r="AS18" s="942"/>
      <c r="AT18" s="942"/>
      <c r="AU18" s="942"/>
      <c r="AV18" s="942"/>
      <c r="AW18" s="942">
        <f>AW16*AW11</f>
        <v>40.918468468468468</v>
      </c>
      <c r="AX18" s="942"/>
      <c r="AY18" s="942"/>
      <c r="AZ18" s="942"/>
      <c r="BA18" s="942"/>
      <c r="BB18" s="942">
        <f>BB16*BB11</f>
        <v>34.392644181299751</v>
      </c>
      <c r="BC18" s="942"/>
      <c r="BD18" s="942"/>
      <c r="BE18" s="942"/>
      <c r="BF18" s="942"/>
      <c r="BG18" s="942">
        <f>BG16*BG11</f>
        <v>31.842934969703553</v>
      </c>
      <c r="BH18" s="1343"/>
      <c r="BI18" s="1343"/>
      <c r="BJ18" s="1343"/>
      <c r="BK18" s="1343"/>
      <c r="BL18" s="942">
        <f>BL16*BL11</f>
        <v>27.03407257432449</v>
      </c>
      <c r="BM18" s="1343"/>
      <c r="BN18" s="1343"/>
      <c r="BO18" s="1343"/>
      <c r="BP18" s="1343"/>
      <c r="BQ18" s="944">
        <f>BQ16*BQ11</f>
        <v>31.351050624785277</v>
      </c>
      <c r="BR18" s="937"/>
      <c r="BS18" s="937"/>
      <c r="BU18" s="949" t="s">
        <v>295</v>
      </c>
      <c r="BV18" s="937"/>
      <c r="BW18" s="937"/>
      <c r="CB18" s="950">
        <v>27</v>
      </c>
      <c r="CC18" s="939"/>
      <c r="CD18" s="939"/>
      <c r="CE18" s="939"/>
      <c r="CF18" s="939"/>
      <c r="CG18" s="950">
        <v>38</v>
      </c>
      <c r="CH18" s="939"/>
      <c r="CI18" s="939"/>
      <c r="CJ18" s="939"/>
      <c r="CK18" s="939"/>
      <c r="CL18" s="950">
        <v>42</v>
      </c>
      <c r="CQ18" s="945"/>
      <c r="CV18" s="945"/>
      <c r="DO18" s="946"/>
      <c r="DR18" s="990">
        <v>2144</v>
      </c>
      <c r="DS18" s="990">
        <f>DR18-DR17</f>
        <v>589.05256913960079</v>
      </c>
      <c r="DT18" s="951"/>
    </row>
    <row r="19" spans="1:147" collapsed="1">
      <c r="A19" s="937"/>
      <c r="C19" s="895" t="s">
        <v>11</v>
      </c>
      <c r="E19" s="947"/>
      <c r="F19" s="947"/>
      <c r="G19" s="947"/>
      <c r="H19" s="947"/>
      <c r="I19" s="947"/>
      <c r="J19" s="947"/>
      <c r="K19" s="947"/>
      <c r="L19" s="947"/>
      <c r="M19" s="947"/>
      <c r="N19" s="947"/>
      <c r="O19" s="947"/>
      <c r="P19" s="947"/>
      <c r="Q19" s="947"/>
      <c r="R19" s="947"/>
      <c r="S19" s="947"/>
      <c r="T19" s="947"/>
      <c r="U19" s="947"/>
      <c r="V19" s="947"/>
      <c r="W19" s="947"/>
      <c r="Y19" s="935"/>
      <c r="Z19" s="935"/>
      <c r="AA19" s="935"/>
      <c r="AB19" s="935"/>
      <c r="AC19" s="935"/>
      <c r="AD19" s="935"/>
      <c r="AE19" s="935"/>
      <c r="AF19" s="935"/>
      <c r="AG19" s="935"/>
      <c r="AH19" s="2023">
        <f>+AM19</f>
        <v>34.5</v>
      </c>
      <c r="AI19" s="2024"/>
      <c r="AJ19" s="2024"/>
      <c r="AK19" s="2024"/>
      <c r="AL19" s="2024"/>
      <c r="AM19" s="2023">
        <f>+AR19</f>
        <v>34.5</v>
      </c>
      <c r="AN19" s="1016"/>
      <c r="AO19" s="1016"/>
      <c r="AP19" s="1016"/>
      <c r="AQ19" s="1016"/>
      <c r="AR19" s="2023">
        <f>+AW19</f>
        <v>34.5</v>
      </c>
      <c r="AS19" s="1016"/>
      <c r="AT19" s="1016"/>
      <c r="AU19" s="1016"/>
      <c r="AV19" s="1016"/>
      <c r="AW19" s="2023">
        <f>+BB19</f>
        <v>34.5</v>
      </c>
      <c r="AX19" s="1016"/>
      <c r="AY19" s="1016"/>
      <c r="AZ19" s="1016"/>
      <c r="BA19" s="1016"/>
      <c r="BB19" s="2023">
        <f>+BG19</f>
        <v>34.5</v>
      </c>
      <c r="BC19" s="1016"/>
      <c r="BD19" s="1016"/>
      <c r="BE19" s="1016"/>
      <c r="BF19" s="1016"/>
      <c r="BG19" s="2023">
        <f>+BL19</f>
        <v>34.5</v>
      </c>
      <c r="BH19" s="1016"/>
      <c r="BI19" s="1016"/>
      <c r="BJ19" s="1016"/>
      <c r="BK19" s="1016"/>
      <c r="BL19" s="2023">
        <f>+BQ19</f>
        <v>34.5</v>
      </c>
      <c r="BM19" s="1016"/>
      <c r="BN19" s="1016"/>
      <c r="BO19" s="1016"/>
      <c r="BP19" s="1016"/>
      <c r="BQ19" s="1958">
        <v>34.5</v>
      </c>
      <c r="BR19" s="937"/>
      <c r="BS19" s="918"/>
      <c r="CC19" s="939"/>
      <c r="CD19" s="939"/>
      <c r="CE19" s="939"/>
      <c r="CF19" s="939"/>
      <c r="CH19" s="939"/>
      <c r="CI19" s="939"/>
      <c r="CJ19" s="939"/>
      <c r="CK19" s="939"/>
      <c r="CQ19" s="945"/>
      <c r="CV19" s="945"/>
      <c r="DL19" s="1698" t="s">
        <v>1116</v>
      </c>
      <c r="DO19" s="990"/>
      <c r="DP19" s="990">
        <v>0</v>
      </c>
      <c r="DQ19" s="990">
        <v>0</v>
      </c>
      <c r="DR19" s="1589">
        <v>531.18975960424518</v>
      </c>
      <c r="DS19" s="1589">
        <v>556.12805751849976</v>
      </c>
      <c r="DT19" s="1589">
        <v>514.56271051857038</v>
      </c>
      <c r="DU19" s="1589">
        <v>532.21943639961046</v>
      </c>
      <c r="DV19" s="1589">
        <v>386.34003595907416</v>
      </c>
      <c r="DW19" s="1589">
        <v>0</v>
      </c>
      <c r="DX19" s="1589">
        <v>0</v>
      </c>
      <c r="DY19" s="1589">
        <v>0</v>
      </c>
      <c r="DZ19" s="1589">
        <v>0</v>
      </c>
      <c r="EA19" s="1589">
        <v>0</v>
      </c>
      <c r="EB19" s="1589">
        <v>0</v>
      </c>
      <c r="EC19" s="1589">
        <v>0</v>
      </c>
      <c r="ED19" s="1589">
        <v>0</v>
      </c>
      <c r="EE19" s="1589">
        <v>0</v>
      </c>
      <c r="EF19" s="1589">
        <v>0</v>
      </c>
      <c r="EG19" s="1589">
        <v>0</v>
      </c>
      <c r="EH19" s="1589">
        <v>0</v>
      </c>
    </row>
    <row r="20" spans="1:147">
      <c r="A20" s="937"/>
      <c r="C20" s="895" t="s">
        <v>12</v>
      </c>
      <c r="X20" s="952"/>
      <c r="AC20" s="952"/>
      <c r="AH20" s="952">
        <f>+AH18/AH19-1</f>
        <v>-1.5628765189851457E-2</v>
      </c>
      <c r="AI20" s="953"/>
      <c r="AJ20" s="953"/>
      <c r="AK20" s="953"/>
      <c r="AL20" s="953"/>
      <c r="AM20" s="952">
        <f>+AM18/AM19-1</f>
        <v>4.0142193054416353E-2</v>
      </c>
      <c r="AN20" s="918"/>
      <c r="AO20" s="918"/>
      <c r="AP20" s="918"/>
      <c r="AQ20" s="918"/>
      <c r="AR20" s="952">
        <f>+AR18/AR19-1</f>
        <v>1.3540178267673841E-2</v>
      </c>
      <c r="AS20" s="918"/>
      <c r="AT20" s="918"/>
      <c r="AU20" s="918"/>
      <c r="AV20" s="918"/>
      <c r="AW20" s="952">
        <f>+AW18/AW19-1</f>
        <v>0.1860425643034338</v>
      </c>
      <c r="AX20" s="918"/>
      <c r="AY20" s="918"/>
      <c r="AZ20" s="918"/>
      <c r="BA20" s="918"/>
      <c r="BB20" s="952">
        <f>+BB18/BB19-1</f>
        <v>-3.1117628608767767E-3</v>
      </c>
      <c r="BC20" s="918"/>
      <c r="BD20" s="918"/>
      <c r="BE20" s="918"/>
      <c r="BF20" s="918"/>
      <c r="BG20" s="952">
        <f>+BG18/BG19-1</f>
        <v>-7.7016377689752114E-2</v>
      </c>
      <c r="BH20" s="918"/>
      <c r="BI20" s="918"/>
      <c r="BJ20" s="918"/>
      <c r="BK20" s="918"/>
      <c r="BL20" s="952">
        <f>+BL18/BL19-1</f>
        <v>-0.21640369349784083</v>
      </c>
      <c r="BM20" s="918"/>
      <c r="BN20" s="918"/>
      <c r="BO20" s="918"/>
      <c r="BP20" s="918"/>
      <c r="BQ20" s="952">
        <f>+BQ18/BQ19-1</f>
        <v>-9.1273894933760147E-2</v>
      </c>
      <c r="BR20" s="937"/>
      <c r="BS20" s="937"/>
      <c r="BU20" s="895" t="s">
        <v>11</v>
      </c>
      <c r="BV20" s="921"/>
      <c r="BW20" s="921"/>
      <c r="CB20" s="935">
        <f>CG20</f>
        <v>34.5</v>
      </c>
      <c r="CC20" s="939"/>
      <c r="CD20" s="939"/>
      <c r="CE20" s="939"/>
      <c r="CF20" s="939"/>
      <c r="CG20" s="935">
        <f>BL19</f>
        <v>34.5</v>
      </c>
      <c r="CH20" s="939"/>
      <c r="CI20" s="939"/>
      <c r="CJ20" s="939"/>
      <c r="CK20" s="939"/>
      <c r="CL20" s="935">
        <f>CG20</f>
        <v>34.5</v>
      </c>
    </row>
    <row r="21" spans="1:147" collapsed="1">
      <c r="A21" s="937"/>
      <c r="C21" s="895" t="s">
        <v>13</v>
      </c>
      <c r="S21" s="937"/>
      <c r="T21" s="937"/>
      <c r="U21" s="937"/>
      <c r="V21" s="937"/>
      <c r="W21" s="937"/>
      <c r="X21" s="953"/>
      <c r="Y21" s="953"/>
      <c r="Z21" s="953"/>
      <c r="AA21" s="953"/>
      <c r="AB21" s="953"/>
      <c r="AC21" s="953"/>
      <c r="AD21" s="953"/>
      <c r="AE21" s="953"/>
      <c r="AF21" s="953"/>
      <c r="AG21" s="953"/>
      <c r="AH21" s="953">
        <f>Financial!AH38</f>
        <v>4.1739130434782605E-2</v>
      </c>
      <c r="AI21" s="918"/>
      <c r="AJ21" s="918"/>
      <c r="AK21" s="918"/>
      <c r="AL21" s="918"/>
      <c r="AM21" s="953">
        <f>Financial!AM38</f>
        <v>4.1739130434782605E-2</v>
      </c>
      <c r="AN21" s="918"/>
      <c r="AO21" s="918"/>
      <c r="AP21" s="918"/>
      <c r="AQ21" s="918"/>
      <c r="AR21" s="953">
        <f>Financial!AR38</f>
        <v>4.1739130434782605E-2</v>
      </c>
      <c r="AS21" s="918"/>
      <c r="AT21" s="918"/>
      <c r="AU21" s="918"/>
      <c r="AV21" s="918"/>
      <c r="AW21" s="953">
        <f>Financial!AW38</f>
        <v>4.1739130434782605E-2</v>
      </c>
      <c r="AX21" s="918"/>
      <c r="AY21" s="918"/>
      <c r="AZ21" s="918"/>
      <c r="BA21" s="918"/>
      <c r="BB21" s="953">
        <f>Financial!BB38</f>
        <v>4.1739130434782605E-2</v>
      </c>
      <c r="BC21" s="918"/>
      <c r="BD21" s="918"/>
      <c r="BE21" s="918"/>
      <c r="BF21" s="918"/>
      <c r="BG21" s="953">
        <f>Financial!BG38</f>
        <v>4.1739130434782605E-2</v>
      </c>
      <c r="BH21" s="918"/>
      <c r="BI21" s="918"/>
      <c r="BJ21" s="918"/>
      <c r="BK21" s="918"/>
      <c r="BL21" s="953">
        <f>Financial!BL38</f>
        <v>4.1739130434782605E-2</v>
      </c>
      <c r="BM21" s="918"/>
      <c r="BN21" s="918"/>
      <c r="BO21" s="918"/>
      <c r="BP21" s="918"/>
      <c r="BQ21" s="953">
        <f>Financial!BQ38</f>
        <v>4.1739130434782605E-2</v>
      </c>
      <c r="BR21" s="937"/>
      <c r="BS21" s="937"/>
      <c r="BU21" s="895" t="s">
        <v>12</v>
      </c>
      <c r="BV21" s="921"/>
      <c r="BW21" s="921"/>
      <c r="CB21" s="952">
        <f>+CB17/CB20-1</f>
        <v>-0.2301588640105966</v>
      </c>
      <c r="CC21" s="939"/>
      <c r="CD21" s="939"/>
      <c r="CE21" s="939"/>
      <c r="CF21" s="939"/>
      <c r="CG21" s="952">
        <f>+CG18/CG20-1</f>
        <v>0.10144927536231885</v>
      </c>
      <c r="CH21" s="939"/>
      <c r="CI21" s="939"/>
      <c r="CJ21" s="939"/>
      <c r="CK21" s="939"/>
      <c r="CL21" s="952">
        <f>+CL17/CL20-1</f>
        <v>0.23115614035423704</v>
      </c>
      <c r="DL21" s="1698" t="s">
        <v>1118</v>
      </c>
      <c r="DO21" s="2163">
        <v>0</v>
      </c>
      <c r="DP21" s="2163">
        <v>-70</v>
      </c>
      <c r="DQ21" s="2163">
        <v>-70</v>
      </c>
      <c r="DR21" s="2163">
        <v>-70</v>
      </c>
      <c r="DS21" s="2163">
        <v>-70</v>
      </c>
      <c r="DT21" s="2163">
        <v>-70</v>
      </c>
      <c r="DU21" s="2163">
        <v>-70</v>
      </c>
      <c r="DV21" s="2163">
        <v>-70</v>
      </c>
      <c r="DW21" s="2163">
        <v>-70</v>
      </c>
      <c r="DX21" s="2163">
        <v>-70</v>
      </c>
      <c r="DY21" s="2163">
        <v>-70</v>
      </c>
      <c r="DZ21" s="2163">
        <v>0</v>
      </c>
      <c r="EA21" s="2163">
        <v>0</v>
      </c>
      <c r="EB21" s="2163">
        <v>0</v>
      </c>
      <c r="EC21" s="2163">
        <v>0</v>
      </c>
      <c r="ED21" s="2163">
        <v>0</v>
      </c>
      <c r="EE21" s="2163">
        <v>0</v>
      </c>
      <c r="EF21" s="2163">
        <v>0</v>
      </c>
      <c r="EG21" s="2163">
        <v>0</v>
      </c>
      <c r="EH21" s="2163">
        <v>0</v>
      </c>
    </row>
    <row r="22" spans="1:147">
      <c r="A22" s="937"/>
      <c r="C22" s="940" t="s">
        <v>14</v>
      </c>
      <c r="D22" s="954"/>
      <c r="E22" s="954"/>
      <c r="F22" s="954"/>
      <c r="G22" s="954"/>
      <c r="H22" s="954"/>
      <c r="I22" s="954"/>
      <c r="J22" s="954"/>
      <c r="K22" s="954"/>
      <c r="L22" s="954"/>
      <c r="M22" s="954"/>
      <c r="N22" s="954"/>
      <c r="O22" s="954"/>
      <c r="P22" s="954"/>
      <c r="Q22" s="954"/>
      <c r="R22" s="954"/>
      <c r="S22" s="954"/>
      <c r="T22" s="954"/>
      <c r="U22" s="954"/>
      <c r="V22" s="954"/>
      <c r="W22" s="954"/>
      <c r="X22" s="955"/>
      <c r="Y22" s="954"/>
      <c r="Z22" s="954"/>
      <c r="AA22" s="954"/>
      <c r="AB22" s="954"/>
      <c r="AC22" s="955"/>
      <c r="AD22" s="954"/>
      <c r="AE22" s="954"/>
      <c r="AF22" s="954"/>
      <c r="AG22" s="954"/>
      <c r="AH22" s="955">
        <f>+AH21+AH20</f>
        <v>2.6110365244931148E-2</v>
      </c>
      <c r="AI22" s="956"/>
      <c r="AJ22" s="956"/>
      <c r="AK22" s="956"/>
      <c r="AL22" s="956"/>
      <c r="AM22" s="955">
        <f>+AM21+AM20</f>
        <v>8.1881323489198965E-2</v>
      </c>
      <c r="AN22" s="955"/>
      <c r="AO22" s="955"/>
      <c r="AP22" s="955"/>
      <c r="AQ22" s="955"/>
      <c r="AR22" s="955">
        <f>+AR21+AR20</f>
        <v>5.5279308702456446E-2</v>
      </c>
      <c r="AS22" s="955"/>
      <c r="AT22" s="955"/>
      <c r="AU22" s="955"/>
      <c r="AV22" s="955"/>
      <c r="AW22" s="955">
        <f>+AW21+AW20</f>
        <v>0.22778169473821641</v>
      </c>
      <c r="AX22" s="955"/>
      <c r="AY22" s="955"/>
      <c r="AZ22" s="955"/>
      <c r="BA22" s="955"/>
      <c r="BB22" s="955">
        <f>+BB21+BB20</f>
        <v>3.8627367573905828E-2</v>
      </c>
      <c r="BC22" s="955"/>
      <c r="BD22" s="955"/>
      <c r="BE22" s="955"/>
      <c r="BF22" s="955"/>
      <c r="BG22" s="955">
        <f>+BG21+BG20</f>
        <v>-3.5277247254969508E-2</v>
      </c>
      <c r="BH22" s="1343"/>
      <c r="BI22" s="1343"/>
      <c r="BJ22" s="1343"/>
      <c r="BK22" s="1343"/>
      <c r="BL22" s="955">
        <f>+BL21+BL20</f>
        <v>-0.17466456306305822</v>
      </c>
      <c r="BM22" s="1343"/>
      <c r="BN22" s="1343"/>
      <c r="BO22" s="1343"/>
      <c r="BP22" s="1343"/>
      <c r="BQ22" s="957">
        <f>+BQ21+BQ20</f>
        <v>-4.9534764498977542E-2</v>
      </c>
      <c r="BR22" s="937"/>
      <c r="BS22" s="937"/>
      <c r="BU22" s="895" t="s">
        <v>13</v>
      </c>
      <c r="BV22" s="963"/>
      <c r="BW22" s="963"/>
      <c r="CB22" s="964">
        <f>CG22</f>
        <v>4.1739130434782605E-2</v>
      </c>
      <c r="CC22" s="939"/>
      <c r="CD22" s="939"/>
      <c r="CE22" s="939"/>
      <c r="CF22" s="939"/>
      <c r="CG22" s="964">
        <f>AW21</f>
        <v>4.1739130434782605E-2</v>
      </c>
      <c r="CH22" s="939"/>
      <c r="CI22" s="939"/>
      <c r="CJ22" s="939"/>
      <c r="CK22" s="939"/>
      <c r="CL22" s="964">
        <f>CG22</f>
        <v>4.1739130434782605E-2</v>
      </c>
      <c r="CM22" s="945"/>
      <c r="CN22" s="945"/>
      <c r="CO22" s="945"/>
      <c r="CP22" s="945"/>
      <c r="CQ22" s="958"/>
      <c r="CR22" s="945"/>
      <c r="CS22" s="945"/>
      <c r="CT22" s="945"/>
      <c r="CU22" s="945"/>
      <c r="CV22" s="958"/>
      <c r="CW22" s="945"/>
      <c r="CX22" s="945"/>
      <c r="CY22" s="945"/>
      <c r="CZ22" s="945"/>
      <c r="DA22" s="958"/>
      <c r="DB22" s="945"/>
      <c r="DC22" s="945"/>
      <c r="DD22" s="945"/>
      <c r="DE22" s="945"/>
      <c r="DF22" s="958"/>
      <c r="DH22" s="1331"/>
      <c r="DI22" s="1331"/>
      <c r="DJ22" s="1331"/>
      <c r="DK22" s="1331"/>
      <c r="DL22" s="1698" t="s">
        <v>1115</v>
      </c>
      <c r="DP22" s="1589">
        <f>NPV($DO$42,DP21:$EH$21)</f>
        <v>-471.26837787423818</v>
      </c>
      <c r="DQ22" s="1589">
        <f>NPV($DO$42,DQ21:$EH$21)</f>
        <v>-438.62312922616979</v>
      </c>
      <c r="DR22" s="1589">
        <f>NPV($DO$42,DR21:$EH$21)</f>
        <v>-403.39027826204699</v>
      </c>
      <c r="DS22" s="1589">
        <f>NPV($DO$42,DS21:$EH$21)</f>
        <v>-365.36472053257512</v>
      </c>
      <c r="DT22" s="1589">
        <f>NPV($DO$42,DT21:$EH$21)</f>
        <v>-324.32509413078935</v>
      </c>
      <c r="DU22" s="1589">
        <f>NPV($DO$42,DU21:$EH$21)</f>
        <v>-280.03249105628487</v>
      </c>
      <c r="DV22" s="1589">
        <f>NPV($DO$42,DV21:$EH$21)</f>
        <v>-232.22906643665337</v>
      </c>
      <c r="DW22" s="1589">
        <f>NPV($DO$42,DW21:$EH$21)</f>
        <v>-180.63653750985009</v>
      </c>
      <c r="DX22" s="1589">
        <f>NPV($DO$42,DX21:$EH$21)</f>
        <v>-124.95456362947016</v>
      </c>
      <c r="DY22" s="1589">
        <f>NPV($DO$42,DY21:$EH$21)</f>
        <v>-64.85899786230037</v>
      </c>
      <c r="DZ22" s="1589">
        <f>NPV($DO$42,DZ21:$EH$21)</f>
        <v>0</v>
      </c>
      <c r="EA22" s="1589">
        <f>NPV($DO$42,EA21:$EH$21)</f>
        <v>0</v>
      </c>
      <c r="EB22" s="1589">
        <f>NPV($DO$42,EB21:$EH$21)</f>
        <v>0</v>
      </c>
      <c r="EC22" s="1589">
        <f>NPV($DO$42,EC21:$EH$21)</f>
        <v>0</v>
      </c>
      <c r="ED22" s="1589">
        <f>NPV($DO$42,ED21:$EH$21)</f>
        <v>0</v>
      </c>
      <c r="EE22" s="1589">
        <f>NPV($DO$42,EE21:$EH$21)</f>
        <v>0</v>
      </c>
      <c r="EF22" s="1589">
        <f>NPV($DO$42,EF21:$EH$21)</f>
        <v>0</v>
      </c>
      <c r="EG22" s="1589">
        <f>NPV($DO$42,EG21:$EH$21)</f>
        <v>0</v>
      </c>
      <c r="EH22" s="1589">
        <f>NPV($DO$42,EH21:$EH$21)</f>
        <v>0</v>
      </c>
      <c r="EI22" s="918"/>
      <c r="EJ22" s="918"/>
      <c r="EK22" s="918"/>
      <c r="EL22" s="961"/>
      <c r="EM22" s="961"/>
      <c r="EN22" s="918"/>
      <c r="EO22" s="918"/>
      <c r="EP22" s="918"/>
      <c r="EQ22" s="918"/>
    </row>
    <row r="23" spans="1:147">
      <c r="A23" s="937"/>
      <c r="BR23" s="937"/>
      <c r="BS23" s="937"/>
      <c r="BU23" s="940" t="s">
        <v>14</v>
      </c>
      <c r="BV23" s="954"/>
      <c r="BW23" s="954"/>
      <c r="CB23" s="955">
        <f>+CB22+CB21</f>
        <v>-0.18841973357581399</v>
      </c>
      <c r="CC23" s="939"/>
      <c r="CD23" s="939"/>
      <c r="CE23" s="939"/>
      <c r="CF23" s="939"/>
      <c r="CG23" s="955">
        <f>+CG22+CG21</f>
        <v>0.14318840579710146</v>
      </c>
      <c r="CH23" s="939"/>
      <c r="CI23" s="939"/>
      <c r="CJ23" s="939"/>
      <c r="CK23" s="939"/>
      <c r="CL23" s="957">
        <f>+CL22+CL21</f>
        <v>0.27289527078901965</v>
      </c>
      <c r="CM23" s="945"/>
      <c r="CN23" s="945"/>
      <c r="CO23" s="945"/>
      <c r="CP23" s="945"/>
      <c r="CQ23" s="958"/>
      <c r="CR23" s="945"/>
      <c r="CS23" s="945"/>
      <c r="CT23" s="945"/>
      <c r="CU23" s="945"/>
      <c r="CV23" s="958"/>
      <c r="CW23" s="945"/>
      <c r="CX23" s="945"/>
      <c r="CY23" s="945"/>
      <c r="CZ23" s="945"/>
      <c r="DA23" s="958"/>
      <c r="DB23" s="945"/>
      <c r="DC23" s="945"/>
      <c r="DD23" s="945"/>
      <c r="DE23" s="945"/>
      <c r="DF23" s="958"/>
      <c r="DH23" s="1331"/>
      <c r="DI23" s="1331"/>
      <c r="DJ23" s="1331"/>
      <c r="DK23" s="1331"/>
      <c r="DR23" s="959"/>
      <c r="DS23" s="959"/>
      <c r="DT23" s="959"/>
      <c r="DU23" s="960"/>
      <c r="DV23" s="960"/>
      <c r="DW23" s="960"/>
      <c r="DX23" s="961"/>
      <c r="DY23" s="961"/>
      <c r="DZ23" s="962"/>
      <c r="EA23" s="918"/>
      <c r="EB23" s="918"/>
      <c r="EC23" s="918"/>
      <c r="ED23" s="918"/>
      <c r="EE23" s="918"/>
      <c r="EF23" s="918"/>
      <c r="EG23" s="918"/>
      <c r="EH23" s="918"/>
      <c r="EI23" s="918"/>
      <c r="EJ23" s="918"/>
      <c r="EK23" s="918"/>
      <c r="EL23" s="961"/>
      <c r="EM23" s="961"/>
      <c r="EN23" s="918"/>
      <c r="EO23" s="918"/>
      <c r="EP23" s="918"/>
      <c r="EQ23" s="918"/>
    </row>
    <row r="24" spans="1:147">
      <c r="A24" s="937"/>
      <c r="X24" s="965"/>
      <c r="AC24" s="965"/>
      <c r="AH24" s="965"/>
      <c r="AM24" s="965"/>
      <c r="AR24" s="965"/>
      <c r="AW24" s="965"/>
      <c r="BB24" s="965"/>
      <c r="BG24" s="965"/>
      <c r="BL24" s="965"/>
      <c r="BQ24" s="965"/>
      <c r="BR24" s="937"/>
      <c r="BS24" s="937"/>
      <c r="CC24" s="939"/>
      <c r="CD24" s="939"/>
      <c r="CE24" s="939"/>
      <c r="CF24" s="939"/>
      <c r="CH24" s="939"/>
      <c r="CI24" s="939"/>
      <c r="CJ24" s="939"/>
      <c r="CK24" s="939"/>
      <c r="CM24" s="945"/>
      <c r="CN24" s="945"/>
      <c r="CO24" s="945"/>
      <c r="CP24" s="945"/>
      <c r="CQ24" s="958"/>
      <c r="CR24" s="945"/>
      <c r="CS24" s="945"/>
      <c r="CT24" s="945"/>
      <c r="CU24" s="945"/>
      <c r="CV24" s="958"/>
      <c r="CW24" s="945"/>
      <c r="CX24" s="945"/>
      <c r="CY24" s="945"/>
      <c r="CZ24" s="945"/>
      <c r="DA24" s="958"/>
      <c r="DB24" s="945"/>
      <c r="DC24" s="945"/>
      <c r="DD24" s="945"/>
      <c r="DE24" s="945"/>
      <c r="DF24" s="958"/>
      <c r="DL24" s="1698"/>
      <c r="DN24" s="2162"/>
      <c r="DO24" s="2163"/>
      <c r="DP24" s="1941"/>
      <c r="DQ24" s="1941"/>
      <c r="DR24" s="1941"/>
      <c r="DS24" s="1941"/>
      <c r="DT24" s="1941"/>
      <c r="DU24" s="2163"/>
      <c r="DV24" s="2163"/>
      <c r="DW24" s="2163"/>
      <c r="DX24" s="2163"/>
      <c r="DY24" s="2163"/>
      <c r="DZ24" s="2163"/>
      <c r="EA24" s="2163"/>
      <c r="EB24" s="2163"/>
      <c r="EC24" s="2163"/>
      <c r="ED24" s="2163"/>
      <c r="EE24" s="2163"/>
      <c r="EF24" s="2163"/>
      <c r="EG24" s="2163"/>
      <c r="EH24" s="2163"/>
      <c r="EI24" s="918"/>
      <c r="EJ24" s="918"/>
      <c r="EK24" s="918"/>
      <c r="EL24" s="961"/>
      <c r="EM24" s="961"/>
      <c r="EN24" s="918"/>
      <c r="EO24" s="918"/>
      <c r="EP24" s="918"/>
      <c r="EQ24" s="918"/>
    </row>
    <row r="25" spans="1:147">
      <c r="A25" s="937"/>
      <c r="C25" s="920" t="s">
        <v>483</v>
      </c>
      <c r="S25" s="935"/>
      <c r="T25" s="935"/>
      <c r="U25" s="935"/>
      <c r="V25" s="935"/>
      <c r="W25" s="935"/>
      <c r="X25" s="935"/>
      <c r="Y25" s="935"/>
      <c r="Z25" s="935"/>
      <c r="AA25" s="935"/>
      <c r="AB25" s="935"/>
      <c r="AC25" s="935">
        <f>+Competitive!AC53</f>
        <v>3.7244195312500001</v>
      </c>
      <c r="AD25" s="935"/>
      <c r="AE25" s="935"/>
      <c r="AF25" s="935"/>
      <c r="AG25" s="935"/>
      <c r="AH25" s="935">
        <f>+Competitive!AH53</f>
        <v>4.3820542392418025</v>
      </c>
      <c r="AI25" s="935"/>
      <c r="AJ25" s="935"/>
      <c r="AK25" s="935"/>
      <c r="AL25" s="935"/>
      <c r="AM25" s="935">
        <f>+Competitive!AM53</f>
        <v>2.6328803023393492</v>
      </c>
      <c r="AR25" s="935">
        <f>+Competitive!AR53</f>
        <v>2.5075177712685086</v>
      </c>
      <c r="AW25" s="935">
        <f>+Competitive!AW53</f>
        <v>2.9990818412378393</v>
      </c>
      <c r="BB25" s="935"/>
      <c r="BG25" s="935"/>
      <c r="BL25" s="935"/>
      <c r="BQ25" s="935"/>
      <c r="BR25" s="937"/>
      <c r="BS25" s="937"/>
      <c r="CM25" s="945"/>
      <c r="CN25" s="945"/>
      <c r="CO25" s="945"/>
      <c r="CP25" s="945"/>
      <c r="CQ25" s="1407"/>
      <c r="CR25" s="945"/>
      <c r="CS25" s="945"/>
      <c r="CT25" s="945"/>
      <c r="CU25" s="945"/>
      <c r="CV25" s="958"/>
      <c r="CW25" s="945"/>
      <c r="CX25" s="945"/>
      <c r="CY25" s="945"/>
      <c r="CZ25" s="945"/>
      <c r="DA25" s="958"/>
      <c r="DB25" s="945"/>
      <c r="DC25" s="945"/>
      <c r="DD25" s="945"/>
      <c r="DE25" s="945"/>
      <c r="DF25" s="958"/>
      <c r="DL25" s="1698"/>
      <c r="DP25" s="1589"/>
      <c r="DQ25" s="1589"/>
      <c r="DR25" s="1589"/>
      <c r="DS25" s="1589"/>
      <c r="DT25" s="1589"/>
      <c r="DU25" s="1589"/>
      <c r="DV25" s="1589"/>
      <c r="DW25" s="1589"/>
      <c r="DX25" s="1589"/>
      <c r="DY25" s="1589"/>
      <c r="DZ25" s="1589"/>
      <c r="EA25" s="1589"/>
      <c r="EB25" s="1589"/>
      <c r="EC25" s="1589"/>
      <c r="ED25" s="1589"/>
      <c r="EE25" s="1589"/>
      <c r="EF25" s="1589"/>
      <c r="EG25" s="1589"/>
      <c r="EH25" s="1589"/>
      <c r="EI25" s="918"/>
      <c r="EJ25" s="918"/>
      <c r="EK25" s="918"/>
      <c r="EL25" s="961"/>
      <c r="EM25" s="961"/>
      <c r="EN25" s="918"/>
      <c r="EO25" s="918"/>
      <c r="EP25" s="918"/>
      <c r="EQ25" s="918"/>
    </row>
    <row r="26" spans="1:147">
      <c r="A26" s="937"/>
      <c r="C26" s="895" t="s">
        <v>485</v>
      </c>
      <c r="S26" s="969"/>
      <c r="T26" s="969"/>
      <c r="U26" s="969"/>
      <c r="V26" s="969"/>
      <c r="W26" s="969"/>
      <c r="X26" s="969"/>
      <c r="Y26" s="969"/>
      <c r="Z26" s="969"/>
      <c r="AA26" s="969"/>
      <c r="AB26" s="969"/>
      <c r="AC26" s="969">
        <v>0</v>
      </c>
      <c r="AD26" s="969"/>
      <c r="AE26" s="969"/>
      <c r="AF26" s="969"/>
      <c r="AG26" s="969"/>
      <c r="AH26" s="969">
        <v>0</v>
      </c>
      <c r="AI26" s="969"/>
      <c r="AJ26" s="969"/>
      <c r="AK26" s="969"/>
      <c r="AL26" s="969"/>
      <c r="AM26" s="969">
        <v>0</v>
      </c>
      <c r="AN26" s="918"/>
      <c r="AO26" s="918"/>
      <c r="AP26" s="918"/>
      <c r="AQ26" s="918"/>
      <c r="AR26" s="969">
        <v>0</v>
      </c>
      <c r="AS26" s="918"/>
      <c r="AT26" s="918"/>
      <c r="AU26" s="918"/>
      <c r="AV26" s="918"/>
      <c r="AW26" s="969">
        <v>0</v>
      </c>
      <c r="AX26" s="918"/>
      <c r="AY26" s="918"/>
      <c r="AZ26" s="918"/>
      <c r="BA26" s="918"/>
      <c r="BB26" s="969"/>
      <c r="BC26" s="918"/>
      <c r="BD26" s="918"/>
      <c r="BE26" s="918"/>
      <c r="BF26" s="918"/>
      <c r="BG26" s="969"/>
      <c r="BH26" s="918"/>
      <c r="BI26" s="918"/>
      <c r="BJ26" s="918"/>
      <c r="BK26" s="918"/>
      <c r="BL26" s="969"/>
      <c r="BM26" s="918"/>
      <c r="BN26" s="918"/>
      <c r="BO26" s="918"/>
      <c r="BP26" s="918"/>
      <c r="BQ26" s="969"/>
      <c r="BR26" s="937"/>
      <c r="BS26" s="937"/>
      <c r="CM26" s="945"/>
      <c r="CN26" s="945"/>
      <c r="CO26" s="945"/>
      <c r="CP26" s="945"/>
      <c r="CQ26" s="1406"/>
      <c r="CR26" s="945"/>
      <c r="CS26" s="945"/>
      <c r="CT26" s="945"/>
      <c r="CU26" s="945"/>
      <c r="CV26" s="958"/>
      <c r="CW26" s="945"/>
      <c r="CX26" s="945"/>
      <c r="CY26" s="945"/>
      <c r="CZ26" s="945"/>
      <c r="DA26" s="958"/>
      <c r="DB26" s="945"/>
      <c r="DC26" s="945"/>
      <c r="DD26" s="945"/>
      <c r="DE26" s="945"/>
      <c r="DF26" s="958"/>
    </row>
    <row r="27" spans="1:147">
      <c r="A27" s="937"/>
      <c r="C27" s="918" t="s">
        <v>487</v>
      </c>
      <c r="X27" s="969"/>
      <c r="Y27" s="969"/>
      <c r="Z27" s="969"/>
      <c r="AA27" s="969"/>
      <c r="AB27" s="969"/>
      <c r="AC27" s="969">
        <v>0</v>
      </c>
      <c r="AD27" s="969"/>
      <c r="AE27" s="969"/>
      <c r="AF27" s="969"/>
      <c r="AG27" s="969"/>
      <c r="AH27" s="969">
        <v>0</v>
      </c>
      <c r="AI27" s="969"/>
      <c r="AJ27" s="969"/>
      <c r="AK27" s="969"/>
      <c r="AL27" s="969"/>
      <c r="AM27" s="969">
        <v>0</v>
      </c>
      <c r="AN27" s="935"/>
      <c r="AO27" s="935"/>
      <c r="AP27" s="935"/>
      <c r="AQ27" s="935"/>
      <c r="AR27" s="969">
        <v>0</v>
      </c>
      <c r="AS27" s="935"/>
      <c r="AT27" s="935"/>
      <c r="AU27" s="935"/>
      <c r="AV27" s="935"/>
      <c r="AW27" s="969">
        <v>0</v>
      </c>
      <c r="AX27" s="935"/>
      <c r="AY27" s="935"/>
      <c r="AZ27" s="935"/>
      <c r="BA27" s="935"/>
      <c r="BB27" s="969"/>
      <c r="BC27" s="935"/>
      <c r="BD27" s="935"/>
      <c r="BE27" s="935"/>
      <c r="BF27" s="935"/>
      <c r="BG27" s="969"/>
      <c r="BH27" s="935"/>
      <c r="BI27" s="935"/>
      <c r="BJ27" s="935"/>
      <c r="BK27" s="935"/>
      <c r="BL27" s="969"/>
      <c r="BM27" s="935"/>
      <c r="BN27" s="935"/>
      <c r="BO27" s="935"/>
      <c r="BP27" s="935"/>
      <c r="BQ27" s="969"/>
      <c r="BR27" s="937"/>
      <c r="BS27" s="937"/>
      <c r="CM27" s="945"/>
      <c r="CN27" s="945"/>
      <c r="CO27" s="945"/>
      <c r="CP27" s="945"/>
      <c r="CQ27" s="958"/>
      <c r="CR27" s="945"/>
      <c r="CS27" s="945"/>
      <c r="CT27" s="945"/>
      <c r="CU27" s="945"/>
      <c r="CV27" s="958"/>
      <c r="CW27" s="945"/>
      <c r="CX27" s="945"/>
      <c r="CY27" s="945"/>
      <c r="CZ27" s="945"/>
      <c r="DA27" s="958"/>
      <c r="DB27" s="945"/>
      <c r="DC27" s="945"/>
      <c r="DD27" s="945"/>
      <c r="DE27" s="945"/>
      <c r="DF27" s="958"/>
    </row>
    <row r="28" spans="1:147">
      <c r="A28" s="937"/>
      <c r="C28" s="1393" t="s">
        <v>888</v>
      </c>
      <c r="X28" s="1394"/>
      <c r="Y28" s="969"/>
      <c r="Z28" s="969"/>
      <c r="AA28" s="969"/>
      <c r="AB28" s="969"/>
      <c r="AC28" s="1394">
        <f>+Competitive!AC243</f>
        <v>28.524024537550041</v>
      </c>
      <c r="AD28" s="969"/>
      <c r="AE28" s="969"/>
      <c r="AF28" s="969"/>
      <c r="AG28" s="969"/>
      <c r="AH28" s="1394">
        <f>+Competitive!AH243</f>
        <v>72.985278412923677</v>
      </c>
      <c r="AI28" s="969"/>
      <c r="AJ28" s="969"/>
      <c r="AK28" s="969"/>
      <c r="AL28" s="969"/>
      <c r="AM28" s="1394">
        <f>+Competitive!AM243</f>
        <v>190.76393323959454</v>
      </c>
      <c r="AN28" s="968"/>
      <c r="AO28" s="968"/>
      <c r="AP28" s="968"/>
      <c r="AQ28" s="968"/>
      <c r="AR28" s="1394">
        <f>+Competitive!AR243</f>
        <v>173.88500874603213</v>
      </c>
      <c r="AS28" s="968"/>
      <c r="AT28" s="968"/>
      <c r="AU28" s="968"/>
      <c r="AV28" s="968"/>
      <c r="AW28" s="1394">
        <f>+Competitive!AW243</f>
        <v>120.01449413662959</v>
      </c>
      <c r="AX28" s="968"/>
      <c r="AY28" s="968"/>
      <c r="AZ28" s="968"/>
      <c r="BA28" s="968"/>
      <c r="BB28" s="1394"/>
      <c r="BC28" s="968"/>
      <c r="BD28" s="968"/>
      <c r="BE28" s="968"/>
      <c r="BF28" s="968"/>
      <c r="BG28" s="1394"/>
      <c r="BH28" s="968"/>
      <c r="BI28" s="968"/>
      <c r="BJ28" s="968"/>
      <c r="BK28" s="968"/>
      <c r="BL28" s="1394"/>
      <c r="BM28" s="968"/>
      <c r="BN28" s="968"/>
      <c r="BO28" s="968"/>
      <c r="BP28" s="968"/>
      <c r="BQ28" s="1394"/>
      <c r="BR28" s="937"/>
      <c r="BS28" s="937"/>
      <c r="CM28" s="945"/>
      <c r="CN28" s="945"/>
      <c r="CO28" s="945"/>
      <c r="CP28" s="945"/>
      <c r="CQ28" s="958"/>
      <c r="CR28" s="945"/>
      <c r="CS28" s="945"/>
      <c r="CT28" s="945"/>
      <c r="CU28" s="945"/>
      <c r="CV28" s="958"/>
      <c r="CW28" s="945"/>
      <c r="CX28" s="945"/>
      <c r="CY28" s="945"/>
      <c r="CZ28" s="945"/>
      <c r="DA28" s="958"/>
      <c r="DB28" s="945"/>
      <c r="DC28" s="945"/>
      <c r="DD28" s="945"/>
      <c r="DE28" s="945"/>
      <c r="DF28" s="958"/>
    </row>
    <row r="29" spans="1:147">
      <c r="A29" s="937"/>
      <c r="C29" s="918"/>
      <c r="X29" s="969"/>
      <c r="Y29" s="969"/>
      <c r="Z29" s="969"/>
      <c r="AA29" s="969"/>
      <c r="AB29" s="969"/>
      <c r="AC29" s="969"/>
      <c r="AD29" s="969"/>
      <c r="AE29" s="969"/>
      <c r="AF29" s="969"/>
      <c r="AG29" s="969"/>
      <c r="AH29" s="969"/>
      <c r="AI29" s="969"/>
      <c r="AJ29" s="969"/>
      <c r="AK29" s="969"/>
      <c r="AL29" s="969"/>
      <c r="AM29" s="969"/>
      <c r="AN29" s="968"/>
      <c r="AO29" s="968"/>
      <c r="AP29" s="968"/>
      <c r="AQ29" s="968"/>
      <c r="AR29" s="969"/>
      <c r="AS29" s="968"/>
      <c r="AT29" s="968"/>
      <c r="AU29" s="968"/>
      <c r="AV29" s="968"/>
      <c r="AW29" s="969"/>
      <c r="AX29" s="968"/>
      <c r="AY29" s="968"/>
      <c r="AZ29" s="968"/>
      <c r="BA29" s="968"/>
      <c r="BB29" s="969"/>
      <c r="BC29" s="968"/>
      <c r="BD29" s="968"/>
      <c r="BE29" s="968"/>
      <c r="BF29" s="968"/>
      <c r="BG29" s="969"/>
      <c r="BH29" s="968"/>
      <c r="BI29" s="968"/>
      <c r="BJ29" s="968"/>
      <c r="BK29" s="968"/>
      <c r="BL29" s="969"/>
      <c r="BM29" s="968"/>
      <c r="BN29" s="968"/>
      <c r="BO29" s="968"/>
      <c r="BP29" s="968"/>
      <c r="BQ29" s="969"/>
      <c r="BR29" s="937"/>
      <c r="BS29" s="937"/>
      <c r="CM29" s="945"/>
      <c r="CN29" s="945"/>
      <c r="CO29" s="945"/>
      <c r="CP29" s="945"/>
      <c r="CQ29" s="958"/>
      <c r="CR29" s="945"/>
      <c r="CS29" s="945"/>
      <c r="CT29" s="945"/>
      <c r="CU29" s="945"/>
      <c r="CV29" s="958"/>
      <c r="CW29" s="945"/>
      <c r="CX29" s="945"/>
      <c r="CY29" s="945"/>
      <c r="CZ29" s="945"/>
      <c r="DA29" s="958"/>
      <c r="DB29" s="945"/>
      <c r="DC29" s="945"/>
      <c r="DD29" s="945"/>
      <c r="DE29" s="945"/>
      <c r="DF29" s="958"/>
    </row>
    <row r="30" spans="1:147">
      <c r="A30" s="937"/>
      <c r="BR30" s="937"/>
      <c r="BS30" s="937"/>
      <c r="BT30" s="966" t="s">
        <v>482</v>
      </c>
      <c r="BU30" s="966"/>
      <c r="BV30" s="949"/>
      <c r="CB30" s="1315" t="s">
        <v>6</v>
      </c>
      <c r="CC30" s="1315"/>
      <c r="CD30" s="1315"/>
      <c r="CE30" s="1315"/>
      <c r="CF30" s="1315"/>
      <c r="CG30" s="1315" t="s">
        <v>7</v>
      </c>
      <c r="CH30" s="1315"/>
      <c r="CI30" s="1315"/>
      <c r="CJ30" s="1315"/>
      <c r="CK30" s="1315"/>
      <c r="CL30" s="1315" t="s">
        <v>8</v>
      </c>
      <c r="CM30" s="945"/>
      <c r="CN30" s="945"/>
      <c r="CO30" s="945"/>
      <c r="CP30" s="945"/>
      <c r="CQ30" s="958"/>
      <c r="CR30" s="945"/>
      <c r="CS30" s="945"/>
      <c r="CT30" s="945"/>
      <c r="CU30" s="945"/>
      <c r="CV30" s="958"/>
      <c r="CW30" s="945"/>
      <c r="CX30" s="945"/>
      <c r="CY30" s="945"/>
      <c r="CZ30" s="945"/>
      <c r="DA30" s="958"/>
      <c r="DB30" s="945"/>
      <c r="DC30" s="945"/>
      <c r="DD30" s="945"/>
      <c r="DE30" s="945"/>
      <c r="DF30" s="958"/>
    </row>
    <row r="31" spans="1:147">
      <c r="A31" s="937"/>
      <c r="B31" s="908" t="s">
        <v>650</v>
      </c>
      <c r="C31" s="908"/>
      <c r="D31" s="909"/>
      <c r="E31" s="910"/>
      <c r="F31" s="910"/>
      <c r="G31" s="910"/>
      <c r="H31" s="910"/>
      <c r="I31" s="910"/>
      <c r="J31" s="910"/>
      <c r="K31" s="910"/>
      <c r="L31" s="910"/>
      <c r="M31" s="910"/>
      <c r="N31" s="910"/>
      <c r="O31" s="910"/>
      <c r="P31" s="910"/>
      <c r="Q31" s="910"/>
      <c r="R31" s="910"/>
      <c r="S31" s="910"/>
      <c r="T31" s="910"/>
      <c r="U31" s="910"/>
      <c r="V31" s="910"/>
      <c r="W31" s="910"/>
      <c r="X31" s="910" t="s">
        <v>768</v>
      </c>
      <c r="Y31" s="910"/>
      <c r="Z31" s="910"/>
      <c r="AA31" s="910"/>
      <c r="AB31" s="910"/>
      <c r="AC31" s="910" t="s">
        <v>669</v>
      </c>
      <c r="AD31" s="910"/>
      <c r="AE31" s="910"/>
      <c r="AF31" s="910"/>
      <c r="AG31" s="910"/>
      <c r="AH31" s="910" t="s">
        <v>964</v>
      </c>
      <c r="AI31" s="910"/>
      <c r="AJ31" s="910"/>
      <c r="AK31" s="910"/>
      <c r="AL31" s="910"/>
      <c r="AM31" s="910" t="s">
        <v>1011</v>
      </c>
      <c r="AR31" s="910" t="s">
        <v>1158</v>
      </c>
      <c r="AW31" s="910" t="str">
        <f t="shared" ref="AW31:BL31" si="24">AW6</f>
        <v>2017A</v>
      </c>
      <c r="AX31" s="911">
        <f t="shared" si="24"/>
        <v>0</v>
      </c>
      <c r="AY31" s="911">
        <f t="shared" si="24"/>
        <v>0</v>
      </c>
      <c r="AZ31" s="911">
        <f t="shared" si="24"/>
        <v>0</v>
      </c>
      <c r="BA31" s="911">
        <f t="shared" si="24"/>
        <v>0</v>
      </c>
      <c r="BB31" s="910" t="str">
        <f t="shared" si="24"/>
        <v>2018E</v>
      </c>
      <c r="BC31" s="911">
        <f t="shared" si="24"/>
        <v>0</v>
      </c>
      <c r="BD31" s="911">
        <f t="shared" si="24"/>
        <v>0</v>
      </c>
      <c r="BE31" s="911">
        <f t="shared" si="24"/>
        <v>0</v>
      </c>
      <c r="BF31" s="911">
        <f t="shared" si="24"/>
        <v>0</v>
      </c>
      <c r="BG31" s="910" t="str">
        <f t="shared" si="24"/>
        <v>2019E</v>
      </c>
      <c r="BH31" s="911">
        <f t="shared" si="24"/>
        <v>0</v>
      </c>
      <c r="BI31" s="911">
        <f t="shared" si="24"/>
        <v>0</v>
      </c>
      <c r="BJ31" s="911">
        <f t="shared" si="24"/>
        <v>0</v>
      </c>
      <c r="BK31" s="911">
        <f t="shared" si="24"/>
        <v>0</v>
      </c>
      <c r="BL31" s="910" t="str">
        <f t="shared" si="24"/>
        <v>2020E</v>
      </c>
      <c r="BM31" s="911">
        <f t="shared" ref="BM31:BQ31" si="25">BM6</f>
        <v>0</v>
      </c>
      <c r="BN31" s="911">
        <f t="shared" si="25"/>
        <v>0</v>
      </c>
      <c r="BO31" s="911">
        <f t="shared" si="25"/>
        <v>0</v>
      </c>
      <c r="BP31" s="911">
        <f t="shared" si="25"/>
        <v>0</v>
      </c>
      <c r="BQ31" s="910" t="str">
        <f t="shared" si="25"/>
        <v>2021E</v>
      </c>
      <c r="BR31" s="937"/>
      <c r="BS31" s="937"/>
      <c r="BU31" s="970" t="s">
        <v>484</v>
      </c>
      <c r="CB31" s="1316">
        <v>2.25</v>
      </c>
      <c r="CC31" s="1316"/>
      <c r="CD31" s="1316"/>
      <c r="CE31" s="1316"/>
      <c r="CF31" s="1316"/>
      <c r="CG31" s="1317">
        <v>2.75</v>
      </c>
      <c r="CH31" s="1318"/>
      <c r="CI31" s="1318"/>
      <c r="CJ31" s="1318"/>
      <c r="CK31" s="1318"/>
      <c r="CL31" s="1316">
        <v>3.5</v>
      </c>
      <c r="CM31" s="958"/>
      <c r="CN31" s="958"/>
      <c r="CO31" s="958"/>
      <c r="CP31" s="958"/>
      <c r="CQ31" s="958"/>
      <c r="CR31" s="958"/>
      <c r="CS31" s="958"/>
      <c r="CT31" s="958"/>
      <c r="CU31" s="958"/>
      <c r="CV31" s="958"/>
      <c r="CW31" s="958"/>
      <c r="CX31" s="958"/>
      <c r="CY31" s="958"/>
      <c r="CZ31" s="958"/>
      <c r="DA31" s="958"/>
      <c r="DB31" s="958"/>
      <c r="DC31" s="958"/>
      <c r="DD31" s="958"/>
      <c r="DE31" s="958"/>
      <c r="DF31" s="958"/>
      <c r="DL31" s="966" t="s">
        <v>488</v>
      </c>
      <c r="DM31" s="974"/>
      <c r="DN31" s="975"/>
      <c r="DO31" s="975"/>
      <c r="DP31" s="975"/>
      <c r="DQ31" s="976"/>
      <c r="DR31" s="976"/>
      <c r="DS31" s="976"/>
      <c r="DT31" s="976"/>
      <c r="DU31" s="976"/>
      <c r="DV31" s="976"/>
      <c r="DW31" s="918"/>
      <c r="DX31" s="937"/>
      <c r="DY31" s="937"/>
      <c r="EA31" s="918"/>
      <c r="EB31" s="918"/>
      <c r="EC31" s="918"/>
      <c r="ED31" s="918"/>
      <c r="EE31" s="918"/>
      <c r="EF31" s="918"/>
      <c r="EG31" s="918"/>
      <c r="EH31" s="918"/>
      <c r="EI31" s="918"/>
      <c r="EJ31" s="918"/>
      <c r="EK31" s="918"/>
      <c r="EL31" s="937"/>
      <c r="EM31" s="977"/>
      <c r="EN31" s="918"/>
      <c r="EO31" s="918"/>
      <c r="EP31" s="918"/>
      <c r="EQ31" s="918"/>
    </row>
    <row r="32" spans="1:147">
      <c r="A32" s="937"/>
      <c r="BR32" s="937"/>
      <c r="BS32" s="937"/>
      <c r="BU32" s="927" t="s">
        <v>176</v>
      </c>
      <c r="CB32" s="1568">
        <v>0</v>
      </c>
      <c r="CC32" s="1568"/>
      <c r="CD32" s="1568"/>
      <c r="CE32" s="1568"/>
      <c r="CF32" s="1568"/>
      <c r="CG32" s="1569">
        <v>-0.25</v>
      </c>
      <c r="CH32" s="1568"/>
      <c r="CI32" s="1568"/>
      <c r="CJ32" s="1568"/>
      <c r="CK32" s="1568"/>
      <c r="CL32" s="1568">
        <v>-0.25</v>
      </c>
      <c r="CM32" s="967"/>
      <c r="CN32" s="967"/>
      <c r="CO32" s="967"/>
      <c r="CP32" s="967"/>
      <c r="CQ32" s="958"/>
      <c r="CR32" s="967"/>
      <c r="CS32" s="967"/>
      <c r="CT32" s="967"/>
      <c r="CU32" s="967"/>
      <c r="CV32" s="958"/>
      <c r="CW32" s="967"/>
      <c r="CX32" s="967"/>
      <c r="CY32" s="967"/>
      <c r="CZ32" s="967"/>
      <c r="DA32" s="1287"/>
      <c r="DB32" s="967"/>
      <c r="DC32" s="967"/>
      <c r="DD32" s="967"/>
      <c r="DE32" s="967"/>
      <c r="DF32" s="1287"/>
      <c r="DL32" s="949" t="s">
        <v>489</v>
      </c>
      <c r="DP32" s="978"/>
      <c r="DQ32" s="979" t="s">
        <v>858</v>
      </c>
      <c r="DR32" s="937"/>
      <c r="DS32" s="937"/>
      <c r="DT32" s="937"/>
      <c r="DU32" s="937"/>
      <c r="DV32" s="937"/>
      <c r="DW32" s="918"/>
      <c r="DX32" s="937"/>
      <c r="DY32" s="937"/>
      <c r="EA32" s="918"/>
      <c r="EB32" s="918"/>
      <c r="EC32" s="918"/>
      <c r="ED32" s="918"/>
      <c r="EE32" s="918"/>
      <c r="EF32" s="918"/>
      <c r="EG32" s="918"/>
      <c r="EH32" s="918"/>
      <c r="EI32" s="918"/>
      <c r="EJ32" s="918"/>
      <c r="EK32" s="918"/>
      <c r="EL32" s="937"/>
      <c r="EM32" s="977"/>
      <c r="EN32" s="918"/>
      <c r="EO32" s="918"/>
      <c r="EP32" s="918"/>
      <c r="EQ32" s="918"/>
    </row>
    <row r="33" spans="1:147">
      <c r="A33" s="937"/>
      <c r="C33" s="1390" t="s">
        <v>103</v>
      </c>
      <c r="AH33" s="947"/>
      <c r="AN33" s="113"/>
      <c r="AO33" s="113"/>
      <c r="AP33" s="113"/>
      <c r="AQ33" s="113"/>
      <c r="AS33" s="113"/>
      <c r="AT33" s="113"/>
      <c r="AU33" s="113"/>
      <c r="AV33" s="113"/>
      <c r="AX33" s="113"/>
      <c r="AY33" s="113"/>
      <c r="AZ33" s="113"/>
      <c r="BA33" s="113"/>
      <c r="BC33" s="113"/>
      <c r="BD33" s="113"/>
      <c r="BE33" s="113"/>
      <c r="BF33" s="113"/>
      <c r="BH33" s="113"/>
      <c r="BI33" s="113"/>
      <c r="BJ33" s="113"/>
      <c r="BK33" s="113"/>
      <c r="BM33" s="113"/>
      <c r="BN33" s="113"/>
      <c r="BO33" s="113"/>
      <c r="BP33" s="113"/>
      <c r="BR33" s="937"/>
      <c r="BS33" s="937"/>
      <c r="BU33" s="970" t="s">
        <v>486</v>
      </c>
      <c r="BV33" s="949"/>
      <c r="CB33" s="1314">
        <v>100</v>
      </c>
      <c r="CC33" s="1314"/>
      <c r="CD33" s="1314"/>
      <c r="CE33" s="1314"/>
      <c r="CF33" s="1314"/>
      <c r="CG33" s="1319">
        <v>150</v>
      </c>
      <c r="CH33" s="1314"/>
      <c r="CI33" s="1314"/>
      <c r="CJ33" s="1314"/>
      <c r="CK33" s="1314"/>
      <c r="CL33" s="1314">
        <v>175</v>
      </c>
      <c r="CQ33" s="1565"/>
      <c r="CV33" s="1311"/>
      <c r="DA33" s="958"/>
      <c r="DF33" s="958"/>
      <c r="DH33" s="910"/>
      <c r="DI33" s="910"/>
      <c r="DJ33" s="910"/>
      <c r="DK33" s="910"/>
      <c r="DL33" s="918" t="s">
        <v>846</v>
      </c>
      <c r="DM33" s="937"/>
      <c r="DN33" s="937"/>
      <c r="DO33" s="867">
        <v>3</v>
      </c>
      <c r="DP33" s="726"/>
      <c r="DQ33" s="937" t="s">
        <v>859</v>
      </c>
      <c r="DR33" s="937"/>
      <c r="DS33" s="937"/>
      <c r="DT33" s="937"/>
      <c r="DU33" s="937"/>
      <c r="DV33" s="964">
        <f>DO42</f>
        <v>7.9264285714285704E-2</v>
      </c>
      <c r="DW33" s="918"/>
      <c r="DX33" s="937"/>
      <c r="DY33" s="937"/>
      <c r="EA33" s="918"/>
      <c r="EB33" s="918"/>
      <c r="EC33" s="918"/>
      <c r="ED33" s="918"/>
      <c r="EE33" s="918"/>
      <c r="EF33" s="918"/>
      <c r="EG33" s="918"/>
      <c r="EH33" s="918"/>
      <c r="EI33" s="918"/>
      <c r="EJ33" s="918"/>
      <c r="EK33" s="918"/>
      <c r="EL33" s="937"/>
      <c r="EM33" s="977"/>
      <c r="EN33" s="937"/>
      <c r="EO33" s="937"/>
      <c r="EP33" s="937"/>
      <c r="EQ33" s="937"/>
    </row>
    <row r="34" spans="1:147">
      <c r="A34" s="937"/>
      <c r="C34" s="895" t="s">
        <v>490</v>
      </c>
      <c r="N34" s="980"/>
      <c r="O34" s="980"/>
      <c r="P34" s="980"/>
      <c r="Q34" s="980"/>
      <c r="R34" s="980"/>
      <c r="S34" s="980"/>
      <c r="T34" s="980"/>
      <c r="U34" s="980"/>
      <c r="V34" s="980"/>
      <c r="W34" s="980"/>
      <c r="X34" s="980">
        <f>Distribution!X55</f>
        <v>3.5478676065490378E-2</v>
      </c>
      <c r="Y34" s="980"/>
      <c r="Z34" s="980"/>
      <c r="AA34" s="980"/>
      <c r="AB34" s="980"/>
      <c r="AC34" s="980">
        <f>Distribution!AC55</f>
        <v>8.7789305666401418E-3</v>
      </c>
      <c r="AD34" s="980"/>
      <c r="AE34" s="980"/>
      <c r="AF34" s="980"/>
      <c r="AG34" s="980"/>
      <c r="AH34" s="980">
        <f>Distribution!AH55</f>
        <v>1.1258519961051539E-2</v>
      </c>
      <c r="AI34" s="980"/>
      <c r="AJ34" s="980"/>
      <c r="AK34" s="980"/>
      <c r="AL34" s="980"/>
      <c r="AM34" s="980">
        <f>Distribution!AM55</f>
        <v>-7.6360888781903391E-3</v>
      </c>
      <c r="AN34" s="113"/>
      <c r="AO34" s="113"/>
      <c r="AP34" s="113"/>
      <c r="AQ34" s="113"/>
      <c r="AR34" s="980">
        <f>Distribution!AR55</f>
        <v>2.8973593601553382E-3</v>
      </c>
      <c r="AS34" s="113"/>
      <c r="AT34" s="113"/>
      <c r="AU34" s="113"/>
      <c r="AV34" s="113"/>
      <c r="AW34" s="980">
        <f>Distribution!AW55</f>
        <v>-2.0995559019356236E-2</v>
      </c>
      <c r="AX34" s="113"/>
      <c r="AY34" s="113"/>
      <c r="AZ34" s="113"/>
      <c r="BA34" s="113"/>
      <c r="BB34" s="980">
        <f>Distribution!BB55</f>
        <v>0</v>
      </c>
      <c r="BC34" s="113"/>
      <c r="BD34" s="113"/>
      <c r="BE34" s="113"/>
      <c r="BF34" s="113"/>
      <c r="BG34" s="980">
        <f>Distribution!BG55</f>
        <v>0</v>
      </c>
      <c r="BH34" s="113"/>
      <c r="BI34" s="113"/>
      <c r="BJ34" s="113"/>
      <c r="BK34" s="113"/>
      <c r="BL34" s="980">
        <f>Distribution!BL55</f>
        <v>0</v>
      </c>
      <c r="BM34" s="113"/>
      <c r="BN34" s="113"/>
      <c r="BO34" s="113"/>
      <c r="BP34" s="113"/>
      <c r="BQ34" s="980">
        <f>Distribution!BQ55</f>
        <v>0</v>
      </c>
      <c r="BR34" s="937"/>
      <c r="BS34" s="937"/>
      <c r="BU34" s="970" t="s">
        <v>745</v>
      </c>
      <c r="CB34" s="1314">
        <v>100</v>
      </c>
      <c r="CC34" s="1314"/>
      <c r="CD34" s="1314"/>
      <c r="CE34" s="1314"/>
      <c r="CF34" s="1314"/>
      <c r="CG34" s="1319">
        <v>175</v>
      </c>
      <c r="CH34" s="1314"/>
      <c r="CI34" s="1314"/>
      <c r="CJ34" s="1314"/>
      <c r="CK34" s="1314"/>
      <c r="CL34" s="1314">
        <v>175</v>
      </c>
      <c r="CQ34" s="1565"/>
      <c r="CV34" s="1312"/>
      <c r="DA34" s="958"/>
      <c r="DF34" s="958"/>
      <c r="DG34" s="981"/>
      <c r="DL34" s="918" t="s">
        <v>847</v>
      </c>
      <c r="DM34" s="937"/>
      <c r="DN34" s="937"/>
      <c r="DO34" s="867">
        <v>7</v>
      </c>
      <c r="DP34" s="726"/>
      <c r="DQ34" s="937" t="s">
        <v>860</v>
      </c>
      <c r="DR34" s="937"/>
      <c r="DS34" s="937"/>
      <c r="DT34" s="937"/>
      <c r="DU34" s="937"/>
      <c r="DV34" s="982">
        <v>2</v>
      </c>
      <c r="DW34" s="918"/>
      <c r="DX34" s="937"/>
      <c r="DY34" s="937"/>
      <c r="EA34" s="918"/>
      <c r="EB34" s="787"/>
      <c r="EC34" s="918"/>
      <c r="ED34" s="918"/>
      <c r="EE34" s="918"/>
      <c r="EF34" s="918"/>
      <c r="EG34" s="918"/>
      <c r="EH34" s="918"/>
      <c r="EI34" s="918"/>
      <c r="EJ34" s="918"/>
      <c r="EK34" s="918"/>
      <c r="EL34" s="937"/>
      <c r="EM34" s="977"/>
      <c r="EN34" s="937"/>
      <c r="EO34" s="937"/>
      <c r="EP34" s="937"/>
      <c r="EQ34" s="937"/>
    </row>
    <row r="35" spans="1:147">
      <c r="A35" s="937"/>
      <c r="C35" s="895" t="s">
        <v>491</v>
      </c>
      <c r="N35" s="980"/>
      <c r="O35" s="980"/>
      <c r="P35" s="980"/>
      <c r="Q35" s="980"/>
      <c r="R35" s="980"/>
      <c r="S35" s="980"/>
      <c r="T35" s="980"/>
      <c r="U35" s="980"/>
      <c r="V35" s="980"/>
      <c r="W35" s="980"/>
      <c r="X35" s="980">
        <f>Distribution!X64</f>
        <v>0.17615338526063518</v>
      </c>
      <c r="Y35" s="980"/>
      <c r="Z35" s="980"/>
      <c r="AA35" s="980"/>
      <c r="AB35" s="980"/>
      <c r="AC35" s="980">
        <f>Distribution!AC64</f>
        <v>-9.6790626591951145E-2</v>
      </c>
      <c r="AD35" s="980"/>
      <c r="AE35" s="980"/>
      <c r="AF35" s="980"/>
      <c r="AG35" s="980"/>
      <c r="AH35" s="980">
        <f>Distribution!AH64</f>
        <v>0.173716864072194</v>
      </c>
      <c r="AI35" s="980"/>
      <c r="AJ35" s="980"/>
      <c r="AK35" s="980"/>
      <c r="AL35" s="980"/>
      <c r="AM35" s="980">
        <f>Distribution!AM64</f>
        <v>7.7366650648726498E-2</v>
      </c>
      <c r="AN35" s="113"/>
      <c r="AO35" s="113"/>
      <c r="AP35" s="113"/>
      <c r="AQ35" s="113"/>
      <c r="AR35" s="980">
        <f>Distribution!AR64</f>
        <v>8.6529884032114257E-2</v>
      </c>
      <c r="AS35" s="113"/>
      <c r="AT35" s="113"/>
      <c r="AU35" s="113"/>
      <c r="AV35" s="113"/>
      <c r="AW35" s="980">
        <f>Distribution!AW64</f>
        <v>3.3251231527093639E-2</v>
      </c>
      <c r="AX35" s="113"/>
      <c r="AY35" s="113"/>
      <c r="AZ35" s="113"/>
      <c r="BA35" s="113"/>
      <c r="BB35" s="980">
        <f>Distribution!BB64</f>
        <v>0.01</v>
      </c>
      <c r="BC35" s="113"/>
      <c r="BD35" s="113"/>
      <c r="BE35" s="113"/>
      <c r="BF35" s="113"/>
      <c r="BG35" s="980">
        <f>Distribution!BG64</f>
        <v>0.01</v>
      </c>
      <c r="BH35" s="113"/>
      <c r="BI35" s="113"/>
      <c r="BJ35" s="113"/>
      <c r="BK35" s="113"/>
      <c r="BL35" s="980">
        <f>Distribution!BL64</f>
        <v>0.01</v>
      </c>
      <c r="BM35" s="113"/>
      <c r="BN35" s="113"/>
      <c r="BO35" s="113"/>
      <c r="BP35" s="113"/>
      <c r="BQ35" s="980">
        <f>Distribution!BQ64</f>
        <v>0.01</v>
      </c>
      <c r="BR35" s="937"/>
      <c r="BS35" s="937"/>
      <c r="BU35" s="970" t="s">
        <v>530</v>
      </c>
      <c r="CB35" s="1314">
        <v>100</v>
      </c>
      <c r="CC35" s="1314"/>
      <c r="CD35" s="1314"/>
      <c r="CE35" s="1314"/>
      <c r="CF35" s="1314"/>
      <c r="CG35" s="1319">
        <v>165</v>
      </c>
      <c r="CH35" s="1314"/>
      <c r="CI35" s="1314"/>
      <c r="CJ35" s="1314"/>
      <c r="CK35" s="1314"/>
      <c r="CL35" s="1314">
        <v>175</v>
      </c>
      <c r="CQ35" s="1312"/>
      <c r="CV35" s="1312"/>
      <c r="DA35" s="958"/>
      <c r="DF35" s="958"/>
      <c r="DL35" s="918" t="s">
        <v>492</v>
      </c>
      <c r="DM35" s="937"/>
      <c r="DN35" s="937"/>
      <c r="DO35" s="201">
        <f>DO33/DO34</f>
        <v>0.42857142857142855</v>
      </c>
      <c r="DP35" s="937"/>
      <c r="DQ35" s="937" t="s">
        <v>861</v>
      </c>
      <c r="DR35" s="937"/>
      <c r="DS35" s="937"/>
      <c r="DT35" s="937"/>
      <c r="DU35" s="937"/>
      <c r="DV35" s="176">
        <v>0.02</v>
      </c>
      <c r="DW35" s="949">
        <v>1</v>
      </c>
      <c r="DX35" s="937"/>
      <c r="DY35" s="937"/>
      <c r="EA35" s="918"/>
      <c r="EB35" s="918"/>
      <c r="EC35" s="918"/>
      <c r="ED35" s="918"/>
      <c r="EE35" s="918"/>
      <c r="EF35" s="918"/>
      <c r="EG35" s="918"/>
      <c r="EH35" s="918"/>
      <c r="EI35" s="918"/>
      <c r="EJ35" s="918"/>
      <c r="EK35" s="918"/>
      <c r="EL35" s="937"/>
      <c r="EM35" s="977"/>
      <c r="EN35" s="937"/>
      <c r="EO35" s="937"/>
      <c r="EP35" s="937"/>
      <c r="EQ35" s="937"/>
    </row>
    <row r="36" spans="1:147">
      <c r="A36" s="937"/>
      <c r="N36" s="980"/>
      <c r="O36" s="980"/>
      <c r="P36" s="980"/>
      <c r="Q36" s="980"/>
      <c r="R36" s="980"/>
      <c r="S36" s="980"/>
      <c r="T36" s="980"/>
      <c r="U36" s="980"/>
      <c r="V36" s="980"/>
      <c r="W36" s="980"/>
      <c r="X36" s="980"/>
      <c r="Y36" s="980"/>
      <c r="Z36" s="980"/>
      <c r="AA36" s="980"/>
      <c r="AB36" s="980"/>
      <c r="AC36" s="980"/>
      <c r="AD36" s="980"/>
      <c r="AE36" s="980"/>
      <c r="AF36" s="980"/>
      <c r="AG36" s="980"/>
      <c r="AH36" s="980"/>
      <c r="AI36" s="980"/>
      <c r="AJ36" s="980"/>
      <c r="AK36" s="980"/>
      <c r="AL36" s="980"/>
      <c r="AM36" s="980"/>
      <c r="AN36" s="113"/>
      <c r="AO36" s="113"/>
      <c r="AP36" s="113"/>
      <c r="AQ36" s="113"/>
      <c r="AR36" s="980"/>
      <c r="AS36" s="113"/>
      <c r="AT36" s="113"/>
      <c r="AU36" s="113"/>
      <c r="AV36" s="113"/>
      <c r="AW36" s="980"/>
      <c r="AX36" s="113"/>
      <c r="AY36" s="113"/>
      <c r="AZ36" s="113"/>
      <c r="BA36" s="113"/>
      <c r="BB36" s="980"/>
      <c r="BC36" s="113"/>
      <c r="BD36" s="113"/>
      <c r="BE36" s="113"/>
      <c r="BF36" s="113"/>
      <c r="BG36" s="980"/>
      <c r="BH36" s="113"/>
      <c r="BI36" s="113"/>
      <c r="BJ36" s="113"/>
      <c r="BK36" s="113"/>
      <c r="BL36" s="980"/>
      <c r="BM36" s="113"/>
      <c r="BN36" s="113"/>
      <c r="BO36" s="113"/>
      <c r="BP36" s="113"/>
      <c r="BQ36" s="980"/>
      <c r="BR36" s="937"/>
      <c r="BS36" s="937"/>
      <c r="BU36" s="1703" t="s">
        <v>89</v>
      </c>
      <c r="CB36" s="1314" t="s">
        <v>704</v>
      </c>
      <c r="CC36" s="1314"/>
      <c r="CD36" s="1314"/>
      <c r="CE36" s="1314"/>
      <c r="CF36" s="1314"/>
      <c r="CG36" s="1319" t="s">
        <v>704</v>
      </c>
      <c r="CH36" s="1314"/>
      <c r="CI36" s="1314"/>
      <c r="CJ36" s="1314"/>
      <c r="CK36" s="1314"/>
      <c r="CL36" s="1314" t="s">
        <v>704</v>
      </c>
      <c r="DL36" s="918" t="s">
        <v>493</v>
      </c>
      <c r="DM36" s="937"/>
      <c r="DN36" s="937"/>
      <c r="DO36" s="201">
        <f>(DO34-DO33)/DO34</f>
        <v>0.5714285714285714</v>
      </c>
      <c r="DP36" s="937"/>
      <c r="DQ36" s="937" t="s">
        <v>862</v>
      </c>
      <c r="DR36" s="937"/>
      <c r="DS36" s="937"/>
      <c r="DT36" s="937"/>
      <c r="DU36" s="937"/>
      <c r="DV36" s="867">
        <f>DO50</f>
        <v>-26.243421743460665</v>
      </c>
      <c r="DW36" s="949">
        <v>2</v>
      </c>
      <c r="DX36" s="937"/>
      <c r="DY36" s="937"/>
      <c r="EA36" s="918"/>
      <c r="EB36" s="918"/>
      <c r="EC36" s="918"/>
      <c r="ED36" s="918"/>
      <c r="EE36" s="918"/>
      <c r="EF36" s="918"/>
      <c r="EG36" s="918"/>
      <c r="EH36" s="918"/>
      <c r="EI36" s="918"/>
      <c r="EJ36" s="918"/>
      <c r="EK36" s="918"/>
      <c r="EL36" s="937"/>
      <c r="EM36" s="977"/>
      <c r="EN36" s="937"/>
      <c r="EO36" s="937"/>
      <c r="EP36" s="937"/>
      <c r="EQ36" s="937"/>
    </row>
    <row r="37" spans="1:147">
      <c r="A37" s="937"/>
      <c r="C37" s="927" t="s">
        <v>37</v>
      </c>
      <c r="N37" s="980"/>
      <c r="O37" s="980"/>
      <c r="P37" s="980"/>
      <c r="Q37" s="980"/>
      <c r="R37" s="980"/>
      <c r="S37" s="980"/>
      <c r="T37" s="980"/>
      <c r="U37" s="980"/>
      <c r="V37" s="980"/>
      <c r="W37" s="980"/>
      <c r="X37" s="980">
        <f>+Distribution!X71</f>
        <v>0.18636239220463066</v>
      </c>
      <c r="Y37" s="980"/>
      <c r="Z37" s="980"/>
      <c r="AA37" s="980"/>
      <c r="AB37" s="980"/>
      <c r="AC37" s="980">
        <f>+Distribution!AC71</f>
        <v>0.17501429458644979</v>
      </c>
      <c r="AD37" s="980"/>
      <c r="AE37" s="980"/>
      <c r="AF37" s="980"/>
      <c r="AG37" s="980"/>
      <c r="AH37" s="980">
        <f>+Distribution!AH71</f>
        <v>0.14778017298809246</v>
      </c>
      <c r="AI37" s="980"/>
      <c r="AJ37" s="980"/>
      <c r="AK37" s="980"/>
      <c r="AL37" s="980"/>
      <c r="AM37" s="980">
        <f>+Distribution!AM71</f>
        <v>0.12645766567938019</v>
      </c>
      <c r="AN37" s="113"/>
      <c r="AO37" s="113"/>
      <c r="AP37" s="113"/>
      <c r="AQ37" s="113"/>
      <c r="AR37" s="980">
        <f>+Distribution!AR71</f>
        <v>0.11495976702122478</v>
      </c>
      <c r="AS37" s="113"/>
      <c r="AT37" s="113"/>
      <c r="AU37" s="113"/>
      <c r="AV37" s="113"/>
      <c r="AW37" s="980">
        <f>+Distribution!AW71</f>
        <v>0.1409055548076226</v>
      </c>
      <c r="AX37" s="113"/>
      <c r="AY37" s="113"/>
      <c r="AZ37" s="113"/>
      <c r="BA37" s="113"/>
      <c r="BB37" s="980">
        <f>+Distribution!BB71</f>
        <v>0.1558814810299006</v>
      </c>
      <c r="BC37" s="113"/>
      <c r="BD37" s="113"/>
      <c r="BE37" s="113"/>
      <c r="BF37" s="113"/>
      <c r="BG37" s="980">
        <f>+Distribution!BG71</f>
        <v>0.1553755075564251</v>
      </c>
      <c r="BH37" s="113"/>
      <c r="BI37" s="113"/>
      <c r="BJ37" s="113"/>
      <c r="BK37" s="113"/>
      <c r="BL37" s="980">
        <f>+Distribution!BL71</f>
        <v>0.13399448044665097</v>
      </c>
      <c r="BM37" s="113"/>
      <c r="BN37" s="113"/>
      <c r="BO37" s="113"/>
      <c r="BP37" s="113"/>
      <c r="BQ37" s="980">
        <f>+Distribution!BQ71</f>
        <v>0.13380842337583171</v>
      </c>
      <c r="BR37" s="937"/>
      <c r="BS37" s="937"/>
      <c r="BU37" s="1698" t="s">
        <v>950</v>
      </c>
      <c r="CB37" s="1314">
        <v>0</v>
      </c>
      <c r="CC37" s="1314"/>
      <c r="CD37" s="1314"/>
      <c r="CE37" s="1314"/>
      <c r="CF37" s="1314"/>
      <c r="CG37" s="1845">
        <v>0</v>
      </c>
      <c r="CH37" s="1314"/>
      <c r="CI37" s="1314"/>
      <c r="CJ37" s="1314"/>
      <c r="CK37" s="1314"/>
      <c r="CL37" s="1314">
        <v>0</v>
      </c>
      <c r="DL37" s="918" t="s">
        <v>848</v>
      </c>
      <c r="DM37" s="937"/>
      <c r="DN37" s="937"/>
      <c r="DO37" s="174">
        <v>6.5000000000000002E-2</v>
      </c>
      <c r="DP37" s="937"/>
      <c r="DQ37" s="937"/>
      <c r="DR37" s="937"/>
      <c r="DS37" s="937"/>
      <c r="DT37" s="937"/>
      <c r="DU37" s="937"/>
      <c r="DV37" s="964"/>
      <c r="DW37" s="918"/>
      <c r="DX37" s="937"/>
      <c r="DY37" s="937"/>
      <c r="EA37" s="918"/>
      <c r="EB37" s="918"/>
      <c r="EC37" s="918"/>
      <c r="ED37" s="918"/>
      <c r="EE37" s="918"/>
      <c r="EF37" s="918"/>
      <c r="EG37" s="918"/>
      <c r="EH37" s="918"/>
      <c r="EI37" s="918"/>
      <c r="EJ37" s="918"/>
      <c r="EK37" s="918"/>
      <c r="EL37" s="937"/>
      <c r="EM37" s="977"/>
      <c r="EN37" s="937"/>
      <c r="EO37" s="937"/>
      <c r="EP37" s="937"/>
      <c r="EQ37" s="937"/>
    </row>
    <row r="38" spans="1:147">
      <c r="A38" s="937"/>
      <c r="C38" s="927" t="s">
        <v>885</v>
      </c>
      <c r="N38" s="980"/>
      <c r="O38" s="980"/>
      <c r="P38" s="980"/>
      <c r="Q38" s="980"/>
      <c r="R38" s="980"/>
      <c r="S38" s="980"/>
      <c r="T38" s="980"/>
      <c r="U38" s="980"/>
      <c r="V38" s="980"/>
      <c r="W38" s="980"/>
      <c r="X38" s="980">
        <f>Distribution!X214</f>
        <v>0.41547377454131867</v>
      </c>
      <c r="Y38" s="980"/>
      <c r="Z38" s="980"/>
      <c r="AA38" s="980"/>
      <c r="AB38" s="980"/>
      <c r="AC38" s="980">
        <f>Distribution!AC214</f>
        <v>0.42917533022412802</v>
      </c>
      <c r="AD38" s="980"/>
      <c r="AE38" s="980"/>
      <c r="AF38" s="980"/>
      <c r="AG38" s="980"/>
      <c r="AH38" s="980">
        <f>Distribution!AH214</f>
        <v>0.44233247142659154</v>
      </c>
      <c r="AI38" s="980"/>
      <c r="AJ38" s="980"/>
      <c r="AK38" s="980"/>
      <c r="AL38" s="980"/>
      <c r="AM38" s="980">
        <f>Distribution!AM214</f>
        <v>0.44945214876018214</v>
      </c>
      <c r="AN38" s="918"/>
      <c r="AO38" s="918"/>
      <c r="AP38" s="918"/>
      <c r="AQ38" s="918"/>
      <c r="AR38" s="980">
        <f>Distribution!AR214</f>
        <v>0.48227708562973293</v>
      </c>
      <c r="AS38" s="918"/>
      <c r="AT38" s="918"/>
      <c r="AU38" s="918"/>
      <c r="AV38" s="918"/>
      <c r="AW38" s="980">
        <f>Distribution!AW214</f>
        <v>0.51427293629242721</v>
      </c>
      <c r="AX38" s="918"/>
      <c r="AY38" s="918"/>
      <c r="AZ38" s="918"/>
      <c r="BA38" s="918"/>
      <c r="BB38" s="980">
        <f>Distribution!BB214</f>
        <v>0.5147171019203115</v>
      </c>
      <c r="BC38" s="918"/>
      <c r="BD38" s="918"/>
      <c r="BE38" s="918"/>
      <c r="BF38" s="918"/>
      <c r="BG38" s="980">
        <f>Distribution!BG214</f>
        <v>0.51306252204500558</v>
      </c>
      <c r="BH38" s="918"/>
      <c r="BI38" s="918"/>
      <c r="BJ38" s="918"/>
      <c r="BK38" s="918"/>
      <c r="BL38" s="980">
        <f>Distribution!BL214</f>
        <v>0.51382456951399336</v>
      </c>
      <c r="BM38" s="918"/>
      <c r="BN38" s="918"/>
      <c r="BO38" s="918"/>
      <c r="BP38" s="918"/>
      <c r="BQ38" s="980">
        <f>Distribution!BQ214</f>
        <v>0.51678518473551338</v>
      </c>
      <c r="BR38" s="937"/>
      <c r="BS38" s="937"/>
      <c r="CG38" s="1844"/>
      <c r="DH38" s="188"/>
      <c r="DI38" s="188"/>
      <c r="DL38" s="918" t="s">
        <v>849</v>
      </c>
      <c r="DM38" s="937"/>
      <c r="DN38" s="937"/>
      <c r="DO38" s="174">
        <v>0.03</v>
      </c>
      <c r="DP38" s="937"/>
      <c r="DR38" s="984"/>
      <c r="DS38" s="985"/>
      <c r="DT38" s="985"/>
      <c r="DU38" s="985"/>
      <c r="DV38" s="937"/>
      <c r="DW38" s="918"/>
      <c r="DX38" s="937"/>
      <c r="DY38" s="937"/>
      <c r="EA38" s="918"/>
      <c r="EB38" s="918"/>
      <c r="EC38" s="918"/>
      <c r="ED38" s="918"/>
      <c r="EE38" s="918"/>
      <c r="EF38" s="918"/>
      <c r="EG38" s="918"/>
      <c r="EH38" s="918"/>
      <c r="EI38" s="918"/>
      <c r="EJ38" s="918"/>
      <c r="EK38" s="918"/>
      <c r="EL38" s="937"/>
      <c r="EM38" s="977"/>
      <c r="EN38" s="937"/>
      <c r="EO38" s="937"/>
      <c r="EP38" s="937"/>
      <c r="EQ38" s="937"/>
    </row>
    <row r="39" spans="1:147">
      <c r="A39" s="937"/>
      <c r="N39" s="980"/>
      <c r="O39" s="980"/>
      <c r="P39" s="980"/>
      <c r="Q39" s="980"/>
      <c r="R39" s="980"/>
      <c r="S39" s="980"/>
      <c r="T39" s="980"/>
      <c r="U39" s="980"/>
      <c r="V39" s="980"/>
      <c r="W39" s="980"/>
      <c r="X39" s="980"/>
      <c r="Y39" s="980"/>
      <c r="Z39" s="980"/>
      <c r="AA39" s="980"/>
      <c r="AB39" s="980"/>
      <c r="AC39" s="980"/>
      <c r="AD39" s="980"/>
      <c r="AE39" s="980"/>
      <c r="AF39" s="980"/>
      <c r="AG39" s="980"/>
      <c r="AH39" s="980"/>
      <c r="AI39" s="980"/>
      <c r="AJ39" s="980"/>
      <c r="AK39" s="980"/>
      <c r="AL39" s="980"/>
      <c r="AM39" s="980"/>
      <c r="AN39" s="918"/>
      <c r="AO39" s="918"/>
      <c r="AP39" s="918"/>
      <c r="AQ39" s="918"/>
      <c r="AR39" s="980"/>
      <c r="AS39" s="918"/>
      <c r="AT39" s="918"/>
      <c r="AU39" s="918"/>
      <c r="AV39" s="918"/>
      <c r="AW39" s="980"/>
      <c r="AX39" s="918"/>
      <c r="AY39" s="918"/>
      <c r="AZ39" s="918"/>
      <c r="BA39" s="918"/>
      <c r="BB39" s="980"/>
      <c r="BC39" s="918"/>
      <c r="BD39" s="918"/>
      <c r="BE39" s="918"/>
      <c r="BF39" s="918"/>
      <c r="BG39" s="980"/>
      <c r="BH39" s="918"/>
      <c r="BI39" s="918"/>
      <c r="BJ39" s="918"/>
      <c r="BK39" s="918"/>
      <c r="BL39" s="980"/>
      <c r="BM39" s="918"/>
      <c r="BN39" s="918"/>
      <c r="BO39" s="918"/>
      <c r="BP39" s="918"/>
      <c r="BQ39" s="980"/>
      <c r="BR39" s="937"/>
      <c r="BS39" s="937"/>
      <c r="BU39" s="971">
        <f ca="1">TODAY()</f>
        <v>43215</v>
      </c>
      <c r="BV39" s="972"/>
      <c r="BW39" s="973">
        <v>42004</v>
      </c>
      <c r="BX39" s="973"/>
      <c r="BY39" s="973"/>
      <c r="BZ39" s="973"/>
      <c r="CA39" s="973"/>
      <c r="CB39" s="973">
        <v>42369</v>
      </c>
      <c r="CC39" s="973"/>
      <c r="CD39" s="973"/>
      <c r="CE39" s="973"/>
      <c r="CF39" s="973"/>
      <c r="CG39" s="973">
        <v>42735</v>
      </c>
      <c r="CH39" s="973"/>
      <c r="CI39" s="973"/>
      <c r="CJ39" s="973"/>
      <c r="CK39" s="973"/>
      <c r="CL39" s="973">
        <v>43100</v>
      </c>
      <c r="CM39" s="973"/>
      <c r="CN39" s="973"/>
      <c r="CO39" s="973"/>
      <c r="CP39" s="973"/>
      <c r="CQ39" s="973">
        <v>43465</v>
      </c>
      <c r="CV39" s="973">
        <v>43830</v>
      </c>
      <c r="DA39" s="973">
        <v>44196</v>
      </c>
      <c r="DF39" s="973">
        <v>44561</v>
      </c>
      <c r="DG39" s="188"/>
      <c r="DL39" s="937" t="s">
        <v>851</v>
      </c>
      <c r="DM39" s="937"/>
      <c r="DN39" s="937"/>
      <c r="DO39" s="174">
        <v>0.06</v>
      </c>
      <c r="DP39" s="937"/>
      <c r="DW39" s="918"/>
      <c r="DX39" s="937"/>
      <c r="DY39" s="937"/>
      <c r="EA39" s="918"/>
      <c r="EB39" s="918"/>
      <c r="EC39" s="918"/>
      <c r="ED39" s="918"/>
      <c r="EE39" s="918"/>
      <c r="EF39" s="918"/>
      <c r="EG39" s="918"/>
      <c r="EH39" s="918"/>
      <c r="EI39" s="918"/>
      <c r="EJ39" s="918"/>
      <c r="EK39" s="918"/>
      <c r="EL39" s="937"/>
      <c r="EM39" s="977"/>
      <c r="EN39" s="937"/>
      <c r="EO39" s="937"/>
      <c r="EP39" s="937"/>
      <c r="EQ39" s="937"/>
    </row>
    <row r="40" spans="1:147">
      <c r="A40" s="937"/>
      <c r="C40" s="895" t="s">
        <v>494</v>
      </c>
      <c r="N40" s="980"/>
      <c r="O40" s="980"/>
      <c r="P40" s="980"/>
      <c r="Q40" s="980"/>
      <c r="R40" s="980"/>
      <c r="S40" s="980"/>
      <c r="T40" s="980"/>
      <c r="U40" s="980"/>
      <c r="V40" s="980"/>
      <c r="W40" s="980"/>
      <c r="X40" s="980">
        <f>Distribution!X217</f>
        <v>0.105</v>
      </c>
      <c r="Y40" s="980"/>
      <c r="Z40" s="980"/>
      <c r="AA40" s="980"/>
      <c r="AB40" s="980"/>
      <c r="AC40" s="980">
        <f>Distribution!AC217</f>
        <v>0.105</v>
      </c>
      <c r="AD40" s="980"/>
      <c r="AE40" s="980"/>
      <c r="AF40" s="980"/>
      <c r="AG40" s="980"/>
      <c r="AH40" s="980">
        <f>Distribution!AH217</f>
        <v>0.105</v>
      </c>
      <c r="AI40" s="980"/>
      <c r="AJ40" s="980"/>
      <c r="AK40" s="980"/>
      <c r="AL40" s="980"/>
      <c r="AM40" s="980">
        <f>Distribution!AM217</f>
        <v>0.105</v>
      </c>
      <c r="AN40" s="948"/>
      <c r="AO40" s="948"/>
      <c r="AP40" s="948"/>
      <c r="AQ40" s="948"/>
      <c r="AR40" s="980">
        <f>Distribution!AR217</f>
        <v>0.105</v>
      </c>
      <c r="AS40" s="948"/>
      <c r="AT40" s="948"/>
      <c r="AU40" s="948"/>
      <c r="AV40" s="948"/>
      <c r="AW40" s="980">
        <f>Distribution!AW217</f>
        <v>0.105</v>
      </c>
      <c r="AX40" s="948"/>
      <c r="AY40" s="948"/>
      <c r="AZ40" s="948"/>
      <c r="BA40" s="948"/>
      <c r="BB40" s="980">
        <f>Distribution!BB217</f>
        <v>0.105</v>
      </c>
      <c r="BC40" s="948"/>
      <c r="BD40" s="948"/>
      <c r="BE40" s="948"/>
      <c r="BF40" s="948"/>
      <c r="BG40" s="980">
        <f>Distribution!BG217</f>
        <v>0.105</v>
      </c>
      <c r="BH40" s="948"/>
      <c r="BI40" s="948"/>
      <c r="BJ40" s="948"/>
      <c r="BK40" s="948"/>
      <c r="BL40" s="980">
        <f>Distribution!BL217</f>
        <v>0.105</v>
      </c>
      <c r="BM40" s="948"/>
      <c r="BN40" s="948"/>
      <c r="BO40" s="948"/>
      <c r="BP40" s="948"/>
      <c r="BQ40" s="980">
        <f>Distribution!BQ217</f>
        <v>0.105</v>
      </c>
      <c r="BR40" s="937"/>
      <c r="BS40" s="937"/>
      <c r="BT40" s="908" t="s">
        <v>317</v>
      </c>
      <c r="BU40" s="908"/>
      <c r="BV40" s="909"/>
      <c r="BW40" s="910" t="s">
        <v>964</v>
      </c>
      <c r="BX40" s="910"/>
      <c r="BY40" s="910"/>
      <c r="BZ40" s="910"/>
      <c r="CA40" s="910"/>
      <c r="CB40" s="910" t="s">
        <v>1011</v>
      </c>
      <c r="CC40" s="910"/>
      <c r="CD40" s="910"/>
      <c r="CE40" s="910"/>
      <c r="CF40" s="910"/>
      <c r="CG40" s="910" t="s">
        <v>1158</v>
      </c>
      <c r="CH40" s="910"/>
      <c r="CI40" s="910"/>
      <c r="CJ40" s="910"/>
      <c r="CK40" s="910"/>
      <c r="CL40" s="910" t="s">
        <v>1220</v>
      </c>
      <c r="CM40" s="910"/>
      <c r="CN40" s="910"/>
      <c r="CO40" s="910"/>
      <c r="CP40" s="910"/>
      <c r="CQ40" s="910" t="s">
        <v>138</v>
      </c>
      <c r="CV40" s="910" t="s">
        <v>969</v>
      </c>
      <c r="DA40" s="910" t="s">
        <v>970</v>
      </c>
      <c r="DF40" s="910" t="s">
        <v>1135</v>
      </c>
      <c r="DL40" s="937" t="s">
        <v>495</v>
      </c>
      <c r="DM40" s="937"/>
      <c r="DN40" s="937"/>
      <c r="DO40" s="175">
        <v>1.3</v>
      </c>
      <c r="DP40" s="937"/>
      <c r="DW40" s="918"/>
      <c r="DX40" s="937"/>
      <c r="DY40" s="937"/>
      <c r="EA40" s="918"/>
      <c r="EB40" s="918"/>
      <c r="EC40" s="918"/>
      <c r="ED40" s="918"/>
      <c r="EE40" s="918"/>
      <c r="EF40" s="918"/>
      <c r="EG40" s="918"/>
      <c r="EH40" s="918"/>
      <c r="EI40" s="918"/>
      <c r="EJ40" s="918"/>
      <c r="EK40" s="918"/>
      <c r="EL40" s="937"/>
      <c r="EM40" s="977"/>
      <c r="EN40" s="937"/>
      <c r="EO40" s="937"/>
      <c r="EP40" s="937"/>
      <c r="EQ40" s="937"/>
    </row>
    <row r="41" spans="1:147">
      <c r="A41" s="937"/>
      <c r="C41" s="895" t="s">
        <v>15</v>
      </c>
      <c r="N41" s="980"/>
      <c r="O41" s="980"/>
      <c r="P41" s="980"/>
      <c r="Q41" s="980"/>
      <c r="R41" s="980"/>
      <c r="S41" s="980"/>
      <c r="T41" s="980"/>
      <c r="U41" s="980"/>
      <c r="V41" s="980"/>
      <c r="W41" s="980"/>
      <c r="X41" s="980">
        <f>Distribution!X213</f>
        <v>0.5</v>
      </c>
      <c r="Y41" s="980"/>
      <c r="Z41" s="980"/>
      <c r="AA41" s="980"/>
      <c r="AB41" s="980"/>
      <c r="AC41" s="980">
        <f>Distribution!AC213</f>
        <v>0.5</v>
      </c>
      <c r="AD41" s="980"/>
      <c r="AE41" s="980"/>
      <c r="AF41" s="980"/>
      <c r="AG41" s="980"/>
      <c r="AH41" s="980">
        <f>Distribution!AH213</f>
        <v>0.5</v>
      </c>
      <c r="AI41" s="980"/>
      <c r="AJ41" s="980"/>
      <c r="AK41" s="980"/>
      <c r="AL41" s="980"/>
      <c r="AM41" s="980">
        <f>Distribution!AM213</f>
        <v>0.5</v>
      </c>
      <c r="AN41" s="948"/>
      <c r="AO41" s="948"/>
      <c r="AP41" s="948"/>
      <c r="AQ41" s="948"/>
      <c r="AR41" s="980">
        <f>Distribution!AR213</f>
        <v>0.5</v>
      </c>
      <c r="AS41" s="948"/>
      <c r="AT41" s="948"/>
      <c r="AU41" s="948"/>
      <c r="AV41" s="948"/>
      <c r="AW41" s="980">
        <f>Distribution!AW213</f>
        <v>0.5</v>
      </c>
      <c r="AX41" s="948"/>
      <c r="AY41" s="948"/>
      <c r="AZ41" s="948"/>
      <c r="BA41" s="948"/>
      <c r="BB41" s="980">
        <f>Distribution!BB213</f>
        <v>0.5</v>
      </c>
      <c r="BC41" s="948"/>
      <c r="BD41" s="948"/>
      <c r="BE41" s="948"/>
      <c r="BF41" s="948"/>
      <c r="BG41" s="980">
        <f>Distribution!BG213</f>
        <v>0.5</v>
      </c>
      <c r="BH41" s="948"/>
      <c r="BI41" s="948"/>
      <c r="BJ41" s="948"/>
      <c r="BK41" s="948"/>
      <c r="BL41" s="980">
        <f>Distribution!BL213</f>
        <v>0.5</v>
      </c>
      <c r="BM41" s="948"/>
      <c r="BN41" s="948"/>
      <c r="BO41" s="948"/>
      <c r="BP41" s="948"/>
      <c r="BQ41" s="980">
        <f>Distribution!BQ213</f>
        <v>0.5</v>
      </c>
      <c r="BR41" s="937"/>
      <c r="BS41" s="937"/>
      <c r="BU41" s="895" t="s">
        <v>199</v>
      </c>
      <c r="BW41" s="188">
        <f>Competitive!AH22</f>
        <v>-110</v>
      </c>
      <c r="BX41" s="188"/>
      <c r="BY41" s="188"/>
      <c r="BZ41" s="188"/>
      <c r="CA41" s="188"/>
      <c r="CB41" s="188">
        <f>Competitive!AM22</f>
        <v>686</v>
      </c>
      <c r="CC41" s="188"/>
      <c r="CD41" s="188"/>
      <c r="CE41" s="188"/>
      <c r="CF41" s="188"/>
      <c r="CG41" s="188">
        <f>Competitive!AR22</f>
        <v>-9873</v>
      </c>
      <c r="CH41" s="188"/>
      <c r="CI41" s="188"/>
      <c r="CJ41" s="188"/>
      <c r="CK41" s="188"/>
      <c r="CL41" s="188">
        <f>Competitive!AW22</f>
        <v>-2216</v>
      </c>
      <c r="CM41" s="188"/>
      <c r="CN41" s="188"/>
      <c r="CO41" s="188"/>
      <c r="CP41" s="188"/>
      <c r="CQ41" s="188">
        <f>Competitive!BB22</f>
        <v>125.28796487022311</v>
      </c>
      <c r="CR41" s="2163"/>
      <c r="CS41" s="2163"/>
      <c r="CT41" s="2163"/>
      <c r="CU41" s="2163"/>
      <c r="CV41" s="188">
        <f>Competitive!BG22</f>
        <v>-63.766607031391928</v>
      </c>
      <c r="CW41" s="2163"/>
      <c r="CX41" s="2163"/>
      <c r="CY41" s="2163"/>
      <c r="CZ41" s="2163"/>
      <c r="DA41" s="188">
        <f>Competitive!BL22</f>
        <v>-111.99240853960237</v>
      </c>
      <c r="DB41" s="2163"/>
      <c r="DC41" s="2163"/>
      <c r="DD41" s="2163"/>
      <c r="DE41" s="2163"/>
      <c r="DF41" s="188">
        <f>Competitive!BQ22</f>
        <v>61.901780621391481</v>
      </c>
      <c r="DI41" s="990"/>
      <c r="DL41" s="937" t="s">
        <v>294</v>
      </c>
      <c r="DM41" s="937"/>
      <c r="DN41" s="937"/>
      <c r="DO41" s="176">
        <v>0.37</v>
      </c>
      <c r="DP41" s="937"/>
      <c r="DW41" s="918"/>
      <c r="DX41" s="937"/>
      <c r="DY41" s="937"/>
      <c r="EA41" s="918"/>
      <c r="EB41" s="918"/>
      <c r="EC41" s="918"/>
      <c r="ED41" s="918"/>
      <c r="EE41" s="918"/>
      <c r="EF41" s="918"/>
      <c r="EG41" s="918"/>
      <c r="EH41" s="918"/>
      <c r="EI41" s="918"/>
      <c r="EJ41" s="918"/>
      <c r="EK41" s="918"/>
      <c r="EL41" s="937"/>
      <c r="EM41" s="977"/>
      <c r="EN41" s="937"/>
      <c r="EO41" s="937"/>
      <c r="EP41" s="937"/>
      <c r="EQ41" s="937"/>
    </row>
    <row r="42" spans="1:147">
      <c r="A42" s="937"/>
      <c r="N42" s="952"/>
      <c r="O42" s="952"/>
      <c r="P42" s="952"/>
      <c r="Q42" s="952"/>
      <c r="R42" s="952"/>
      <c r="S42" s="952"/>
      <c r="T42" s="952"/>
      <c r="U42" s="952"/>
      <c r="V42" s="952"/>
      <c r="W42" s="952"/>
      <c r="X42" s="952"/>
      <c r="Y42" s="952"/>
      <c r="Z42" s="952"/>
      <c r="AA42" s="952"/>
      <c r="AB42" s="952"/>
      <c r="AC42" s="952"/>
      <c r="AD42" s="952"/>
      <c r="AE42" s="952"/>
      <c r="AF42" s="952"/>
      <c r="AG42" s="952"/>
      <c r="AH42" s="952"/>
      <c r="AI42" s="952"/>
      <c r="AJ42" s="952"/>
      <c r="AK42" s="952"/>
      <c r="AL42" s="952"/>
      <c r="AM42" s="952"/>
      <c r="AN42" s="948"/>
      <c r="AO42" s="948"/>
      <c r="AP42" s="948"/>
      <c r="AQ42" s="948"/>
      <c r="AR42" s="952"/>
      <c r="AS42" s="948"/>
      <c r="AT42" s="948"/>
      <c r="AU42" s="948"/>
      <c r="AV42" s="948"/>
      <c r="AW42" s="952"/>
      <c r="AX42" s="948"/>
      <c r="AY42" s="948"/>
      <c r="AZ42" s="948"/>
      <c r="BA42" s="948"/>
      <c r="BB42" s="952"/>
      <c r="BC42" s="948"/>
      <c r="BD42" s="948"/>
      <c r="BE42" s="948"/>
      <c r="BF42" s="948"/>
      <c r="BG42" s="952"/>
      <c r="BH42" s="948"/>
      <c r="BI42" s="948"/>
      <c r="BJ42" s="948"/>
      <c r="BK42" s="948"/>
      <c r="BL42" s="952"/>
      <c r="BM42" s="948"/>
      <c r="BN42" s="948"/>
      <c r="BO42" s="948"/>
      <c r="BP42" s="948"/>
      <c r="BQ42" s="952"/>
      <c r="BR42" s="937"/>
      <c r="BS42" s="937"/>
      <c r="BU42" s="895" t="s">
        <v>221</v>
      </c>
      <c r="BW42" s="188">
        <f>Competitive!AH13</f>
        <v>387</v>
      </c>
      <c r="BX42" s="188"/>
      <c r="BY42" s="188"/>
      <c r="BZ42" s="188"/>
      <c r="CA42" s="188"/>
      <c r="CB42" s="188">
        <f>Competitive!AM13</f>
        <v>394</v>
      </c>
      <c r="CC42" s="188"/>
      <c r="CD42" s="188"/>
      <c r="CE42" s="188"/>
      <c r="CF42" s="188"/>
      <c r="CG42" s="188">
        <f>Competitive!AR13</f>
        <v>387</v>
      </c>
      <c r="CH42" s="188"/>
      <c r="CI42" s="188"/>
      <c r="CJ42" s="188"/>
      <c r="CK42" s="188"/>
      <c r="CL42" s="188">
        <f>Competitive!AW13</f>
        <v>118</v>
      </c>
      <c r="CM42" s="188"/>
      <c r="CN42" s="188"/>
      <c r="CO42" s="188"/>
      <c r="CP42" s="188"/>
      <c r="CQ42" s="188">
        <f>Competitive!BB13+55</f>
        <v>153.51838432840424</v>
      </c>
      <c r="CV42" s="188">
        <f>Competitive!BG13+55</f>
        <v>171.60515644484235</v>
      </c>
      <c r="DA42" s="188">
        <f>Competitive!BL13+55</f>
        <v>187.98350697498563</v>
      </c>
      <c r="DF42" s="188">
        <f>Competitive!BQ13+55</f>
        <v>202.81480823544916</v>
      </c>
      <c r="DL42" s="940" t="s">
        <v>496</v>
      </c>
      <c r="DM42" s="941"/>
      <c r="DN42" s="941"/>
      <c r="DO42" s="986">
        <f>(DO35*(DO37*(1-DO41)))+(DO36*(DO38+(DO39*DO40)))</f>
        <v>7.9264285714285704E-2</v>
      </c>
      <c r="DP42" s="937"/>
      <c r="DW42" s="918"/>
      <c r="DX42" s="937"/>
      <c r="DY42" s="937"/>
      <c r="EA42" s="918"/>
      <c r="EB42" s="918"/>
      <c r="EC42" s="918"/>
      <c r="ED42" s="918"/>
      <c r="EE42" s="918"/>
      <c r="EF42" s="918"/>
      <c r="EG42" s="918"/>
      <c r="EH42" s="918"/>
      <c r="EI42" s="918"/>
      <c r="EJ42" s="918"/>
      <c r="EK42" s="918"/>
      <c r="EL42" s="937"/>
      <c r="EM42" s="977"/>
      <c r="EN42" s="937"/>
      <c r="EO42" s="937"/>
      <c r="EP42" s="937"/>
      <c r="EQ42" s="937"/>
    </row>
    <row r="43" spans="1:147">
      <c r="A43" s="937"/>
      <c r="C43" s="1390" t="s">
        <v>474</v>
      </c>
      <c r="AN43" s="948"/>
      <c r="AO43" s="948"/>
      <c r="AP43" s="948"/>
      <c r="AQ43" s="948"/>
      <c r="AS43" s="948"/>
      <c r="AT43" s="948"/>
      <c r="AU43" s="948"/>
      <c r="AV43" s="948"/>
      <c r="AX43" s="948"/>
      <c r="AY43" s="948"/>
      <c r="AZ43" s="948"/>
      <c r="BA43" s="948"/>
      <c r="BC43" s="948"/>
      <c r="BD43" s="948"/>
      <c r="BE43" s="948"/>
      <c r="BF43" s="948"/>
      <c r="BH43" s="948"/>
      <c r="BI43" s="948"/>
      <c r="BJ43" s="948"/>
      <c r="BK43" s="948"/>
      <c r="BM43" s="948"/>
      <c r="BN43" s="948"/>
      <c r="BO43" s="948"/>
      <c r="BP43" s="948"/>
      <c r="BR43" s="937"/>
      <c r="BS43" s="937"/>
      <c r="BU43" s="895" t="s">
        <v>200</v>
      </c>
      <c r="BW43" s="188">
        <f>Competitive!AH24</f>
        <v>189</v>
      </c>
      <c r="BX43" s="188"/>
      <c r="BY43" s="188"/>
      <c r="BZ43" s="188"/>
      <c r="CA43" s="188"/>
      <c r="CB43" s="188">
        <f>Competitive!AM24</f>
        <v>192</v>
      </c>
      <c r="CC43" s="188"/>
      <c r="CD43" s="188"/>
      <c r="CE43" s="188"/>
      <c r="CF43" s="188"/>
      <c r="CG43" s="188">
        <f>Competitive!AR24</f>
        <v>194</v>
      </c>
      <c r="CH43" s="188"/>
      <c r="CI43" s="188"/>
      <c r="CJ43" s="188"/>
      <c r="CK43" s="188"/>
      <c r="CL43" s="188">
        <f>Competitive!AW24</f>
        <v>179</v>
      </c>
      <c r="CM43" s="188"/>
      <c r="CN43" s="188"/>
      <c r="CO43" s="188"/>
      <c r="CP43" s="188"/>
      <c r="CQ43" s="188">
        <f>Competitive!BB24</f>
        <v>171.26100917890173</v>
      </c>
      <c r="CV43" s="188">
        <f>Competitive!BG24</f>
        <v>167.98714816469686</v>
      </c>
      <c r="DA43" s="188">
        <f>Competitive!BL24</f>
        <v>169.04818828266107</v>
      </c>
      <c r="DF43" s="188">
        <f>Competitive!BQ24</f>
        <v>171.55959866970289</v>
      </c>
      <c r="DP43" s="937"/>
      <c r="DW43" s="918"/>
      <c r="DX43" s="937"/>
      <c r="DY43" s="937"/>
      <c r="EA43" s="918"/>
      <c r="EB43" s="918"/>
      <c r="EC43" s="918"/>
      <c r="ED43" s="918"/>
      <c r="EE43" s="918"/>
      <c r="EF43" s="918"/>
      <c r="EG43" s="918"/>
      <c r="EH43" s="918"/>
      <c r="EI43" s="918"/>
      <c r="EJ43" s="918"/>
      <c r="EK43" s="918"/>
      <c r="EL43" s="937"/>
      <c r="EM43" s="977"/>
      <c r="EN43" s="937"/>
      <c r="EO43" s="937"/>
      <c r="EP43" s="937"/>
      <c r="EQ43" s="937"/>
    </row>
    <row r="44" spans="1:147">
      <c r="A44" s="937"/>
      <c r="C44" s="927" t="s">
        <v>37</v>
      </c>
      <c r="N44" s="952"/>
      <c r="O44" s="952"/>
      <c r="P44" s="952"/>
      <c r="Q44" s="952"/>
      <c r="R44" s="952"/>
      <c r="S44" s="952"/>
      <c r="T44" s="952"/>
      <c r="U44" s="952"/>
      <c r="V44" s="952"/>
      <c r="W44" s="952"/>
      <c r="X44" s="952">
        <f>+Transmission!X59</f>
        <v>0</v>
      </c>
      <c r="Y44" s="952"/>
      <c r="Z44" s="952"/>
      <c r="AA44" s="952"/>
      <c r="AB44" s="952"/>
      <c r="AC44" s="952">
        <f>+Transmission!AC59</f>
        <v>0.16589147286821707</v>
      </c>
      <c r="AD44" s="952"/>
      <c r="AE44" s="952"/>
      <c r="AF44" s="952"/>
      <c r="AG44" s="952"/>
      <c r="AH44" s="952">
        <f>+Transmission!AH59</f>
        <v>0.13404507710557534</v>
      </c>
      <c r="AI44" s="952"/>
      <c r="AJ44" s="952"/>
      <c r="AK44" s="952"/>
      <c r="AL44" s="952"/>
      <c r="AM44" s="952">
        <f>+Transmission!AM59</f>
        <v>0.13726835964310227</v>
      </c>
      <c r="AN44" s="948"/>
      <c r="AO44" s="948"/>
      <c r="AP44" s="948"/>
      <c r="AQ44" s="948"/>
      <c r="AR44" s="952">
        <f>+Transmission!AR59</f>
        <v>0.12705702257941065</v>
      </c>
      <c r="AS44" s="948"/>
      <c r="AT44" s="948"/>
      <c r="AU44" s="948"/>
      <c r="AV44" s="948"/>
      <c r="AW44" s="952">
        <f>+Transmission!AW59</f>
        <v>0.12060466644758462</v>
      </c>
      <c r="AX44" s="948"/>
      <c r="AY44" s="948"/>
      <c r="AZ44" s="948"/>
      <c r="BA44" s="948"/>
      <c r="BB44" s="952">
        <f>+Transmission!BB59</f>
        <v>0.11646455888853421</v>
      </c>
      <c r="BC44" s="948"/>
      <c r="BD44" s="948"/>
      <c r="BE44" s="948"/>
      <c r="BF44" s="948"/>
      <c r="BG44" s="952">
        <f>+Transmission!BG59</f>
        <v>0.11353875243802949</v>
      </c>
      <c r="BH44" s="948"/>
      <c r="BI44" s="948"/>
      <c r="BJ44" s="948"/>
      <c r="BK44" s="948"/>
      <c r="BL44" s="952">
        <f>+Transmission!BL59</f>
        <v>0.11294960767892082</v>
      </c>
      <c r="BM44" s="948"/>
      <c r="BN44" s="948"/>
      <c r="BO44" s="948"/>
      <c r="BP44" s="948"/>
      <c r="BQ44" s="952">
        <f>+Transmission!BQ59</f>
        <v>0.11259782156531495</v>
      </c>
      <c r="BR44" s="937"/>
      <c r="BS44" s="937"/>
      <c r="BU44" s="927" t="s">
        <v>887</v>
      </c>
      <c r="BV44" s="983"/>
      <c r="BW44" s="188">
        <f>(BW41-BW42-BW43)*$DO$41</f>
        <v>-253.82</v>
      </c>
      <c r="BX44" s="188"/>
      <c r="BY44" s="188"/>
      <c r="BZ44" s="188"/>
      <c r="CA44" s="188"/>
      <c r="CB44" s="188">
        <f>(CB41-CB42-CB43)*$DO$41</f>
        <v>37</v>
      </c>
      <c r="CC44" s="188"/>
      <c r="CD44" s="188"/>
      <c r="CE44" s="188"/>
      <c r="CF44" s="188"/>
      <c r="CG44" s="188">
        <f>(CG41-CG42-CG43)*$DO$41</f>
        <v>-3867.98</v>
      </c>
      <c r="CH44" s="188"/>
      <c r="CI44" s="188"/>
      <c r="CJ44" s="188"/>
      <c r="CK44" s="188"/>
      <c r="CL44" s="188">
        <f>(CL41-CL42-CL43)*$DO$41</f>
        <v>-929.81</v>
      </c>
      <c r="CM44" s="188"/>
      <c r="CN44" s="188"/>
      <c r="CO44" s="188"/>
      <c r="CP44" s="188"/>
      <c r="CQ44" s="188">
        <f>(CQ41-CQ42-CQ43)*$DO$41</f>
        <v>-73.811828595720655</v>
      </c>
      <c r="CV44" s="188">
        <f>(CV41-CV42-CV43)*$DO$41</f>
        <v>-149.24279730714451</v>
      </c>
      <c r="DA44" s="188">
        <f>(DA41-DA42-DA43)*$DO$41</f>
        <v>-173.53891840498216</v>
      </c>
      <c r="DF44" s="188">
        <f>(DF41-DF42-DF43)*$DO$41</f>
        <v>-115.61487172499142</v>
      </c>
      <c r="DL44" s="949" t="s">
        <v>852</v>
      </c>
      <c r="DM44" s="937"/>
      <c r="DN44" s="937"/>
      <c r="DW44" s="918"/>
      <c r="DX44" s="937"/>
      <c r="DY44" s="937"/>
      <c r="EA44" s="918"/>
      <c r="EB44" s="918"/>
      <c r="EC44" s="918"/>
      <c r="ED44" s="918"/>
      <c r="EE44" s="918"/>
      <c r="EF44" s="918"/>
      <c r="EG44" s="918"/>
      <c r="EH44" s="918"/>
      <c r="EI44" s="918"/>
      <c r="EJ44" s="918"/>
      <c r="EK44" s="918"/>
      <c r="EL44" s="937"/>
      <c r="EM44" s="977"/>
      <c r="EN44" s="937"/>
      <c r="EO44" s="937"/>
      <c r="EP44" s="937"/>
      <c r="EQ44" s="937"/>
    </row>
    <row r="45" spans="1:147">
      <c r="A45" s="937"/>
      <c r="C45" s="895" t="s">
        <v>494</v>
      </c>
      <c r="N45" s="952"/>
      <c r="O45" s="952"/>
      <c r="P45" s="952"/>
      <c r="Q45" s="952"/>
      <c r="R45" s="952"/>
      <c r="S45" s="952"/>
      <c r="T45" s="952"/>
      <c r="U45" s="952"/>
      <c r="V45" s="952"/>
      <c r="W45" s="952"/>
      <c r="X45" s="952">
        <f>+Transmission!X109</f>
        <v>0.12</v>
      </c>
      <c r="Y45" s="952"/>
      <c r="Z45" s="952"/>
      <c r="AA45" s="952"/>
      <c r="AB45" s="952"/>
      <c r="AC45" s="952">
        <f>+Transmission!AC109</f>
        <v>0.12</v>
      </c>
      <c r="AD45" s="952"/>
      <c r="AE45" s="952"/>
      <c r="AF45" s="952"/>
      <c r="AG45" s="952"/>
      <c r="AH45" s="952">
        <f>+Transmission!AH109</f>
        <v>0.12</v>
      </c>
      <c r="AI45" s="952"/>
      <c r="AJ45" s="952"/>
      <c r="AK45" s="952"/>
      <c r="AL45" s="952"/>
      <c r="AM45" s="952">
        <f>+Transmission!AM109</f>
        <v>0.11749999999999999</v>
      </c>
      <c r="AN45" s="948"/>
      <c r="AO45" s="948"/>
      <c r="AP45" s="948"/>
      <c r="AQ45" s="948"/>
      <c r="AR45" s="952">
        <f>+Transmission!AR109</f>
        <v>0.1087</v>
      </c>
      <c r="AS45" s="948"/>
      <c r="AT45" s="948"/>
      <c r="AU45" s="948"/>
      <c r="AV45" s="948"/>
      <c r="AW45" s="952">
        <f>+Transmission!AW109</f>
        <v>0.1087</v>
      </c>
      <c r="AX45" s="948"/>
      <c r="AY45" s="948"/>
      <c r="AZ45" s="948"/>
      <c r="BA45" s="948"/>
      <c r="BB45" s="952">
        <f>+Transmission!BB109</f>
        <v>0.1087</v>
      </c>
      <c r="BC45" s="948"/>
      <c r="BD45" s="948"/>
      <c r="BE45" s="948"/>
      <c r="BF45" s="948"/>
      <c r="BG45" s="952">
        <f>+Transmission!BG109</f>
        <v>0.1087</v>
      </c>
      <c r="BH45" s="948"/>
      <c r="BI45" s="948"/>
      <c r="BJ45" s="948"/>
      <c r="BK45" s="948"/>
      <c r="BL45" s="952">
        <f>+Transmission!BL109</f>
        <v>0.1087</v>
      </c>
      <c r="BM45" s="948"/>
      <c r="BN45" s="948"/>
      <c r="BO45" s="948"/>
      <c r="BP45" s="948"/>
      <c r="BQ45" s="952">
        <f>+Transmission!BQ109</f>
        <v>0.1087</v>
      </c>
      <c r="BR45" s="937"/>
      <c r="BS45" s="937"/>
      <c r="BU45" s="921" t="s">
        <v>224</v>
      </c>
      <c r="BW45" s="52">
        <f>BW41-BW43-BW44</f>
        <v>-45.180000000000007</v>
      </c>
      <c r="BX45" s="52"/>
      <c r="BY45" s="52"/>
      <c r="BZ45" s="52"/>
      <c r="CA45" s="52"/>
      <c r="CB45" s="52">
        <f>CB41-CB43-CB44</f>
        <v>457</v>
      </c>
      <c r="CC45" s="52"/>
      <c r="CD45" s="52"/>
      <c r="CE45" s="52"/>
      <c r="CF45" s="52"/>
      <c r="CG45" s="52">
        <f>CG41-CG43-CG44</f>
        <v>-6199.02</v>
      </c>
      <c r="CH45" s="52"/>
      <c r="CI45" s="52"/>
      <c r="CJ45" s="52"/>
      <c r="CK45" s="52"/>
      <c r="CL45" s="52">
        <f>CL41-CL43-CL44</f>
        <v>-1465.19</v>
      </c>
      <c r="CM45" s="52"/>
      <c r="CN45" s="52"/>
      <c r="CO45" s="52"/>
      <c r="CP45" s="52"/>
      <c r="CQ45" s="52">
        <f>CQ41-CQ43-CQ44</f>
        <v>27.838784287042031</v>
      </c>
      <c r="CV45" s="52">
        <f>CV41-CV43-CV44</f>
        <v>-82.510957888944262</v>
      </c>
      <c r="DA45" s="52">
        <f>DA41-DA43-DA44</f>
        <v>-107.50167841728125</v>
      </c>
      <c r="DF45" s="52">
        <f>DF41-DF43-DF44</f>
        <v>5.9570536766800046</v>
      </c>
      <c r="DH45" s="990"/>
      <c r="DL45" s="918" t="s">
        <v>853</v>
      </c>
      <c r="DM45" s="937"/>
      <c r="DN45" s="937"/>
      <c r="DO45" s="964">
        <f>DO42</f>
        <v>7.9264285714285704E-2</v>
      </c>
      <c r="DP45" s="937"/>
      <c r="DW45" s="918"/>
      <c r="DX45" s="937"/>
      <c r="DY45" s="937"/>
      <c r="EA45" s="918"/>
      <c r="EB45" s="918"/>
      <c r="EC45" s="918"/>
      <c r="ED45" s="918"/>
      <c r="EE45" s="918"/>
      <c r="EF45" s="918"/>
      <c r="EG45" s="918"/>
      <c r="EH45" s="918"/>
      <c r="EI45" s="918"/>
      <c r="EJ45" s="918"/>
      <c r="EK45" s="918"/>
      <c r="EL45" s="937"/>
      <c r="EM45" s="977"/>
      <c r="EN45" s="937"/>
      <c r="EO45" s="937"/>
      <c r="EP45" s="937"/>
      <c r="EQ45" s="937"/>
    </row>
    <row r="46" spans="1:147">
      <c r="A46" s="937"/>
      <c r="C46" s="927" t="s">
        <v>755</v>
      </c>
      <c r="N46" s="952"/>
      <c r="O46" s="952"/>
      <c r="P46" s="952"/>
      <c r="Q46" s="952"/>
      <c r="R46" s="952"/>
      <c r="S46" s="952"/>
      <c r="T46" s="952"/>
      <c r="U46" s="952"/>
      <c r="V46" s="952"/>
      <c r="W46" s="952"/>
      <c r="X46" s="952">
        <f>+Transmission!X106</f>
        <v>0.5</v>
      </c>
      <c r="Y46" s="952"/>
      <c r="Z46" s="952"/>
      <c r="AA46" s="952"/>
      <c r="AB46" s="952"/>
      <c r="AC46" s="952">
        <f>+Transmission!AC106</f>
        <v>0.5</v>
      </c>
      <c r="AD46" s="952"/>
      <c r="AE46" s="952"/>
      <c r="AF46" s="952"/>
      <c r="AG46" s="952"/>
      <c r="AH46" s="952">
        <f>+Transmission!AH106</f>
        <v>0.5</v>
      </c>
      <c r="AI46" s="952"/>
      <c r="AJ46" s="952"/>
      <c r="AK46" s="952"/>
      <c r="AL46" s="952"/>
      <c r="AM46" s="952">
        <f>+Transmission!AM106</f>
        <v>0.5</v>
      </c>
      <c r="AN46" s="948"/>
      <c r="AO46" s="948"/>
      <c r="AP46" s="948"/>
      <c r="AQ46" s="948"/>
      <c r="AR46" s="952">
        <f>+Transmission!AR106</f>
        <v>0.5</v>
      </c>
      <c r="AS46" s="948"/>
      <c r="AT46" s="948"/>
      <c r="AU46" s="948"/>
      <c r="AV46" s="948"/>
      <c r="AW46" s="952">
        <f>+Transmission!AW106</f>
        <v>0.5</v>
      </c>
      <c r="AX46" s="948"/>
      <c r="AY46" s="948"/>
      <c r="AZ46" s="948"/>
      <c r="BA46" s="948"/>
      <c r="BB46" s="952">
        <f>+Transmission!BB106</f>
        <v>0.5</v>
      </c>
      <c r="BC46" s="948"/>
      <c r="BD46" s="948"/>
      <c r="BE46" s="948"/>
      <c r="BF46" s="948"/>
      <c r="BG46" s="952">
        <f>+Transmission!BG106</f>
        <v>0.5</v>
      </c>
      <c r="BH46" s="948"/>
      <c r="BI46" s="948"/>
      <c r="BJ46" s="948"/>
      <c r="BK46" s="948"/>
      <c r="BL46" s="952">
        <f>+Transmission!BL106</f>
        <v>0.5</v>
      </c>
      <c r="BM46" s="948"/>
      <c r="BN46" s="948"/>
      <c r="BO46" s="948"/>
      <c r="BP46" s="948"/>
      <c r="BQ46" s="952">
        <f>+Transmission!BQ106</f>
        <v>0.5</v>
      </c>
      <c r="BR46" s="937"/>
      <c r="BS46" s="937"/>
      <c r="BU46" s="921"/>
      <c r="BW46" s="52"/>
      <c r="BX46" s="52"/>
      <c r="BY46" s="52"/>
      <c r="BZ46" s="52"/>
      <c r="CA46" s="52"/>
      <c r="CB46" s="52"/>
      <c r="CC46" s="52"/>
      <c r="CD46" s="52"/>
      <c r="CE46" s="52"/>
      <c r="CF46" s="52"/>
      <c r="CG46" s="52"/>
      <c r="CH46" s="52"/>
      <c r="CI46" s="52"/>
      <c r="CJ46" s="52"/>
      <c r="CK46" s="52"/>
      <c r="CL46" s="52"/>
      <c r="CM46" s="52"/>
      <c r="CN46" s="52"/>
      <c r="CO46" s="52"/>
      <c r="CP46" s="52"/>
      <c r="CQ46" s="52"/>
      <c r="CV46" s="52"/>
      <c r="DA46" s="52"/>
      <c r="DF46" s="52"/>
      <c r="DL46" s="918" t="s">
        <v>854</v>
      </c>
      <c r="DM46" s="937"/>
      <c r="DN46" s="937"/>
      <c r="DO46" s="2213">
        <f>4700/750</f>
        <v>6.2666666666666666</v>
      </c>
      <c r="DP46" s="937"/>
      <c r="DW46" s="918"/>
      <c r="DX46" s="937"/>
      <c r="DY46" s="937"/>
      <c r="EA46" s="918"/>
      <c r="EB46" s="918"/>
      <c r="EC46" s="918"/>
      <c r="ED46" s="918"/>
      <c r="EE46" s="918"/>
      <c r="EF46" s="918"/>
      <c r="EG46" s="918"/>
      <c r="EH46" s="918"/>
      <c r="EI46" s="918"/>
      <c r="EJ46" s="918"/>
      <c r="EK46" s="918"/>
      <c r="EL46" s="937"/>
      <c r="EM46" s="977"/>
      <c r="EN46" s="937"/>
      <c r="EO46" s="937"/>
      <c r="EP46" s="937"/>
      <c r="EQ46" s="937"/>
    </row>
    <row r="47" spans="1:147">
      <c r="A47" s="937"/>
      <c r="N47" s="952"/>
      <c r="O47" s="952"/>
      <c r="P47" s="952"/>
      <c r="Q47" s="952"/>
      <c r="R47" s="952"/>
      <c r="S47" s="952"/>
      <c r="T47" s="952"/>
      <c r="U47" s="952"/>
      <c r="V47" s="952"/>
      <c r="W47" s="952"/>
      <c r="X47" s="952"/>
      <c r="Y47" s="952"/>
      <c r="Z47" s="952"/>
      <c r="AA47" s="952"/>
      <c r="AB47" s="952"/>
      <c r="AC47" s="952"/>
      <c r="AD47" s="952"/>
      <c r="AE47" s="952"/>
      <c r="AF47" s="952"/>
      <c r="AG47" s="952"/>
      <c r="AH47" s="952"/>
      <c r="AI47" s="952"/>
      <c r="AJ47" s="952"/>
      <c r="AK47" s="952"/>
      <c r="AL47" s="952"/>
      <c r="AM47" s="952"/>
      <c r="AN47" s="948"/>
      <c r="AO47" s="948"/>
      <c r="AP47" s="948"/>
      <c r="AQ47" s="948"/>
      <c r="AR47" s="952"/>
      <c r="AS47" s="948"/>
      <c r="AT47" s="948"/>
      <c r="AU47" s="948"/>
      <c r="AV47" s="948"/>
      <c r="AW47" s="952"/>
      <c r="AX47" s="948"/>
      <c r="AY47" s="948"/>
      <c r="AZ47" s="948"/>
      <c r="BA47" s="948"/>
      <c r="BB47" s="952"/>
      <c r="BC47" s="948"/>
      <c r="BD47" s="948"/>
      <c r="BE47" s="948"/>
      <c r="BF47" s="948"/>
      <c r="BG47" s="952"/>
      <c r="BH47" s="948"/>
      <c r="BI47" s="948"/>
      <c r="BJ47" s="948"/>
      <c r="BK47" s="948"/>
      <c r="BL47" s="952"/>
      <c r="BM47" s="948"/>
      <c r="BN47" s="948"/>
      <c r="BO47" s="948"/>
      <c r="BP47" s="948"/>
      <c r="BQ47" s="952"/>
      <c r="BR47" s="937"/>
      <c r="BS47" s="937"/>
      <c r="BU47" s="927" t="s">
        <v>890</v>
      </c>
      <c r="BW47" s="188">
        <f>Competitive!AH568+Competitive!AH567</f>
        <v>0</v>
      </c>
      <c r="BX47" s="188"/>
      <c r="BY47" s="188"/>
      <c r="BZ47" s="188"/>
      <c r="CA47" s="188"/>
      <c r="CB47" s="188">
        <f>Competitive!AM568+Competitive!AM567</f>
        <v>0</v>
      </c>
      <c r="CC47" s="188"/>
      <c r="CD47" s="188"/>
      <c r="CE47" s="188"/>
      <c r="CF47" s="188"/>
      <c r="CG47" s="188">
        <f>Competitive!AR568+Competitive!AR567</f>
        <v>0</v>
      </c>
      <c r="CH47" s="188"/>
      <c r="CI47" s="188"/>
      <c r="CJ47" s="188"/>
      <c r="CK47" s="188"/>
      <c r="CL47" s="188">
        <f>Competitive!AW568+Competitive!AW567</f>
        <v>0</v>
      </c>
      <c r="CM47" s="188"/>
      <c r="CN47" s="188"/>
      <c r="CO47" s="188"/>
      <c r="CP47" s="188"/>
      <c r="CQ47" s="188">
        <f>Competitive!BB568+Competitive!BB567</f>
        <v>25</v>
      </c>
      <c r="CV47" s="188">
        <f>Competitive!BG568+Competitive!BG567</f>
        <v>25</v>
      </c>
      <c r="DA47" s="188">
        <f>Competitive!BL568+Competitive!BL567</f>
        <v>25</v>
      </c>
      <c r="DF47" s="188">
        <f>Competitive!BQ568+Competitive!BQ567</f>
        <v>25</v>
      </c>
      <c r="DH47" s="988"/>
      <c r="DL47" s="918" t="s">
        <v>855</v>
      </c>
      <c r="DM47" s="937"/>
      <c r="DN47" s="937"/>
      <c r="DO47" s="1262">
        <f>DF48/DF41</f>
        <v>4.2809753990893054</v>
      </c>
      <c r="DP47" s="937"/>
      <c r="DW47" s="918"/>
      <c r="DX47" s="937"/>
      <c r="DY47" s="937"/>
      <c r="EA47" s="918"/>
      <c r="EB47" s="918"/>
      <c r="EC47" s="918"/>
      <c r="ED47" s="918"/>
      <c r="EE47" s="918"/>
      <c r="EF47" s="918"/>
      <c r="EG47" s="918"/>
      <c r="EH47" s="918"/>
      <c r="EI47" s="918"/>
      <c r="EJ47" s="918"/>
      <c r="EK47" s="918"/>
      <c r="EL47" s="937"/>
      <c r="EM47" s="977"/>
      <c r="EN47" s="937"/>
      <c r="EO47" s="937"/>
      <c r="EP47" s="937"/>
      <c r="EQ47" s="937"/>
    </row>
    <row r="48" spans="1:147">
      <c r="A48" s="937"/>
      <c r="C48" s="921"/>
      <c r="AH48" s="947"/>
      <c r="AN48" s="948"/>
      <c r="AO48" s="948"/>
      <c r="AP48" s="948"/>
      <c r="AQ48" s="948"/>
      <c r="AS48" s="948"/>
      <c r="AT48" s="948"/>
      <c r="AU48" s="948"/>
      <c r="AV48" s="948"/>
      <c r="AX48" s="948"/>
      <c r="AY48" s="948"/>
      <c r="AZ48" s="948"/>
      <c r="BA48" s="948"/>
      <c r="BC48" s="948"/>
      <c r="BD48" s="948"/>
      <c r="BE48" s="948"/>
      <c r="BF48" s="948"/>
      <c r="BH48" s="948"/>
      <c r="BI48" s="948"/>
      <c r="BJ48" s="948"/>
      <c r="BK48" s="948"/>
      <c r="BM48" s="948"/>
      <c r="BN48" s="948"/>
      <c r="BO48" s="948"/>
      <c r="BP48" s="948"/>
      <c r="BR48" s="937"/>
      <c r="BS48" s="937"/>
      <c r="BU48" s="927" t="s">
        <v>889</v>
      </c>
      <c r="BW48" s="188">
        <f>Competitive!AH566</f>
        <v>0</v>
      </c>
      <c r="BX48" s="188"/>
      <c r="BY48" s="188"/>
      <c r="BZ48" s="188"/>
      <c r="CA48" s="188"/>
      <c r="CB48" s="188">
        <f>Competitive!AM566</f>
        <v>0</v>
      </c>
      <c r="CC48" s="188"/>
      <c r="CD48" s="188"/>
      <c r="CE48" s="188"/>
      <c r="CF48" s="188"/>
      <c r="CG48" s="188">
        <f>Competitive!AR566</f>
        <v>0</v>
      </c>
      <c r="CH48" s="188"/>
      <c r="CI48" s="188"/>
      <c r="CJ48" s="188"/>
      <c r="CK48" s="188"/>
      <c r="CL48" s="188">
        <f>Competitive!AW566</f>
        <v>0</v>
      </c>
      <c r="CM48" s="188"/>
      <c r="CN48" s="188"/>
      <c r="CO48" s="188"/>
      <c r="CP48" s="188"/>
      <c r="CQ48" s="188">
        <f>Competitive!BB566</f>
        <v>265</v>
      </c>
      <c r="CV48" s="188">
        <f>Competitive!BG566</f>
        <v>265</v>
      </c>
      <c r="DA48" s="188">
        <f>Competitive!BL566</f>
        <v>265</v>
      </c>
      <c r="DF48" s="188">
        <f>Competitive!BQ566</f>
        <v>265</v>
      </c>
      <c r="DG48" s="951"/>
      <c r="DL48" s="918" t="s">
        <v>856</v>
      </c>
      <c r="DM48" s="937"/>
      <c r="DN48" s="937"/>
      <c r="DO48" s="176">
        <v>0.01</v>
      </c>
      <c r="DP48" s="937"/>
      <c r="DW48" s="918"/>
      <c r="DX48" s="937"/>
      <c r="DY48" s="937"/>
      <c r="EA48" s="918"/>
      <c r="EB48" s="918"/>
      <c r="EC48" s="918"/>
      <c r="ED48" s="918"/>
      <c r="EE48" s="918"/>
      <c r="EF48" s="918"/>
      <c r="EG48" s="918"/>
      <c r="EH48" s="918"/>
      <c r="EI48" s="918"/>
      <c r="EJ48" s="918"/>
      <c r="EK48" s="918"/>
      <c r="EL48" s="937"/>
      <c r="EM48" s="977"/>
      <c r="EN48" s="937"/>
      <c r="EO48" s="937"/>
      <c r="EP48" s="937"/>
      <c r="EQ48" s="937"/>
    </row>
    <row r="49" spans="1:147">
      <c r="A49" s="937"/>
      <c r="B49" s="908" t="s">
        <v>651</v>
      </c>
      <c r="C49" s="908"/>
      <c r="D49" s="909"/>
      <c r="E49" s="910"/>
      <c r="F49" s="910"/>
      <c r="G49" s="910"/>
      <c r="H49" s="910"/>
      <c r="I49" s="910"/>
      <c r="J49" s="910"/>
      <c r="K49" s="910"/>
      <c r="L49" s="910"/>
      <c r="M49" s="910"/>
      <c r="N49" s="910"/>
      <c r="O49" s="910"/>
      <c r="P49" s="910"/>
      <c r="Q49" s="910"/>
      <c r="R49" s="910"/>
      <c r="S49" s="910"/>
      <c r="T49" s="910"/>
      <c r="U49" s="910"/>
      <c r="V49" s="910"/>
      <c r="W49" s="910"/>
      <c r="X49" s="910" t="s">
        <v>768</v>
      </c>
      <c r="Y49" s="910"/>
      <c r="Z49" s="910"/>
      <c r="AA49" s="910"/>
      <c r="AB49" s="910"/>
      <c r="AC49" s="910" t="s">
        <v>669</v>
      </c>
      <c r="AD49" s="910"/>
      <c r="AE49" s="910"/>
      <c r="AF49" s="910"/>
      <c r="AG49" s="910"/>
      <c r="AH49" s="910" t="s">
        <v>964</v>
      </c>
      <c r="AI49" s="910"/>
      <c r="AJ49" s="910"/>
      <c r="AK49" s="910"/>
      <c r="AL49" s="910"/>
      <c r="AM49" s="910" t="s">
        <v>1011</v>
      </c>
      <c r="AN49" s="948"/>
      <c r="AO49" s="948"/>
      <c r="AP49" s="948"/>
      <c r="AQ49" s="948"/>
      <c r="AR49" s="910" t="s">
        <v>1158</v>
      </c>
      <c r="AS49" s="948"/>
      <c r="AT49" s="948"/>
      <c r="AU49" s="948"/>
      <c r="AV49" s="948"/>
      <c r="AW49" s="910" t="s">
        <v>1220</v>
      </c>
      <c r="AX49" s="911"/>
      <c r="AY49" s="911"/>
      <c r="AZ49" s="911"/>
      <c r="BA49" s="911"/>
      <c r="BB49" s="910" t="s">
        <v>138</v>
      </c>
      <c r="BC49" s="911"/>
      <c r="BD49" s="911"/>
      <c r="BE49" s="911"/>
      <c r="BF49" s="911"/>
      <c r="BG49" s="910" t="str">
        <f t="shared" ref="BG49:BL49" si="26">BG31</f>
        <v>2019E</v>
      </c>
      <c r="BH49" s="911">
        <f t="shared" si="26"/>
        <v>0</v>
      </c>
      <c r="BI49" s="911">
        <f t="shared" si="26"/>
        <v>0</v>
      </c>
      <c r="BJ49" s="911">
        <f t="shared" si="26"/>
        <v>0</v>
      </c>
      <c r="BK49" s="911">
        <f t="shared" si="26"/>
        <v>0</v>
      </c>
      <c r="BL49" s="910" t="str">
        <f t="shared" si="26"/>
        <v>2020E</v>
      </c>
      <c r="BM49" s="911">
        <f t="shared" ref="BM49:BQ49" si="27">BM31</f>
        <v>0</v>
      </c>
      <c r="BN49" s="911">
        <f t="shared" si="27"/>
        <v>0</v>
      </c>
      <c r="BO49" s="911">
        <f t="shared" si="27"/>
        <v>0</v>
      </c>
      <c r="BP49" s="911">
        <f t="shared" si="27"/>
        <v>0</v>
      </c>
      <c r="BQ49" s="910" t="str">
        <f t="shared" si="27"/>
        <v>2021E</v>
      </c>
      <c r="BR49" s="937"/>
      <c r="BS49" s="937"/>
      <c r="BU49" s="927" t="s">
        <v>705</v>
      </c>
      <c r="BW49" s="188">
        <f>Competitive!AH569</f>
        <v>0</v>
      </c>
      <c r="BX49" s="188"/>
      <c r="BY49" s="188"/>
      <c r="BZ49" s="188"/>
      <c r="CA49" s="188"/>
      <c r="CB49" s="188">
        <f>Competitive!AM569</f>
        <v>0</v>
      </c>
      <c r="CC49" s="188"/>
      <c r="CD49" s="188"/>
      <c r="CE49" s="188"/>
      <c r="CF49" s="188"/>
      <c r="CG49" s="188">
        <f>Competitive!AR569</f>
        <v>0</v>
      </c>
      <c r="CH49" s="188"/>
      <c r="CI49" s="188"/>
      <c r="CJ49" s="188"/>
      <c r="CK49" s="188"/>
      <c r="CL49" s="188">
        <f>Competitive!AW569</f>
        <v>0</v>
      </c>
      <c r="CM49" s="188"/>
      <c r="CN49" s="188"/>
      <c r="CO49" s="188"/>
      <c r="CP49" s="188"/>
      <c r="CQ49" s="188">
        <f>Competitive!BB569</f>
        <v>0</v>
      </c>
      <c r="CV49" s="188">
        <f>Competitive!BG569</f>
        <v>0</v>
      </c>
      <c r="DA49" s="188">
        <f>Competitive!BL569</f>
        <v>0</v>
      </c>
      <c r="DF49" s="188">
        <f>Competitive!BQ569</f>
        <v>0</v>
      </c>
      <c r="DL49" s="918" t="s">
        <v>499</v>
      </c>
      <c r="DM49" s="937"/>
      <c r="DN49" s="937"/>
      <c r="DO49" s="987">
        <f>DO33</f>
        <v>3</v>
      </c>
      <c r="DP49" s="937"/>
      <c r="DW49" s="918"/>
      <c r="DX49" s="937"/>
      <c r="DY49" s="937"/>
      <c r="EA49" s="918"/>
      <c r="EB49" s="918"/>
      <c r="EC49" s="918"/>
      <c r="ED49" s="918"/>
      <c r="EE49" s="918"/>
      <c r="EF49" s="918"/>
      <c r="EG49" s="918"/>
      <c r="EH49" s="918"/>
      <c r="EI49" s="918"/>
      <c r="EJ49" s="918"/>
      <c r="EK49" s="918"/>
      <c r="EL49" s="937"/>
      <c r="EM49" s="977"/>
      <c r="EN49" s="937"/>
      <c r="EO49" s="937"/>
      <c r="EP49" s="937"/>
      <c r="EQ49" s="937"/>
    </row>
    <row r="50" spans="1:147">
      <c r="A50" s="937"/>
      <c r="C50" s="920" t="s">
        <v>315</v>
      </c>
      <c r="E50" s="910"/>
      <c r="F50" s="910"/>
      <c r="G50" s="910"/>
      <c r="H50" s="910"/>
      <c r="I50" s="910"/>
      <c r="J50" s="910"/>
      <c r="K50" s="910"/>
      <c r="L50" s="910"/>
      <c r="M50" s="910"/>
      <c r="N50" s="1001"/>
      <c r="O50" s="1001"/>
      <c r="P50" s="1001"/>
      <c r="Q50" s="1001"/>
      <c r="R50" s="1001"/>
      <c r="S50" s="1001"/>
      <c r="T50" s="1001"/>
      <c r="U50" s="1001"/>
      <c r="V50" s="1001"/>
      <c r="W50" s="1001"/>
      <c r="X50" s="1002">
        <f>Distribution!X210</f>
        <v>11158.654999999999</v>
      </c>
      <c r="Y50" s="1002"/>
      <c r="Z50" s="1002"/>
      <c r="AA50" s="1002"/>
      <c r="AB50" s="1002"/>
      <c r="AC50" s="1002">
        <f>Distribution!AC210</f>
        <v>11396.342499999999</v>
      </c>
      <c r="AD50" s="1002"/>
      <c r="AE50" s="1002"/>
      <c r="AF50" s="1002"/>
      <c r="AG50" s="1002"/>
      <c r="AH50" s="1002">
        <f>Distribution!AH210</f>
        <v>12376.092000000001</v>
      </c>
      <c r="AI50" s="1002"/>
      <c r="AJ50" s="1002"/>
      <c r="AK50" s="1002"/>
      <c r="AL50" s="1002"/>
      <c r="AM50" s="1002">
        <f>Distribution!AM210</f>
        <v>13494.809000000001</v>
      </c>
      <c r="AN50" s="948"/>
      <c r="AO50" s="948"/>
      <c r="AP50" s="948"/>
      <c r="AQ50" s="948"/>
      <c r="AR50" s="1002">
        <f>Distribution!AR210</f>
        <v>13906.309000000001</v>
      </c>
      <c r="AS50" s="948"/>
      <c r="AT50" s="948"/>
      <c r="AU50" s="948"/>
      <c r="AV50" s="948"/>
      <c r="AW50" s="1002">
        <f>Distribution!AW210</f>
        <v>14213.971500000001</v>
      </c>
      <c r="AX50" s="948"/>
      <c r="AY50" s="948"/>
      <c r="AZ50" s="948"/>
      <c r="BA50" s="948"/>
      <c r="BB50" s="1002">
        <f>Distribution!BB210</f>
        <v>14713.357958333334</v>
      </c>
      <c r="BC50" s="948"/>
      <c r="BD50" s="948"/>
      <c r="BE50" s="948"/>
      <c r="BF50" s="948"/>
      <c r="BG50" s="1002">
        <f>Distribution!BG210</f>
        <v>15373.305875000002</v>
      </c>
      <c r="BH50" s="948"/>
      <c r="BI50" s="948"/>
      <c r="BJ50" s="948"/>
      <c r="BK50" s="948"/>
      <c r="BL50" s="1002">
        <f>Distribution!BL210</f>
        <v>16042.50379166667</v>
      </c>
      <c r="BM50" s="948"/>
      <c r="BN50" s="948"/>
      <c r="BO50" s="948"/>
      <c r="BP50" s="948"/>
      <c r="BQ50" s="1002">
        <f>Distribution!BQ210</f>
        <v>16612.076708333334</v>
      </c>
      <c r="BR50" s="937"/>
      <c r="BS50" s="937"/>
      <c r="BU50" s="921" t="s">
        <v>497</v>
      </c>
      <c r="BW50" s="988">
        <f>SUM(BW47:BW49)</f>
        <v>0</v>
      </c>
      <c r="BX50" s="988"/>
      <c r="BY50" s="988"/>
      <c r="BZ50" s="988"/>
      <c r="CA50" s="988"/>
      <c r="CB50" s="988">
        <f>SUM(CB47:CB49)</f>
        <v>0</v>
      </c>
      <c r="CC50" s="988"/>
      <c r="CD50" s="988"/>
      <c r="CE50" s="988"/>
      <c r="CF50" s="988"/>
      <c r="CG50" s="988">
        <f>SUM(CG47:CG49)</f>
        <v>0</v>
      </c>
      <c r="CH50" s="988"/>
      <c r="CI50" s="988"/>
      <c r="CJ50" s="988"/>
      <c r="CK50" s="988"/>
      <c r="CL50" s="988">
        <f>SUM(CL47:CL49)</f>
        <v>0</v>
      </c>
      <c r="CM50" s="988"/>
      <c r="CN50" s="988"/>
      <c r="CO50" s="988"/>
      <c r="CP50" s="988"/>
      <c r="CQ50" s="988">
        <f>SUM(CQ47:CQ49)</f>
        <v>290</v>
      </c>
      <c r="CV50" s="988">
        <f>SUM(CV47:CV49)</f>
        <v>290</v>
      </c>
      <c r="DA50" s="988">
        <f>SUM(DA47:DA49)</f>
        <v>290</v>
      </c>
      <c r="DF50" s="988">
        <f>SUM(DF47:DF49)</f>
        <v>290</v>
      </c>
      <c r="DL50" s="940" t="s">
        <v>857</v>
      </c>
      <c r="DM50" s="941"/>
      <c r="DN50" s="941"/>
      <c r="DO50" s="992">
        <f>DR90</f>
        <v>-26.243421743460665</v>
      </c>
      <c r="DP50" s="937"/>
      <c r="DV50" s="937"/>
      <c r="DW50" s="918"/>
      <c r="DX50" s="937"/>
      <c r="DY50" s="937"/>
      <c r="EA50" s="918"/>
      <c r="EB50" s="918"/>
      <c r="EC50" s="918"/>
      <c r="ED50" s="918"/>
      <c r="EE50" s="918"/>
      <c r="EF50" s="918"/>
      <c r="EG50" s="918"/>
      <c r="EH50" s="918"/>
      <c r="EI50" s="918"/>
      <c r="EJ50" s="918"/>
      <c r="EK50" s="918"/>
      <c r="EL50" s="937"/>
      <c r="EM50" s="977"/>
      <c r="EN50" s="937"/>
      <c r="EO50" s="937"/>
      <c r="EP50" s="937"/>
      <c r="EQ50" s="937"/>
    </row>
    <row r="51" spans="1:147">
      <c r="A51" s="937"/>
      <c r="C51" s="927" t="s">
        <v>316</v>
      </c>
      <c r="X51" s="1002">
        <f>+Transmission!X102</f>
        <v>2194.5</v>
      </c>
      <c r="Y51" s="1002"/>
      <c r="Z51" s="1002"/>
      <c r="AA51" s="1002"/>
      <c r="AB51" s="1002"/>
      <c r="AC51" s="1002">
        <f>+Transmission!AC102</f>
        <v>2580</v>
      </c>
      <c r="AD51" s="1002"/>
      <c r="AE51" s="1002"/>
      <c r="AF51" s="1002"/>
      <c r="AG51" s="1002"/>
      <c r="AH51" s="1002">
        <f>+Transmission!AH102</f>
        <v>3372</v>
      </c>
      <c r="AI51" s="1002"/>
      <c r="AJ51" s="1002"/>
      <c r="AK51" s="1002"/>
      <c r="AL51" s="1002"/>
      <c r="AM51" s="1002">
        <f>+Transmission!AM102</f>
        <v>4371</v>
      </c>
      <c r="AN51" s="948"/>
      <c r="AO51" s="948"/>
      <c r="AP51" s="948"/>
      <c r="AQ51" s="948"/>
      <c r="AR51" s="1002">
        <f>+Transmission!AR102</f>
        <v>5226</v>
      </c>
      <c r="AS51" s="948"/>
      <c r="AT51" s="948"/>
      <c r="AU51" s="948"/>
      <c r="AV51" s="948"/>
      <c r="AW51" s="1002">
        <f>+Transmission!AW102</f>
        <v>6086</v>
      </c>
      <c r="AX51" s="948"/>
      <c r="AY51" s="948"/>
      <c r="AZ51" s="948"/>
      <c r="BA51" s="948"/>
      <c r="BB51" s="1002">
        <f>+Transmission!BB102</f>
        <v>6918.1770833333339</v>
      </c>
      <c r="BC51" s="948"/>
      <c r="BD51" s="948"/>
      <c r="BE51" s="948"/>
      <c r="BF51" s="948"/>
      <c r="BG51" s="1002">
        <f>+Transmission!BG102</f>
        <v>7762.4145833333341</v>
      </c>
      <c r="BH51" s="948"/>
      <c r="BI51" s="948"/>
      <c r="BJ51" s="948"/>
      <c r="BK51" s="948"/>
      <c r="BL51" s="1002">
        <f>+Transmission!BL102</f>
        <v>8578.4187500000025</v>
      </c>
      <c r="BM51" s="948"/>
      <c r="BN51" s="948"/>
      <c r="BO51" s="948"/>
      <c r="BP51" s="948"/>
      <c r="BQ51" s="1002">
        <f>+Transmission!BQ102</f>
        <v>9366.1895833333365</v>
      </c>
      <c r="BR51" s="937"/>
      <c r="BS51" s="937"/>
      <c r="DP51" s="937"/>
      <c r="DW51" s="918"/>
      <c r="DX51" s="937"/>
      <c r="DY51" s="937"/>
      <c r="EA51" s="918"/>
      <c r="EB51" s="918"/>
      <c r="EC51" s="918"/>
      <c r="ED51" s="918"/>
      <c r="EE51" s="918"/>
      <c r="EF51" s="918"/>
      <c r="EG51" s="918"/>
      <c r="EH51" s="918"/>
      <c r="EI51" s="918"/>
      <c r="EJ51" s="918"/>
      <c r="EK51" s="918"/>
      <c r="EL51" s="937"/>
      <c r="EM51" s="977"/>
      <c r="EN51" s="937"/>
      <c r="EO51" s="937"/>
      <c r="EP51" s="937"/>
      <c r="EQ51" s="937"/>
    </row>
    <row r="52" spans="1:147">
      <c r="A52" s="937"/>
      <c r="C52" s="921" t="s">
        <v>503</v>
      </c>
      <c r="E52" s="910"/>
      <c r="F52" s="910"/>
      <c r="G52" s="910"/>
      <c r="H52" s="910"/>
      <c r="I52" s="910"/>
      <c r="J52" s="910"/>
      <c r="K52" s="910"/>
      <c r="L52" s="910"/>
      <c r="M52" s="910"/>
      <c r="N52" s="1001"/>
      <c r="O52" s="1001"/>
      <c r="P52" s="1001"/>
      <c r="Q52" s="1001"/>
      <c r="R52" s="1001"/>
      <c r="S52" s="1001"/>
      <c r="T52" s="1001"/>
      <c r="U52" s="1001"/>
      <c r="V52" s="1001"/>
      <c r="W52" s="1001"/>
      <c r="X52" s="1001">
        <f>SUM(X50:X51)</f>
        <v>13353.154999999999</v>
      </c>
      <c r="Y52" s="1001"/>
      <c r="Z52" s="1001"/>
      <c r="AA52" s="1001"/>
      <c r="AB52" s="1001"/>
      <c r="AC52" s="1001">
        <f>SUM(AC50:AC51)</f>
        <v>13976.342499999999</v>
      </c>
      <c r="AD52" s="1001"/>
      <c r="AE52" s="1001"/>
      <c r="AF52" s="1001"/>
      <c r="AG52" s="1001"/>
      <c r="AH52" s="1001">
        <f>SUM(AH50:AH51)</f>
        <v>15748.092000000001</v>
      </c>
      <c r="AI52" s="1001"/>
      <c r="AJ52" s="1001"/>
      <c r="AK52" s="1001"/>
      <c r="AL52" s="1001"/>
      <c r="AM52" s="1001">
        <f>SUM(AM50:AM51)</f>
        <v>17865.809000000001</v>
      </c>
      <c r="AN52" s="948"/>
      <c r="AO52" s="948"/>
      <c r="AP52" s="948"/>
      <c r="AQ52" s="948"/>
      <c r="AR52" s="1001">
        <f>SUM(AR50:AR51)</f>
        <v>19132.309000000001</v>
      </c>
      <c r="AS52" s="948"/>
      <c r="AT52" s="948"/>
      <c r="AU52" s="948"/>
      <c r="AV52" s="948"/>
      <c r="AW52" s="1001">
        <f>SUM(AW50:AW51)</f>
        <v>20299.9715</v>
      </c>
      <c r="AX52" s="948"/>
      <c r="AY52" s="948"/>
      <c r="AZ52" s="948"/>
      <c r="BA52" s="948"/>
      <c r="BB52" s="1001">
        <f>SUM(BB50:BB51)</f>
        <v>21631.53504166667</v>
      </c>
      <c r="BC52" s="948"/>
      <c r="BD52" s="948"/>
      <c r="BE52" s="948"/>
      <c r="BF52" s="948"/>
      <c r="BG52" s="1001">
        <f>SUM(BG50:BG51)</f>
        <v>23135.720458333337</v>
      </c>
      <c r="BH52" s="948"/>
      <c r="BI52" s="948"/>
      <c r="BJ52" s="948"/>
      <c r="BK52" s="948"/>
      <c r="BL52" s="1001">
        <f>SUM(BL50:BL51)</f>
        <v>24620.922541666674</v>
      </c>
      <c r="BM52" s="948"/>
      <c r="BN52" s="948"/>
      <c r="BO52" s="948"/>
      <c r="BP52" s="948"/>
      <c r="BQ52" s="1001">
        <f>SUM(BQ50:BQ51)</f>
        <v>25978.26629166667</v>
      </c>
      <c r="BR52" s="937"/>
      <c r="BS52" s="937"/>
      <c r="BU52" s="920" t="s">
        <v>498</v>
      </c>
      <c r="BV52" s="920"/>
      <c r="BW52" s="989">
        <f>BW45-BW50</f>
        <v>-45.180000000000007</v>
      </c>
      <c r="BX52" s="989"/>
      <c r="BY52" s="989"/>
      <c r="BZ52" s="989"/>
      <c r="CA52" s="989"/>
      <c r="CB52" s="989">
        <f>CB45-CB50</f>
        <v>457</v>
      </c>
      <c r="CC52" s="989"/>
      <c r="CD52" s="989"/>
      <c r="CE52" s="989"/>
      <c r="CF52" s="989"/>
      <c r="CG52" s="989">
        <f>CG45-CG50</f>
        <v>-6199.02</v>
      </c>
      <c r="CH52" s="989"/>
      <c r="CI52" s="989"/>
      <c r="CJ52" s="989"/>
      <c r="CK52" s="989"/>
      <c r="CL52" s="989">
        <f>CL45-CL50</f>
        <v>-1465.19</v>
      </c>
      <c r="CM52" s="989"/>
      <c r="CN52" s="989"/>
      <c r="CO52" s="989"/>
      <c r="CP52" s="989"/>
      <c r="CQ52" s="989">
        <f>CQ45-CQ50</f>
        <v>-262.16121571295798</v>
      </c>
      <c r="CV52" s="989">
        <f>CV45-CV50</f>
        <v>-372.51095788894429</v>
      </c>
      <c r="DA52" s="989">
        <f>DA45-DA50</f>
        <v>-397.50167841728125</v>
      </c>
      <c r="DF52" s="989">
        <f>DF45-DF50</f>
        <v>-284.04294632332</v>
      </c>
      <c r="DP52" s="937"/>
      <c r="DW52" s="918"/>
      <c r="DX52" s="937"/>
      <c r="DY52" s="937"/>
      <c r="EA52" s="918"/>
      <c r="EB52" s="918"/>
      <c r="EC52" s="918"/>
      <c r="ED52" s="918"/>
      <c r="EE52" s="918"/>
      <c r="EF52" s="918"/>
      <c r="EG52" s="918"/>
      <c r="EH52" s="918"/>
      <c r="EI52" s="918"/>
      <c r="EJ52" s="918"/>
      <c r="EK52" s="918"/>
      <c r="EL52" s="937"/>
      <c r="EM52" s="977"/>
      <c r="EN52" s="937"/>
      <c r="EO52" s="937"/>
      <c r="EP52" s="937"/>
      <c r="EQ52" s="937"/>
    </row>
    <row r="53" spans="1:147">
      <c r="A53" s="937"/>
      <c r="AN53" s="948"/>
      <c r="AO53" s="948"/>
      <c r="AP53" s="948"/>
      <c r="AQ53" s="948"/>
      <c r="AS53" s="948"/>
      <c r="AT53" s="948"/>
      <c r="AU53" s="948"/>
      <c r="AV53" s="948"/>
      <c r="AX53" s="948"/>
      <c r="AY53" s="948"/>
      <c r="AZ53" s="948"/>
      <c r="BA53" s="948"/>
      <c r="BC53" s="948"/>
      <c r="BD53" s="948"/>
      <c r="BE53" s="948"/>
      <c r="BF53" s="948"/>
      <c r="BH53" s="948"/>
      <c r="BI53" s="948"/>
      <c r="BJ53" s="948"/>
      <c r="BK53" s="948"/>
      <c r="BM53" s="948"/>
      <c r="BN53" s="948"/>
      <c r="BO53" s="948"/>
      <c r="BP53" s="948"/>
      <c r="BR53" s="937"/>
      <c r="BS53" s="937"/>
      <c r="BU53" s="921" t="s">
        <v>401</v>
      </c>
      <c r="BV53" s="921"/>
      <c r="BW53" s="988">
        <f>BW52+(1-$DO$41)*BW43</f>
        <v>73.89</v>
      </c>
      <c r="BX53" s="988"/>
      <c r="BY53" s="988"/>
      <c r="BZ53" s="988"/>
      <c r="CA53" s="988"/>
      <c r="CB53" s="988">
        <f>CB52+(1-$DO$41)*CB43</f>
        <v>577.96</v>
      </c>
      <c r="CC53" s="988"/>
      <c r="CD53" s="988"/>
      <c r="CE53" s="988"/>
      <c r="CF53" s="988"/>
      <c r="CG53" s="988">
        <f>CG52+(1-$DO$41)*CG43</f>
        <v>-6076.8</v>
      </c>
      <c r="CH53" s="988"/>
      <c r="CI53" s="988"/>
      <c r="CJ53" s="988"/>
      <c r="CK53" s="988"/>
      <c r="CL53" s="988">
        <f>CL52+(1-$DO$41)*CL43</f>
        <v>-1352.42</v>
      </c>
      <c r="CM53" s="988"/>
      <c r="CN53" s="988"/>
      <c r="CO53" s="988"/>
      <c r="CP53" s="988"/>
      <c r="CQ53" s="988">
        <f>CQ52+(1-$DO$41)*CQ43</f>
        <v>-154.2667799302499</v>
      </c>
      <c r="CV53" s="988">
        <f>CV52+(1-$DO$41)*CV43</f>
        <v>-266.67905454518529</v>
      </c>
      <c r="DA53" s="988">
        <f>DA52+(1-$DO$41)*DA43</f>
        <v>-291.00131979920479</v>
      </c>
      <c r="DF53" s="988">
        <f>DF52+(1-$DO$41)*DF43</f>
        <v>-175.96039916140717</v>
      </c>
      <c r="DP53" s="937"/>
      <c r="DU53" s="937"/>
      <c r="DW53" s="918"/>
      <c r="DX53" s="937"/>
      <c r="DY53" s="937"/>
      <c r="EA53" s="918"/>
      <c r="EB53" s="918"/>
      <c r="EC53" s="918"/>
      <c r="ED53" s="918"/>
      <c r="EE53" s="918"/>
      <c r="EF53" s="918"/>
      <c r="EG53" s="918"/>
      <c r="EH53" s="918"/>
      <c r="EI53" s="918"/>
      <c r="EJ53" s="918"/>
      <c r="EK53" s="918"/>
      <c r="EL53" s="937"/>
      <c r="EM53" s="977"/>
      <c r="EN53" s="937"/>
      <c r="EO53" s="937"/>
      <c r="EP53" s="937"/>
      <c r="EQ53" s="937"/>
    </row>
    <row r="54" spans="1:147">
      <c r="A54" s="937"/>
      <c r="C54" s="927" t="s">
        <v>886</v>
      </c>
      <c r="E54" s="910"/>
      <c r="F54" s="910"/>
      <c r="G54" s="910"/>
      <c r="H54" s="910"/>
      <c r="I54" s="910"/>
      <c r="J54" s="910"/>
      <c r="K54" s="910"/>
      <c r="L54" s="910"/>
      <c r="M54" s="910"/>
      <c r="N54" s="1004"/>
      <c r="O54" s="1004"/>
      <c r="P54" s="1004"/>
      <c r="Q54" s="1004"/>
      <c r="R54" s="1004"/>
      <c r="S54" s="1004"/>
      <c r="T54" s="1004"/>
      <c r="U54" s="1004"/>
      <c r="V54" s="1004"/>
      <c r="W54" s="1004"/>
      <c r="X54" s="1004">
        <f>(X46*X51+X38*X50)/X52</f>
        <v>0.42936508350680858</v>
      </c>
      <c r="Y54" s="1004"/>
      <c r="Z54" s="1004"/>
      <c r="AA54" s="1004"/>
      <c r="AB54" s="1004"/>
      <c r="AC54" s="1004">
        <f>(AC46*AC51+AC38*AC50)/AC52</f>
        <v>0.44224939792257983</v>
      </c>
      <c r="AD54" s="1004"/>
      <c r="AE54" s="1004"/>
      <c r="AF54" s="1004"/>
      <c r="AG54" s="1004"/>
      <c r="AH54" s="1004">
        <f>(AH46*AH51+AH38*AH50)/AH52</f>
        <v>0.45468031053938901</v>
      </c>
      <c r="AI54" s="1004"/>
      <c r="AJ54" s="1004"/>
      <c r="AK54" s="1004"/>
      <c r="AL54" s="1004"/>
      <c r="AM54" s="1004">
        <f>(AM46*AM51+AM38*AM50)/AM52</f>
        <v>0.46181904788964467</v>
      </c>
      <c r="AN54" s="948"/>
      <c r="AO54" s="948"/>
      <c r="AP54" s="948"/>
      <c r="AQ54" s="948"/>
      <c r="AR54" s="1004">
        <f>(AR46*AR51+AR38*AR50)/AR52</f>
        <v>0.48711810876494438</v>
      </c>
      <c r="AS54" s="948"/>
      <c r="AT54" s="948"/>
      <c r="AU54" s="948"/>
      <c r="AV54" s="948"/>
      <c r="AW54" s="1004">
        <f>(AW46*AW51+AW38*AW50)/AW52</f>
        <v>0.50999386179837136</v>
      </c>
      <c r="AX54" s="948"/>
      <c r="AY54" s="948"/>
      <c r="AZ54" s="948"/>
      <c r="BA54" s="948"/>
      <c r="BB54" s="1004">
        <f>(BB46*BB51+BB38*BB50)/BB52</f>
        <v>0.51001029229990946</v>
      </c>
      <c r="BC54" s="948"/>
      <c r="BD54" s="948"/>
      <c r="BE54" s="948"/>
      <c r="BF54" s="948"/>
      <c r="BG54" s="1004">
        <f>(BG46*BG51+BG38*BG50)/BG52</f>
        <v>0.50867983114070126</v>
      </c>
      <c r="BH54" s="948"/>
      <c r="BI54" s="948"/>
      <c r="BJ54" s="948"/>
      <c r="BK54" s="948"/>
      <c r="BL54" s="1004">
        <f>(BL46*BL51+BL38*BL50)/BL52</f>
        <v>0.50900781473444268</v>
      </c>
      <c r="BM54" s="948"/>
      <c r="BN54" s="948"/>
      <c r="BO54" s="948"/>
      <c r="BP54" s="948"/>
      <c r="BQ54" s="1004">
        <f>(BQ46*BQ51+BQ38*BQ50)/BQ52</f>
        <v>0.51073346362914673</v>
      </c>
      <c r="BR54" s="937"/>
      <c r="BS54" s="937"/>
      <c r="BU54" s="921" t="s">
        <v>842</v>
      </c>
      <c r="CL54" s="991"/>
      <c r="CQ54" s="991"/>
      <c r="CV54" s="991"/>
      <c r="DA54" s="991"/>
      <c r="DF54" s="991">
        <f>IF(DV34=2,DF41*DO50,(DF53)/(DO42-DV35))</f>
        <v>-1624.5145355183572</v>
      </c>
      <c r="DP54" s="937"/>
      <c r="DU54" s="937"/>
      <c r="DW54" s="918"/>
      <c r="DX54" s="937"/>
      <c r="DY54" s="937"/>
      <c r="EA54" s="918"/>
      <c r="EB54" s="918"/>
      <c r="EC54" s="918"/>
      <c r="ED54" s="918"/>
      <c r="EE54" s="918"/>
      <c r="EF54" s="918"/>
      <c r="EG54" s="918"/>
      <c r="EH54" s="918"/>
      <c r="EI54" s="918"/>
      <c r="EJ54" s="918"/>
      <c r="EK54" s="918"/>
      <c r="EL54" s="937"/>
      <c r="EM54" s="977"/>
      <c r="EN54" s="937"/>
      <c r="EO54" s="937"/>
      <c r="EP54" s="937"/>
      <c r="EQ54" s="937"/>
    </row>
    <row r="55" spans="1:147">
      <c r="A55" s="937"/>
      <c r="C55" s="895" t="s">
        <v>16</v>
      </c>
      <c r="E55" s="910"/>
      <c r="F55" s="910"/>
      <c r="G55" s="910"/>
      <c r="H55" s="910"/>
      <c r="I55" s="910"/>
      <c r="J55" s="910"/>
      <c r="K55" s="910"/>
      <c r="L55" s="910"/>
      <c r="M55" s="910"/>
      <c r="N55" s="1004"/>
      <c r="O55" s="1004"/>
      <c r="P55" s="1004"/>
      <c r="Q55" s="1004"/>
      <c r="R55" s="1004"/>
      <c r="S55" s="1004"/>
      <c r="T55" s="1004"/>
      <c r="U55" s="1004"/>
      <c r="V55" s="1004"/>
      <c r="W55" s="1004"/>
      <c r="X55" s="1004">
        <f>((X50*X38*X37)+(X51*X44*X46))/(X54*X52)</f>
        <v>0.15069648693937251</v>
      </c>
      <c r="Y55" s="1004"/>
      <c r="Z55" s="1004"/>
      <c r="AA55" s="1004"/>
      <c r="AB55" s="1004"/>
      <c r="AC55" s="1004">
        <f>((AC50*AC38*AC37)+(AC51*AC44*AC46))/(AC54*AC52)</f>
        <v>0.17311033330260722</v>
      </c>
      <c r="AD55" s="1004"/>
      <c r="AE55" s="1004"/>
      <c r="AF55" s="1004"/>
      <c r="AG55" s="1004"/>
      <c r="AH55" s="1004">
        <f>((AH50*AH38*AH37)+(AH51*AH44*AH46))/(AH54*AH52)</f>
        <v>0.14454606010354523</v>
      </c>
      <c r="AI55" s="1004"/>
      <c r="AJ55" s="1004"/>
      <c r="AK55" s="1004"/>
      <c r="AL55" s="1004"/>
      <c r="AM55" s="1004">
        <f>((AM50*AM38*AM37)+(AM51*AM44*AM46))/(AM54*AM52)</f>
        <v>0.1293212492084701</v>
      </c>
      <c r="AN55" s="948"/>
      <c r="AO55" s="948"/>
      <c r="AP55" s="948"/>
      <c r="AQ55" s="948"/>
      <c r="AR55" s="1004">
        <f>((AR50*AR38*AR37)+(AR51*AR44*AR46))/(AR54*AR52)</f>
        <v>0.11835152303545439</v>
      </c>
      <c r="AS55" s="948"/>
      <c r="AT55" s="948"/>
      <c r="AU55" s="948"/>
      <c r="AV55" s="948"/>
      <c r="AW55" s="1004">
        <f>((AW50*AW38*AW37)+(AW51*AW44*AW46))/(AW54*AW52)</f>
        <v>0.13493854683592521</v>
      </c>
      <c r="AX55" s="948"/>
      <c r="AY55" s="948"/>
      <c r="AZ55" s="948"/>
      <c r="BA55" s="948"/>
      <c r="BB55" s="1004">
        <f>((BB50*BB38*BB37)+(BB51*BB44*BB46))/(BB54*BB52)</f>
        <v>0.14352262969011434</v>
      </c>
      <c r="BC55" s="948"/>
      <c r="BD55" s="948"/>
      <c r="BE55" s="948"/>
      <c r="BF55" s="948"/>
      <c r="BG55" s="1004">
        <f>((BG50*BG38*BG37)+(BG51*BG44*BG46))/(BG54*BG52)</f>
        <v>0.14157810660569001</v>
      </c>
      <c r="BH55" s="948"/>
      <c r="BI55" s="948"/>
      <c r="BJ55" s="948"/>
      <c r="BK55" s="948"/>
      <c r="BL55" s="1004">
        <f>((BL50*BL38*BL37)+(BL51*BL44*BL46))/(BL54*BL52)</f>
        <v>0.12679178952212278</v>
      </c>
      <c r="BM55" s="948"/>
      <c r="BN55" s="948"/>
      <c r="BO55" s="948"/>
      <c r="BP55" s="948"/>
      <c r="BQ55" s="1004">
        <f>((BQ50*BQ38*BQ37)+(BQ51*BQ44*BQ46))/(BQ54*BQ52)</f>
        <v>0.12632187800007144</v>
      </c>
      <c r="BR55" s="937"/>
      <c r="BS55" s="937"/>
      <c r="DP55" s="937"/>
      <c r="DU55" s="937"/>
      <c r="DW55" s="918"/>
      <c r="DX55" s="937"/>
      <c r="DY55" s="949"/>
      <c r="DZ55" s="949">
        <f>+EA55-1</f>
        <v>2012</v>
      </c>
      <c r="EA55" s="949">
        <f>+EB55-1</f>
        <v>2013</v>
      </c>
      <c r="EB55" s="949">
        <f>+EC55-1</f>
        <v>2014</v>
      </c>
      <c r="EC55" s="949">
        <f>+ED55-1</f>
        <v>2015</v>
      </c>
      <c r="ED55" s="949">
        <v>2016</v>
      </c>
      <c r="EE55" s="918"/>
      <c r="EF55" s="918"/>
      <c r="EG55" s="918"/>
      <c r="EH55" s="918"/>
      <c r="EI55" s="918"/>
      <c r="EJ55" s="918"/>
      <c r="EK55" s="918"/>
      <c r="EL55" s="937"/>
      <c r="EM55" s="977"/>
      <c r="EN55" s="937"/>
      <c r="EO55" s="937"/>
      <c r="EP55" s="937"/>
      <c r="EQ55" s="937"/>
    </row>
    <row r="56" spans="1:147">
      <c r="A56" s="937"/>
      <c r="C56" s="926"/>
      <c r="E56" s="910"/>
      <c r="F56" s="910"/>
      <c r="G56" s="910"/>
      <c r="H56" s="910"/>
      <c r="I56" s="910"/>
      <c r="J56" s="910"/>
      <c r="K56" s="910"/>
      <c r="L56" s="910"/>
      <c r="M56" s="910"/>
      <c r="N56" s="1006"/>
      <c r="O56" s="1006"/>
      <c r="P56" s="1006"/>
      <c r="Q56" s="1006"/>
      <c r="R56" s="1006"/>
      <c r="S56" s="1006"/>
      <c r="T56" s="1006"/>
      <c r="U56" s="1006"/>
      <c r="V56" s="1006"/>
      <c r="W56" s="1006"/>
      <c r="X56" s="1006"/>
      <c r="Y56" s="1006"/>
      <c r="Z56" s="1006"/>
      <c r="AA56" s="1006"/>
      <c r="AB56" s="1006"/>
      <c r="AC56" s="1391"/>
      <c r="AD56" s="1006"/>
      <c r="AE56" s="1006"/>
      <c r="AF56" s="1006"/>
      <c r="AG56" s="1006"/>
      <c r="AH56" s="1391"/>
      <c r="AI56" s="1006"/>
      <c r="AJ56" s="1006"/>
      <c r="AK56" s="1006"/>
      <c r="AL56" s="1006"/>
      <c r="AM56" s="1391"/>
      <c r="AN56" s="948"/>
      <c r="AO56" s="948"/>
      <c r="AP56" s="948"/>
      <c r="AQ56" s="948"/>
      <c r="AR56" s="1391"/>
      <c r="AS56" s="948"/>
      <c r="AT56" s="948"/>
      <c r="AU56" s="948"/>
      <c r="AV56" s="948"/>
      <c r="AW56" s="1391"/>
      <c r="AX56" s="948"/>
      <c r="AY56" s="948"/>
      <c r="AZ56" s="948"/>
      <c r="BA56" s="948"/>
      <c r="BB56" s="1391"/>
      <c r="BC56" s="948"/>
      <c r="BD56" s="948"/>
      <c r="BE56" s="948"/>
      <c r="BF56" s="948"/>
      <c r="BG56" s="1391"/>
      <c r="BH56" s="948"/>
      <c r="BI56" s="948"/>
      <c r="BJ56" s="948"/>
      <c r="BK56" s="948"/>
      <c r="BL56" s="1391"/>
      <c r="BM56" s="948"/>
      <c r="BN56" s="948"/>
      <c r="BO56" s="948"/>
      <c r="BP56" s="948"/>
      <c r="BQ56" s="1391"/>
      <c r="BR56" s="937"/>
      <c r="BS56" s="937"/>
      <c r="BU56" s="895" t="s">
        <v>20</v>
      </c>
      <c r="BW56" s="993">
        <f ca="1">(1/(1+$DO$42))^((BW39-$BU$39)/365)</f>
        <v>1.2879876737023239</v>
      </c>
      <c r="BX56" s="993"/>
      <c r="BY56" s="993"/>
      <c r="BZ56" s="993"/>
      <c r="CA56" s="993"/>
      <c r="CB56" s="993">
        <f ca="1">(1/(1+$DO$42))^((CB39-$BU$39)/365)</f>
        <v>1.1933941396475465</v>
      </c>
      <c r="CC56" s="993"/>
      <c r="CD56" s="993"/>
      <c r="CE56" s="993"/>
      <c r="CF56" s="993"/>
      <c r="CG56" s="993">
        <f ca="1">(1/(1+$DO$42))^((CG39-$BU$39)/365)</f>
        <v>1.1055167671217221</v>
      </c>
      <c r="CH56" s="993"/>
      <c r="CI56" s="993"/>
      <c r="CJ56" s="993"/>
      <c r="CK56" s="993"/>
      <c r="CL56" s="993">
        <f ca="1">(1/(1+$DO$42))^((CL39-$BU$39)/365)</f>
        <v>1.0243244233640714</v>
      </c>
      <c r="CM56" s="993"/>
      <c r="CN56" s="993"/>
      <c r="CO56" s="993"/>
      <c r="CP56" s="993"/>
      <c r="CQ56" s="993">
        <f ca="1">(1/(1+$DO$42))^((CQ39-$BU$39)/365)</f>
        <v>0.94909507978960517</v>
      </c>
      <c r="CV56" s="993">
        <f ca="1">(1/(1+$DO$42))^((CV39-$BU$39)/365)</f>
        <v>0.87939079644562579</v>
      </c>
      <c r="DA56" s="993">
        <f ca="1">(1/(1+$DO$42))^((DA39-$BU$39)/365)</f>
        <v>0.81463553240699327</v>
      </c>
      <c r="DF56" s="993">
        <f ca="1">(1/(1+$DO$42))^((DF39-$BU$39)/365)</f>
        <v>0.75480634649913003</v>
      </c>
      <c r="DP56" s="937"/>
      <c r="DW56" s="918"/>
      <c r="DX56" s="937"/>
      <c r="DY56" s="172"/>
      <c r="DZ56" s="996">
        <v>7000</v>
      </c>
      <c r="EA56" s="990">
        <f>+DZ56+Competitive!AC570-Competitive!AC559</f>
        <v>7388</v>
      </c>
      <c r="EB56" s="990">
        <f>+EA56+Competitive!AH570-Competitive!AH559</f>
        <v>7940</v>
      </c>
      <c r="EC56" s="990">
        <f>+EB56+Competitive!AM570-Competitive!AM559</f>
        <v>8134</v>
      </c>
      <c r="ED56" s="990">
        <f>+EC56+Competitive!AR570-Competitive!AR559</f>
        <v>8366</v>
      </c>
      <c r="EE56" s="918"/>
      <c r="EF56" s="918"/>
      <c r="EG56" s="918"/>
      <c r="EH56" s="918"/>
      <c r="EI56" s="918"/>
      <c r="EJ56" s="918"/>
      <c r="EK56" s="918"/>
      <c r="EL56" s="937"/>
      <c r="EM56" s="977"/>
      <c r="EN56" s="937"/>
      <c r="EO56" s="937"/>
      <c r="EP56" s="937"/>
      <c r="EQ56" s="937"/>
    </row>
    <row r="57" spans="1:147">
      <c r="A57" s="937"/>
      <c r="C57" s="920" t="s">
        <v>506</v>
      </c>
      <c r="D57" s="920"/>
      <c r="E57" s="1259"/>
      <c r="F57" s="1259"/>
      <c r="G57" s="1259"/>
      <c r="H57" s="1259"/>
      <c r="I57" s="1259"/>
      <c r="J57" s="1259"/>
      <c r="K57" s="1259"/>
      <c r="L57" s="1259"/>
      <c r="M57" s="1259"/>
      <c r="N57" s="1260"/>
      <c r="O57" s="1260"/>
      <c r="P57" s="1260"/>
      <c r="Q57" s="1260"/>
      <c r="R57" s="1260"/>
      <c r="S57" s="1260"/>
      <c r="T57" s="1260"/>
      <c r="U57" s="1260"/>
      <c r="V57" s="1260"/>
      <c r="W57" s="1260"/>
      <c r="X57" s="1260">
        <f>+X52*X54*X55</f>
        <v>863.99999999999989</v>
      </c>
      <c r="Y57" s="1260"/>
      <c r="Z57" s="1260"/>
      <c r="AA57" s="1260"/>
      <c r="AB57" s="1260"/>
      <c r="AC57" s="1260">
        <f>+AC52*AC54*AC55</f>
        <v>1070</v>
      </c>
      <c r="AD57" s="1260"/>
      <c r="AE57" s="1260"/>
      <c r="AF57" s="1260"/>
      <c r="AG57" s="1260"/>
      <c r="AH57" s="1260">
        <f>+AH52*AH54*AH55</f>
        <v>1035.0000000000002</v>
      </c>
      <c r="AI57" s="1260"/>
      <c r="AJ57" s="1260"/>
      <c r="AK57" s="1260"/>
      <c r="AL57" s="1260"/>
      <c r="AM57" s="1260">
        <f>+AM52*AM54*AM55</f>
        <v>1067</v>
      </c>
      <c r="AN57" s="948"/>
      <c r="AO57" s="948"/>
      <c r="AP57" s="948"/>
      <c r="AQ57" s="948"/>
      <c r="AR57" s="1260">
        <f>+AR52*AR54*AR55</f>
        <v>1103</v>
      </c>
      <c r="AS57" s="948"/>
      <c r="AT57" s="948"/>
      <c r="AU57" s="948"/>
      <c r="AV57" s="948"/>
      <c r="AW57" s="1260">
        <f>+AW52*AW54*AW55</f>
        <v>1397</v>
      </c>
      <c r="AX57" s="948"/>
      <c r="AY57" s="948"/>
      <c r="AZ57" s="948"/>
      <c r="BA57" s="948"/>
      <c r="BB57" s="1260">
        <f>+BB52*BB54*BB55</f>
        <v>1583.3854982676246</v>
      </c>
      <c r="BC57" s="948"/>
      <c r="BD57" s="948"/>
      <c r="BE57" s="948"/>
      <c r="BF57" s="948"/>
      <c r="BG57" s="1260">
        <f>+BG52*BG54*BG55</f>
        <v>1666.1866354219662</v>
      </c>
      <c r="BH57" s="948"/>
      <c r="BI57" s="948"/>
      <c r="BJ57" s="948"/>
      <c r="BK57" s="948"/>
      <c r="BL57" s="1260">
        <f>+BL52*BL54*BL55</f>
        <v>1588.9853873278639</v>
      </c>
      <c r="BM57" s="948"/>
      <c r="BN57" s="948"/>
      <c r="BO57" s="948"/>
      <c r="BP57" s="948"/>
      <c r="BQ57" s="1260">
        <f>+BQ52*BQ54*BQ55</f>
        <v>1676.0348778237001</v>
      </c>
      <c r="BR57" s="937"/>
      <c r="BS57" s="937"/>
      <c r="BU57" s="895" t="s">
        <v>845</v>
      </c>
      <c r="BW57" s="188">
        <f ca="1">+BW56*BW53</f>
        <v>95.16940920986471</v>
      </c>
      <c r="BX57" s="188"/>
      <c r="BY57" s="188"/>
      <c r="BZ57" s="188"/>
      <c r="CA57" s="188"/>
      <c r="CB57" s="188">
        <f ca="1">+CB56*CB53</f>
        <v>689.73407695069602</v>
      </c>
      <c r="CC57" s="188"/>
      <c r="CD57" s="188"/>
      <c r="CE57" s="188"/>
      <c r="CF57" s="188"/>
      <c r="CG57" s="188">
        <f ca="1">+CG56*CG53</f>
        <v>-6718.0042904452812</v>
      </c>
      <c r="CH57" s="188"/>
      <c r="CI57" s="188"/>
      <c r="CJ57" s="188"/>
      <c r="CK57" s="188"/>
      <c r="CL57" s="188">
        <f ca="1">CL56*(SUM(CL53:CL54))</f>
        <v>-1385.3168366460375</v>
      </c>
      <c r="CM57" s="188"/>
      <c r="CN57" s="188"/>
      <c r="CO57" s="188"/>
      <c r="CP57" s="188"/>
      <c r="CQ57" s="188">
        <f ca="1">CQ56*(SUM(CQ53:CQ54))</f>
        <v>-146.413841806786</v>
      </c>
      <c r="CV57" s="188">
        <f ca="1">CV56*(SUM(CV53:CV54))</f>
        <v>-234.51510617185698</v>
      </c>
      <c r="DA57" s="188">
        <f ca="1">DA56*(SUM(DA53:DA54))</f>
        <v>-237.0600150857629</v>
      </c>
      <c r="DF57" s="188">
        <f ca="1">DF56*(SUM(DF53:DF54))</f>
        <v>-1359.0099074088928</v>
      </c>
      <c r="DP57" s="937"/>
      <c r="DQ57" s="937"/>
      <c r="DR57" s="937"/>
      <c r="DS57" s="937"/>
      <c r="DT57" s="937"/>
      <c r="DU57" s="937"/>
      <c r="DV57" s="937"/>
      <c r="DW57" s="918"/>
      <c r="DX57" s="937"/>
      <c r="DY57" s="937"/>
      <c r="EA57" s="918"/>
      <c r="EB57" s="918"/>
      <c r="EC57" s="918"/>
      <c r="ED57" s="918"/>
      <c r="EE57" s="918"/>
      <c r="EF57" s="918"/>
      <c r="EG57" s="918"/>
      <c r="EH57" s="918"/>
      <c r="EI57" s="918"/>
      <c r="EJ57" s="918"/>
      <c r="EK57" s="918"/>
      <c r="EL57" s="937"/>
      <c r="EM57" s="977"/>
      <c r="EN57" s="937"/>
      <c r="EO57" s="937"/>
      <c r="EP57" s="937"/>
      <c r="EQ57" s="937"/>
    </row>
    <row r="58" spans="1:147">
      <c r="A58" s="937"/>
      <c r="C58" s="927" t="s">
        <v>652</v>
      </c>
      <c r="X58" s="188">
        <f>+Parent!X39</f>
        <v>-179</v>
      </c>
      <c r="AC58" s="188">
        <f>+Parent!AC39</f>
        <v>-107</v>
      </c>
      <c r="AH58" s="188">
        <f>+Parent!AH39</f>
        <v>-59</v>
      </c>
      <c r="AM58" s="188">
        <f>+Parent!AM39</f>
        <v>-183</v>
      </c>
      <c r="AN58" s="948"/>
      <c r="AO58" s="948"/>
      <c r="AP58" s="948"/>
      <c r="AQ58" s="948"/>
      <c r="AR58" s="188">
        <f>+Parent!AR39</f>
        <v>-239</v>
      </c>
      <c r="AS58" s="948"/>
      <c r="AT58" s="948"/>
      <c r="AU58" s="948"/>
      <c r="AV58" s="948"/>
      <c r="AW58" s="188">
        <f>+Parent!AW39</f>
        <v>-236</v>
      </c>
      <c r="AX58" s="948"/>
      <c r="AY58" s="948"/>
      <c r="AZ58" s="948"/>
      <c r="BA58" s="948"/>
      <c r="BB58" s="188">
        <f>+Parent!BB39</f>
        <v>-300.10077029047471</v>
      </c>
      <c r="BC58" s="948"/>
      <c r="BD58" s="948"/>
      <c r="BE58" s="948"/>
      <c r="BF58" s="948"/>
      <c r="BG58" s="188">
        <f>+Parent!BG39</f>
        <v>-279.42584836576202</v>
      </c>
      <c r="BH58" s="948"/>
      <c r="BI58" s="948"/>
      <c r="BJ58" s="948"/>
      <c r="BK58" s="948"/>
      <c r="BL58" s="188">
        <f>+Parent!BL39</f>
        <v>-256.52430501291195</v>
      </c>
      <c r="BM58" s="948"/>
      <c r="BN58" s="948"/>
      <c r="BO58" s="948"/>
      <c r="BP58" s="948"/>
      <c r="BQ58" s="188">
        <f>+Parent!BQ39</f>
        <v>-259.97591948818035</v>
      </c>
      <c r="BR58" s="937"/>
      <c r="BS58" s="937"/>
      <c r="DP58" s="997"/>
      <c r="DQ58" s="937"/>
      <c r="DR58" s="937"/>
      <c r="DS58" s="937"/>
      <c r="DT58" s="937"/>
      <c r="DU58" s="937"/>
      <c r="DV58" s="937"/>
      <c r="DW58" s="918"/>
      <c r="DX58" s="937"/>
      <c r="DY58" s="937"/>
      <c r="EA58" s="918"/>
      <c r="EB58" s="918"/>
      <c r="EC58" s="918"/>
      <c r="ED58" s="918"/>
      <c r="EE58" s="918"/>
      <c r="EF58" s="918"/>
      <c r="EG58" s="918"/>
      <c r="EH58" s="918"/>
      <c r="EI58" s="918"/>
      <c r="EJ58" s="918"/>
      <c r="EK58" s="918"/>
      <c r="EL58" s="937"/>
      <c r="EM58" s="977"/>
      <c r="EN58" s="937"/>
      <c r="EO58" s="937"/>
      <c r="EP58" s="937"/>
      <c r="EQ58" s="937"/>
    </row>
    <row r="59" spans="1:147">
      <c r="A59" s="937"/>
      <c r="C59" s="921" t="s">
        <v>654</v>
      </c>
      <c r="X59" s="52">
        <f>+X57+X58</f>
        <v>684.99999999999989</v>
      </c>
      <c r="AC59" s="52">
        <f>+AC57+AC58</f>
        <v>963</v>
      </c>
      <c r="AH59" s="52">
        <f>+AH57+AH58</f>
        <v>976.00000000000023</v>
      </c>
      <c r="AM59" s="52">
        <f>+AM57+AM58</f>
        <v>884</v>
      </c>
      <c r="AN59" s="948"/>
      <c r="AO59" s="948"/>
      <c r="AP59" s="948"/>
      <c r="AQ59" s="948"/>
      <c r="AR59" s="52">
        <f>+AR57+AR58</f>
        <v>864</v>
      </c>
      <c r="AS59" s="948"/>
      <c r="AT59" s="948"/>
      <c r="AU59" s="948"/>
      <c r="AV59" s="948"/>
      <c r="AW59" s="52">
        <f>+AW57+AW58</f>
        <v>1161</v>
      </c>
      <c r="AX59" s="948"/>
      <c r="AY59" s="948"/>
      <c r="AZ59" s="948"/>
      <c r="BA59" s="948"/>
      <c r="BB59" s="52">
        <f>+BB57+BB58</f>
        <v>1283.2847279771499</v>
      </c>
      <c r="BC59" s="948"/>
      <c r="BD59" s="948"/>
      <c r="BE59" s="948"/>
      <c r="BF59" s="948"/>
      <c r="BG59" s="52">
        <f>+BG57+BG58</f>
        <v>1386.7607870562042</v>
      </c>
      <c r="BH59" s="948"/>
      <c r="BI59" s="948"/>
      <c r="BJ59" s="948"/>
      <c r="BK59" s="948"/>
      <c r="BL59" s="52">
        <f>+BL57+BL58</f>
        <v>1332.4610823149519</v>
      </c>
      <c r="BM59" s="948"/>
      <c r="BN59" s="948"/>
      <c r="BO59" s="948"/>
      <c r="BP59" s="948"/>
      <c r="BQ59" s="52">
        <f>+BQ57+BQ58</f>
        <v>1416.0589583355197</v>
      </c>
      <c r="BR59" s="937"/>
      <c r="BS59" s="937"/>
      <c r="BU59" s="994" t="s">
        <v>500</v>
      </c>
      <c r="BV59" s="994"/>
      <c r="BW59" s="995">
        <f ca="1">$BW$62/BW41</f>
        <v>17.972717004302716</v>
      </c>
      <c r="BX59" s="995"/>
      <c r="BY59" s="995"/>
      <c r="BZ59" s="995"/>
      <c r="CA59" s="995"/>
      <c r="CB59" s="995">
        <f ca="1">$BW$62/CB41</f>
        <v>-2.8819225517103479</v>
      </c>
      <c r="CC59" s="995"/>
      <c r="CD59" s="995"/>
      <c r="CE59" s="995"/>
      <c r="CF59" s="995"/>
      <c r="CG59" s="995">
        <f ca="1">$BW$62/CG41</f>
        <v>0.20024297280191417</v>
      </c>
      <c r="CH59" s="995"/>
      <c r="CI59" s="995"/>
      <c r="CJ59" s="995"/>
      <c r="CK59" s="995"/>
      <c r="CL59" s="995">
        <f ca="1">$BW$62/CL41</f>
        <v>0.89214750472621784</v>
      </c>
      <c r="CM59" s="995"/>
      <c r="CN59" s="995"/>
      <c r="CO59" s="995"/>
      <c r="CP59" s="995"/>
      <c r="CQ59" s="995">
        <f ca="1">$BW$62/CQ41</f>
        <v>-15.779639109958655</v>
      </c>
      <c r="CV59" s="995">
        <f ca="1">$BW$62/CV41</f>
        <v>31.003670455604354</v>
      </c>
      <c r="DA59" s="995">
        <f ca="1">$BW$62/DA41</f>
        <v>17.652972163503378</v>
      </c>
      <c r="DF59" s="995">
        <f ca="1">$BW$62/DF41</f>
        <v>-31.93767369254164</v>
      </c>
      <c r="DL59" s="921" t="s">
        <v>762</v>
      </c>
      <c r="DM59" s="921"/>
      <c r="DN59" s="998" t="s">
        <v>199</v>
      </c>
      <c r="DO59" s="921" t="s">
        <v>840</v>
      </c>
      <c r="DP59" s="921" t="s">
        <v>863</v>
      </c>
      <c r="DQ59" s="998" t="s">
        <v>864</v>
      </c>
      <c r="DR59" s="921" t="s">
        <v>865</v>
      </c>
      <c r="DS59" s="921"/>
      <c r="DT59" s="921" t="s">
        <v>866</v>
      </c>
      <c r="DU59" s="921" t="s">
        <v>221</v>
      </c>
      <c r="DV59" s="921" t="s">
        <v>867</v>
      </c>
      <c r="EN59" s="937"/>
      <c r="EO59" s="937"/>
      <c r="EP59" s="937"/>
      <c r="EQ59" s="937"/>
    </row>
    <row r="60" spans="1:147">
      <c r="A60" s="937"/>
      <c r="C60" s="895" t="s">
        <v>507</v>
      </c>
      <c r="E60" s="910"/>
      <c r="F60" s="910"/>
      <c r="G60" s="910"/>
      <c r="H60" s="910"/>
      <c r="I60" s="910"/>
      <c r="J60" s="910"/>
      <c r="K60" s="910"/>
      <c r="L60" s="910"/>
      <c r="M60" s="910"/>
      <c r="N60" s="1007"/>
      <c r="O60" s="1007"/>
      <c r="P60" s="1007"/>
      <c r="Q60" s="1007"/>
      <c r="R60" s="1007"/>
      <c r="S60" s="1007"/>
      <c r="T60" s="1007"/>
      <c r="U60" s="1007"/>
      <c r="V60" s="1007"/>
      <c r="W60" s="1007"/>
      <c r="X60" s="1007">
        <f>FirstEnergy!X48</f>
        <v>419</v>
      </c>
      <c r="Y60" s="1007"/>
      <c r="Z60" s="1007"/>
      <c r="AA60" s="1007"/>
      <c r="AB60" s="1007"/>
      <c r="AC60" s="1007">
        <f>FirstEnergy!AC48</f>
        <v>419</v>
      </c>
      <c r="AD60" s="1007"/>
      <c r="AE60" s="1007"/>
      <c r="AF60" s="1007"/>
      <c r="AG60" s="1007"/>
      <c r="AH60" s="1007">
        <f>FirstEnergy!AH48</f>
        <v>421</v>
      </c>
      <c r="AI60" s="1007"/>
      <c r="AJ60" s="1007"/>
      <c r="AK60" s="1007"/>
      <c r="AL60" s="1007"/>
      <c r="AM60" s="1007">
        <f>FirstEnergy!AM48</f>
        <v>424</v>
      </c>
      <c r="AN60" s="948"/>
      <c r="AO60" s="948"/>
      <c r="AP60" s="948"/>
      <c r="AQ60" s="948"/>
      <c r="AR60" s="1007">
        <f>FirstEnergy!AR48</f>
        <v>426</v>
      </c>
      <c r="AS60" s="948"/>
      <c r="AT60" s="948"/>
      <c r="AU60" s="948"/>
      <c r="AV60" s="948"/>
      <c r="AW60" s="1007">
        <f>FirstEnergy!AW48</f>
        <v>444</v>
      </c>
      <c r="AX60" s="948"/>
      <c r="AY60" s="948"/>
      <c r="AZ60" s="948"/>
      <c r="BA60" s="948"/>
      <c r="BB60" s="1007">
        <f>FirstEnergy!BB48</f>
        <v>472.77648920848617</v>
      </c>
      <c r="BC60" s="948"/>
      <c r="BD60" s="948"/>
      <c r="BE60" s="948"/>
      <c r="BF60" s="948"/>
      <c r="BG60" s="1007">
        <f>FirstEnergy!BG48</f>
        <v>500.87082354325645</v>
      </c>
      <c r="BH60" s="948"/>
      <c r="BI60" s="948"/>
      <c r="BJ60" s="948"/>
      <c r="BK60" s="948"/>
      <c r="BL60" s="1007">
        <f>FirstEnergy!BL48</f>
        <v>541.78193254018015</v>
      </c>
      <c r="BM60" s="948"/>
      <c r="BN60" s="948"/>
      <c r="BO60" s="948"/>
      <c r="BP60" s="948"/>
      <c r="BQ60" s="1007">
        <f>FirstEnergy!BQ48</f>
        <v>544.48120790249891</v>
      </c>
      <c r="BR60" s="937"/>
      <c r="BS60" s="937"/>
      <c r="BU60" s="994" t="s">
        <v>691</v>
      </c>
      <c r="BV60" s="994"/>
      <c r="BW60" s="995">
        <f ca="1">$BW$65/(BW52+BW47)</f>
        <v>134.73636894057867</v>
      </c>
      <c r="BX60" s="995"/>
      <c r="BY60" s="995"/>
      <c r="BZ60" s="995"/>
      <c r="CA60" s="995"/>
      <c r="CB60" s="995">
        <f ca="1">$BW$65/(CB52+CB47)</f>
        <v>-13.320326364847583</v>
      </c>
      <c r="CC60" s="995"/>
      <c r="CD60" s="995"/>
      <c r="CE60" s="995"/>
      <c r="CF60" s="995"/>
      <c r="CG60" s="995">
        <f ca="1">$BW$65/(CG52+CG47)</f>
        <v>0.98199217759183632</v>
      </c>
      <c r="CH60" s="995"/>
      <c r="CI60" s="995"/>
      <c r="CJ60" s="995"/>
      <c r="CK60" s="995"/>
      <c r="CL60" s="995">
        <f ca="1">$BW$65/(CL52+CL47)</f>
        <v>4.1546756043484772</v>
      </c>
      <c r="CM60" s="995"/>
      <c r="CN60" s="995"/>
      <c r="CO60" s="995"/>
      <c r="CP60" s="995"/>
      <c r="CQ60" s="995">
        <f ca="1">$BW$65/(CQ52+CQ47)</f>
        <v>25.667726193911324</v>
      </c>
      <c r="CV60" s="995">
        <f ca="1">$BW$65/(CV52+CV47)</f>
        <v>17.517114239260106</v>
      </c>
      <c r="DA60" s="995">
        <f ca="1">$BW$65/(DA52+DA47)</f>
        <v>16.341910658228425</v>
      </c>
      <c r="DF60" s="995">
        <f ca="1">$BW$65/(DF52+DF47)</f>
        <v>23.499536409447241</v>
      </c>
      <c r="DL60" s="895">
        <v>1</v>
      </c>
      <c r="DN60" s="999">
        <f>1</f>
        <v>1</v>
      </c>
      <c r="DO60" s="951">
        <f t="shared" ref="DO60:DO89" si="28">-$DO$41*(DN60-($DO$33*$DO$37)-EQ61)</f>
        <v>4.3279217531325874E-2</v>
      </c>
      <c r="DP60" s="951">
        <f>DO47*DN60*-1</f>
        <v>-4.2809753990893054</v>
      </c>
      <c r="DQ60" s="951">
        <f>DN60+DO60+DP60</f>
        <v>-3.2376961815579794</v>
      </c>
      <c r="DR60" s="951">
        <f>DQ60/(1+$DO$45)^DL60</f>
        <v>-2.9999104245492436</v>
      </c>
      <c r="DT60" s="1000">
        <v>3.7499999999999999E-2</v>
      </c>
      <c r="DU60" s="951">
        <f t="shared" ref="DU60:DU80" si="29">$DO$46*$DN$60*DT60</f>
        <v>0.23499999999999999</v>
      </c>
      <c r="DV60" s="951">
        <f t="shared" ref="DV60:DV80" si="30">$DO$47*$DN$60*DT60</f>
        <v>0.16053657746584896</v>
      </c>
      <c r="EN60" s="937"/>
      <c r="EO60" s="937"/>
      <c r="EP60" s="937"/>
      <c r="EQ60" s="999">
        <f t="shared" ref="EQ60:EQ80" si="31">SUM(DU60:EP60)</f>
        <v>0.39553657746584892</v>
      </c>
    </row>
    <row r="61" spans="1:147">
      <c r="A61" s="937"/>
      <c r="C61" s="940" t="s">
        <v>653</v>
      </c>
      <c r="D61" s="941"/>
      <c r="E61" s="941"/>
      <c r="F61" s="941"/>
      <c r="G61" s="941"/>
      <c r="H61" s="941"/>
      <c r="I61" s="941"/>
      <c r="J61" s="941"/>
      <c r="K61" s="941"/>
      <c r="L61" s="941"/>
      <c r="M61" s="941"/>
      <c r="N61" s="942"/>
      <c r="O61" s="942"/>
      <c r="P61" s="942"/>
      <c r="Q61" s="942"/>
      <c r="R61" s="942"/>
      <c r="S61" s="942"/>
      <c r="T61" s="942"/>
      <c r="U61" s="942"/>
      <c r="V61" s="942"/>
      <c r="W61" s="942"/>
      <c r="X61" s="942">
        <f>X59/X60</f>
        <v>1.6348448687350832</v>
      </c>
      <c r="Y61" s="942"/>
      <c r="Z61" s="942"/>
      <c r="AA61" s="942"/>
      <c r="AB61" s="942"/>
      <c r="AC61" s="942">
        <f>AC59/AC60</f>
        <v>2.2983293556085918</v>
      </c>
      <c r="AD61" s="942"/>
      <c r="AE61" s="942"/>
      <c r="AF61" s="942"/>
      <c r="AG61" s="942"/>
      <c r="AH61" s="942">
        <f>AH59/AH60</f>
        <v>2.3182897862232785</v>
      </c>
      <c r="AI61" s="942"/>
      <c r="AJ61" s="942"/>
      <c r="AK61" s="942"/>
      <c r="AL61" s="942"/>
      <c r="AM61" s="942">
        <f>AM59/AM60</f>
        <v>2.0849056603773586</v>
      </c>
      <c r="AN61" s="942"/>
      <c r="AO61" s="942"/>
      <c r="AP61" s="942"/>
      <c r="AQ61" s="942"/>
      <c r="AR61" s="942">
        <f>AR59/AR60</f>
        <v>2.028169014084507</v>
      </c>
      <c r="AS61" s="942"/>
      <c r="AT61" s="942"/>
      <c r="AU61" s="942"/>
      <c r="AV61" s="942"/>
      <c r="AW61" s="942">
        <f>AW59/AW60</f>
        <v>2.6148648648648649</v>
      </c>
      <c r="AX61" s="942"/>
      <c r="AY61" s="942"/>
      <c r="AZ61" s="942"/>
      <c r="BA61" s="942"/>
      <c r="BB61" s="942">
        <f>BB59/BB60</f>
        <v>2.714358174040342</v>
      </c>
      <c r="BC61" s="942"/>
      <c r="BD61" s="942"/>
      <c r="BE61" s="942"/>
      <c r="BF61" s="942"/>
      <c r="BG61" s="942">
        <f>BG59/BG60</f>
        <v>2.7686994767353226</v>
      </c>
      <c r="BH61" s="956"/>
      <c r="BI61" s="956"/>
      <c r="BJ61" s="956"/>
      <c r="BK61" s="956"/>
      <c r="BL61" s="942">
        <f>BL59/BL60</f>
        <v>2.4594047942271176</v>
      </c>
      <c r="BM61" s="956"/>
      <c r="BN61" s="956"/>
      <c r="BO61" s="956"/>
      <c r="BP61" s="956"/>
      <c r="BQ61" s="944">
        <f>BQ59/BQ60</f>
        <v>2.6007490025056947</v>
      </c>
      <c r="BR61" s="937"/>
      <c r="BS61" s="937"/>
      <c r="DL61" s="895">
        <f t="shared" ref="DL61:DL89" si="32">DL60+1</f>
        <v>2</v>
      </c>
      <c r="DN61" s="999">
        <f t="shared" ref="DN61:DN89" si="33">DN60*(1+$DO$48)</f>
        <v>1.01</v>
      </c>
      <c r="DO61" s="951">
        <f t="shared" si="28"/>
        <v>0.13277311333495392</v>
      </c>
      <c r="DP61" s="951">
        <f t="shared" ref="DP61:DP89" si="34">DP60</f>
        <v>-4.2809753990893054</v>
      </c>
      <c r="DQ61" s="951">
        <f t="shared" ref="DQ61:DQ89" si="35">DN61+DO61+DP61</f>
        <v>-3.1382022857543515</v>
      </c>
      <c r="DR61" s="951">
        <f t="shared" ref="DR61:DR89" si="36">DQ61/(1+$DO$45)^DL61</f>
        <v>-2.6941720264890452</v>
      </c>
      <c r="DT61" s="1000">
        <v>7.2190000000000004E-2</v>
      </c>
      <c r="DU61" s="951">
        <f t="shared" si="29"/>
        <v>0.45239066666666666</v>
      </c>
      <c r="DV61" s="951">
        <f t="shared" si="30"/>
        <v>0.30904361406025699</v>
      </c>
      <c r="DW61" s="951">
        <f t="shared" ref="DW61:DW80" si="37">DV60</f>
        <v>0.16053657746584896</v>
      </c>
      <c r="EQ61" s="999">
        <f t="shared" si="31"/>
        <v>0.92197085819277258</v>
      </c>
    </row>
    <row r="62" spans="1:147">
      <c r="A62" s="937"/>
      <c r="X62" s="912"/>
      <c r="AC62" s="912"/>
      <c r="AH62" s="912"/>
      <c r="AM62" s="912"/>
      <c r="AR62" s="912"/>
      <c r="AW62" s="912"/>
      <c r="BB62" s="912"/>
      <c r="BG62" s="912"/>
      <c r="BL62" s="912"/>
      <c r="BQ62" s="912"/>
      <c r="BR62" s="937"/>
      <c r="BS62" s="937"/>
      <c r="BU62" s="13" t="s">
        <v>162</v>
      </c>
      <c r="BV62" s="921"/>
      <c r="BW62" s="988">
        <f ca="1">SUM(CQ57:DF57)</f>
        <v>-1976.9988704732987</v>
      </c>
      <c r="DL62" s="895">
        <f t="shared" si="32"/>
        <v>3</v>
      </c>
      <c r="DN62" s="999">
        <f t="shared" si="33"/>
        <v>1.0201</v>
      </c>
      <c r="DO62" s="951">
        <f t="shared" si="28"/>
        <v>0.21528404465026671</v>
      </c>
      <c r="DP62" s="951">
        <f t="shared" si="34"/>
        <v>-4.2809753990893054</v>
      </c>
      <c r="DQ62" s="951">
        <f t="shared" si="35"/>
        <v>-3.0455913544390389</v>
      </c>
      <c r="DR62" s="951">
        <f t="shared" si="36"/>
        <v>-2.4226362606883649</v>
      </c>
      <c r="DT62" s="1000">
        <v>6.6769999999999996E-2</v>
      </c>
      <c r="DU62" s="951">
        <f t="shared" si="29"/>
        <v>0.41842533333333332</v>
      </c>
      <c r="DV62" s="951">
        <f t="shared" si="30"/>
        <v>0.28584072739719291</v>
      </c>
      <c r="DW62" s="951">
        <f t="shared" si="37"/>
        <v>0.30904361406025699</v>
      </c>
      <c r="DX62" s="951">
        <f t="shared" ref="DX62:DX80" si="38">DW61</f>
        <v>0.16053657746584896</v>
      </c>
      <c r="EQ62" s="999">
        <f t="shared" si="31"/>
        <v>1.1738462522566322</v>
      </c>
    </row>
    <row r="63" spans="1:147">
      <c r="A63" s="937"/>
      <c r="C63" s="1698" t="s">
        <v>472</v>
      </c>
      <c r="E63" s="910"/>
      <c r="F63" s="910"/>
      <c r="G63" s="910"/>
      <c r="H63" s="910"/>
      <c r="I63" s="910"/>
      <c r="J63" s="910"/>
      <c r="K63" s="910"/>
      <c r="L63" s="910"/>
      <c r="M63" s="910"/>
      <c r="N63" s="925"/>
      <c r="O63" s="925"/>
      <c r="P63" s="925"/>
      <c r="Q63" s="925"/>
      <c r="R63" s="925"/>
      <c r="S63" s="925"/>
      <c r="T63" s="925"/>
      <c r="U63" s="925"/>
      <c r="V63" s="925"/>
      <c r="W63" s="925"/>
      <c r="X63" s="1003"/>
      <c r="Y63" s="1003"/>
      <c r="Z63" s="1003"/>
      <c r="AA63" s="1003"/>
      <c r="AB63" s="1003"/>
      <c r="AC63" s="1003"/>
      <c r="AD63" s="1003"/>
      <c r="AE63" s="1003"/>
      <c r="AF63" s="1003"/>
      <c r="AG63" s="1003"/>
      <c r="AH63" s="1003">
        <f>+AM63*1.05</f>
        <v>18.081</v>
      </c>
      <c r="AI63" s="1003"/>
      <c r="AJ63" s="1003"/>
      <c r="AK63" s="1003"/>
      <c r="AL63" s="1003"/>
      <c r="AM63" s="1003">
        <f>+AR63*1.05</f>
        <v>17.22</v>
      </c>
      <c r="AN63" s="948"/>
      <c r="AO63" s="948"/>
      <c r="AP63" s="948"/>
      <c r="AQ63" s="948"/>
      <c r="AR63" s="1003">
        <v>16.399999999999999</v>
      </c>
      <c r="AS63" s="948"/>
      <c r="AT63" s="948"/>
      <c r="AU63" s="948"/>
      <c r="AV63" s="948"/>
      <c r="AW63" s="1003">
        <v>17.8</v>
      </c>
      <c r="AX63" s="948"/>
      <c r="AY63" s="948"/>
      <c r="AZ63" s="948"/>
      <c r="BA63" s="948"/>
      <c r="BB63" s="1003">
        <v>18.3</v>
      </c>
      <c r="BC63" s="948"/>
      <c r="BD63" s="948"/>
      <c r="BE63" s="948"/>
      <c r="BF63" s="948"/>
      <c r="BG63" s="1003">
        <v>18.100000000000001</v>
      </c>
      <c r="BH63" s="948"/>
      <c r="BI63" s="948"/>
      <c r="BJ63" s="948"/>
      <c r="BK63" s="948"/>
      <c r="BL63" s="1003">
        <f>+BG63*0.95</f>
        <v>17.195</v>
      </c>
      <c r="BM63" s="948"/>
      <c r="BN63" s="948"/>
      <c r="BO63" s="948"/>
      <c r="BP63" s="948"/>
      <c r="BQ63" s="1003">
        <f>+BL63*0.95</f>
        <v>16.335249999999998</v>
      </c>
      <c r="BR63" s="937"/>
      <c r="BS63" s="937"/>
      <c r="BU63" s="13" t="s">
        <v>1118</v>
      </c>
      <c r="BV63" s="921"/>
      <c r="BW63" s="1941">
        <f>DR22</f>
        <v>-403.39027826204699</v>
      </c>
      <c r="DL63" s="895">
        <f t="shared" si="32"/>
        <v>4</v>
      </c>
      <c r="DN63" s="999">
        <f t="shared" si="33"/>
        <v>1.0303009999999999</v>
      </c>
      <c r="DO63" s="951">
        <f t="shared" si="28"/>
        <v>0.29124274740042316</v>
      </c>
      <c r="DP63" s="951">
        <f t="shared" si="34"/>
        <v>-4.2809753990893054</v>
      </c>
      <c r="DQ63" s="951">
        <f t="shared" si="35"/>
        <v>-2.9594316516888823</v>
      </c>
      <c r="DR63" s="951">
        <f t="shared" si="36"/>
        <v>-2.1812080442379402</v>
      </c>
      <c r="DT63" s="1000">
        <v>6.1769999999999999E-2</v>
      </c>
      <c r="DU63" s="951">
        <f t="shared" si="29"/>
        <v>0.38709199999999999</v>
      </c>
      <c r="DV63" s="951">
        <f t="shared" si="30"/>
        <v>0.26443585040174639</v>
      </c>
      <c r="DW63" s="951">
        <f t="shared" si="37"/>
        <v>0.28584072739719291</v>
      </c>
      <c r="DX63" s="951">
        <f t="shared" si="38"/>
        <v>0.30904361406025699</v>
      </c>
      <c r="DY63" s="951">
        <f t="shared" ref="DY63:DY80" si="39">DX62</f>
        <v>0.16053657746584896</v>
      </c>
      <c r="EQ63" s="999">
        <f t="shared" si="31"/>
        <v>1.4069487693250451</v>
      </c>
    </row>
    <row r="64" spans="1:147">
      <c r="A64" s="937"/>
      <c r="C64" s="895" t="s">
        <v>478</v>
      </c>
      <c r="E64" s="910"/>
      <c r="F64" s="910"/>
      <c r="G64" s="910"/>
      <c r="H64" s="910"/>
      <c r="I64" s="910"/>
      <c r="J64" s="910"/>
      <c r="K64" s="910"/>
      <c r="L64" s="910"/>
      <c r="M64" s="910"/>
      <c r="N64" s="1008"/>
      <c r="O64" s="1008"/>
      <c r="P64" s="1008"/>
      <c r="Q64" s="1008"/>
      <c r="R64" s="1008"/>
      <c r="S64" s="1008"/>
      <c r="T64" s="1008"/>
      <c r="U64" s="1008"/>
      <c r="V64" s="1008"/>
      <c r="W64" s="1008"/>
      <c r="X64" s="1009"/>
      <c r="Y64" s="1009"/>
      <c r="Z64" s="1009"/>
      <c r="AA64" s="1009"/>
      <c r="AB64" s="1009"/>
      <c r="AC64" s="1009"/>
      <c r="AD64" s="1009"/>
      <c r="AE64" s="1009"/>
      <c r="AF64" s="1009"/>
      <c r="AG64" s="1009"/>
      <c r="AH64" s="1009">
        <v>0</v>
      </c>
      <c r="AI64" s="1009"/>
      <c r="AJ64" s="1009"/>
      <c r="AK64" s="1009"/>
      <c r="AL64" s="1009"/>
      <c r="AM64" s="1009">
        <v>0</v>
      </c>
      <c r="AN64" s="948"/>
      <c r="AO64" s="948"/>
      <c r="AP64" s="948"/>
      <c r="AQ64" s="948"/>
      <c r="AR64" s="1009">
        <v>0</v>
      </c>
      <c r="AS64" s="948"/>
      <c r="AT64" s="948"/>
      <c r="AU64" s="948"/>
      <c r="AV64" s="948"/>
      <c r="AW64" s="1009">
        <v>0</v>
      </c>
      <c r="AX64" s="948"/>
      <c r="AY64" s="948"/>
      <c r="AZ64" s="948"/>
      <c r="BA64" s="948"/>
      <c r="BB64" s="1009">
        <v>0</v>
      </c>
      <c r="BC64" s="948"/>
      <c r="BD64" s="948"/>
      <c r="BE64" s="948"/>
      <c r="BF64" s="948"/>
      <c r="BG64" s="1009">
        <v>0</v>
      </c>
      <c r="BH64" s="948"/>
      <c r="BI64" s="948"/>
      <c r="BJ64" s="948"/>
      <c r="BK64" s="948"/>
      <c r="BL64" s="1009">
        <v>0</v>
      </c>
      <c r="BM64" s="948"/>
      <c r="BN64" s="948"/>
      <c r="BO64" s="948"/>
      <c r="BP64" s="948"/>
      <c r="BQ64" s="1009">
        <v>0</v>
      </c>
      <c r="BR64" s="937"/>
      <c r="BS64" s="937"/>
      <c r="BU64" s="927" t="s">
        <v>656</v>
      </c>
      <c r="BW64" s="188">
        <f>+Competitive!AR619-Competitive!AR615+Competitive!AU569</f>
        <v>3707</v>
      </c>
      <c r="DL64" s="895">
        <f t="shared" si="32"/>
        <v>5</v>
      </c>
      <c r="DN64" s="999">
        <f t="shared" si="33"/>
        <v>1.04060401</v>
      </c>
      <c r="DO64" s="951">
        <f t="shared" si="28"/>
        <v>0.36121907380858165</v>
      </c>
      <c r="DP64" s="951">
        <f t="shared" si="34"/>
        <v>-4.2809753990893054</v>
      </c>
      <c r="DQ64" s="951">
        <f t="shared" si="35"/>
        <v>-2.8791523152807237</v>
      </c>
      <c r="DR64" s="951">
        <f t="shared" si="36"/>
        <v>-1.9661905810279925</v>
      </c>
      <c r="DT64" s="1000">
        <v>5.713E-2</v>
      </c>
      <c r="DU64" s="951">
        <f t="shared" si="29"/>
        <v>0.35801466666666665</v>
      </c>
      <c r="DV64" s="951">
        <f t="shared" si="30"/>
        <v>0.24457212454997201</v>
      </c>
      <c r="DW64" s="951">
        <f t="shared" si="37"/>
        <v>0.26443585040174639</v>
      </c>
      <c r="DX64" s="951">
        <f t="shared" si="38"/>
        <v>0.28584072739719291</v>
      </c>
      <c r="DY64" s="951">
        <f t="shared" si="39"/>
        <v>0.30904361406025699</v>
      </c>
      <c r="DZ64" s="951">
        <f t="shared" ref="DZ64:DZ80" si="40">DY63</f>
        <v>0.16053657746584896</v>
      </c>
      <c r="EQ64" s="999">
        <f t="shared" si="31"/>
        <v>1.622443560541684</v>
      </c>
    </row>
    <row r="65" spans="1:147">
      <c r="A65" s="937"/>
      <c r="C65" s="895" t="s">
        <v>479</v>
      </c>
      <c r="E65" s="910"/>
      <c r="F65" s="910"/>
      <c r="G65" s="910"/>
      <c r="H65" s="910"/>
      <c r="I65" s="910"/>
      <c r="J65" s="910"/>
      <c r="K65" s="910"/>
      <c r="L65" s="910"/>
      <c r="M65" s="910"/>
      <c r="N65" s="925"/>
      <c r="O65" s="925"/>
      <c r="P65" s="925"/>
      <c r="Q65" s="925"/>
      <c r="R65" s="925"/>
      <c r="S65" s="925"/>
      <c r="T65" s="925"/>
      <c r="U65" s="925"/>
      <c r="V65" s="925"/>
      <c r="W65" s="925"/>
      <c r="X65" s="925"/>
      <c r="Y65" s="925"/>
      <c r="Z65" s="925"/>
      <c r="AA65" s="925"/>
      <c r="AB65" s="925"/>
      <c r="AC65" s="925"/>
      <c r="AD65" s="925"/>
      <c r="AE65" s="925"/>
      <c r="AF65" s="925"/>
      <c r="AG65" s="925"/>
      <c r="AH65" s="925">
        <f>+AH63*(1+AH64)</f>
        <v>18.081</v>
      </c>
      <c r="AI65" s="925"/>
      <c r="AJ65" s="925"/>
      <c r="AK65" s="925"/>
      <c r="AL65" s="925"/>
      <c r="AM65" s="925">
        <f>+AM63*(1+AM64)</f>
        <v>17.22</v>
      </c>
      <c r="AN65" s="948"/>
      <c r="AO65" s="948"/>
      <c r="AP65" s="948"/>
      <c r="AQ65" s="948"/>
      <c r="AR65" s="925">
        <f>+AR63*(1+AR64)</f>
        <v>16.399999999999999</v>
      </c>
      <c r="AS65" s="948"/>
      <c r="AT65" s="948"/>
      <c r="AU65" s="948"/>
      <c r="AV65" s="948"/>
      <c r="AW65" s="925">
        <f>+AW63*(1+AW64)</f>
        <v>17.8</v>
      </c>
      <c r="AX65" s="948"/>
      <c r="AY65" s="948"/>
      <c r="AZ65" s="948"/>
      <c r="BA65" s="948"/>
      <c r="BB65" s="925">
        <f>+BB63*(1+BB64)</f>
        <v>18.3</v>
      </c>
      <c r="BC65" s="948"/>
      <c r="BD65" s="948"/>
      <c r="BE65" s="948"/>
      <c r="BF65" s="948"/>
      <c r="BG65" s="925">
        <f>+BG63*(1+BG64)</f>
        <v>18.100000000000001</v>
      </c>
      <c r="BH65" s="948"/>
      <c r="BI65" s="948"/>
      <c r="BJ65" s="948"/>
      <c r="BK65" s="948"/>
      <c r="BL65" s="925">
        <f>+BL63*(1+BL64)</f>
        <v>17.195</v>
      </c>
      <c r="BM65" s="948"/>
      <c r="BN65" s="948"/>
      <c r="BO65" s="948"/>
      <c r="BP65" s="948"/>
      <c r="BQ65" s="925">
        <f>+BQ63*(1+BQ64)</f>
        <v>16.335249999999998</v>
      </c>
      <c r="BR65" s="937"/>
      <c r="BS65" s="937"/>
      <c r="BU65" s="921" t="s">
        <v>501</v>
      </c>
      <c r="BW65" s="52">
        <f ca="1">+BW62-BW64+BW63</f>
        <v>-6087.3891487353458</v>
      </c>
      <c r="DG65" s="1309"/>
      <c r="DL65" s="895">
        <f t="shared" si="32"/>
        <v>6</v>
      </c>
      <c r="DN65" s="999">
        <f t="shared" si="33"/>
        <v>1.0510100500999999</v>
      </c>
      <c r="DO65" s="951">
        <f t="shared" si="28"/>
        <v>0.42527553077753821</v>
      </c>
      <c r="DP65" s="951">
        <f t="shared" si="34"/>
        <v>-4.2809753990893054</v>
      </c>
      <c r="DQ65" s="951">
        <f t="shared" si="35"/>
        <v>-2.8046898182117674</v>
      </c>
      <c r="DR65" s="951">
        <f t="shared" si="36"/>
        <v>-1.7746716123593995</v>
      </c>
      <c r="DT65" s="1000">
        <v>5.2850000000000001E-2</v>
      </c>
      <c r="DU65" s="951">
        <f t="shared" si="29"/>
        <v>0.33119333333333334</v>
      </c>
      <c r="DV65" s="951">
        <f t="shared" si="30"/>
        <v>0.22624954984186979</v>
      </c>
      <c r="DW65" s="951">
        <f t="shared" si="37"/>
        <v>0.24457212454997201</v>
      </c>
      <c r="DX65" s="951">
        <f t="shared" si="38"/>
        <v>0.26443585040174639</v>
      </c>
      <c r="DY65" s="951">
        <f t="shared" si="39"/>
        <v>0.28584072739719291</v>
      </c>
      <c r="DZ65" s="951">
        <f t="shared" si="40"/>
        <v>0.30904361406025699</v>
      </c>
      <c r="EA65" s="951">
        <f t="shared" ref="EA65:EA80" si="41">DZ64</f>
        <v>0.16053657746584896</v>
      </c>
      <c r="EQ65" s="999">
        <f t="shared" si="31"/>
        <v>1.8218717770502206</v>
      </c>
    </row>
    <row r="66" spans="1:147">
      <c r="A66" s="937"/>
      <c r="C66" s="940" t="s">
        <v>480</v>
      </c>
      <c r="D66" s="941"/>
      <c r="E66" s="942"/>
      <c r="F66" s="942"/>
      <c r="G66" s="942"/>
      <c r="H66" s="942"/>
      <c r="I66" s="942"/>
      <c r="J66" s="942"/>
      <c r="K66" s="942"/>
      <c r="L66" s="942"/>
      <c r="M66" s="942"/>
      <c r="N66" s="942"/>
      <c r="O66" s="942"/>
      <c r="P66" s="942"/>
      <c r="Q66" s="942"/>
      <c r="R66" s="942"/>
      <c r="S66" s="942"/>
      <c r="T66" s="942"/>
      <c r="U66" s="942"/>
      <c r="V66" s="942"/>
      <c r="W66" s="942"/>
      <c r="X66" s="942"/>
      <c r="Y66" s="942"/>
      <c r="Z66" s="942"/>
      <c r="AA66" s="942"/>
      <c r="AB66" s="942"/>
      <c r="AC66" s="942"/>
      <c r="AD66" s="942"/>
      <c r="AE66" s="942"/>
      <c r="AF66" s="942"/>
      <c r="AG66" s="942"/>
      <c r="AH66" s="942">
        <f>AH61*AH65</f>
        <v>41.9169976247031</v>
      </c>
      <c r="AI66" s="942"/>
      <c r="AJ66" s="942"/>
      <c r="AK66" s="942"/>
      <c r="AL66" s="942"/>
      <c r="AM66" s="942">
        <f>AM61*AM65</f>
        <v>35.902075471698112</v>
      </c>
      <c r="AN66" s="942"/>
      <c r="AO66" s="942"/>
      <c r="AP66" s="942"/>
      <c r="AQ66" s="942"/>
      <c r="AR66" s="942">
        <f>AR61*AR65</f>
        <v>33.261971830985914</v>
      </c>
      <c r="AS66" s="942"/>
      <c r="AT66" s="942"/>
      <c r="AU66" s="942"/>
      <c r="AV66" s="942"/>
      <c r="AW66" s="942">
        <f>AW61*AW65</f>
        <v>46.544594594594599</v>
      </c>
      <c r="AX66" s="942"/>
      <c r="AY66" s="942"/>
      <c r="AZ66" s="942"/>
      <c r="BA66" s="942"/>
      <c r="BB66" s="942">
        <f>BB61*BB65</f>
        <v>49.672754584938261</v>
      </c>
      <c r="BC66" s="942"/>
      <c r="BD66" s="942"/>
      <c r="BE66" s="942"/>
      <c r="BF66" s="942"/>
      <c r="BG66" s="942">
        <f>BG61*BG65</f>
        <v>50.113460528909343</v>
      </c>
      <c r="BH66" s="1344"/>
      <c r="BI66" s="1344"/>
      <c r="BJ66" s="1344"/>
      <c r="BK66" s="1344"/>
      <c r="BL66" s="942">
        <f>BL61*BL65</f>
        <v>42.289465436735284</v>
      </c>
      <c r="BM66" s="1344"/>
      <c r="BN66" s="1344"/>
      <c r="BO66" s="1344"/>
      <c r="BP66" s="1344"/>
      <c r="BQ66" s="944">
        <f>BQ61*BQ65</f>
        <v>42.483885143181148</v>
      </c>
      <c r="BR66" s="937"/>
      <c r="BS66" s="937"/>
      <c r="DH66" s="188"/>
      <c r="DI66" s="188"/>
      <c r="DJ66" s="188"/>
      <c r="DK66" s="188"/>
      <c r="DL66" s="895">
        <f t="shared" si="32"/>
        <v>7</v>
      </c>
      <c r="DN66" s="999">
        <f t="shared" si="33"/>
        <v>1.0615201506009999</v>
      </c>
      <c r="DO66" s="951">
        <f t="shared" si="28"/>
        <v>0.48471267871782403</v>
      </c>
      <c r="DP66" s="951">
        <f t="shared" si="34"/>
        <v>-4.2809753990893054</v>
      </c>
      <c r="DQ66" s="951">
        <f t="shared" si="35"/>
        <v>-2.7347425697704812</v>
      </c>
      <c r="DR66" s="951">
        <f t="shared" si="36"/>
        <v>-1.6033259052634312</v>
      </c>
      <c r="DT66" s="1000">
        <v>4.8800000000000003E-2</v>
      </c>
      <c r="DU66" s="951">
        <f t="shared" si="29"/>
        <v>0.30581333333333333</v>
      </c>
      <c r="DV66" s="951">
        <f t="shared" si="30"/>
        <v>0.20891159947555812</v>
      </c>
      <c r="DW66" s="951">
        <f t="shared" si="37"/>
        <v>0.22624954984186979</v>
      </c>
      <c r="DX66" s="951">
        <f t="shared" si="38"/>
        <v>0.24457212454997201</v>
      </c>
      <c r="DY66" s="951">
        <f t="shared" si="39"/>
        <v>0.26443585040174639</v>
      </c>
      <c r="DZ66" s="951">
        <f t="shared" si="40"/>
        <v>0.28584072739719291</v>
      </c>
      <c r="EA66" s="951">
        <f t="shared" si="41"/>
        <v>0.30904361406025699</v>
      </c>
      <c r="EB66" s="951">
        <f t="shared" ref="EB66:EB80" si="42">EA65</f>
        <v>0.16053657746584896</v>
      </c>
      <c r="EQ66" s="999">
        <f t="shared" si="31"/>
        <v>2.0054033765257788</v>
      </c>
    </row>
    <row r="67" spans="1:147">
      <c r="A67" s="937"/>
      <c r="AN67" s="948"/>
      <c r="AO67" s="948"/>
      <c r="AP67" s="948"/>
      <c r="AQ67" s="948"/>
      <c r="AS67" s="948"/>
      <c r="AT67" s="948"/>
      <c r="AU67" s="948"/>
      <c r="AV67" s="948"/>
      <c r="AX67" s="948"/>
      <c r="AY67" s="948"/>
      <c r="AZ67" s="948"/>
      <c r="BA67" s="948"/>
      <c r="BC67" s="948"/>
      <c r="BD67" s="948"/>
      <c r="BE67" s="948"/>
      <c r="BF67" s="948"/>
      <c r="BH67" s="948"/>
      <c r="BI67" s="948"/>
      <c r="BJ67" s="948"/>
      <c r="BK67" s="948"/>
      <c r="BM67" s="948"/>
      <c r="BN67" s="948"/>
      <c r="BO67" s="948"/>
      <c r="BP67" s="948"/>
      <c r="BR67" s="937"/>
      <c r="BS67" s="937"/>
      <c r="BU67" s="921" t="s">
        <v>502</v>
      </c>
      <c r="BW67" s="934">
        <f ca="1">+BW65/Financial!BB61</f>
        <v>-13.761656422816282</v>
      </c>
      <c r="DL67" s="895">
        <f t="shared" si="32"/>
        <v>8</v>
      </c>
      <c r="DN67" s="999">
        <f t="shared" si="33"/>
        <v>1.0721353521070098</v>
      </c>
      <c r="DO67" s="951">
        <f t="shared" si="28"/>
        <v>0.55007018941432539</v>
      </c>
      <c r="DP67" s="951">
        <f t="shared" si="34"/>
        <v>-4.2809753990893054</v>
      </c>
      <c r="DQ67" s="951">
        <f t="shared" si="35"/>
        <v>-2.6587698575679699</v>
      </c>
      <c r="DR67" s="951">
        <f t="shared" si="36"/>
        <v>-1.4443029529761504</v>
      </c>
      <c r="DT67" s="1000">
        <v>4.5220000000000003E-2</v>
      </c>
      <c r="DU67" s="951">
        <f t="shared" si="29"/>
        <v>0.28337866666666667</v>
      </c>
      <c r="DV67" s="951">
        <f t="shared" si="30"/>
        <v>0.19358570754681839</v>
      </c>
      <c r="DW67" s="951">
        <f t="shared" si="37"/>
        <v>0.20891159947555812</v>
      </c>
      <c r="DX67" s="951">
        <f t="shared" si="38"/>
        <v>0.22624954984186979</v>
      </c>
      <c r="DY67" s="951">
        <f t="shared" si="39"/>
        <v>0.24457212454997201</v>
      </c>
      <c r="DZ67" s="951">
        <f t="shared" si="40"/>
        <v>0.26443585040174639</v>
      </c>
      <c r="EA67" s="951">
        <f t="shared" si="41"/>
        <v>0.28584072739719291</v>
      </c>
      <c r="EB67" s="951">
        <f t="shared" si="42"/>
        <v>0.30904361406025699</v>
      </c>
      <c r="EC67" s="951">
        <f t="shared" ref="EC67:EC80" si="43">EB66</f>
        <v>0.16053657746584896</v>
      </c>
      <c r="EQ67" s="999">
        <f t="shared" si="31"/>
        <v>2.1765544174059297</v>
      </c>
    </row>
    <row r="68" spans="1:147">
      <c r="A68" s="937"/>
      <c r="C68" s="1157" t="s">
        <v>122</v>
      </c>
      <c r="X68" s="935"/>
      <c r="AC68" s="935"/>
      <c r="AH68" s="935">
        <f>+$CG$15</f>
        <v>0</v>
      </c>
      <c r="AM68" s="935">
        <f>+$CG$15</f>
        <v>0</v>
      </c>
      <c r="AN68" s="948"/>
      <c r="AO68" s="948"/>
      <c r="AP68" s="948"/>
      <c r="AQ68" s="948"/>
      <c r="AR68" s="935">
        <f>+$CG$15</f>
        <v>0</v>
      </c>
      <c r="AS68" s="948"/>
      <c r="AT68" s="948"/>
      <c r="AU68" s="948"/>
      <c r="AV68" s="948"/>
      <c r="AW68" s="935">
        <f>+$CG$15</f>
        <v>0</v>
      </c>
      <c r="AX68" s="948"/>
      <c r="AY68" s="948"/>
      <c r="AZ68" s="948"/>
      <c r="BA68" s="948"/>
      <c r="BB68" s="935">
        <f>+$CG$15</f>
        <v>0</v>
      </c>
      <c r="BC68" s="948"/>
      <c r="BD68" s="948"/>
      <c r="BE68" s="948"/>
      <c r="BF68" s="948"/>
      <c r="BG68" s="935">
        <f>+$CG$15</f>
        <v>0</v>
      </c>
      <c r="BH68" s="948"/>
      <c r="BI68" s="948"/>
      <c r="BJ68" s="948"/>
      <c r="BK68" s="948"/>
      <c r="BL68" s="935">
        <f>+$CG$15</f>
        <v>0</v>
      </c>
      <c r="BM68" s="948"/>
      <c r="BN68" s="948"/>
      <c r="BO68" s="948"/>
      <c r="BP68" s="948"/>
      <c r="BQ68" s="935">
        <f>+$CG$15</f>
        <v>0</v>
      </c>
      <c r="BR68" s="937"/>
      <c r="BS68" s="937"/>
      <c r="DL68" s="895">
        <f t="shared" si="32"/>
        <v>9</v>
      </c>
      <c r="DN68" s="999">
        <f t="shared" si="33"/>
        <v>1.08285670562808</v>
      </c>
      <c r="DO68" s="951">
        <f t="shared" si="28"/>
        <v>0.61674059758961108</v>
      </c>
      <c r="DP68" s="951">
        <f t="shared" si="34"/>
        <v>-4.2809753990893054</v>
      </c>
      <c r="DQ68" s="951">
        <f t="shared" si="35"/>
        <v>-2.5813780958716142</v>
      </c>
      <c r="DR68" s="951">
        <f t="shared" si="36"/>
        <v>-1.2992758533413664</v>
      </c>
      <c r="DT68" s="1000">
        <v>4.462E-2</v>
      </c>
      <c r="DU68" s="951">
        <f t="shared" si="29"/>
        <v>0.27961866666666668</v>
      </c>
      <c r="DV68" s="951">
        <f t="shared" si="30"/>
        <v>0.19101712230736481</v>
      </c>
      <c r="DW68" s="951">
        <f t="shared" si="37"/>
        <v>0.19358570754681839</v>
      </c>
      <c r="DX68" s="951">
        <f t="shared" si="38"/>
        <v>0.20891159947555812</v>
      </c>
      <c r="DY68" s="951">
        <f t="shared" si="39"/>
        <v>0.22624954984186979</v>
      </c>
      <c r="DZ68" s="951">
        <f t="shared" si="40"/>
        <v>0.24457212454997201</v>
      </c>
      <c r="EA68" s="951">
        <f t="shared" si="41"/>
        <v>0.26443585040174639</v>
      </c>
      <c r="EB68" s="951">
        <f t="shared" si="42"/>
        <v>0.28584072739719291</v>
      </c>
      <c r="EC68" s="951">
        <f t="shared" si="43"/>
        <v>0.30904361406025699</v>
      </c>
      <c r="ED68" s="951">
        <f t="shared" ref="ED68:ED80" si="44">EC67</f>
        <v>0.16053657746584896</v>
      </c>
      <c r="EQ68" s="999">
        <f t="shared" si="31"/>
        <v>2.3638115397132946</v>
      </c>
    </row>
    <row r="69" spans="1:147">
      <c r="A69" s="937"/>
      <c r="C69" s="940" t="s">
        <v>126</v>
      </c>
      <c r="D69" s="941"/>
      <c r="E69" s="942"/>
      <c r="F69" s="942"/>
      <c r="G69" s="942"/>
      <c r="H69" s="942"/>
      <c r="I69" s="942"/>
      <c r="J69" s="942"/>
      <c r="K69" s="942"/>
      <c r="L69" s="942"/>
      <c r="M69" s="942"/>
      <c r="N69" s="942"/>
      <c r="O69" s="942"/>
      <c r="P69" s="942"/>
      <c r="Q69" s="942"/>
      <c r="R69" s="942"/>
      <c r="S69" s="942"/>
      <c r="T69" s="942"/>
      <c r="U69" s="942"/>
      <c r="V69" s="942"/>
      <c r="W69" s="942"/>
      <c r="X69" s="942"/>
      <c r="Y69" s="942"/>
      <c r="Z69" s="942"/>
      <c r="AA69" s="942"/>
      <c r="AB69" s="942"/>
      <c r="AC69" s="942"/>
      <c r="AD69" s="942"/>
      <c r="AE69" s="942"/>
      <c r="AF69" s="942"/>
      <c r="AG69" s="942"/>
      <c r="AH69" s="942">
        <f>+AH68+AH66</f>
        <v>41.9169976247031</v>
      </c>
      <c r="AI69" s="942"/>
      <c r="AJ69" s="942"/>
      <c r="AK69" s="942"/>
      <c r="AL69" s="942"/>
      <c r="AM69" s="942">
        <f>+AM68+AM66</f>
        <v>35.902075471698112</v>
      </c>
      <c r="AN69" s="942"/>
      <c r="AO69" s="942"/>
      <c r="AP69" s="942"/>
      <c r="AQ69" s="942"/>
      <c r="AR69" s="942">
        <f>+AR68+AR66</f>
        <v>33.261971830985914</v>
      </c>
      <c r="AS69" s="942"/>
      <c r="AT69" s="942"/>
      <c r="AU69" s="942"/>
      <c r="AV69" s="942"/>
      <c r="AW69" s="942">
        <f>+AW68+AW66</f>
        <v>46.544594594594599</v>
      </c>
      <c r="AX69" s="942"/>
      <c r="AY69" s="942"/>
      <c r="AZ69" s="942"/>
      <c r="BA69" s="942"/>
      <c r="BB69" s="942">
        <f>+BB68+BB66</f>
        <v>49.672754584938261</v>
      </c>
      <c r="BC69" s="942"/>
      <c r="BD69" s="942"/>
      <c r="BE69" s="942"/>
      <c r="BF69" s="942"/>
      <c r="BG69" s="942">
        <f>+BG68+BG66</f>
        <v>50.113460528909343</v>
      </c>
      <c r="BH69" s="1344"/>
      <c r="BI69" s="1344"/>
      <c r="BJ69" s="1344"/>
      <c r="BK69" s="1344"/>
      <c r="BL69" s="942">
        <f>+BL68+BL66</f>
        <v>42.289465436735284</v>
      </c>
      <c r="BM69" s="1344"/>
      <c r="BN69" s="1344"/>
      <c r="BO69" s="1344"/>
      <c r="BP69" s="1344"/>
      <c r="BQ69" s="944">
        <f>+BQ68+BQ66</f>
        <v>42.483885143181148</v>
      </c>
      <c r="BR69" s="937"/>
      <c r="BS69" s="937"/>
      <c r="DL69" s="895">
        <f t="shared" si="32"/>
        <v>10</v>
      </c>
      <c r="DN69" s="999">
        <f t="shared" si="33"/>
        <v>1.0936852726843609</v>
      </c>
      <c r="DO69" s="951">
        <f t="shared" si="28"/>
        <v>0.6834335496991788</v>
      </c>
      <c r="DP69" s="951">
        <f t="shared" si="34"/>
        <v>-4.2809753990893054</v>
      </c>
      <c r="DQ69" s="951">
        <f t="shared" si="35"/>
        <v>-2.5038565767057657</v>
      </c>
      <c r="DR69" s="951">
        <f t="shared" si="36"/>
        <v>-1.1677002932237293</v>
      </c>
      <c r="DT69" s="1000">
        <v>4.4609999999999997E-2</v>
      </c>
      <c r="DU69" s="951">
        <f t="shared" si="29"/>
        <v>0.27955599999999997</v>
      </c>
      <c r="DV69" s="951">
        <f t="shared" si="30"/>
        <v>0.19097431255337391</v>
      </c>
      <c r="DW69" s="951">
        <f t="shared" si="37"/>
        <v>0.19101712230736481</v>
      </c>
      <c r="DX69" s="951">
        <f t="shared" si="38"/>
        <v>0.19358570754681839</v>
      </c>
      <c r="DY69" s="951">
        <f t="shared" si="39"/>
        <v>0.20891159947555812</v>
      </c>
      <c r="DZ69" s="951">
        <f t="shared" si="40"/>
        <v>0.22624954984186979</v>
      </c>
      <c r="EA69" s="951">
        <f t="shared" si="41"/>
        <v>0.24457212454997201</v>
      </c>
      <c r="EB69" s="951">
        <f t="shared" si="42"/>
        <v>0.26443585040174639</v>
      </c>
      <c r="EC69" s="951">
        <f t="shared" si="43"/>
        <v>0.28584072739719291</v>
      </c>
      <c r="ED69" s="951">
        <f t="shared" si="44"/>
        <v>0.30904361406025699</v>
      </c>
      <c r="EE69" s="951">
        <f t="shared" ref="EE69:EE80" si="45">ED68</f>
        <v>0.16053657746584896</v>
      </c>
      <c r="EQ69" s="999">
        <f t="shared" si="31"/>
        <v>2.5547231856000017</v>
      </c>
    </row>
    <row r="70" spans="1:147">
      <c r="A70" s="937"/>
      <c r="C70" s="895" t="s">
        <v>11</v>
      </c>
      <c r="E70" s="910"/>
      <c r="F70" s="910"/>
      <c r="G70" s="910"/>
      <c r="H70" s="910"/>
      <c r="I70" s="910"/>
      <c r="J70" s="910"/>
      <c r="K70" s="910"/>
      <c r="L70" s="910"/>
      <c r="M70" s="910"/>
      <c r="N70" s="935"/>
      <c r="O70" s="935"/>
      <c r="P70" s="935"/>
      <c r="Q70" s="935"/>
      <c r="R70" s="935"/>
      <c r="S70" s="935"/>
      <c r="T70" s="935"/>
      <c r="U70" s="935"/>
      <c r="V70" s="935"/>
      <c r="W70" s="935"/>
      <c r="X70" s="935"/>
      <c r="Y70" s="935"/>
      <c r="Z70" s="935"/>
      <c r="AA70" s="935"/>
      <c r="AB70" s="935"/>
      <c r="AC70" s="935"/>
      <c r="AD70" s="935"/>
      <c r="AE70" s="935"/>
      <c r="AF70" s="935"/>
      <c r="AG70" s="935"/>
      <c r="AH70" s="935">
        <f>+$AR$19</f>
        <v>34.5</v>
      </c>
      <c r="AI70" s="935"/>
      <c r="AJ70" s="935"/>
      <c r="AK70" s="935"/>
      <c r="AL70" s="935"/>
      <c r="AM70" s="935">
        <f>+$AR$19</f>
        <v>34.5</v>
      </c>
      <c r="AN70" s="948"/>
      <c r="AO70" s="948"/>
      <c r="AP70" s="948"/>
      <c r="AQ70" s="948"/>
      <c r="AR70" s="935">
        <f>+$AR$19</f>
        <v>34.5</v>
      </c>
      <c r="AS70" s="948"/>
      <c r="AT70" s="948"/>
      <c r="AU70" s="948"/>
      <c r="AV70" s="948"/>
      <c r="AW70" s="935">
        <f>+$AR$19</f>
        <v>34.5</v>
      </c>
      <c r="AX70" s="948"/>
      <c r="AY70" s="948"/>
      <c r="AZ70" s="948"/>
      <c r="BA70" s="948"/>
      <c r="BB70" s="935">
        <f>+$AR$19</f>
        <v>34.5</v>
      </c>
      <c r="BC70" s="948"/>
      <c r="BD70" s="948"/>
      <c r="BE70" s="948"/>
      <c r="BF70" s="948"/>
      <c r="BG70" s="935">
        <f>+$AR$19</f>
        <v>34.5</v>
      </c>
      <c r="BH70" s="948"/>
      <c r="BI70" s="948"/>
      <c r="BJ70" s="948"/>
      <c r="BK70" s="948"/>
      <c r="BL70" s="935">
        <f>+$AR$19</f>
        <v>34.5</v>
      </c>
      <c r="BM70" s="948"/>
      <c r="BN70" s="948"/>
      <c r="BO70" s="948"/>
      <c r="BP70" s="948"/>
      <c r="BQ70" s="935">
        <f>+$AR$19</f>
        <v>34.5</v>
      </c>
      <c r="BR70" s="937"/>
      <c r="BS70" s="937"/>
      <c r="BT70" s="908" t="s">
        <v>657</v>
      </c>
      <c r="BU70" s="908"/>
      <c r="BV70" s="909"/>
      <c r="BW70" s="910" t="s">
        <v>964</v>
      </c>
      <c r="BX70" s="910"/>
      <c r="BY70" s="910"/>
      <c r="BZ70" s="910"/>
      <c r="CA70" s="910"/>
      <c r="CB70" s="910" t="s">
        <v>1011</v>
      </c>
      <c r="CG70" s="910" t="s">
        <v>1158</v>
      </c>
      <c r="CL70" s="910" t="s">
        <v>1220</v>
      </c>
      <c r="CQ70" s="910" t="s">
        <v>138</v>
      </c>
      <c r="CV70" s="910" t="s">
        <v>969</v>
      </c>
      <c r="DA70" s="910" t="s">
        <v>970</v>
      </c>
      <c r="DF70" s="910" t="s">
        <v>1135</v>
      </c>
      <c r="DL70" s="895">
        <f t="shared" si="32"/>
        <v>11</v>
      </c>
      <c r="DN70" s="999">
        <f t="shared" si="33"/>
        <v>1.1046221254112045</v>
      </c>
      <c r="DO70" s="951">
        <f t="shared" si="28"/>
        <v>0.7500242231683284</v>
      </c>
      <c r="DP70" s="951">
        <f t="shared" si="34"/>
        <v>-4.2809753990893054</v>
      </c>
      <c r="DQ70" s="951">
        <f t="shared" si="35"/>
        <v>-2.4263290505097723</v>
      </c>
      <c r="DR70" s="951">
        <f t="shared" si="36"/>
        <v>-1.0484406064438501</v>
      </c>
      <c r="DT70" s="1000">
        <v>4.462E-2</v>
      </c>
      <c r="DU70" s="951">
        <f t="shared" si="29"/>
        <v>0.27961866666666668</v>
      </c>
      <c r="DV70" s="951">
        <f t="shared" si="30"/>
        <v>0.19101712230736481</v>
      </c>
      <c r="DW70" s="951">
        <f t="shared" si="37"/>
        <v>0.19097431255337391</v>
      </c>
      <c r="DX70" s="951">
        <f t="shared" si="38"/>
        <v>0.19101712230736481</v>
      </c>
      <c r="DY70" s="951">
        <f t="shared" si="39"/>
        <v>0.19358570754681839</v>
      </c>
      <c r="DZ70" s="951">
        <f t="shared" si="40"/>
        <v>0.20891159947555812</v>
      </c>
      <c r="EA70" s="951">
        <f t="shared" si="41"/>
        <v>0.22624954984186979</v>
      </c>
      <c r="EB70" s="951">
        <f t="shared" si="42"/>
        <v>0.24457212454997201</v>
      </c>
      <c r="EC70" s="951">
        <f t="shared" si="43"/>
        <v>0.26443585040174639</v>
      </c>
      <c r="ED70" s="951">
        <f t="shared" si="44"/>
        <v>0.28584072739719291</v>
      </c>
      <c r="EE70" s="951">
        <f t="shared" si="45"/>
        <v>0.30904361406025699</v>
      </c>
      <c r="EF70" s="951">
        <f t="shared" ref="EF70:EF80" si="46">EE69</f>
        <v>0.16053657746584896</v>
      </c>
      <c r="EQ70" s="999">
        <f t="shared" si="31"/>
        <v>2.7458029745740333</v>
      </c>
    </row>
    <row r="71" spans="1:147">
      <c r="A71" s="937"/>
      <c r="AN71" s="948"/>
      <c r="AO71" s="948"/>
      <c r="AP71" s="948"/>
      <c r="AQ71" s="948"/>
      <c r="AS71" s="948"/>
      <c r="AT71" s="948"/>
      <c r="AU71" s="948"/>
      <c r="AV71" s="948"/>
      <c r="AX71" s="948"/>
      <c r="AY71" s="948"/>
      <c r="AZ71" s="948"/>
      <c r="BA71" s="948"/>
      <c r="BC71" s="948"/>
      <c r="BD71" s="948"/>
      <c r="BE71" s="948"/>
      <c r="BF71" s="948"/>
      <c r="BH71" s="948"/>
      <c r="BI71" s="948"/>
      <c r="BJ71" s="948"/>
      <c r="BK71" s="948"/>
      <c r="BM71" s="948"/>
      <c r="BN71" s="948"/>
      <c r="BO71" s="948"/>
      <c r="BP71" s="948"/>
      <c r="BR71" s="963"/>
      <c r="BS71" s="937"/>
      <c r="BU71" s="927" t="s">
        <v>658</v>
      </c>
      <c r="BW71" s="990">
        <f>+BW41</f>
        <v>-110</v>
      </c>
      <c r="BX71" s="990"/>
      <c r="BY71" s="990"/>
      <c r="BZ71" s="990"/>
      <c r="CA71" s="990"/>
      <c r="CB71" s="990">
        <f>+CB41</f>
        <v>686</v>
      </c>
      <c r="CC71" s="910"/>
      <c r="CD71" s="910"/>
      <c r="CE71" s="910"/>
      <c r="CF71" s="910"/>
      <c r="CG71" s="990">
        <f>+CG41</f>
        <v>-9873</v>
      </c>
      <c r="CH71" s="910"/>
      <c r="CI71" s="910"/>
      <c r="CJ71" s="910"/>
      <c r="CK71" s="910"/>
      <c r="CL71" s="990">
        <f>+CL41</f>
        <v>-2216</v>
      </c>
      <c r="CM71" s="910"/>
      <c r="CN71" s="910"/>
      <c r="CO71" s="910"/>
      <c r="CP71" s="910"/>
      <c r="CQ71" s="990">
        <f>+CQ41</f>
        <v>125.28796487022311</v>
      </c>
      <c r="CV71" s="990">
        <f>+CV41</f>
        <v>-63.766607031391928</v>
      </c>
      <c r="DA71" s="990">
        <f>+DA41</f>
        <v>-111.99240853960237</v>
      </c>
      <c r="DF71" s="990">
        <f>+DF41</f>
        <v>61.901780621391481</v>
      </c>
      <c r="DL71" s="895">
        <f t="shared" si="32"/>
        <v>12</v>
      </c>
      <c r="DN71" s="999">
        <f t="shared" si="33"/>
        <v>1.1156683466653166</v>
      </c>
      <c r="DO71" s="951">
        <f t="shared" si="28"/>
        <v>0.81659761694905542</v>
      </c>
      <c r="DP71" s="951">
        <f t="shared" si="34"/>
        <v>-4.2809753990893054</v>
      </c>
      <c r="DQ71" s="951">
        <f t="shared" si="35"/>
        <v>-2.3487094354749334</v>
      </c>
      <c r="DR71" s="951">
        <f t="shared" si="36"/>
        <v>-0.94036319193274165</v>
      </c>
      <c r="DT71" s="1000">
        <v>4.4609999999999997E-2</v>
      </c>
      <c r="DU71" s="951">
        <f t="shared" si="29"/>
        <v>0.27955599999999997</v>
      </c>
      <c r="DV71" s="951">
        <f t="shared" si="30"/>
        <v>0.19097431255337391</v>
      </c>
      <c r="DW71" s="951">
        <f t="shared" si="37"/>
        <v>0.19101712230736481</v>
      </c>
      <c r="DX71" s="951">
        <f t="shared" si="38"/>
        <v>0.19097431255337391</v>
      </c>
      <c r="DY71" s="951">
        <f t="shared" si="39"/>
        <v>0.19101712230736481</v>
      </c>
      <c r="DZ71" s="951">
        <f t="shared" si="40"/>
        <v>0.19358570754681839</v>
      </c>
      <c r="EA71" s="951">
        <f t="shared" si="41"/>
        <v>0.20891159947555812</v>
      </c>
      <c r="EB71" s="951">
        <f t="shared" si="42"/>
        <v>0.22624954984186979</v>
      </c>
      <c r="EC71" s="951">
        <f t="shared" si="43"/>
        <v>0.24457212454997201</v>
      </c>
      <c r="ED71" s="951">
        <f t="shared" si="44"/>
        <v>0.26443585040174639</v>
      </c>
      <c r="EE71" s="951">
        <f t="shared" si="45"/>
        <v>0.28584072739719291</v>
      </c>
      <c r="EF71" s="951">
        <f t="shared" si="46"/>
        <v>0.30904361406025699</v>
      </c>
      <c r="EG71" s="951">
        <f t="shared" ref="EG71:EG80" si="47">EF70</f>
        <v>0.16053657746584896</v>
      </c>
      <c r="EQ71" s="999">
        <f t="shared" si="31"/>
        <v>2.9367146204607408</v>
      </c>
    </row>
    <row r="72" spans="1:147">
      <c r="A72" s="937"/>
      <c r="C72" s="895" t="s">
        <v>12</v>
      </c>
      <c r="E72" s="910"/>
      <c r="F72" s="910"/>
      <c r="G72" s="910"/>
      <c r="H72" s="910"/>
      <c r="I72" s="910"/>
      <c r="J72" s="910"/>
      <c r="K72" s="910"/>
      <c r="L72" s="910"/>
      <c r="M72" s="910"/>
      <c r="N72" s="952"/>
      <c r="O72" s="952"/>
      <c r="P72" s="952"/>
      <c r="Q72" s="952"/>
      <c r="R72" s="952"/>
      <c r="S72" s="952"/>
      <c r="T72" s="952"/>
      <c r="U72" s="952"/>
      <c r="V72" s="952"/>
      <c r="W72" s="952"/>
      <c r="X72" s="952"/>
      <c r="Y72" s="952"/>
      <c r="Z72" s="952"/>
      <c r="AA72" s="952"/>
      <c r="AB72" s="952"/>
      <c r="AC72" s="952"/>
      <c r="AD72" s="952"/>
      <c r="AE72" s="952"/>
      <c r="AF72" s="952"/>
      <c r="AG72" s="952"/>
      <c r="AH72" s="952">
        <f>+AH69/AH70-1</f>
        <v>0.21498543839719142</v>
      </c>
      <c r="AI72" s="952"/>
      <c r="AJ72" s="952"/>
      <c r="AK72" s="952"/>
      <c r="AL72" s="952"/>
      <c r="AM72" s="952">
        <f>+AM69/AM70-1</f>
        <v>4.0639868744872798E-2</v>
      </c>
      <c r="AN72" s="948"/>
      <c r="AO72" s="948"/>
      <c r="AP72" s="948"/>
      <c r="AQ72" s="948"/>
      <c r="AR72" s="952">
        <f>+AR69/AR70-1</f>
        <v>-3.5884874464176431E-2</v>
      </c>
      <c r="AS72" s="948"/>
      <c r="AT72" s="948"/>
      <c r="AU72" s="948"/>
      <c r="AV72" s="948"/>
      <c r="AW72" s="952">
        <f>+AW69/AW70-1</f>
        <v>0.34911868390129275</v>
      </c>
      <c r="AX72" s="948"/>
      <c r="AY72" s="948"/>
      <c r="AZ72" s="948"/>
      <c r="BA72" s="948"/>
      <c r="BB72" s="952">
        <f>+BB69/BB70-1</f>
        <v>0.43978998796922486</v>
      </c>
      <c r="BC72" s="948"/>
      <c r="BD72" s="948"/>
      <c r="BE72" s="948"/>
      <c r="BF72" s="948"/>
      <c r="BG72" s="952">
        <f>+BG69/BG70-1</f>
        <v>0.45256407330171999</v>
      </c>
      <c r="BH72" s="948"/>
      <c r="BI72" s="948"/>
      <c r="BJ72" s="948"/>
      <c r="BK72" s="948"/>
      <c r="BL72" s="952">
        <f>+BL69/BL70-1</f>
        <v>0.2257816068618923</v>
      </c>
      <c r="BM72" s="948"/>
      <c r="BN72" s="948"/>
      <c r="BO72" s="948"/>
      <c r="BP72" s="948"/>
      <c r="BQ72" s="952">
        <f>+BQ69/BQ70-1</f>
        <v>0.23141696067191742</v>
      </c>
      <c r="BR72" s="963"/>
      <c r="BS72" s="937"/>
      <c r="BU72" s="895" t="s">
        <v>504</v>
      </c>
      <c r="BW72" s="1003">
        <v>7</v>
      </c>
      <c r="BX72" s="1003"/>
      <c r="BY72" s="1003"/>
      <c r="BZ72" s="1003"/>
      <c r="CA72" s="1003"/>
      <c r="CB72" s="1003">
        <v>5</v>
      </c>
      <c r="CC72" s="990"/>
      <c r="CD72" s="990"/>
      <c r="CE72" s="990"/>
      <c r="CF72" s="990"/>
      <c r="CG72" s="1003">
        <v>5</v>
      </c>
      <c r="CH72" s="990"/>
      <c r="CI72" s="990"/>
      <c r="CJ72" s="990"/>
      <c r="CK72" s="990"/>
      <c r="CL72" s="1003">
        <v>5</v>
      </c>
      <c r="CM72" s="990"/>
      <c r="CN72" s="990"/>
      <c r="CO72" s="990"/>
      <c r="CP72" s="990"/>
      <c r="CQ72" s="1003">
        <v>5</v>
      </c>
      <c r="CV72" s="1003">
        <v>5</v>
      </c>
      <c r="DA72" s="1003">
        <v>5</v>
      </c>
      <c r="DF72" s="1003">
        <v>5</v>
      </c>
      <c r="DL72" s="895">
        <f t="shared" si="32"/>
        <v>13</v>
      </c>
      <c r="DN72" s="999">
        <f t="shared" si="33"/>
        <v>1.1268250301319698</v>
      </c>
      <c r="DO72" s="951">
        <f t="shared" si="28"/>
        <v>0.88313013971114207</v>
      </c>
      <c r="DP72" s="951">
        <f t="shared" si="34"/>
        <v>-4.2809753990893054</v>
      </c>
      <c r="DQ72" s="951">
        <f t="shared" si="35"/>
        <v>-2.2710202292461936</v>
      </c>
      <c r="DR72" s="951">
        <f t="shared" si="36"/>
        <v>-0.84247985653046242</v>
      </c>
      <c r="DT72" s="1000">
        <v>4.4609999999999997E-2</v>
      </c>
      <c r="DU72" s="951">
        <f t="shared" si="29"/>
        <v>0.27955599999999997</v>
      </c>
      <c r="DV72" s="951">
        <f t="shared" si="30"/>
        <v>0.19097431255337391</v>
      </c>
      <c r="DW72" s="951">
        <f t="shared" si="37"/>
        <v>0.19097431255337391</v>
      </c>
      <c r="DX72" s="951">
        <f t="shared" si="38"/>
        <v>0.19101712230736481</v>
      </c>
      <c r="DY72" s="951">
        <f t="shared" si="39"/>
        <v>0.19097431255337391</v>
      </c>
      <c r="DZ72" s="951">
        <f t="shared" si="40"/>
        <v>0.19101712230736481</v>
      </c>
      <c r="EA72" s="951">
        <f t="shared" si="41"/>
        <v>0.19358570754681839</v>
      </c>
      <c r="EB72" s="951">
        <f t="shared" si="42"/>
        <v>0.20891159947555812</v>
      </c>
      <c r="EC72" s="951">
        <f t="shared" si="43"/>
        <v>0.22624954984186979</v>
      </c>
      <c r="ED72" s="951">
        <f t="shared" si="44"/>
        <v>0.24457212454997201</v>
      </c>
      <c r="EE72" s="951">
        <f t="shared" si="45"/>
        <v>0.26443585040174639</v>
      </c>
      <c r="EF72" s="951">
        <f t="shared" si="46"/>
        <v>0.28584072739719291</v>
      </c>
      <c r="EG72" s="951">
        <f t="shared" si="47"/>
        <v>0.30904361406025699</v>
      </c>
      <c r="EH72" s="951">
        <f t="shared" ref="EH72:EH80" si="48">EG71</f>
        <v>0.16053657746584896</v>
      </c>
      <c r="EQ72" s="999">
        <f t="shared" si="31"/>
        <v>3.1276889330141149</v>
      </c>
    </row>
    <row r="73" spans="1:147">
      <c r="A73" s="937"/>
      <c r="C73" s="895" t="s">
        <v>13</v>
      </c>
      <c r="E73" s="910"/>
      <c r="F73" s="910"/>
      <c r="G73" s="910"/>
      <c r="H73" s="910"/>
      <c r="I73" s="910"/>
      <c r="J73" s="910"/>
      <c r="K73" s="910"/>
      <c r="L73" s="910"/>
      <c r="M73" s="910"/>
      <c r="N73" s="952"/>
      <c r="O73" s="952"/>
      <c r="P73" s="952"/>
      <c r="Q73" s="952"/>
      <c r="R73" s="952"/>
      <c r="S73" s="952"/>
      <c r="T73" s="952"/>
      <c r="U73" s="952"/>
      <c r="V73" s="952"/>
      <c r="W73" s="952"/>
      <c r="X73" s="952"/>
      <c r="Y73" s="952"/>
      <c r="Z73" s="952"/>
      <c r="AA73" s="952"/>
      <c r="AB73" s="952"/>
      <c r="AC73" s="952"/>
      <c r="AD73" s="952"/>
      <c r="AE73" s="952"/>
      <c r="AF73" s="952"/>
      <c r="AG73" s="952"/>
      <c r="AH73" s="952">
        <f>+AH21</f>
        <v>4.1739130434782605E-2</v>
      </c>
      <c r="AI73" s="952"/>
      <c r="AJ73" s="952"/>
      <c r="AK73" s="952"/>
      <c r="AL73" s="952"/>
      <c r="AM73" s="952">
        <f>+AM21</f>
        <v>4.1739130434782605E-2</v>
      </c>
      <c r="AN73" s="948"/>
      <c r="AO73" s="948"/>
      <c r="AP73" s="948"/>
      <c r="AQ73" s="948"/>
      <c r="AR73" s="952">
        <f>+AR21</f>
        <v>4.1739130434782605E-2</v>
      </c>
      <c r="AS73" s="948"/>
      <c r="AT73" s="948"/>
      <c r="AU73" s="948"/>
      <c r="AV73" s="948"/>
      <c r="AW73" s="952">
        <f>+AW21</f>
        <v>4.1739130434782605E-2</v>
      </c>
      <c r="AX73" s="948"/>
      <c r="AY73" s="948"/>
      <c r="AZ73" s="948"/>
      <c r="BA73" s="948"/>
      <c r="BB73" s="952">
        <f>+BB21</f>
        <v>4.1739130434782605E-2</v>
      </c>
      <c r="BC73" s="948"/>
      <c r="BD73" s="948"/>
      <c r="BE73" s="948"/>
      <c r="BF73" s="948"/>
      <c r="BG73" s="952">
        <f>+BG21</f>
        <v>4.1739130434782605E-2</v>
      </c>
      <c r="BH73" s="948"/>
      <c r="BI73" s="948"/>
      <c r="BJ73" s="948"/>
      <c r="BK73" s="948"/>
      <c r="BL73" s="952">
        <f>+BL21</f>
        <v>4.1739130434782605E-2</v>
      </c>
      <c r="BM73" s="948"/>
      <c r="BN73" s="948"/>
      <c r="BO73" s="948"/>
      <c r="BP73" s="948"/>
      <c r="BQ73" s="952">
        <f>+BQ21</f>
        <v>4.1739130434782605E-2</v>
      </c>
      <c r="BS73" s="937"/>
      <c r="BU73" s="921" t="s">
        <v>505</v>
      </c>
      <c r="BW73" s="988">
        <f t="shared" ref="BW73:CB73" si="49">BW71*BW72</f>
        <v>-770</v>
      </c>
      <c r="BX73" s="988">
        <f t="shared" si="49"/>
        <v>0</v>
      </c>
      <c r="BY73" s="988">
        <f t="shared" si="49"/>
        <v>0</v>
      </c>
      <c r="BZ73" s="988">
        <f t="shared" si="49"/>
        <v>0</v>
      </c>
      <c r="CA73" s="988">
        <f t="shared" si="49"/>
        <v>0</v>
      </c>
      <c r="CB73" s="988">
        <f t="shared" si="49"/>
        <v>3430</v>
      </c>
      <c r="CC73" s="865"/>
      <c r="CD73" s="865"/>
      <c r="CE73" s="865"/>
      <c r="CF73" s="865"/>
      <c r="CG73" s="988">
        <f>CG71*CG72</f>
        <v>-49365</v>
      </c>
      <c r="CH73" s="865"/>
      <c r="CI73" s="865"/>
      <c r="CJ73" s="865"/>
      <c r="CK73" s="865"/>
      <c r="CL73" s="988">
        <f>CL71*CL72</f>
        <v>-11080</v>
      </c>
      <c r="CM73" s="865"/>
      <c r="CN73" s="865"/>
      <c r="CO73" s="865"/>
      <c r="CP73" s="865"/>
      <c r="CQ73" s="988">
        <f>CQ71*CQ72</f>
        <v>626.43982435111548</v>
      </c>
      <c r="CV73" s="988">
        <f>CV71*CV72</f>
        <v>-318.83303515695962</v>
      </c>
      <c r="DA73" s="988">
        <f>DA71*DA72</f>
        <v>-559.96204269801183</v>
      </c>
      <c r="DF73" s="988">
        <f>DF71*DF72</f>
        <v>309.5089031069574</v>
      </c>
      <c r="DL73" s="895">
        <f t="shared" si="32"/>
        <v>14</v>
      </c>
      <c r="DN73" s="999">
        <f t="shared" si="33"/>
        <v>1.1380932804332895</v>
      </c>
      <c r="DO73" s="951">
        <f t="shared" si="28"/>
        <v>0.94962138274440233</v>
      </c>
      <c r="DP73" s="951">
        <f t="shared" si="34"/>
        <v>-4.2809753990893054</v>
      </c>
      <c r="DQ73" s="951">
        <f t="shared" si="35"/>
        <v>-2.1932607359116134</v>
      </c>
      <c r="DR73" s="951">
        <f t="shared" si="36"/>
        <v>-0.75387784603929087</v>
      </c>
      <c r="DT73" s="1000">
        <v>4.4609999999999997E-2</v>
      </c>
      <c r="DU73" s="951">
        <f t="shared" si="29"/>
        <v>0.27955599999999997</v>
      </c>
      <c r="DV73" s="951">
        <f t="shared" si="30"/>
        <v>0.19097431255337391</v>
      </c>
      <c r="DW73" s="951">
        <f t="shared" si="37"/>
        <v>0.19097431255337391</v>
      </c>
      <c r="DX73" s="951">
        <f t="shared" si="38"/>
        <v>0.19097431255337391</v>
      </c>
      <c r="DY73" s="951">
        <f t="shared" si="39"/>
        <v>0.19101712230736481</v>
      </c>
      <c r="DZ73" s="951">
        <f t="shared" si="40"/>
        <v>0.19097431255337391</v>
      </c>
      <c r="EA73" s="951">
        <f t="shared" si="41"/>
        <v>0.19101712230736481</v>
      </c>
      <c r="EB73" s="951">
        <f t="shared" si="42"/>
        <v>0.19358570754681839</v>
      </c>
      <c r="EC73" s="951">
        <f t="shared" si="43"/>
        <v>0.20891159947555812</v>
      </c>
      <c r="ED73" s="951">
        <f t="shared" si="44"/>
        <v>0.22624954984186979</v>
      </c>
      <c r="EE73" s="951">
        <f t="shared" si="45"/>
        <v>0.24457212454997201</v>
      </c>
      <c r="EF73" s="951">
        <f t="shared" si="46"/>
        <v>0.26443585040174639</v>
      </c>
      <c r="EG73" s="951">
        <f t="shared" si="47"/>
        <v>0.28584072739719291</v>
      </c>
      <c r="EH73" s="951">
        <f t="shared" si="48"/>
        <v>0.30904361406025699</v>
      </c>
      <c r="EI73" s="951">
        <f t="shared" ref="EI73:EI80" si="50">EH72</f>
        <v>0.16053657746584896</v>
      </c>
      <c r="EQ73" s="999">
        <f t="shared" si="31"/>
        <v>3.3186632455674889</v>
      </c>
    </row>
    <row r="74" spans="1:147">
      <c r="A74" s="963"/>
      <c r="C74" s="940" t="s">
        <v>14</v>
      </c>
      <c r="D74" s="941"/>
      <c r="E74" s="942"/>
      <c r="F74" s="942"/>
      <c r="G74" s="942"/>
      <c r="H74" s="942"/>
      <c r="I74" s="942"/>
      <c r="J74" s="942"/>
      <c r="K74" s="942"/>
      <c r="L74" s="942"/>
      <c r="M74" s="942"/>
      <c r="N74" s="942"/>
      <c r="O74" s="942"/>
      <c r="P74" s="942"/>
      <c r="Q74" s="942"/>
      <c r="R74" s="942"/>
      <c r="S74" s="942"/>
      <c r="T74" s="942"/>
      <c r="U74" s="942"/>
      <c r="V74" s="942"/>
      <c r="W74" s="942"/>
      <c r="X74" s="942"/>
      <c r="Y74" s="942"/>
      <c r="Z74" s="942"/>
      <c r="AA74" s="942"/>
      <c r="AB74" s="942"/>
      <c r="AC74" s="942"/>
      <c r="AD74" s="942"/>
      <c r="AE74" s="942"/>
      <c r="AF74" s="942"/>
      <c r="AG74" s="942"/>
      <c r="AH74" s="942">
        <f>+AH73+AH72</f>
        <v>0.25672456883197403</v>
      </c>
      <c r="AI74" s="942"/>
      <c r="AJ74" s="942"/>
      <c r="AK74" s="942"/>
      <c r="AL74" s="942"/>
      <c r="AM74" s="1404">
        <f>+AM73+AM72</f>
        <v>8.237899917965541E-2</v>
      </c>
      <c r="AN74" s="1404"/>
      <c r="AO74" s="1404"/>
      <c r="AP74" s="1404"/>
      <c r="AQ74" s="1404"/>
      <c r="AR74" s="1404">
        <f>+AR73+AR72</f>
        <v>5.8542559706061745E-3</v>
      </c>
      <c r="AS74" s="1404"/>
      <c r="AT74" s="1404"/>
      <c r="AU74" s="1404"/>
      <c r="AV74" s="1404"/>
      <c r="AW74" s="1404">
        <f>+AW73+AW72</f>
        <v>0.39085781433607536</v>
      </c>
      <c r="AX74" s="1404"/>
      <c r="AY74" s="1404"/>
      <c r="AZ74" s="1404"/>
      <c r="BA74" s="1404"/>
      <c r="BB74" s="1404">
        <f>+BB73+BB72</f>
        <v>0.48152911840400747</v>
      </c>
      <c r="BC74" s="1404"/>
      <c r="BD74" s="1404"/>
      <c r="BE74" s="1404"/>
      <c r="BF74" s="1404"/>
      <c r="BG74" s="1404">
        <f>+BG73+BG72</f>
        <v>0.49430320373650261</v>
      </c>
      <c r="BH74" s="1344"/>
      <c r="BI74" s="1344"/>
      <c r="BJ74" s="1344"/>
      <c r="BK74" s="1344"/>
      <c r="BL74" s="1404">
        <f>+BL73+BL72</f>
        <v>0.26752073729667492</v>
      </c>
      <c r="BM74" s="1344"/>
      <c r="BN74" s="1344"/>
      <c r="BO74" s="1344"/>
      <c r="BP74" s="1344"/>
      <c r="BQ74" s="1405">
        <f>+BQ73+BQ72</f>
        <v>0.27315609110670003</v>
      </c>
      <c r="BR74" s="921"/>
      <c r="BS74" s="937"/>
      <c r="BU74" s="920" t="s">
        <v>659</v>
      </c>
      <c r="BW74" s="188">
        <f>+Competitive!AH619</f>
        <v>3914</v>
      </c>
      <c r="BX74" s="188"/>
      <c r="BY74" s="188"/>
      <c r="BZ74" s="188"/>
      <c r="CA74" s="188"/>
      <c r="CB74" s="188">
        <f>+Competitive!AM619</f>
        <v>3688</v>
      </c>
      <c r="CC74" s="988"/>
      <c r="CD74" s="988"/>
      <c r="CE74" s="988"/>
      <c r="CF74" s="988"/>
      <c r="CG74" s="188">
        <f>+Competitive!AR619</f>
        <v>3710</v>
      </c>
      <c r="CH74" s="988"/>
      <c r="CI74" s="988"/>
      <c r="CJ74" s="988"/>
      <c r="CK74" s="988"/>
      <c r="CL74" s="188">
        <f>+Competitive!AW619</f>
        <v>3555</v>
      </c>
      <c r="CM74" s="988"/>
      <c r="CN74" s="988"/>
      <c r="CO74" s="988"/>
      <c r="CP74" s="988"/>
      <c r="CQ74" s="188">
        <f>+Competitive!BB619</f>
        <v>3525.9012157129573</v>
      </c>
      <c r="CV74" s="188">
        <f>+Competitive!BG619</f>
        <v>3889.1521736019017</v>
      </c>
      <c r="DA74" s="188">
        <f>+Competitive!BL619</f>
        <v>4077.3938520191832</v>
      </c>
      <c r="DF74" s="188">
        <f>+Competitive!BQ619</f>
        <v>4152.1767983425034</v>
      </c>
      <c r="DL74" s="895">
        <f t="shared" si="32"/>
        <v>15</v>
      </c>
      <c r="DN74" s="999">
        <f t="shared" si="33"/>
        <v>1.1494742132376223</v>
      </c>
      <c r="DO74" s="951">
        <f t="shared" si="28"/>
        <v>1.0160709332515474</v>
      </c>
      <c r="DP74" s="951">
        <f t="shared" si="34"/>
        <v>-4.2809753990893054</v>
      </c>
      <c r="DQ74" s="951">
        <f t="shared" si="35"/>
        <v>-2.1154302526001354</v>
      </c>
      <c r="DR74" s="951">
        <f t="shared" si="36"/>
        <v>-0.67372338512691365</v>
      </c>
      <c r="DT74" s="1000">
        <v>4.4609999999999997E-2</v>
      </c>
      <c r="DU74" s="951">
        <f t="shared" si="29"/>
        <v>0.27955599999999997</v>
      </c>
      <c r="DV74" s="951">
        <f t="shared" si="30"/>
        <v>0.19097431255337391</v>
      </c>
      <c r="DW74" s="951">
        <f t="shared" si="37"/>
        <v>0.19097431255337391</v>
      </c>
      <c r="DX74" s="951">
        <f t="shared" si="38"/>
        <v>0.19097431255337391</v>
      </c>
      <c r="DY74" s="951">
        <f t="shared" si="39"/>
        <v>0.19097431255337391</v>
      </c>
      <c r="DZ74" s="951">
        <f t="shared" si="40"/>
        <v>0.19101712230736481</v>
      </c>
      <c r="EA74" s="951">
        <f t="shared" si="41"/>
        <v>0.19097431255337391</v>
      </c>
      <c r="EB74" s="951">
        <f t="shared" si="42"/>
        <v>0.19101712230736481</v>
      </c>
      <c r="EC74" s="951">
        <f t="shared" si="43"/>
        <v>0.19358570754681839</v>
      </c>
      <c r="ED74" s="951">
        <f t="shared" si="44"/>
        <v>0.20891159947555812</v>
      </c>
      <c r="EE74" s="951">
        <f t="shared" si="45"/>
        <v>0.22624954984186979</v>
      </c>
      <c r="EF74" s="951">
        <f t="shared" si="46"/>
        <v>0.24457212454997201</v>
      </c>
      <c r="EG74" s="951">
        <f t="shared" si="47"/>
        <v>0.26443585040174639</v>
      </c>
      <c r="EH74" s="951">
        <f t="shared" si="48"/>
        <v>0.28584072739719291</v>
      </c>
      <c r="EI74" s="951">
        <f t="shared" si="50"/>
        <v>0.30904361406025699</v>
      </c>
      <c r="EJ74" s="951">
        <f t="shared" ref="EJ74:EJ80" si="51">EI73</f>
        <v>0.16053657746584896</v>
      </c>
      <c r="EQ74" s="999">
        <f t="shared" si="31"/>
        <v>3.509637558120863</v>
      </c>
    </row>
    <row r="75" spans="1:147">
      <c r="A75" s="963"/>
      <c r="AN75" s="918"/>
      <c r="AO75" s="918"/>
      <c r="AP75" s="918"/>
      <c r="AQ75" s="918"/>
      <c r="AS75" s="918"/>
      <c r="AT75" s="918"/>
      <c r="AU75" s="918"/>
      <c r="AV75" s="918"/>
      <c r="AX75" s="918"/>
      <c r="AY75" s="918"/>
      <c r="AZ75" s="918"/>
      <c r="BA75" s="918"/>
      <c r="BC75" s="918"/>
      <c r="BD75" s="918"/>
      <c r="BE75" s="918"/>
      <c r="BF75" s="918"/>
      <c r="BH75" s="918"/>
      <c r="BI75" s="918"/>
      <c r="BJ75" s="918"/>
      <c r="BK75" s="918"/>
      <c r="BM75" s="918"/>
      <c r="BN75" s="918"/>
      <c r="BO75" s="918"/>
      <c r="BP75" s="918"/>
      <c r="BS75" s="937"/>
      <c r="BU75" s="921" t="s">
        <v>501</v>
      </c>
      <c r="BW75" s="988">
        <f>+BW73-BW74</f>
        <v>-4684</v>
      </c>
      <c r="BX75" s="988"/>
      <c r="BY75" s="988"/>
      <c r="BZ75" s="988"/>
      <c r="CA75" s="988"/>
      <c r="CB75" s="988">
        <f>+CB73-CB74</f>
        <v>-258</v>
      </c>
      <c r="CC75" s="1003"/>
      <c r="CD75" s="1003"/>
      <c r="CE75" s="1003"/>
      <c r="CF75" s="1003"/>
      <c r="CG75" s="988">
        <f>+CG73-CG74</f>
        <v>-53075</v>
      </c>
      <c r="CH75" s="1003"/>
      <c r="CI75" s="1003"/>
      <c r="CJ75" s="1003"/>
      <c r="CK75" s="1003"/>
      <c r="CL75" s="988">
        <f>+CL73-CL74</f>
        <v>-14635</v>
      </c>
      <c r="CM75" s="1003"/>
      <c r="CN75" s="1003"/>
      <c r="CO75" s="1003"/>
      <c r="CP75" s="1003"/>
      <c r="CQ75" s="988">
        <f>+CQ73-CQ74</f>
        <v>-2899.4613913618418</v>
      </c>
      <c r="CV75" s="988">
        <f>+CV73-CV74</f>
        <v>-4207.9852087588615</v>
      </c>
      <c r="DA75" s="988">
        <f>+DA73-DA74</f>
        <v>-4637.355894717195</v>
      </c>
      <c r="DF75" s="988">
        <f>+DF73-DF74</f>
        <v>-3842.667895235546</v>
      </c>
      <c r="DL75" s="895">
        <f t="shared" si="32"/>
        <v>16</v>
      </c>
      <c r="DN75" s="999">
        <f t="shared" si="33"/>
        <v>1.1609689553699987</v>
      </c>
      <c r="DO75" s="951">
        <f t="shared" si="28"/>
        <v>1.0824783743073163</v>
      </c>
      <c r="DP75" s="951">
        <f t="shared" si="34"/>
        <v>-4.2809753990893054</v>
      </c>
      <c r="DQ75" s="951">
        <f t="shared" si="35"/>
        <v>-2.0375280694119904</v>
      </c>
      <c r="DR75" s="951">
        <f t="shared" si="36"/>
        <v>-0.60125500654482045</v>
      </c>
      <c r="DT75" s="1000">
        <v>4.4609999999999997E-2</v>
      </c>
      <c r="DU75" s="951">
        <f t="shared" si="29"/>
        <v>0.27955599999999997</v>
      </c>
      <c r="DV75" s="951">
        <f t="shared" si="30"/>
        <v>0.19097431255337391</v>
      </c>
      <c r="DW75" s="951">
        <f t="shared" si="37"/>
        <v>0.19097431255337391</v>
      </c>
      <c r="DX75" s="951">
        <f t="shared" si="38"/>
        <v>0.19097431255337391</v>
      </c>
      <c r="DY75" s="951">
        <f t="shared" si="39"/>
        <v>0.19097431255337391</v>
      </c>
      <c r="DZ75" s="951">
        <f t="shared" si="40"/>
        <v>0.19097431255337391</v>
      </c>
      <c r="EA75" s="951">
        <f t="shared" si="41"/>
        <v>0.19101712230736481</v>
      </c>
      <c r="EB75" s="951">
        <f t="shared" si="42"/>
        <v>0.19097431255337391</v>
      </c>
      <c r="EC75" s="951">
        <f t="shared" si="43"/>
        <v>0.19101712230736481</v>
      </c>
      <c r="ED75" s="951">
        <f t="shared" si="44"/>
        <v>0.19358570754681839</v>
      </c>
      <c r="EE75" s="951">
        <f t="shared" si="45"/>
        <v>0.20891159947555812</v>
      </c>
      <c r="EF75" s="951">
        <f t="shared" si="46"/>
        <v>0.22624954984186979</v>
      </c>
      <c r="EG75" s="951">
        <f t="shared" si="47"/>
        <v>0.24457212454997201</v>
      </c>
      <c r="EH75" s="951">
        <f t="shared" si="48"/>
        <v>0.26443585040174639</v>
      </c>
      <c r="EI75" s="951">
        <f t="shared" si="50"/>
        <v>0.28584072739719291</v>
      </c>
      <c r="EJ75" s="951">
        <f t="shared" si="51"/>
        <v>0.30904361406025699</v>
      </c>
      <c r="EK75" s="951">
        <f t="shared" ref="EK75:EK80" si="52">EJ74</f>
        <v>0.16053657746584896</v>
      </c>
      <c r="EQ75" s="999">
        <f t="shared" si="31"/>
        <v>3.700611870674237</v>
      </c>
    </row>
    <row r="76" spans="1:147">
      <c r="A76" s="937"/>
      <c r="AN76" s="918"/>
      <c r="AO76" s="918"/>
      <c r="AP76" s="918"/>
      <c r="AQ76" s="918"/>
      <c r="AS76" s="918"/>
      <c r="AT76" s="918"/>
      <c r="AU76" s="918"/>
      <c r="AV76" s="918"/>
      <c r="AX76" s="918"/>
      <c r="AY76" s="918"/>
      <c r="AZ76" s="918"/>
      <c r="BA76" s="918"/>
      <c r="BC76" s="918"/>
      <c r="BD76" s="918"/>
      <c r="BE76" s="918"/>
      <c r="BF76" s="918"/>
      <c r="BH76" s="918"/>
      <c r="BI76" s="918"/>
      <c r="BJ76" s="918"/>
      <c r="BK76" s="918"/>
      <c r="BM76" s="918"/>
      <c r="BN76" s="918"/>
      <c r="BO76" s="918"/>
      <c r="BP76" s="918"/>
      <c r="BS76" s="937"/>
      <c r="CC76" s="52"/>
      <c r="CD76" s="52"/>
      <c r="CE76" s="52"/>
      <c r="CF76" s="52"/>
      <c r="CH76" s="52"/>
      <c r="CI76" s="52"/>
      <c r="CJ76" s="52"/>
      <c r="CK76" s="52"/>
      <c r="CM76" s="52"/>
      <c r="CN76" s="52"/>
      <c r="CO76" s="52"/>
      <c r="CP76" s="52"/>
      <c r="DK76" s="920"/>
      <c r="DL76" s="895">
        <f t="shared" si="32"/>
        <v>17</v>
      </c>
      <c r="DN76" s="999">
        <f t="shared" si="33"/>
        <v>1.1725786449236986</v>
      </c>
      <c r="DO76" s="951">
        <f t="shared" si="28"/>
        <v>1.1488432848171959</v>
      </c>
      <c r="DP76" s="951">
        <f t="shared" si="34"/>
        <v>-4.2809753990893054</v>
      </c>
      <c r="DQ76" s="951">
        <f t="shared" si="35"/>
        <v>-1.9595534693484109</v>
      </c>
      <c r="DR76" s="951">
        <f t="shared" si="36"/>
        <v>-0.53577743375092124</v>
      </c>
      <c r="DT76" s="1000">
        <v>4.4609999999999997E-2</v>
      </c>
      <c r="DU76" s="951">
        <f t="shared" si="29"/>
        <v>0.27955599999999997</v>
      </c>
      <c r="DV76" s="951">
        <f t="shared" si="30"/>
        <v>0.19097431255337391</v>
      </c>
      <c r="DW76" s="951">
        <f t="shared" si="37"/>
        <v>0.19097431255337391</v>
      </c>
      <c r="DX76" s="951">
        <f t="shared" si="38"/>
        <v>0.19097431255337391</v>
      </c>
      <c r="DY76" s="951">
        <f t="shared" si="39"/>
        <v>0.19097431255337391</v>
      </c>
      <c r="DZ76" s="951">
        <f t="shared" si="40"/>
        <v>0.19097431255337391</v>
      </c>
      <c r="EA76" s="951">
        <f t="shared" si="41"/>
        <v>0.19097431255337391</v>
      </c>
      <c r="EB76" s="951">
        <f t="shared" si="42"/>
        <v>0.19101712230736481</v>
      </c>
      <c r="EC76" s="951">
        <f t="shared" si="43"/>
        <v>0.19097431255337391</v>
      </c>
      <c r="ED76" s="951">
        <f t="shared" si="44"/>
        <v>0.19101712230736481</v>
      </c>
      <c r="EE76" s="951">
        <f t="shared" si="45"/>
        <v>0.19358570754681839</v>
      </c>
      <c r="EF76" s="951">
        <f t="shared" si="46"/>
        <v>0.20891159947555812</v>
      </c>
      <c r="EG76" s="951">
        <f t="shared" si="47"/>
        <v>0.22624954984186979</v>
      </c>
      <c r="EH76" s="951">
        <f t="shared" si="48"/>
        <v>0.24457212454997201</v>
      </c>
      <c r="EI76" s="951">
        <f t="shared" si="50"/>
        <v>0.26443585040174639</v>
      </c>
      <c r="EJ76" s="951">
        <f t="shared" si="51"/>
        <v>0.28584072739719291</v>
      </c>
      <c r="EK76" s="951">
        <f t="shared" si="52"/>
        <v>0.30904361406025699</v>
      </c>
      <c r="EL76" s="951">
        <f>EK75</f>
        <v>0.16053657746584896</v>
      </c>
      <c r="EQ76" s="999">
        <f t="shared" si="31"/>
        <v>3.8915861832276106</v>
      </c>
    </row>
    <row r="77" spans="1:147">
      <c r="A77" s="921"/>
      <c r="AN77" s="918"/>
      <c r="AO77" s="918"/>
      <c r="AP77" s="918"/>
      <c r="AQ77" s="918"/>
      <c r="AS77" s="918"/>
      <c r="AT77" s="918"/>
      <c r="AU77" s="918"/>
      <c r="AV77" s="918"/>
      <c r="AX77" s="918"/>
      <c r="AY77" s="918"/>
      <c r="AZ77" s="918"/>
      <c r="BA77" s="918"/>
      <c r="BC77" s="918"/>
      <c r="BD77" s="918"/>
      <c r="BE77" s="918"/>
      <c r="BF77" s="918"/>
      <c r="BH77" s="918"/>
      <c r="BI77" s="918"/>
      <c r="BJ77" s="918"/>
      <c r="BK77" s="918"/>
      <c r="BM77" s="918"/>
      <c r="BN77" s="918"/>
      <c r="BO77" s="918"/>
      <c r="BP77" s="918"/>
      <c r="BS77" s="937"/>
      <c r="BU77" s="920" t="s">
        <v>508</v>
      </c>
      <c r="BW77" s="1007">
        <f>+AH60</f>
        <v>421</v>
      </c>
      <c r="BX77" s="1007"/>
      <c r="BY77" s="1007"/>
      <c r="BZ77" s="1007"/>
      <c r="CA77" s="1007"/>
      <c r="CB77" s="1007">
        <f>+AM60</f>
        <v>424</v>
      </c>
      <c r="CC77" s="188"/>
      <c r="CD77" s="188"/>
      <c r="CE77" s="188"/>
      <c r="CF77" s="188"/>
      <c r="CG77" s="1007">
        <f>+AR60</f>
        <v>426</v>
      </c>
      <c r="CH77" s="188"/>
      <c r="CI77" s="188"/>
      <c r="CJ77" s="188"/>
      <c r="CK77" s="188"/>
      <c r="CL77" s="1392">
        <f>+FirstEnergy!AW48</f>
        <v>444</v>
      </c>
      <c r="CM77" s="188"/>
      <c r="CN77" s="188"/>
      <c r="CO77" s="188"/>
      <c r="CP77" s="188"/>
      <c r="CQ77" s="1392">
        <f>+FirstEnergy!BB48</f>
        <v>472.77648920848617</v>
      </c>
      <c r="CV77" s="1392">
        <f>+FirstEnergy!BG48</f>
        <v>500.87082354325645</v>
      </c>
      <c r="DA77" s="1392">
        <f>+FirstEnergy!BL48</f>
        <v>541.78193254018015</v>
      </c>
      <c r="DF77" s="1392">
        <f>+FirstEnergy!BQ48</f>
        <v>544.48120790249891</v>
      </c>
      <c r="DK77" s="920"/>
      <c r="DL77" s="895">
        <f t="shared" si="32"/>
        <v>18</v>
      </c>
      <c r="DN77" s="999">
        <f t="shared" si="33"/>
        <v>1.1843044313729356</v>
      </c>
      <c r="DO77" s="951">
        <f t="shared" si="28"/>
        <v>1.2151652394757264</v>
      </c>
      <c r="DP77" s="951">
        <f t="shared" si="34"/>
        <v>-4.2809753990893054</v>
      </c>
      <c r="DQ77" s="951">
        <f t="shared" si="35"/>
        <v>-1.8815057282406435</v>
      </c>
      <c r="DR77" s="951">
        <f t="shared" si="36"/>
        <v>-0.47665597165852486</v>
      </c>
      <c r="DT77" s="1000">
        <v>4.4609999999999997E-2</v>
      </c>
      <c r="DU77" s="951">
        <f t="shared" si="29"/>
        <v>0.27955599999999997</v>
      </c>
      <c r="DV77" s="951">
        <f t="shared" si="30"/>
        <v>0.19097431255337391</v>
      </c>
      <c r="DW77" s="951">
        <f t="shared" si="37"/>
        <v>0.19097431255337391</v>
      </c>
      <c r="DX77" s="951">
        <f t="shared" si="38"/>
        <v>0.19097431255337391</v>
      </c>
      <c r="DY77" s="951">
        <f t="shared" si="39"/>
        <v>0.19097431255337391</v>
      </c>
      <c r="DZ77" s="951">
        <f t="shared" si="40"/>
        <v>0.19097431255337391</v>
      </c>
      <c r="EA77" s="951">
        <f t="shared" si="41"/>
        <v>0.19097431255337391</v>
      </c>
      <c r="EB77" s="951">
        <f t="shared" si="42"/>
        <v>0.19097431255337391</v>
      </c>
      <c r="EC77" s="951">
        <f t="shared" si="43"/>
        <v>0.19101712230736481</v>
      </c>
      <c r="ED77" s="951">
        <f t="shared" si="44"/>
        <v>0.19097431255337391</v>
      </c>
      <c r="EE77" s="951">
        <f t="shared" si="45"/>
        <v>0.19101712230736481</v>
      </c>
      <c r="EF77" s="951">
        <f t="shared" si="46"/>
        <v>0.19358570754681839</v>
      </c>
      <c r="EG77" s="951">
        <f t="shared" si="47"/>
        <v>0.20891159947555812</v>
      </c>
      <c r="EH77" s="951">
        <f t="shared" si="48"/>
        <v>0.22624954984186979</v>
      </c>
      <c r="EI77" s="951">
        <f t="shared" si="50"/>
        <v>0.24457212454997201</v>
      </c>
      <c r="EJ77" s="951">
        <f t="shared" si="51"/>
        <v>0.26443585040174639</v>
      </c>
      <c r="EK77" s="951">
        <f t="shared" si="52"/>
        <v>0.28584072739719291</v>
      </c>
      <c r="EL77" s="951">
        <f>EK76</f>
        <v>0.30904361406025699</v>
      </c>
      <c r="EM77" s="951">
        <f>EL76</f>
        <v>0.16053657746584896</v>
      </c>
      <c r="EQ77" s="999">
        <f t="shared" si="31"/>
        <v>4.0825604957809851</v>
      </c>
    </row>
    <row r="78" spans="1:147">
      <c r="AN78" s="948"/>
      <c r="AO78" s="948"/>
      <c r="AP78" s="948"/>
      <c r="AQ78" s="948"/>
      <c r="AS78" s="948"/>
      <c r="AT78" s="948"/>
      <c r="AU78" s="948"/>
      <c r="AV78" s="948"/>
      <c r="AX78" s="948"/>
      <c r="AY78" s="948"/>
      <c r="AZ78" s="948"/>
      <c r="BA78" s="948"/>
      <c r="BC78" s="948"/>
      <c r="BD78" s="948"/>
      <c r="BE78" s="948"/>
      <c r="BF78" s="948"/>
      <c r="BH78" s="948"/>
      <c r="BI78" s="948"/>
      <c r="BJ78" s="948"/>
      <c r="BK78" s="948"/>
      <c r="BM78" s="948"/>
      <c r="BN78" s="948"/>
      <c r="BO78" s="948"/>
      <c r="BP78" s="948"/>
      <c r="BS78" s="937"/>
      <c r="BU78" s="921" t="s">
        <v>509</v>
      </c>
      <c r="BW78" s="922">
        <f>+BW75/BW77</f>
        <v>-11.125890736342043</v>
      </c>
      <c r="BX78" s="922"/>
      <c r="BY78" s="922"/>
      <c r="BZ78" s="922"/>
      <c r="CA78" s="922"/>
      <c r="CB78" s="922">
        <f>+CB75/CB77</f>
        <v>-0.60849056603773588</v>
      </c>
      <c r="CC78" s="1005"/>
      <c r="CD78" s="1005"/>
      <c r="CE78" s="1005"/>
      <c r="CF78" s="1005"/>
      <c r="CG78" s="922">
        <f>+CG75/CG77</f>
        <v>-124.58920187793427</v>
      </c>
      <c r="CH78" s="1005"/>
      <c r="CI78" s="1005"/>
      <c r="CJ78" s="1005"/>
      <c r="CK78" s="1005"/>
      <c r="CL78" s="922">
        <f>+CL75/CL77</f>
        <v>-32.961711711711715</v>
      </c>
      <c r="CM78" s="1005"/>
      <c r="CN78" s="1005"/>
      <c r="CO78" s="1005"/>
      <c r="CP78" s="1005"/>
      <c r="CQ78" s="922">
        <f>+CQ75/CQ77</f>
        <v>-6.1328375195138563</v>
      </c>
      <c r="CV78" s="922">
        <f>+CV75/CV77</f>
        <v>-8.4013382512296602</v>
      </c>
      <c r="DA78" s="922">
        <f>+DA75/DA77</f>
        <v>-8.559450982380767</v>
      </c>
      <c r="DF78" s="922">
        <f>+DF75/DF77</f>
        <v>-7.0574848855456889</v>
      </c>
      <c r="DL78" s="895">
        <f t="shared" si="32"/>
        <v>19</v>
      </c>
      <c r="DN78" s="999">
        <f t="shared" si="33"/>
        <v>1.196147475686665</v>
      </c>
      <c r="DO78" s="951">
        <f t="shared" si="28"/>
        <v>1.2814438087243949</v>
      </c>
      <c r="DP78" s="951">
        <f t="shared" si="34"/>
        <v>-4.2809753990893054</v>
      </c>
      <c r="DQ78" s="951">
        <f t="shared" si="35"/>
        <v>-1.8033841146782454</v>
      </c>
      <c r="DR78" s="951">
        <f t="shared" si="36"/>
        <v>-0.42331136389771268</v>
      </c>
      <c r="DT78" s="1000">
        <v>4.4609999999999997E-2</v>
      </c>
      <c r="DU78" s="951">
        <f t="shared" si="29"/>
        <v>0.27955599999999997</v>
      </c>
      <c r="DV78" s="951">
        <f t="shared" si="30"/>
        <v>0.19097431255337391</v>
      </c>
      <c r="DW78" s="951">
        <f t="shared" si="37"/>
        <v>0.19097431255337391</v>
      </c>
      <c r="DX78" s="951">
        <f t="shared" si="38"/>
        <v>0.19097431255337391</v>
      </c>
      <c r="DY78" s="951">
        <f t="shared" si="39"/>
        <v>0.19097431255337391</v>
      </c>
      <c r="DZ78" s="951">
        <f t="shared" si="40"/>
        <v>0.19097431255337391</v>
      </c>
      <c r="EA78" s="951">
        <f t="shared" si="41"/>
        <v>0.19097431255337391</v>
      </c>
      <c r="EB78" s="951">
        <f t="shared" si="42"/>
        <v>0.19097431255337391</v>
      </c>
      <c r="EC78" s="951">
        <f t="shared" si="43"/>
        <v>0.19097431255337391</v>
      </c>
      <c r="ED78" s="951">
        <f t="shared" si="44"/>
        <v>0.19101712230736481</v>
      </c>
      <c r="EE78" s="951">
        <f t="shared" si="45"/>
        <v>0.19097431255337391</v>
      </c>
      <c r="EF78" s="951">
        <f t="shared" si="46"/>
        <v>0.19101712230736481</v>
      </c>
      <c r="EG78" s="951">
        <f t="shared" si="47"/>
        <v>0.19358570754681839</v>
      </c>
      <c r="EH78" s="951">
        <f t="shared" si="48"/>
        <v>0.20891159947555812</v>
      </c>
      <c r="EI78" s="951">
        <f t="shared" si="50"/>
        <v>0.22624954984186979</v>
      </c>
      <c r="EJ78" s="951">
        <f t="shared" si="51"/>
        <v>0.24457212454997201</v>
      </c>
      <c r="EK78" s="951">
        <f t="shared" si="52"/>
        <v>0.26443585040174639</v>
      </c>
      <c r="EL78" s="951">
        <f>EK77</f>
        <v>0.28584072739719291</v>
      </c>
      <c r="EM78" s="951">
        <f>EL77</f>
        <v>0.30904361406025699</v>
      </c>
      <c r="EN78" s="951">
        <f>EM77</f>
        <v>0.16053657746584896</v>
      </c>
      <c r="EQ78" s="999">
        <f t="shared" si="31"/>
        <v>4.2735348083343583</v>
      </c>
    </row>
    <row r="79" spans="1:147">
      <c r="AN79" s="911"/>
      <c r="AO79" s="911"/>
      <c r="AP79" s="911"/>
      <c r="AQ79" s="911"/>
      <c r="AS79" s="911"/>
      <c r="AT79" s="911"/>
      <c r="AU79" s="911"/>
      <c r="AV79" s="911"/>
      <c r="AX79" s="911"/>
      <c r="AY79" s="911"/>
      <c r="AZ79" s="911"/>
      <c r="BA79" s="911"/>
      <c r="BC79" s="911"/>
      <c r="BD79" s="911"/>
      <c r="BE79" s="911"/>
      <c r="BF79" s="911"/>
      <c r="BH79" s="911"/>
      <c r="BI79" s="911"/>
      <c r="BJ79" s="911"/>
      <c r="BK79" s="911"/>
      <c r="BM79" s="911"/>
      <c r="BN79" s="911"/>
      <c r="BO79" s="911"/>
      <c r="BP79" s="911"/>
      <c r="BS79" s="937"/>
      <c r="CC79" s="988"/>
      <c r="CD79" s="988"/>
      <c r="CE79" s="988"/>
      <c r="CF79" s="988"/>
      <c r="CH79" s="988"/>
      <c r="CI79" s="988"/>
      <c r="CJ79" s="988"/>
      <c r="CK79" s="988"/>
      <c r="CM79" s="988"/>
      <c r="CN79" s="988"/>
      <c r="CO79" s="988"/>
      <c r="CP79" s="988"/>
      <c r="DK79" s="921"/>
      <c r="DL79" s="895">
        <f t="shared" si="32"/>
        <v>20</v>
      </c>
      <c r="DN79" s="999">
        <f t="shared" si="33"/>
        <v>1.2081089504435316</v>
      </c>
      <c r="DO79" s="951">
        <f t="shared" si="28"/>
        <v>1.2606499640245501</v>
      </c>
      <c r="DP79" s="951">
        <f t="shared" si="34"/>
        <v>-4.2809753990893054</v>
      </c>
      <c r="DQ79" s="951">
        <f t="shared" si="35"/>
        <v>-1.8122164846212234</v>
      </c>
      <c r="DR79" s="951">
        <f t="shared" si="36"/>
        <v>-0.39414312737875462</v>
      </c>
      <c r="DT79" s="1000">
        <v>4.4609999999999997E-2</v>
      </c>
      <c r="DU79" s="951">
        <f t="shared" si="29"/>
        <v>0.27955599999999997</v>
      </c>
      <c r="DV79" s="951">
        <f t="shared" si="30"/>
        <v>0.19097431255337391</v>
      </c>
      <c r="DW79" s="951">
        <f t="shared" si="37"/>
        <v>0.19097431255337391</v>
      </c>
      <c r="DX79" s="951">
        <f t="shared" si="38"/>
        <v>0.19097431255337391</v>
      </c>
      <c r="DY79" s="951">
        <f t="shared" si="39"/>
        <v>0.19097431255337391</v>
      </c>
      <c r="DZ79" s="951">
        <f t="shared" si="40"/>
        <v>0.19097431255337391</v>
      </c>
      <c r="EA79" s="951">
        <f t="shared" si="41"/>
        <v>0.19097431255337391</v>
      </c>
      <c r="EB79" s="951">
        <f t="shared" si="42"/>
        <v>0.19097431255337391</v>
      </c>
      <c r="EC79" s="951">
        <f t="shared" si="43"/>
        <v>0.19097431255337391</v>
      </c>
      <c r="ED79" s="951">
        <f t="shared" si="44"/>
        <v>0.19097431255337391</v>
      </c>
      <c r="EE79" s="951">
        <f t="shared" si="45"/>
        <v>0.19101712230736481</v>
      </c>
      <c r="EF79" s="951">
        <f t="shared" si="46"/>
        <v>0.19097431255337391</v>
      </c>
      <c r="EG79" s="951">
        <f t="shared" si="47"/>
        <v>0.19101712230736481</v>
      </c>
      <c r="EH79" s="951">
        <f t="shared" si="48"/>
        <v>0.19358570754681839</v>
      </c>
      <c r="EI79" s="951">
        <f t="shared" si="50"/>
        <v>0.20891159947555812</v>
      </c>
      <c r="EJ79" s="951">
        <f t="shared" si="51"/>
        <v>0.22624954984186979</v>
      </c>
      <c r="EK79" s="951">
        <f t="shared" si="52"/>
        <v>0.24457212454997201</v>
      </c>
      <c r="EL79" s="951">
        <f>EK78</f>
        <v>0.26443585040174639</v>
      </c>
      <c r="EM79" s="951">
        <f>EL78</f>
        <v>0.28584072739719291</v>
      </c>
      <c r="EN79" s="951">
        <f>EM78</f>
        <v>0.30904361406025699</v>
      </c>
      <c r="EO79" s="951">
        <f>EN78</f>
        <v>0.16053657746584896</v>
      </c>
      <c r="EQ79" s="999">
        <f t="shared" si="31"/>
        <v>4.4645091208877323</v>
      </c>
    </row>
    <row r="80" spans="1:147">
      <c r="AN80" s="911"/>
      <c r="AO80" s="911"/>
      <c r="AP80" s="911"/>
      <c r="AQ80" s="911"/>
      <c r="AS80" s="911"/>
      <c r="AT80" s="911"/>
      <c r="AU80" s="911"/>
      <c r="AV80" s="911"/>
      <c r="AX80" s="911"/>
      <c r="AY80" s="911"/>
      <c r="AZ80" s="911"/>
      <c r="BA80" s="911"/>
      <c r="BC80" s="911"/>
      <c r="BD80" s="911"/>
      <c r="BE80" s="911"/>
      <c r="BF80" s="911"/>
      <c r="BH80" s="911"/>
      <c r="BI80" s="911"/>
      <c r="BJ80" s="911"/>
      <c r="BK80" s="911"/>
      <c r="BM80" s="911"/>
      <c r="BN80" s="911"/>
      <c r="BO80" s="911"/>
      <c r="BP80" s="911"/>
      <c r="BS80" s="937"/>
      <c r="BU80" s="994" t="s">
        <v>510</v>
      </c>
      <c r="BV80" s="926"/>
      <c r="BW80" s="1010">
        <f>+CG20-CG13</f>
        <v>-3.4698643309275994</v>
      </c>
      <c r="BX80" s="1010"/>
      <c r="BY80" s="1010"/>
      <c r="BZ80" s="1010"/>
      <c r="CA80" s="1010"/>
      <c r="CB80" s="1010">
        <f>+BW80</f>
        <v>-3.4698643309275994</v>
      </c>
      <c r="CC80" s="188"/>
      <c r="CD80" s="188"/>
      <c r="CE80" s="188"/>
      <c r="CF80" s="188"/>
      <c r="CG80" s="1010">
        <f>+CB80</f>
        <v>-3.4698643309275994</v>
      </c>
      <c r="CH80" s="188"/>
      <c r="CI80" s="188"/>
      <c r="CJ80" s="188"/>
      <c r="CK80" s="188"/>
      <c r="CL80" s="1010">
        <f>+CG80</f>
        <v>-3.4698643309275994</v>
      </c>
      <c r="CM80" s="188"/>
      <c r="CN80" s="188"/>
      <c r="CO80" s="188"/>
      <c r="CP80" s="188"/>
      <c r="CQ80" s="1010">
        <f>+CL80</f>
        <v>-3.4698643309275994</v>
      </c>
      <c r="CV80" s="1010">
        <f>+CQ80</f>
        <v>-3.4698643309275994</v>
      </c>
      <c r="DA80" s="1010">
        <f>+CV80</f>
        <v>-3.4698643309275994</v>
      </c>
      <c r="DF80" s="1010">
        <f>+DA80</f>
        <v>-3.4698643309275994</v>
      </c>
      <c r="DL80" s="895">
        <f t="shared" si="32"/>
        <v>21</v>
      </c>
      <c r="DN80" s="999">
        <f t="shared" si="33"/>
        <v>1.220190039947967</v>
      </c>
      <c r="DO80" s="951">
        <f t="shared" si="28"/>
        <v>-0.37932031478074779</v>
      </c>
      <c r="DP80" s="951">
        <f t="shared" si="34"/>
        <v>-4.2809753990893054</v>
      </c>
      <c r="DQ80" s="951">
        <f t="shared" si="35"/>
        <v>-3.4401056739220861</v>
      </c>
      <c r="DR80" s="951">
        <f t="shared" si="36"/>
        <v>-0.69324677713490412</v>
      </c>
      <c r="DT80" s="1000">
        <v>2.231E-2</v>
      </c>
      <c r="DU80" s="951">
        <f t="shared" si="29"/>
        <v>0.13980933333333334</v>
      </c>
      <c r="DV80" s="951">
        <f t="shared" si="30"/>
        <v>9.5508561153682406E-2</v>
      </c>
      <c r="DW80" s="951">
        <f t="shared" si="37"/>
        <v>0.19097431255337391</v>
      </c>
      <c r="DX80" s="951">
        <f t="shared" si="38"/>
        <v>0.19097431255337391</v>
      </c>
      <c r="DY80" s="951">
        <f t="shared" si="39"/>
        <v>0.19097431255337391</v>
      </c>
      <c r="DZ80" s="951">
        <f t="shared" si="40"/>
        <v>0.19097431255337391</v>
      </c>
      <c r="EA80" s="951">
        <f t="shared" si="41"/>
        <v>0.19097431255337391</v>
      </c>
      <c r="EB80" s="951">
        <f t="shared" si="42"/>
        <v>0.19097431255337391</v>
      </c>
      <c r="EC80" s="951">
        <f t="shared" si="43"/>
        <v>0.19097431255337391</v>
      </c>
      <c r="ED80" s="951">
        <f t="shared" si="44"/>
        <v>0.19097431255337391</v>
      </c>
      <c r="EE80" s="951">
        <f t="shared" si="45"/>
        <v>0.19097431255337391</v>
      </c>
      <c r="EF80" s="951">
        <f t="shared" si="46"/>
        <v>0.19101712230736481</v>
      </c>
      <c r="EG80" s="951">
        <f t="shared" si="47"/>
        <v>0.19097431255337391</v>
      </c>
      <c r="EH80" s="951">
        <f t="shared" si="48"/>
        <v>0.19101712230736481</v>
      </c>
      <c r="EI80" s="951">
        <f t="shared" si="50"/>
        <v>0.19358570754681839</v>
      </c>
      <c r="EJ80" s="951">
        <f t="shared" si="51"/>
        <v>0.20891159947555812</v>
      </c>
      <c r="EK80" s="951">
        <f t="shared" si="52"/>
        <v>0.22624954984186979</v>
      </c>
      <c r="EL80" s="951">
        <f>EK79</f>
        <v>0.24457212454997201</v>
      </c>
      <c r="EM80" s="951">
        <f>EL79</f>
        <v>0.26443585040174639</v>
      </c>
      <c r="EN80" s="951">
        <f>EM79</f>
        <v>0.28584072739719291</v>
      </c>
      <c r="EO80" s="951">
        <f>EN79</f>
        <v>0.30904361406025699</v>
      </c>
      <c r="EP80" s="951">
        <f>EO79</f>
        <v>0.16053657746584896</v>
      </c>
      <c r="EQ80" s="999">
        <f t="shared" si="31"/>
        <v>4.4202710153747482</v>
      </c>
    </row>
    <row r="81" spans="40:147">
      <c r="AN81" s="911"/>
      <c r="AO81" s="911"/>
      <c r="AP81" s="911"/>
      <c r="AQ81" s="911"/>
      <c r="AS81" s="911"/>
      <c r="AT81" s="911"/>
      <c r="AU81" s="911"/>
      <c r="AV81" s="911"/>
      <c r="AX81" s="911"/>
      <c r="AY81" s="911"/>
      <c r="AZ81" s="911"/>
      <c r="BA81" s="911"/>
      <c r="BC81" s="911"/>
      <c r="BD81" s="911"/>
      <c r="BE81" s="911"/>
      <c r="BF81" s="911"/>
      <c r="BH81" s="911"/>
      <c r="BI81" s="911"/>
      <c r="BJ81" s="911"/>
      <c r="BK81" s="911"/>
      <c r="BM81" s="911"/>
      <c r="BN81" s="911"/>
      <c r="BO81" s="911"/>
      <c r="BP81" s="911"/>
      <c r="BS81" s="963"/>
      <c r="CM81" s="1007"/>
      <c r="CN81" s="1007"/>
      <c r="CO81" s="1007"/>
      <c r="CP81" s="1007"/>
      <c r="CR81" s="1007"/>
      <c r="CS81" s="1007"/>
      <c r="CT81" s="1007"/>
      <c r="CU81" s="1007"/>
      <c r="CW81" s="1007"/>
      <c r="CX81" s="1007"/>
      <c r="CY81" s="1007"/>
      <c r="CZ81" s="1007"/>
      <c r="DB81" s="1007"/>
      <c r="DC81" s="1007"/>
      <c r="DD81" s="1007"/>
      <c r="DE81" s="1007"/>
      <c r="DL81" s="895">
        <f t="shared" si="32"/>
        <v>22</v>
      </c>
      <c r="DN81" s="999">
        <f t="shared" si="33"/>
        <v>1.2323919403474468</v>
      </c>
      <c r="DO81" s="951">
        <f t="shared" si="28"/>
        <v>-0.38383501792855529</v>
      </c>
      <c r="DP81" s="951">
        <f t="shared" si="34"/>
        <v>-4.2809753990893054</v>
      </c>
      <c r="DQ81" s="951">
        <f t="shared" si="35"/>
        <v>-3.4324184766704136</v>
      </c>
      <c r="DR81" s="951">
        <f t="shared" si="36"/>
        <v>-0.64089738696571197</v>
      </c>
      <c r="EN81" s="951"/>
      <c r="EO81" s="951"/>
      <c r="EQ81" s="999"/>
    </row>
    <row r="82" spans="40:147">
      <c r="AN82" s="1011"/>
      <c r="AO82" s="1011"/>
      <c r="AP82" s="1011"/>
      <c r="AQ82" s="1011"/>
      <c r="AS82" s="1011"/>
      <c r="AT82" s="1011"/>
      <c r="AU82" s="1011"/>
      <c r="AV82" s="1011"/>
      <c r="AX82" s="1011"/>
      <c r="AY82" s="1011"/>
      <c r="AZ82" s="1011"/>
      <c r="BA82" s="1011"/>
      <c r="BC82" s="1011"/>
      <c r="BD82" s="1011"/>
      <c r="BE82" s="1011"/>
      <c r="BF82" s="1011"/>
      <c r="BH82" s="1011"/>
      <c r="BI82" s="1011"/>
      <c r="BJ82" s="1011"/>
      <c r="BK82" s="1011"/>
      <c r="BM82" s="1011"/>
      <c r="BN82" s="1011"/>
      <c r="BO82" s="1011"/>
      <c r="BP82" s="1011"/>
      <c r="BS82" s="963"/>
      <c r="BU82" s="927"/>
      <c r="CB82" s="1003"/>
      <c r="CC82" s="1003"/>
      <c r="CD82" s="1003"/>
      <c r="CE82" s="1003"/>
      <c r="CF82" s="1003"/>
      <c r="CG82" s="1003"/>
      <c r="CH82" s="1003"/>
      <c r="CI82" s="1003"/>
      <c r="CJ82" s="1003"/>
      <c r="CK82" s="1003"/>
      <c r="CL82" s="1003"/>
      <c r="CM82" s="922"/>
      <c r="CN82" s="922"/>
      <c r="CO82" s="922"/>
      <c r="CP82" s="922"/>
      <c r="CQ82" s="1003"/>
      <c r="CR82" s="922"/>
      <c r="CS82" s="922"/>
      <c r="CT82" s="922"/>
      <c r="CU82" s="922"/>
      <c r="CV82" s="1003"/>
      <c r="CW82" s="922"/>
      <c r="CX82" s="922"/>
      <c r="CY82" s="922"/>
      <c r="CZ82" s="922"/>
      <c r="DA82" s="1003"/>
      <c r="DB82" s="922"/>
      <c r="DC82" s="922"/>
      <c r="DD82" s="922"/>
      <c r="DE82" s="922"/>
      <c r="DF82" s="1003"/>
      <c r="DL82" s="895">
        <f t="shared" si="32"/>
        <v>23</v>
      </c>
      <c r="DN82" s="999">
        <f t="shared" si="33"/>
        <v>1.2447158597509214</v>
      </c>
      <c r="DO82" s="951">
        <f t="shared" si="28"/>
        <v>-0.38839486810784085</v>
      </c>
      <c r="DP82" s="951">
        <f t="shared" si="34"/>
        <v>-4.2809753990893054</v>
      </c>
      <c r="DQ82" s="951">
        <f t="shared" si="35"/>
        <v>-3.4246544074462246</v>
      </c>
      <c r="DR82" s="951">
        <f t="shared" si="36"/>
        <v>-0.59248480376809476</v>
      </c>
      <c r="EN82" s="951"/>
      <c r="EO82" s="951"/>
      <c r="EP82" s="951"/>
      <c r="EQ82" s="999"/>
    </row>
    <row r="83" spans="40:147">
      <c r="AN83" s="1011"/>
      <c r="AO83" s="1011"/>
      <c r="AP83" s="1011"/>
      <c r="AQ83" s="1011"/>
      <c r="AS83" s="1011"/>
      <c r="AT83" s="1011"/>
      <c r="AU83" s="1011"/>
      <c r="AV83" s="1011"/>
      <c r="AX83" s="1011"/>
      <c r="AY83" s="1011"/>
      <c r="AZ83" s="1011"/>
      <c r="BA83" s="1011"/>
      <c r="BC83" s="1011"/>
      <c r="BD83" s="1011"/>
      <c r="BE83" s="1011"/>
      <c r="BF83" s="1011"/>
      <c r="BH83" s="1011"/>
      <c r="BI83" s="1011"/>
      <c r="BJ83" s="1011"/>
      <c r="BK83" s="1011"/>
      <c r="BM83" s="1011"/>
      <c r="BN83" s="1011"/>
      <c r="BO83" s="1011"/>
      <c r="BP83" s="1011"/>
      <c r="BU83" s="921"/>
      <c r="CB83" s="1003"/>
      <c r="CC83" s="1003"/>
      <c r="CD83" s="1003"/>
      <c r="CE83" s="1003"/>
      <c r="CF83" s="1003"/>
      <c r="CG83" s="910"/>
      <c r="CH83" s="910"/>
      <c r="CI83" s="910"/>
      <c r="CJ83" s="910"/>
      <c r="CK83" s="910"/>
      <c r="CL83" s="910"/>
      <c r="CQ83" s="910"/>
      <c r="CV83" s="910"/>
      <c r="DA83" s="1003"/>
      <c r="DF83" s="1003"/>
      <c r="DG83" s="1007"/>
      <c r="DL83" s="895">
        <f t="shared" si="32"/>
        <v>24</v>
      </c>
      <c r="DN83" s="999">
        <f t="shared" si="33"/>
        <v>1.2571630183484306</v>
      </c>
      <c r="DO83" s="951">
        <f t="shared" si="28"/>
        <v>-0.39300031678891928</v>
      </c>
      <c r="DP83" s="951">
        <f t="shared" si="34"/>
        <v>-4.2809753990893054</v>
      </c>
      <c r="DQ83" s="951">
        <f t="shared" si="35"/>
        <v>-3.4168126975297941</v>
      </c>
      <c r="DR83" s="951">
        <f t="shared" si="36"/>
        <v>-0.54771398527431114</v>
      </c>
    </row>
    <row r="84" spans="40:147">
      <c r="AN84" s="1012"/>
      <c r="AO84" s="1012"/>
      <c r="AP84" s="1012"/>
      <c r="AQ84" s="1012"/>
      <c r="AS84" s="1012"/>
      <c r="AT84" s="1012"/>
      <c r="AU84" s="1012"/>
      <c r="AV84" s="1012"/>
      <c r="AX84" s="1012"/>
      <c r="AY84" s="1012"/>
      <c r="AZ84" s="1012"/>
      <c r="BA84" s="1012"/>
      <c r="BC84" s="1012"/>
      <c r="BD84" s="1012"/>
      <c r="BE84" s="1012"/>
      <c r="BF84" s="1012"/>
      <c r="BH84" s="1012"/>
      <c r="BI84" s="1012"/>
      <c r="BJ84" s="1012"/>
      <c r="BK84" s="1012"/>
      <c r="BM84" s="1012"/>
      <c r="BN84" s="1012"/>
      <c r="BO84" s="1012"/>
      <c r="BP84" s="1012"/>
      <c r="BS84" s="921"/>
      <c r="BT84" s="908" t="s">
        <v>1198</v>
      </c>
      <c r="BU84" s="908"/>
      <c r="BV84" s="909"/>
      <c r="CG84" s="1395"/>
      <c r="CL84" s="1395"/>
      <c r="CM84" s="1010"/>
      <c r="CN84" s="1010"/>
      <c r="CO84" s="1010"/>
      <c r="CP84" s="1010"/>
      <c r="CQ84" s="1395"/>
      <c r="CR84" s="1010"/>
      <c r="CS84" s="1010"/>
      <c r="CT84" s="1010"/>
      <c r="CU84" s="1010"/>
      <c r="CV84" s="1395"/>
      <c r="CW84" s="1010"/>
      <c r="CX84" s="1010"/>
      <c r="CY84" s="1010"/>
      <c r="CZ84" s="1010"/>
      <c r="DB84" s="1010"/>
      <c r="DC84" s="1010"/>
      <c r="DD84" s="1010"/>
      <c r="DE84" s="1010"/>
      <c r="DG84" s="1007"/>
      <c r="DL84" s="895">
        <f t="shared" si="32"/>
        <v>25</v>
      </c>
      <c r="DN84" s="999">
        <f t="shared" si="33"/>
        <v>1.269734648531915</v>
      </c>
      <c r="DO84" s="951">
        <f t="shared" si="28"/>
        <v>-0.39765181995680854</v>
      </c>
      <c r="DP84" s="951">
        <f t="shared" si="34"/>
        <v>-4.2809753990893054</v>
      </c>
      <c r="DQ84" s="951">
        <f t="shared" si="35"/>
        <v>-3.4088925705141988</v>
      </c>
      <c r="DR84" s="951">
        <f t="shared" si="36"/>
        <v>-0.50631193737592206</v>
      </c>
    </row>
    <row r="85" spans="40:147">
      <c r="AN85" s="1012"/>
      <c r="AO85" s="1012"/>
      <c r="AP85" s="1012"/>
      <c r="AQ85" s="1012"/>
      <c r="AS85" s="1012"/>
      <c r="AT85" s="1012"/>
      <c r="AU85" s="1012"/>
      <c r="AV85" s="1012"/>
      <c r="AX85" s="1012"/>
      <c r="AY85" s="1012"/>
      <c r="AZ85" s="1012"/>
      <c r="BA85" s="1012"/>
      <c r="BC85" s="1012"/>
      <c r="BD85" s="1012"/>
      <c r="BE85" s="1012"/>
      <c r="BF85" s="1012"/>
      <c r="BH85" s="1012"/>
      <c r="BI85" s="1012"/>
      <c r="BJ85" s="1012"/>
      <c r="BK85" s="1012"/>
      <c r="BM85" s="1012"/>
      <c r="BN85" s="1012"/>
      <c r="BO85" s="1012"/>
      <c r="BP85" s="1012"/>
      <c r="BV85"/>
      <c r="CB85" s="1263"/>
      <c r="CC85" s="1263"/>
      <c r="CD85" s="1263"/>
      <c r="CE85" s="1263"/>
      <c r="CF85" s="1263"/>
      <c r="CG85" s="1396"/>
      <c r="CH85" s="1263"/>
      <c r="CI85" s="1263"/>
      <c r="CJ85" s="1263"/>
      <c r="CK85" s="1263"/>
      <c r="CL85" s="1396"/>
      <c r="CQ85" s="1396"/>
      <c r="CV85" s="1396"/>
      <c r="DA85" s="1263"/>
      <c r="DF85" s="1263"/>
      <c r="DL85" s="895">
        <f t="shared" si="32"/>
        <v>26</v>
      </c>
      <c r="DN85" s="999">
        <f t="shared" si="33"/>
        <v>1.282431995017234</v>
      </c>
      <c r="DO85" s="951">
        <f t="shared" si="28"/>
        <v>-0.40234983815637659</v>
      </c>
      <c r="DP85" s="951">
        <f t="shared" si="34"/>
        <v>-4.2809753990893054</v>
      </c>
      <c r="DQ85" s="951">
        <f t="shared" si="35"/>
        <v>-3.4008932422284479</v>
      </c>
      <c r="DR85" s="951">
        <f t="shared" si="36"/>
        <v>-0.46802607049422673</v>
      </c>
    </row>
    <row r="86" spans="40:147">
      <c r="AN86" s="1013"/>
      <c r="AO86" s="1013"/>
      <c r="AP86" s="1013"/>
      <c r="AQ86" s="1013"/>
      <c r="AS86" s="1013"/>
      <c r="AT86" s="1013"/>
      <c r="AU86" s="1013"/>
      <c r="AV86" s="1013"/>
      <c r="AX86" s="1013"/>
      <c r="AY86" s="1013"/>
      <c r="AZ86" s="1013"/>
      <c r="BA86" s="1013"/>
      <c r="BC86" s="1013"/>
      <c r="BD86" s="1013"/>
      <c r="BE86" s="1013"/>
      <c r="BF86" s="1013"/>
      <c r="BH86" s="1013"/>
      <c r="BI86" s="1013"/>
      <c r="BJ86" s="1013"/>
      <c r="BK86" s="1013"/>
      <c r="BM86" s="1013"/>
      <c r="BN86" s="1013"/>
      <c r="BO86" s="1013"/>
      <c r="BP86" s="1013"/>
      <c r="BU86" s="2055" t="s">
        <v>1194</v>
      </c>
      <c r="BV86"/>
      <c r="CB86" s="1263"/>
      <c r="CC86" s="1263"/>
      <c r="CD86" s="1263"/>
      <c r="CE86" s="1263"/>
      <c r="CF86" s="1263"/>
      <c r="CG86" s="1396"/>
      <c r="CH86" s="1263"/>
      <c r="CI86" s="1263"/>
      <c r="CJ86" s="1263"/>
      <c r="CK86" s="1263"/>
      <c r="CL86" s="1396"/>
      <c r="CQ86" s="1396"/>
      <c r="CV86" s="1396"/>
      <c r="DA86" s="1263"/>
      <c r="DF86" s="1263"/>
      <c r="DL86" s="895">
        <f t="shared" si="32"/>
        <v>27</v>
      </c>
      <c r="DN86" s="999">
        <f t="shared" si="33"/>
        <v>1.2952563149674063</v>
      </c>
      <c r="DO86" s="951">
        <f t="shared" si="28"/>
        <v>-0.40709483653794032</v>
      </c>
      <c r="DP86" s="951">
        <f t="shared" si="34"/>
        <v>-4.2809753990893054</v>
      </c>
      <c r="DQ86" s="951">
        <f t="shared" si="35"/>
        <v>-3.3928139206598393</v>
      </c>
      <c r="DR86" s="951">
        <f t="shared" si="36"/>
        <v>-0.43262267822625716</v>
      </c>
    </row>
    <row r="87" spans="40:147">
      <c r="AN87" s="260"/>
      <c r="AO87" s="260"/>
      <c r="AP87" s="260"/>
      <c r="AQ87" s="260"/>
      <c r="AS87" s="260"/>
      <c r="AT87" s="260"/>
      <c r="AU87" s="260"/>
      <c r="AV87" s="260"/>
      <c r="AX87" s="260"/>
      <c r="AY87" s="260"/>
      <c r="AZ87" s="260"/>
      <c r="BA87" s="260"/>
      <c r="BC87" s="260"/>
      <c r="BD87" s="260"/>
      <c r="BE87" s="260"/>
      <c r="BF87" s="260"/>
      <c r="BH87" s="260"/>
      <c r="BI87" s="260"/>
      <c r="BJ87" s="260"/>
      <c r="BK87" s="260"/>
      <c r="BM87" s="260"/>
      <c r="BN87" s="260"/>
      <c r="BO87" s="260"/>
      <c r="BP87" s="260"/>
      <c r="BU87" t="s">
        <v>1205</v>
      </c>
      <c r="BW87" s="1941">
        <f>719+149+65-350</f>
        <v>583</v>
      </c>
      <c r="CM87" s="1007"/>
      <c r="CN87" s="1007"/>
      <c r="CO87" s="1007"/>
      <c r="CP87" s="1007"/>
      <c r="CR87" s="1007"/>
      <c r="CS87" s="1007"/>
      <c r="CT87" s="1007"/>
      <c r="CU87" s="1007"/>
      <c r="CW87" s="1007"/>
      <c r="CX87" s="1007"/>
      <c r="CY87" s="1007"/>
      <c r="CZ87" s="1007"/>
      <c r="DB87" s="1007"/>
      <c r="DC87" s="1007"/>
      <c r="DD87" s="1007"/>
      <c r="DE87" s="1007"/>
      <c r="DL87" s="895">
        <f t="shared" si="32"/>
        <v>28</v>
      </c>
      <c r="DN87" s="999">
        <f t="shared" si="33"/>
        <v>1.3082088781170804</v>
      </c>
      <c r="DO87" s="951">
        <f t="shared" si="28"/>
        <v>-0.41188728490331972</v>
      </c>
      <c r="DP87" s="951">
        <f t="shared" si="34"/>
        <v>-4.2809753990893054</v>
      </c>
      <c r="DQ87" s="951">
        <f t="shared" si="35"/>
        <v>-3.3846538058755447</v>
      </c>
      <c r="DR87" s="951">
        <f t="shared" si="36"/>
        <v>-0.39988552918577641</v>
      </c>
    </row>
    <row r="88" spans="40:147">
      <c r="AN88" s="1015"/>
      <c r="AO88" s="1015"/>
      <c r="AP88" s="1015"/>
      <c r="AQ88" s="1015"/>
      <c r="AS88" s="1015"/>
      <c r="AT88" s="1015"/>
      <c r="AU88" s="1015"/>
      <c r="AV88" s="1015"/>
      <c r="AX88" s="1015"/>
      <c r="AY88" s="1015"/>
      <c r="AZ88" s="1015"/>
      <c r="BA88" s="1015"/>
      <c r="BC88" s="1015"/>
      <c r="BD88" s="1015"/>
      <c r="BE88" s="1015"/>
      <c r="BF88" s="1015"/>
      <c r="BH88" s="1015"/>
      <c r="BI88" s="1015"/>
      <c r="BJ88" s="1015"/>
      <c r="BK88" s="1015"/>
      <c r="BM88" s="1015"/>
      <c r="BN88" s="1015"/>
      <c r="BO88" s="1015"/>
      <c r="BP88" s="1015"/>
      <c r="BU88" t="s">
        <v>1189</v>
      </c>
      <c r="BW88" s="1941">
        <f>72+109*2.5/3.5</f>
        <v>149.85714285714286</v>
      </c>
      <c r="CG88" s="935"/>
      <c r="CL88" s="935"/>
      <c r="CQ88" s="935"/>
      <c r="CV88" s="935"/>
      <c r="DL88" s="895">
        <f t="shared" si="32"/>
        <v>29</v>
      </c>
      <c r="DN88" s="999">
        <f t="shared" si="33"/>
        <v>1.3212909668982513</v>
      </c>
      <c r="DO88" s="951">
        <f t="shared" si="28"/>
        <v>-0.41672765775235299</v>
      </c>
      <c r="DP88" s="951">
        <f t="shared" si="34"/>
        <v>-4.2809753990893054</v>
      </c>
      <c r="DQ88" s="951">
        <f t="shared" si="35"/>
        <v>-3.3764120899434071</v>
      </c>
      <c r="DR88" s="951">
        <f t="shared" si="36"/>
        <v>-0.3696145636320598</v>
      </c>
    </row>
    <row r="89" spans="40:147">
      <c r="AN89" s="932"/>
      <c r="AO89" s="932"/>
      <c r="AP89" s="932"/>
      <c r="AQ89" s="932"/>
      <c r="AS89" s="932"/>
      <c r="AT89" s="932"/>
      <c r="AU89" s="932"/>
      <c r="AV89" s="932"/>
      <c r="AX89" s="932"/>
      <c r="AY89" s="932"/>
      <c r="AZ89" s="932"/>
      <c r="BA89" s="932"/>
      <c r="BC89" s="932"/>
      <c r="BD89" s="932"/>
      <c r="BE89" s="932"/>
      <c r="BF89" s="932"/>
      <c r="BH89" s="932"/>
      <c r="BI89" s="932"/>
      <c r="BJ89" s="932"/>
      <c r="BK89" s="932"/>
      <c r="BM89" s="932"/>
      <c r="BN89" s="932"/>
      <c r="BO89" s="932"/>
      <c r="BP89" s="932"/>
      <c r="BU89" t="s">
        <v>1190</v>
      </c>
      <c r="BW89" s="1941">
        <v>700</v>
      </c>
      <c r="CG89" s="912"/>
      <c r="CL89" s="912"/>
      <c r="CM89" s="1003"/>
      <c r="CN89" s="1003"/>
      <c r="CO89" s="1003"/>
      <c r="CP89" s="1003"/>
      <c r="CQ89" s="912"/>
      <c r="CR89" s="1003"/>
      <c r="CS89" s="1003"/>
      <c r="CT89" s="1003"/>
      <c r="CU89" s="1003"/>
      <c r="CV89" s="912"/>
      <c r="CW89" s="1003"/>
      <c r="CX89" s="1003"/>
      <c r="CY89" s="1003"/>
      <c r="CZ89" s="1003"/>
      <c r="DB89" s="1003"/>
      <c r="DC89" s="1003"/>
      <c r="DD89" s="1003"/>
      <c r="DE89" s="1003"/>
      <c r="DL89" s="895">
        <f t="shared" si="32"/>
        <v>30</v>
      </c>
      <c r="DN89" s="999">
        <f t="shared" si="33"/>
        <v>1.3345038765672339</v>
      </c>
      <c r="DO89" s="951">
        <f t="shared" si="28"/>
        <v>-0.4216164343298765</v>
      </c>
      <c r="DP89" s="951">
        <f t="shared" si="34"/>
        <v>-4.2809753990893054</v>
      </c>
      <c r="DQ89" s="951">
        <f t="shared" si="35"/>
        <v>-3.368087956851948</v>
      </c>
      <c r="DR89" s="951">
        <f t="shared" si="36"/>
        <v>-0.34162468710271449</v>
      </c>
    </row>
    <row r="90" spans="40:147">
      <c r="AN90" s="928"/>
      <c r="AO90" s="928"/>
      <c r="AP90" s="928"/>
      <c r="AQ90" s="928"/>
      <c r="AS90" s="928"/>
      <c r="AT90" s="928"/>
      <c r="AU90" s="928"/>
      <c r="AV90" s="928"/>
      <c r="AX90" s="928"/>
      <c r="AY90" s="928"/>
      <c r="AZ90" s="928"/>
      <c r="BA90" s="928"/>
      <c r="BC90" s="928"/>
      <c r="BD90" s="928"/>
      <c r="BE90" s="928"/>
      <c r="BF90" s="928"/>
      <c r="BH90" s="928"/>
      <c r="BI90" s="928"/>
      <c r="BJ90" s="928"/>
      <c r="BK90" s="928"/>
      <c r="BM90" s="928"/>
      <c r="BN90" s="928"/>
      <c r="BO90" s="928"/>
      <c r="BP90" s="928"/>
      <c r="BU90" t="s">
        <v>1191</v>
      </c>
      <c r="BW90" s="1941">
        <v>120</v>
      </c>
      <c r="CG90" s="912"/>
      <c r="CL90" s="912"/>
      <c r="CM90" s="1003"/>
      <c r="CN90" s="1003"/>
      <c r="CO90" s="1003"/>
      <c r="CP90" s="1003"/>
      <c r="CQ90" s="912"/>
      <c r="CR90" s="1003"/>
      <c r="CS90" s="1003"/>
      <c r="CT90" s="1003"/>
      <c r="CU90" s="1003"/>
      <c r="CV90" s="912"/>
      <c r="CW90" s="1003"/>
      <c r="CX90" s="1003"/>
      <c r="CY90" s="1003"/>
      <c r="CZ90" s="1003"/>
      <c r="DB90" s="1003"/>
      <c r="DC90" s="1003"/>
      <c r="DD90" s="1003"/>
      <c r="DE90" s="1003"/>
      <c r="DR90" s="1014">
        <f>SUM(DR60:DR79)</f>
        <v>-26.243421743460665</v>
      </c>
    </row>
    <row r="91" spans="40:147">
      <c r="AN91" s="1016"/>
      <c r="AO91" s="1016"/>
      <c r="AP91" s="1016"/>
      <c r="AQ91" s="1016"/>
      <c r="AS91" s="1016"/>
      <c r="AT91" s="1016"/>
      <c r="AU91" s="1016"/>
      <c r="AV91" s="1016"/>
      <c r="AX91" s="1016"/>
      <c r="AY91" s="1016"/>
      <c r="AZ91" s="1016"/>
      <c r="BA91" s="1016"/>
      <c r="BC91" s="1016"/>
      <c r="BD91" s="1016"/>
      <c r="BE91" s="1016"/>
      <c r="BF91" s="1016"/>
      <c r="BH91" s="1016"/>
      <c r="BI91" s="1016"/>
      <c r="BJ91" s="1016"/>
      <c r="BK91" s="1016"/>
      <c r="BM91" s="1016"/>
      <c r="BN91" s="1016"/>
      <c r="BO91" s="1016"/>
      <c r="BP91" s="1016"/>
      <c r="BU91" t="s">
        <v>1192</v>
      </c>
      <c r="BW91" s="1941">
        <v>100</v>
      </c>
    </row>
    <row r="92" spans="40:147">
      <c r="AN92" s="911"/>
      <c r="AO92" s="911"/>
      <c r="AP92" s="911"/>
      <c r="AQ92" s="911"/>
      <c r="AS92" s="911"/>
      <c r="AT92" s="911"/>
      <c r="AU92" s="911"/>
      <c r="AV92" s="911"/>
      <c r="AX92" s="911"/>
      <c r="AY92" s="911"/>
      <c r="AZ92" s="911"/>
      <c r="BA92" s="911"/>
      <c r="BC92" s="911"/>
      <c r="BD92" s="911"/>
      <c r="BE92" s="911"/>
      <c r="BF92" s="911"/>
      <c r="BH92" s="911"/>
      <c r="BI92" s="911"/>
      <c r="BJ92" s="911"/>
      <c r="BK92" s="911"/>
      <c r="BM92" s="911"/>
      <c r="BN92" s="911"/>
      <c r="BO92" s="911"/>
      <c r="BP92" s="911"/>
      <c r="BU92" t="s">
        <v>215</v>
      </c>
      <c r="BW92" s="188">
        <f>SUM(BW87:BW91)</f>
        <v>1652.8571428571429</v>
      </c>
      <c r="CG92" s="951">
        <f>BW92/FirstEnergy!BG48</f>
        <v>3.2999669079634422</v>
      </c>
    </row>
    <row r="93" spans="40:147">
      <c r="BU93"/>
      <c r="BW93"/>
    </row>
    <row r="94" spans="40:147">
      <c r="BU94" s="2055" t="s">
        <v>1193</v>
      </c>
      <c r="BW94"/>
    </row>
    <row r="95" spans="40:147">
      <c r="BU95" t="s">
        <v>1195</v>
      </c>
      <c r="BW95" s="1941">
        <v>621</v>
      </c>
    </row>
    <row r="96" spans="40:147">
      <c r="BU96" t="s">
        <v>1225</v>
      </c>
      <c r="BW96" s="1941">
        <v>223</v>
      </c>
    </row>
    <row r="97" spans="2:85">
      <c r="BU97" t="s">
        <v>215</v>
      </c>
      <c r="BW97" s="188">
        <f>SUM(BW95:BW96)</f>
        <v>844</v>
      </c>
    </row>
    <row r="98" spans="2:85">
      <c r="B98" s="920"/>
      <c r="C98" s="920"/>
      <c r="D98" s="920"/>
      <c r="E98" s="920"/>
      <c r="F98" s="920"/>
      <c r="G98" s="920"/>
      <c r="H98" s="920"/>
      <c r="I98" s="920"/>
      <c r="J98" s="920"/>
      <c r="K98" s="920"/>
      <c r="L98" s="920"/>
      <c r="M98" s="920"/>
      <c r="N98" s="920"/>
      <c r="O98" s="920"/>
      <c r="P98" s="920"/>
      <c r="Q98" s="920"/>
      <c r="R98" s="920"/>
      <c r="S98" s="920"/>
      <c r="T98" s="920"/>
      <c r="U98" s="920"/>
      <c r="V98" s="920"/>
      <c r="W98" s="920"/>
      <c r="X98" s="920"/>
      <c r="Y98" s="920"/>
      <c r="Z98" s="920"/>
      <c r="AA98" s="920"/>
      <c r="AB98" s="920"/>
      <c r="AC98" s="920"/>
      <c r="AD98" s="920"/>
      <c r="AE98" s="920"/>
      <c r="AF98" s="920"/>
      <c r="AG98" s="920"/>
      <c r="AH98" s="920"/>
      <c r="AI98" s="920"/>
      <c r="AJ98" s="920"/>
      <c r="AK98" s="920"/>
      <c r="AL98" s="920"/>
      <c r="AM98" s="920"/>
      <c r="AN98" s="920"/>
      <c r="AO98" s="920"/>
      <c r="AP98" s="920"/>
      <c r="AQ98" s="920"/>
      <c r="AR98" s="920"/>
      <c r="AS98" s="920"/>
      <c r="AT98" s="920"/>
      <c r="AU98" s="920"/>
      <c r="AV98" s="920"/>
      <c r="AW98" s="920"/>
      <c r="AX98" s="920"/>
      <c r="AY98" s="920"/>
      <c r="AZ98" s="920"/>
      <c r="BA98" s="920"/>
      <c r="BB98" s="920"/>
      <c r="BC98" s="920"/>
      <c r="BD98" s="920"/>
      <c r="BE98" s="920"/>
      <c r="BF98" s="920"/>
      <c r="BG98" s="920"/>
      <c r="BH98" s="920"/>
      <c r="BI98" s="920"/>
      <c r="BJ98" s="920"/>
      <c r="BK98" s="920"/>
      <c r="BL98" s="920"/>
      <c r="BM98" s="920"/>
      <c r="BN98" s="920"/>
      <c r="BO98" s="920"/>
      <c r="BP98" s="920"/>
      <c r="BQ98" s="920"/>
      <c r="CG98" s="951">
        <f>BW97/FirstEnergy!BG48</f>
        <v>1.6850652110845303</v>
      </c>
    </row>
    <row r="99" spans="2:85">
      <c r="B99" s="920"/>
      <c r="C99" s="920"/>
      <c r="D99" s="920"/>
      <c r="E99" s="920"/>
      <c r="F99" s="920"/>
      <c r="G99" s="920"/>
      <c r="H99" s="920"/>
      <c r="I99" s="920"/>
      <c r="J99" s="920"/>
      <c r="K99" s="920"/>
      <c r="L99" s="920"/>
      <c r="M99" s="920"/>
      <c r="N99" s="920"/>
      <c r="O99" s="920"/>
      <c r="P99" s="920"/>
      <c r="Q99" s="920"/>
      <c r="R99" s="920"/>
      <c r="S99" s="920"/>
      <c r="T99" s="920"/>
      <c r="U99" s="920"/>
      <c r="V99" s="920"/>
      <c r="W99" s="920"/>
      <c r="X99" s="920"/>
      <c r="Y99" s="920"/>
      <c r="Z99" s="920"/>
      <c r="AA99" s="920"/>
      <c r="AB99" s="920"/>
      <c r="AC99" s="920"/>
      <c r="AD99" s="920"/>
      <c r="AE99" s="920"/>
      <c r="AF99" s="920"/>
      <c r="AG99" s="920"/>
      <c r="AH99" s="920"/>
      <c r="AI99" s="920"/>
      <c r="AJ99" s="920"/>
      <c r="AK99" s="920"/>
      <c r="AL99" s="920"/>
      <c r="AM99" s="920"/>
      <c r="AN99" s="920"/>
      <c r="AO99" s="920"/>
      <c r="AP99" s="920"/>
      <c r="AQ99" s="920"/>
      <c r="AR99" s="920"/>
      <c r="AS99" s="920"/>
      <c r="AT99" s="920"/>
      <c r="AU99" s="920"/>
      <c r="AV99" s="920"/>
      <c r="AW99" s="920"/>
      <c r="AX99" s="920"/>
      <c r="AY99" s="920"/>
      <c r="AZ99" s="920"/>
      <c r="BA99" s="920"/>
      <c r="BB99" s="920"/>
      <c r="BC99" s="920"/>
      <c r="BD99" s="920"/>
      <c r="BE99" s="920"/>
      <c r="BF99" s="920"/>
      <c r="BG99" s="920"/>
      <c r="BH99" s="920"/>
      <c r="BI99" s="920"/>
      <c r="BJ99" s="920"/>
      <c r="BK99" s="920"/>
      <c r="BL99" s="920"/>
      <c r="BM99" s="920"/>
      <c r="BN99" s="920"/>
      <c r="BO99" s="920"/>
      <c r="BP99" s="920"/>
      <c r="BQ99" s="920"/>
      <c r="BU99" t="s">
        <v>1196</v>
      </c>
      <c r="BW99" s="188">
        <f>BW97-BW92</f>
        <v>-808.85714285714289</v>
      </c>
    </row>
    <row r="100" spans="2:85">
      <c r="BU100" t="s">
        <v>1199</v>
      </c>
      <c r="BW100" s="934">
        <f>BW99/FirstEnergy!BG48</f>
        <v>-1.6149016968789118</v>
      </c>
    </row>
    <row r="101" spans="2:85">
      <c r="B101" s="921"/>
      <c r="C101" s="921"/>
      <c r="D101" s="921"/>
      <c r="E101" s="921"/>
      <c r="F101" s="921"/>
      <c r="G101" s="921"/>
      <c r="H101" s="921"/>
      <c r="I101" s="921"/>
      <c r="J101" s="921"/>
      <c r="K101" s="921"/>
      <c r="L101" s="921"/>
      <c r="M101" s="921"/>
      <c r="N101" s="921"/>
      <c r="O101" s="921"/>
      <c r="P101" s="921"/>
      <c r="Q101" s="921"/>
      <c r="R101" s="921"/>
      <c r="S101" s="921"/>
      <c r="T101" s="921"/>
      <c r="U101" s="921"/>
      <c r="V101" s="921"/>
      <c r="W101" s="921"/>
      <c r="X101" s="921"/>
      <c r="Y101" s="921"/>
      <c r="Z101" s="921"/>
      <c r="AA101" s="921"/>
      <c r="AB101" s="921"/>
      <c r="AC101" s="921"/>
      <c r="AD101" s="921"/>
      <c r="AE101" s="921"/>
      <c r="AF101" s="921"/>
      <c r="AG101" s="921"/>
      <c r="AH101" s="921"/>
      <c r="AI101" s="921"/>
      <c r="AJ101" s="921"/>
      <c r="AK101" s="921"/>
      <c r="AL101" s="921"/>
      <c r="AM101" s="921"/>
      <c r="AN101" s="921"/>
      <c r="AO101" s="921"/>
      <c r="AP101" s="921"/>
      <c r="AQ101" s="921"/>
      <c r="AR101" s="921"/>
      <c r="AS101" s="921"/>
      <c r="AT101" s="921"/>
      <c r="AU101" s="921"/>
      <c r="AV101" s="921"/>
      <c r="AW101" s="921"/>
      <c r="AX101" s="921"/>
      <c r="AY101" s="921"/>
      <c r="AZ101" s="921"/>
      <c r="BA101" s="921"/>
      <c r="BB101" s="921"/>
      <c r="BC101" s="921"/>
      <c r="BD101" s="921"/>
      <c r="BE101" s="921"/>
      <c r="BF101" s="921"/>
      <c r="BG101" s="921"/>
      <c r="BH101" s="921"/>
      <c r="BI101" s="921"/>
      <c r="BJ101" s="921"/>
      <c r="BK101" s="921"/>
      <c r="BL101" s="921"/>
      <c r="BM101" s="921"/>
      <c r="BN101" s="921"/>
      <c r="BO101" s="921"/>
      <c r="BP101" s="921"/>
      <c r="BQ101" s="921"/>
    </row>
    <row r="102" spans="2:85">
      <c r="BU102" t="s">
        <v>1075</v>
      </c>
      <c r="BW102" s="2061">
        <f>-20*0.6/FirstEnergy!BG48</f>
        <v>-2.3958273143381947E-2</v>
      </c>
    </row>
    <row r="103" spans="2:85">
      <c r="BU103" s="1698" t="s">
        <v>1226</v>
      </c>
      <c r="BW103" s="2062">
        <f>Distribution!$AW$60*(1-Distribution!$AW$67)/Distribution!$BB$38</f>
        <v>0.26420326255692506</v>
      </c>
    </row>
    <row r="195" spans="1:70">
      <c r="A195" s="937"/>
      <c r="B195" s="937"/>
      <c r="C195" s="937"/>
      <c r="D195" s="937"/>
      <c r="E195" s="937"/>
      <c r="F195" s="937"/>
      <c r="G195" s="937"/>
      <c r="H195" s="937"/>
      <c r="I195" s="937"/>
      <c r="J195" s="937"/>
      <c r="K195" s="937"/>
      <c r="L195" s="937"/>
      <c r="M195" s="937"/>
      <c r="N195" s="937"/>
      <c r="O195" s="937"/>
      <c r="P195" s="937"/>
      <c r="Q195" s="937"/>
      <c r="R195" s="937"/>
      <c r="S195" s="937"/>
      <c r="T195" s="937"/>
      <c r="U195" s="937"/>
      <c r="V195" s="937"/>
      <c r="W195" s="937"/>
      <c r="X195" s="937"/>
      <c r="Y195" s="937"/>
      <c r="Z195" s="937"/>
      <c r="AA195" s="937"/>
      <c r="AB195" s="937"/>
      <c r="AC195" s="937"/>
      <c r="AD195" s="937"/>
      <c r="AE195" s="937"/>
      <c r="AF195" s="937"/>
      <c r="AG195" s="937"/>
      <c r="AH195" s="937"/>
      <c r="AI195" s="937"/>
      <c r="AJ195" s="937"/>
      <c r="AK195" s="937"/>
      <c r="AL195" s="937"/>
      <c r="AM195" s="937"/>
      <c r="AN195" s="937"/>
      <c r="AO195" s="937"/>
      <c r="AP195" s="937"/>
      <c r="AQ195" s="937"/>
      <c r="AR195" s="937"/>
      <c r="AS195" s="937"/>
      <c r="AT195" s="937"/>
      <c r="AU195" s="937"/>
      <c r="AV195" s="937"/>
      <c r="AW195" s="937"/>
      <c r="AX195" s="937"/>
      <c r="AY195" s="937"/>
      <c r="AZ195" s="937"/>
      <c r="BA195" s="937"/>
      <c r="BB195" s="937"/>
      <c r="BC195" s="937"/>
      <c r="BD195" s="937"/>
      <c r="BE195" s="937"/>
      <c r="BF195" s="937"/>
      <c r="BG195" s="937"/>
      <c r="BH195" s="937"/>
      <c r="BI195" s="937"/>
      <c r="BJ195" s="937"/>
      <c r="BK195" s="937"/>
      <c r="BL195" s="937"/>
      <c r="BM195" s="937"/>
      <c r="BN195" s="937"/>
      <c r="BO195" s="937"/>
      <c r="BP195" s="937"/>
      <c r="BQ195" s="937"/>
      <c r="BR195" s="937"/>
    </row>
    <row r="199" spans="1:70" customFormat="1"/>
  </sheetData>
  <phoneticPr fontId="39" type="noConversion"/>
  <pageMargins left="0.1" right="0.03" top="0.08" bottom="7.0000000000000007E-2" header="0" footer="0"/>
  <pageSetup scale="55" orientation="landscape" r:id="rId1"/>
  <headerFooter alignWithMargins="0"/>
  <colBreaks count="1" manualBreakCount="1">
    <brk id="104" max="1048575" man="1"/>
  </col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I74"/>
  <sheetViews>
    <sheetView zoomScale="85" workbookViewId="0">
      <pane ySplit="5" topLeftCell="A6" activePane="bottomLeft" state="frozen"/>
      <selection activeCell="X6" sqref="X6"/>
      <selection pane="bottomLeft" activeCell="A6" sqref="A6"/>
    </sheetView>
  </sheetViews>
  <sheetFormatPr defaultRowHeight="12.75" outlineLevelCol="1"/>
  <cols>
    <col min="1" max="2" width="2.5703125" customWidth="1"/>
    <col min="3" max="3" width="45.7109375" customWidth="1"/>
    <col min="4" max="4" width="2.7109375" customWidth="1"/>
    <col min="5" max="8" width="1.7109375" hidden="1" customWidth="1" outlineLevel="1"/>
    <col min="9" max="9" width="9.7109375" hidden="1" customWidth="1" outlineLevel="1"/>
    <col min="10" max="13" width="1.7109375" hidden="1" customWidth="1" outlineLevel="1"/>
    <col min="14" max="14" width="9.7109375" hidden="1" customWidth="1" outlineLevel="1"/>
    <col min="15" max="18" width="1.7109375" hidden="1" customWidth="1" outlineLevel="1"/>
    <col min="19" max="19" width="9.7109375" hidden="1" customWidth="1" outlineLevel="1"/>
    <col min="20" max="23" width="1.7109375" hidden="1" customWidth="1" outlineLevel="1"/>
    <col min="24" max="24" width="9.7109375" customWidth="1" collapsed="1"/>
    <col min="25" max="28" width="1.7109375" hidden="1" customWidth="1" outlineLevel="1"/>
    <col min="29" max="29" width="9.7109375" customWidth="1" collapsed="1"/>
    <col min="30" max="33" width="1.7109375" hidden="1" customWidth="1" outlineLevel="1"/>
    <col min="34" max="34" width="9.7109375" customWidth="1" collapsed="1"/>
    <col min="35" max="38" width="1.7109375" hidden="1" customWidth="1" outlineLevel="1"/>
    <col min="39" max="39" width="9.7109375" customWidth="1" collapsed="1"/>
    <col min="40" max="43" width="1.7109375" hidden="1" customWidth="1" outlineLevel="1"/>
    <col min="44" max="44" width="9.7109375" customWidth="1" collapsed="1"/>
    <col min="45" max="48" width="1.7109375" hidden="1" customWidth="1" outlineLevel="1"/>
    <col min="49" max="49" width="9.7109375" customWidth="1" collapsed="1"/>
    <col min="50" max="53" width="1.7109375" hidden="1" customWidth="1" outlineLevel="1"/>
    <col min="54" max="54" width="9.7109375" customWidth="1" collapsed="1"/>
    <col min="55" max="58" width="1.7109375" hidden="1" customWidth="1" outlineLevel="1"/>
    <col min="59" max="59" width="9.7109375" customWidth="1" collapsed="1"/>
    <col min="60" max="63" width="1.7109375" hidden="1" customWidth="1" outlineLevel="1"/>
    <col min="64" max="64" width="9.7109375" customWidth="1" collapsed="1"/>
    <col min="65" max="68" width="1.7109375" hidden="1" customWidth="1" outlineLevel="1"/>
    <col min="69" max="69" width="9.7109375" customWidth="1" collapsed="1"/>
    <col min="70" max="72" width="2.7109375" customWidth="1"/>
    <col min="73" max="73" width="45.7109375" customWidth="1"/>
    <col min="74" max="74" width="2.7109375" hidden="1" customWidth="1" outlineLevel="1"/>
    <col min="75" max="78" width="1.7109375" hidden="1" customWidth="1" outlineLevel="1"/>
    <col min="79" max="79" width="9.7109375" hidden="1" customWidth="1" outlineLevel="1"/>
    <col min="80" max="83" width="1.7109375" hidden="1" customWidth="1" outlineLevel="1"/>
    <col min="84" max="84" width="9.7109375" hidden="1" customWidth="1" outlineLevel="1"/>
    <col min="85" max="88" width="1.7109375" hidden="1" customWidth="1" outlineLevel="1"/>
    <col min="89" max="89" width="9.7109375" hidden="1" customWidth="1" outlineLevel="1"/>
    <col min="90" max="93" width="1.7109375" hidden="1" customWidth="1" outlineLevel="1"/>
    <col min="94" max="94" width="9.7109375" customWidth="1" collapsed="1"/>
    <col min="95" max="98" width="1.7109375" hidden="1" customWidth="1" outlineLevel="1"/>
    <col min="99" max="99" width="9.7109375" customWidth="1" collapsed="1"/>
    <col min="100" max="103" width="1.7109375" hidden="1" customWidth="1" outlineLevel="1"/>
    <col min="104" max="104" width="9.7109375" customWidth="1" collapsed="1"/>
    <col min="105" max="108" width="1.7109375" hidden="1" customWidth="1" outlineLevel="1"/>
    <col min="109" max="109" width="9.7109375" customWidth="1" collapsed="1"/>
    <col min="110" max="113" width="1.7109375" hidden="1" customWidth="1" outlineLevel="1"/>
    <col min="114" max="114" width="9.7109375" customWidth="1" collapsed="1"/>
    <col min="115" max="118" width="1.7109375" hidden="1" customWidth="1" outlineLevel="1"/>
    <col min="119" max="119" width="9.7109375" customWidth="1" collapsed="1"/>
    <col min="120" max="123" width="1.7109375" hidden="1" customWidth="1" outlineLevel="1"/>
    <col min="124" max="124" width="9.7109375" customWidth="1" collapsed="1"/>
    <col min="125" max="128" width="1.7109375" hidden="1" customWidth="1" outlineLevel="1"/>
    <col min="129" max="129" width="9.7109375" customWidth="1" collapsed="1"/>
    <col min="130" max="133" width="1.7109375" hidden="1" customWidth="1" outlineLevel="1"/>
    <col min="134" max="134" width="9.7109375" customWidth="1" collapsed="1"/>
    <col min="135" max="138" width="1.7109375" hidden="1" customWidth="1" outlineLevel="1"/>
    <col min="139" max="139" width="9.7109375" customWidth="1" collapsed="1"/>
  </cols>
  <sheetData>
    <row r="1" spans="1:139" ht="15" customHeight="1">
      <c r="A1" s="1"/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</row>
    <row r="2" spans="1:139" ht="15" customHeight="1">
      <c r="A2" s="1"/>
      <c r="B2" s="1" t="str">
        <f>Cover!$B$2</f>
        <v>FirstEnergy</v>
      </c>
      <c r="C2" s="1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</row>
    <row r="3" spans="1:139" ht="15" customHeight="1">
      <c r="A3" s="5"/>
      <c r="B3" s="5" t="s">
        <v>21</v>
      </c>
      <c r="C3" s="5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</row>
    <row r="4" spans="1:139">
      <c r="A4" s="7"/>
      <c r="B4" s="7" t="s">
        <v>3</v>
      </c>
      <c r="C4" s="7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</row>
    <row r="5" spans="1:139">
      <c r="A5" s="31"/>
      <c r="B5" s="31" t="s">
        <v>22</v>
      </c>
      <c r="C5" s="31"/>
      <c r="D5" s="1389"/>
      <c r="E5" s="1386"/>
      <c r="F5" s="1386"/>
      <c r="G5" s="1386"/>
      <c r="H5" s="1386"/>
      <c r="I5" s="1386">
        <v>2009</v>
      </c>
      <c r="J5" s="1386"/>
      <c r="K5" s="1386"/>
      <c r="L5" s="1386"/>
      <c r="M5" s="1386"/>
      <c r="N5" s="1386">
        <f>I5+1</f>
        <v>2010</v>
      </c>
      <c r="O5" s="1386"/>
      <c r="P5" s="1386"/>
      <c r="Q5" s="1386"/>
      <c r="R5" s="1386"/>
      <c r="S5" s="1386">
        <f>N5+1</f>
        <v>2011</v>
      </c>
      <c r="T5" s="1386"/>
      <c r="U5" s="1386"/>
      <c r="V5" s="1386"/>
      <c r="W5" s="1386"/>
      <c r="X5" s="1386">
        <f>S5+1</f>
        <v>2012</v>
      </c>
      <c r="Y5" s="1386"/>
      <c r="Z5" s="1386"/>
      <c r="AA5" s="1386"/>
      <c r="AB5" s="1386"/>
      <c r="AC5" s="1386">
        <f>X5+1</f>
        <v>2013</v>
      </c>
      <c r="AD5" s="1386"/>
      <c r="AE5" s="1386"/>
      <c r="AF5" s="1386"/>
      <c r="AG5" s="1386"/>
      <c r="AH5" s="1386">
        <f>AC5+1</f>
        <v>2014</v>
      </c>
      <c r="AI5" s="1386"/>
      <c r="AJ5" s="1386"/>
      <c r="AK5" s="1386"/>
      <c r="AL5" s="1386"/>
      <c r="AM5" s="1386">
        <f>AH5+1</f>
        <v>2015</v>
      </c>
      <c r="AN5" s="1386"/>
      <c r="AO5" s="1386"/>
      <c r="AP5" s="1386"/>
      <c r="AQ5" s="1386"/>
      <c r="AR5" s="1386">
        <f>AM5+1</f>
        <v>2016</v>
      </c>
      <c r="AS5" s="1386"/>
      <c r="AT5" s="1386"/>
      <c r="AU5" s="1386"/>
      <c r="AV5" s="1386"/>
      <c r="AW5" s="1386">
        <f>AR5+1</f>
        <v>2017</v>
      </c>
      <c r="AX5" s="1386"/>
      <c r="AY5" s="1386"/>
      <c r="AZ5" s="1386"/>
      <c r="BA5" s="1386"/>
      <c r="BB5" s="1387">
        <f>AW5+1</f>
        <v>2018</v>
      </c>
      <c r="BC5" s="1386"/>
      <c r="BD5" s="1386"/>
      <c r="BE5" s="1386"/>
      <c r="BF5" s="1386"/>
      <c r="BG5" s="1387">
        <f>BB5+1</f>
        <v>2019</v>
      </c>
      <c r="BH5" s="1386"/>
      <c r="BI5" s="1386"/>
      <c r="BJ5" s="1386"/>
      <c r="BK5" s="1386"/>
      <c r="BL5" s="1387">
        <f>BG5+1</f>
        <v>2020</v>
      </c>
      <c r="BM5" s="1386"/>
      <c r="BN5" s="1386"/>
      <c r="BO5" s="1386"/>
      <c r="BP5" s="1386"/>
      <c r="BQ5" s="1387">
        <f>BL5+1</f>
        <v>2021</v>
      </c>
      <c r="BR5" s="31"/>
      <c r="BS5" s="31"/>
      <c r="BT5" s="31" t="s">
        <v>22</v>
      </c>
      <c r="BU5" s="1388"/>
      <c r="BV5" s="1389"/>
      <c r="BW5" s="1386"/>
      <c r="BX5" s="1386"/>
      <c r="BY5" s="1386"/>
      <c r="BZ5" s="1386"/>
      <c r="CA5" s="1386">
        <v>2009</v>
      </c>
      <c r="CB5" s="1386"/>
      <c r="CC5" s="1386"/>
      <c r="CD5" s="1386"/>
      <c r="CE5" s="1386"/>
      <c r="CF5" s="1386">
        <f>CA5+1</f>
        <v>2010</v>
      </c>
      <c r="CG5" s="1386"/>
      <c r="CH5" s="1386"/>
      <c r="CI5" s="1386"/>
      <c r="CJ5" s="1386"/>
      <c r="CK5" s="1386">
        <f>CF5+1</f>
        <v>2011</v>
      </c>
      <c r="CL5" s="1386"/>
      <c r="CM5" s="1386"/>
      <c r="CN5" s="1386"/>
      <c r="CO5" s="1386"/>
      <c r="CP5" s="1386">
        <f>CK5+1</f>
        <v>2012</v>
      </c>
      <c r="CQ5" s="1386"/>
      <c r="CR5" s="1386"/>
      <c r="CS5" s="1386"/>
      <c r="CT5" s="1386"/>
      <c r="CU5" s="1386">
        <f>CP5+1</f>
        <v>2013</v>
      </c>
      <c r="CV5" s="1386"/>
      <c r="CW5" s="1386"/>
      <c r="CX5" s="1386"/>
      <c r="CY5" s="1386"/>
      <c r="CZ5" s="1386">
        <f>CU5+1</f>
        <v>2014</v>
      </c>
      <c r="DA5" s="1386"/>
      <c r="DB5" s="1386"/>
      <c r="DC5" s="1386"/>
      <c r="DD5" s="1386"/>
      <c r="DE5" s="1386">
        <f>CZ5+1</f>
        <v>2015</v>
      </c>
      <c r="DF5" s="1386"/>
      <c r="DG5" s="1386"/>
      <c r="DH5" s="1386"/>
      <c r="DI5" s="1386"/>
      <c r="DJ5" s="1386">
        <f>DE5+1</f>
        <v>2016</v>
      </c>
      <c r="DK5" s="1386"/>
      <c r="DL5" s="1386"/>
      <c r="DM5" s="1386"/>
      <c r="DN5" s="1386"/>
      <c r="DO5" s="1386">
        <f>DJ5+1</f>
        <v>2017</v>
      </c>
      <c r="DP5" s="1386"/>
      <c r="DQ5" s="1386"/>
      <c r="DR5" s="1386"/>
      <c r="DS5" s="1386"/>
      <c r="DT5" s="1387">
        <f>DO5+1</f>
        <v>2018</v>
      </c>
      <c r="DU5" s="1386"/>
      <c r="DV5" s="1386"/>
      <c r="DW5" s="1386"/>
      <c r="DX5" s="1386"/>
      <c r="DY5" s="1387">
        <f>DT5+1</f>
        <v>2019</v>
      </c>
      <c r="DZ5" s="1386"/>
      <c r="EA5" s="1386"/>
      <c r="EB5" s="1386"/>
      <c r="EC5" s="1386"/>
      <c r="ED5" s="1387">
        <f>DY5+1</f>
        <v>2020</v>
      </c>
      <c r="EE5" s="1386"/>
      <c r="EF5" s="1386"/>
      <c r="EG5" s="1386"/>
      <c r="EH5" s="1386"/>
      <c r="EI5" s="1387">
        <f>ED5+1</f>
        <v>2021</v>
      </c>
    </row>
    <row r="6" spans="1:139">
      <c r="B6" s="162"/>
      <c r="C6" s="162"/>
      <c r="D6" s="162"/>
      <c r="I6" s="162"/>
      <c r="N6" s="162"/>
      <c r="S6" s="162"/>
      <c r="X6" s="162"/>
      <c r="AC6" s="162"/>
      <c r="AH6" s="162"/>
      <c r="AM6" s="162"/>
      <c r="AR6" s="162"/>
      <c r="AW6" s="162"/>
      <c r="BB6" s="162"/>
      <c r="BG6" s="162"/>
      <c r="BL6" s="162"/>
      <c r="BQ6" s="162"/>
      <c r="BR6" s="162"/>
      <c r="BS6" s="162"/>
      <c r="BT6" s="162"/>
      <c r="BU6" s="162"/>
      <c r="BV6" s="162"/>
      <c r="CA6" s="162"/>
      <c r="CF6" s="162"/>
      <c r="CK6" s="162"/>
      <c r="CP6" s="162"/>
      <c r="CU6" s="162"/>
      <c r="CZ6" s="162"/>
      <c r="DE6" s="162"/>
      <c r="DJ6" s="162"/>
      <c r="DO6" s="162"/>
      <c r="DT6" s="162"/>
      <c r="DY6" s="162"/>
      <c r="ED6" s="162"/>
      <c r="EI6" s="162"/>
    </row>
    <row r="7" spans="1:139" ht="12.75" customHeight="1">
      <c r="B7" s="10" t="s">
        <v>23</v>
      </c>
      <c r="C7" s="1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162"/>
      <c r="BS7" s="162"/>
      <c r="BT7" s="10" t="s">
        <v>27</v>
      </c>
      <c r="BU7" s="10"/>
      <c r="BV7" s="32"/>
      <c r="BW7" s="32"/>
      <c r="BX7" s="32"/>
      <c r="BY7" s="32"/>
      <c r="BZ7" s="32"/>
      <c r="CA7" s="32"/>
      <c r="CB7" s="32"/>
      <c r="CC7" s="32"/>
      <c r="CD7" s="32"/>
      <c r="CE7" s="32"/>
      <c r="CF7" s="32"/>
      <c r="CG7" s="32"/>
      <c r="CH7" s="32"/>
      <c r="CI7" s="32"/>
      <c r="CJ7" s="32"/>
      <c r="CK7" s="32"/>
      <c r="CL7" s="32"/>
      <c r="CM7" s="32"/>
      <c r="CN7" s="32"/>
      <c r="CO7" s="32"/>
      <c r="CP7" s="32"/>
      <c r="CQ7" s="32"/>
      <c r="CR7" s="32"/>
      <c r="CS7" s="32"/>
      <c r="CT7" s="32"/>
      <c r="CU7" s="32"/>
      <c r="CV7" s="32"/>
      <c r="CW7" s="32"/>
      <c r="CX7" s="32"/>
      <c r="CY7" s="32"/>
      <c r="CZ7" s="32"/>
      <c r="DA7" s="32"/>
      <c r="DB7" s="32"/>
      <c r="DC7" s="32"/>
      <c r="DD7" s="32"/>
      <c r="DE7" s="32"/>
      <c r="DF7" s="32"/>
      <c r="DG7" s="32"/>
      <c r="DH7" s="32"/>
      <c r="DI7" s="32"/>
      <c r="DJ7" s="32"/>
      <c r="DK7" s="32"/>
      <c r="DL7" s="32"/>
      <c r="DM7" s="32"/>
      <c r="DN7" s="32"/>
      <c r="DO7" s="32"/>
      <c r="DP7" s="32"/>
      <c r="DQ7" s="32"/>
      <c r="DR7" s="32"/>
      <c r="DS7" s="32"/>
      <c r="DT7" s="32"/>
      <c r="DU7" s="32"/>
      <c r="DV7" s="32"/>
      <c r="DW7" s="32"/>
      <c r="DX7" s="32"/>
      <c r="DY7" s="32"/>
      <c r="DZ7" s="32"/>
      <c r="EA7" s="32"/>
      <c r="EB7" s="32"/>
      <c r="EC7" s="32"/>
      <c r="ED7" s="32"/>
      <c r="EE7" s="32"/>
      <c r="EF7" s="32"/>
      <c r="EG7" s="32"/>
      <c r="EH7" s="32"/>
      <c r="EI7" s="32"/>
    </row>
    <row r="8" spans="1:139" ht="12.75" customHeight="1">
      <c r="B8" s="162"/>
      <c r="C8" s="162"/>
      <c r="D8" s="162"/>
      <c r="E8" s="33"/>
      <c r="F8" s="33"/>
      <c r="G8" s="33"/>
      <c r="H8" s="33"/>
      <c r="I8" s="183"/>
      <c r="J8" s="33"/>
      <c r="K8" s="33"/>
      <c r="L8" s="33"/>
      <c r="M8" s="33"/>
      <c r="N8" s="183"/>
      <c r="O8" s="33"/>
      <c r="P8" s="33"/>
      <c r="Q8" s="33"/>
      <c r="R8" s="33"/>
      <c r="S8" s="183"/>
      <c r="T8" s="33"/>
      <c r="U8" s="33"/>
      <c r="V8" s="33"/>
      <c r="W8" s="33"/>
      <c r="X8" s="183"/>
      <c r="Y8" s="33"/>
      <c r="Z8" s="33"/>
      <c r="AA8" s="33"/>
      <c r="AB8" s="33"/>
      <c r="AC8" s="33"/>
      <c r="AD8" s="33"/>
      <c r="AE8" s="33"/>
      <c r="AF8" s="33"/>
      <c r="AG8" s="33"/>
      <c r="AH8" s="183"/>
      <c r="AI8" s="33"/>
      <c r="AJ8" s="33"/>
      <c r="AK8" s="33"/>
      <c r="AL8" s="33"/>
      <c r="AM8" s="183"/>
      <c r="AN8" s="33"/>
      <c r="AO8" s="33"/>
      <c r="AP8" s="33"/>
      <c r="AQ8" s="33"/>
      <c r="AR8" s="183"/>
      <c r="AS8" s="33"/>
      <c r="AT8" s="33"/>
      <c r="AU8" s="33"/>
      <c r="AV8" s="33"/>
      <c r="AW8" s="183"/>
      <c r="AX8" s="33"/>
      <c r="AY8" s="33"/>
      <c r="AZ8" s="33"/>
      <c r="BA8" s="33"/>
      <c r="BB8" s="183"/>
      <c r="BC8" s="33"/>
      <c r="BD8" s="33"/>
      <c r="BE8" s="33"/>
      <c r="BF8" s="33"/>
      <c r="BG8" s="183"/>
      <c r="BH8" s="33"/>
      <c r="BI8" s="33"/>
      <c r="BJ8" s="33"/>
      <c r="BK8" s="33"/>
      <c r="BL8" s="183"/>
      <c r="BM8" s="33"/>
      <c r="BN8" s="33"/>
      <c r="BO8" s="33"/>
      <c r="BP8" s="33"/>
      <c r="BQ8" s="183"/>
      <c r="BR8" s="162"/>
      <c r="BS8" s="162"/>
      <c r="BT8" s="162"/>
      <c r="BU8" s="162"/>
      <c r="BV8" s="162"/>
      <c r="CA8" s="162"/>
      <c r="CF8" s="162"/>
      <c r="CK8" s="162"/>
      <c r="CP8" s="162"/>
      <c r="CU8" s="162"/>
      <c r="CZ8" s="162"/>
      <c r="DE8" s="162"/>
      <c r="DJ8" s="162"/>
      <c r="DO8" s="162"/>
      <c r="DT8" s="162"/>
      <c r="DY8" s="162"/>
      <c r="ED8" s="162"/>
      <c r="EI8" s="162"/>
    </row>
    <row r="9" spans="1:139" ht="12.75" customHeight="1">
      <c r="A9" s="35"/>
      <c r="B9" s="162"/>
      <c r="C9" s="13" t="s">
        <v>28</v>
      </c>
      <c r="D9" s="36"/>
      <c r="E9" s="33"/>
      <c r="F9" s="33"/>
      <c r="G9" s="33"/>
      <c r="H9" s="33"/>
      <c r="I9" s="183"/>
      <c r="J9" s="33"/>
      <c r="K9" s="33"/>
      <c r="L9" s="33"/>
      <c r="M9" s="33"/>
      <c r="N9" s="183"/>
      <c r="O9" s="33"/>
      <c r="P9" s="33"/>
      <c r="Q9" s="33"/>
      <c r="R9" s="33"/>
      <c r="S9" s="183"/>
      <c r="T9" s="33"/>
      <c r="U9" s="33"/>
      <c r="V9" s="33"/>
      <c r="W9" s="33"/>
      <c r="X9" s="183"/>
      <c r="Y9" s="33"/>
      <c r="Z9" s="33"/>
      <c r="AA9" s="33"/>
      <c r="AB9" s="33"/>
      <c r="AC9" s="183"/>
      <c r="AD9" s="33"/>
      <c r="AE9" s="33"/>
      <c r="AF9" s="33"/>
      <c r="AG9" s="33"/>
      <c r="AH9" s="183"/>
      <c r="AI9" s="33"/>
      <c r="AJ9" s="33"/>
      <c r="AK9" s="33"/>
      <c r="AL9" s="33"/>
      <c r="AM9" s="183"/>
      <c r="AN9" s="33"/>
      <c r="AO9" s="33"/>
      <c r="AP9" s="33"/>
      <c r="AQ9" s="33"/>
      <c r="AR9" s="183"/>
      <c r="AS9" s="33"/>
      <c r="AT9" s="33"/>
      <c r="AU9" s="33"/>
      <c r="AV9" s="33"/>
      <c r="AW9" s="183"/>
      <c r="AX9" s="33"/>
      <c r="AY9" s="33"/>
      <c r="AZ9" s="33"/>
      <c r="BA9" s="33"/>
      <c r="BB9" s="183"/>
      <c r="BC9" s="33"/>
      <c r="BD9" s="33"/>
      <c r="BE9" s="33"/>
      <c r="BF9" s="33"/>
      <c r="BG9" s="183"/>
      <c r="BH9" s="33"/>
      <c r="BI9" s="33"/>
      <c r="BJ9" s="33"/>
      <c r="BK9" s="33"/>
      <c r="BL9" s="183"/>
      <c r="BM9" s="33"/>
      <c r="BN9" s="33"/>
      <c r="BO9" s="33"/>
      <c r="BP9" s="33"/>
      <c r="BQ9" s="183"/>
      <c r="BR9" s="162"/>
      <c r="BS9" s="162"/>
      <c r="BT9" s="162"/>
      <c r="BU9" s="13" t="s">
        <v>29</v>
      </c>
      <c r="BV9" s="13"/>
      <c r="BW9" s="13"/>
      <c r="BX9" s="13"/>
      <c r="BY9" s="13"/>
      <c r="BZ9" s="13"/>
      <c r="CA9" s="60">
        <f>FirstEnergy!I199</f>
        <v>874</v>
      </c>
      <c r="CB9" s="60">
        <f>FirstEnergy!J199</f>
        <v>310</v>
      </c>
      <c r="CC9" s="60">
        <f>FirstEnergy!K199</f>
        <v>281</v>
      </c>
      <c r="CD9" s="60">
        <f>FirstEnergy!L199</f>
        <v>632</v>
      </c>
      <c r="CE9" s="60">
        <f>FirstEnergy!M199</f>
        <v>1019</v>
      </c>
      <c r="CF9" s="60">
        <f>FirstEnergy!N199</f>
        <v>1019</v>
      </c>
      <c r="CG9" s="60">
        <f>FirstEnergy!O199</f>
        <v>1101</v>
      </c>
      <c r="CH9" s="60">
        <f>FirstEnergy!P199</f>
        <v>476</v>
      </c>
      <c r="CI9" s="60">
        <f>FirstEnergy!Q199</f>
        <v>291</v>
      </c>
      <c r="CJ9" s="60">
        <f>FirstEnergy!R199</f>
        <v>202</v>
      </c>
      <c r="CK9" s="60">
        <f>FirstEnergy!S199</f>
        <v>202</v>
      </c>
      <c r="CL9" s="60">
        <f>FirstEnergy!T199</f>
        <v>74</v>
      </c>
      <c r="CM9" s="60">
        <f>FirstEnergy!U199</f>
        <v>94</v>
      </c>
      <c r="CN9" s="60">
        <f>FirstEnergy!V199</f>
        <v>150</v>
      </c>
      <c r="CO9" s="60">
        <f>FirstEnergy!W199</f>
        <v>172</v>
      </c>
      <c r="CP9" s="60">
        <f>FirstEnergy!X199</f>
        <v>172</v>
      </c>
      <c r="CQ9" s="60">
        <f>FirstEnergy!Y199</f>
        <v>67</v>
      </c>
      <c r="CR9" s="60">
        <f>FirstEnergy!Z199</f>
        <v>71</v>
      </c>
      <c r="CS9" s="60">
        <f>FirstEnergy!AA199</f>
        <v>222</v>
      </c>
      <c r="CT9" s="60">
        <f>FirstEnergy!AB199</f>
        <v>218</v>
      </c>
      <c r="CU9" s="60">
        <f>FirstEnergy!AC199</f>
        <v>218</v>
      </c>
      <c r="CV9" s="60">
        <f>FirstEnergy!AD199</f>
        <v>109</v>
      </c>
      <c r="CW9" s="60">
        <f>FirstEnergy!AE199</f>
        <v>76</v>
      </c>
      <c r="CX9" s="60">
        <f>FirstEnergy!AF199</f>
        <v>109</v>
      </c>
      <c r="CY9" s="60">
        <f>FirstEnergy!AG199</f>
        <v>85</v>
      </c>
      <c r="CZ9" s="60">
        <f>FirstEnergy!AH199</f>
        <v>85</v>
      </c>
      <c r="DA9" s="60">
        <f>FirstEnergy!AI199</f>
        <v>90</v>
      </c>
      <c r="DB9" s="60">
        <f>FirstEnergy!AJ199</f>
        <v>94</v>
      </c>
      <c r="DC9" s="60">
        <f>FirstEnergy!AK199</f>
        <v>86</v>
      </c>
      <c r="DD9" s="60">
        <f>FirstEnergy!AL199</f>
        <v>131</v>
      </c>
      <c r="DE9" s="60">
        <f>FirstEnergy!AM199</f>
        <v>131</v>
      </c>
      <c r="DF9" s="60">
        <f>FirstEnergy!AN199</f>
        <v>146</v>
      </c>
      <c r="DG9" s="60">
        <f>FirstEnergy!AO199</f>
        <v>199</v>
      </c>
      <c r="DH9" s="60">
        <f>FirstEnergy!AP199</f>
        <v>551</v>
      </c>
      <c r="DI9" s="60">
        <f>FirstEnergy!AQ199</f>
        <v>199</v>
      </c>
      <c r="DJ9" s="60">
        <f>FirstEnergy!AR199</f>
        <v>199</v>
      </c>
      <c r="DK9" s="60">
        <f>FirstEnergy!AS199</f>
        <v>164</v>
      </c>
      <c r="DL9" s="60">
        <f>FirstEnergy!AT199</f>
        <v>114</v>
      </c>
      <c r="DM9" s="60">
        <f>FirstEnergy!AU199</f>
        <v>399</v>
      </c>
      <c r="DN9" s="60">
        <f>FirstEnergy!AV199</f>
        <v>589</v>
      </c>
      <c r="DO9" s="60">
        <f>FirstEnergy!AW199</f>
        <v>589</v>
      </c>
      <c r="DP9" s="60">
        <f>FirstEnergy!AX199</f>
        <v>0</v>
      </c>
      <c r="DQ9" s="60">
        <f>FirstEnergy!AY199</f>
        <v>0</v>
      </c>
      <c r="DR9" s="60">
        <f>FirstEnergy!AZ199</f>
        <v>0</v>
      </c>
      <c r="DS9" s="60">
        <f>FirstEnergy!BA199</f>
        <v>0</v>
      </c>
      <c r="DT9" s="60">
        <f>FirstEnergy!BB199</f>
        <v>0</v>
      </c>
      <c r="DU9" s="60">
        <f>FirstEnergy!BC199</f>
        <v>0</v>
      </c>
      <c r="DV9" s="60">
        <f>FirstEnergy!BD199</f>
        <v>0</v>
      </c>
      <c r="DW9" s="60">
        <f>FirstEnergy!BE199</f>
        <v>0</v>
      </c>
      <c r="DX9" s="60">
        <f>FirstEnergy!BF199</f>
        <v>0</v>
      </c>
      <c r="DY9" s="60">
        <f>FirstEnergy!BG199</f>
        <v>0</v>
      </c>
      <c r="DZ9" s="60">
        <f>FirstEnergy!BH199</f>
        <v>0</v>
      </c>
      <c r="EA9" s="60">
        <f>FirstEnergy!BI199</f>
        <v>0</v>
      </c>
      <c r="EB9" s="60">
        <f>FirstEnergy!BJ199</f>
        <v>0</v>
      </c>
      <c r="EC9" s="60">
        <f>FirstEnergy!BK199</f>
        <v>0</v>
      </c>
      <c r="ED9" s="60">
        <f>FirstEnergy!BL199</f>
        <v>0</v>
      </c>
      <c r="EE9" s="60">
        <f>FirstEnergy!BM199</f>
        <v>0</v>
      </c>
      <c r="EF9" s="60">
        <f>FirstEnergy!BN199</f>
        <v>0</v>
      </c>
      <c r="EG9" s="60">
        <f>FirstEnergy!BO199</f>
        <v>0</v>
      </c>
      <c r="EH9" s="60">
        <f>FirstEnergy!BP199</f>
        <v>0</v>
      </c>
      <c r="EI9" s="60">
        <f>FirstEnergy!BQ199</f>
        <v>0</v>
      </c>
    </row>
    <row r="10" spans="1:139" ht="12.75" customHeight="1">
      <c r="A10" s="35"/>
      <c r="B10" s="38"/>
      <c r="C10" s="39" t="s">
        <v>337</v>
      </c>
      <c r="D10" s="40"/>
      <c r="E10" s="16"/>
      <c r="F10" s="16"/>
      <c r="G10" s="16"/>
      <c r="H10" s="16"/>
      <c r="I10" s="179">
        <f>FirstEnergy!I75</f>
        <v>1.0947712418300655</v>
      </c>
      <c r="J10" s="29"/>
      <c r="K10" s="29"/>
      <c r="L10" s="29"/>
      <c r="M10" s="29"/>
      <c r="N10" s="179">
        <f>FirstEnergy!N75</f>
        <v>2.2885245901639344</v>
      </c>
      <c r="O10" s="29"/>
      <c r="P10" s="29"/>
      <c r="Q10" s="29"/>
      <c r="R10" s="29"/>
      <c r="S10" s="179">
        <f>FirstEnergy!S75</f>
        <v>1.9825436408977557</v>
      </c>
      <c r="T10" s="29"/>
      <c r="U10" s="29"/>
      <c r="V10" s="29"/>
      <c r="W10" s="29"/>
      <c r="X10" s="179">
        <f>FirstEnergy!X75</f>
        <v>2.0620525059665873</v>
      </c>
      <c r="Y10" s="29"/>
      <c r="Z10" s="29"/>
      <c r="AA10" s="29"/>
      <c r="AB10" s="29"/>
      <c r="AC10" s="179">
        <f>FirstEnergy!AC75</f>
        <v>2.042959427207637</v>
      </c>
      <c r="AD10" s="29"/>
      <c r="AE10" s="29"/>
      <c r="AF10" s="29"/>
      <c r="AG10" s="29"/>
      <c r="AH10" s="179">
        <f>FirstEnergy!AH75</f>
        <v>1.9216152019002375</v>
      </c>
      <c r="AI10" s="29"/>
      <c r="AJ10" s="29"/>
      <c r="AK10" s="29"/>
      <c r="AL10" s="29"/>
      <c r="AM10" s="179">
        <f>FirstEnergy!AM75</f>
        <v>1.8089622641509433</v>
      </c>
      <c r="AN10" s="29"/>
      <c r="AO10" s="29"/>
      <c r="AP10" s="29"/>
      <c r="AQ10" s="29"/>
      <c r="AR10" s="179">
        <f>FirstEnergy!AR75</f>
        <v>1.8098591549295775</v>
      </c>
      <c r="AS10" s="29"/>
      <c r="AT10" s="29"/>
      <c r="AU10" s="29"/>
      <c r="AV10" s="29"/>
      <c r="AW10" s="179">
        <f>FirstEnergy!AW75</f>
        <v>2.3198198198198199</v>
      </c>
      <c r="AX10" s="29"/>
      <c r="AY10" s="29"/>
      <c r="AZ10" s="29"/>
      <c r="BA10" s="29"/>
      <c r="BB10" s="179">
        <f>FirstEnergy!BB75</f>
        <v>2.4984704003215126</v>
      </c>
      <c r="BC10" s="29"/>
      <c r="BD10" s="29"/>
      <c r="BE10" s="29"/>
      <c r="BF10" s="29"/>
      <c r="BG10" s="179">
        <f>FirstEnergy!BG75</f>
        <v>2.4513351949919358</v>
      </c>
      <c r="BH10" s="29"/>
      <c r="BI10" s="29"/>
      <c r="BJ10" s="29"/>
      <c r="BK10" s="29"/>
      <c r="BL10" s="179">
        <f>FirstEnergy!BL75</f>
        <v>2.0387003132460046</v>
      </c>
      <c r="BM10" s="29"/>
      <c r="BN10" s="29"/>
      <c r="BO10" s="29"/>
      <c r="BP10" s="29"/>
      <c r="BQ10" s="179">
        <f>FirstEnergy!BQ75</f>
        <v>2.1097705240164255</v>
      </c>
      <c r="BR10" s="162"/>
      <c r="BS10" s="162"/>
      <c r="BT10" s="162"/>
      <c r="BU10" s="12"/>
      <c r="BV10" s="41"/>
      <c r="CA10" s="183"/>
      <c r="CF10" s="183"/>
      <c r="CK10" s="183"/>
      <c r="CP10" s="183"/>
      <c r="CU10" s="183"/>
      <c r="CZ10" s="183"/>
      <c r="DE10" s="183"/>
      <c r="DJ10" s="183"/>
      <c r="DO10" s="183"/>
      <c r="DT10" s="183"/>
      <c r="DY10" s="183"/>
      <c r="ED10" s="183"/>
      <c r="EI10" s="183"/>
    </row>
    <row r="11" spans="1:139" ht="12.75" customHeight="1">
      <c r="A11" s="35"/>
      <c r="B11" s="38"/>
      <c r="C11" s="39" t="s">
        <v>338</v>
      </c>
      <c r="D11" s="40"/>
      <c r="E11" s="16"/>
      <c r="F11" s="16"/>
      <c r="G11" s="16"/>
      <c r="H11" s="16"/>
      <c r="I11" s="179">
        <f>FirstEnergy!I76</f>
        <v>1.457516339869281</v>
      </c>
      <c r="J11" s="29"/>
      <c r="K11" s="29"/>
      <c r="L11" s="29"/>
      <c r="M11" s="29"/>
      <c r="N11" s="179">
        <f>FirstEnergy!N76</f>
        <v>1.8459016393442622</v>
      </c>
      <c r="O11" s="29"/>
      <c r="P11" s="29"/>
      <c r="Q11" s="29"/>
      <c r="R11" s="29"/>
      <c r="S11" s="179">
        <f>FirstEnergy!S76</f>
        <v>1.3491271820448878</v>
      </c>
      <c r="T11" s="29"/>
      <c r="U11" s="29"/>
      <c r="V11" s="29"/>
      <c r="W11" s="29"/>
      <c r="X11" s="179">
        <f>FirstEnergy!X76</f>
        <v>1.1408114558472553</v>
      </c>
      <c r="Y11" s="29"/>
      <c r="Z11" s="29"/>
      <c r="AA11" s="29"/>
      <c r="AB11" s="29"/>
      <c r="AC11" s="179">
        <f>FirstEnergy!AC76</f>
        <v>0.73269689737470167</v>
      </c>
      <c r="AD11" s="29"/>
      <c r="AE11" s="29"/>
      <c r="AF11" s="29"/>
      <c r="AG11" s="29"/>
      <c r="AH11" s="179">
        <f>FirstEnergy!AH76</f>
        <v>0.23515439429928742</v>
      </c>
      <c r="AI11" s="29"/>
      <c r="AJ11" s="29"/>
      <c r="AK11" s="29"/>
      <c r="AL11" s="29"/>
      <c r="AM11" s="179">
        <f>FirstEnergy!AM76</f>
        <v>0.6132075471698113</v>
      </c>
      <c r="AN11" s="29"/>
      <c r="AO11" s="29"/>
      <c r="AP11" s="29"/>
      <c r="AQ11" s="29"/>
      <c r="AR11" s="179">
        <f>FirstEnergy!AR76</f>
        <v>0.60093896713615025</v>
      </c>
      <c r="AS11" s="29"/>
      <c r="AT11" s="29"/>
      <c r="AU11" s="29"/>
      <c r="AV11" s="29"/>
      <c r="AW11" s="179">
        <f>FirstEnergy!AW76</f>
        <v>0.46171171171171171</v>
      </c>
      <c r="AX11" s="29"/>
      <c r="AY11" s="29"/>
      <c r="AZ11" s="29"/>
      <c r="BA11" s="29"/>
      <c r="BB11" s="179">
        <f>FirstEnergy!BB76</f>
        <v>-0.12991255158265183</v>
      </c>
      <c r="BC11" s="29"/>
      <c r="BD11" s="29"/>
      <c r="BE11" s="29"/>
      <c r="BF11" s="29"/>
      <c r="BG11" s="179">
        <f>FirstEnergy!BG76</f>
        <v>-0.37905205376250078</v>
      </c>
      <c r="BH11" s="29"/>
      <c r="BI11" s="29"/>
      <c r="BJ11" s="29"/>
      <c r="BK11" s="29"/>
      <c r="BL11" s="179">
        <f>FirstEnergy!BL76</f>
        <v>-0.42678644580883757</v>
      </c>
      <c r="BM11" s="29"/>
      <c r="BN11" s="29"/>
      <c r="BO11" s="29"/>
      <c r="BP11" s="29"/>
      <c r="BQ11" s="179">
        <f>FirstEnergy!BQ76</f>
        <v>-0.2435304518030558</v>
      </c>
      <c r="BR11" s="162"/>
      <c r="BS11" s="162"/>
      <c r="BT11" s="162"/>
      <c r="BU11" s="12" t="s">
        <v>30</v>
      </c>
      <c r="BV11" s="41"/>
      <c r="CA11" s="325">
        <f>FirstEnergy!I201</f>
        <v>1081</v>
      </c>
      <c r="CB11" s="81">
        <f>FirstEnergy!J201</f>
        <v>886</v>
      </c>
      <c r="CC11" s="81">
        <f>FirstEnergy!K201</f>
        <v>1463</v>
      </c>
      <c r="CD11" s="81">
        <f>FirstEnergy!L201</f>
        <v>1000</v>
      </c>
      <c r="CE11" s="81">
        <f>FirstEnergy!M201</f>
        <v>700</v>
      </c>
      <c r="CF11" s="325">
        <f>FirstEnergy!N201</f>
        <v>700</v>
      </c>
      <c r="CG11" s="81">
        <f>FirstEnergy!O201</f>
        <v>486</v>
      </c>
      <c r="CH11" s="81">
        <f>FirstEnergy!P201</f>
        <v>656</v>
      </c>
      <c r="CI11" s="81">
        <f>FirstEnergy!Q201</f>
        <v>0</v>
      </c>
      <c r="CJ11" s="81">
        <f>FirstEnergy!R201</f>
        <v>0</v>
      </c>
      <c r="CK11" s="325">
        <f>FirstEnergy!S201</f>
        <v>0</v>
      </c>
      <c r="CL11" s="81">
        <f>FirstEnergy!T201</f>
        <v>1075</v>
      </c>
      <c r="CM11" s="81">
        <f>FirstEnergy!U201</f>
        <v>1890</v>
      </c>
      <c r="CN11" s="81">
        <f>FirstEnergy!V201</f>
        <v>1604</v>
      </c>
      <c r="CO11" s="81">
        <f>FirstEnergy!W201</f>
        <v>1969</v>
      </c>
      <c r="CP11" s="325">
        <f>FirstEnergy!X201</f>
        <v>1969</v>
      </c>
      <c r="CQ11" s="81">
        <f>FirstEnergy!Y201</f>
        <v>2150</v>
      </c>
      <c r="CR11" s="81">
        <f>FirstEnergy!Z201</f>
        <v>3254</v>
      </c>
      <c r="CS11" s="81">
        <f>FirstEnergy!AA201</f>
        <v>3404</v>
      </c>
      <c r="CT11" s="81">
        <f>FirstEnergy!AB201</f>
        <v>3404</v>
      </c>
      <c r="CU11" s="325">
        <f>FirstEnergy!AC201</f>
        <v>3404</v>
      </c>
      <c r="CV11" s="81">
        <f>FirstEnergy!AD201</f>
        <v>3085</v>
      </c>
      <c r="CW11" s="81">
        <f>FirstEnergy!AE201</f>
        <v>2323</v>
      </c>
      <c r="CX11" s="81">
        <f>FirstEnergy!AF201</f>
        <v>1621</v>
      </c>
      <c r="CY11" s="81">
        <f>FirstEnergy!AG201</f>
        <v>1799</v>
      </c>
      <c r="CZ11" s="325">
        <f>FirstEnergy!AH201</f>
        <v>1799</v>
      </c>
      <c r="DA11" s="81">
        <f>FirstEnergy!AI201</f>
        <v>2559</v>
      </c>
      <c r="DB11" s="81">
        <f>FirstEnergy!AJ201</f>
        <v>2908</v>
      </c>
      <c r="DC11" s="81">
        <f>FirstEnergy!AK201</f>
        <v>1933</v>
      </c>
      <c r="DD11" s="81">
        <f>FirstEnergy!AL201</f>
        <v>1708</v>
      </c>
      <c r="DE11" s="325">
        <f>FirstEnergy!AM201</f>
        <v>1708</v>
      </c>
      <c r="DF11" s="81">
        <f>FirstEnergy!AN201</f>
        <v>2125</v>
      </c>
      <c r="DG11" s="81">
        <f>FirstEnergy!AO201</f>
        <v>2925</v>
      </c>
      <c r="DH11" s="81">
        <f>FirstEnergy!AP201</f>
        <v>2975</v>
      </c>
      <c r="DI11" s="81">
        <f>FirstEnergy!AQ201</f>
        <v>2675</v>
      </c>
      <c r="DJ11" s="325">
        <f>FirstEnergy!AR201</f>
        <v>2675</v>
      </c>
      <c r="DK11" s="81">
        <f>FirstEnergy!AS201</f>
        <v>2750</v>
      </c>
      <c r="DL11" s="81">
        <f>FirstEnergy!AT201</f>
        <v>225</v>
      </c>
      <c r="DM11" s="81">
        <f>FirstEnergy!AU201</f>
        <v>500</v>
      </c>
      <c r="DN11" s="81">
        <f>FirstEnergy!AV201</f>
        <v>300</v>
      </c>
      <c r="DO11" s="325">
        <f>FirstEnergy!AW201</f>
        <v>300</v>
      </c>
      <c r="DP11" s="81">
        <f>FirstEnergy!AX201</f>
        <v>141.32087184912007</v>
      </c>
      <c r="DQ11" s="81">
        <f>FirstEnergy!AY201</f>
        <v>1542.7232329382909</v>
      </c>
      <c r="DR11" s="81">
        <f>FirstEnergy!AZ201</f>
        <v>947.18478912700209</v>
      </c>
      <c r="DS11" s="81">
        <f>FirstEnergy!BA201</f>
        <v>1546.889247925114</v>
      </c>
      <c r="DT11" s="325">
        <f>FirstEnergy!BB201</f>
        <v>1546.889247925114</v>
      </c>
      <c r="DU11" s="81">
        <f>FirstEnergy!BC201</f>
        <v>2428.7487747860014</v>
      </c>
      <c r="DV11" s="81">
        <f>FirstEnergy!BD201</f>
        <v>1100.3468917885464</v>
      </c>
      <c r="DW11" s="81">
        <f>FirstEnergy!BE201</f>
        <v>1446.4759945733808</v>
      </c>
      <c r="DX11" s="81">
        <f>FirstEnergy!BF201</f>
        <v>1840.919313141643</v>
      </c>
      <c r="DY11" s="325">
        <f>FirstEnergy!BG201</f>
        <v>1840.919313141643</v>
      </c>
      <c r="DZ11" s="81">
        <f>FirstEnergy!BH201</f>
        <v>2430.9775731262075</v>
      </c>
      <c r="EA11" s="81">
        <f>FirstEnergy!BI201</f>
        <v>1297.6543589542125</v>
      </c>
      <c r="EB11" s="81">
        <f>FirstEnergy!BJ201</f>
        <v>1431.6605800438024</v>
      </c>
      <c r="EC11" s="81">
        <f>FirstEnergy!BK201</f>
        <v>1711.0966512499276</v>
      </c>
      <c r="ED11" s="325">
        <f>FirstEnergy!BL201</f>
        <v>1711.0966512499276</v>
      </c>
      <c r="EE11" s="81">
        <f>FirstEnergy!BM201</f>
        <v>1881.370757358186</v>
      </c>
      <c r="EF11" s="81">
        <f>FirstEnergy!BN201</f>
        <v>1601.3545971230958</v>
      </c>
      <c r="EG11" s="81">
        <f>FirstEnergy!BO201</f>
        <v>1581.314541403214</v>
      </c>
      <c r="EH11" s="81">
        <f>FirstEnergy!BP201</f>
        <v>1770.7002255510492</v>
      </c>
      <c r="EI11" s="325">
        <f>FirstEnergy!BQ201</f>
        <v>1770.7002255510492</v>
      </c>
    </row>
    <row r="12" spans="1:139" ht="12.75" customHeight="1">
      <c r="A12" s="35"/>
      <c r="B12" s="38"/>
      <c r="C12" s="162" t="s">
        <v>339</v>
      </c>
      <c r="D12" s="162"/>
      <c r="I12" s="179">
        <f>FirstEnergy!I77</f>
        <v>0.12745098039215685</v>
      </c>
      <c r="J12" s="29"/>
      <c r="K12" s="29"/>
      <c r="L12" s="29"/>
      <c r="M12" s="29"/>
      <c r="N12" s="179">
        <f>FirstEnergy!N77</f>
        <v>0.1901639344262295</v>
      </c>
      <c r="O12" s="29"/>
      <c r="P12" s="29"/>
      <c r="Q12" s="29"/>
      <c r="R12" s="29"/>
      <c r="S12" s="179">
        <f>FirstEnergy!S77</f>
        <v>0.49376558603491272</v>
      </c>
      <c r="T12" s="29"/>
      <c r="U12" s="29"/>
      <c r="V12" s="29"/>
      <c r="W12" s="29"/>
      <c r="X12" s="179">
        <f>FirstEnergy!X77</f>
        <v>0.54653937947494036</v>
      </c>
      <c r="Y12" s="29"/>
      <c r="Z12" s="29"/>
      <c r="AA12" s="29"/>
      <c r="AB12" s="29"/>
      <c r="AC12" s="179">
        <f>FirstEnergy!AC77</f>
        <v>0.51073985680190925</v>
      </c>
      <c r="AD12" s="29"/>
      <c r="AE12" s="29"/>
      <c r="AF12" s="29"/>
      <c r="AG12" s="29"/>
      <c r="AH12" s="179">
        <f>FirstEnergy!AH77</f>
        <v>0.53681710213776723</v>
      </c>
      <c r="AI12" s="29"/>
      <c r="AJ12" s="29"/>
      <c r="AK12" s="29"/>
      <c r="AL12" s="29"/>
      <c r="AM12" s="179">
        <f>FirstEnergy!AM77</f>
        <v>0.70754716981132071</v>
      </c>
      <c r="AN12" s="29"/>
      <c r="AO12" s="29"/>
      <c r="AP12" s="29"/>
      <c r="AQ12" s="29"/>
      <c r="AR12" s="179">
        <f>FirstEnergy!AR77</f>
        <v>0.77934272300469487</v>
      </c>
      <c r="AS12" s="29"/>
      <c r="AT12" s="29"/>
      <c r="AU12" s="29"/>
      <c r="AV12" s="29"/>
      <c r="AW12" s="179">
        <f>FirstEnergy!AW77</f>
        <v>0.82657657657657657</v>
      </c>
      <c r="AX12" s="29"/>
      <c r="AY12" s="29"/>
      <c r="AZ12" s="29"/>
      <c r="BA12" s="29"/>
      <c r="BB12" s="179">
        <f>FirstEnergy!BB77</f>
        <v>0.85211771388220769</v>
      </c>
      <c r="BC12" s="29"/>
      <c r="BD12" s="29"/>
      <c r="BE12" s="29"/>
      <c r="BF12" s="29"/>
      <c r="BG12" s="179">
        <f>FirstEnergy!BG77</f>
        <v>0.87980256212939401</v>
      </c>
      <c r="BH12" s="29"/>
      <c r="BI12" s="29"/>
      <c r="BJ12" s="29"/>
      <c r="BK12" s="29"/>
      <c r="BL12" s="179">
        <f>FirstEnergy!BL77</f>
        <v>0.89420574415901177</v>
      </c>
      <c r="BM12" s="29"/>
      <c r="BN12" s="29"/>
      <c r="BO12" s="29"/>
      <c r="BP12" s="29"/>
      <c r="BQ12" s="179">
        <f>FirstEnergy!BQ77</f>
        <v>0.96845632883617327</v>
      </c>
      <c r="BR12" s="162"/>
      <c r="BS12" s="162"/>
      <c r="BT12" s="162"/>
      <c r="BU12" s="12" t="s">
        <v>31</v>
      </c>
      <c r="BV12" s="41"/>
      <c r="CA12" s="325">
        <f>FirstEnergy!I202</f>
        <v>13842</v>
      </c>
      <c r="CB12" s="81">
        <f>FirstEnergy!J202</f>
        <v>13630</v>
      </c>
      <c r="CC12" s="81">
        <f>FirstEnergy!K202</f>
        <v>13432</v>
      </c>
      <c r="CD12" s="81">
        <f>FirstEnergy!L202</f>
        <v>13694</v>
      </c>
      <c r="CE12" s="81">
        <f>FirstEnergy!M202</f>
        <v>14065</v>
      </c>
      <c r="CF12" s="325">
        <f>FirstEnergy!N202</f>
        <v>14065</v>
      </c>
      <c r="CG12" s="81">
        <f>FirstEnergy!O202</f>
        <v>18920</v>
      </c>
      <c r="CH12" s="81">
        <f>FirstEnergy!P202</f>
        <v>18549</v>
      </c>
      <c r="CI12" s="81">
        <f>FirstEnergy!Q202</f>
        <v>17663</v>
      </c>
      <c r="CJ12" s="81">
        <f>FirstEnergy!R202</f>
        <v>17337</v>
      </c>
      <c r="CK12" s="325">
        <f>FirstEnergy!S202</f>
        <v>17337</v>
      </c>
      <c r="CL12" s="81">
        <f>FirstEnergy!T202</f>
        <v>17299</v>
      </c>
      <c r="CM12" s="81">
        <f>FirstEnergy!U202</f>
        <v>16736</v>
      </c>
      <c r="CN12" s="81">
        <f>FirstEnergy!V202</f>
        <v>17100</v>
      </c>
      <c r="CO12" s="81">
        <f>FirstEnergy!W202</f>
        <v>17178</v>
      </c>
      <c r="CP12" s="325">
        <f>FirstEnergy!X202</f>
        <v>17178</v>
      </c>
      <c r="CQ12" s="81">
        <f>FirstEnergy!Y202</f>
        <v>18110</v>
      </c>
      <c r="CR12" s="81">
        <f>FirstEnergy!Z202</f>
        <v>17401</v>
      </c>
      <c r="CS12" s="81">
        <f>FirstEnergy!AA202</f>
        <v>17180</v>
      </c>
      <c r="CT12" s="81">
        <f>FirstEnergy!AB202</f>
        <v>17246</v>
      </c>
      <c r="CU12" s="325">
        <f>FirstEnergy!AC202</f>
        <v>17246</v>
      </c>
      <c r="CV12" s="81">
        <f>FirstEnergy!AD202</f>
        <v>18220</v>
      </c>
      <c r="CW12" s="81">
        <f>FirstEnergy!AE202</f>
        <v>19431</v>
      </c>
      <c r="CX12" s="81">
        <f>FirstEnergy!AF202</f>
        <v>19917</v>
      </c>
      <c r="CY12" s="81">
        <f>FirstEnergy!AG202</f>
        <v>19980</v>
      </c>
      <c r="CZ12" s="325">
        <f>FirstEnergy!AH202</f>
        <v>19980</v>
      </c>
      <c r="DA12" s="81">
        <f>FirstEnergy!AI202</f>
        <v>19917</v>
      </c>
      <c r="DB12" s="81">
        <f>FirstEnergy!AJ202</f>
        <v>19862</v>
      </c>
      <c r="DC12" s="81">
        <f>FirstEnergy!AK202</f>
        <v>20241</v>
      </c>
      <c r="DD12" s="81">
        <f>FirstEnergy!AL202</f>
        <v>20358</v>
      </c>
      <c r="DE12" s="325">
        <f>FirstEnergy!AM202</f>
        <v>20358</v>
      </c>
      <c r="DF12" s="81">
        <f>FirstEnergy!AN202</f>
        <v>20233</v>
      </c>
      <c r="DG12" s="81">
        <f>FirstEnergy!AO202</f>
        <v>19675</v>
      </c>
      <c r="DH12" s="81">
        <f>FirstEnergy!AP202</f>
        <v>19748</v>
      </c>
      <c r="DI12" s="81">
        <f>FirstEnergy!AQ202</f>
        <v>19877</v>
      </c>
      <c r="DJ12" s="325">
        <f>FirstEnergy!AR202</f>
        <v>19877</v>
      </c>
      <c r="DK12" s="81">
        <f>FirstEnergy!AS202</f>
        <v>19909</v>
      </c>
      <c r="DL12" s="81">
        <f>FirstEnergy!AT202</f>
        <v>22597</v>
      </c>
      <c r="DM12" s="81">
        <f>FirstEnergy!AU202</f>
        <v>22165</v>
      </c>
      <c r="DN12" s="81">
        <f>FirstEnergy!AV202</f>
        <v>22197</v>
      </c>
      <c r="DO12" s="325">
        <f>FirstEnergy!AW202</f>
        <v>22197</v>
      </c>
      <c r="DP12" s="81">
        <f>FirstEnergy!AX202</f>
        <v>22367</v>
      </c>
      <c r="DQ12" s="81">
        <f>FirstEnergy!AY202</f>
        <v>22071.137707999998</v>
      </c>
      <c r="DR12" s="81">
        <f>FirstEnergy!AZ202</f>
        <v>22828.137707999998</v>
      </c>
      <c r="DS12" s="81">
        <f>FirstEnergy!BA202</f>
        <v>22503.137707999998</v>
      </c>
      <c r="DT12" s="325">
        <f>FirstEnergy!BB202</f>
        <v>22503.137707999998</v>
      </c>
      <c r="DU12" s="81">
        <f>FirstEnergy!BC202</f>
        <v>21903.137707999998</v>
      </c>
      <c r="DV12" s="81">
        <f>FirstEnergy!BD202</f>
        <v>23587.997707999999</v>
      </c>
      <c r="DW12" s="81">
        <f>FirstEnergy!BE202</f>
        <v>21927.035491999999</v>
      </c>
      <c r="DX12" s="81">
        <f>FirstEnergy!BF202</f>
        <v>21769.542492</v>
      </c>
      <c r="DY12" s="325">
        <f>FirstEnergy!BG202</f>
        <v>21769.542492</v>
      </c>
      <c r="DZ12" s="81">
        <f>FirstEnergy!BH202</f>
        <v>21416.584439000002</v>
      </c>
      <c r="EA12" s="81">
        <f>FirstEnergy!BI202</f>
        <v>22866.584439000002</v>
      </c>
      <c r="EB12" s="81">
        <f>FirstEnergy!BJ202</f>
        <v>22939.584439000002</v>
      </c>
      <c r="EC12" s="81">
        <f>FirstEnergy!BK202</f>
        <v>22939.584439000002</v>
      </c>
      <c r="ED12" s="325">
        <f>FirstEnergy!BL202</f>
        <v>22939.584439000002</v>
      </c>
      <c r="EE12" s="81">
        <f>FirstEnergy!BM202</f>
        <v>22939.584439000002</v>
      </c>
      <c r="EF12" s="81">
        <f>FirstEnergy!BN202</f>
        <v>23488.445439000003</v>
      </c>
      <c r="EG12" s="81">
        <f>FirstEnergy!BO202</f>
        <v>23656.140439000003</v>
      </c>
      <c r="EH12" s="81">
        <f>FirstEnergy!BP202</f>
        <v>23656.140439000003</v>
      </c>
      <c r="EI12" s="325">
        <f>FirstEnergy!BQ202</f>
        <v>23656.140439000003</v>
      </c>
    </row>
    <row r="13" spans="1:139" ht="12.75" customHeight="1">
      <c r="A13" s="35"/>
      <c r="B13" s="38"/>
      <c r="C13" s="162" t="s">
        <v>883</v>
      </c>
      <c r="D13" s="162"/>
      <c r="I13" s="179">
        <f>FirstEnergy!I78</f>
        <v>1.3223529411764705</v>
      </c>
      <c r="J13" s="29"/>
      <c r="K13" s="29"/>
      <c r="L13" s="29"/>
      <c r="M13" s="29"/>
      <c r="N13" s="179">
        <f>FirstEnergy!N78</f>
        <v>-0.43659016393442629</v>
      </c>
      <c r="O13" s="29"/>
      <c r="P13" s="29"/>
      <c r="Q13" s="29"/>
      <c r="R13" s="29"/>
      <c r="S13" s="179">
        <f>FirstEnergy!S78</f>
        <v>-0.20553615960099741</v>
      </c>
      <c r="T13" s="29"/>
      <c r="U13" s="29"/>
      <c r="V13" s="29"/>
      <c r="W13" s="29"/>
      <c r="X13" s="179">
        <f>FirstEnergy!X78</f>
        <v>-0.42720763723150357</v>
      </c>
      <c r="Y13" s="29"/>
      <c r="Z13" s="29"/>
      <c r="AA13" s="29"/>
      <c r="AB13" s="29"/>
      <c r="AC13" s="179">
        <f>FirstEnergy!AC78</f>
        <v>-0.25536992840095463</v>
      </c>
      <c r="AD13" s="29"/>
      <c r="AE13" s="29"/>
      <c r="AF13" s="29"/>
      <c r="AG13" s="29"/>
      <c r="AH13" s="179">
        <f>FirstEnergy!AH78</f>
        <v>-0.14014251781472684</v>
      </c>
      <c r="AI13" s="29"/>
      <c r="AJ13" s="29"/>
      <c r="AK13" s="29"/>
      <c r="AL13" s="29"/>
      <c r="AM13" s="179">
        <f>FirstEnergy!AM78</f>
        <v>-0.43160377358490565</v>
      </c>
      <c r="AN13" s="29"/>
      <c r="AO13" s="29"/>
      <c r="AP13" s="29"/>
      <c r="AQ13" s="29"/>
      <c r="AR13" s="179">
        <f>FirstEnergy!AR78</f>
        <v>-0.56103286384976525</v>
      </c>
      <c r="AS13" s="29"/>
      <c r="AT13" s="29"/>
      <c r="AU13" s="29"/>
      <c r="AV13" s="29"/>
      <c r="AW13" s="179">
        <f>FirstEnergy!AW78</f>
        <v>-0.53153153153153154</v>
      </c>
      <c r="AX13" s="29"/>
      <c r="AY13" s="29"/>
      <c r="AZ13" s="29"/>
      <c r="BA13" s="29"/>
      <c r="BB13" s="179">
        <f>FirstEnergy!BB78</f>
        <v>-0.63476246628274169</v>
      </c>
      <c r="BC13" s="29"/>
      <c r="BD13" s="29"/>
      <c r="BE13" s="29"/>
      <c r="BF13" s="29"/>
      <c r="BG13" s="179">
        <f>FirstEnergy!BG78</f>
        <v>-0.55788006653901279</v>
      </c>
      <c r="BH13" s="29"/>
      <c r="BI13" s="29"/>
      <c r="BJ13" s="29"/>
      <c r="BK13" s="29"/>
      <c r="BL13" s="179">
        <f>FirstEnergy!BL78</f>
        <v>-0.47348257593268367</v>
      </c>
      <c r="BM13" s="29"/>
      <c r="BN13" s="29"/>
      <c r="BO13" s="29"/>
      <c r="BP13" s="29"/>
      <c r="BQ13" s="179">
        <f>FirstEnergy!BQ78</f>
        <v>-0.47747454956192842</v>
      </c>
      <c r="BR13" s="162"/>
      <c r="BS13" s="162"/>
      <c r="BT13" s="162"/>
      <c r="BU13" s="13" t="s">
        <v>32</v>
      </c>
      <c r="BV13" s="162"/>
      <c r="CA13" s="60">
        <f>+SUM(CA11:CA12)</f>
        <v>14923</v>
      </c>
      <c r="CB13" s="81">
        <f t="shared" ref="CB13:DE13" si="0">+SUM(CB11:CB12)</f>
        <v>14516</v>
      </c>
      <c r="CC13" s="81">
        <f t="shared" si="0"/>
        <v>14895</v>
      </c>
      <c r="CD13" s="81">
        <f t="shared" si="0"/>
        <v>14694</v>
      </c>
      <c r="CE13" s="81">
        <f t="shared" si="0"/>
        <v>14765</v>
      </c>
      <c r="CF13" s="60">
        <f t="shared" si="0"/>
        <v>14765</v>
      </c>
      <c r="CG13" s="81">
        <f t="shared" si="0"/>
        <v>19406</v>
      </c>
      <c r="CH13" s="81">
        <f t="shared" si="0"/>
        <v>19205</v>
      </c>
      <c r="CI13" s="81">
        <f t="shared" si="0"/>
        <v>17663</v>
      </c>
      <c r="CJ13" s="81">
        <f t="shared" si="0"/>
        <v>17337</v>
      </c>
      <c r="CK13" s="60">
        <f t="shared" si="0"/>
        <v>17337</v>
      </c>
      <c r="CL13" s="81">
        <f t="shared" si="0"/>
        <v>18374</v>
      </c>
      <c r="CM13" s="81">
        <f t="shared" si="0"/>
        <v>18626</v>
      </c>
      <c r="CN13" s="81">
        <f t="shared" si="0"/>
        <v>18704</v>
      </c>
      <c r="CO13" s="81">
        <f t="shared" si="0"/>
        <v>19147</v>
      </c>
      <c r="CP13" s="60">
        <f t="shared" si="0"/>
        <v>19147</v>
      </c>
      <c r="CQ13" s="81">
        <f t="shared" si="0"/>
        <v>20260</v>
      </c>
      <c r="CR13" s="81">
        <f t="shared" si="0"/>
        <v>20655</v>
      </c>
      <c r="CS13" s="81">
        <f t="shared" si="0"/>
        <v>20584</v>
      </c>
      <c r="CT13" s="81">
        <f t="shared" si="0"/>
        <v>20650</v>
      </c>
      <c r="CU13" s="60">
        <f t="shared" si="0"/>
        <v>20650</v>
      </c>
      <c r="CV13" s="81">
        <f t="shared" si="0"/>
        <v>21305</v>
      </c>
      <c r="CW13" s="81">
        <f t="shared" si="0"/>
        <v>21754</v>
      </c>
      <c r="CX13" s="81">
        <f t="shared" si="0"/>
        <v>21538</v>
      </c>
      <c r="CY13" s="81">
        <f t="shared" si="0"/>
        <v>21779</v>
      </c>
      <c r="CZ13" s="60">
        <f t="shared" si="0"/>
        <v>21779</v>
      </c>
      <c r="DA13" s="81">
        <f t="shared" si="0"/>
        <v>22476</v>
      </c>
      <c r="DB13" s="81">
        <f t="shared" si="0"/>
        <v>22770</v>
      </c>
      <c r="DC13" s="81">
        <f t="shared" si="0"/>
        <v>22174</v>
      </c>
      <c r="DD13" s="81">
        <f t="shared" si="0"/>
        <v>22066</v>
      </c>
      <c r="DE13" s="60">
        <f t="shared" si="0"/>
        <v>22066</v>
      </c>
      <c r="DF13" s="81">
        <f t="shared" ref="DF13:DT13" si="1">+SUM(DF11:DF12)</f>
        <v>22358</v>
      </c>
      <c r="DG13" s="81">
        <f t="shared" si="1"/>
        <v>22600</v>
      </c>
      <c r="DH13" s="81">
        <f t="shared" si="1"/>
        <v>22723</v>
      </c>
      <c r="DI13" s="81">
        <f t="shared" si="1"/>
        <v>22552</v>
      </c>
      <c r="DJ13" s="60">
        <f t="shared" si="1"/>
        <v>22552</v>
      </c>
      <c r="DK13" s="81">
        <f t="shared" si="1"/>
        <v>22659</v>
      </c>
      <c r="DL13" s="81">
        <f t="shared" si="1"/>
        <v>22822</v>
      </c>
      <c r="DM13" s="81">
        <f t="shared" si="1"/>
        <v>22665</v>
      </c>
      <c r="DN13" s="81">
        <f t="shared" si="1"/>
        <v>22497</v>
      </c>
      <c r="DO13" s="60">
        <f t="shared" si="1"/>
        <v>22497</v>
      </c>
      <c r="DP13" s="81">
        <f t="shared" si="1"/>
        <v>22508.320871849119</v>
      </c>
      <c r="DQ13" s="81">
        <f t="shared" si="1"/>
        <v>23613.860940938288</v>
      </c>
      <c r="DR13" s="81">
        <f t="shared" si="1"/>
        <v>23775.322497126999</v>
      </c>
      <c r="DS13" s="81">
        <f t="shared" si="1"/>
        <v>24050.026955925114</v>
      </c>
      <c r="DT13" s="60">
        <f t="shared" si="1"/>
        <v>24050.026955925114</v>
      </c>
      <c r="DU13" s="81">
        <f t="shared" ref="DU13:ED13" si="2">+SUM(DU11:DU12)</f>
        <v>24331.886482786002</v>
      </c>
      <c r="DV13" s="81">
        <f t="shared" si="2"/>
        <v>24688.344599788546</v>
      </c>
      <c r="DW13" s="81">
        <f t="shared" si="2"/>
        <v>23373.511486573381</v>
      </c>
      <c r="DX13" s="81">
        <f t="shared" si="2"/>
        <v>23610.461805141644</v>
      </c>
      <c r="DY13" s="60">
        <f t="shared" si="2"/>
        <v>23610.461805141644</v>
      </c>
      <c r="DZ13" s="81">
        <f t="shared" si="2"/>
        <v>23847.562012126211</v>
      </c>
      <c r="EA13" s="81">
        <f t="shared" si="2"/>
        <v>24164.238797954215</v>
      </c>
      <c r="EB13" s="81">
        <f t="shared" si="2"/>
        <v>24371.245019043803</v>
      </c>
      <c r="EC13" s="81">
        <f t="shared" si="2"/>
        <v>24650.681090249931</v>
      </c>
      <c r="ED13" s="60">
        <f t="shared" si="2"/>
        <v>24650.681090249931</v>
      </c>
      <c r="EE13" s="81">
        <f t="shared" ref="EE13:EI13" si="3">+SUM(EE11:EE12)</f>
        <v>24820.955196358187</v>
      </c>
      <c r="EF13" s="81">
        <f t="shared" si="3"/>
        <v>25089.800036123099</v>
      </c>
      <c r="EG13" s="81">
        <f t="shared" si="3"/>
        <v>25237.454980403218</v>
      </c>
      <c r="EH13" s="81">
        <f t="shared" si="3"/>
        <v>25426.840664551051</v>
      </c>
      <c r="EI13" s="60">
        <f t="shared" si="3"/>
        <v>25426.840664551051</v>
      </c>
    </row>
    <row r="14" spans="1:139" ht="12.75" customHeight="1">
      <c r="A14" s="35"/>
      <c r="B14" s="162"/>
      <c r="C14" s="209" t="s">
        <v>33</v>
      </c>
      <c r="D14" s="213"/>
      <c r="E14" s="210"/>
      <c r="F14" s="210"/>
      <c r="G14" s="210"/>
      <c r="H14" s="210"/>
      <c r="I14" s="211">
        <f>SUM(I10:I13)</f>
        <v>4.0020915032679731</v>
      </c>
      <c r="J14" s="211"/>
      <c r="K14" s="211"/>
      <c r="L14" s="211"/>
      <c r="M14" s="211"/>
      <c r="N14" s="211">
        <f>SUM(N10:N13)</f>
        <v>3.8880000000000003</v>
      </c>
      <c r="O14" s="211"/>
      <c r="P14" s="211"/>
      <c r="Q14" s="211"/>
      <c r="R14" s="211"/>
      <c r="S14" s="211">
        <f>SUM(S10:S13)</f>
        <v>3.6199002493765593</v>
      </c>
      <c r="T14" s="211"/>
      <c r="U14" s="211"/>
      <c r="V14" s="211"/>
      <c r="W14" s="211"/>
      <c r="X14" s="211">
        <f>SUM(X10:X13)</f>
        <v>3.3221957040572794</v>
      </c>
      <c r="Y14" s="211"/>
      <c r="Z14" s="211"/>
      <c r="AA14" s="211"/>
      <c r="AB14" s="211"/>
      <c r="AC14" s="211">
        <f>SUM(AC10:AC13)</f>
        <v>3.0310262529832932</v>
      </c>
      <c r="AD14" s="211"/>
      <c r="AE14" s="211"/>
      <c r="AF14" s="211"/>
      <c r="AG14" s="211"/>
      <c r="AH14" s="211">
        <f>SUM(AH10:AH13)</f>
        <v>2.5534441805225656</v>
      </c>
      <c r="AI14" s="211"/>
      <c r="AJ14" s="211"/>
      <c r="AK14" s="211"/>
      <c r="AL14" s="211"/>
      <c r="AM14" s="211">
        <f>SUM(AM10:AM13)</f>
        <v>2.6981132075471699</v>
      </c>
      <c r="AN14" s="211"/>
      <c r="AO14" s="211"/>
      <c r="AP14" s="211"/>
      <c r="AQ14" s="211"/>
      <c r="AR14" s="211">
        <f>SUM(AR10:AR13)</f>
        <v>2.6291079812206579</v>
      </c>
      <c r="AS14" s="211"/>
      <c r="AT14" s="211"/>
      <c r="AU14" s="211"/>
      <c r="AV14" s="211"/>
      <c r="AW14" s="211">
        <f>SUM(AW10:AW13)</f>
        <v>3.0765765765765765</v>
      </c>
      <c r="AX14" s="211"/>
      <c r="AY14" s="211"/>
      <c r="AZ14" s="211"/>
      <c r="BA14" s="211"/>
      <c r="BB14" s="211">
        <f>SUM(BB10:BB13)</f>
        <v>2.5859130963383268</v>
      </c>
      <c r="BC14" s="211"/>
      <c r="BD14" s="211"/>
      <c r="BE14" s="211"/>
      <c r="BF14" s="211"/>
      <c r="BG14" s="211">
        <f>SUM(BG10:BG13)</f>
        <v>2.3942056368198159</v>
      </c>
      <c r="BH14" s="211"/>
      <c r="BI14" s="211"/>
      <c r="BJ14" s="211"/>
      <c r="BK14" s="211"/>
      <c r="BL14" s="211">
        <f>SUM(BL10:BL13)</f>
        <v>2.0326370356634955</v>
      </c>
      <c r="BM14" s="211"/>
      <c r="BN14" s="211"/>
      <c r="BO14" s="211"/>
      <c r="BP14" s="211"/>
      <c r="BQ14" s="212">
        <f>SUM(BQ10:BQ13)</f>
        <v>2.3572218514876147</v>
      </c>
      <c r="BR14" s="162"/>
      <c r="BS14" s="162"/>
      <c r="BT14" s="162"/>
      <c r="BU14" s="162"/>
      <c r="BV14" s="162"/>
      <c r="CA14" s="325"/>
      <c r="CB14" s="81"/>
      <c r="CC14" s="81"/>
      <c r="CD14" s="81"/>
      <c r="CE14" s="81"/>
      <c r="CF14" s="325"/>
      <c r="CG14" s="81"/>
      <c r="CH14" s="81"/>
      <c r="CI14" s="81"/>
      <c r="CJ14" s="81"/>
      <c r="CK14" s="325"/>
      <c r="CL14" s="81"/>
      <c r="CM14" s="81"/>
      <c r="CN14" s="81"/>
      <c r="CO14" s="81"/>
      <c r="CP14" s="325"/>
      <c r="CQ14" s="81"/>
      <c r="CR14" s="81"/>
      <c r="CS14" s="81"/>
      <c r="CT14" s="81"/>
      <c r="CU14" s="325"/>
      <c r="CV14" s="81"/>
      <c r="CW14" s="81"/>
      <c r="CX14" s="81"/>
      <c r="CY14" s="81"/>
      <c r="CZ14" s="325"/>
      <c r="DA14" s="81"/>
      <c r="DB14" s="81"/>
      <c r="DC14" s="81"/>
      <c r="DD14" s="81"/>
      <c r="DE14" s="325"/>
      <c r="DF14" s="81"/>
      <c r="DG14" s="81"/>
      <c r="DH14" s="81"/>
      <c r="DI14" s="81"/>
      <c r="DJ14" s="325"/>
      <c r="DK14" s="81"/>
      <c r="DL14" s="81"/>
      <c r="DM14" s="81"/>
      <c r="DN14" s="81"/>
      <c r="DO14" s="325"/>
      <c r="DP14" s="81"/>
      <c r="DQ14" s="81"/>
      <c r="DR14" s="81"/>
      <c r="DS14" s="81"/>
      <c r="DT14" s="325"/>
      <c r="DU14" s="81"/>
      <c r="DV14" s="81"/>
      <c r="DW14" s="81"/>
      <c r="DX14" s="81"/>
      <c r="DY14" s="325"/>
      <c r="DZ14" s="81"/>
      <c r="EA14" s="81"/>
      <c r="EB14" s="81"/>
      <c r="EC14" s="81"/>
      <c r="ED14" s="325"/>
      <c r="EE14" s="81"/>
      <c r="EF14" s="81"/>
      <c r="EG14" s="81"/>
      <c r="EH14" s="81"/>
      <c r="EI14" s="325"/>
    </row>
    <row r="15" spans="1:139" ht="12.75" customHeight="1">
      <c r="A15" s="35"/>
      <c r="B15" s="38"/>
      <c r="C15" s="216" t="s">
        <v>1023</v>
      </c>
      <c r="D15" s="217"/>
      <c r="E15" s="217"/>
      <c r="F15" s="217"/>
      <c r="G15" s="217"/>
      <c r="H15" s="217"/>
      <c r="I15" s="217"/>
      <c r="J15" s="217"/>
      <c r="K15" s="217"/>
      <c r="L15" s="217"/>
      <c r="M15" s="217"/>
      <c r="N15" s="218"/>
      <c r="O15" s="217"/>
      <c r="P15" s="217"/>
      <c r="Q15" s="217"/>
      <c r="R15" s="217"/>
      <c r="S15" s="220"/>
      <c r="T15" s="217"/>
      <c r="U15" s="217"/>
      <c r="V15" s="217"/>
      <c r="W15" s="217"/>
      <c r="X15" s="218">
        <f>(1+(BQ14-AM14)/AM14)^(1/6)-1</f>
        <v>-2.2260002426944814E-2</v>
      </c>
      <c r="Y15" s="217"/>
      <c r="Z15" s="217"/>
      <c r="AA15" s="217"/>
      <c r="AB15" s="217"/>
      <c r="AC15" s="218"/>
      <c r="AD15" s="217"/>
      <c r="AE15" s="217"/>
      <c r="AF15" s="217"/>
      <c r="AG15" s="217"/>
      <c r="AH15" s="218"/>
      <c r="AI15" s="217"/>
      <c r="AJ15" s="217"/>
      <c r="AK15" s="217"/>
      <c r="AL15" s="217"/>
      <c r="AM15" s="218"/>
      <c r="AN15" s="217"/>
      <c r="AO15" s="217"/>
      <c r="AP15" s="217"/>
      <c r="AQ15" s="217"/>
      <c r="AR15" s="218"/>
      <c r="AS15" s="217"/>
      <c r="AT15" s="217"/>
      <c r="AU15" s="217"/>
      <c r="AV15" s="217"/>
      <c r="AW15" s="218"/>
      <c r="AX15" s="217"/>
      <c r="AY15" s="217"/>
      <c r="AZ15" s="217"/>
      <c r="BA15" s="217"/>
      <c r="BB15" s="218"/>
      <c r="BC15" s="218"/>
      <c r="BD15" s="218"/>
      <c r="BE15" s="218"/>
      <c r="BF15" s="218"/>
      <c r="BG15" s="218"/>
      <c r="BH15" s="217"/>
      <c r="BI15" s="217"/>
      <c r="BJ15" s="217"/>
      <c r="BK15" s="217"/>
      <c r="BL15" s="218"/>
      <c r="BM15" s="217"/>
      <c r="BN15" s="217"/>
      <c r="BO15" s="217"/>
      <c r="BP15" s="217"/>
      <c r="BQ15" s="219"/>
      <c r="BR15" s="162"/>
      <c r="BS15" s="162"/>
      <c r="BT15" s="162"/>
      <c r="BU15" s="12" t="s">
        <v>34</v>
      </c>
      <c r="BV15" s="12"/>
      <c r="CA15" s="325">
        <f>FirstEnergy!I206</f>
        <v>0</v>
      </c>
      <c r="CB15" s="81">
        <f>FirstEnergy!J206</f>
        <v>0</v>
      </c>
      <c r="CC15" s="81">
        <f>FirstEnergy!K206</f>
        <v>0</v>
      </c>
      <c r="CD15" s="81">
        <f>FirstEnergy!L206</f>
        <v>0</v>
      </c>
      <c r="CE15" s="81">
        <f>FirstEnergy!M206</f>
        <v>0</v>
      </c>
      <c r="CF15" s="325">
        <f>FirstEnergy!N206</f>
        <v>0</v>
      </c>
      <c r="CG15" s="81">
        <f>FirstEnergy!O206</f>
        <v>0</v>
      </c>
      <c r="CH15" s="81">
        <f>FirstEnergy!P206</f>
        <v>0</v>
      </c>
      <c r="CI15" s="81">
        <f>FirstEnergy!Q206</f>
        <v>0</v>
      </c>
      <c r="CJ15" s="81">
        <f>FirstEnergy!R206</f>
        <v>0</v>
      </c>
      <c r="CK15" s="325">
        <f>FirstEnergy!S206</f>
        <v>0</v>
      </c>
      <c r="CL15" s="81">
        <f>FirstEnergy!T206</f>
        <v>0</v>
      </c>
      <c r="CM15" s="81">
        <f>FirstEnergy!U206</f>
        <v>0</v>
      </c>
      <c r="CN15" s="81">
        <f>FirstEnergy!V206</f>
        <v>0</v>
      </c>
      <c r="CO15" s="81">
        <f>FirstEnergy!W206</f>
        <v>0</v>
      </c>
      <c r="CP15" s="325">
        <f>FirstEnergy!X206</f>
        <v>0</v>
      </c>
      <c r="CQ15" s="81">
        <f>FirstEnergy!Y206</f>
        <v>0</v>
      </c>
      <c r="CR15" s="81">
        <f>FirstEnergy!Z206</f>
        <v>0</v>
      </c>
      <c r="CS15" s="81">
        <f>FirstEnergy!AA206</f>
        <v>0</v>
      </c>
      <c r="CT15" s="81">
        <f>FirstEnergy!AB206</f>
        <v>0</v>
      </c>
      <c r="CU15" s="325">
        <f>FirstEnergy!AC206</f>
        <v>0</v>
      </c>
      <c r="CV15" s="81">
        <f>FirstEnergy!AD206</f>
        <v>0</v>
      </c>
      <c r="CW15" s="81">
        <f>FirstEnergy!AE206</f>
        <v>0</v>
      </c>
      <c r="CX15" s="81">
        <f>FirstEnergy!AF206</f>
        <v>0</v>
      </c>
      <c r="CY15" s="81">
        <f>FirstEnergy!AG206</f>
        <v>0</v>
      </c>
      <c r="CZ15" s="325">
        <f>FirstEnergy!AH206</f>
        <v>0</v>
      </c>
      <c r="DA15" s="81">
        <f>FirstEnergy!AI206</f>
        <v>0</v>
      </c>
      <c r="DB15" s="81">
        <f>FirstEnergy!AJ206</f>
        <v>0</v>
      </c>
      <c r="DC15" s="81">
        <f>FirstEnergy!AK206</f>
        <v>0</v>
      </c>
      <c r="DD15" s="81">
        <f>FirstEnergy!AL206</f>
        <v>0</v>
      </c>
      <c r="DE15" s="325">
        <f>FirstEnergy!AM206</f>
        <v>0</v>
      </c>
      <c r="DF15" s="81">
        <f>FirstEnergy!AN206</f>
        <v>0</v>
      </c>
      <c r="DG15" s="81">
        <f>FirstEnergy!AO206</f>
        <v>0</v>
      </c>
      <c r="DH15" s="81">
        <f>FirstEnergy!AP206</f>
        <v>0</v>
      </c>
      <c r="DI15" s="81">
        <f>FirstEnergy!AQ206</f>
        <v>0</v>
      </c>
      <c r="DJ15" s="325">
        <f>FirstEnergy!AR206</f>
        <v>0</v>
      </c>
      <c r="DK15" s="81">
        <f>FirstEnergy!AS206</f>
        <v>0</v>
      </c>
      <c r="DL15" s="81">
        <f>FirstEnergy!AT206</f>
        <v>0</v>
      </c>
      <c r="DM15" s="81">
        <f>FirstEnergy!AU206</f>
        <v>0</v>
      </c>
      <c r="DN15" s="81">
        <f>FirstEnergy!AV206</f>
        <v>0</v>
      </c>
      <c r="DO15" s="325">
        <f>FirstEnergy!AW206</f>
        <v>0</v>
      </c>
      <c r="DP15" s="81">
        <f>FirstEnergy!AX206</f>
        <v>0</v>
      </c>
      <c r="DQ15" s="81">
        <f>FirstEnergy!AY206</f>
        <v>0</v>
      </c>
      <c r="DR15" s="81">
        <f>FirstEnergy!AZ206</f>
        <v>0</v>
      </c>
      <c r="DS15" s="81">
        <f>FirstEnergy!BA206</f>
        <v>0</v>
      </c>
      <c r="DT15" s="325">
        <f>FirstEnergy!BB206</f>
        <v>0</v>
      </c>
      <c r="DU15" s="81">
        <f>FirstEnergy!BC206</f>
        <v>0</v>
      </c>
      <c r="DV15" s="81">
        <f>FirstEnergy!BD206</f>
        <v>0</v>
      </c>
      <c r="DW15" s="81">
        <f>FirstEnergy!BE206</f>
        <v>0</v>
      </c>
      <c r="DX15" s="81">
        <f>FirstEnergy!BF206</f>
        <v>0</v>
      </c>
      <c r="DY15" s="325">
        <f>FirstEnergy!BG206</f>
        <v>0</v>
      </c>
      <c r="DZ15" s="81">
        <f>FirstEnergy!BH206</f>
        <v>0</v>
      </c>
      <c r="EA15" s="81">
        <f>FirstEnergy!BI206</f>
        <v>0</v>
      </c>
      <c r="EB15" s="81">
        <f>FirstEnergy!BJ206</f>
        <v>0</v>
      </c>
      <c r="EC15" s="81">
        <f>FirstEnergy!BK206</f>
        <v>0</v>
      </c>
      <c r="ED15" s="325">
        <f>FirstEnergy!BL206</f>
        <v>0</v>
      </c>
      <c r="EE15" s="81">
        <f>FirstEnergy!BM206</f>
        <v>0</v>
      </c>
      <c r="EF15" s="81">
        <f>FirstEnergy!BN206</f>
        <v>0</v>
      </c>
      <c r="EG15" s="81">
        <f>FirstEnergy!BO206</f>
        <v>0</v>
      </c>
      <c r="EH15" s="81">
        <f>FirstEnergy!BP206</f>
        <v>0</v>
      </c>
      <c r="EI15" s="325">
        <f>FirstEnergy!BQ206</f>
        <v>0</v>
      </c>
    </row>
    <row r="16" spans="1:139">
      <c r="A16" s="35"/>
      <c r="B16" s="12"/>
      <c r="BR16" s="162"/>
      <c r="BS16" s="162"/>
      <c r="BT16" s="162"/>
      <c r="BU16" s="13" t="s">
        <v>35</v>
      </c>
      <c r="BV16" s="44"/>
      <c r="BW16" s="13"/>
      <c r="BX16" s="13"/>
      <c r="BY16" s="13"/>
      <c r="BZ16" s="13"/>
      <c r="CA16" s="60">
        <f>FirstEnergy!I209</f>
        <v>8559</v>
      </c>
      <c r="CB16" s="60">
        <f>FirstEnergy!J209</f>
        <v>8546</v>
      </c>
      <c r="CC16" s="60">
        <f>FirstEnergy!K209</f>
        <v>8839</v>
      </c>
      <c r="CD16" s="60">
        <f>FirstEnergy!L209</f>
        <v>8717</v>
      </c>
      <c r="CE16" s="60">
        <f>FirstEnergy!M209</f>
        <v>8984</v>
      </c>
      <c r="CF16" s="60">
        <f>FirstEnergy!N209</f>
        <v>8984</v>
      </c>
      <c r="CG16" s="60">
        <f>FirstEnergy!O209</f>
        <v>12729</v>
      </c>
      <c r="CH16" s="60">
        <f>FirstEnergy!P209</f>
        <v>12998</v>
      </c>
      <c r="CI16" s="60">
        <f>FirstEnergy!Q209</f>
        <v>13046</v>
      </c>
      <c r="CJ16" s="60">
        <f>FirstEnergy!R209</f>
        <v>13280</v>
      </c>
      <c r="CK16" s="60">
        <f>FirstEnergy!S209</f>
        <v>13280</v>
      </c>
      <c r="CL16" s="60">
        <f>FirstEnergy!T209</f>
        <v>13323</v>
      </c>
      <c r="CM16" s="60">
        <f>FirstEnergy!U209</f>
        <v>13497</v>
      </c>
      <c r="CN16" s="60">
        <f>FirstEnergy!V209</f>
        <v>13433</v>
      </c>
      <c r="CO16" s="60">
        <f>FirstEnergy!W209</f>
        <v>13084</v>
      </c>
      <c r="CP16" s="60">
        <f>FirstEnergy!X209</f>
        <v>13084</v>
      </c>
      <c r="CQ16" s="60">
        <f>FirstEnergy!Y209</f>
        <v>12996</v>
      </c>
      <c r="CR16" s="60">
        <f>FirstEnergy!Z209</f>
        <v>12799</v>
      </c>
      <c r="CS16" s="60">
        <f>FirstEnergy!AA209</f>
        <v>12544</v>
      </c>
      <c r="CT16" s="60">
        <f>FirstEnergy!AB209</f>
        <v>12692</v>
      </c>
      <c r="CU16" s="60">
        <f>FirstEnergy!AC209</f>
        <v>12692</v>
      </c>
      <c r="CV16" s="60">
        <f>FirstEnergy!AD209</f>
        <v>12602</v>
      </c>
      <c r="CW16" s="60">
        <f>FirstEnergy!AE209</f>
        <v>12683</v>
      </c>
      <c r="CX16" s="60">
        <f>FirstEnergy!AF209</f>
        <v>12702</v>
      </c>
      <c r="CY16" s="60">
        <f>FirstEnergy!AG209</f>
        <v>12420</v>
      </c>
      <c r="CZ16" s="60">
        <f>FirstEnergy!AH209</f>
        <v>12420</v>
      </c>
      <c r="DA16" s="60">
        <f>FirstEnergy!AI209</f>
        <v>12348</v>
      </c>
      <c r="DB16" s="60">
        <f>FirstEnergy!AJ209</f>
        <v>12530</v>
      </c>
      <c r="DC16" s="60">
        <f>FirstEnergy!AK209</f>
        <v>12627</v>
      </c>
      <c r="DD16" s="60">
        <f>FirstEnergy!AL209</f>
        <v>12421</v>
      </c>
      <c r="DE16" s="60">
        <f>FirstEnergy!AM209</f>
        <v>12421</v>
      </c>
      <c r="DF16" s="60">
        <f>FirstEnergy!AN209</f>
        <v>12463</v>
      </c>
      <c r="DG16" s="60">
        <f>FirstEnergy!AO209</f>
        <v>11407</v>
      </c>
      <c r="DH16" s="60">
        <f>FirstEnergy!AP209</f>
        <v>11503</v>
      </c>
      <c r="DI16" s="60">
        <f>FirstEnergy!AQ209</f>
        <v>6241</v>
      </c>
      <c r="DJ16" s="60">
        <f>FirstEnergy!AR209</f>
        <v>6241</v>
      </c>
      <c r="DK16" s="60">
        <f>FirstEnergy!AS209</f>
        <v>6139</v>
      </c>
      <c r="DL16" s="60">
        <f>FirstEnergy!AT209</f>
        <v>6320</v>
      </c>
      <c r="DM16" s="60">
        <f>FirstEnergy!AU209</f>
        <v>6406</v>
      </c>
      <c r="DN16" s="60">
        <f>FirstEnergy!AV209</f>
        <v>3925</v>
      </c>
      <c r="DO16" s="60">
        <f>FirstEnergy!AW209</f>
        <v>3925</v>
      </c>
      <c r="DP16" s="60">
        <f>FirstEnergy!AX209</f>
        <v>4966.0278965831521</v>
      </c>
      <c r="DQ16" s="60">
        <f>FirstEnergy!AY209</f>
        <v>5042.4333205929197</v>
      </c>
      <c r="DR16" s="60">
        <f>FirstEnergy!AZ209</f>
        <v>5315.5437941863138</v>
      </c>
      <c r="DS16" s="60">
        <f>FirstEnergy!BA209</f>
        <v>5416.066983475569</v>
      </c>
      <c r="DT16" s="60">
        <f>FirstEnergy!BB209</f>
        <v>5416.066983475569</v>
      </c>
      <c r="DU16" s="60">
        <f>FirstEnergy!BC209</f>
        <v>5567.8845176511022</v>
      </c>
      <c r="DV16" s="60">
        <f>FirstEnergy!BD209</f>
        <v>5638.8151231914517</v>
      </c>
      <c r="DW16" s="60">
        <f>FirstEnergy!BE209</f>
        <v>7430.7756165199098</v>
      </c>
      <c r="DX16" s="60">
        <f>FirstEnergy!BF209</f>
        <v>7611.7176702956976</v>
      </c>
      <c r="DY16" s="60">
        <f>FirstEnergy!BG209</f>
        <v>7611.7176702956976</v>
      </c>
      <c r="DZ16" s="60">
        <f>FirstEnergy!BH209</f>
        <v>7747.6918540971019</v>
      </c>
      <c r="EA16" s="60">
        <f>FirstEnergy!BI209</f>
        <v>7797.9052008163835</v>
      </c>
      <c r="EB16" s="60">
        <f>FirstEnergy!BJ209</f>
        <v>7954.6293001330778</v>
      </c>
      <c r="EC16" s="60">
        <f>FirstEnergy!BK209</f>
        <v>8032.7875843605243</v>
      </c>
      <c r="ED16" s="60">
        <f>FirstEnergy!BL209</f>
        <v>8032.7875843605243</v>
      </c>
      <c r="EE16" s="60">
        <f>FirstEnergy!BM209</f>
        <v>8210.5809501555286</v>
      </c>
      <c r="EF16" s="60">
        <f>FirstEnergy!BN209</f>
        <v>8283.7135732051374</v>
      </c>
      <c r="EG16" s="60">
        <f>FirstEnergy!BO209</f>
        <v>8474.9682196443009</v>
      </c>
      <c r="EH16" s="60">
        <f>FirstEnergy!BP209</f>
        <v>8618.4458487576758</v>
      </c>
      <c r="EI16" s="60">
        <f>FirstEnergy!BQ209</f>
        <v>8618.4458487576758</v>
      </c>
    </row>
    <row r="17" spans="1:139">
      <c r="A17" s="35"/>
      <c r="B17" s="38"/>
      <c r="C17" s="13" t="s">
        <v>36</v>
      </c>
      <c r="D17" s="183"/>
      <c r="E17" s="33"/>
      <c r="F17" s="33"/>
      <c r="G17" s="33"/>
      <c r="H17" s="33"/>
      <c r="I17" s="183"/>
      <c r="J17" s="33"/>
      <c r="K17" s="33"/>
      <c r="L17" s="33"/>
      <c r="M17" s="33"/>
      <c r="N17" s="183"/>
      <c r="O17" s="33"/>
      <c r="P17" s="33"/>
      <c r="Q17" s="33"/>
      <c r="R17" s="33"/>
      <c r="S17" s="183"/>
      <c r="T17" s="33"/>
      <c r="U17" s="33"/>
      <c r="V17" s="33"/>
      <c r="W17" s="33"/>
      <c r="X17" s="183"/>
      <c r="Y17" s="33"/>
      <c r="Z17" s="33"/>
      <c r="AA17" s="33"/>
      <c r="AB17" s="33"/>
      <c r="AC17" s="183"/>
      <c r="AD17" s="33"/>
      <c r="AE17" s="33"/>
      <c r="AF17" s="33"/>
      <c r="AG17" s="33"/>
      <c r="AH17" s="183"/>
      <c r="AI17" s="33"/>
      <c r="AJ17" s="33"/>
      <c r="AK17" s="33"/>
      <c r="AL17" s="33"/>
      <c r="AM17" s="183"/>
      <c r="AN17" s="33"/>
      <c r="AO17" s="33"/>
      <c r="AP17" s="33"/>
      <c r="AQ17" s="33"/>
      <c r="AR17" s="183"/>
      <c r="AS17" s="33"/>
      <c r="AT17" s="33"/>
      <c r="AU17" s="33"/>
      <c r="AV17" s="33"/>
      <c r="AW17" s="183"/>
      <c r="AX17" s="33"/>
      <c r="AY17" s="33"/>
      <c r="AZ17" s="33"/>
      <c r="BA17" s="33"/>
      <c r="BB17" s="183"/>
      <c r="BC17" s="33"/>
      <c r="BD17" s="33"/>
      <c r="BE17" s="33"/>
      <c r="BF17" s="33"/>
      <c r="BG17" s="183"/>
      <c r="BH17" s="33"/>
      <c r="BI17" s="33"/>
      <c r="BJ17" s="33"/>
      <c r="BK17" s="33"/>
      <c r="BL17" s="183"/>
      <c r="BM17" s="33"/>
      <c r="BN17" s="33"/>
      <c r="BO17" s="33"/>
      <c r="BP17" s="33"/>
      <c r="BQ17" s="183"/>
      <c r="BR17" s="162"/>
      <c r="BS17" s="162"/>
      <c r="BT17" s="162"/>
      <c r="BU17" s="162"/>
      <c r="BV17" s="162"/>
      <c r="CA17" s="325"/>
      <c r="CB17" s="81"/>
      <c r="CC17" s="81"/>
      <c r="CD17" s="81"/>
      <c r="CE17" s="81"/>
      <c r="CF17" s="325"/>
      <c r="CG17" s="81"/>
      <c r="CH17" s="81"/>
      <c r="CI17" s="81"/>
      <c r="CJ17" s="81"/>
      <c r="CK17" s="325"/>
      <c r="CL17" s="81"/>
      <c r="CM17" s="81"/>
      <c r="CN17" s="81"/>
      <c r="CO17" s="81"/>
      <c r="CP17" s="325"/>
      <c r="CQ17" s="81"/>
      <c r="CR17" s="81"/>
      <c r="CS17" s="81"/>
      <c r="CT17" s="81"/>
      <c r="CU17" s="325"/>
      <c r="CV17" s="81"/>
      <c r="CW17" s="81"/>
      <c r="CX17" s="81"/>
      <c r="CY17" s="81"/>
      <c r="CZ17" s="325"/>
      <c r="DA17" s="81"/>
      <c r="DB17" s="81"/>
      <c r="DC17" s="81"/>
      <c r="DD17" s="81"/>
      <c r="DE17" s="325"/>
      <c r="DF17" s="81"/>
      <c r="DG17" s="81"/>
      <c r="DH17" s="81"/>
      <c r="DI17" s="81"/>
      <c r="DJ17" s="325"/>
      <c r="DK17" s="81"/>
      <c r="DL17" s="81"/>
      <c r="DM17" s="81"/>
      <c r="DN17" s="81"/>
      <c r="DO17" s="325"/>
      <c r="DP17" s="81"/>
      <c r="DQ17" s="81"/>
      <c r="DR17" s="81"/>
      <c r="DS17" s="81"/>
      <c r="DT17" s="325"/>
      <c r="DU17" s="81"/>
      <c r="DV17" s="81"/>
      <c r="DW17" s="81"/>
      <c r="DX17" s="81"/>
      <c r="DY17" s="325"/>
      <c r="DZ17" s="81"/>
      <c r="EA17" s="81"/>
      <c r="EB17" s="81"/>
      <c r="EC17" s="81"/>
      <c r="ED17" s="325"/>
      <c r="EE17" s="81"/>
      <c r="EF17" s="81"/>
      <c r="EG17" s="81"/>
      <c r="EH17" s="81"/>
      <c r="EI17" s="325"/>
    </row>
    <row r="18" spans="1:139">
      <c r="A18" s="35"/>
      <c r="B18" s="38"/>
      <c r="C18" s="12" t="s">
        <v>874</v>
      </c>
      <c r="D18" s="162"/>
      <c r="E18" s="26"/>
      <c r="F18" s="26"/>
      <c r="G18" s="26"/>
      <c r="H18" s="26"/>
      <c r="I18" s="185">
        <f>(I10+I12)/I14</f>
        <v>0.30539587143977015</v>
      </c>
      <c r="J18" s="26"/>
      <c r="K18" s="26"/>
      <c r="L18" s="26"/>
      <c r="M18" s="26"/>
      <c r="N18" s="185">
        <f>(N10+N12)/N14</f>
        <v>0.63752276867030955</v>
      </c>
      <c r="O18" s="26"/>
      <c r="P18" s="26"/>
      <c r="Q18" s="26"/>
      <c r="R18" s="26"/>
      <c r="S18" s="185">
        <f>(S10+S12)/S14</f>
        <v>0.68408217252924386</v>
      </c>
      <c r="T18" s="26"/>
      <c r="U18" s="26"/>
      <c r="V18" s="26"/>
      <c r="W18" s="26"/>
      <c r="X18" s="185">
        <f>(X10+X12)/X14</f>
        <v>0.7852011494252874</v>
      </c>
      <c r="Y18" s="26"/>
      <c r="Z18" s="26"/>
      <c r="AA18" s="26"/>
      <c r="AB18" s="26"/>
      <c r="AC18" s="185">
        <f>(AC10+AC12)/AC14</f>
        <v>0.84251968503937014</v>
      </c>
      <c r="AD18" s="26"/>
      <c r="AE18" s="26"/>
      <c r="AF18" s="26"/>
      <c r="AG18" s="26"/>
      <c r="AH18" s="185">
        <f>(AH10+AH12)/AH14</f>
        <v>0.96279069767441849</v>
      </c>
      <c r="AI18" s="26"/>
      <c r="AJ18" s="26"/>
      <c r="AK18" s="26"/>
      <c r="AL18" s="26"/>
      <c r="AM18" s="185">
        <f>(AM10+AM12)/AM14</f>
        <v>0.9326923076923076</v>
      </c>
      <c r="AN18" s="26"/>
      <c r="AO18" s="26"/>
      <c r="AP18" s="26"/>
      <c r="AQ18" s="26"/>
      <c r="AR18" s="185">
        <f>(AR10+AR12)/AR14</f>
        <v>0.9848214285714284</v>
      </c>
      <c r="AS18" s="26"/>
      <c r="AT18" s="26"/>
      <c r="AU18" s="26"/>
      <c r="AV18" s="26"/>
      <c r="AW18" s="185">
        <f>(AW10+AW12)/AW14</f>
        <v>1.0226939970717424</v>
      </c>
      <c r="AX18" s="26"/>
      <c r="AY18" s="26"/>
      <c r="AZ18" s="26"/>
      <c r="BA18" s="26"/>
      <c r="BB18" s="185">
        <f>(BB10+BB12)/BB14</f>
        <v>1.2957079334754829</v>
      </c>
      <c r="BC18" s="26"/>
      <c r="BD18" s="26"/>
      <c r="BE18" s="26"/>
      <c r="BF18" s="26"/>
      <c r="BG18" s="185">
        <f>(BG10+BG12)/BG14</f>
        <v>1.3913331862111999</v>
      </c>
      <c r="BH18" s="26"/>
      <c r="BI18" s="26"/>
      <c r="BJ18" s="26"/>
      <c r="BK18" s="26"/>
      <c r="BL18" s="185">
        <f>(BL10+BL12)/BL14</f>
        <v>1.4429069262961913</v>
      </c>
      <c r="BM18" s="26"/>
      <c r="BN18" s="26"/>
      <c r="BO18" s="26"/>
      <c r="BP18" s="26"/>
      <c r="BQ18" s="185">
        <f>(BQ10+BQ12)/BQ14</f>
        <v>1.3058706591023523</v>
      </c>
      <c r="BR18" s="162"/>
      <c r="BS18" s="162"/>
      <c r="BT18" s="162"/>
      <c r="BU18" s="13" t="s">
        <v>38</v>
      </c>
      <c r="BV18" s="41"/>
      <c r="BW18" s="12"/>
      <c r="CA18" s="60">
        <f>SUM(CA13,CA15,CA16)</f>
        <v>23482</v>
      </c>
      <c r="CB18" s="173">
        <f t="shared" ref="CB18:DE18" si="4">SUM(CB13,CB15,CB16)</f>
        <v>23062</v>
      </c>
      <c r="CC18" s="81">
        <f t="shared" si="4"/>
        <v>23734</v>
      </c>
      <c r="CD18" s="81">
        <f t="shared" si="4"/>
        <v>23411</v>
      </c>
      <c r="CE18" s="81">
        <f t="shared" si="4"/>
        <v>23749</v>
      </c>
      <c r="CF18" s="60">
        <f t="shared" si="4"/>
        <v>23749</v>
      </c>
      <c r="CG18" s="81">
        <f t="shared" si="4"/>
        <v>32135</v>
      </c>
      <c r="CH18" s="81">
        <f t="shared" si="4"/>
        <v>32203</v>
      </c>
      <c r="CI18" s="81">
        <f t="shared" si="4"/>
        <v>30709</v>
      </c>
      <c r="CJ18" s="81">
        <f t="shared" si="4"/>
        <v>30617</v>
      </c>
      <c r="CK18" s="60">
        <f t="shared" si="4"/>
        <v>30617</v>
      </c>
      <c r="CL18" s="81">
        <f t="shared" si="4"/>
        <v>31697</v>
      </c>
      <c r="CM18" s="81">
        <f t="shared" si="4"/>
        <v>32123</v>
      </c>
      <c r="CN18" s="81">
        <f t="shared" si="4"/>
        <v>32137</v>
      </c>
      <c r="CO18" s="81">
        <f t="shared" si="4"/>
        <v>32231</v>
      </c>
      <c r="CP18" s="60">
        <f t="shared" si="4"/>
        <v>32231</v>
      </c>
      <c r="CQ18" s="81">
        <f t="shared" si="4"/>
        <v>33256</v>
      </c>
      <c r="CR18" s="81">
        <f t="shared" si="4"/>
        <v>33454</v>
      </c>
      <c r="CS18" s="81">
        <f t="shared" si="4"/>
        <v>33128</v>
      </c>
      <c r="CT18" s="81">
        <f t="shared" si="4"/>
        <v>33342</v>
      </c>
      <c r="CU18" s="60">
        <f t="shared" si="4"/>
        <v>33342</v>
      </c>
      <c r="CV18" s="81">
        <f t="shared" si="4"/>
        <v>33907</v>
      </c>
      <c r="CW18" s="81">
        <f t="shared" si="4"/>
        <v>34437</v>
      </c>
      <c r="CX18" s="81">
        <f t="shared" si="4"/>
        <v>34240</v>
      </c>
      <c r="CY18" s="81">
        <f t="shared" si="4"/>
        <v>34199</v>
      </c>
      <c r="CZ18" s="60">
        <f t="shared" si="4"/>
        <v>34199</v>
      </c>
      <c r="DA18" s="81">
        <f t="shared" si="4"/>
        <v>34824</v>
      </c>
      <c r="DB18" s="81">
        <f t="shared" si="4"/>
        <v>35300</v>
      </c>
      <c r="DC18" s="81">
        <f t="shared" si="4"/>
        <v>34801</v>
      </c>
      <c r="DD18" s="81">
        <f t="shared" si="4"/>
        <v>34487</v>
      </c>
      <c r="DE18" s="60">
        <f t="shared" si="4"/>
        <v>34487</v>
      </c>
      <c r="DF18" s="81">
        <f t="shared" ref="DF18:DT18" si="5">SUM(DF13,DF15,DF16)</f>
        <v>34821</v>
      </c>
      <c r="DG18" s="81">
        <f t="shared" si="5"/>
        <v>34007</v>
      </c>
      <c r="DH18" s="81">
        <f t="shared" si="5"/>
        <v>34226</v>
      </c>
      <c r="DI18" s="81">
        <f t="shared" si="5"/>
        <v>28793</v>
      </c>
      <c r="DJ18" s="60">
        <f t="shared" si="5"/>
        <v>28793</v>
      </c>
      <c r="DK18" s="81">
        <f t="shared" si="5"/>
        <v>28798</v>
      </c>
      <c r="DL18" s="81">
        <f t="shared" si="5"/>
        <v>29142</v>
      </c>
      <c r="DM18" s="81">
        <f t="shared" si="5"/>
        <v>29071</v>
      </c>
      <c r="DN18" s="81">
        <f t="shared" si="5"/>
        <v>26422</v>
      </c>
      <c r="DO18" s="60">
        <f t="shared" si="5"/>
        <v>26422</v>
      </c>
      <c r="DP18" s="81">
        <f t="shared" si="5"/>
        <v>27474.348768432272</v>
      </c>
      <c r="DQ18" s="81">
        <f t="shared" si="5"/>
        <v>28656.294261531206</v>
      </c>
      <c r="DR18" s="81">
        <f t="shared" si="5"/>
        <v>29090.866291313312</v>
      </c>
      <c r="DS18" s="81">
        <f t="shared" si="5"/>
        <v>29466.093939400682</v>
      </c>
      <c r="DT18" s="60">
        <f t="shared" si="5"/>
        <v>29466.093939400682</v>
      </c>
      <c r="DU18" s="81">
        <f t="shared" ref="DU18:ED18" si="6">SUM(DU13,DU15,DU16)</f>
        <v>29899.771000437104</v>
      </c>
      <c r="DV18" s="81">
        <f t="shared" si="6"/>
        <v>30327.159722979999</v>
      </c>
      <c r="DW18" s="81">
        <f t="shared" si="6"/>
        <v>30804.287103093291</v>
      </c>
      <c r="DX18" s="81">
        <f t="shared" si="6"/>
        <v>31222.17947543734</v>
      </c>
      <c r="DY18" s="60">
        <f t="shared" si="6"/>
        <v>31222.17947543734</v>
      </c>
      <c r="DZ18" s="81">
        <f t="shared" si="6"/>
        <v>31595.253866223313</v>
      </c>
      <c r="EA18" s="81">
        <f t="shared" si="6"/>
        <v>31962.143998770596</v>
      </c>
      <c r="EB18" s="81">
        <f t="shared" si="6"/>
        <v>32325.874319176881</v>
      </c>
      <c r="EC18" s="81">
        <f t="shared" si="6"/>
        <v>32683.468674610456</v>
      </c>
      <c r="ED18" s="60">
        <f t="shared" si="6"/>
        <v>32683.468674610456</v>
      </c>
      <c r="EE18" s="81">
        <f t="shared" ref="EE18:EI18" si="7">SUM(EE13,EE15,EE16)</f>
        <v>33031.536146513718</v>
      </c>
      <c r="EF18" s="81">
        <f t="shared" si="7"/>
        <v>33373.513609328234</v>
      </c>
      <c r="EG18" s="81">
        <f t="shared" si="7"/>
        <v>33712.423200047517</v>
      </c>
      <c r="EH18" s="81">
        <f t="shared" si="7"/>
        <v>34045.286513308725</v>
      </c>
      <c r="EI18" s="60">
        <f t="shared" si="7"/>
        <v>34045.286513308725</v>
      </c>
    </row>
    <row r="19" spans="1:139">
      <c r="A19" s="27"/>
      <c r="B19" s="38"/>
      <c r="C19" s="162" t="s">
        <v>875</v>
      </c>
      <c r="D19" s="162"/>
      <c r="E19" s="26"/>
      <c r="F19" s="26"/>
      <c r="G19" s="26"/>
      <c r="H19" s="26"/>
      <c r="I19" s="185">
        <f>(I11+I13)/I14</f>
        <v>0.69460412856023013</v>
      </c>
      <c r="J19" s="26"/>
      <c r="K19" s="26"/>
      <c r="L19" s="26"/>
      <c r="M19" s="26"/>
      <c r="N19" s="185">
        <f>(N11+N13)/N14</f>
        <v>0.36247723132969029</v>
      </c>
      <c r="O19" s="26"/>
      <c r="P19" s="26"/>
      <c r="Q19" s="26"/>
      <c r="R19" s="26"/>
      <c r="S19" s="185">
        <f>(S11+S13)/S14</f>
        <v>0.31591782747075597</v>
      </c>
      <c r="T19" s="26"/>
      <c r="U19" s="26"/>
      <c r="V19" s="26"/>
      <c r="W19" s="26"/>
      <c r="X19" s="185">
        <f>(X11+X13)/X14</f>
        <v>0.21479885057471262</v>
      </c>
      <c r="Y19" s="26"/>
      <c r="Z19" s="26"/>
      <c r="AA19" s="26"/>
      <c r="AB19" s="26"/>
      <c r="AC19" s="185">
        <f>(AC11+AC13)/AC14</f>
        <v>0.15748031496062995</v>
      </c>
      <c r="AD19" s="26"/>
      <c r="AE19" s="26"/>
      <c r="AF19" s="26"/>
      <c r="AG19" s="26"/>
      <c r="AH19" s="185">
        <f>(AH11+AH13)/AH14</f>
        <v>3.7209302325581395E-2</v>
      </c>
      <c r="AI19" s="26"/>
      <c r="AJ19" s="26"/>
      <c r="AK19" s="26"/>
      <c r="AL19" s="26"/>
      <c r="AM19" s="185">
        <f>(AM11+AM13)/AM14</f>
        <v>6.7307692307692304E-2</v>
      </c>
      <c r="AN19" s="26"/>
      <c r="AO19" s="26"/>
      <c r="AP19" s="26"/>
      <c r="AQ19" s="26"/>
      <c r="AR19" s="185">
        <f>(AR11+AR13)/AR14</f>
        <v>1.5178571428571434E-2</v>
      </c>
      <c r="AS19" s="26"/>
      <c r="AT19" s="26"/>
      <c r="AU19" s="26"/>
      <c r="AV19" s="26"/>
      <c r="AW19" s="185">
        <f>(AW11+AW13)/AW14</f>
        <v>-2.2693997071742317E-2</v>
      </c>
      <c r="AX19" s="26"/>
      <c r="AY19" s="26"/>
      <c r="AZ19" s="26"/>
      <c r="BA19" s="26"/>
      <c r="BB19" s="185">
        <f>(BB11+BB13)/BB14</f>
        <v>-0.29570793347548274</v>
      </c>
      <c r="BC19" s="26"/>
      <c r="BD19" s="26"/>
      <c r="BE19" s="26"/>
      <c r="BF19" s="26"/>
      <c r="BG19" s="185">
        <f>(BG11+BG13)/BG14</f>
        <v>-0.39133318621119995</v>
      </c>
      <c r="BH19" s="26"/>
      <c r="BI19" s="26"/>
      <c r="BJ19" s="26"/>
      <c r="BK19" s="26"/>
      <c r="BL19" s="185">
        <f>(BL11+BL13)/BL14</f>
        <v>-0.44290692629619161</v>
      </c>
      <c r="BM19" s="26"/>
      <c r="BN19" s="26"/>
      <c r="BO19" s="26"/>
      <c r="BP19" s="26"/>
      <c r="BQ19" s="185">
        <f>(BQ11+BQ13)/BQ14</f>
        <v>-0.30587065910235245</v>
      </c>
      <c r="BR19" s="162"/>
      <c r="BS19" s="162"/>
      <c r="BT19" s="162"/>
      <c r="BU19" s="12"/>
      <c r="BV19" s="12"/>
      <c r="CA19" s="184"/>
      <c r="CF19" s="184"/>
      <c r="CK19" s="184"/>
      <c r="CP19" s="184"/>
      <c r="CU19" s="184"/>
      <c r="CZ19" s="184"/>
      <c r="DE19" s="184"/>
      <c r="DJ19" s="184"/>
      <c r="DO19" s="184"/>
      <c r="DT19" s="184"/>
      <c r="DY19" s="184"/>
      <c r="ED19" s="184"/>
      <c r="EI19" s="184"/>
    </row>
    <row r="20" spans="1:139">
      <c r="A20" s="27"/>
      <c r="B20" s="38"/>
      <c r="C20" s="186" t="s">
        <v>39</v>
      </c>
      <c r="D20" s="162"/>
      <c r="E20" s="26"/>
      <c r="F20" s="26"/>
      <c r="G20" s="26"/>
      <c r="H20" s="26"/>
      <c r="I20" s="185">
        <v>0</v>
      </c>
      <c r="J20" s="26"/>
      <c r="K20" s="26"/>
      <c r="L20" s="26"/>
      <c r="M20" s="26"/>
      <c r="N20" s="185">
        <v>0</v>
      </c>
      <c r="O20" s="26"/>
      <c r="P20" s="26"/>
      <c r="Q20" s="26"/>
      <c r="R20" s="26"/>
      <c r="S20" s="185">
        <v>0</v>
      </c>
      <c r="T20" s="26"/>
      <c r="U20" s="26"/>
      <c r="V20" s="26"/>
      <c r="W20" s="26"/>
      <c r="X20" s="185">
        <v>0</v>
      </c>
      <c r="Y20" s="26"/>
      <c r="Z20" s="26"/>
      <c r="AA20" s="26"/>
      <c r="AB20" s="26"/>
      <c r="AC20" s="185">
        <v>0</v>
      </c>
      <c r="AD20" s="26"/>
      <c r="AE20" s="26"/>
      <c r="AF20" s="26"/>
      <c r="AG20" s="26"/>
      <c r="AH20" s="185">
        <v>0</v>
      </c>
      <c r="AI20" s="26"/>
      <c r="AJ20" s="26"/>
      <c r="AK20" s="26"/>
      <c r="AL20" s="26"/>
      <c r="AM20" s="185">
        <v>0</v>
      </c>
      <c r="AN20" s="26"/>
      <c r="AO20" s="26"/>
      <c r="AP20" s="26"/>
      <c r="AQ20" s="26"/>
      <c r="AR20" s="185">
        <v>0</v>
      </c>
      <c r="AS20" s="26"/>
      <c r="AT20" s="26"/>
      <c r="AU20" s="26"/>
      <c r="AV20" s="26"/>
      <c r="AW20" s="185">
        <v>0</v>
      </c>
      <c r="AX20" s="26"/>
      <c r="AY20" s="26"/>
      <c r="AZ20" s="26"/>
      <c r="BA20" s="26"/>
      <c r="BB20" s="185">
        <v>0</v>
      </c>
      <c r="BC20" s="26"/>
      <c r="BD20" s="26"/>
      <c r="BE20" s="26"/>
      <c r="BF20" s="26"/>
      <c r="BG20" s="185">
        <v>0</v>
      </c>
      <c r="BH20" s="26"/>
      <c r="BI20" s="26"/>
      <c r="BJ20" s="26"/>
      <c r="BK20" s="26"/>
      <c r="BL20" s="185">
        <v>0</v>
      </c>
      <c r="BM20" s="26"/>
      <c r="BN20" s="26"/>
      <c r="BO20" s="26"/>
      <c r="BP20" s="26"/>
      <c r="BQ20" s="185">
        <v>0</v>
      </c>
      <c r="BR20" s="162"/>
      <c r="BS20" s="162"/>
      <c r="BT20" s="162"/>
      <c r="BU20" s="13" t="s">
        <v>40</v>
      </c>
      <c r="BV20" s="12"/>
      <c r="CA20" s="184"/>
      <c r="CF20" s="184"/>
      <c r="CK20" s="184"/>
      <c r="CP20" s="184"/>
      <c r="CU20" s="184"/>
      <c r="CZ20" s="184"/>
      <c r="DE20" s="184"/>
      <c r="DJ20" s="184"/>
      <c r="DO20" s="184"/>
      <c r="DT20" s="184"/>
      <c r="DY20" s="184"/>
      <c r="ED20" s="184"/>
      <c r="EI20" s="184"/>
    </row>
    <row r="21" spans="1:139">
      <c r="A21" s="27"/>
      <c r="B21" s="38"/>
      <c r="C21" s="162"/>
      <c r="D21" s="162"/>
      <c r="I21" s="162"/>
      <c r="N21" s="162"/>
      <c r="S21" s="162"/>
      <c r="X21" s="162"/>
      <c r="AC21" s="162"/>
      <c r="AH21" s="162"/>
      <c r="AM21" s="162"/>
      <c r="AR21" s="162"/>
      <c r="AW21" s="162"/>
      <c r="BB21" s="162"/>
      <c r="BG21" s="162"/>
      <c r="BL21" s="162"/>
      <c r="BQ21" s="162"/>
      <c r="BR21" s="162"/>
      <c r="BS21" s="162"/>
      <c r="BT21" s="162"/>
      <c r="BU21" s="12" t="s">
        <v>42</v>
      </c>
      <c r="BV21" s="12"/>
      <c r="CA21" s="45">
        <f>FirstEnergy!I227</f>
        <v>0.58947278766714928</v>
      </c>
      <c r="CB21">
        <f>FirstEnergy!J227</f>
        <v>0</v>
      </c>
      <c r="CC21">
        <f>FirstEnergy!K227</f>
        <v>0</v>
      </c>
      <c r="CD21">
        <f>FirstEnergy!L227</f>
        <v>0</v>
      </c>
      <c r="CE21">
        <f>FirstEnergy!M227</f>
        <v>0</v>
      </c>
      <c r="CF21" s="45">
        <f>FirstEnergy!N227</f>
        <v>0.5922354625457914</v>
      </c>
      <c r="CG21">
        <f>FirstEnergy!O227</f>
        <v>0</v>
      </c>
      <c r="CH21">
        <f>FirstEnergy!P227</f>
        <v>0</v>
      </c>
      <c r="CI21">
        <f>FirstEnergy!Q227</f>
        <v>0</v>
      </c>
      <c r="CJ21">
        <f>FirstEnergy!R227</f>
        <v>0</v>
      </c>
      <c r="CK21" s="45">
        <f>FirstEnergy!S227</f>
        <v>0.56625404187216255</v>
      </c>
      <c r="CL21">
        <f>FirstEnergy!T227</f>
        <v>0</v>
      </c>
      <c r="CM21">
        <f>FirstEnergy!U227</f>
        <v>0</v>
      </c>
      <c r="CN21">
        <f>FirstEnergy!V227</f>
        <v>0</v>
      </c>
      <c r="CO21">
        <f>FirstEnergy!W227</f>
        <v>0</v>
      </c>
      <c r="CP21" s="45">
        <f>FirstEnergy!X227</f>
        <v>0.53296515776736686</v>
      </c>
      <c r="CQ21">
        <f>FirstEnergy!Y227</f>
        <v>0</v>
      </c>
      <c r="CR21">
        <f>FirstEnergy!Z227</f>
        <v>0</v>
      </c>
      <c r="CS21">
        <f>FirstEnergy!AA227</f>
        <v>0</v>
      </c>
      <c r="CT21">
        <f>FirstEnergy!AB227</f>
        <v>0</v>
      </c>
      <c r="CU21" s="45">
        <f>FirstEnergy!AC227</f>
        <v>0.51724551616579695</v>
      </c>
      <c r="CV21">
        <f>FirstEnergy!AD227</f>
        <v>0</v>
      </c>
      <c r="CW21">
        <f>FirstEnergy!AE227</f>
        <v>0</v>
      </c>
      <c r="CX21">
        <f>FirstEnergy!AF227</f>
        <v>0</v>
      </c>
      <c r="CY21">
        <f>FirstEnergy!AG227</f>
        <v>0</v>
      </c>
      <c r="CZ21" s="45">
        <f>FirstEnergy!AH227</f>
        <v>0.58422760899441506</v>
      </c>
      <c r="DA21">
        <f>FirstEnergy!AI227</f>
        <v>0</v>
      </c>
      <c r="DB21">
        <f>FirstEnergy!AJ227</f>
        <v>0</v>
      </c>
      <c r="DC21">
        <f>FirstEnergy!AK227</f>
        <v>0</v>
      </c>
      <c r="DD21">
        <f>FirstEnergy!AL227</f>
        <v>0</v>
      </c>
      <c r="DE21" s="45">
        <f>FirstEnergy!AM227</f>
        <v>0.59030939194479082</v>
      </c>
      <c r="DF21">
        <f>FirstEnergy!AN227</f>
        <v>0</v>
      </c>
      <c r="DG21">
        <f>FirstEnergy!AO227</f>
        <v>0</v>
      </c>
      <c r="DH21">
        <f>FirstEnergy!AP227</f>
        <v>0</v>
      </c>
      <c r="DI21">
        <f>FirstEnergy!AQ227</f>
        <v>0</v>
      </c>
      <c r="DJ21" s="45">
        <f>FirstEnergy!AR227</f>
        <v>0.69034140242420028</v>
      </c>
      <c r="DK21">
        <f>FirstEnergy!AS227</f>
        <v>0</v>
      </c>
      <c r="DL21">
        <f>FirstEnergy!AT227</f>
        <v>0</v>
      </c>
      <c r="DM21">
        <f>FirstEnergy!AU227</f>
        <v>0</v>
      </c>
      <c r="DN21">
        <f>FirstEnergy!AV227</f>
        <v>0</v>
      </c>
      <c r="DO21" s="45">
        <f>FirstEnergy!AW227</f>
        <v>0.84009537506623266</v>
      </c>
      <c r="DP21">
        <f>FirstEnergy!AX227</f>
        <v>0</v>
      </c>
      <c r="DQ21">
        <f>FirstEnergy!AY227</f>
        <v>0</v>
      </c>
      <c r="DR21">
        <f>FirstEnergy!AZ227</f>
        <v>0</v>
      </c>
      <c r="DS21">
        <f>FirstEnergy!BA227</f>
        <v>0</v>
      </c>
      <c r="DT21" s="45">
        <f>FirstEnergy!BB227</f>
        <v>0.76369598747222667</v>
      </c>
      <c r="DU21">
        <f>FirstEnergy!BC227</f>
        <v>0</v>
      </c>
      <c r="DV21">
        <f>FirstEnergy!BD227</f>
        <v>0</v>
      </c>
      <c r="DW21">
        <f>FirstEnergy!BE227</f>
        <v>0</v>
      </c>
      <c r="DX21">
        <f>FirstEnergy!BF227</f>
        <v>0</v>
      </c>
      <c r="DY21" s="45">
        <f>FirstEnergy!BG227</f>
        <v>0.69724608780518404</v>
      </c>
      <c r="DZ21">
        <f>FirstEnergy!BH227</f>
        <v>0</v>
      </c>
      <c r="EA21">
        <f>FirstEnergy!BI227</f>
        <v>0</v>
      </c>
      <c r="EB21">
        <f>FirstEnergy!BJ227</f>
        <v>0</v>
      </c>
      <c r="EC21">
        <f>FirstEnergy!BK227</f>
        <v>0</v>
      </c>
      <c r="ED21" s="45">
        <f>FirstEnergy!BL227</f>
        <v>0.70187117124505793</v>
      </c>
      <c r="EE21">
        <f>FirstEnergy!BM227</f>
        <v>0</v>
      </c>
      <c r="EF21">
        <f>FirstEnergy!BN227</f>
        <v>0</v>
      </c>
      <c r="EG21">
        <f>FirstEnergy!BO227</f>
        <v>0</v>
      </c>
      <c r="EH21">
        <f>FirstEnergy!BP227</f>
        <v>0</v>
      </c>
      <c r="EI21" s="45">
        <f>FirstEnergy!BQ227</f>
        <v>0.6948433355011574</v>
      </c>
    </row>
    <row r="22" spans="1:139">
      <c r="A22" s="27"/>
      <c r="B22" s="38"/>
      <c r="C22" s="13" t="s">
        <v>43</v>
      </c>
      <c r="D22" s="36"/>
      <c r="E22" s="33"/>
      <c r="F22" s="33"/>
      <c r="G22" s="33"/>
      <c r="H22" s="33"/>
      <c r="I22" s="183"/>
      <c r="J22" s="33"/>
      <c r="K22" s="33"/>
      <c r="L22" s="33"/>
      <c r="M22" s="33"/>
      <c r="N22" s="183"/>
      <c r="O22" s="33"/>
      <c r="P22" s="33"/>
      <c r="Q22" s="33"/>
      <c r="R22" s="33"/>
      <c r="S22" s="183"/>
      <c r="T22" s="33"/>
      <c r="U22" s="33"/>
      <c r="V22" s="33"/>
      <c r="W22" s="33"/>
      <c r="X22" s="183"/>
      <c r="Y22" s="33"/>
      <c r="Z22" s="33"/>
      <c r="AA22" s="33"/>
      <c r="AB22" s="33"/>
      <c r="AC22" s="183"/>
      <c r="AD22" s="33"/>
      <c r="AE22" s="33"/>
      <c r="AF22" s="33"/>
      <c r="AG22" s="33"/>
      <c r="AH22" s="183"/>
      <c r="AI22" s="33"/>
      <c r="AJ22" s="33"/>
      <c r="AK22" s="33"/>
      <c r="AL22" s="33"/>
      <c r="AM22" s="183"/>
      <c r="AN22" s="33"/>
      <c r="AO22" s="33"/>
      <c r="AP22" s="33"/>
      <c r="AQ22" s="33"/>
      <c r="AR22" s="183"/>
      <c r="AS22" s="33"/>
      <c r="AT22" s="33"/>
      <c r="AU22" s="33"/>
      <c r="AV22" s="33"/>
      <c r="AW22" s="183"/>
      <c r="AX22" s="33"/>
      <c r="AY22" s="33"/>
      <c r="AZ22" s="33"/>
      <c r="BA22" s="33"/>
      <c r="BB22" s="183"/>
      <c r="BC22" s="33"/>
      <c r="BD22" s="33"/>
      <c r="BE22" s="33"/>
      <c r="BF22" s="33"/>
      <c r="BG22" s="183"/>
      <c r="BH22" s="33"/>
      <c r="BI22" s="33"/>
      <c r="BJ22" s="33"/>
      <c r="BK22" s="33"/>
      <c r="BL22" s="183"/>
      <c r="BM22" s="33"/>
      <c r="BN22" s="33"/>
      <c r="BO22" s="33"/>
      <c r="BP22" s="33"/>
      <c r="BQ22" s="183"/>
      <c r="BR22" s="162"/>
      <c r="BS22" s="162"/>
      <c r="BT22" s="162"/>
      <c r="BU22" s="12" t="s">
        <v>44</v>
      </c>
      <c r="BV22" s="12"/>
      <c r="BX22" s="12"/>
      <c r="BY22" s="12"/>
      <c r="BZ22" s="12"/>
      <c r="CA22" s="45">
        <f>FirstEnergy!I228</f>
        <v>0.63550804871816713</v>
      </c>
      <c r="CB22">
        <f>FirstEnergy!J228</f>
        <v>0</v>
      </c>
      <c r="CC22" s="12">
        <f>FirstEnergy!K228</f>
        <v>0</v>
      </c>
      <c r="CD22" s="12">
        <f>FirstEnergy!L228</f>
        <v>0</v>
      </c>
      <c r="CE22" s="12">
        <f>FirstEnergy!M228</f>
        <v>0</v>
      </c>
      <c r="CF22" s="45">
        <f>FirstEnergy!N228</f>
        <v>0.62171038780580234</v>
      </c>
      <c r="CG22" s="12">
        <f>FirstEnergy!O228</f>
        <v>0</v>
      </c>
      <c r="CH22" s="12">
        <f>FirstEnergy!P228</f>
        <v>0</v>
      </c>
      <c r="CI22" s="12">
        <f>FirstEnergy!Q228</f>
        <v>0</v>
      </c>
      <c r="CJ22" s="12">
        <f>FirstEnergy!R228</f>
        <v>0</v>
      </c>
      <c r="CK22" s="45">
        <f>FirstEnergy!S228</f>
        <v>0.56625404187216255</v>
      </c>
      <c r="CL22" s="12">
        <f>FirstEnergy!T228</f>
        <v>0</v>
      </c>
      <c r="CM22" s="12">
        <f>FirstEnergy!U228</f>
        <v>0</v>
      </c>
      <c r="CN22" s="12">
        <f>FirstEnergy!V228</f>
        <v>0</v>
      </c>
      <c r="CO22" s="12">
        <f>FirstEnergy!W228</f>
        <v>0</v>
      </c>
      <c r="CP22" s="45">
        <f>FirstEnergy!X228</f>
        <v>0.59405541249108007</v>
      </c>
      <c r="CQ22" s="12">
        <f>FirstEnergy!Y228</f>
        <v>0</v>
      </c>
      <c r="CR22" s="12">
        <f>FirstEnergy!Z228</f>
        <v>0</v>
      </c>
      <c r="CS22" s="12">
        <f>FirstEnergy!AA228</f>
        <v>0</v>
      </c>
      <c r="CT22" s="12">
        <f>FirstEnergy!AB228</f>
        <v>0</v>
      </c>
      <c r="CU22" s="45">
        <f>FirstEnergy!AC228</f>
        <v>0.61933897186731446</v>
      </c>
      <c r="CV22" s="12">
        <f>FirstEnergy!AD228</f>
        <v>0</v>
      </c>
      <c r="CW22" s="12">
        <f>FirstEnergy!AE228</f>
        <v>0</v>
      </c>
      <c r="CX22" s="12">
        <f>FirstEnergy!AF228</f>
        <v>0</v>
      </c>
      <c r="CY22" s="12">
        <f>FirstEnergy!AG228</f>
        <v>0</v>
      </c>
      <c r="CZ22" s="45">
        <f>FirstEnergy!AH228</f>
        <v>0.63683148630076902</v>
      </c>
      <c r="DA22" s="12">
        <f>FirstEnergy!AI228</f>
        <v>0</v>
      </c>
      <c r="DB22" s="12">
        <f>FirstEnergy!AJ228</f>
        <v>0</v>
      </c>
      <c r="DC22" s="12">
        <f>FirstEnergy!AK228</f>
        <v>0</v>
      </c>
      <c r="DD22" s="12">
        <f>FirstEnergy!AL228</f>
        <v>0</v>
      </c>
      <c r="DE22" s="45">
        <f>FirstEnergy!AM228</f>
        <v>0.63983530025806823</v>
      </c>
      <c r="DF22" s="12">
        <f>FirstEnergy!AN228</f>
        <v>0</v>
      </c>
      <c r="DG22" s="12">
        <f>FirstEnergy!AO228</f>
        <v>0</v>
      </c>
      <c r="DH22" s="12">
        <f>FirstEnergy!AP228</f>
        <v>0</v>
      </c>
      <c r="DI22" s="12">
        <f>FirstEnergy!AQ228</f>
        <v>0</v>
      </c>
      <c r="DJ22" s="45">
        <f>FirstEnergy!AR228</f>
        <v>0.78324592782968083</v>
      </c>
      <c r="DK22" s="12">
        <f>FirstEnergy!AS228</f>
        <v>0</v>
      </c>
      <c r="DL22" s="12">
        <f>FirstEnergy!AT228</f>
        <v>0</v>
      </c>
      <c r="DM22" s="12">
        <f>FirstEnergy!AU228</f>
        <v>0</v>
      </c>
      <c r="DN22" s="12">
        <f>FirstEnergy!AV228</f>
        <v>0</v>
      </c>
      <c r="DO22" s="45">
        <f>FirstEnergy!AW228</f>
        <v>0.85144954961774277</v>
      </c>
      <c r="DP22" s="12">
        <f>FirstEnergy!AX228</f>
        <v>0</v>
      </c>
      <c r="DQ22" s="12">
        <f>FirstEnergy!AY228</f>
        <v>0</v>
      </c>
      <c r="DR22" s="12">
        <f>FirstEnergy!AZ228</f>
        <v>0</v>
      </c>
      <c r="DS22" s="12">
        <f>FirstEnergy!BA228</f>
        <v>0</v>
      </c>
      <c r="DT22" s="45">
        <f>FirstEnergy!BB228</f>
        <v>0.81619324927782655</v>
      </c>
      <c r="DU22" s="12">
        <f>FirstEnergy!BC228</f>
        <v>0</v>
      </c>
      <c r="DV22" s="12">
        <f>FirstEnergy!BD228</f>
        <v>0</v>
      </c>
      <c r="DW22" s="12">
        <f>FirstEnergy!BE228</f>
        <v>0</v>
      </c>
      <c r="DX22" s="12">
        <f>FirstEnergy!BF228</f>
        <v>0</v>
      </c>
      <c r="DY22" s="45">
        <f>FirstEnergy!BG228</f>
        <v>0.75620799706555153</v>
      </c>
      <c r="DZ22" s="12">
        <f>FirstEnergy!BH228</f>
        <v>0</v>
      </c>
      <c r="EA22" s="12">
        <f>FirstEnergy!BI228</f>
        <v>0</v>
      </c>
      <c r="EB22" s="12">
        <f>FirstEnergy!BJ228</f>
        <v>0</v>
      </c>
      <c r="EC22" s="12">
        <f>FirstEnergy!BK228</f>
        <v>0</v>
      </c>
      <c r="ED22" s="45">
        <f>FirstEnergy!BL228</f>
        <v>0.75422475305992698</v>
      </c>
      <c r="EE22" s="12">
        <f>FirstEnergy!BM228</f>
        <v>0</v>
      </c>
      <c r="EF22" s="12">
        <f>FirstEnergy!BN228</f>
        <v>0</v>
      </c>
      <c r="EG22" s="12">
        <f>FirstEnergy!BO228</f>
        <v>0</v>
      </c>
      <c r="EH22" s="12">
        <f>FirstEnergy!BP228</f>
        <v>0</v>
      </c>
      <c r="EI22" s="45">
        <f>FirstEnergy!BQ228</f>
        <v>0.74685347866323237</v>
      </c>
    </row>
    <row r="23" spans="1:139">
      <c r="B23" s="38"/>
      <c r="C23" s="39" t="s">
        <v>337</v>
      </c>
      <c r="D23" s="40"/>
      <c r="E23" s="21"/>
      <c r="F23" s="21"/>
      <c r="G23" s="21"/>
      <c r="H23" s="21"/>
      <c r="I23" s="47">
        <f>Distribution!I23</f>
        <v>1479</v>
      </c>
      <c r="J23" s="21"/>
      <c r="K23" s="21"/>
      <c r="L23" s="21"/>
      <c r="M23" s="21"/>
      <c r="N23" s="47">
        <f>Distribution!N23</f>
        <v>1820</v>
      </c>
      <c r="O23" s="21"/>
      <c r="P23" s="21"/>
      <c r="Q23" s="21"/>
      <c r="R23" s="21"/>
      <c r="S23" s="47">
        <f>Distribution!S23</f>
        <v>1818</v>
      </c>
      <c r="T23" s="21"/>
      <c r="U23" s="21"/>
      <c r="V23" s="21"/>
      <c r="W23" s="21"/>
      <c r="X23" s="47">
        <f>Distribution!X23</f>
        <v>1921</v>
      </c>
      <c r="Y23" s="21"/>
      <c r="Z23" s="21"/>
      <c r="AA23" s="21"/>
      <c r="AB23" s="21"/>
      <c r="AC23" s="47">
        <f>Distribution!AC23</f>
        <v>1938</v>
      </c>
      <c r="AD23" s="21"/>
      <c r="AE23" s="21"/>
      <c r="AF23" s="21"/>
      <c r="AG23" s="21"/>
      <c r="AH23" s="47">
        <f>Distribution!AH23</f>
        <v>1925</v>
      </c>
      <c r="AI23" s="21"/>
      <c r="AJ23" s="21"/>
      <c r="AK23" s="21"/>
      <c r="AL23" s="21"/>
      <c r="AM23" s="47">
        <f>Distribution!AM23</f>
        <v>2193</v>
      </c>
      <c r="AN23" s="21"/>
      <c r="AO23" s="21"/>
      <c r="AP23" s="21"/>
      <c r="AQ23" s="21"/>
      <c r="AR23" s="47">
        <f>Distribution!AR23</f>
        <v>2268</v>
      </c>
      <c r="AS23" s="21"/>
      <c r="AT23" s="21"/>
      <c r="AU23" s="21"/>
      <c r="AV23" s="21"/>
      <c r="AW23" s="47">
        <f>Distribution!AW23</f>
        <v>2733</v>
      </c>
      <c r="AX23" s="21"/>
      <c r="AY23" s="21"/>
      <c r="AZ23" s="21"/>
      <c r="BA23" s="21"/>
      <c r="BB23" s="47">
        <f>Distribution!BB23</f>
        <v>2835.4154216611041</v>
      </c>
      <c r="BC23" s="21"/>
      <c r="BD23" s="21"/>
      <c r="BE23" s="21"/>
      <c r="BF23" s="21"/>
      <c r="BG23" s="47">
        <f>Distribution!BG23</f>
        <v>2905.855943282726</v>
      </c>
      <c r="BH23" s="21"/>
      <c r="BI23" s="21"/>
      <c r="BJ23" s="21"/>
      <c r="BK23" s="21"/>
      <c r="BL23" s="47">
        <f>Distribution!BL23</f>
        <v>2806.6748566070501</v>
      </c>
      <c r="BM23" s="21"/>
      <c r="BN23" s="21"/>
      <c r="BO23" s="21"/>
      <c r="BP23" s="21"/>
      <c r="BQ23" s="47">
        <f>Distribution!BQ23</f>
        <v>2927.0716212267807</v>
      </c>
      <c r="BR23" s="162"/>
      <c r="BS23" s="162"/>
      <c r="BT23" s="162"/>
      <c r="BU23" s="12" t="s">
        <v>45</v>
      </c>
      <c r="BV23" s="187"/>
      <c r="CA23" s="46">
        <f>FirstEnergy!I229</f>
        <v>5.313540090771558</v>
      </c>
      <c r="CB23">
        <f>FirstEnergy!J229</f>
        <v>0</v>
      </c>
      <c r="CC23">
        <f>FirstEnergy!K229</f>
        <v>0</v>
      </c>
      <c r="CD23">
        <f>FirstEnergy!L229</f>
        <v>0</v>
      </c>
      <c r="CE23">
        <f>FirstEnergy!M229</f>
        <v>0</v>
      </c>
      <c r="CF23" s="46">
        <f>FirstEnergy!N229</f>
        <v>5.230593607305936</v>
      </c>
      <c r="CG23">
        <f>FirstEnergy!O229</f>
        <v>0</v>
      </c>
      <c r="CH23">
        <f>FirstEnergy!P229</f>
        <v>0</v>
      </c>
      <c r="CI23">
        <f>FirstEnergy!Q229</f>
        <v>0</v>
      </c>
      <c r="CJ23">
        <f>FirstEnergy!R229</f>
        <v>0</v>
      </c>
      <c r="CK23" s="46">
        <f>FirstEnergy!S229</f>
        <v>4.9709892660284307</v>
      </c>
      <c r="CL23">
        <f>FirstEnergy!T229</f>
        <v>0</v>
      </c>
      <c r="CM23">
        <f>FirstEnergy!U229</f>
        <v>0</v>
      </c>
      <c r="CN23">
        <f>FirstEnergy!V229</f>
        <v>0</v>
      </c>
      <c r="CO23">
        <f>FirstEnergy!W229</f>
        <v>0</v>
      </c>
      <c r="CP23" s="46">
        <f>FirstEnergy!X229</f>
        <v>5.6188925081433228</v>
      </c>
      <c r="CQ23">
        <f>FirstEnergy!Y229</f>
        <v>0</v>
      </c>
      <c r="CR23">
        <f>FirstEnergy!Z229</f>
        <v>0</v>
      </c>
      <c r="CS23">
        <f>FirstEnergy!AA229</f>
        <v>0</v>
      </c>
      <c r="CT23">
        <f>FirstEnergy!AB229</f>
        <v>0</v>
      </c>
      <c r="CU23" s="46">
        <f>FirstEnergy!AC229</f>
        <v>7.531146332473277</v>
      </c>
      <c r="CV23">
        <f>FirstEnergy!AD229</f>
        <v>0</v>
      </c>
      <c r="CW23">
        <f>FirstEnergy!AE229</f>
        <v>0</v>
      </c>
      <c r="CX23">
        <f>FirstEnergy!AF229</f>
        <v>0</v>
      </c>
      <c r="CY23">
        <f>FirstEnergy!AG229</f>
        <v>0</v>
      </c>
      <c r="CZ23" s="46">
        <f>FirstEnergy!AH229</f>
        <v>9.2472293265132137</v>
      </c>
      <c r="DA23">
        <f>FirstEnergy!AI229</f>
        <v>0</v>
      </c>
      <c r="DB23">
        <f>FirstEnergy!AJ229</f>
        <v>0</v>
      </c>
      <c r="DC23">
        <f>FirstEnergy!AK229</f>
        <v>0</v>
      </c>
      <c r="DD23">
        <f>FirstEnergy!AL229</f>
        <v>0</v>
      </c>
      <c r="DE23" s="46">
        <f>FirstEnergy!AM229</f>
        <v>6.8761755485893419</v>
      </c>
      <c r="DF23">
        <f>FirstEnergy!AN229</f>
        <v>0</v>
      </c>
      <c r="DG23">
        <f>FirstEnergy!AO229</f>
        <v>0</v>
      </c>
      <c r="DH23">
        <f>FirstEnergy!AP229</f>
        <v>0</v>
      </c>
      <c r="DI23">
        <f>FirstEnergy!AQ229</f>
        <v>0</v>
      </c>
      <c r="DJ23" s="46">
        <f>FirstEnergy!AR229</f>
        <v>-3.256081573197378</v>
      </c>
      <c r="DK23">
        <f>FirstEnergy!AS229</f>
        <v>0</v>
      </c>
      <c r="DL23">
        <f>FirstEnergy!AT229</f>
        <v>0</v>
      </c>
      <c r="DM23">
        <f>FirstEnergy!AU229</f>
        <v>0</v>
      </c>
      <c r="DN23">
        <f>FirstEnergy!AV229</f>
        <v>0</v>
      </c>
      <c r="DO23" s="46">
        <f>FirstEnergy!AW229</f>
        <v>15.559659090909092</v>
      </c>
      <c r="DP23">
        <f>FirstEnergy!AX229</f>
        <v>0</v>
      </c>
      <c r="DQ23">
        <f>FirstEnergy!AY229</f>
        <v>0</v>
      </c>
      <c r="DR23">
        <f>FirstEnergy!AZ229</f>
        <v>0</v>
      </c>
      <c r="DS23">
        <f>FirstEnergy!BA229</f>
        <v>0</v>
      </c>
      <c r="DT23" s="46">
        <f>FirstEnergy!BB229</f>
        <v>6.1576637461833466</v>
      </c>
      <c r="DU23">
        <f>FirstEnergy!BC229</f>
        <v>0</v>
      </c>
      <c r="DV23">
        <f>FirstEnergy!BD229</f>
        <v>0</v>
      </c>
      <c r="DW23">
        <f>FirstEnergy!BE229</f>
        <v>0</v>
      </c>
      <c r="DX23">
        <f>FirstEnergy!BF229</f>
        <v>0</v>
      </c>
      <c r="DY23" s="46">
        <f>FirstEnergy!BG229</f>
        <v>6.07479581224786</v>
      </c>
      <c r="DZ23">
        <f>FirstEnergy!BH229</f>
        <v>0</v>
      </c>
      <c r="EA23">
        <f>FirstEnergy!BI229</f>
        <v>0</v>
      </c>
      <c r="EB23">
        <f>FirstEnergy!BJ229</f>
        <v>0</v>
      </c>
      <c r="EC23">
        <f>FirstEnergy!BK229</f>
        <v>0</v>
      </c>
      <c r="ED23" s="46">
        <f>FirstEnergy!BL229</f>
        <v>6.4091492471556037</v>
      </c>
      <c r="EE23">
        <f>FirstEnergy!BM229</f>
        <v>0</v>
      </c>
      <c r="EF23">
        <f>FirstEnergy!BN229</f>
        <v>0</v>
      </c>
      <c r="EG23">
        <f>FirstEnergy!BO229</f>
        <v>0</v>
      </c>
      <c r="EH23">
        <f>FirstEnergy!BP229</f>
        <v>0</v>
      </c>
      <c r="EI23" s="46">
        <f>FirstEnergy!BQ229</f>
        <v>5.9892081489598237</v>
      </c>
    </row>
    <row r="24" spans="1:139">
      <c r="B24" s="38"/>
      <c r="C24" s="39" t="s">
        <v>338</v>
      </c>
      <c r="D24" s="40"/>
      <c r="E24" s="21"/>
      <c r="F24" s="21"/>
      <c r="G24" s="21"/>
      <c r="H24" s="21"/>
      <c r="I24" s="47">
        <f>Competitive!I22</f>
        <v>1142</v>
      </c>
      <c r="J24" s="173"/>
      <c r="K24" s="173"/>
      <c r="L24" s="173"/>
      <c r="M24" s="173"/>
      <c r="N24" s="47">
        <f>Competitive!N22</f>
        <v>759</v>
      </c>
      <c r="O24" s="173"/>
      <c r="P24" s="173"/>
      <c r="Q24" s="173"/>
      <c r="R24" s="173"/>
      <c r="S24" s="47">
        <f>Competitive!S22</f>
        <v>1272</v>
      </c>
      <c r="T24" s="173"/>
      <c r="U24" s="173"/>
      <c r="V24" s="173"/>
      <c r="W24" s="173"/>
      <c r="X24" s="47">
        <f>Competitive!X22</f>
        <v>960</v>
      </c>
      <c r="Y24" s="173"/>
      <c r="Z24" s="173"/>
      <c r="AA24" s="173"/>
      <c r="AB24" s="173"/>
      <c r="AC24" s="47">
        <f>Competitive!AC22</f>
        <v>241</v>
      </c>
      <c r="AD24" s="173"/>
      <c r="AE24" s="173"/>
      <c r="AF24" s="173"/>
      <c r="AG24" s="173"/>
      <c r="AH24" s="47">
        <f>Competitive!AH22</f>
        <v>-110</v>
      </c>
      <c r="AI24" s="173"/>
      <c r="AJ24" s="173"/>
      <c r="AK24" s="173"/>
      <c r="AL24" s="173"/>
      <c r="AM24" s="47">
        <f>Competitive!AM22</f>
        <v>686</v>
      </c>
      <c r="AN24" s="173"/>
      <c r="AO24" s="173"/>
      <c r="AP24" s="173"/>
      <c r="AQ24" s="173"/>
      <c r="AR24" s="47">
        <f>Competitive!AR22</f>
        <v>-9873</v>
      </c>
      <c r="AS24" s="173"/>
      <c r="AT24" s="173"/>
      <c r="AU24" s="173"/>
      <c r="AV24" s="173"/>
      <c r="AW24" s="47">
        <f>Competitive!AW22</f>
        <v>-2216</v>
      </c>
      <c r="AX24" s="173"/>
      <c r="AY24" s="173"/>
      <c r="AZ24" s="173"/>
      <c r="BA24" s="173"/>
      <c r="BB24" s="47">
        <f>Competitive!BB22</f>
        <v>125.28796487022311</v>
      </c>
      <c r="BC24" s="173"/>
      <c r="BD24" s="173"/>
      <c r="BE24" s="173"/>
      <c r="BF24" s="173"/>
      <c r="BG24" s="47">
        <f>Competitive!BG22</f>
        <v>-63.766607031391928</v>
      </c>
      <c r="BH24" s="173"/>
      <c r="BI24" s="173"/>
      <c r="BJ24" s="173"/>
      <c r="BK24" s="173"/>
      <c r="BL24" s="47">
        <f>Competitive!BL22</f>
        <v>-111.99240853960237</v>
      </c>
      <c r="BM24" s="173"/>
      <c r="BN24" s="173"/>
      <c r="BO24" s="173"/>
      <c r="BP24" s="173"/>
      <c r="BQ24" s="47">
        <f>Competitive!BQ22</f>
        <v>61.901780621391481</v>
      </c>
      <c r="BR24" s="162"/>
      <c r="BS24" s="162"/>
      <c r="BT24" s="162"/>
      <c r="BU24" s="2298" t="s">
        <v>1217</v>
      </c>
      <c r="BV24" s="187"/>
      <c r="CA24" s="45" t="e">
        <f>FirstEnergy!#REF!</f>
        <v>#REF!</v>
      </c>
      <c r="CB24" t="e">
        <f>FirstEnergy!#REF!</f>
        <v>#REF!</v>
      </c>
      <c r="CC24" t="e">
        <f>FirstEnergy!#REF!</f>
        <v>#REF!</v>
      </c>
      <c r="CD24" t="e">
        <f>FirstEnergy!#REF!</f>
        <v>#REF!</v>
      </c>
      <c r="CE24" t="e">
        <f>FirstEnergy!#REF!</f>
        <v>#REF!</v>
      </c>
      <c r="CF24" s="45" t="e">
        <f>FirstEnergy!#REF!</f>
        <v>#REF!</v>
      </c>
      <c r="CG24" t="e">
        <f>FirstEnergy!#REF!</f>
        <v>#REF!</v>
      </c>
      <c r="CH24" t="e">
        <f>FirstEnergy!#REF!</f>
        <v>#REF!</v>
      </c>
      <c r="CI24" t="e">
        <f>FirstEnergy!#REF!</f>
        <v>#REF!</v>
      </c>
      <c r="CJ24" t="e">
        <f>FirstEnergy!#REF!</f>
        <v>#REF!</v>
      </c>
      <c r="CK24" s="45" t="e">
        <f>FirstEnergy!#REF!</f>
        <v>#REF!</v>
      </c>
      <c r="CL24" t="e">
        <f>FirstEnergy!#REF!</f>
        <v>#REF!</v>
      </c>
      <c r="CM24" t="e">
        <f>FirstEnergy!#REF!</f>
        <v>#REF!</v>
      </c>
      <c r="CN24" t="e">
        <f>FirstEnergy!#REF!</f>
        <v>#REF!</v>
      </c>
      <c r="CO24" t="e">
        <f>FirstEnergy!#REF!</f>
        <v>#REF!</v>
      </c>
      <c r="CP24" s="45"/>
      <c r="CU24" s="45"/>
      <c r="CZ24" s="45"/>
      <c r="DE24" s="45"/>
      <c r="DJ24" s="45"/>
      <c r="DK24" t="e">
        <f>FirstEnergy!#REF!</f>
        <v>#REF!</v>
      </c>
      <c r="DL24" t="e">
        <f>FirstEnergy!#REF!</f>
        <v>#REF!</v>
      </c>
      <c r="DM24" t="e">
        <f>FirstEnergy!#REF!</f>
        <v>#REF!</v>
      </c>
      <c r="DN24" t="e">
        <f>FirstEnergy!#REF!</f>
        <v>#REF!</v>
      </c>
      <c r="DO24" s="45">
        <f>FirstEnergy!AW230</f>
        <v>0.33555062823355508</v>
      </c>
      <c r="DP24" t="e">
        <f>FirstEnergy!#REF!</f>
        <v>#REF!</v>
      </c>
      <c r="DQ24" t="e">
        <f>FirstEnergy!#REF!</f>
        <v>#REF!</v>
      </c>
      <c r="DR24" t="e">
        <f>FirstEnergy!#REF!</f>
        <v>#REF!</v>
      </c>
      <c r="DS24" t="e">
        <f>FirstEnergy!#REF!</f>
        <v>#REF!</v>
      </c>
      <c r="DT24" s="45">
        <f>FirstEnergy!BB230</f>
        <v>0.11750426959833732</v>
      </c>
      <c r="DU24" t="e">
        <f>FirstEnergy!#REF!</f>
        <v>#REF!</v>
      </c>
      <c r="DV24" t="e">
        <f>FirstEnergy!#REF!</f>
        <v>#REF!</v>
      </c>
      <c r="DW24" t="e">
        <f>FirstEnergy!#REF!</f>
        <v>#REF!</v>
      </c>
      <c r="DX24" t="e">
        <f>FirstEnergy!#REF!</f>
        <v>#REF!</v>
      </c>
      <c r="DY24" s="45">
        <f>FirstEnergy!BG230</f>
        <v>0.13219558656516858</v>
      </c>
      <c r="DZ24" t="e">
        <f>FirstEnergy!#REF!</f>
        <v>#REF!</v>
      </c>
      <c r="EA24" t="e">
        <f>FirstEnergy!#REF!</f>
        <v>#REF!</v>
      </c>
      <c r="EB24" t="e">
        <f>FirstEnergy!#REF!</f>
        <v>#REF!</v>
      </c>
      <c r="EC24" t="e">
        <f>FirstEnergy!#REF!</f>
        <v>#REF!</v>
      </c>
      <c r="ED24" s="45">
        <f>FirstEnergy!BL230</f>
        <v>0.13503862285090876</v>
      </c>
      <c r="EE24" t="e">
        <f>FirstEnergy!#REF!</f>
        <v>#REF!</v>
      </c>
      <c r="EF24" t="e">
        <f>FirstEnergy!#REF!</f>
        <v>#REF!</v>
      </c>
      <c r="EG24" t="e">
        <f>FirstEnergy!#REF!</f>
        <v>#REF!</v>
      </c>
      <c r="EH24" t="e">
        <f>FirstEnergy!#REF!</f>
        <v>#REF!</v>
      </c>
      <c r="EI24" s="45">
        <f>FirstEnergy!BQ230</f>
        <v>0.13849461170955238</v>
      </c>
    </row>
    <row r="25" spans="1:139">
      <c r="A25" s="34"/>
      <c r="B25" s="162"/>
      <c r="C25" s="162" t="s">
        <v>339</v>
      </c>
      <c r="D25" s="162"/>
      <c r="I25" s="188">
        <f>Transmission!I21</f>
        <v>120</v>
      </c>
      <c r="J25" s="81"/>
      <c r="K25" s="81"/>
      <c r="L25" s="81"/>
      <c r="M25" s="81"/>
      <c r="N25" s="188">
        <f>Transmission!N21</f>
        <v>143</v>
      </c>
      <c r="O25" s="81"/>
      <c r="P25" s="81"/>
      <c r="Q25" s="81"/>
      <c r="R25" s="81"/>
      <c r="S25" s="188">
        <f>Transmission!S21</f>
        <v>499</v>
      </c>
      <c r="T25" s="81"/>
      <c r="U25" s="81"/>
      <c r="V25" s="81"/>
      <c r="W25" s="81"/>
      <c r="X25" s="188">
        <f>Transmission!X21</f>
        <v>566</v>
      </c>
      <c r="Y25" s="81"/>
      <c r="Z25" s="81"/>
      <c r="AA25" s="81"/>
      <c r="AB25" s="81"/>
      <c r="AC25" s="188">
        <f>Transmission!AC21</f>
        <v>546</v>
      </c>
      <c r="AD25" s="81"/>
      <c r="AE25" s="81"/>
      <c r="AF25" s="81"/>
      <c r="AG25" s="81"/>
      <c r="AH25" s="188">
        <f>Transmission!AH21</f>
        <v>547</v>
      </c>
      <c r="AI25" s="81"/>
      <c r="AJ25" s="81"/>
      <c r="AK25" s="81"/>
      <c r="AL25" s="81"/>
      <c r="AM25" s="188">
        <f>Transmission!AM21</f>
        <v>745</v>
      </c>
      <c r="AN25" s="81"/>
      <c r="AO25" s="81"/>
      <c r="AP25" s="81"/>
      <c r="AQ25" s="81"/>
      <c r="AR25" s="188">
        <f>Transmission!AR21</f>
        <v>829</v>
      </c>
      <c r="AS25" s="81"/>
      <c r="AT25" s="81"/>
      <c r="AU25" s="81"/>
      <c r="AV25" s="81"/>
      <c r="AW25" s="188">
        <f>Transmission!AW21</f>
        <v>892</v>
      </c>
      <c r="AX25" s="81"/>
      <c r="AY25" s="81"/>
      <c r="AZ25" s="81"/>
      <c r="BA25" s="81"/>
      <c r="BB25" s="188">
        <f>Transmission!BB21</f>
        <v>926.00305462207712</v>
      </c>
      <c r="BC25" s="81"/>
      <c r="BD25" s="81"/>
      <c r="BE25" s="81"/>
      <c r="BF25" s="81"/>
      <c r="BG25" s="188">
        <f>Transmission!BG21</f>
        <v>1025.5370681355905</v>
      </c>
      <c r="BH25" s="81"/>
      <c r="BI25" s="81"/>
      <c r="BJ25" s="81"/>
      <c r="BK25" s="81"/>
      <c r="BL25" s="188">
        <f>Transmission!BL21</f>
        <v>1132.4881027572121</v>
      </c>
      <c r="BM25" s="81"/>
      <c r="BN25" s="81"/>
      <c r="BO25" s="81"/>
      <c r="BP25" s="81"/>
      <c r="BQ25" s="188">
        <f>Transmission!BQ21</f>
        <v>1237.4694066418067</v>
      </c>
      <c r="BR25" s="162"/>
      <c r="BS25" s="162"/>
      <c r="BT25" s="162"/>
      <c r="BU25" s="12"/>
      <c r="BV25" s="187"/>
      <c r="CA25" s="48"/>
      <c r="CF25" s="184"/>
      <c r="CK25" s="184"/>
      <c r="CP25" s="184"/>
      <c r="CU25" s="184"/>
      <c r="CZ25" s="184"/>
      <c r="DE25" s="184"/>
      <c r="DJ25" s="184"/>
      <c r="DO25" s="184"/>
      <c r="DT25" s="184"/>
      <c r="DY25" s="184"/>
      <c r="ED25" s="184"/>
      <c r="EI25" s="184"/>
    </row>
    <row r="26" spans="1:139">
      <c r="B26" s="162"/>
      <c r="C26" s="162" t="s">
        <v>883</v>
      </c>
      <c r="D26" s="162"/>
      <c r="I26" s="188">
        <f>Parent!I23</f>
        <v>-97</v>
      </c>
      <c r="J26" s="21"/>
      <c r="K26" s="21"/>
      <c r="L26" s="21"/>
      <c r="M26" s="21"/>
      <c r="N26" s="188">
        <f>Parent!N23</f>
        <v>-94</v>
      </c>
      <c r="O26" s="21"/>
      <c r="P26" s="21"/>
      <c r="Q26" s="21"/>
      <c r="R26" s="21"/>
      <c r="S26" s="188">
        <f>Parent!S23</f>
        <v>-142</v>
      </c>
      <c r="T26" s="21"/>
      <c r="U26" s="21"/>
      <c r="V26" s="21"/>
      <c r="W26" s="21"/>
      <c r="X26" s="188">
        <f>Parent!X23</f>
        <v>-70</v>
      </c>
      <c r="Y26" s="21"/>
      <c r="Z26" s="21"/>
      <c r="AA26" s="21"/>
      <c r="AB26" s="21"/>
      <c r="AC26" s="188">
        <f>Parent!AC23</f>
        <v>-12</v>
      </c>
      <c r="AD26" s="21"/>
      <c r="AE26" s="21"/>
      <c r="AF26" s="21"/>
      <c r="AG26" s="21"/>
      <c r="AH26" s="188">
        <f>Parent!AH23</f>
        <v>-16</v>
      </c>
      <c r="AI26" s="21"/>
      <c r="AJ26" s="21"/>
      <c r="AK26" s="21"/>
      <c r="AL26" s="21"/>
      <c r="AM26" s="188">
        <f>Parent!AM23</f>
        <v>-434</v>
      </c>
      <c r="AN26" s="21"/>
      <c r="AO26" s="21"/>
      <c r="AP26" s="21"/>
      <c r="AQ26" s="21"/>
      <c r="AR26" s="188">
        <f>Parent!AR23</f>
        <v>-89</v>
      </c>
      <c r="AS26" s="21"/>
      <c r="AT26" s="21"/>
      <c r="AU26" s="21"/>
      <c r="AV26" s="21"/>
      <c r="AW26" s="188">
        <f>Parent!AW23</f>
        <v>-1</v>
      </c>
      <c r="AX26" s="21"/>
      <c r="AY26" s="21"/>
      <c r="AZ26" s="21"/>
      <c r="BA26" s="21"/>
      <c r="BB26" s="188">
        <f>Parent!BB23</f>
        <v>19</v>
      </c>
      <c r="BC26" s="21"/>
      <c r="BD26" s="21"/>
      <c r="BE26" s="21"/>
      <c r="BF26" s="21"/>
      <c r="BG26" s="188">
        <f>Parent!BG23</f>
        <v>19</v>
      </c>
      <c r="BH26" s="21"/>
      <c r="BI26" s="21"/>
      <c r="BJ26" s="21"/>
      <c r="BK26" s="21"/>
      <c r="BL26" s="188">
        <f>Parent!BL23</f>
        <v>19</v>
      </c>
      <c r="BM26" s="21"/>
      <c r="BN26" s="21"/>
      <c r="BO26" s="21"/>
      <c r="BP26" s="21"/>
      <c r="BQ26" s="188">
        <f>Parent!BQ23</f>
        <v>19</v>
      </c>
      <c r="BR26" s="162"/>
      <c r="BS26" s="162"/>
      <c r="BT26" s="162"/>
      <c r="BU26" s="13" t="s">
        <v>47</v>
      </c>
      <c r="BV26" s="162"/>
      <c r="CA26" s="45"/>
      <c r="CF26" s="184"/>
      <c r="CK26" s="184"/>
      <c r="CP26" s="184"/>
      <c r="CU26" s="184"/>
      <c r="CZ26" s="184"/>
      <c r="DE26" s="184"/>
      <c r="DJ26" s="184"/>
      <c r="DO26" s="184"/>
      <c r="DT26" s="184"/>
      <c r="DY26" s="184"/>
      <c r="ED26" s="184"/>
      <c r="EI26" s="184"/>
    </row>
    <row r="27" spans="1:139">
      <c r="B27" s="12"/>
      <c r="C27" s="42" t="s">
        <v>48</v>
      </c>
      <c r="D27" s="43"/>
      <c r="E27" s="49"/>
      <c r="F27" s="49"/>
      <c r="G27" s="49"/>
      <c r="H27" s="49"/>
      <c r="I27" s="49">
        <f>SUM(I23:I26)</f>
        <v>2644</v>
      </c>
      <c r="J27" s="49"/>
      <c r="K27" s="49"/>
      <c r="L27" s="49"/>
      <c r="M27" s="49"/>
      <c r="N27" s="49">
        <f>SUM(N23:N26)</f>
        <v>2628</v>
      </c>
      <c r="O27" s="49"/>
      <c r="P27" s="49"/>
      <c r="Q27" s="49"/>
      <c r="R27" s="49"/>
      <c r="S27" s="49">
        <f>SUM(S23:S26)</f>
        <v>3447</v>
      </c>
      <c r="T27" s="49"/>
      <c r="U27" s="49"/>
      <c r="V27" s="49"/>
      <c r="W27" s="49"/>
      <c r="X27" s="49">
        <f>SUM(X23:X26)</f>
        <v>3377</v>
      </c>
      <c r="Y27" s="49"/>
      <c r="Z27" s="49"/>
      <c r="AA27" s="49"/>
      <c r="AB27" s="49"/>
      <c r="AC27" s="49">
        <f>SUM(AC23:AC26)</f>
        <v>2713</v>
      </c>
      <c r="AD27" s="49"/>
      <c r="AE27" s="49"/>
      <c r="AF27" s="49"/>
      <c r="AG27" s="49"/>
      <c r="AH27" s="49">
        <f>SUM(AH23:AH26)</f>
        <v>2346</v>
      </c>
      <c r="AI27" s="49"/>
      <c r="AJ27" s="49"/>
      <c r="AK27" s="49"/>
      <c r="AL27" s="49"/>
      <c r="AM27" s="49">
        <f>SUM(AM23:AM26)</f>
        <v>3190</v>
      </c>
      <c r="AN27" s="49"/>
      <c r="AO27" s="49"/>
      <c r="AP27" s="49"/>
      <c r="AQ27" s="49"/>
      <c r="AR27" s="49">
        <f>SUM(AR23:AR26)</f>
        <v>-6865</v>
      </c>
      <c r="AS27" s="49"/>
      <c r="AT27" s="49"/>
      <c r="AU27" s="49"/>
      <c r="AV27" s="49"/>
      <c r="AW27" s="49">
        <f>SUM(AW23:AW26)</f>
        <v>1408</v>
      </c>
      <c r="AX27" s="49"/>
      <c r="AY27" s="49"/>
      <c r="AZ27" s="49"/>
      <c r="BA27" s="49"/>
      <c r="BB27" s="49">
        <f>SUM(BB23:BB26)</f>
        <v>3905.7064411534047</v>
      </c>
      <c r="BC27" s="49"/>
      <c r="BD27" s="49"/>
      <c r="BE27" s="49"/>
      <c r="BF27" s="49"/>
      <c r="BG27" s="49">
        <f>SUM(BG23:BG26)</f>
        <v>3886.6264043869242</v>
      </c>
      <c r="BH27" s="49"/>
      <c r="BI27" s="49"/>
      <c r="BJ27" s="49"/>
      <c r="BK27" s="49"/>
      <c r="BL27" s="49">
        <f>SUM(BL23:BL26)</f>
        <v>3846.1705508246596</v>
      </c>
      <c r="BM27" s="49"/>
      <c r="BN27" s="49"/>
      <c r="BO27" s="49"/>
      <c r="BP27" s="49"/>
      <c r="BQ27" s="55">
        <f>SUM(BQ23:BQ26)</f>
        <v>4245.4428084899791</v>
      </c>
      <c r="BR27" s="162"/>
      <c r="BS27" s="162"/>
      <c r="BT27" s="162"/>
      <c r="BU27" s="12" t="s">
        <v>49</v>
      </c>
      <c r="BV27" s="162"/>
      <c r="BX27" s="12"/>
      <c r="BY27" s="12"/>
      <c r="BZ27" s="12"/>
      <c r="CA27" s="46">
        <f>FirstEnergy!I234</f>
        <v>3.0262167689161554</v>
      </c>
      <c r="CB27">
        <f>FirstEnergy!J234</f>
        <v>0</v>
      </c>
      <c r="CC27" s="12">
        <f>FirstEnergy!K234</f>
        <v>0</v>
      </c>
      <c r="CD27" s="12">
        <f>FirstEnergy!L234</f>
        <v>0</v>
      </c>
      <c r="CE27" s="12">
        <f>FirstEnergy!M234</f>
        <v>0</v>
      </c>
      <c r="CF27" s="46">
        <f>FirstEnergy!N234</f>
        <v>3.3122366863905328</v>
      </c>
      <c r="CG27" s="12">
        <f>FirstEnergy!O234</f>
        <v>0</v>
      </c>
      <c r="CH27" s="12">
        <f>FirstEnergy!P234</f>
        <v>0</v>
      </c>
      <c r="CI27" s="12">
        <f>FirstEnergy!Q234</f>
        <v>0</v>
      </c>
      <c r="CJ27" s="12">
        <f>FirstEnergy!R234</f>
        <v>0</v>
      </c>
      <c r="CK27" s="46">
        <f>FirstEnergy!S234</f>
        <v>3.4975992063492063</v>
      </c>
      <c r="CL27" s="12">
        <f>FirstEnergy!T234</f>
        <v>0</v>
      </c>
      <c r="CM27" s="12">
        <f>FirstEnergy!U234</f>
        <v>0</v>
      </c>
      <c r="CN27" s="12">
        <f>FirstEnergy!V234</f>
        <v>0</v>
      </c>
      <c r="CO27" s="12">
        <f>FirstEnergy!W234</f>
        <v>0</v>
      </c>
      <c r="CP27" s="46">
        <f>FirstEnergy!X234</f>
        <v>3.5134865134865136</v>
      </c>
      <c r="CQ27" s="12">
        <f>FirstEnergy!Y234</f>
        <v>0</v>
      </c>
      <c r="CR27" s="12">
        <f>FirstEnergy!Z234</f>
        <v>0</v>
      </c>
      <c r="CS27" s="12">
        <f>FirstEnergy!AA234</f>
        <v>0</v>
      </c>
      <c r="CT27" s="12">
        <f>FirstEnergy!AB234</f>
        <v>0</v>
      </c>
      <c r="CU27" s="46">
        <f>FirstEnergy!AC234</f>
        <v>3.6738949921259842</v>
      </c>
      <c r="CV27" s="12">
        <f>FirstEnergy!AD234</f>
        <v>0</v>
      </c>
      <c r="CW27" s="12">
        <f>FirstEnergy!AE234</f>
        <v>0</v>
      </c>
      <c r="CX27" s="12">
        <f>FirstEnergy!AF234</f>
        <v>0</v>
      </c>
      <c r="CY27" s="12">
        <f>FirstEnergy!AG234</f>
        <v>0</v>
      </c>
      <c r="CZ27" s="46">
        <f>FirstEnergy!AH234</f>
        <v>3.3402474818266543</v>
      </c>
      <c r="DA27" s="12">
        <f>FirstEnergy!AI234</f>
        <v>0</v>
      </c>
      <c r="DB27" s="12">
        <f>FirstEnergy!AJ234</f>
        <v>0</v>
      </c>
      <c r="DC27" s="12">
        <f>FirstEnergy!AK234</f>
        <v>0</v>
      </c>
      <c r="DD27" s="12">
        <f>FirstEnergy!AL234</f>
        <v>0</v>
      </c>
      <c r="DE27" s="46">
        <f>FirstEnergy!AM234</f>
        <v>3.3340554542925798</v>
      </c>
      <c r="DF27" s="12">
        <f>FirstEnergy!AN234</f>
        <v>0</v>
      </c>
      <c r="DG27" s="12">
        <f>FirstEnergy!AO234</f>
        <v>0</v>
      </c>
      <c r="DH27" s="12">
        <f>FirstEnergy!AP234</f>
        <v>0</v>
      </c>
      <c r="DI27" s="12">
        <f>FirstEnergy!AQ234</f>
        <v>0</v>
      </c>
      <c r="DJ27" s="46">
        <f>FirstEnergy!AR234</f>
        <v>3.3040234085880589</v>
      </c>
      <c r="DK27" s="12">
        <f>FirstEnergy!AS234</f>
        <v>0</v>
      </c>
      <c r="DL27" s="12">
        <f>FirstEnergy!AT234</f>
        <v>0</v>
      </c>
      <c r="DM27" s="12">
        <f>FirstEnergy!AU234</f>
        <v>0</v>
      </c>
      <c r="DN27" s="12">
        <f>FirstEnergy!AV234</f>
        <v>0</v>
      </c>
      <c r="DO27" s="46">
        <f>FirstEnergy!AW234</f>
        <v>3.3291491818747674</v>
      </c>
      <c r="DP27" s="12">
        <f>FirstEnergy!AX234</f>
        <v>0</v>
      </c>
      <c r="DQ27" s="12">
        <f>FirstEnergy!AY234</f>
        <v>0</v>
      </c>
      <c r="DR27" s="12">
        <f>FirstEnergy!AZ234</f>
        <v>0</v>
      </c>
      <c r="DS27" s="12">
        <f>FirstEnergy!BA234</f>
        <v>0</v>
      </c>
      <c r="DT27" s="46">
        <f>FirstEnergy!BB234</f>
        <v>3.1728105585965776</v>
      </c>
      <c r="DU27" s="12">
        <f>FirstEnergy!BC234</f>
        <v>0</v>
      </c>
      <c r="DV27" s="12">
        <f>FirstEnergy!BD234</f>
        <v>0</v>
      </c>
      <c r="DW27" s="12">
        <f>FirstEnergy!BE234</f>
        <v>0</v>
      </c>
      <c r="DX27" s="12">
        <f>FirstEnergy!BF234</f>
        <v>0</v>
      </c>
      <c r="DY27" s="46">
        <f>FirstEnergy!BG234</f>
        <v>3.3230263551003691</v>
      </c>
      <c r="DZ27" s="12">
        <f>FirstEnergy!BH234</f>
        <v>0</v>
      </c>
      <c r="EA27" s="12">
        <f>FirstEnergy!BI234</f>
        <v>0</v>
      </c>
      <c r="EB27" s="12">
        <f>FirstEnergy!BJ234</f>
        <v>0</v>
      </c>
      <c r="EC27" s="12">
        <f>FirstEnergy!BK234</f>
        <v>0</v>
      </c>
      <c r="ED27" s="46">
        <f>FirstEnergy!BL234</f>
        <v>3.2907915822384486</v>
      </c>
      <c r="EE27" s="12">
        <f>FirstEnergy!BM234</f>
        <v>0</v>
      </c>
      <c r="EF27" s="12">
        <f>FirstEnergy!BN234</f>
        <v>0</v>
      </c>
      <c r="EG27" s="12">
        <f>FirstEnergy!BO234</f>
        <v>0</v>
      </c>
      <c r="EH27" s="12">
        <f>FirstEnergy!BP234</f>
        <v>0</v>
      </c>
      <c r="EI27" s="46">
        <f>FirstEnergy!BQ234</f>
        <v>3.4224945109899916</v>
      </c>
    </row>
    <row r="28" spans="1:139">
      <c r="B28" s="186"/>
      <c r="C28" s="162"/>
      <c r="D28" s="162"/>
      <c r="I28" s="162"/>
      <c r="N28" s="162"/>
      <c r="S28" s="162"/>
      <c r="X28" s="162"/>
      <c r="AC28" s="162"/>
      <c r="AH28" s="162"/>
      <c r="AM28" s="162"/>
      <c r="AR28" s="162"/>
      <c r="AW28" s="162"/>
      <c r="BB28" s="162"/>
      <c r="BG28" s="162"/>
      <c r="BL28" s="162"/>
      <c r="BQ28" s="162"/>
      <c r="BR28" s="162"/>
      <c r="BS28" s="162"/>
      <c r="BT28" s="162"/>
      <c r="BU28" s="12" t="s">
        <v>50</v>
      </c>
      <c r="BV28" s="12"/>
      <c r="CA28" s="46">
        <f>FirstEnergy!I235</f>
        <v>2.0552147239263805</v>
      </c>
      <c r="CB28">
        <f>FirstEnergy!J235</f>
        <v>0</v>
      </c>
      <c r="CC28">
        <f>FirstEnergy!K235</f>
        <v>0</v>
      </c>
      <c r="CD28">
        <f>FirstEnergy!L235</f>
        <v>0</v>
      </c>
      <c r="CE28">
        <f>FirstEnergy!M235</f>
        <v>0</v>
      </c>
      <c r="CF28" s="46">
        <f>FirstEnergy!N235</f>
        <v>2.7467455621301777</v>
      </c>
      <c r="CG28">
        <f>FirstEnergy!O235</f>
        <v>0</v>
      </c>
      <c r="CH28">
        <f>FirstEnergy!P235</f>
        <v>0</v>
      </c>
      <c r="CI28">
        <f>FirstEnergy!Q235</f>
        <v>0</v>
      </c>
      <c r="CJ28">
        <f>FirstEnergy!R235</f>
        <v>0</v>
      </c>
      <c r="CK28" s="46">
        <f>FirstEnergy!S235</f>
        <v>2.4533730158730158</v>
      </c>
      <c r="CL28">
        <f>FirstEnergy!T235</f>
        <v>0</v>
      </c>
      <c r="CM28">
        <f>FirstEnergy!U235</f>
        <v>0</v>
      </c>
      <c r="CN28">
        <f>FirstEnergy!V235</f>
        <v>0</v>
      </c>
      <c r="CO28">
        <f>FirstEnergy!W235</f>
        <v>0</v>
      </c>
      <c r="CP28" s="46">
        <f>FirstEnergy!X235</f>
        <v>2.4075924075924076</v>
      </c>
      <c r="CQ28">
        <f>FirstEnergy!Y235</f>
        <v>0</v>
      </c>
      <c r="CR28">
        <f>FirstEnergy!Z235</f>
        <v>0</v>
      </c>
      <c r="CS28">
        <f>FirstEnergy!AA235</f>
        <v>0</v>
      </c>
      <c r="CT28">
        <f>FirstEnergy!AB235</f>
        <v>0</v>
      </c>
      <c r="CU28" s="46">
        <f>FirstEnergy!AC235</f>
        <v>2.1122047244094486</v>
      </c>
      <c r="CV28">
        <f>FirstEnergy!AD235</f>
        <v>0</v>
      </c>
      <c r="CW28">
        <f>FirstEnergy!AE235</f>
        <v>0</v>
      </c>
      <c r="CX28">
        <f>FirstEnergy!AF235</f>
        <v>0</v>
      </c>
      <c r="CY28">
        <f>FirstEnergy!AG235</f>
        <v>0</v>
      </c>
      <c r="CZ28" s="46">
        <f>FirstEnergy!AH235</f>
        <v>1.7679403541472507</v>
      </c>
      <c r="DA28">
        <f>FirstEnergy!AI235</f>
        <v>0</v>
      </c>
      <c r="DB28">
        <f>FirstEnergy!AJ235</f>
        <v>0</v>
      </c>
      <c r="DC28">
        <f>FirstEnergy!AK235</f>
        <v>0</v>
      </c>
      <c r="DD28">
        <f>FirstEnergy!AL235</f>
        <v>0</v>
      </c>
      <c r="DE28" s="46">
        <f>FirstEnergy!AM235</f>
        <v>2.2756183745583041</v>
      </c>
      <c r="DF28">
        <f>FirstEnergy!AN235</f>
        <v>0</v>
      </c>
      <c r="DG28">
        <f>FirstEnergy!AO235</f>
        <v>0</v>
      </c>
      <c r="DH28">
        <f>FirstEnergy!AP235</f>
        <v>0</v>
      </c>
      <c r="DI28">
        <f>FirstEnergy!AQ235</f>
        <v>0</v>
      </c>
      <c r="DJ28" s="46">
        <f>FirstEnergy!AR235</f>
        <v>2.2039757994814173</v>
      </c>
      <c r="DK28">
        <f>FirstEnergy!AS235</f>
        <v>0</v>
      </c>
      <c r="DL28">
        <f>FirstEnergy!AT235</f>
        <v>0</v>
      </c>
      <c r="DM28">
        <f>FirstEnergy!AU235</f>
        <v>0</v>
      </c>
      <c r="DN28">
        <f>FirstEnergy!AV235</f>
        <v>0</v>
      </c>
      <c r="DO28" s="46">
        <f>FirstEnergy!AW235</f>
        <v>2.3081494057724958</v>
      </c>
      <c r="DP28">
        <f>FirstEnergy!AX235</f>
        <v>0</v>
      </c>
      <c r="DQ28">
        <f>FirstEnergy!AY235</f>
        <v>0</v>
      </c>
      <c r="DR28">
        <f>FirstEnergy!AZ235</f>
        <v>0</v>
      </c>
      <c r="DS28">
        <f>FirstEnergy!BA235</f>
        <v>0</v>
      </c>
      <c r="DT28" s="46">
        <f>FirstEnergy!BB235</f>
        <v>2.1636414113550808</v>
      </c>
      <c r="DU28">
        <f>FirstEnergy!BC235</f>
        <v>0</v>
      </c>
      <c r="DV28">
        <f>FirstEnergy!BD235</f>
        <v>0</v>
      </c>
      <c r="DW28">
        <f>FirstEnergy!BE235</f>
        <v>0</v>
      </c>
      <c r="DX28">
        <f>FirstEnergy!BF235</f>
        <v>0</v>
      </c>
      <c r="DY28" s="46">
        <f>FirstEnergy!BG235</f>
        <v>2.1544853731674092</v>
      </c>
      <c r="DZ28">
        <f>FirstEnergy!BH235</f>
        <v>0</v>
      </c>
      <c r="EA28">
        <f>FirstEnergy!BI235</f>
        <v>0</v>
      </c>
      <c r="EB28">
        <f>FirstEnergy!BJ235</f>
        <v>0</v>
      </c>
      <c r="EC28">
        <f>FirstEnergy!BK235</f>
        <v>0</v>
      </c>
      <c r="ED28" s="46">
        <f>FirstEnergy!BL235</f>
        <v>2.02336827366896</v>
      </c>
      <c r="EE28">
        <f>FirstEnergy!BM235</f>
        <v>0</v>
      </c>
      <c r="EF28">
        <f>FirstEnergy!BN235</f>
        <v>0</v>
      </c>
      <c r="EG28">
        <f>FirstEnergy!BO235</f>
        <v>0</v>
      </c>
      <c r="EH28">
        <f>FirstEnergy!BP235</f>
        <v>0</v>
      </c>
      <c r="EI28" s="46">
        <f>FirstEnergy!BQ235</f>
        <v>2.2026209009810627</v>
      </c>
    </row>
    <row r="29" spans="1:139">
      <c r="B29" s="50"/>
      <c r="C29" s="13" t="s">
        <v>69</v>
      </c>
      <c r="D29" s="183"/>
      <c r="E29" s="33"/>
      <c r="F29" s="33"/>
      <c r="G29" s="33"/>
      <c r="H29" s="33"/>
      <c r="I29" s="183"/>
      <c r="J29" s="33"/>
      <c r="K29" s="33"/>
      <c r="L29" s="33"/>
      <c r="M29" s="33"/>
      <c r="N29" s="183"/>
      <c r="O29" s="33"/>
      <c r="P29" s="33"/>
      <c r="Q29" s="33"/>
      <c r="R29" s="33"/>
      <c r="S29" s="183"/>
      <c r="T29" s="33"/>
      <c r="U29" s="33"/>
      <c r="V29" s="33"/>
      <c r="W29" s="33"/>
      <c r="X29" s="183"/>
      <c r="Y29" s="33"/>
      <c r="Z29" s="33"/>
      <c r="AA29" s="33"/>
      <c r="AB29" s="33"/>
      <c r="AC29" s="183"/>
      <c r="AD29" s="33"/>
      <c r="AE29" s="33"/>
      <c r="AF29" s="33"/>
      <c r="AG29" s="33"/>
      <c r="AH29" s="183"/>
      <c r="AI29" s="33"/>
      <c r="AJ29" s="33"/>
      <c r="AK29" s="33"/>
      <c r="AL29" s="33"/>
      <c r="AM29" s="183"/>
      <c r="AN29" s="33"/>
      <c r="AO29" s="33"/>
      <c r="AP29" s="33"/>
      <c r="AQ29" s="33"/>
      <c r="AR29" s="183"/>
      <c r="AS29" s="33"/>
      <c r="AT29" s="33"/>
      <c r="AU29" s="33"/>
      <c r="AV29" s="33"/>
      <c r="AW29" s="183"/>
      <c r="AX29" s="33"/>
      <c r="AY29" s="33"/>
      <c r="AZ29" s="33"/>
      <c r="BA29" s="33"/>
      <c r="BB29" s="183"/>
      <c r="BC29" s="33"/>
      <c r="BD29" s="33"/>
      <c r="BE29" s="33"/>
      <c r="BF29" s="33"/>
      <c r="BG29" s="183"/>
      <c r="BH29" s="33"/>
      <c r="BI29" s="33"/>
      <c r="BJ29" s="33"/>
      <c r="BK29" s="33"/>
      <c r="BL29" s="183"/>
      <c r="BM29" s="33"/>
      <c r="BN29" s="33"/>
      <c r="BO29" s="33"/>
      <c r="BP29" s="33"/>
      <c r="BQ29" s="183"/>
      <c r="BR29" s="162"/>
      <c r="BS29" s="162"/>
      <c r="BT29" s="162"/>
      <c r="BU29" s="162"/>
      <c r="BV29" s="162"/>
      <c r="CA29" s="162"/>
      <c r="CF29" s="162"/>
      <c r="CK29" s="162"/>
      <c r="CP29" s="162"/>
      <c r="CU29" s="162"/>
      <c r="CZ29" s="162"/>
      <c r="DE29" s="162"/>
      <c r="DJ29" s="162"/>
      <c r="DO29" s="162"/>
      <c r="DT29" s="162"/>
      <c r="DY29" s="162"/>
      <c r="ED29" s="162"/>
      <c r="EI29" s="162"/>
    </row>
    <row r="30" spans="1:139">
      <c r="B30" s="50"/>
      <c r="C30" s="12" t="s">
        <v>874</v>
      </c>
      <c r="D30" s="162"/>
      <c r="E30" s="26"/>
      <c r="F30" s="26"/>
      <c r="G30" s="26"/>
      <c r="H30" s="26"/>
      <c r="I30" s="185">
        <f>(I23+I25)/I27</f>
        <v>0.60476550680786689</v>
      </c>
      <c r="J30" s="26"/>
      <c r="K30" s="26"/>
      <c r="L30" s="26"/>
      <c r="M30" s="26"/>
      <c r="N30" s="185">
        <f>(N23+N25)/N27</f>
        <v>0.7469558599695586</v>
      </c>
      <c r="O30" s="26"/>
      <c r="P30" s="26"/>
      <c r="Q30" s="26"/>
      <c r="R30" s="26"/>
      <c r="S30" s="185">
        <f>(S23+S25)/S27</f>
        <v>0.67217870612126485</v>
      </c>
      <c r="T30" s="26"/>
      <c r="U30" s="26"/>
      <c r="V30" s="26"/>
      <c r="W30" s="26"/>
      <c r="X30" s="185">
        <f>(X23+X25)/X27</f>
        <v>0.7364524726088244</v>
      </c>
      <c r="Y30" s="26"/>
      <c r="Z30" s="26"/>
      <c r="AA30" s="26"/>
      <c r="AB30" s="26"/>
      <c r="AC30" s="185">
        <f>(AC23+AC25)/AC27</f>
        <v>0.91559159601916695</v>
      </c>
      <c r="AD30" s="26"/>
      <c r="AE30" s="26"/>
      <c r="AF30" s="26"/>
      <c r="AG30" s="26"/>
      <c r="AH30" s="185">
        <f>(AH23+AH25)/AH27</f>
        <v>1.0537084398976981</v>
      </c>
      <c r="AI30" s="26"/>
      <c r="AJ30" s="26"/>
      <c r="AK30" s="26"/>
      <c r="AL30" s="26"/>
      <c r="AM30" s="185">
        <f>(AM23+AM25)/AM27</f>
        <v>0.9210031347962383</v>
      </c>
      <c r="AN30" s="26"/>
      <c r="AO30" s="26"/>
      <c r="AP30" s="26"/>
      <c r="AQ30" s="26"/>
      <c r="AR30" s="185">
        <f>(AR23+AR25)/AR27</f>
        <v>-0.451128914785142</v>
      </c>
      <c r="AS30" s="26"/>
      <c r="AT30" s="26"/>
      <c r="AU30" s="26"/>
      <c r="AV30" s="26"/>
      <c r="AW30" s="185">
        <f>(AW23+AW25)/AW27</f>
        <v>2.5745738636363638</v>
      </c>
      <c r="AX30" s="26"/>
      <c r="AY30" s="26"/>
      <c r="AZ30" s="26"/>
      <c r="BA30" s="26"/>
      <c r="BB30" s="185">
        <f>(BB23+BB25)/BB27</f>
        <v>0.96305714035496903</v>
      </c>
      <c r="BC30" s="26"/>
      <c r="BD30" s="26"/>
      <c r="BE30" s="26"/>
      <c r="BF30" s="26"/>
      <c r="BG30" s="185">
        <f>(BG23+BG25)/BG27</f>
        <v>1.0115181142650767</v>
      </c>
      <c r="BH30" s="26"/>
      <c r="BI30" s="26"/>
      <c r="BJ30" s="26"/>
      <c r="BK30" s="26"/>
      <c r="BL30" s="185">
        <f>(BL23+BL25)/BL27</f>
        <v>1.0241779212104007</v>
      </c>
      <c r="BM30" s="26"/>
      <c r="BN30" s="26"/>
      <c r="BO30" s="26"/>
      <c r="BP30" s="26"/>
      <c r="BQ30" s="185">
        <f>(BQ23+BQ25)/BQ27</f>
        <v>0.98094385338094647</v>
      </c>
      <c r="BR30" s="162"/>
      <c r="BS30" s="162"/>
      <c r="BT30" s="162"/>
      <c r="BU30" s="162"/>
      <c r="BV30" s="162"/>
      <c r="CA30" s="162"/>
      <c r="CF30" s="162"/>
      <c r="CK30" s="162"/>
      <c r="CP30" s="162"/>
      <c r="CU30" s="162"/>
      <c r="CZ30" s="162"/>
      <c r="DE30" s="162"/>
      <c r="DJ30" s="162"/>
      <c r="DO30" s="162"/>
      <c r="DT30" s="162"/>
      <c r="DY30" s="162"/>
      <c r="ED30" s="162"/>
      <c r="EI30" s="162"/>
    </row>
    <row r="31" spans="1:139">
      <c r="B31" s="186"/>
      <c r="C31" s="162" t="s">
        <v>875</v>
      </c>
      <c r="D31" s="162"/>
      <c r="E31" s="26"/>
      <c r="F31" s="26"/>
      <c r="G31" s="26"/>
      <c r="H31" s="26"/>
      <c r="I31" s="185">
        <f>(I24+I26)/I27</f>
        <v>0.39523449319213311</v>
      </c>
      <c r="J31" s="26"/>
      <c r="K31" s="26"/>
      <c r="L31" s="26"/>
      <c r="M31" s="26"/>
      <c r="N31" s="185">
        <f>(N24+N26)/N27</f>
        <v>0.2530441400304414</v>
      </c>
      <c r="O31" s="26"/>
      <c r="P31" s="26"/>
      <c r="Q31" s="26"/>
      <c r="R31" s="26"/>
      <c r="S31" s="185">
        <f>(S24+S26)/S27</f>
        <v>0.32782129387873515</v>
      </c>
      <c r="T31" s="26"/>
      <c r="U31" s="26"/>
      <c r="V31" s="26"/>
      <c r="W31" s="26"/>
      <c r="X31" s="185">
        <f>(X24+X26)/X27</f>
        <v>0.2635475273911756</v>
      </c>
      <c r="Y31" s="26"/>
      <c r="Z31" s="26"/>
      <c r="AA31" s="26"/>
      <c r="AB31" s="26"/>
      <c r="AC31" s="185">
        <f>(AC24+AC26)/AC27</f>
        <v>8.4408403980833033E-2</v>
      </c>
      <c r="AD31" s="26"/>
      <c r="AE31" s="26"/>
      <c r="AF31" s="26"/>
      <c r="AG31" s="26"/>
      <c r="AH31" s="185">
        <f>(AH24+AH26)/AH27</f>
        <v>-5.3708439897698211E-2</v>
      </c>
      <c r="AI31" s="26"/>
      <c r="AJ31" s="26"/>
      <c r="AK31" s="26"/>
      <c r="AL31" s="26"/>
      <c r="AM31" s="185">
        <f>(AM24+AM26)/AM27</f>
        <v>7.8996865203761757E-2</v>
      </c>
      <c r="AN31" s="26"/>
      <c r="AO31" s="26"/>
      <c r="AP31" s="26"/>
      <c r="AQ31" s="26"/>
      <c r="AR31" s="185">
        <f>(AR24+AR26)/AR27</f>
        <v>1.4511289147851421</v>
      </c>
      <c r="AS31" s="26"/>
      <c r="AT31" s="26"/>
      <c r="AU31" s="26"/>
      <c r="AV31" s="26"/>
      <c r="AW31" s="185">
        <f>(AW24+AW26)/AW27</f>
        <v>-1.5745738636363635</v>
      </c>
      <c r="AX31" s="26"/>
      <c r="AY31" s="26"/>
      <c r="AZ31" s="26"/>
      <c r="BA31" s="26"/>
      <c r="BB31" s="185">
        <f>(BB24+BB26)/BB27</f>
        <v>3.6942859645030836E-2</v>
      </c>
      <c r="BC31" s="26"/>
      <c r="BD31" s="26"/>
      <c r="BE31" s="26"/>
      <c r="BF31" s="26"/>
      <c r="BG31" s="185">
        <f>(BG24+BG26)/BG27</f>
        <v>-1.1518114265076478E-2</v>
      </c>
      <c r="BH31" s="26"/>
      <c r="BI31" s="26"/>
      <c r="BJ31" s="26"/>
      <c r="BK31" s="26"/>
      <c r="BL31" s="185">
        <f>(BL24+BL26)/BL27</f>
        <v>-2.4177921210400775E-2</v>
      </c>
      <c r="BM31" s="26"/>
      <c r="BN31" s="26"/>
      <c r="BO31" s="26"/>
      <c r="BP31" s="26"/>
      <c r="BQ31" s="185">
        <f>(BQ24+BQ26)/BQ27</f>
        <v>1.9056146619053541E-2</v>
      </c>
      <c r="BR31" s="162"/>
      <c r="BS31" s="162"/>
      <c r="BT31" s="162"/>
      <c r="BU31" s="162"/>
      <c r="BV31" s="162"/>
      <c r="CA31" s="162"/>
      <c r="CF31" s="162"/>
      <c r="CK31" s="162"/>
      <c r="CP31" s="162"/>
      <c r="CU31" s="162"/>
      <c r="CZ31" s="162"/>
      <c r="DE31" s="162"/>
      <c r="DJ31" s="162"/>
      <c r="DO31" s="162"/>
      <c r="DT31" s="162"/>
      <c r="DY31" s="162"/>
      <c r="ED31" s="162"/>
      <c r="EI31" s="162"/>
    </row>
    <row r="32" spans="1:139">
      <c r="B32" s="162"/>
      <c r="C32" s="186" t="s">
        <v>39</v>
      </c>
      <c r="D32" s="162"/>
      <c r="E32" s="26"/>
      <c r="F32" s="26"/>
      <c r="G32" s="26"/>
      <c r="H32" s="26"/>
      <c r="I32" s="185">
        <v>0</v>
      </c>
      <c r="J32" s="26"/>
      <c r="K32" s="26"/>
      <c r="L32" s="26"/>
      <c r="M32" s="26"/>
      <c r="N32" s="185">
        <v>0</v>
      </c>
      <c r="O32" s="26"/>
      <c r="P32" s="26"/>
      <c r="Q32" s="26"/>
      <c r="R32" s="26"/>
      <c r="S32" s="185">
        <v>0</v>
      </c>
      <c r="T32" s="26"/>
      <c r="U32" s="26"/>
      <c r="V32" s="26"/>
      <c r="W32" s="26"/>
      <c r="X32" s="185">
        <v>0</v>
      </c>
      <c r="Y32" s="26"/>
      <c r="Z32" s="26"/>
      <c r="AA32" s="26"/>
      <c r="AB32" s="26"/>
      <c r="AC32" s="185">
        <v>0</v>
      </c>
      <c r="AD32" s="26"/>
      <c r="AE32" s="26"/>
      <c r="AF32" s="26"/>
      <c r="AG32" s="26"/>
      <c r="AH32" s="185">
        <v>0</v>
      </c>
      <c r="AI32" s="26"/>
      <c r="AJ32" s="26"/>
      <c r="AK32" s="26"/>
      <c r="AL32" s="26"/>
      <c r="AM32" s="185">
        <v>0</v>
      </c>
      <c r="AN32" s="26"/>
      <c r="AO32" s="26"/>
      <c r="AP32" s="26"/>
      <c r="AQ32" s="26"/>
      <c r="AR32" s="185">
        <v>0</v>
      </c>
      <c r="AS32" s="26"/>
      <c r="AT32" s="26"/>
      <c r="AU32" s="26"/>
      <c r="AV32" s="26"/>
      <c r="AW32" s="185">
        <v>0</v>
      </c>
      <c r="AX32" s="26"/>
      <c r="AY32" s="26"/>
      <c r="AZ32" s="26"/>
      <c r="BA32" s="26"/>
      <c r="BB32" s="185">
        <v>0</v>
      </c>
      <c r="BC32" s="26"/>
      <c r="BD32" s="26"/>
      <c r="BE32" s="26"/>
      <c r="BF32" s="26"/>
      <c r="BG32" s="185">
        <v>0</v>
      </c>
      <c r="BH32" s="26"/>
      <c r="BI32" s="26"/>
      <c r="BJ32" s="26"/>
      <c r="BK32" s="26"/>
      <c r="BL32" s="185">
        <v>0</v>
      </c>
      <c r="BM32" s="26"/>
      <c r="BN32" s="26"/>
      <c r="BO32" s="26"/>
      <c r="BP32" s="26"/>
      <c r="BQ32" s="185">
        <v>0</v>
      </c>
      <c r="BR32" s="162"/>
      <c r="BS32" s="162"/>
      <c r="BT32" s="162"/>
      <c r="BU32" s="162"/>
      <c r="BV32" s="162"/>
      <c r="CA32" s="162"/>
      <c r="CF32" s="162"/>
      <c r="CK32" s="162"/>
      <c r="CP32" s="162"/>
      <c r="CU32" s="162"/>
      <c r="CZ32" s="162"/>
      <c r="DE32" s="162"/>
      <c r="DJ32" s="162"/>
      <c r="DO32" s="162"/>
      <c r="DT32" s="162"/>
      <c r="DY32" s="162"/>
      <c r="ED32" s="162"/>
      <c r="EI32" s="162"/>
    </row>
    <row r="33" spans="2:139">
      <c r="B33" s="162"/>
      <c r="C33" s="162"/>
      <c r="D33" s="162"/>
      <c r="I33" s="162"/>
      <c r="N33" s="162"/>
      <c r="S33" s="162"/>
      <c r="X33" s="162"/>
      <c r="AC33" s="162"/>
      <c r="AH33" s="162"/>
      <c r="AM33" s="162"/>
      <c r="AR33" s="162"/>
      <c r="AW33" s="162"/>
      <c r="BB33" s="162"/>
      <c r="BG33" s="162"/>
      <c r="BL33" s="162"/>
      <c r="BQ33" s="162"/>
      <c r="BR33" s="162"/>
      <c r="BS33" s="162"/>
      <c r="BT33" s="162"/>
      <c r="BU33" s="162"/>
      <c r="BV33" s="162"/>
      <c r="CA33" s="162"/>
      <c r="CF33" s="162"/>
      <c r="CK33" s="162"/>
      <c r="CP33" s="162"/>
      <c r="CU33" s="162"/>
      <c r="CZ33" s="162"/>
      <c r="DE33" s="162"/>
      <c r="DJ33" s="162"/>
      <c r="DO33" s="162"/>
      <c r="DT33" s="162"/>
      <c r="DY33" s="162"/>
      <c r="ED33" s="162"/>
      <c r="EI33" s="162"/>
    </row>
    <row r="34" spans="2:139">
      <c r="B34" s="162"/>
      <c r="C34" s="162"/>
      <c r="D34" s="162"/>
      <c r="I34" s="162"/>
      <c r="N34" s="162"/>
      <c r="S34" s="162"/>
      <c r="X34" s="162"/>
      <c r="AC34" s="162"/>
      <c r="AH34" s="162"/>
      <c r="AM34" s="162"/>
      <c r="AR34" s="162"/>
      <c r="AW34" s="162"/>
      <c r="BB34" s="162"/>
      <c r="BG34" s="162"/>
      <c r="BL34" s="162"/>
      <c r="BQ34" s="162"/>
      <c r="BR34" s="162"/>
      <c r="BS34" s="162"/>
      <c r="BT34" s="162"/>
      <c r="BU34" s="162"/>
      <c r="BV34" s="162"/>
      <c r="CA34" s="162"/>
      <c r="CF34" s="162"/>
      <c r="CK34" s="162"/>
      <c r="CP34" s="162"/>
      <c r="CU34" s="162"/>
      <c r="CZ34" s="162"/>
      <c r="DE34" s="162"/>
      <c r="DJ34" s="162"/>
      <c r="DO34" s="162"/>
      <c r="DT34" s="162"/>
      <c r="DY34" s="162"/>
      <c r="ED34" s="162"/>
      <c r="EI34" s="162"/>
    </row>
    <row r="35" spans="2:139">
      <c r="B35" s="10" t="s">
        <v>70</v>
      </c>
      <c r="C35" s="10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162"/>
      <c r="BS35" s="162"/>
      <c r="BT35" s="10" t="s">
        <v>97</v>
      </c>
      <c r="BU35" s="10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 s="32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DY35" s="32"/>
      <c r="DZ35" s="32"/>
      <c r="EA35" s="32"/>
      <c r="EB35" s="32"/>
      <c r="EC35" s="32"/>
      <c r="ED35" s="32"/>
      <c r="EE35" s="32"/>
      <c r="EF35" s="32"/>
      <c r="EG35" s="32"/>
      <c r="EH35" s="32"/>
      <c r="EI35" s="32"/>
    </row>
    <row r="36" spans="2:139">
      <c r="B36" s="38"/>
      <c r="C36" s="12"/>
      <c r="D36" s="162"/>
      <c r="E36" s="18"/>
      <c r="F36" s="18"/>
      <c r="G36" s="18"/>
      <c r="H36" s="18"/>
      <c r="I36" s="189"/>
      <c r="J36" s="18"/>
      <c r="K36" s="18"/>
      <c r="L36" s="18"/>
      <c r="M36" s="18"/>
      <c r="N36" s="189"/>
      <c r="O36" s="18"/>
      <c r="P36" s="18"/>
      <c r="Q36" s="18"/>
      <c r="R36" s="18"/>
      <c r="S36" s="189"/>
      <c r="T36" s="18"/>
      <c r="U36" s="18"/>
      <c r="V36" s="18"/>
      <c r="W36" s="18"/>
      <c r="X36" s="189"/>
      <c r="Y36" s="18"/>
      <c r="Z36" s="18"/>
      <c r="AA36" s="18"/>
      <c r="AB36" s="18"/>
      <c r="AC36" s="189"/>
      <c r="AD36" s="18"/>
      <c r="AE36" s="18"/>
      <c r="AF36" s="18"/>
      <c r="AG36" s="18"/>
      <c r="AH36" s="189"/>
      <c r="AI36" s="18"/>
      <c r="AJ36" s="18"/>
      <c r="AK36" s="18"/>
      <c r="AL36" s="18"/>
      <c r="AM36" s="189"/>
      <c r="AN36" s="18"/>
      <c r="AO36" s="18"/>
      <c r="AP36" s="18"/>
      <c r="AQ36" s="18"/>
      <c r="AR36" s="189"/>
      <c r="AS36" s="18"/>
      <c r="AT36" s="18"/>
      <c r="AU36" s="18"/>
      <c r="AV36" s="18"/>
      <c r="AW36" s="189"/>
      <c r="AX36" s="18"/>
      <c r="AY36" s="18"/>
      <c r="AZ36" s="18"/>
      <c r="BA36" s="18"/>
      <c r="BB36" s="189"/>
      <c r="BC36" s="18"/>
      <c r="BD36" s="18"/>
      <c r="BE36" s="18"/>
      <c r="BF36" s="18"/>
      <c r="BG36" s="189"/>
      <c r="BH36" s="18"/>
      <c r="BI36" s="18"/>
      <c r="BJ36" s="18"/>
      <c r="BK36" s="18"/>
      <c r="BL36" s="189"/>
      <c r="BM36" s="18"/>
      <c r="BN36" s="18"/>
      <c r="BO36" s="18"/>
      <c r="BP36" s="18"/>
      <c r="BQ36" s="189"/>
      <c r="BR36" s="162"/>
      <c r="BS36" s="162"/>
      <c r="BT36" s="38"/>
      <c r="BU36" s="25"/>
      <c r="BV36" s="162"/>
      <c r="BW36" s="15"/>
      <c r="BX36" s="15"/>
      <c r="BY36" s="15"/>
      <c r="BZ36" s="15"/>
      <c r="CA36" s="184"/>
      <c r="CB36" s="15"/>
      <c r="CC36" s="15"/>
      <c r="CD36" s="15"/>
      <c r="CE36" s="15"/>
      <c r="CF36" s="184"/>
      <c r="CG36" s="15"/>
      <c r="CH36" s="15"/>
      <c r="CI36" s="15"/>
      <c r="CJ36" s="15"/>
      <c r="CK36" s="184"/>
      <c r="CL36" s="15"/>
      <c r="CM36" s="15"/>
      <c r="CN36" s="15"/>
      <c r="CO36" s="15"/>
      <c r="CP36" s="184"/>
      <c r="CQ36" s="15"/>
      <c r="CR36" s="15"/>
      <c r="CS36" s="15"/>
      <c r="CT36" s="15"/>
      <c r="CU36" s="184"/>
      <c r="CV36" s="15"/>
      <c r="CW36" s="15"/>
      <c r="CX36" s="15"/>
      <c r="CY36" s="15"/>
      <c r="CZ36" s="184"/>
      <c r="DA36" s="15"/>
      <c r="DB36" s="15"/>
      <c r="DC36" s="15"/>
      <c r="DD36" s="15"/>
      <c r="DE36" s="184"/>
      <c r="DF36" s="15"/>
      <c r="DG36" s="15"/>
      <c r="DH36" s="15"/>
      <c r="DI36" s="15"/>
      <c r="DJ36" s="184"/>
      <c r="DK36" s="15"/>
      <c r="DL36" s="15"/>
      <c r="DM36" s="15"/>
      <c r="DN36" s="15"/>
      <c r="DO36" s="184"/>
      <c r="DP36" s="15"/>
      <c r="DQ36" s="15"/>
      <c r="DR36" s="15"/>
      <c r="DS36" s="15"/>
      <c r="DT36" s="184"/>
      <c r="DU36" s="15"/>
      <c r="DV36" s="15"/>
      <c r="DW36" s="15"/>
      <c r="DX36" s="15"/>
      <c r="DY36" s="184"/>
      <c r="DZ36" s="15"/>
      <c r="EA36" s="15"/>
      <c r="EB36" s="15"/>
      <c r="EC36" s="15"/>
      <c r="ED36" s="184"/>
      <c r="EE36" s="15"/>
      <c r="EF36" s="15"/>
      <c r="EG36" s="15"/>
      <c r="EH36" s="15"/>
      <c r="EI36" s="184"/>
    </row>
    <row r="37" spans="2:139">
      <c r="B37" s="38"/>
      <c r="C37" s="30" t="s">
        <v>19</v>
      </c>
      <c r="D37" s="162"/>
      <c r="E37" s="28"/>
      <c r="F37" s="28"/>
      <c r="G37" s="28"/>
      <c r="H37" s="28"/>
      <c r="I37" s="28">
        <f>FirstEnergy!I61</f>
        <v>2.2000000000000002</v>
      </c>
      <c r="J37" s="28"/>
      <c r="K37" s="28"/>
      <c r="L37" s="28"/>
      <c r="M37" s="28"/>
      <c r="N37" s="28">
        <f>FirstEnergy!N61</f>
        <v>2.2000000000000002</v>
      </c>
      <c r="O37" s="28"/>
      <c r="P37" s="28"/>
      <c r="Q37" s="28"/>
      <c r="R37" s="28"/>
      <c r="S37" s="28">
        <f>FirstEnergy!S61</f>
        <v>2.2000000000000002</v>
      </c>
      <c r="T37" s="28"/>
      <c r="U37" s="28"/>
      <c r="V37" s="28"/>
      <c r="W37" s="28"/>
      <c r="X37" s="28">
        <f>FirstEnergy!X61</f>
        <v>2.2000000000000002</v>
      </c>
      <c r="Y37" s="28"/>
      <c r="Z37" s="28"/>
      <c r="AA37" s="28"/>
      <c r="AB37" s="28"/>
      <c r="AC37" s="28">
        <f>FirstEnergy!AC61</f>
        <v>2.2000000000000002</v>
      </c>
      <c r="AD37" s="28"/>
      <c r="AE37" s="28"/>
      <c r="AF37" s="28"/>
      <c r="AG37" s="28"/>
      <c r="AH37" s="28">
        <f>FirstEnergy!AH61</f>
        <v>1.44</v>
      </c>
      <c r="AI37" s="28"/>
      <c r="AJ37" s="28"/>
      <c r="AK37" s="28"/>
      <c r="AL37" s="28"/>
      <c r="AM37" s="28">
        <f>FirstEnergy!AM61</f>
        <v>1.44</v>
      </c>
      <c r="AN37" s="28"/>
      <c r="AO37" s="28"/>
      <c r="AP37" s="28"/>
      <c r="AQ37" s="28"/>
      <c r="AR37" s="28">
        <f>FirstEnergy!AR61</f>
        <v>1.44</v>
      </c>
      <c r="AS37" s="28"/>
      <c r="AT37" s="28"/>
      <c r="AU37" s="28"/>
      <c r="AV37" s="28"/>
      <c r="AW37" s="28">
        <f>FirstEnergy!AW61</f>
        <v>1.44</v>
      </c>
      <c r="AX37" s="28"/>
      <c r="AY37" s="28"/>
      <c r="AZ37" s="28"/>
      <c r="BA37" s="28"/>
      <c r="BB37" s="28">
        <f>FirstEnergy!BB61</f>
        <v>1.44</v>
      </c>
      <c r="BC37" s="28"/>
      <c r="BD37" s="28"/>
      <c r="BE37" s="28"/>
      <c r="BF37" s="28"/>
      <c r="BG37" s="28">
        <f>FirstEnergy!BG61</f>
        <v>1.44</v>
      </c>
      <c r="BH37" s="28"/>
      <c r="BI37" s="28"/>
      <c r="BJ37" s="28"/>
      <c r="BK37" s="28"/>
      <c r="BL37" s="28">
        <f>FirstEnergy!BL61</f>
        <v>1.44</v>
      </c>
      <c r="BM37" s="28"/>
      <c r="BN37" s="28"/>
      <c r="BO37" s="28"/>
      <c r="BP37" s="28"/>
      <c r="BQ37" s="28">
        <f>FirstEnergy!BQ61</f>
        <v>1.44</v>
      </c>
      <c r="BR37" s="162"/>
      <c r="BS37" s="162"/>
      <c r="BT37" s="38"/>
      <c r="BU37" s="13" t="s">
        <v>98</v>
      </c>
      <c r="BV37" s="162"/>
      <c r="CA37" s="162"/>
      <c r="CF37" s="162"/>
      <c r="CK37" s="162"/>
      <c r="CP37" s="162"/>
      <c r="CU37" s="162"/>
      <c r="CZ37" s="162"/>
      <c r="DE37" s="162"/>
      <c r="DJ37" s="162"/>
      <c r="DO37" s="162"/>
      <c r="DT37" s="162"/>
      <c r="DY37" s="162"/>
      <c r="ED37" s="162"/>
      <c r="EI37" s="162"/>
    </row>
    <row r="38" spans="2:139">
      <c r="B38" s="38"/>
      <c r="C38" s="25" t="s">
        <v>17</v>
      </c>
      <c r="D38" s="162"/>
      <c r="E38" s="17"/>
      <c r="F38" s="17"/>
      <c r="G38" s="17"/>
      <c r="H38" s="17"/>
      <c r="I38" s="190">
        <f>I37/$N$60</f>
        <v>6.3768115942028997E-2</v>
      </c>
      <c r="J38" s="17"/>
      <c r="K38" s="17"/>
      <c r="L38" s="17"/>
      <c r="M38" s="17"/>
      <c r="N38" s="190">
        <f>N37/$N$60</f>
        <v>6.3768115942028997E-2</v>
      </c>
      <c r="O38" s="17"/>
      <c r="P38" s="17"/>
      <c r="Q38" s="17"/>
      <c r="R38" s="17"/>
      <c r="S38" s="190">
        <f>S37/$N$60</f>
        <v>6.3768115942028997E-2</v>
      </c>
      <c r="T38" s="17"/>
      <c r="U38" s="17"/>
      <c r="V38" s="17"/>
      <c r="W38" s="17"/>
      <c r="X38" s="190">
        <f>X37/$N$60</f>
        <v>6.3768115942028997E-2</v>
      </c>
      <c r="Y38" s="17"/>
      <c r="Z38" s="17"/>
      <c r="AA38" s="17"/>
      <c r="AB38" s="17"/>
      <c r="AC38" s="190">
        <f>AC37/$N$60</f>
        <v>6.3768115942028997E-2</v>
      </c>
      <c r="AD38" s="17"/>
      <c r="AE38" s="17"/>
      <c r="AF38" s="17"/>
      <c r="AG38" s="17"/>
      <c r="AH38" s="190">
        <f>AH37/$N$60</f>
        <v>4.1739130434782605E-2</v>
      </c>
      <c r="AI38" s="17"/>
      <c r="AJ38" s="17"/>
      <c r="AK38" s="17"/>
      <c r="AL38" s="17"/>
      <c r="AM38" s="190">
        <f>AM37/$N$60</f>
        <v>4.1739130434782605E-2</v>
      </c>
      <c r="AN38" s="17"/>
      <c r="AO38" s="17"/>
      <c r="AP38" s="17"/>
      <c r="AQ38" s="17"/>
      <c r="AR38" s="190">
        <f>AR37/$N$60</f>
        <v>4.1739130434782605E-2</v>
      </c>
      <c r="AS38" s="17"/>
      <c r="AT38" s="17"/>
      <c r="AU38" s="17"/>
      <c r="AV38" s="17"/>
      <c r="AW38" s="190">
        <f>AW37/$N$60</f>
        <v>4.1739130434782605E-2</v>
      </c>
      <c r="AX38" s="17"/>
      <c r="AY38" s="17"/>
      <c r="AZ38" s="17"/>
      <c r="BA38" s="17"/>
      <c r="BB38" s="190">
        <f>BB37/$N$60</f>
        <v>4.1739130434782605E-2</v>
      </c>
      <c r="BC38" s="17"/>
      <c r="BD38" s="17"/>
      <c r="BE38" s="17"/>
      <c r="BF38" s="17"/>
      <c r="BG38" s="190">
        <f>BG37/$N$60</f>
        <v>4.1739130434782605E-2</v>
      </c>
      <c r="BH38" s="17"/>
      <c r="BI38" s="17"/>
      <c r="BJ38" s="17"/>
      <c r="BK38" s="17"/>
      <c r="BL38" s="190">
        <f>BL37/$N$60</f>
        <v>4.1739130434782605E-2</v>
      </c>
      <c r="BM38" s="17"/>
      <c r="BN38" s="17"/>
      <c r="BO38" s="17"/>
      <c r="BP38" s="17"/>
      <c r="BQ38" s="190">
        <f>BQ37/$N$60</f>
        <v>4.1739130434782605E-2</v>
      </c>
      <c r="BR38" s="162"/>
      <c r="BS38" s="162"/>
      <c r="BT38" s="38"/>
      <c r="BU38" s="91" t="s">
        <v>874</v>
      </c>
      <c r="BV38" s="139"/>
      <c r="BW38" s="166"/>
      <c r="BX38" s="166"/>
      <c r="BY38" s="166"/>
      <c r="BZ38" s="166"/>
      <c r="CA38" s="865">
        <f>+Distribution!I35+Transmission!I33+Distribution!I13+Distribution!I14+Transmission!I12+Transmission!I11</f>
        <v>1856</v>
      </c>
      <c r="CB38" s="166"/>
      <c r="CC38" s="166"/>
      <c r="CD38" s="166"/>
      <c r="CE38" s="166"/>
      <c r="CF38" s="865">
        <f>+Distribution!N35+Transmission!N33+Distribution!N13+Distribution!N14+Transmission!N12+Transmission!N11</f>
        <v>1948</v>
      </c>
      <c r="CG38" s="1270">
        <f>+FirstEnergy!O134</f>
        <v>491</v>
      </c>
      <c r="CH38" s="1270">
        <f>+FirstEnergy!P134</f>
        <v>540</v>
      </c>
      <c r="CI38" s="1270">
        <f>+FirstEnergy!Q134</f>
        <v>1198</v>
      </c>
      <c r="CJ38" s="1270">
        <f>+FirstEnergy!R134</f>
        <v>834</v>
      </c>
      <c r="CK38" s="865">
        <f>+Distribution!S35+Transmission!S33+Distribution!S13+Distribution!S14+Transmission!S12+Transmission!S11</f>
        <v>2094</v>
      </c>
      <c r="CL38" s="1270">
        <f>+FirstEnergy!T134</f>
        <v>-413</v>
      </c>
      <c r="CM38" s="1270">
        <f>+FirstEnergy!U134</f>
        <v>475</v>
      </c>
      <c r="CN38" s="1270">
        <f>+FirstEnergy!V134</f>
        <v>1214</v>
      </c>
      <c r="CO38" s="1270">
        <f>+FirstEnergy!W134</f>
        <v>1044</v>
      </c>
      <c r="CP38" s="865">
        <f>+Distribution!X35+Transmission!X33+Distribution!X13+Distribution!X14+Transmission!X12+Transmission!X11</f>
        <v>2076</v>
      </c>
      <c r="CQ38" s="1270">
        <f>+FirstEnergy!Y134</f>
        <v>50</v>
      </c>
      <c r="CR38" s="1270">
        <f>+FirstEnergy!Z134</f>
        <v>443</v>
      </c>
      <c r="CS38" s="1270">
        <f>+FirstEnergy!AA134</f>
        <v>1178</v>
      </c>
      <c r="CT38" s="1270">
        <f>+FirstEnergy!AB134</f>
        <v>991</v>
      </c>
      <c r="CU38" s="865">
        <f>+Distribution!AC35+Transmission!AC33+Distribution!AC13+Distribution!AC14+Transmission!AC12+Transmission!AC11</f>
        <v>2329</v>
      </c>
      <c r="CV38" s="1270">
        <f>+FirstEnergy!AD134</f>
        <v>-92</v>
      </c>
      <c r="CW38" s="1270">
        <f>+FirstEnergy!AE134</f>
        <v>714</v>
      </c>
      <c r="CX38" s="1270">
        <f>+FirstEnergy!AF134</f>
        <v>1115</v>
      </c>
      <c r="CY38" s="1270">
        <f>+FirstEnergy!AG134</f>
        <v>976</v>
      </c>
      <c r="CZ38" s="865">
        <f>+Distribution!AH35+Transmission!AH33+Distribution!AH13+Distribution!AH14+Transmission!AH12+Transmission!AH11</f>
        <v>1832</v>
      </c>
      <c r="DA38" s="1270">
        <f>+FirstEnergy!AI134</f>
        <v>193</v>
      </c>
      <c r="DB38" s="1270">
        <f>+FirstEnergy!AJ134</f>
        <v>797</v>
      </c>
      <c r="DC38" s="1270">
        <f>+FirstEnergy!AK134</f>
        <v>1327</v>
      </c>
      <c r="DD38" s="1270">
        <f>+FirstEnergy!AL134</f>
        <v>1130</v>
      </c>
      <c r="DE38" s="865">
        <f>+Distribution!AM35+Transmission!AM33+Distribution!AM13+Distribution!AM14+Transmission!AM12+Transmission!AM11</f>
        <v>2163</v>
      </c>
      <c r="DF38" s="1270">
        <f>+FirstEnergy!AN134</f>
        <v>638</v>
      </c>
      <c r="DG38" s="1270">
        <f>+FirstEnergy!AO134</f>
        <v>822</v>
      </c>
      <c r="DH38" s="1270">
        <f>+FirstEnergy!AP134</f>
        <v>1120</v>
      </c>
      <c r="DI38" s="1270">
        <f>+FirstEnergy!AQ134</f>
        <v>791</v>
      </c>
      <c r="DJ38" s="865">
        <f>+Distribution!AR35+Transmission!AR33+Distribution!AR13+Distribution!AR14+Transmission!AR12+Transmission!AR11</f>
        <v>2286</v>
      </c>
      <c r="DK38" s="1270">
        <f>+FirstEnergy!AS134</f>
        <v>785</v>
      </c>
      <c r="DL38" s="1270">
        <f>+FirstEnergy!AT134</f>
        <v>697</v>
      </c>
      <c r="DM38" s="1270">
        <f>+FirstEnergy!AU134</f>
        <v>1280</v>
      </c>
      <c r="DN38" s="1270">
        <f>+FirstEnergy!AV134</f>
        <v>1046</v>
      </c>
      <c r="DO38" s="865">
        <f>+Distribution!AW35+Transmission!AW33+Distribution!AW13+Distribution!AW14+Transmission!AW12+Transmission!AW11</f>
        <v>2653</v>
      </c>
      <c r="DP38" s="1270">
        <f>+FirstEnergy!AX134</f>
        <v>-524.57890514213193</v>
      </c>
      <c r="DQ38" s="1270">
        <f>+FirstEnergy!AY134</f>
        <v>622.62358436480497</v>
      </c>
      <c r="DR38" s="1270">
        <f>+FirstEnergy!AZ134</f>
        <v>723.22383639569955</v>
      </c>
      <c r="DS38" s="1270">
        <f>+FirstEnergy!BA134</f>
        <v>657.50267291673345</v>
      </c>
      <c r="DT38" s="865">
        <f>+Distribution!BB35+Transmission!BB33+Distribution!BB13+Distribution!BB14+Transmission!BB12+Transmission!BB11</f>
        <v>2671.2500816009583</v>
      </c>
      <c r="DU38" s="1270">
        <f>+FirstEnergy!BC134</f>
        <v>650.34760485395827</v>
      </c>
      <c r="DV38" s="1270">
        <f>+FirstEnergy!BD134</f>
        <v>575.74901471230032</v>
      </c>
      <c r="DW38" s="1270">
        <f>+FirstEnergy!BE134</f>
        <v>690.67481823416847</v>
      </c>
      <c r="DX38" s="1270">
        <f>+FirstEnergy!BF134</f>
        <v>617.04769888533315</v>
      </c>
      <c r="DY38" s="865">
        <f>+Distribution!BG35+Transmission!BG33+Distribution!BG13+Distribution!BG14+Transmission!BG12+Transmission!BG11</f>
        <v>2821.0345520886331</v>
      </c>
      <c r="DZ38" s="1270">
        <f>+FirstEnergy!BH134</f>
        <v>692.5499843820744</v>
      </c>
      <c r="EA38" s="1270">
        <f>+FirstEnergy!BI134</f>
        <v>613.23427510385113</v>
      </c>
      <c r="EB38" s="1270">
        <f>+FirstEnergy!BJ134</f>
        <v>723.16570940748363</v>
      </c>
      <c r="EC38" s="1270">
        <f>+FirstEnergy!BK134</f>
        <v>650.99672885616565</v>
      </c>
      <c r="ED38" s="865">
        <f>+Distribution!BL35+Transmission!BL33+Distribution!BL13+Distribution!BL14+Transmission!BL12+Transmission!BL11</f>
        <v>2810.8166373278646</v>
      </c>
      <c r="EE38" s="1270">
        <f>+FirstEnergy!BM134</f>
        <v>763.83912873664156</v>
      </c>
      <c r="EF38" s="1270">
        <f>+FirstEnergy!BN134</f>
        <v>665.49339507998968</v>
      </c>
      <c r="EG38" s="1270">
        <f>+FirstEnergy!BO134</f>
        <v>786.9082905647814</v>
      </c>
      <c r="EH38" s="1270">
        <f>+FirstEnergy!BP134</f>
        <v>745.40255069706416</v>
      </c>
      <c r="EI38" s="865">
        <f>+Distribution!BQ35+Transmission!BQ33+Distribution!BQ13+Distribution!BQ14+Transmission!BQ12+Transmission!BQ11</f>
        <v>2964.8494611570336</v>
      </c>
    </row>
    <row r="39" spans="2:139">
      <c r="B39" s="38"/>
      <c r="C39" s="12" t="s">
        <v>884</v>
      </c>
      <c r="D39" s="162"/>
      <c r="E39" s="26"/>
      <c r="F39" s="26"/>
      <c r="G39" s="26"/>
      <c r="H39" s="26"/>
      <c r="I39" s="185">
        <f>I37/(I10+I12)</f>
        <v>1.8</v>
      </c>
      <c r="J39" s="26"/>
      <c r="K39" s="26"/>
      <c r="L39" s="26"/>
      <c r="M39" s="26"/>
      <c r="N39" s="185">
        <f>N37/(N10+N12)</f>
        <v>0.88756613756613767</v>
      </c>
      <c r="O39" s="26"/>
      <c r="P39" s="26"/>
      <c r="Q39" s="26"/>
      <c r="R39" s="26"/>
      <c r="S39" s="185">
        <f>S37/(S10+S12)</f>
        <v>0.88841893252769388</v>
      </c>
      <c r="T39" s="26"/>
      <c r="U39" s="26"/>
      <c r="V39" s="26"/>
      <c r="W39" s="26"/>
      <c r="X39" s="185">
        <f>X37/(X10+X12+X13)</f>
        <v>1.0085339168490153</v>
      </c>
      <c r="Y39" s="26"/>
      <c r="Z39" s="26"/>
      <c r="AA39" s="26"/>
      <c r="AB39" s="26"/>
      <c r="AC39" s="185">
        <f>AC37/(AC10+AC12+AC13)</f>
        <v>0.95721703011422654</v>
      </c>
      <c r="AD39" s="26"/>
      <c r="AE39" s="26"/>
      <c r="AF39" s="26"/>
      <c r="AG39" s="26"/>
      <c r="AH39" s="185">
        <f>AH37/(AH10+AH12+AH13)</f>
        <v>0.62114754098360647</v>
      </c>
      <c r="AI39" s="26"/>
      <c r="AJ39" s="26"/>
      <c r="AK39" s="26"/>
      <c r="AL39" s="26"/>
      <c r="AM39" s="185">
        <f>AM37/(AM10+AM12+AM13)</f>
        <v>0.69067873303167426</v>
      </c>
      <c r="AN39" s="26"/>
      <c r="AO39" s="26"/>
      <c r="AP39" s="26"/>
      <c r="AQ39" s="26"/>
      <c r="AR39" s="185">
        <f>AR37/(AR10+AR12+AR13)</f>
        <v>0.71</v>
      </c>
      <c r="AS39" s="26"/>
      <c r="AT39" s="26"/>
      <c r="AU39" s="26"/>
      <c r="AV39" s="26"/>
      <c r="AW39" s="185">
        <f>AW37/(AW10+AW12+AW13)</f>
        <v>0.55069767441860462</v>
      </c>
      <c r="AX39" s="26"/>
      <c r="AY39" s="26"/>
      <c r="AZ39" s="26"/>
      <c r="BA39" s="26"/>
      <c r="BB39" s="185">
        <f>BB37/(BB10+BB12+BB13)</f>
        <v>0.53022549555136211</v>
      </c>
      <c r="BC39" s="26"/>
      <c r="BD39" s="26"/>
      <c r="BE39" s="26"/>
      <c r="BF39" s="26"/>
      <c r="BG39" s="185">
        <f>BG37/(BG10+BG12+BG13)</f>
        <v>0.51924493165207264</v>
      </c>
      <c r="BH39" s="26"/>
      <c r="BI39" s="26"/>
      <c r="BJ39" s="26"/>
      <c r="BK39" s="26"/>
      <c r="BL39" s="185">
        <f>BL37/(BL10+BL12+BL13)</f>
        <v>0.58550307047485151</v>
      </c>
      <c r="BM39" s="26"/>
      <c r="BN39" s="26"/>
      <c r="BO39" s="26"/>
      <c r="BP39" s="26"/>
      <c r="BQ39" s="185">
        <f>BQ37/(BQ10+BQ12+BQ13)</f>
        <v>0.55368594624640033</v>
      </c>
      <c r="BR39" s="162"/>
      <c r="BS39" s="162"/>
      <c r="BT39" s="38"/>
      <c r="BU39" s="139" t="s">
        <v>875</v>
      </c>
      <c r="BV39" s="139"/>
      <c r="BW39" s="166"/>
      <c r="BX39" s="166"/>
      <c r="BY39" s="166"/>
      <c r="BZ39" s="166"/>
      <c r="CA39" s="865">
        <f>+CA41-CA38</f>
        <v>609</v>
      </c>
      <c r="CB39" s="166"/>
      <c r="CC39" s="166"/>
      <c r="CD39" s="166"/>
      <c r="CE39" s="166"/>
      <c r="CF39" s="865">
        <f>+CF41-CF38</f>
        <v>1128</v>
      </c>
      <c r="CG39" s="166">
        <f>Competitive!O597+Parent!O64</f>
        <v>0</v>
      </c>
      <c r="CH39" s="166">
        <f>Competitive!P597+Parent!P64</f>
        <v>0</v>
      </c>
      <c r="CI39" s="166">
        <f>Competitive!Q597+Parent!Q64</f>
        <v>0</v>
      </c>
      <c r="CJ39" s="166">
        <f>Competitive!R597+Parent!R64</f>
        <v>0</v>
      </c>
      <c r="CK39" s="865">
        <f>+CK41-CK38</f>
        <v>969</v>
      </c>
      <c r="CL39" s="166">
        <f>Competitive!T597+Parent!T64</f>
        <v>0</v>
      </c>
      <c r="CM39" s="166">
        <f>Competitive!U597+Parent!U64</f>
        <v>0</v>
      </c>
      <c r="CN39" s="166">
        <f>Competitive!V597+Parent!V64</f>
        <v>0</v>
      </c>
      <c r="CO39" s="166">
        <f>Competitive!W597+Parent!W64</f>
        <v>0</v>
      </c>
      <c r="CP39" s="865">
        <f>+CP41-CP38</f>
        <v>244</v>
      </c>
      <c r="CQ39" s="166">
        <f>Competitive!Y597+Parent!Y64</f>
        <v>86.34375</v>
      </c>
      <c r="CR39" s="166">
        <f>Competitive!Z597+Parent!Z64</f>
        <v>-211.65625</v>
      </c>
      <c r="CS39" s="166">
        <f>Competitive!AA597+Parent!AA64</f>
        <v>215.34375</v>
      </c>
      <c r="CT39" s="166">
        <f>Competitive!AB597+Parent!AB64</f>
        <v>182.34375</v>
      </c>
      <c r="CU39" s="865">
        <f>+CU41-CU38</f>
        <v>333</v>
      </c>
      <c r="CV39" s="166">
        <f>Competitive!AD597+Parent!AD64</f>
        <v>-589.90625</v>
      </c>
      <c r="CW39" s="166">
        <f>Competitive!AE597+Parent!AE64</f>
        <v>211.09375</v>
      </c>
      <c r="CX39" s="166">
        <f>Competitive!AF597+Parent!AF64</f>
        <v>530.09375</v>
      </c>
      <c r="CY39" s="166">
        <f>Competitive!AG597+Parent!AG64</f>
        <v>797.09375</v>
      </c>
      <c r="CZ39" s="865">
        <f>+CZ41-CZ38</f>
        <v>881</v>
      </c>
      <c r="DA39" s="166">
        <f>Competitive!AI597+Parent!AI64</f>
        <v>-325</v>
      </c>
      <c r="DB39" s="166">
        <f>Competitive!AJ597+Parent!AJ64</f>
        <v>287</v>
      </c>
      <c r="DC39" s="166">
        <f>Competitive!AK597+Parent!AK64</f>
        <v>698</v>
      </c>
      <c r="DD39" s="166">
        <f>Competitive!AL597+Parent!AL64</f>
        <v>780</v>
      </c>
      <c r="DE39" s="865">
        <f>+DE41-DE38</f>
        <v>1284</v>
      </c>
      <c r="DF39" s="166">
        <f>Competitive!AN597+Parent!AN64</f>
        <v>128</v>
      </c>
      <c r="DG39" s="166">
        <f>Competitive!AO597+Parent!AO64</f>
        <v>330</v>
      </c>
      <c r="DH39" s="166">
        <f>Competitive!AP597+Parent!AP64</f>
        <v>445</v>
      </c>
      <c r="DI39" s="166">
        <f>Competitive!AQ597+Parent!AQ64</f>
        <v>309</v>
      </c>
      <c r="DJ39" s="865">
        <f>+DJ41-DJ38</f>
        <v>1085</v>
      </c>
      <c r="DK39" s="166">
        <f>Competitive!AS597+Parent!AS64</f>
        <v>76.831249999999955</v>
      </c>
      <c r="DL39" s="166">
        <f>Competitive!AT597+Parent!AT64</f>
        <v>7.8312499999999545</v>
      </c>
      <c r="DM39" s="166">
        <f>Competitive!AU597+Parent!AU64</f>
        <v>449.83124999999995</v>
      </c>
      <c r="DN39" s="166">
        <f>Competitive!AV597+Parent!AV64</f>
        <v>361.83125000000018</v>
      </c>
      <c r="DO39" s="865">
        <f>+DO41-DO38</f>
        <v>1155</v>
      </c>
      <c r="DP39" s="166">
        <f>Competitive!AX597+Parent!AX64</f>
        <v>-1198.8021629915334</v>
      </c>
      <c r="DQ39" s="166">
        <f>Competitive!AY597+Parent!AY64</f>
        <v>0.46766169816896763</v>
      </c>
      <c r="DR39" s="166">
        <f>Competitive!AZ597+Parent!AZ64</f>
        <v>5.2243658400375352</v>
      </c>
      <c r="DS39" s="166">
        <f>Competitive!BA597+Parent!BA64</f>
        <v>-7.7020909458597089</v>
      </c>
      <c r="DT39" s="865">
        <f>+DT41-DT38</f>
        <v>-1192.4788930658524</v>
      </c>
      <c r="DU39" s="166">
        <f>Competitive!BC597+Parent!BC64</f>
        <v>-41.186747868827865</v>
      </c>
      <c r="DV39" s="166">
        <f>Competitive!BD597+Parent!BD64</f>
        <v>-60.580781880693507</v>
      </c>
      <c r="DW39" s="166">
        <f>Competitive!BE597+Parent!BE64</f>
        <v>-41.284175452359364</v>
      </c>
      <c r="DX39" s="166">
        <f>Competitive!BF597+Parent!BF64</f>
        <v>-59.747043534325485</v>
      </c>
      <c r="DY39" s="865">
        <f>+DY41-DY38</f>
        <v>-287.21541540287262</v>
      </c>
      <c r="DZ39" s="166">
        <f>Competitive!BH597+Parent!BH64</f>
        <v>21.662841854976705</v>
      </c>
      <c r="EA39" s="166">
        <f>Competitive!BI597+Parent!BI64</f>
        <v>2.1151863460235063</v>
      </c>
      <c r="EB39" s="166">
        <f>Competitive!BJ597+Parent!BJ64</f>
        <v>12.582905689647646</v>
      </c>
      <c r="EC39" s="166">
        <f>Competitive!BK597+Parent!BK64</f>
        <v>-4.5642068022710873</v>
      </c>
      <c r="ED39" s="865">
        <f>+ED41-ED38</f>
        <v>-130.86993957829009</v>
      </c>
      <c r="EE39" s="166">
        <f>Competitive!BM597+Parent!BM64</f>
        <v>54.225732791247651</v>
      </c>
      <c r="EF39" s="166">
        <f>Competitive!BN597+Parent!BN64</f>
        <v>20.040499353704831</v>
      </c>
      <c r="EG39" s="166">
        <f>Competitive!BO597+Parent!BO64</f>
        <v>35.939572355257496</v>
      </c>
      <c r="EH39" s="166">
        <f>Competitive!BP597+Parent!BP64</f>
        <v>49.254766087900173</v>
      </c>
      <c r="EI39" s="865">
        <f>+EI41-EI38</f>
        <v>-3.2060960785570387</v>
      </c>
    </row>
    <row r="40" spans="2:139">
      <c r="B40" s="38"/>
      <c r="C40" s="12" t="s">
        <v>18</v>
      </c>
      <c r="D40" s="162"/>
      <c r="E40" s="18"/>
      <c r="F40" s="18"/>
      <c r="G40" s="18"/>
      <c r="H40" s="18"/>
      <c r="I40" s="189"/>
      <c r="J40" s="18"/>
      <c r="K40" s="18"/>
      <c r="L40" s="18"/>
      <c r="M40" s="18"/>
      <c r="N40" s="190">
        <f>N37/I37-1</f>
        <v>0</v>
      </c>
      <c r="O40" s="18"/>
      <c r="P40" s="18"/>
      <c r="Q40" s="18"/>
      <c r="R40" s="18"/>
      <c r="S40" s="190">
        <f>S37/N37-1</f>
        <v>0</v>
      </c>
      <c r="T40" s="18"/>
      <c r="U40" s="18"/>
      <c r="V40" s="18"/>
      <c r="W40" s="18"/>
      <c r="X40" s="190">
        <f>X37/S37-1</f>
        <v>0</v>
      </c>
      <c r="Y40" s="18"/>
      <c r="Z40" s="18"/>
      <c r="AA40" s="18"/>
      <c r="AB40" s="18"/>
      <c r="AC40" s="190">
        <f>AC37/X37-1</f>
        <v>0</v>
      </c>
      <c r="AD40" s="18"/>
      <c r="AE40" s="18"/>
      <c r="AF40" s="18"/>
      <c r="AG40" s="18"/>
      <c r="AH40" s="190">
        <f>AH37/AC37-1</f>
        <v>-0.34545454545454557</v>
      </c>
      <c r="AI40" s="18"/>
      <c r="AJ40" s="18"/>
      <c r="AK40" s="18"/>
      <c r="AL40" s="18"/>
      <c r="AM40" s="190">
        <f>AM37/AH37-1</f>
        <v>0</v>
      </c>
      <c r="AN40" s="18"/>
      <c r="AO40" s="18"/>
      <c r="AP40" s="18"/>
      <c r="AQ40" s="18"/>
      <c r="AR40" s="190">
        <f>AR37/AM37-1</f>
        <v>0</v>
      </c>
      <c r="AS40" s="18"/>
      <c r="AT40" s="18"/>
      <c r="AU40" s="18"/>
      <c r="AV40" s="18"/>
      <c r="AW40" s="190">
        <f>AW37/AR37-1</f>
        <v>0</v>
      </c>
      <c r="AX40" s="18"/>
      <c r="AY40" s="18"/>
      <c r="AZ40" s="18"/>
      <c r="BA40" s="18"/>
      <c r="BB40" s="190">
        <f>BB37/AW37-1</f>
        <v>0</v>
      </c>
      <c r="BC40" s="18"/>
      <c r="BD40" s="18"/>
      <c r="BE40" s="18"/>
      <c r="BF40" s="18"/>
      <c r="BG40" s="190">
        <f>BG37/BB37-1</f>
        <v>0</v>
      </c>
      <c r="BH40" s="18"/>
      <c r="BI40" s="18"/>
      <c r="BJ40" s="18"/>
      <c r="BK40" s="18"/>
      <c r="BL40" s="190">
        <f>BL37/BG37-1</f>
        <v>0</v>
      </c>
      <c r="BM40" s="18"/>
      <c r="BN40" s="18"/>
      <c r="BO40" s="18"/>
      <c r="BP40" s="18"/>
      <c r="BQ40" s="190">
        <f>BQ37/BL37-1</f>
        <v>0</v>
      </c>
      <c r="BR40" s="162"/>
      <c r="BS40" s="162"/>
      <c r="BT40" s="38"/>
      <c r="BU40" s="1271" t="s">
        <v>39</v>
      </c>
      <c r="BV40" s="139"/>
      <c r="BW40" s="166"/>
      <c r="BX40" s="166"/>
      <c r="BY40" s="166"/>
      <c r="BZ40" s="166"/>
      <c r="CA40" s="865">
        <v>0</v>
      </c>
      <c r="CB40" s="166"/>
      <c r="CC40" s="166"/>
      <c r="CD40" s="166"/>
      <c r="CE40" s="166"/>
      <c r="CF40" s="865">
        <v>0</v>
      </c>
      <c r="CG40" s="166"/>
      <c r="CH40" s="166"/>
      <c r="CI40" s="166"/>
      <c r="CJ40" s="166"/>
      <c r="CK40" s="865">
        <v>0</v>
      </c>
      <c r="CL40" s="166"/>
      <c r="CM40" s="166"/>
      <c r="CN40" s="166"/>
      <c r="CO40" s="166"/>
      <c r="CP40" s="865">
        <v>0</v>
      </c>
      <c r="CQ40" s="166"/>
      <c r="CR40" s="166"/>
      <c r="CS40" s="166"/>
      <c r="CT40" s="166"/>
      <c r="CU40" s="865">
        <v>0</v>
      </c>
      <c r="CV40" s="166"/>
      <c r="CW40" s="166"/>
      <c r="CX40" s="166"/>
      <c r="CY40" s="166"/>
      <c r="CZ40" s="865">
        <v>0</v>
      </c>
      <c r="DA40" s="166"/>
      <c r="DB40" s="166"/>
      <c r="DC40" s="166"/>
      <c r="DD40" s="166"/>
      <c r="DE40" s="865">
        <v>0</v>
      </c>
      <c r="DF40" s="166"/>
      <c r="DG40" s="166"/>
      <c r="DH40" s="166"/>
      <c r="DI40" s="166"/>
      <c r="DJ40" s="865">
        <v>0</v>
      </c>
      <c r="DK40" s="166"/>
      <c r="DL40" s="166"/>
      <c r="DM40" s="166"/>
      <c r="DN40" s="166"/>
      <c r="DO40" s="865">
        <v>0</v>
      </c>
      <c r="DP40" s="166"/>
      <c r="DQ40" s="166"/>
      <c r="DR40" s="166"/>
      <c r="DS40" s="166"/>
      <c r="DT40" s="865">
        <v>0</v>
      </c>
      <c r="DU40" s="166"/>
      <c r="DV40" s="166"/>
      <c r="DW40" s="166"/>
      <c r="DX40" s="166"/>
      <c r="DY40" s="865">
        <v>0</v>
      </c>
      <c r="DZ40" s="166"/>
      <c r="EA40" s="166"/>
      <c r="EB40" s="166"/>
      <c r="EC40" s="166"/>
      <c r="ED40" s="865">
        <v>0</v>
      </c>
      <c r="EE40" s="166"/>
      <c r="EF40" s="166"/>
      <c r="EG40" s="166"/>
      <c r="EH40" s="166"/>
      <c r="EI40" s="865">
        <v>0</v>
      </c>
    </row>
    <row r="41" spans="2:139">
      <c r="B41" s="162"/>
      <c r="C41" s="162"/>
      <c r="D41" s="162"/>
      <c r="I41" s="162"/>
      <c r="N41" s="162"/>
      <c r="S41" s="162"/>
      <c r="X41" s="162"/>
      <c r="AC41" s="162"/>
      <c r="AH41" s="162"/>
      <c r="AM41" s="162"/>
      <c r="AR41" s="162"/>
      <c r="AW41" s="162"/>
      <c r="BB41" s="162"/>
      <c r="BG41" s="162"/>
      <c r="BL41" s="162"/>
      <c r="BQ41" s="162"/>
      <c r="BR41" s="162"/>
      <c r="BS41" s="162"/>
      <c r="BT41" s="38"/>
      <c r="BU41" s="136" t="s">
        <v>99</v>
      </c>
      <c r="BV41" s="139"/>
      <c r="BW41" s="93"/>
      <c r="BX41" s="93"/>
      <c r="BY41" s="93"/>
      <c r="BZ41" s="93"/>
      <c r="CA41" s="991">
        <f>+FirstEnergy!I134</f>
        <v>2465</v>
      </c>
      <c r="CB41" s="93"/>
      <c r="CC41" s="93"/>
      <c r="CD41" s="93"/>
      <c r="CE41" s="93"/>
      <c r="CF41" s="991">
        <f>+FirstEnergy!N134</f>
        <v>3076</v>
      </c>
      <c r="CG41" s="93"/>
      <c r="CH41" s="93"/>
      <c r="CI41" s="93"/>
      <c r="CJ41" s="93"/>
      <c r="CK41" s="991">
        <f>+FirstEnergy!S134</f>
        <v>3063</v>
      </c>
      <c r="CL41" s="93"/>
      <c r="CM41" s="93"/>
      <c r="CN41" s="93"/>
      <c r="CO41" s="93"/>
      <c r="CP41" s="991">
        <f>+FirstEnergy!X134</f>
        <v>2320</v>
      </c>
      <c r="CQ41" s="93"/>
      <c r="CR41" s="93"/>
      <c r="CS41" s="93"/>
      <c r="CT41" s="93"/>
      <c r="CU41" s="991">
        <f>+FirstEnergy!AC134</f>
        <v>2662</v>
      </c>
      <c r="CV41" s="93"/>
      <c r="CW41" s="93"/>
      <c r="CX41" s="93"/>
      <c r="CY41" s="93"/>
      <c r="CZ41" s="991">
        <f>+FirstEnergy!AH134</f>
        <v>2713</v>
      </c>
      <c r="DA41" s="93"/>
      <c r="DB41" s="93"/>
      <c r="DC41" s="93"/>
      <c r="DD41" s="93"/>
      <c r="DE41" s="991">
        <f>+FirstEnergy!AM134</f>
        <v>3447</v>
      </c>
      <c r="DF41" s="93"/>
      <c r="DG41" s="93"/>
      <c r="DH41" s="93"/>
      <c r="DI41" s="93"/>
      <c r="DJ41" s="991">
        <f>+FirstEnergy!AR134</f>
        <v>3371</v>
      </c>
      <c r="DK41" s="93"/>
      <c r="DL41" s="93"/>
      <c r="DM41" s="93"/>
      <c r="DN41" s="93"/>
      <c r="DO41" s="991">
        <f>+FirstEnergy!AW134</f>
        <v>3808</v>
      </c>
      <c r="DP41" s="93"/>
      <c r="DQ41" s="93"/>
      <c r="DR41" s="93"/>
      <c r="DS41" s="93"/>
      <c r="DT41" s="991">
        <f>+FirstEnergy!BB134</f>
        <v>1478.7711885351059</v>
      </c>
      <c r="DU41" s="93"/>
      <c r="DV41" s="93"/>
      <c r="DW41" s="93"/>
      <c r="DX41" s="93"/>
      <c r="DY41" s="991">
        <f>+FirstEnergy!BG134</f>
        <v>2533.8191366857604</v>
      </c>
      <c r="DZ41" s="93"/>
      <c r="EA41" s="93"/>
      <c r="EB41" s="93"/>
      <c r="EC41" s="93"/>
      <c r="ED41" s="991">
        <f>+FirstEnergy!BL134</f>
        <v>2679.9466977495745</v>
      </c>
      <c r="EE41" s="93"/>
      <c r="EF41" s="93"/>
      <c r="EG41" s="93"/>
      <c r="EH41" s="93"/>
      <c r="EI41" s="991">
        <f>+FirstEnergy!BQ134</f>
        <v>2961.6433650784766</v>
      </c>
    </row>
    <row r="42" spans="2:139">
      <c r="B42" s="38"/>
      <c r="C42" s="39" t="s">
        <v>100</v>
      </c>
      <c r="D42" s="162"/>
      <c r="E42" s="18"/>
      <c r="F42" s="18"/>
      <c r="G42" s="18"/>
      <c r="H42" s="18"/>
      <c r="I42" s="188">
        <f>+FirstEnergy!I46</f>
        <v>304.83540699999998</v>
      </c>
      <c r="J42" s="81"/>
      <c r="K42" s="81"/>
      <c r="L42" s="81"/>
      <c r="M42" s="81"/>
      <c r="N42" s="188">
        <f>+FirstEnergy!N46</f>
        <v>304.83540699999998</v>
      </c>
      <c r="O42" s="81"/>
      <c r="P42" s="81"/>
      <c r="Q42" s="81"/>
      <c r="R42" s="81"/>
      <c r="S42" s="188">
        <f>+FirstEnergy!S46</f>
        <v>418.21643699999998</v>
      </c>
      <c r="T42" s="81"/>
      <c r="U42" s="81"/>
      <c r="V42" s="81"/>
      <c r="W42" s="81"/>
      <c r="X42" s="188">
        <f>+FirstEnergy!X46</f>
        <v>418.21643699999998</v>
      </c>
      <c r="Y42" s="81"/>
      <c r="Z42" s="81"/>
      <c r="AA42" s="81"/>
      <c r="AB42" s="81"/>
      <c r="AC42" s="188">
        <f>+FirstEnergy!AC46</f>
        <v>418.628559</v>
      </c>
      <c r="AD42" s="81"/>
      <c r="AE42" s="81"/>
      <c r="AF42" s="81"/>
      <c r="AG42" s="81"/>
      <c r="AH42" s="188">
        <f>+FirstEnergy!AH46</f>
        <v>421.10257000000001</v>
      </c>
      <c r="AI42" s="81"/>
      <c r="AJ42" s="81"/>
      <c r="AK42" s="81"/>
      <c r="AL42" s="81"/>
      <c r="AM42" s="188">
        <f>+FirstEnergy!AM46</f>
        <v>423.56039700000002</v>
      </c>
      <c r="AN42" s="81"/>
      <c r="AO42" s="81"/>
      <c r="AP42" s="81"/>
      <c r="AQ42" s="81"/>
      <c r="AR42" s="188">
        <f>+FirstEnergy!AR46</f>
        <v>442.34421800000001</v>
      </c>
      <c r="AS42" s="81"/>
      <c r="AT42" s="81"/>
      <c r="AU42" s="81"/>
      <c r="AV42" s="81"/>
      <c r="AW42" s="188">
        <f>+FirstEnergy!AW46</f>
        <v>445.33411100000001</v>
      </c>
      <c r="AX42" s="81"/>
      <c r="AY42" s="81"/>
      <c r="AZ42" s="81"/>
      <c r="BA42" s="81"/>
      <c r="BB42" s="188">
        <f>+FirstEnergy!BB46</f>
        <v>478.35314365234854</v>
      </c>
      <c r="BC42" s="81"/>
      <c r="BD42" s="81"/>
      <c r="BE42" s="81"/>
      <c r="BF42" s="81"/>
      <c r="BG42" s="188">
        <f>+FirstEnergy!BG46</f>
        <v>540.33265717786139</v>
      </c>
      <c r="BH42" s="81"/>
      <c r="BI42" s="81"/>
      <c r="BJ42" s="81"/>
      <c r="BK42" s="81"/>
      <c r="BL42" s="188">
        <f>+FirstEnergy!BL46</f>
        <v>543.23120790249891</v>
      </c>
      <c r="BM42" s="81"/>
      <c r="BN42" s="81"/>
      <c r="BO42" s="81"/>
      <c r="BP42" s="81"/>
      <c r="BQ42" s="188">
        <f>+FirstEnergy!BQ46</f>
        <v>545.73120790249891</v>
      </c>
      <c r="BR42" s="162"/>
      <c r="BS42" s="162"/>
      <c r="BT42" s="38"/>
      <c r="BU42" s="12"/>
      <c r="BV42" s="162"/>
      <c r="BW42" s="15"/>
      <c r="BX42" s="15"/>
      <c r="BY42" s="15"/>
      <c r="BZ42" s="15"/>
      <c r="CA42" s="325"/>
      <c r="CB42" s="81"/>
      <c r="CC42" s="81"/>
      <c r="CD42" s="81"/>
      <c r="CE42" s="81"/>
      <c r="CF42" s="325"/>
      <c r="CG42" s="81"/>
      <c r="CH42" s="81"/>
      <c r="CI42" s="81"/>
      <c r="CJ42" s="81"/>
      <c r="CK42" s="325"/>
      <c r="CL42" s="81"/>
      <c r="CM42" s="81"/>
      <c r="CN42" s="81"/>
      <c r="CO42" s="81"/>
      <c r="CP42" s="325"/>
      <c r="CQ42" s="81"/>
      <c r="CR42" s="81"/>
      <c r="CS42" s="81"/>
      <c r="CT42" s="81"/>
      <c r="CU42" s="325"/>
      <c r="CV42" s="81"/>
      <c r="CW42" s="81"/>
      <c r="CX42" s="81"/>
      <c r="CY42" s="81"/>
      <c r="CZ42" s="325"/>
      <c r="DA42" s="81"/>
      <c r="DB42" s="81"/>
      <c r="DC42" s="81"/>
      <c r="DD42" s="81"/>
      <c r="DE42" s="325"/>
      <c r="DF42" s="81"/>
      <c r="DG42" s="81"/>
      <c r="DH42" s="81"/>
      <c r="DI42" s="81"/>
      <c r="DJ42" s="325"/>
      <c r="DK42" s="81"/>
      <c r="DL42" s="81"/>
      <c r="DM42" s="81"/>
      <c r="DN42" s="81"/>
      <c r="DO42" s="325"/>
      <c r="DP42" s="81"/>
      <c r="DQ42" s="81"/>
      <c r="DR42" s="81"/>
      <c r="DS42" s="81"/>
      <c r="DT42" s="325"/>
      <c r="DU42" s="81"/>
      <c r="DV42" s="81"/>
      <c r="DW42" s="81"/>
      <c r="DX42" s="81"/>
      <c r="DY42" s="325"/>
      <c r="DZ42" s="81"/>
      <c r="EA42" s="81"/>
      <c r="EB42" s="81"/>
      <c r="EC42" s="81"/>
      <c r="ED42" s="325"/>
      <c r="EE42" s="81"/>
      <c r="EF42" s="81"/>
      <c r="EG42" s="81"/>
      <c r="EH42" s="81"/>
      <c r="EI42" s="325"/>
    </row>
    <row r="43" spans="2:139">
      <c r="B43" s="162"/>
      <c r="C43" s="53" t="s">
        <v>101</v>
      </c>
      <c r="D43" s="162"/>
      <c r="I43" s="188">
        <f>+FirstEnergy!I47</f>
        <v>304</v>
      </c>
      <c r="J43" s="81"/>
      <c r="K43" s="81"/>
      <c r="L43" s="81"/>
      <c r="M43" s="81"/>
      <c r="N43" s="188">
        <f>+FirstEnergy!N47</f>
        <v>304</v>
      </c>
      <c r="O43" s="81"/>
      <c r="P43" s="81"/>
      <c r="Q43" s="81"/>
      <c r="R43" s="81"/>
      <c r="S43" s="188">
        <f>+FirstEnergy!S47</f>
        <v>399</v>
      </c>
      <c r="T43" s="81"/>
      <c r="U43" s="81"/>
      <c r="V43" s="81"/>
      <c r="W43" s="81"/>
      <c r="X43" s="188">
        <f>+FirstEnergy!X47</f>
        <v>418</v>
      </c>
      <c r="Y43" s="81"/>
      <c r="Z43" s="81"/>
      <c r="AA43" s="81"/>
      <c r="AB43" s="81"/>
      <c r="AC43" s="188">
        <f>+FirstEnergy!AC47</f>
        <v>418</v>
      </c>
      <c r="AD43" s="81"/>
      <c r="AE43" s="81"/>
      <c r="AF43" s="81"/>
      <c r="AG43" s="81"/>
      <c r="AH43" s="188">
        <f>+FirstEnergy!AH47</f>
        <v>420</v>
      </c>
      <c r="AI43" s="81"/>
      <c r="AJ43" s="81"/>
      <c r="AK43" s="81"/>
      <c r="AL43" s="81"/>
      <c r="AM43" s="188">
        <f>+FirstEnergy!AM47</f>
        <v>422</v>
      </c>
      <c r="AN43" s="81"/>
      <c r="AO43" s="81"/>
      <c r="AP43" s="81"/>
      <c r="AQ43" s="81"/>
      <c r="AR43" s="188">
        <f>+FirstEnergy!AR47</f>
        <v>426</v>
      </c>
      <c r="AS43" s="81"/>
      <c r="AT43" s="81"/>
      <c r="AU43" s="81"/>
      <c r="AV43" s="81"/>
      <c r="AW43" s="188">
        <f>+FirstEnergy!AW47</f>
        <v>444</v>
      </c>
      <c r="AX43" s="81"/>
      <c r="AY43" s="81"/>
      <c r="AZ43" s="81"/>
      <c r="BA43" s="81"/>
      <c r="BB43" s="188">
        <f>+FirstEnergy!BB47</f>
        <v>472.77648920848617</v>
      </c>
      <c r="BC43" s="81"/>
      <c r="BD43" s="81"/>
      <c r="BE43" s="81"/>
      <c r="BF43" s="81"/>
      <c r="BG43" s="188">
        <f>+FirstEnergy!BG47</f>
        <v>500.87082354325645</v>
      </c>
      <c r="BH43" s="81"/>
      <c r="BI43" s="81"/>
      <c r="BJ43" s="81"/>
      <c r="BK43" s="81"/>
      <c r="BL43" s="188">
        <f>+FirstEnergy!BL47</f>
        <v>541.78193254018015</v>
      </c>
      <c r="BM43" s="81"/>
      <c r="BN43" s="81"/>
      <c r="BO43" s="81"/>
      <c r="BP43" s="81"/>
      <c r="BQ43" s="188">
        <f>+FirstEnergy!BQ47</f>
        <v>544.48120790249891</v>
      </c>
      <c r="BR43" s="162"/>
      <c r="BS43" s="162"/>
      <c r="BT43" s="38"/>
      <c r="BU43" s="13" t="s">
        <v>102</v>
      </c>
      <c r="BV43" s="162"/>
      <c r="CA43" s="325"/>
      <c r="CB43" s="81"/>
      <c r="CC43" s="81"/>
      <c r="CD43" s="81"/>
      <c r="CE43" s="81"/>
      <c r="CF43" s="325"/>
      <c r="CG43" s="81"/>
      <c r="CH43" s="81"/>
      <c r="CI43" s="81"/>
      <c r="CJ43" s="81"/>
      <c r="CK43" s="325"/>
      <c r="CL43" s="81"/>
      <c r="CM43" s="81"/>
      <c r="CN43" s="81"/>
      <c r="CO43" s="81"/>
      <c r="CP43" s="325"/>
      <c r="CQ43" s="81"/>
      <c r="CR43" s="81"/>
      <c r="CS43" s="81"/>
      <c r="CT43" s="81"/>
      <c r="CU43" s="325"/>
      <c r="CV43" s="81"/>
      <c r="CW43" s="81"/>
      <c r="CX43" s="81"/>
      <c r="CY43" s="81"/>
      <c r="CZ43" s="325"/>
      <c r="DA43" s="81"/>
      <c r="DB43" s="81"/>
      <c r="DC43" s="81"/>
      <c r="DD43" s="81"/>
      <c r="DE43" s="325"/>
      <c r="DF43" s="81"/>
      <c r="DG43" s="81"/>
      <c r="DH43" s="81"/>
      <c r="DI43" s="81"/>
      <c r="DJ43" s="325"/>
      <c r="DK43" s="81"/>
      <c r="DL43" s="81"/>
      <c r="DM43" s="81"/>
      <c r="DN43" s="81"/>
      <c r="DO43" s="325"/>
      <c r="DP43" s="81"/>
      <c r="DQ43" s="81"/>
      <c r="DR43" s="81"/>
      <c r="DS43" s="81"/>
      <c r="DT43" s="325"/>
      <c r="DU43" s="81"/>
      <c r="DV43" s="81"/>
      <c r="DW43" s="81"/>
      <c r="DX43" s="81"/>
      <c r="DY43" s="325"/>
      <c r="DZ43" s="81"/>
      <c r="EA43" s="81"/>
      <c r="EB43" s="81"/>
      <c r="EC43" s="81"/>
      <c r="ED43" s="325"/>
      <c r="EE43" s="81"/>
      <c r="EF43" s="81"/>
      <c r="EG43" s="81"/>
      <c r="EH43" s="81"/>
      <c r="EI43" s="325"/>
    </row>
    <row r="44" spans="2:139">
      <c r="B44" s="162"/>
      <c r="C44" s="39" t="s">
        <v>104</v>
      </c>
      <c r="D44" s="162"/>
      <c r="I44" s="188">
        <f>+FirstEnergy!I48</f>
        <v>306</v>
      </c>
      <c r="J44" s="81"/>
      <c r="K44" s="81"/>
      <c r="L44" s="81"/>
      <c r="M44" s="81"/>
      <c r="N44" s="188">
        <f>+FirstEnergy!N48</f>
        <v>305</v>
      </c>
      <c r="O44" s="81"/>
      <c r="P44" s="81"/>
      <c r="Q44" s="81"/>
      <c r="R44" s="81"/>
      <c r="S44" s="188">
        <f>+FirstEnergy!S48</f>
        <v>401</v>
      </c>
      <c r="T44" s="81"/>
      <c r="U44" s="81"/>
      <c r="V44" s="81"/>
      <c r="W44" s="81"/>
      <c r="X44" s="188">
        <f>+FirstEnergy!X48</f>
        <v>419</v>
      </c>
      <c r="Y44" s="81"/>
      <c r="Z44" s="81"/>
      <c r="AA44" s="81"/>
      <c r="AB44" s="81"/>
      <c r="AC44" s="188">
        <f>+FirstEnergy!AC48</f>
        <v>419</v>
      </c>
      <c r="AD44" s="81"/>
      <c r="AE44" s="81"/>
      <c r="AF44" s="81"/>
      <c r="AG44" s="81"/>
      <c r="AH44" s="188">
        <f>+FirstEnergy!AH48</f>
        <v>421</v>
      </c>
      <c r="AI44" s="81"/>
      <c r="AJ44" s="81"/>
      <c r="AK44" s="81"/>
      <c r="AL44" s="81"/>
      <c r="AM44" s="188">
        <f>+FirstEnergy!AM48</f>
        <v>424</v>
      </c>
      <c r="AN44" s="81"/>
      <c r="AO44" s="81"/>
      <c r="AP44" s="81"/>
      <c r="AQ44" s="81"/>
      <c r="AR44" s="188">
        <f>+FirstEnergy!AR48</f>
        <v>426</v>
      </c>
      <c r="AS44" s="81"/>
      <c r="AT44" s="81"/>
      <c r="AU44" s="81"/>
      <c r="AV44" s="81"/>
      <c r="AW44" s="188">
        <f>+FirstEnergy!AW48</f>
        <v>444</v>
      </c>
      <c r="AX44" s="81"/>
      <c r="AY44" s="81"/>
      <c r="AZ44" s="81"/>
      <c r="BA44" s="81"/>
      <c r="BB44" s="188">
        <f>+FirstEnergy!BB48</f>
        <v>472.77648920848617</v>
      </c>
      <c r="BC44" s="81"/>
      <c r="BD44" s="81"/>
      <c r="BE44" s="81"/>
      <c r="BF44" s="81"/>
      <c r="BG44" s="188">
        <f>+FirstEnergy!BG48</f>
        <v>500.87082354325645</v>
      </c>
      <c r="BH44" s="81"/>
      <c r="BI44" s="81"/>
      <c r="BJ44" s="81"/>
      <c r="BK44" s="81"/>
      <c r="BL44" s="188">
        <f>+FirstEnergy!BL48</f>
        <v>541.78193254018015</v>
      </c>
      <c r="BM44" s="81"/>
      <c r="BN44" s="81"/>
      <c r="BO44" s="81"/>
      <c r="BP44" s="81"/>
      <c r="BQ44" s="188">
        <f>+FirstEnergy!BQ48</f>
        <v>544.48120790249891</v>
      </c>
      <c r="BR44" s="162"/>
      <c r="BS44" s="162"/>
      <c r="BT44" s="38"/>
      <c r="BU44" s="12" t="s">
        <v>874</v>
      </c>
      <c r="BV44" s="162"/>
      <c r="BW44" s="15"/>
      <c r="BX44" s="15"/>
      <c r="BY44" s="15"/>
      <c r="BZ44" s="15"/>
      <c r="CA44" s="865">
        <f>FirstEnergy!I82+FirstEnergy!I84</f>
        <v>750</v>
      </c>
      <c r="CB44" s="865">
        <f>FirstEnergy!J82+FirstEnergy!J84</f>
        <v>0</v>
      </c>
      <c r="CC44" s="865">
        <f>FirstEnergy!K82+FirstEnergy!K84</f>
        <v>0</v>
      </c>
      <c r="CD44" s="865">
        <f>FirstEnergy!L82+FirstEnergy!L84</f>
        <v>0</v>
      </c>
      <c r="CE44" s="865">
        <f>FirstEnergy!M82+FirstEnergy!M84</f>
        <v>0</v>
      </c>
      <c r="CF44" s="865">
        <f>FirstEnergy!N82+FirstEnergy!N84</f>
        <v>745</v>
      </c>
      <c r="CG44" s="865">
        <f>FirstEnergy!O82+FirstEnergy!O84</f>
        <v>27</v>
      </c>
      <c r="CH44" s="865">
        <f>FirstEnergy!P82+FirstEnergy!P84</f>
        <v>81</v>
      </c>
      <c r="CI44" s="865">
        <f>FirstEnergy!Q82+FirstEnergy!Q84</f>
        <v>80</v>
      </c>
      <c r="CJ44" s="865">
        <f>FirstEnergy!R82+FirstEnergy!R84</f>
        <v>202</v>
      </c>
      <c r="CK44" s="865">
        <f>FirstEnergy!S82+FirstEnergy!S84</f>
        <v>1258</v>
      </c>
      <c r="CL44" s="865">
        <f>FirstEnergy!T82+FirstEnergy!T84</f>
        <v>329</v>
      </c>
      <c r="CM44" s="865">
        <f>FirstEnergy!U82+FirstEnergy!U84</f>
        <v>236</v>
      </c>
      <c r="CN44" s="865">
        <f>FirstEnergy!V82+FirstEnergy!V84</f>
        <v>355</v>
      </c>
      <c r="CO44" s="865">
        <f>FirstEnergy!W82+FirstEnergy!W84</f>
        <v>661</v>
      </c>
      <c r="CP44" s="865">
        <f>FirstEnergy!X82+FirstEnergy!X84</f>
        <v>1581</v>
      </c>
      <c r="CQ44" s="865">
        <f>FirstEnergy!Y82+FirstEnergy!Y84</f>
        <v>355</v>
      </c>
      <c r="CR44" s="865">
        <f>FirstEnergy!Z82+FirstEnergy!Z84</f>
        <v>274</v>
      </c>
      <c r="CS44" s="865">
        <f>FirstEnergy!AA82+FirstEnergy!AA84</f>
        <v>413</v>
      </c>
      <c r="CT44" s="865">
        <f>FirstEnergy!AB82+FirstEnergy!AB84</f>
        <v>357</v>
      </c>
      <c r="CU44" s="865">
        <f>FirstEnergy!AC82+FirstEnergy!AC84</f>
        <v>1399</v>
      </c>
      <c r="CV44" s="865">
        <f>FirstEnergy!AD82+FirstEnergy!AD84</f>
        <v>486</v>
      </c>
      <c r="CW44" s="865">
        <f>FirstEnergy!AE82+FirstEnergy!AE84</f>
        <v>724</v>
      </c>
      <c r="CX44" s="865">
        <f>FirstEnergy!AF82+FirstEnergy!AF84</f>
        <v>550</v>
      </c>
      <c r="CY44" s="865">
        <f>FirstEnergy!AG82+FirstEnergy!AG84</f>
        <v>541</v>
      </c>
      <c r="CZ44" s="865">
        <f>FirstEnergy!AH82+FirstEnergy!AH84</f>
        <v>2301</v>
      </c>
      <c r="DA44" s="865">
        <f>FirstEnergy!AI82+FirstEnergy!AI84</f>
        <v>534</v>
      </c>
      <c r="DB44" s="865">
        <f>FirstEnergy!AJ82+FirstEnergy!AJ84</f>
        <v>609</v>
      </c>
      <c r="DC44" s="865">
        <f>FirstEnergy!AK82+FirstEnergy!AK84</f>
        <v>441</v>
      </c>
      <c r="DD44" s="865">
        <f>FirstEnergy!AL82+FirstEnergy!AL84</f>
        <v>476</v>
      </c>
      <c r="DE44" s="865">
        <f>FirstEnergy!AM82+FirstEnergy!AM84</f>
        <v>2060</v>
      </c>
      <c r="DF44" s="865">
        <f>FirstEnergy!AN82+FirstEnergy!AN84</f>
        <v>520</v>
      </c>
      <c r="DG44" s="865">
        <f>FirstEnergy!AO82+FirstEnergy!AO84</f>
        <v>564</v>
      </c>
      <c r="DH44" s="865">
        <f>FirstEnergy!AP82+FirstEnergy!AP84</f>
        <v>549</v>
      </c>
      <c r="DI44" s="865">
        <f>FirstEnergy!AQ82+FirstEnergy!AQ84</f>
        <v>531</v>
      </c>
      <c r="DJ44" s="865">
        <f>FirstEnergy!AR82+FirstEnergy!AR84</f>
        <v>2164</v>
      </c>
      <c r="DK44" s="865">
        <f>FirstEnergy!AS82+FirstEnergy!AS84</f>
        <v>488</v>
      </c>
      <c r="DL44" s="865">
        <f>FirstEnergy!AT82+FirstEnergy!AT84</f>
        <v>549</v>
      </c>
      <c r="DM44" s="865">
        <f>FirstEnergy!AU82+FirstEnergy!AU84</f>
        <v>534</v>
      </c>
      <c r="DN44" s="865">
        <f>FirstEnergy!AV82+FirstEnergy!AV84</f>
        <v>650</v>
      </c>
      <c r="DO44" s="865">
        <f>FirstEnergy!AW82+FirstEnergy!AW84</f>
        <v>2221</v>
      </c>
      <c r="DP44" s="865">
        <f>FirstEnergy!AX82+FirstEnergy!AX84</f>
        <v>662.5</v>
      </c>
      <c r="DQ44" s="865">
        <f>FirstEnergy!AY82+FirstEnergy!AY84</f>
        <v>662.5</v>
      </c>
      <c r="DR44" s="865">
        <f>FirstEnergy!AZ82+FirstEnergy!AZ84</f>
        <v>662.5</v>
      </c>
      <c r="DS44" s="865">
        <f>FirstEnergy!BA82+FirstEnergy!BA84</f>
        <v>662.5</v>
      </c>
      <c r="DT44" s="865">
        <f>FirstEnergy!BB82+FirstEnergy!BB84</f>
        <v>2650</v>
      </c>
      <c r="DU44" s="865">
        <f>FirstEnergy!BC82+FirstEnergy!BC84</f>
        <v>662.5</v>
      </c>
      <c r="DV44" s="865">
        <f>FirstEnergy!BD82+FirstEnergy!BD84</f>
        <v>662.5</v>
      </c>
      <c r="DW44" s="865">
        <f>FirstEnergy!BE82+FirstEnergy!BE84</f>
        <v>662.5</v>
      </c>
      <c r="DX44" s="865">
        <f>FirstEnergy!BF82+FirstEnergy!BF84</f>
        <v>662.5</v>
      </c>
      <c r="DY44" s="865">
        <f>FirstEnergy!BG82+FirstEnergy!BG84</f>
        <v>2650</v>
      </c>
      <c r="DZ44" s="865">
        <f>FirstEnergy!BH82+FirstEnergy!BH84</f>
        <v>662.5</v>
      </c>
      <c r="EA44" s="865">
        <f>FirstEnergy!BI82+FirstEnergy!BI84</f>
        <v>662.5</v>
      </c>
      <c r="EB44" s="865">
        <f>FirstEnergy!BJ82+FirstEnergy!BJ84</f>
        <v>662.5</v>
      </c>
      <c r="EC44" s="865">
        <f>FirstEnergy!BK82+FirstEnergy!BK84</f>
        <v>662.5</v>
      </c>
      <c r="ED44" s="865">
        <f>FirstEnergy!BL82+FirstEnergy!BL84</f>
        <v>2650</v>
      </c>
      <c r="EE44" s="865">
        <f>FirstEnergy!BM82+FirstEnergy!BM84</f>
        <v>662.5</v>
      </c>
      <c r="EF44" s="865">
        <f>FirstEnergy!BN82+FirstEnergy!BN84</f>
        <v>662.5</v>
      </c>
      <c r="EG44" s="865">
        <f>FirstEnergy!BO82+FirstEnergy!BO84</f>
        <v>662.5</v>
      </c>
      <c r="EH44" s="865">
        <f>FirstEnergy!BP82+FirstEnergy!BP84</f>
        <v>662.5</v>
      </c>
      <c r="EI44" s="865">
        <f>FirstEnergy!BQ82+FirstEnergy!BQ84</f>
        <v>2650</v>
      </c>
    </row>
    <row r="45" spans="2:139">
      <c r="B45" s="162"/>
      <c r="C45" s="162"/>
      <c r="D45" s="162"/>
      <c r="I45" s="162"/>
      <c r="N45" s="162"/>
      <c r="S45" s="162"/>
      <c r="X45" s="162"/>
      <c r="AC45" s="162"/>
      <c r="AH45" s="162"/>
      <c r="AM45" s="162"/>
      <c r="AR45" s="162"/>
      <c r="AW45" s="162"/>
      <c r="BB45" s="162"/>
      <c r="BG45" s="162"/>
      <c r="BL45" s="162"/>
      <c r="BQ45" s="162"/>
      <c r="BR45" s="162"/>
      <c r="BS45" s="162"/>
      <c r="BT45" s="38"/>
      <c r="BU45" s="162" t="s">
        <v>875</v>
      </c>
      <c r="BV45" s="162"/>
      <c r="BW45" s="21"/>
      <c r="BX45" s="21"/>
      <c r="BY45" s="21"/>
      <c r="BZ45" s="21"/>
      <c r="CA45" s="865">
        <f>FirstEnergy!I83+FirstEnergy!I85</f>
        <v>1453</v>
      </c>
      <c r="CB45" s="865">
        <f>FirstEnergy!J83+FirstEnergy!J85</f>
        <v>329</v>
      </c>
      <c r="CC45" s="865">
        <f>FirstEnergy!K83+FirstEnergy!K85</f>
        <v>290</v>
      </c>
      <c r="CD45" s="865">
        <f>FirstEnergy!L83+FirstEnergy!L85</f>
        <v>264</v>
      </c>
      <c r="CE45" s="865">
        <f>FirstEnergy!M83+FirstEnergy!M85</f>
        <v>276</v>
      </c>
      <c r="CF45" s="865">
        <f>FirstEnergy!N83+FirstEnergy!N85</f>
        <v>1035</v>
      </c>
      <c r="CG45" s="865">
        <f>FirstEnergy!O83+FirstEnergy!O85</f>
        <v>214</v>
      </c>
      <c r="CH45" s="865">
        <f>FirstEnergy!P83+FirstEnergy!P85</f>
        <v>197</v>
      </c>
      <c r="CI45" s="865">
        <f>FirstEnergy!Q83+FirstEnergy!Q85</f>
        <v>186</v>
      </c>
      <c r="CJ45" s="865">
        <f>FirstEnergy!R83+FirstEnergy!R85</f>
        <v>181</v>
      </c>
      <c r="CK45" s="865">
        <f>FirstEnergy!S83+FirstEnergy!S85</f>
        <v>871</v>
      </c>
      <c r="CL45" s="865">
        <f>FirstEnergy!T83+FirstEnergy!T85</f>
        <v>171</v>
      </c>
      <c r="CM45" s="865">
        <f>FirstEnergy!U83+FirstEnergy!U85</f>
        <v>150</v>
      </c>
      <c r="CN45" s="865">
        <f>FirstEnergy!V83+FirstEnergy!V85</f>
        <v>412</v>
      </c>
      <c r="CO45" s="865">
        <f>FirstEnergy!W83+FirstEnergy!W85</f>
        <v>281</v>
      </c>
      <c r="CP45" s="865">
        <f>FirstEnergy!X83+FirstEnergy!X85</f>
        <v>1097</v>
      </c>
      <c r="CQ45" s="865">
        <f>FirstEnergy!Y83+FirstEnergy!Y85</f>
        <v>498</v>
      </c>
      <c r="CR45" s="865">
        <f>FirstEnergy!Z83+FirstEnergy!Z85</f>
        <v>335</v>
      </c>
      <c r="CS45" s="865">
        <f>FirstEnergy!AA83+FirstEnergy!AA85</f>
        <v>244</v>
      </c>
      <c r="CT45" s="865">
        <f>FirstEnergy!AB83+FirstEnergy!AB85</f>
        <v>412</v>
      </c>
      <c r="CU45" s="865">
        <f>FirstEnergy!AC83+FirstEnergy!AC85</f>
        <v>1489</v>
      </c>
      <c r="CV45" s="865">
        <f>FirstEnergy!AD83+FirstEnergy!AD85</f>
        <v>390</v>
      </c>
      <c r="CW45" s="865">
        <f>FirstEnergy!AE83+FirstEnergy!AE85</f>
        <v>267</v>
      </c>
      <c r="CX45" s="865">
        <f>FirstEnergy!AF83+FirstEnergy!AF85</f>
        <v>154</v>
      </c>
      <c r="CY45" s="865">
        <f>FirstEnergy!AG83+FirstEnergy!AG85</f>
        <v>433</v>
      </c>
      <c r="CZ45" s="865">
        <f>FirstEnergy!AH83+FirstEnergy!AH85</f>
        <v>1244</v>
      </c>
      <c r="DA45" s="865">
        <f>FirstEnergy!AI83+FirstEnergy!AI85</f>
        <v>194</v>
      </c>
      <c r="DB45" s="865">
        <f>FirstEnergy!AJ83+FirstEnergy!AJ85</f>
        <v>246</v>
      </c>
      <c r="DC45" s="865">
        <f>FirstEnergy!AK83+FirstEnergy!AK85</f>
        <v>102</v>
      </c>
      <c r="DD45" s="865">
        <f>FirstEnergy!AL83+FirstEnergy!AL85</f>
        <v>292</v>
      </c>
      <c r="DE45" s="865">
        <f>FirstEnergy!AM83+FirstEnergy!AM85</f>
        <v>834</v>
      </c>
      <c r="DF45" s="865">
        <f>FirstEnergy!AN83+FirstEnergy!AN85</f>
        <v>327</v>
      </c>
      <c r="DG45" s="865">
        <f>FirstEnergy!AO83+FirstEnergy!AO85</f>
        <v>269</v>
      </c>
      <c r="DH45" s="865">
        <f>FirstEnergy!AP83+FirstEnergy!AP85</f>
        <v>122</v>
      </c>
      <c r="DI45" s="865">
        <f>FirstEnergy!AQ83+FirstEnergy!AQ85</f>
        <v>185</v>
      </c>
      <c r="DJ45" s="865">
        <f>FirstEnergy!AR83+FirstEnergy!AR85</f>
        <v>903</v>
      </c>
      <c r="DK45" s="865">
        <f>FirstEnergy!AS83+FirstEnergy!AS85</f>
        <v>232</v>
      </c>
      <c r="DL45" s="865">
        <f>FirstEnergy!AT83+FirstEnergy!AT85</f>
        <v>119</v>
      </c>
      <c r="DM45" s="865">
        <f>FirstEnergy!AU83+FirstEnergy!AU85</f>
        <v>81</v>
      </c>
      <c r="DN45" s="865">
        <f>FirstEnergy!AV83+FirstEnergy!AV85</f>
        <v>188</v>
      </c>
      <c r="DO45" s="865">
        <f>FirstEnergy!AW83+FirstEnergy!AW85</f>
        <v>620</v>
      </c>
      <c r="DP45" s="865">
        <f>FirstEnergy!AX83+FirstEnergy!AX85</f>
        <v>97.5</v>
      </c>
      <c r="DQ45" s="865">
        <f>FirstEnergy!AY83+FirstEnergy!AY85</f>
        <v>97.5</v>
      </c>
      <c r="DR45" s="865">
        <f>FirstEnergy!AZ83+FirstEnergy!AZ85</f>
        <v>150.5</v>
      </c>
      <c r="DS45" s="865">
        <f>FirstEnergy!BA83+FirstEnergy!BA85</f>
        <v>97.5</v>
      </c>
      <c r="DT45" s="865">
        <f>FirstEnergy!BB83+FirstEnergy!BB85</f>
        <v>390</v>
      </c>
      <c r="DU45" s="865">
        <f>FirstEnergy!BC83+FirstEnergy!BC85</f>
        <v>97.5</v>
      </c>
      <c r="DV45" s="865">
        <f>FirstEnergy!BD83+FirstEnergy!BD85</f>
        <v>97.5</v>
      </c>
      <c r="DW45" s="865">
        <f>FirstEnergy!BE83+FirstEnergy!BE85</f>
        <v>150.5</v>
      </c>
      <c r="DX45" s="865">
        <f>FirstEnergy!BF83+FirstEnergy!BF85</f>
        <v>97.5</v>
      </c>
      <c r="DY45" s="865">
        <f>FirstEnergy!BG83+FirstEnergy!BG85</f>
        <v>390</v>
      </c>
      <c r="DZ45" s="865">
        <f>FirstEnergy!BH83+FirstEnergy!BH85</f>
        <v>97.5</v>
      </c>
      <c r="EA45" s="865">
        <f>FirstEnergy!BI83+FirstEnergy!BI85</f>
        <v>97.5</v>
      </c>
      <c r="EB45" s="865">
        <f>FirstEnergy!BJ83+FirstEnergy!BJ85</f>
        <v>97.5</v>
      </c>
      <c r="EC45" s="865">
        <f>FirstEnergy!BK83+FirstEnergy!BK85</f>
        <v>97.5</v>
      </c>
      <c r="ED45" s="865">
        <f>FirstEnergy!BL83+FirstEnergy!BL85</f>
        <v>390</v>
      </c>
      <c r="EE45" s="865">
        <f>FirstEnergy!BM83+FirstEnergy!BM85</f>
        <v>97.5</v>
      </c>
      <c r="EF45" s="865">
        <f>FirstEnergy!BN83+FirstEnergy!BN85</f>
        <v>97.5</v>
      </c>
      <c r="EG45" s="865">
        <f>FirstEnergy!BO83+FirstEnergy!BO85</f>
        <v>97.5</v>
      </c>
      <c r="EH45" s="865">
        <f>FirstEnergy!BP83+FirstEnergy!BP85</f>
        <v>97.5</v>
      </c>
      <c r="EI45" s="865">
        <f>FirstEnergy!BQ83+FirstEnergy!BQ85</f>
        <v>390</v>
      </c>
    </row>
    <row r="46" spans="2:139">
      <c r="B46" s="162"/>
      <c r="C46" s="162"/>
      <c r="D46" s="162"/>
      <c r="I46" s="162"/>
      <c r="N46" s="162"/>
      <c r="S46" s="162"/>
      <c r="X46" s="162"/>
      <c r="AC46" s="162"/>
      <c r="AH46" s="162"/>
      <c r="AM46" s="162"/>
      <c r="AR46" s="162"/>
      <c r="AW46" s="162"/>
      <c r="BB46" s="162"/>
      <c r="BG46" s="162"/>
      <c r="BL46" s="162"/>
      <c r="BQ46" s="162"/>
      <c r="BR46" s="162"/>
      <c r="BS46" s="162"/>
      <c r="BT46" s="38"/>
      <c r="BU46" s="186" t="s">
        <v>39</v>
      </c>
      <c r="BV46" s="162"/>
      <c r="BW46" s="21"/>
      <c r="BX46" s="21"/>
      <c r="BY46" s="21"/>
      <c r="BZ46" s="21"/>
      <c r="CA46" s="865">
        <v>0</v>
      </c>
      <c r="CB46" s="865">
        <v>0</v>
      </c>
      <c r="CC46" s="865">
        <v>0</v>
      </c>
      <c r="CD46" s="865">
        <v>0</v>
      </c>
      <c r="CE46" s="865">
        <v>0</v>
      </c>
      <c r="CF46" s="865">
        <v>0</v>
      </c>
      <c r="CG46" s="865">
        <v>0</v>
      </c>
      <c r="CH46" s="865">
        <v>0</v>
      </c>
      <c r="CI46" s="865">
        <v>0</v>
      </c>
      <c r="CJ46" s="865">
        <v>0</v>
      </c>
      <c r="CK46" s="865">
        <v>0</v>
      </c>
      <c r="CL46" s="865">
        <v>0</v>
      </c>
      <c r="CM46" s="865">
        <v>0</v>
      </c>
      <c r="CN46" s="865">
        <v>0</v>
      </c>
      <c r="CO46" s="865">
        <v>0</v>
      </c>
      <c r="CP46" s="865">
        <v>0</v>
      </c>
      <c r="CQ46" s="865">
        <v>0</v>
      </c>
      <c r="CR46" s="865">
        <v>0</v>
      </c>
      <c r="CS46" s="865">
        <v>0</v>
      </c>
      <c r="CT46" s="865">
        <v>0</v>
      </c>
      <c r="CU46" s="865">
        <v>0</v>
      </c>
      <c r="CV46" s="865">
        <v>0</v>
      </c>
      <c r="CW46" s="865">
        <v>0</v>
      </c>
      <c r="CX46" s="865">
        <v>0</v>
      </c>
      <c r="CY46" s="865">
        <v>0</v>
      </c>
      <c r="CZ46" s="865">
        <v>0</v>
      </c>
      <c r="DA46" s="865">
        <v>0</v>
      </c>
      <c r="DB46" s="865">
        <v>0</v>
      </c>
      <c r="DC46" s="865">
        <v>0</v>
      </c>
      <c r="DD46" s="865">
        <v>0</v>
      </c>
      <c r="DE46" s="865">
        <v>0</v>
      </c>
      <c r="DF46" s="865">
        <v>0</v>
      </c>
      <c r="DG46" s="865">
        <v>0</v>
      </c>
      <c r="DH46" s="865">
        <v>0</v>
      </c>
      <c r="DI46" s="865">
        <v>0</v>
      </c>
      <c r="DJ46" s="865">
        <v>0</v>
      </c>
      <c r="DK46" s="865">
        <v>0</v>
      </c>
      <c r="DL46" s="865">
        <v>0</v>
      </c>
      <c r="DM46" s="865">
        <v>0</v>
      </c>
      <c r="DN46" s="865">
        <v>0</v>
      </c>
      <c r="DO46" s="865">
        <v>0</v>
      </c>
      <c r="DP46" s="865">
        <v>0</v>
      </c>
      <c r="DQ46" s="865">
        <v>0</v>
      </c>
      <c r="DR46" s="865">
        <v>0</v>
      </c>
      <c r="DS46" s="865">
        <v>0</v>
      </c>
      <c r="DT46" s="865">
        <v>0</v>
      </c>
      <c r="DU46" s="865">
        <v>0</v>
      </c>
      <c r="DV46" s="865">
        <v>0</v>
      </c>
      <c r="DW46" s="865">
        <v>0</v>
      </c>
      <c r="DX46" s="865">
        <v>0</v>
      </c>
      <c r="DY46" s="865">
        <v>0</v>
      </c>
      <c r="DZ46" s="865">
        <v>0</v>
      </c>
      <c r="EA46" s="865">
        <v>0</v>
      </c>
      <c r="EB46" s="865">
        <v>0</v>
      </c>
      <c r="EC46" s="865">
        <v>0</v>
      </c>
      <c r="ED46" s="865">
        <v>0</v>
      </c>
      <c r="EE46" s="865">
        <v>0</v>
      </c>
      <c r="EF46" s="865">
        <v>0</v>
      </c>
      <c r="EG46" s="865">
        <v>0</v>
      </c>
      <c r="EH46" s="865">
        <v>0</v>
      </c>
      <c r="EI46" s="865">
        <v>0</v>
      </c>
    </row>
    <row r="47" spans="2:139">
      <c r="B47" s="162"/>
      <c r="C47" s="162"/>
      <c r="D47" s="162"/>
      <c r="I47" s="162"/>
      <c r="N47" s="162"/>
      <c r="S47" s="162"/>
      <c r="X47" s="162"/>
      <c r="AC47" s="162"/>
      <c r="AH47" s="162"/>
      <c r="AM47" s="162"/>
      <c r="AR47" s="162"/>
      <c r="AW47" s="162"/>
      <c r="BB47" s="162"/>
      <c r="BG47" s="162"/>
      <c r="BL47" s="162"/>
      <c r="BQ47" s="162"/>
      <c r="BR47" s="162"/>
      <c r="BS47" s="162"/>
      <c r="BT47" s="38"/>
      <c r="BU47" s="13" t="s">
        <v>105</v>
      </c>
      <c r="BV47" s="162"/>
      <c r="BW47" s="51"/>
      <c r="BX47" s="51"/>
      <c r="BY47" s="51"/>
      <c r="BZ47" s="51"/>
      <c r="CA47" s="991">
        <f>-FirstEnergy!I136</f>
        <v>2203</v>
      </c>
      <c r="CB47" s="93"/>
      <c r="CC47" s="93"/>
      <c r="CD47" s="93"/>
      <c r="CE47" s="93"/>
      <c r="CF47" s="991">
        <f>-FirstEnergy!N136</f>
        <v>1963</v>
      </c>
      <c r="CG47" s="93"/>
      <c r="CH47" s="93"/>
      <c r="CI47" s="93"/>
      <c r="CJ47" s="93"/>
      <c r="CK47" s="991">
        <f>-FirstEnergy!S136</f>
        <v>2278</v>
      </c>
      <c r="CL47" s="93"/>
      <c r="CM47" s="93"/>
      <c r="CN47" s="93"/>
      <c r="CO47" s="93"/>
      <c r="CP47" s="991">
        <f>-FirstEnergy!X136</f>
        <v>2964</v>
      </c>
      <c r="CQ47" s="93"/>
      <c r="CR47" s="93"/>
      <c r="CS47" s="93"/>
      <c r="CT47" s="93"/>
      <c r="CU47" s="991">
        <f>-FirstEnergy!AC136</f>
        <v>2888</v>
      </c>
      <c r="CV47" s="93"/>
      <c r="CW47" s="93"/>
      <c r="CX47" s="93"/>
      <c r="CY47" s="93"/>
      <c r="CZ47" s="991">
        <f>-FirstEnergy!AH136</f>
        <v>3545</v>
      </c>
      <c r="DA47" s="93"/>
      <c r="DB47" s="93"/>
      <c r="DC47" s="93"/>
      <c r="DD47" s="93"/>
      <c r="DE47" s="991">
        <f>-FirstEnergy!AM136</f>
        <v>2894</v>
      </c>
      <c r="DF47" s="93"/>
      <c r="DG47" s="93"/>
      <c r="DH47" s="93"/>
      <c r="DI47" s="93"/>
      <c r="DJ47" s="991">
        <f>-FirstEnergy!AR136</f>
        <v>3067</v>
      </c>
      <c r="DK47" s="93"/>
      <c r="DL47" s="93"/>
      <c r="DM47" s="93"/>
      <c r="DN47" s="93"/>
      <c r="DO47" s="991">
        <f>-FirstEnergy!AW136</f>
        <v>2841</v>
      </c>
      <c r="DP47" s="93"/>
      <c r="DQ47" s="93"/>
      <c r="DR47" s="93"/>
      <c r="DS47" s="93"/>
      <c r="DT47" s="991">
        <f>-FirstEnergy!BB136</f>
        <v>3093</v>
      </c>
      <c r="DU47" s="93"/>
      <c r="DV47" s="93"/>
      <c r="DW47" s="93"/>
      <c r="DX47" s="93"/>
      <c r="DY47" s="991">
        <f>-FirstEnergy!BG136</f>
        <v>3093</v>
      </c>
      <c r="DZ47" s="93"/>
      <c r="EA47" s="93"/>
      <c r="EB47" s="93"/>
      <c r="EC47" s="93"/>
      <c r="ED47" s="991">
        <f>-FirstEnergy!BL136</f>
        <v>3040</v>
      </c>
      <c r="EE47" s="93"/>
      <c r="EF47" s="93"/>
      <c r="EG47" s="93"/>
      <c r="EH47" s="93"/>
      <c r="EI47" s="991">
        <f>-FirstEnergy!BQ136</f>
        <v>3040</v>
      </c>
    </row>
    <row r="48" spans="2:139">
      <c r="B48" s="162"/>
      <c r="C48" s="162"/>
      <c r="D48" s="162"/>
      <c r="I48" s="162"/>
      <c r="N48" s="162"/>
      <c r="S48" s="162"/>
      <c r="X48" s="162"/>
      <c r="AC48" s="162"/>
      <c r="AH48" s="162"/>
      <c r="AM48" s="162"/>
      <c r="AR48" s="162"/>
      <c r="AW48" s="162"/>
      <c r="BB48" s="162"/>
      <c r="BG48" s="162"/>
      <c r="BL48" s="162"/>
      <c r="BQ48" s="162"/>
      <c r="BR48" s="162"/>
      <c r="BS48" s="162"/>
      <c r="BT48" s="38"/>
      <c r="BU48" s="12"/>
      <c r="BV48" s="162"/>
      <c r="BW48" s="15"/>
      <c r="BX48" s="15"/>
      <c r="BY48" s="15"/>
      <c r="BZ48" s="15"/>
      <c r="CA48" s="325"/>
      <c r="CB48" s="81"/>
      <c r="CC48" s="81"/>
      <c r="CD48" s="81"/>
      <c r="CE48" s="81"/>
      <c r="CF48" s="325"/>
      <c r="CG48" s="81"/>
      <c r="CH48" s="81"/>
      <c r="CI48" s="81"/>
      <c r="CJ48" s="81"/>
      <c r="CK48" s="325"/>
      <c r="CL48" s="81"/>
      <c r="CM48" s="81"/>
      <c r="CN48" s="81"/>
      <c r="CO48" s="81"/>
      <c r="CP48" s="325"/>
      <c r="CQ48" s="81"/>
      <c r="CR48" s="81"/>
      <c r="CS48" s="81"/>
      <c r="CT48" s="81"/>
      <c r="CU48" s="325"/>
      <c r="CV48" s="81"/>
      <c r="CW48" s="81"/>
      <c r="CX48" s="81"/>
      <c r="CY48" s="81"/>
      <c r="CZ48" s="325"/>
      <c r="DA48" s="81"/>
      <c r="DB48" s="81"/>
      <c r="DC48" s="81"/>
      <c r="DD48" s="81"/>
      <c r="DE48" s="325"/>
      <c r="DF48" s="81"/>
      <c r="DG48" s="81"/>
      <c r="DH48" s="81"/>
      <c r="DI48" s="81"/>
      <c r="DJ48" s="325"/>
      <c r="DK48" s="81"/>
      <c r="DL48" s="81"/>
      <c r="DM48" s="81"/>
      <c r="DN48" s="81"/>
      <c r="DO48" s="325"/>
      <c r="DP48" s="81"/>
      <c r="DQ48" s="81"/>
      <c r="DR48" s="81"/>
      <c r="DS48" s="81"/>
      <c r="DT48" s="325"/>
      <c r="DU48" s="81"/>
      <c r="DV48" s="81"/>
      <c r="DW48" s="81"/>
      <c r="DX48" s="81"/>
      <c r="DY48" s="325"/>
      <c r="DZ48" s="81"/>
      <c r="EA48" s="81"/>
      <c r="EB48" s="81"/>
      <c r="EC48" s="81"/>
      <c r="ED48" s="325"/>
      <c r="EE48" s="81"/>
      <c r="EF48" s="81"/>
      <c r="EG48" s="81"/>
      <c r="EH48" s="81"/>
      <c r="EI48" s="325"/>
    </row>
    <row r="49" spans="2:139">
      <c r="B49" s="10" t="s">
        <v>106</v>
      </c>
      <c r="C49" s="10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162"/>
      <c r="BS49" s="162"/>
      <c r="BT49" s="38"/>
      <c r="BU49" s="13" t="s">
        <v>109</v>
      </c>
      <c r="BV49" s="162"/>
      <c r="CA49" s="325"/>
      <c r="CB49" s="81"/>
      <c r="CC49" s="81"/>
      <c r="CD49" s="81"/>
      <c r="CE49" s="81"/>
      <c r="CF49" s="325"/>
      <c r="CG49" s="81"/>
      <c r="CH49" s="81"/>
      <c r="CI49" s="81"/>
      <c r="CJ49" s="81"/>
      <c r="CK49" s="325"/>
      <c r="CL49" s="81"/>
      <c r="CM49" s="81"/>
      <c r="CN49" s="81"/>
      <c r="CO49" s="81"/>
      <c r="CP49" s="325"/>
      <c r="CQ49" s="81"/>
      <c r="CR49" s="81"/>
      <c r="CS49" s="81"/>
      <c r="CT49" s="81"/>
      <c r="CU49" s="325"/>
      <c r="CV49" s="81"/>
      <c r="CW49" s="81"/>
      <c r="CX49" s="81"/>
      <c r="CY49" s="81"/>
      <c r="CZ49" s="325"/>
      <c r="DA49" s="81"/>
      <c r="DB49" s="81"/>
      <c r="DC49" s="81"/>
      <c r="DD49" s="81"/>
      <c r="DE49" s="325"/>
      <c r="DF49" s="81"/>
      <c r="DG49" s="81"/>
      <c r="DH49" s="81"/>
      <c r="DI49" s="81"/>
      <c r="DJ49" s="325"/>
      <c r="DK49" s="81"/>
      <c r="DL49" s="81"/>
      <c r="DM49" s="81"/>
      <c r="DN49" s="81"/>
      <c r="DO49" s="325"/>
      <c r="DP49" s="81"/>
      <c r="DQ49" s="81"/>
      <c r="DR49" s="81"/>
      <c r="DS49" s="81"/>
      <c r="DT49" s="325"/>
      <c r="DU49" s="81"/>
      <c r="DV49" s="81"/>
      <c r="DW49" s="81"/>
      <c r="DX49" s="81"/>
      <c r="DY49" s="325"/>
      <c r="DZ49" s="81"/>
      <c r="EA49" s="81"/>
      <c r="EB49" s="81"/>
      <c r="EC49" s="81"/>
      <c r="ED49" s="325"/>
      <c r="EE49" s="81"/>
      <c r="EF49" s="81"/>
      <c r="EG49" s="81"/>
      <c r="EH49" s="81"/>
      <c r="EI49" s="325"/>
    </row>
    <row r="50" spans="2:139">
      <c r="B50" s="162"/>
      <c r="C50" s="12"/>
      <c r="D50" s="12"/>
      <c r="F50" s="18"/>
      <c r="G50" s="18"/>
      <c r="H50" s="18"/>
      <c r="I50" s="12"/>
      <c r="K50" s="18"/>
      <c r="L50" s="18"/>
      <c r="M50" s="18"/>
      <c r="N50" s="189"/>
      <c r="O50" s="18"/>
      <c r="P50" s="18"/>
      <c r="Q50" s="18"/>
      <c r="S50" s="189"/>
      <c r="T50" s="18"/>
      <c r="U50" s="18"/>
      <c r="V50" s="18"/>
      <c r="X50" s="189"/>
      <c r="Y50" s="18"/>
      <c r="Z50" s="18"/>
      <c r="AA50" s="18"/>
      <c r="AC50" s="189"/>
      <c r="AD50" s="18"/>
      <c r="AE50" s="18"/>
      <c r="AF50" s="18"/>
      <c r="AH50" s="189"/>
      <c r="AI50" s="18"/>
      <c r="AJ50" s="18"/>
      <c r="AK50" s="18"/>
      <c r="AM50" s="162"/>
      <c r="AN50" s="18"/>
      <c r="AO50" s="18"/>
      <c r="AP50" s="18"/>
      <c r="AR50" s="162"/>
      <c r="AS50" s="18"/>
      <c r="AT50" s="18"/>
      <c r="AU50" s="18"/>
      <c r="AW50" s="162"/>
      <c r="AX50" s="18"/>
      <c r="AY50" s="18"/>
      <c r="AZ50" s="18"/>
      <c r="BB50" s="162"/>
      <c r="BC50" s="18"/>
      <c r="BD50" s="18"/>
      <c r="BE50" s="18"/>
      <c r="BG50" s="162"/>
      <c r="BH50" s="18"/>
      <c r="BI50" s="18"/>
      <c r="BJ50" s="18"/>
      <c r="BL50" s="162"/>
      <c r="BM50" s="18"/>
      <c r="BN50" s="18"/>
      <c r="BO50" s="18"/>
      <c r="BQ50" s="162"/>
      <c r="BR50" s="162"/>
      <c r="BS50" s="162"/>
      <c r="BT50" s="38"/>
      <c r="BU50" s="12" t="s">
        <v>874</v>
      </c>
      <c r="BV50" s="162"/>
      <c r="BW50" s="21"/>
      <c r="BX50" s="21"/>
      <c r="BY50" s="21"/>
      <c r="BZ50" s="21"/>
      <c r="CA50" s="188">
        <f>+CA38-CA44</f>
        <v>1106</v>
      </c>
      <c r="CB50" s="21"/>
      <c r="CC50" s="21"/>
      <c r="CD50" s="21"/>
      <c r="CE50" s="21"/>
      <c r="CF50" s="188">
        <f>+CF38-CF44</f>
        <v>1203</v>
      </c>
      <c r="CG50" s="21"/>
      <c r="CH50" s="21"/>
      <c r="CI50" s="21"/>
      <c r="CJ50" s="21"/>
      <c r="CK50" s="188">
        <f>+CK38-CK44</f>
        <v>836</v>
      </c>
      <c r="CL50" s="21"/>
      <c r="CM50" s="21"/>
      <c r="CN50" s="21"/>
      <c r="CO50" s="21"/>
      <c r="CP50" s="188">
        <f>+CP38-CP44</f>
        <v>495</v>
      </c>
      <c r="CQ50" s="21"/>
      <c r="CR50" s="21"/>
      <c r="CS50" s="21"/>
      <c r="CT50" s="21"/>
      <c r="CU50" s="188">
        <f>+CU38-CU44</f>
        <v>930</v>
      </c>
      <c r="CV50" s="21"/>
      <c r="CW50" s="21"/>
      <c r="CX50" s="21"/>
      <c r="CY50" s="21"/>
      <c r="CZ50" s="188">
        <f>+CZ38-CZ44</f>
        <v>-469</v>
      </c>
      <c r="DA50" s="21"/>
      <c r="DB50" s="21"/>
      <c r="DC50" s="21"/>
      <c r="DD50" s="21"/>
      <c r="DE50" s="188">
        <f>+DE38-DE44</f>
        <v>103</v>
      </c>
      <c r="DF50" s="21"/>
      <c r="DG50" s="21"/>
      <c r="DH50" s="21"/>
      <c r="DI50" s="21"/>
      <c r="DJ50" s="188">
        <f>+DJ38-DJ44</f>
        <v>122</v>
      </c>
      <c r="DK50" s="21"/>
      <c r="DL50" s="21"/>
      <c r="DM50" s="21"/>
      <c r="DN50" s="21"/>
      <c r="DO50" s="188">
        <f>+DO38-DO44</f>
        <v>432</v>
      </c>
      <c r="DP50" s="21"/>
      <c r="DQ50" s="21"/>
      <c r="DR50" s="21"/>
      <c r="DS50" s="21"/>
      <c r="DT50" s="188">
        <f>+DT38-DT44</f>
        <v>21.25008160095831</v>
      </c>
      <c r="DU50" s="21"/>
      <c r="DV50" s="21"/>
      <c r="DW50" s="21"/>
      <c r="DX50" s="21"/>
      <c r="DY50" s="188">
        <f>+DY38-DY44</f>
        <v>171.03455208863306</v>
      </c>
      <c r="DZ50" s="21"/>
      <c r="EA50" s="21"/>
      <c r="EB50" s="21"/>
      <c r="EC50" s="21"/>
      <c r="ED50" s="188">
        <f>+ED38-ED44</f>
        <v>160.81663732786456</v>
      </c>
      <c r="EE50" s="21"/>
      <c r="EF50" s="21"/>
      <c r="EG50" s="21"/>
      <c r="EH50" s="21"/>
      <c r="EI50" s="188">
        <f>+EI38-EI44</f>
        <v>314.8494611570336</v>
      </c>
    </row>
    <row r="51" spans="2:139">
      <c r="B51" s="162"/>
      <c r="C51" s="12" t="s">
        <v>110</v>
      </c>
      <c r="D51" s="8"/>
      <c r="E51" s="8"/>
      <c r="F51" s="46"/>
      <c r="G51" s="46"/>
      <c r="H51" s="46"/>
      <c r="I51" s="8"/>
      <c r="J51" s="8"/>
      <c r="K51" s="46"/>
      <c r="L51" s="46"/>
      <c r="M51" s="46"/>
      <c r="N51" s="46">
        <f>N60/N14</f>
        <v>8.8734567901234556</v>
      </c>
      <c r="O51" s="46"/>
      <c r="P51" s="46"/>
      <c r="Q51" s="46"/>
      <c r="S51" s="46">
        <f>S60/S14</f>
        <v>9.5306493613855228</v>
      </c>
      <c r="T51" s="46"/>
      <c r="U51" s="46"/>
      <c r="V51" s="46"/>
      <c r="X51" s="46">
        <f>X60/X14</f>
        <v>10.384698275862069</v>
      </c>
      <c r="Y51" s="46"/>
      <c r="Z51" s="46"/>
      <c r="AA51" s="46"/>
      <c r="AC51" s="46">
        <f>AC60/AC14</f>
        <v>11.38228346456693</v>
      </c>
      <c r="AD51" s="46"/>
      <c r="AE51" s="46"/>
      <c r="AF51" s="46"/>
      <c r="AH51" s="46">
        <f>AH60/AH14</f>
        <v>13.511162790697673</v>
      </c>
      <c r="AI51" s="46"/>
      <c r="AJ51" s="46"/>
      <c r="AK51" s="46"/>
      <c r="AM51" s="46">
        <f>AM60/AM14</f>
        <v>12.786713286713287</v>
      </c>
      <c r="AN51" s="46"/>
      <c r="AO51" s="46"/>
      <c r="AP51" s="46"/>
      <c r="AR51" s="46">
        <f>AR60/AR14</f>
        <v>13.122321428571425</v>
      </c>
      <c r="AS51" s="46"/>
      <c r="AT51" s="46"/>
      <c r="AU51" s="46"/>
      <c r="AW51" s="46">
        <f>AW60/AW14</f>
        <v>11.213762811127379</v>
      </c>
      <c r="AX51" s="46"/>
      <c r="AY51" s="46"/>
      <c r="AZ51" s="46"/>
      <c r="BB51" s="46">
        <f>BB60/BB14</f>
        <v>13.341515632854124</v>
      </c>
      <c r="BC51" s="46"/>
      <c r="BD51" s="46"/>
      <c r="BE51" s="46"/>
      <c r="BG51" s="46">
        <f>BG60/BG14</f>
        <v>14.409789814807128</v>
      </c>
      <c r="BH51" s="46"/>
      <c r="BI51" s="46"/>
      <c r="BJ51" s="46"/>
      <c r="BL51" s="46">
        <f>BL60/BL14</f>
        <v>16.973025382634766</v>
      </c>
      <c r="BM51" s="46"/>
      <c r="BN51" s="46"/>
      <c r="BO51" s="46"/>
      <c r="BQ51" s="46">
        <f>BQ60/BQ14</f>
        <v>14.635873147971822</v>
      </c>
      <c r="BR51" s="162"/>
      <c r="BS51" s="162"/>
      <c r="BT51" s="38"/>
      <c r="BU51" s="162" t="s">
        <v>875</v>
      </c>
      <c r="BV51" s="162"/>
      <c r="BW51" s="21"/>
      <c r="BX51" s="21"/>
      <c r="BY51" s="21"/>
      <c r="BZ51" s="21"/>
      <c r="CA51" s="188">
        <f>+CA39-CA45</f>
        <v>-844</v>
      </c>
      <c r="CB51" s="21"/>
      <c r="CC51" s="21"/>
      <c r="CD51" s="21"/>
      <c r="CE51" s="21"/>
      <c r="CF51" s="188">
        <f>+CF39-CF45</f>
        <v>93</v>
      </c>
      <c r="CG51" s="21"/>
      <c r="CH51" s="21"/>
      <c r="CI51" s="21"/>
      <c r="CJ51" s="21"/>
      <c r="CK51" s="188">
        <f>+CK39-CK45</f>
        <v>98</v>
      </c>
      <c r="CL51" s="21"/>
      <c r="CM51" s="21"/>
      <c r="CN51" s="21"/>
      <c r="CO51" s="21"/>
      <c r="CP51" s="188">
        <f>+CP39-CP45</f>
        <v>-853</v>
      </c>
      <c r="CQ51" s="21"/>
      <c r="CR51" s="21"/>
      <c r="CS51" s="21"/>
      <c r="CT51" s="21"/>
      <c r="CU51" s="188">
        <f>+CU39-CU45</f>
        <v>-1156</v>
      </c>
      <c r="CV51" s="21"/>
      <c r="CW51" s="21"/>
      <c r="CX51" s="21"/>
      <c r="CY51" s="21"/>
      <c r="CZ51" s="188">
        <f>+CZ39-CZ45</f>
        <v>-363</v>
      </c>
      <c r="DA51" s="21"/>
      <c r="DB51" s="21"/>
      <c r="DC51" s="21"/>
      <c r="DD51" s="21"/>
      <c r="DE51" s="188">
        <f>+DE39-DE45</f>
        <v>450</v>
      </c>
      <c r="DF51" s="21"/>
      <c r="DG51" s="21"/>
      <c r="DH51" s="21"/>
      <c r="DI51" s="21"/>
      <c r="DJ51" s="188">
        <f>+DJ39-DJ45</f>
        <v>182</v>
      </c>
      <c r="DK51" s="21"/>
      <c r="DL51" s="21"/>
      <c r="DM51" s="21"/>
      <c r="DN51" s="21"/>
      <c r="DO51" s="188">
        <f>+DO39-DO45</f>
        <v>535</v>
      </c>
      <c r="DP51" s="21"/>
      <c r="DQ51" s="21"/>
      <c r="DR51" s="21"/>
      <c r="DS51" s="21"/>
      <c r="DT51" s="188">
        <f>+DT39-DT45</f>
        <v>-1582.4788930658524</v>
      </c>
      <c r="DU51" s="21"/>
      <c r="DV51" s="21"/>
      <c r="DW51" s="21"/>
      <c r="DX51" s="21"/>
      <c r="DY51" s="188">
        <f>+DY39-DY45</f>
        <v>-677.21541540287262</v>
      </c>
      <c r="DZ51" s="21"/>
      <c r="EA51" s="21"/>
      <c r="EB51" s="21"/>
      <c r="EC51" s="21"/>
      <c r="ED51" s="188">
        <f>+ED39-ED45</f>
        <v>-520.86993957829009</v>
      </c>
      <c r="EE51" s="21"/>
      <c r="EF51" s="21"/>
      <c r="EG51" s="21"/>
      <c r="EH51" s="21"/>
      <c r="EI51" s="188">
        <f>+EI39-EI45</f>
        <v>-393.20609607855704</v>
      </c>
    </row>
    <row r="52" spans="2:139">
      <c r="B52" s="162"/>
      <c r="C52" s="12" t="s">
        <v>111</v>
      </c>
      <c r="D52" s="8"/>
      <c r="E52" s="8"/>
      <c r="F52" s="46"/>
      <c r="G52" s="46"/>
      <c r="H52" s="46"/>
      <c r="I52" s="8"/>
      <c r="J52" s="8"/>
      <c r="K52" s="46"/>
      <c r="L52" s="46"/>
      <c r="M52" s="46"/>
      <c r="N52" s="46">
        <f>N64/N27</f>
        <v>11.037623866438357</v>
      </c>
      <c r="O52" s="46"/>
      <c r="P52" s="46"/>
      <c r="Q52" s="46"/>
      <c r="S52" s="46">
        <f>S64/S27</f>
        <v>9.3982812651581096</v>
      </c>
      <c r="T52" s="46"/>
      <c r="U52" s="46"/>
      <c r="V52" s="46"/>
      <c r="X52" s="46">
        <f>X64/X27</f>
        <v>10.137955440035535</v>
      </c>
      <c r="Y52" s="46"/>
      <c r="Z52" s="46"/>
      <c r="AA52" s="46"/>
      <c r="AC52" s="46">
        <f>AC64/AC27</f>
        <v>13.156238673424255</v>
      </c>
      <c r="AD52" s="46"/>
      <c r="AE52" s="46"/>
      <c r="AF52" s="46"/>
      <c r="AH52" s="46">
        <f>AH64/AH27</f>
        <v>15.75229135592498</v>
      </c>
      <c r="AI52" s="46"/>
      <c r="AJ52" s="46"/>
      <c r="AK52" s="46"/>
      <c r="AM52" s="46">
        <f>AM64/AM27</f>
        <v>11.660149066144202</v>
      </c>
      <c r="AN52" s="46"/>
      <c r="AO52" s="46"/>
      <c r="AP52" s="46"/>
      <c r="AR52" s="46">
        <f>AR64/AR27</f>
        <v>-5.4790787357611075</v>
      </c>
      <c r="AS52" s="46"/>
      <c r="AT52" s="46"/>
      <c r="AU52" s="46"/>
      <c r="AW52" s="46">
        <f>AW64/AW27</f>
        <v>26.39834909161932</v>
      </c>
      <c r="AX52" s="46"/>
      <c r="AY52" s="46"/>
      <c r="AZ52" s="46"/>
      <c r="BB52" s="46">
        <f>BB64/BB27</f>
        <v>10.064991588388835</v>
      </c>
      <c r="BC52" s="46"/>
      <c r="BD52" s="46"/>
      <c r="BE52" s="46"/>
      <c r="BG52" s="46">
        <f>BG64/BG27</f>
        <v>10.00130531770861</v>
      </c>
      <c r="BH52" s="46"/>
      <c r="BI52" s="46"/>
      <c r="BJ52" s="46"/>
      <c r="BL52" s="46">
        <f>BL64/BL27</f>
        <v>10.376959649564284</v>
      </c>
      <c r="BM52" s="46"/>
      <c r="BN52" s="46"/>
      <c r="BO52" s="46"/>
      <c r="BQ52" s="46">
        <f>BQ64/BQ27</f>
        <v>9.5838568603925847</v>
      </c>
      <c r="BR52" s="162"/>
      <c r="BS52" s="162"/>
      <c r="BT52" s="38"/>
      <c r="BU52" s="186" t="s">
        <v>39</v>
      </c>
      <c r="BV52" s="162"/>
      <c r="BW52" s="21"/>
      <c r="BX52" s="21"/>
      <c r="BY52" s="21"/>
      <c r="BZ52" s="21"/>
      <c r="CA52" s="188">
        <f>+CA40-CA46</f>
        <v>0</v>
      </c>
      <c r="CB52" s="21"/>
      <c r="CC52" s="21"/>
      <c r="CD52" s="21"/>
      <c r="CE52" s="21"/>
      <c r="CF52" s="188">
        <f>+CF40-CF46</f>
        <v>0</v>
      </c>
      <c r="CG52" s="21"/>
      <c r="CH52" s="21"/>
      <c r="CI52" s="21"/>
      <c r="CJ52" s="21"/>
      <c r="CK52" s="188">
        <f>+CK40-CK46</f>
        <v>0</v>
      </c>
      <c r="CL52" s="21"/>
      <c r="CM52" s="21"/>
      <c r="CN52" s="21"/>
      <c r="CO52" s="21"/>
      <c r="CP52" s="188">
        <f>+CP40-CP46</f>
        <v>0</v>
      </c>
      <c r="CQ52" s="21"/>
      <c r="CR52" s="21"/>
      <c r="CS52" s="21"/>
      <c r="CT52" s="21"/>
      <c r="CU52" s="188">
        <f>+CU40-CU46</f>
        <v>0</v>
      </c>
      <c r="CV52" s="21"/>
      <c r="CW52" s="21"/>
      <c r="CX52" s="21"/>
      <c r="CY52" s="21"/>
      <c r="CZ52" s="188">
        <f>+CZ40-CZ46</f>
        <v>0</v>
      </c>
      <c r="DA52" s="21"/>
      <c r="DB52" s="21"/>
      <c r="DC52" s="21"/>
      <c r="DD52" s="21"/>
      <c r="DE52" s="188">
        <f>+DE40-DE46</f>
        <v>0</v>
      </c>
      <c r="DF52" s="21"/>
      <c r="DG52" s="21"/>
      <c r="DH52" s="21"/>
      <c r="DI52" s="21"/>
      <c r="DJ52" s="188">
        <f>+DJ40-DJ46</f>
        <v>0</v>
      </c>
      <c r="DK52" s="21"/>
      <c r="DL52" s="21"/>
      <c r="DM52" s="21"/>
      <c r="DN52" s="21"/>
      <c r="DO52" s="188">
        <f>+DO40-DO46</f>
        <v>0</v>
      </c>
      <c r="DP52" s="21"/>
      <c r="DQ52" s="21"/>
      <c r="DR52" s="21"/>
      <c r="DS52" s="21"/>
      <c r="DT52" s="188">
        <f>+DT40-DT46</f>
        <v>0</v>
      </c>
      <c r="DU52" s="21"/>
      <c r="DV52" s="21"/>
      <c r="DW52" s="21"/>
      <c r="DX52" s="21"/>
      <c r="DY52" s="188">
        <f>+DY40-DY46</f>
        <v>0</v>
      </c>
      <c r="DZ52" s="21"/>
      <c r="EA52" s="21"/>
      <c r="EB52" s="21"/>
      <c r="EC52" s="21"/>
      <c r="ED52" s="188">
        <f>+ED40-ED46</f>
        <v>0</v>
      </c>
      <c r="EE52" s="21"/>
      <c r="EF52" s="21"/>
      <c r="EG52" s="21"/>
      <c r="EH52" s="21"/>
      <c r="EI52" s="188">
        <f>+EI40-EI46</f>
        <v>0</v>
      </c>
    </row>
    <row r="53" spans="2:139">
      <c r="B53" s="162"/>
      <c r="C53" s="12" t="s">
        <v>17</v>
      </c>
      <c r="D53" s="8"/>
      <c r="E53" s="8"/>
      <c r="F53" s="54"/>
      <c r="G53" s="54"/>
      <c r="H53" s="54"/>
      <c r="I53" s="8"/>
      <c r="J53" s="8"/>
      <c r="K53" s="54"/>
      <c r="L53" s="54"/>
      <c r="M53" s="54"/>
      <c r="N53" s="54">
        <f>+N38</f>
        <v>6.3768115942028997E-2</v>
      </c>
      <c r="O53" s="54"/>
      <c r="P53" s="54"/>
      <c r="Q53" s="54"/>
      <c r="S53" s="54">
        <f>+S38</f>
        <v>6.3768115942028997E-2</v>
      </c>
      <c r="T53" s="54"/>
      <c r="U53" s="54"/>
      <c r="V53" s="54"/>
      <c r="X53" s="54">
        <f>+X38</f>
        <v>6.3768115942028997E-2</v>
      </c>
      <c r="Y53" s="54"/>
      <c r="Z53" s="54"/>
      <c r="AA53" s="54"/>
      <c r="AC53" s="54">
        <f>+AC38</f>
        <v>6.3768115942028997E-2</v>
      </c>
      <c r="AD53" s="54"/>
      <c r="AE53" s="54"/>
      <c r="AF53" s="54"/>
      <c r="AH53" s="54">
        <f>+AH38</f>
        <v>4.1739130434782605E-2</v>
      </c>
      <c r="AI53" s="54"/>
      <c r="AJ53" s="54"/>
      <c r="AK53" s="54"/>
      <c r="AM53" s="54">
        <f>+AM38</f>
        <v>4.1739130434782605E-2</v>
      </c>
      <c r="AN53" s="54"/>
      <c r="AO53" s="54"/>
      <c r="AP53" s="54"/>
      <c r="AR53" s="54">
        <f>+AR38</f>
        <v>4.1739130434782605E-2</v>
      </c>
      <c r="AS53" s="54"/>
      <c r="AT53" s="54"/>
      <c r="AU53" s="54"/>
      <c r="AW53" s="54">
        <f>+AW38</f>
        <v>4.1739130434782605E-2</v>
      </c>
      <c r="AX53" s="54"/>
      <c r="AY53" s="54"/>
      <c r="AZ53" s="54"/>
      <c r="BB53" s="54">
        <f>+BB38</f>
        <v>4.1739130434782605E-2</v>
      </c>
      <c r="BC53" s="54"/>
      <c r="BD53" s="54"/>
      <c r="BE53" s="54"/>
      <c r="BG53" s="54">
        <f>+BG38</f>
        <v>4.1739130434782605E-2</v>
      </c>
      <c r="BH53" s="54"/>
      <c r="BI53" s="54"/>
      <c r="BJ53" s="54"/>
      <c r="BL53" s="54">
        <f>+BL38</f>
        <v>4.1739130434782605E-2</v>
      </c>
      <c r="BM53" s="54"/>
      <c r="BN53" s="54"/>
      <c r="BO53" s="54"/>
      <c r="BQ53" s="54">
        <f>+BQ38</f>
        <v>4.1739130434782605E-2</v>
      </c>
      <c r="BR53" s="162"/>
      <c r="BS53" s="162"/>
      <c r="BT53" s="38"/>
      <c r="BU53" s="14" t="s">
        <v>112</v>
      </c>
      <c r="BV53" s="191"/>
      <c r="BW53" s="49"/>
      <c r="BX53" s="49"/>
      <c r="BY53" s="49"/>
      <c r="BZ53" s="49"/>
      <c r="CA53" s="49">
        <f>SUM(CA50:CA52)</f>
        <v>262</v>
      </c>
      <c r="CB53" s="49">
        <f t="shared" ref="CB53:DD53" si="8">SUM(CB50:CB52)</f>
        <v>0</v>
      </c>
      <c r="CC53" s="49">
        <f t="shared" si="8"/>
        <v>0</v>
      </c>
      <c r="CD53" s="49">
        <f t="shared" si="8"/>
        <v>0</v>
      </c>
      <c r="CE53" s="49">
        <f t="shared" si="8"/>
        <v>0</v>
      </c>
      <c r="CF53" s="49">
        <f>SUM(CF50:CF52)</f>
        <v>1296</v>
      </c>
      <c r="CG53" s="49">
        <f t="shared" si="8"/>
        <v>0</v>
      </c>
      <c r="CH53" s="49">
        <f t="shared" si="8"/>
        <v>0</v>
      </c>
      <c r="CI53" s="49">
        <f t="shared" si="8"/>
        <v>0</v>
      </c>
      <c r="CJ53" s="49">
        <f t="shared" si="8"/>
        <v>0</v>
      </c>
      <c r="CK53" s="49">
        <f>SUM(CK50:CK52)</f>
        <v>934</v>
      </c>
      <c r="CL53" s="49">
        <f t="shared" si="8"/>
        <v>0</v>
      </c>
      <c r="CM53" s="49">
        <f t="shared" si="8"/>
        <v>0</v>
      </c>
      <c r="CN53" s="49">
        <f t="shared" si="8"/>
        <v>0</v>
      </c>
      <c r="CO53" s="49">
        <f t="shared" si="8"/>
        <v>0</v>
      </c>
      <c r="CP53" s="49">
        <f>SUM(CP50:CP52)</f>
        <v>-358</v>
      </c>
      <c r="CQ53" s="49">
        <f t="shared" si="8"/>
        <v>0</v>
      </c>
      <c r="CR53" s="49">
        <f t="shared" si="8"/>
        <v>0</v>
      </c>
      <c r="CS53" s="49">
        <f t="shared" si="8"/>
        <v>0</v>
      </c>
      <c r="CT53" s="49">
        <f t="shared" si="8"/>
        <v>0</v>
      </c>
      <c r="CU53" s="49">
        <f>SUM(CU50:CU52)</f>
        <v>-226</v>
      </c>
      <c r="CV53" s="49">
        <f t="shared" si="8"/>
        <v>0</v>
      </c>
      <c r="CW53" s="49">
        <f t="shared" si="8"/>
        <v>0</v>
      </c>
      <c r="CX53" s="49">
        <f t="shared" si="8"/>
        <v>0</v>
      </c>
      <c r="CY53" s="49">
        <f t="shared" si="8"/>
        <v>0</v>
      </c>
      <c r="CZ53" s="49">
        <f>SUM(CZ50:CZ52)</f>
        <v>-832</v>
      </c>
      <c r="DA53" s="49">
        <f t="shared" si="8"/>
        <v>0</v>
      </c>
      <c r="DB53" s="49">
        <f t="shared" si="8"/>
        <v>0</v>
      </c>
      <c r="DC53" s="49">
        <f t="shared" si="8"/>
        <v>0</v>
      </c>
      <c r="DD53" s="49">
        <f t="shared" si="8"/>
        <v>0</v>
      </c>
      <c r="DE53" s="49">
        <f t="shared" ref="DE53:DT53" si="9">SUM(DE50:DE52)</f>
        <v>553</v>
      </c>
      <c r="DF53" s="49">
        <f t="shared" si="9"/>
        <v>0</v>
      </c>
      <c r="DG53" s="49">
        <f t="shared" si="9"/>
        <v>0</v>
      </c>
      <c r="DH53" s="49">
        <f t="shared" si="9"/>
        <v>0</v>
      </c>
      <c r="DI53" s="49">
        <f t="shared" si="9"/>
        <v>0</v>
      </c>
      <c r="DJ53" s="49">
        <f t="shared" si="9"/>
        <v>304</v>
      </c>
      <c r="DK53" s="49">
        <f t="shared" si="9"/>
        <v>0</v>
      </c>
      <c r="DL53" s="49">
        <f t="shared" si="9"/>
        <v>0</v>
      </c>
      <c r="DM53" s="49">
        <f t="shared" si="9"/>
        <v>0</v>
      </c>
      <c r="DN53" s="49">
        <f t="shared" si="9"/>
        <v>0</v>
      </c>
      <c r="DO53" s="49">
        <f t="shared" si="9"/>
        <v>967</v>
      </c>
      <c r="DP53" s="49">
        <f t="shared" si="9"/>
        <v>0</v>
      </c>
      <c r="DQ53" s="49">
        <f t="shared" si="9"/>
        <v>0</v>
      </c>
      <c r="DR53" s="49">
        <f t="shared" si="9"/>
        <v>0</v>
      </c>
      <c r="DS53" s="49">
        <f t="shared" si="9"/>
        <v>0</v>
      </c>
      <c r="DT53" s="49">
        <f t="shared" si="9"/>
        <v>-1561.2288114648941</v>
      </c>
      <c r="DU53" s="49">
        <f t="shared" ref="DU53:ED53" si="10">SUM(DU50:DU52)</f>
        <v>0</v>
      </c>
      <c r="DV53" s="49">
        <f t="shared" si="10"/>
        <v>0</v>
      </c>
      <c r="DW53" s="49">
        <f t="shared" si="10"/>
        <v>0</v>
      </c>
      <c r="DX53" s="49">
        <f t="shared" si="10"/>
        <v>0</v>
      </c>
      <c r="DY53" s="49">
        <f t="shared" si="10"/>
        <v>-506.18086331423956</v>
      </c>
      <c r="DZ53" s="49">
        <f t="shared" si="10"/>
        <v>0</v>
      </c>
      <c r="EA53" s="49">
        <f t="shared" si="10"/>
        <v>0</v>
      </c>
      <c r="EB53" s="49">
        <f t="shared" si="10"/>
        <v>0</v>
      </c>
      <c r="EC53" s="49">
        <f t="shared" si="10"/>
        <v>0</v>
      </c>
      <c r="ED53" s="49">
        <f t="shared" si="10"/>
        <v>-360.05330225042553</v>
      </c>
      <c r="EE53" s="49">
        <f t="shared" ref="EE53:EI53" si="11">SUM(EE50:EE52)</f>
        <v>0</v>
      </c>
      <c r="EF53" s="49">
        <f t="shared" si="11"/>
        <v>0</v>
      </c>
      <c r="EG53" s="49">
        <f t="shared" si="11"/>
        <v>0</v>
      </c>
      <c r="EH53" s="49">
        <f t="shared" si="11"/>
        <v>0</v>
      </c>
      <c r="EI53" s="55">
        <f t="shared" si="11"/>
        <v>-78.356634921523437</v>
      </c>
    </row>
    <row r="54" spans="2:139">
      <c r="B54" s="162"/>
      <c r="C54" s="12" t="s">
        <v>114</v>
      </c>
      <c r="D54" s="12"/>
      <c r="F54" s="18"/>
      <c r="G54" s="18"/>
      <c r="H54" s="18"/>
      <c r="I54" s="12"/>
      <c r="K54" s="18"/>
      <c r="L54" s="18"/>
      <c r="M54" s="18"/>
      <c r="N54" s="24">
        <f>CF16/N61</f>
        <v>20.309974979711388</v>
      </c>
      <c r="O54" s="18"/>
      <c r="P54" s="23"/>
      <c r="Q54" s="18"/>
      <c r="S54" s="24">
        <f>CK16/S61</f>
        <v>30.021868625397065</v>
      </c>
      <c r="T54" s="16"/>
      <c r="U54" s="16"/>
      <c r="V54" s="16"/>
      <c r="W54" s="16"/>
      <c r="X54" s="24">
        <f>CP16/X61</f>
        <v>29.578774781227047</v>
      </c>
      <c r="Y54" s="16"/>
      <c r="Z54" s="16"/>
      <c r="AA54" s="16"/>
      <c r="AB54" s="16"/>
      <c r="AC54" s="24">
        <f>CU16/AC61</f>
        <v>28.692587092887013</v>
      </c>
      <c r="AD54" s="16"/>
      <c r="AE54" s="16"/>
      <c r="AF54" s="16"/>
      <c r="AG54" s="16"/>
      <c r="AH54" s="24">
        <f>CZ16/AH61</f>
        <v>28.077681349957196</v>
      </c>
      <c r="AI54" s="16"/>
      <c r="AJ54" s="16"/>
      <c r="AK54" s="16"/>
      <c r="AL54" s="16"/>
      <c r="AM54" s="24">
        <f>DE16/AM61</f>
        <v>28.079942032835614</v>
      </c>
      <c r="AN54" s="16"/>
      <c r="AO54" s="16"/>
      <c r="AP54" s="16"/>
      <c r="AQ54" s="16"/>
      <c r="AR54" s="24">
        <f>DJ16/AR61</f>
        <v>14.10892184420957</v>
      </c>
      <c r="AS54" s="16"/>
      <c r="AT54" s="16"/>
      <c r="AU54" s="16"/>
      <c r="AV54" s="16"/>
      <c r="AW54" s="24">
        <f>DO16/AW61</f>
        <v>8.8731802977924303</v>
      </c>
      <c r="AX54" s="16"/>
      <c r="AY54" s="16"/>
      <c r="AZ54" s="16"/>
      <c r="BA54" s="16"/>
      <c r="BB54" s="24">
        <f>DT16/BB61</f>
        <v>12.244009897910701</v>
      </c>
      <c r="BC54" s="16"/>
      <c r="BD54" s="16"/>
      <c r="BE54" s="16"/>
      <c r="BF54" s="16"/>
      <c r="BG54" s="24">
        <f>DY16/BG61</f>
        <v>17.207679812592684</v>
      </c>
      <c r="BH54" s="16"/>
      <c r="BI54" s="16"/>
      <c r="BJ54" s="16"/>
      <c r="BK54" s="16"/>
      <c r="BL54" s="24">
        <f>ED16/BL61</f>
        <v>18.159585357936166</v>
      </c>
      <c r="BM54" s="16"/>
      <c r="BN54" s="16"/>
      <c r="BO54" s="16"/>
      <c r="BP54" s="16"/>
      <c r="BQ54" s="24">
        <f>EI16/BQ61</f>
        <v>19.483572968863076</v>
      </c>
      <c r="BR54" s="162"/>
      <c r="BS54" s="162"/>
      <c r="BT54" s="38"/>
      <c r="BU54" s="12" t="s">
        <v>876</v>
      </c>
      <c r="BV54" s="162"/>
      <c r="BW54" s="21"/>
      <c r="BX54" s="21"/>
      <c r="BY54" s="21"/>
      <c r="BZ54" s="21"/>
      <c r="CA54" s="188">
        <f>FirstEnergy!I137+FirstEnergy!I138</f>
        <v>18</v>
      </c>
      <c r="CB54" s="21">
        <f>FirstEnergy!J137+FirstEnergy!J138</f>
        <v>32</v>
      </c>
      <c r="CC54" s="21">
        <f>FirstEnergy!K137+FirstEnergy!K138</f>
        <v>-2</v>
      </c>
      <c r="CD54" s="21">
        <f>FirstEnergy!L137+FirstEnergy!L138</f>
        <v>-8</v>
      </c>
      <c r="CE54" s="21">
        <f>FirstEnergy!M137+FirstEnergy!M138</f>
        <v>-7</v>
      </c>
      <c r="CF54" s="188">
        <f>FirstEnergy!N137+FirstEnergy!N138</f>
        <v>15</v>
      </c>
      <c r="CG54" s="21">
        <f>FirstEnergy!O137+FirstEnergy!O138</f>
        <v>590</v>
      </c>
      <c r="CH54" s="21">
        <f>FirstEnergy!P137+FirstEnergy!P138</f>
        <v>-107</v>
      </c>
      <c r="CI54" s="21">
        <f>FirstEnergy!Q137+FirstEnergy!Q138</f>
        <v>491</v>
      </c>
      <c r="CJ54" s="21">
        <f>FirstEnergy!R137+FirstEnergy!R138</f>
        <v>348</v>
      </c>
      <c r="CK54" s="188">
        <f>FirstEnergy!S137+FirstEnergy!S138</f>
        <v>1322</v>
      </c>
      <c r="CL54" s="21">
        <f>FirstEnergy!T137+FirstEnergy!T138</f>
        <v>55</v>
      </c>
      <c r="CM54" s="21">
        <f>FirstEnergy!U137+FirstEnergy!U138</f>
        <v>-55</v>
      </c>
      <c r="CN54" s="21">
        <f>FirstEnergy!V137+FirstEnergy!V138</f>
        <v>-97</v>
      </c>
      <c r="CO54" s="21">
        <f>FirstEnergy!W137+FirstEnergy!W138</f>
        <v>-96</v>
      </c>
      <c r="CP54" s="188">
        <f>FirstEnergy!X137+FirstEnergy!X138</f>
        <v>-193</v>
      </c>
      <c r="CQ54" s="21">
        <f>FirstEnergy!Y137+FirstEnergy!Y138</f>
        <v>-74</v>
      </c>
      <c r="CR54" s="21">
        <f>FirstEnergy!Z137+FirstEnergy!Z138</f>
        <v>-34</v>
      </c>
      <c r="CS54" s="21">
        <f>FirstEnergy!AA137+FirstEnergy!AA138</f>
        <v>-48</v>
      </c>
      <c r="CT54" s="21">
        <f>FirstEnergy!AB137+FirstEnergy!AB138</f>
        <v>-49</v>
      </c>
      <c r="CU54" s="188">
        <f>FirstEnergy!AC137+FirstEnergy!AC138</f>
        <v>-205</v>
      </c>
      <c r="CV54" s="21">
        <f>FirstEnergy!AD137+FirstEnergy!AD138</f>
        <v>361</v>
      </c>
      <c r="CW54" s="21">
        <f>FirstEnergy!AE137+FirstEnergy!AE138</f>
        <v>-63</v>
      </c>
      <c r="CX54" s="21">
        <f>FirstEnergy!AF137+FirstEnergy!AF138</f>
        <v>-17</v>
      </c>
      <c r="CY54" s="21">
        <f>FirstEnergy!AG137+FirstEnergy!AG138</f>
        <v>-95</v>
      </c>
      <c r="CZ54" s="188">
        <f>FirstEnergy!AH137+FirstEnergy!AH138</f>
        <v>186</v>
      </c>
      <c r="DA54" s="21">
        <f>FirstEnergy!AI137+FirstEnergy!AI138</f>
        <v>-20</v>
      </c>
      <c r="DB54" s="21">
        <f>FirstEnergy!AJ137+FirstEnergy!AJ138</f>
        <v>-90</v>
      </c>
      <c r="DC54" s="21">
        <f>FirstEnergy!AK137+FirstEnergy!AK138</f>
        <v>-51</v>
      </c>
      <c r="DD54" s="21">
        <f>FirstEnergy!AL137+FirstEnergy!AL138</f>
        <v>-67</v>
      </c>
      <c r="DE54" s="188">
        <f>FirstEnergy!AM137+FirstEnergy!AM138</f>
        <v>-228</v>
      </c>
      <c r="DF54" s="21">
        <f>FirstEnergy!AN137+FirstEnergy!AN138</f>
        <v>-18</v>
      </c>
      <c r="DG54" s="21">
        <f>FirstEnergy!AO137+FirstEnergy!AO138</f>
        <v>-69</v>
      </c>
      <c r="DH54" s="21">
        <f>FirstEnergy!AP137+FirstEnergy!AP138</f>
        <v>-38</v>
      </c>
      <c r="DI54" s="21">
        <f>FirstEnergy!AQ137+FirstEnergy!AQ138</f>
        <v>-89</v>
      </c>
      <c r="DJ54" s="188">
        <f>FirstEnergy!AR137+FirstEnergy!AR138</f>
        <v>-214</v>
      </c>
      <c r="DK54" s="21">
        <f>FirstEnergy!AS137+FirstEnergy!AS138</f>
        <v>-42</v>
      </c>
      <c r="DL54" s="21">
        <f>FirstEnergy!AT137+FirstEnergy!AT138</f>
        <v>-81</v>
      </c>
      <c r="DM54" s="21">
        <f>FirstEnergy!AU137+FirstEnergy!AU138</f>
        <v>-55</v>
      </c>
      <c r="DN54" s="21">
        <f>FirstEnergy!AV137+FirstEnergy!AV138</f>
        <v>303</v>
      </c>
      <c r="DO54" s="188">
        <f>FirstEnergy!AW137+FirstEnergy!AW138</f>
        <v>125</v>
      </c>
      <c r="DP54" s="21">
        <f>FirstEnergy!AX137+FirstEnergy!AX138</f>
        <v>0</v>
      </c>
      <c r="DQ54" s="21">
        <f>FirstEnergy!AY137+FirstEnergy!AY138</f>
        <v>0</v>
      </c>
      <c r="DR54" s="21">
        <f>FirstEnergy!AZ137+FirstEnergy!AZ138</f>
        <v>0</v>
      </c>
      <c r="DS54" s="21">
        <f>FirstEnergy!BA137+FirstEnergy!BA138</f>
        <v>0</v>
      </c>
      <c r="DT54" s="188">
        <f>FirstEnergy!BB137+FirstEnergy!BB138</f>
        <v>0</v>
      </c>
      <c r="DU54" s="21">
        <f>FirstEnergy!BC137+FirstEnergy!BC138</f>
        <v>0</v>
      </c>
      <c r="DV54" s="21">
        <f>FirstEnergy!BD137+FirstEnergy!BD138</f>
        <v>0</v>
      </c>
      <c r="DW54" s="21">
        <f>FirstEnergy!BE137+FirstEnergy!BE138</f>
        <v>0</v>
      </c>
      <c r="DX54" s="21">
        <f>FirstEnergy!BF137+FirstEnergy!BF138</f>
        <v>0</v>
      </c>
      <c r="DY54" s="188">
        <f>FirstEnergy!BG137+FirstEnergy!BG138</f>
        <v>0</v>
      </c>
      <c r="DZ54" s="21">
        <f>FirstEnergy!BH137+FirstEnergy!BH138</f>
        <v>0</v>
      </c>
      <c r="EA54" s="21">
        <f>FirstEnergy!BI137+FirstEnergy!BI138</f>
        <v>0</v>
      </c>
      <c r="EB54" s="21">
        <f>FirstEnergy!BJ137+FirstEnergy!BJ138</f>
        <v>0</v>
      </c>
      <c r="EC54" s="21">
        <f>FirstEnergy!BK137+FirstEnergy!BK138</f>
        <v>0</v>
      </c>
      <c r="ED54" s="188">
        <f>FirstEnergy!BL137+FirstEnergy!BL138</f>
        <v>0</v>
      </c>
      <c r="EE54" s="21">
        <f>FirstEnergy!BM137+FirstEnergy!BM138</f>
        <v>0</v>
      </c>
      <c r="EF54" s="21">
        <f>FirstEnergy!BN137+FirstEnergy!BN138</f>
        <v>0</v>
      </c>
      <c r="EG54" s="21">
        <f>FirstEnergy!BO137+FirstEnergy!BO138</f>
        <v>0</v>
      </c>
      <c r="EH54" s="21">
        <f>FirstEnergy!BP137+FirstEnergy!BP138</f>
        <v>0</v>
      </c>
      <c r="EI54" s="188">
        <f>FirstEnergy!BQ137+FirstEnergy!BQ138</f>
        <v>0</v>
      </c>
    </row>
    <row r="55" spans="2:139">
      <c r="B55" s="162"/>
      <c r="C55" s="162"/>
      <c r="D55" s="162"/>
      <c r="I55" s="162"/>
      <c r="N55" s="162"/>
      <c r="S55" s="162"/>
      <c r="X55" s="162"/>
      <c r="AC55" s="162"/>
      <c r="AH55" s="162"/>
      <c r="AI55" s="17"/>
      <c r="AJ55" s="17"/>
      <c r="AK55" s="17"/>
      <c r="AM55" s="162"/>
      <c r="AN55" s="17"/>
      <c r="AO55" s="17"/>
      <c r="AP55" s="17"/>
      <c r="AR55" s="162"/>
      <c r="AS55" s="17"/>
      <c r="AT55" s="17"/>
      <c r="AU55" s="17"/>
      <c r="AW55" s="162"/>
      <c r="AX55" s="17"/>
      <c r="AY55" s="17"/>
      <c r="AZ55" s="17"/>
      <c r="BB55" s="162"/>
      <c r="BC55" s="17"/>
      <c r="BD55" s="17"/>
      <c r="BE55" s="17"/>
      <c r="BG55" s="162"/>
      <c r="BH55" s="17"/>
      <c r="BI55" s="17"/>
      <c r="BJ55" s="17"/>
      <c r="BL55" s="162"/>
      <c r="BM55" s="17"/>
      <c r="BN55" s="17"/>
      <c r="BO55" s="17"/>
      <c r="BQ55" s="162"/>
      <c r="BR55" s="162"/>
      <c r="BS55" s="162"/>
      <c r="BT55" s="38"/>
      <c r="BU55" s="12" t="s">
        <v>115</v>
      </c>
      <c r="BV55" s="162"/>
      <c r="BW55" s="21"/>
      <c r="BX55" s="21"/>
      <c r="BY55" s="21"/>
      <c r="BZ55" s="21"/>
      <c r="CA55" s="188">
        <f>+-FirstEnergy!I145</f>
        <v>670</v>
      </c>
      <c r="CB55" s="20"/>
      <c r="CC55" s="20"/>
      <c r="CD55" s="20"/>
      <c r="CE55" s="20"/>
      <c r="CF55" s="188">
        <f>+-FirstEnergy!N145</f>
        <v>670</v>
      </c>
      <c r="CG55" s="20"/>
      <c r="CH55" s="20"/>
      <c r="CI55" s="20"/>
      <c r="CJ55" s="20"/>
      <c r="CK55" s="188">
        <f>+-FirstEnergy!S145</f>
        <v>881</v>
      </c>
      <c r="CL55" s="20"/>
      <c r="CM55" s="20"/>
      <c r="CN55" s="20"/>
      <c r="CO55" s="20"/>
      <c r="CP55" s="188">
        <f>+-FirstEnergy!X145</f>
        <v>920</v>
      </c>
      <c r="CQ55" s="20"/>
      <c r="CR55" s="20"/>
      <c r="CS55" s="20"/>
      <c r="CT55" s="20"/>
      <c r="CU55" s="188">
        <f>+-FirstEnergy!AC145</f>
        <v>920</v>
      </c>
      <c r="CV55" s="20"/>
      <c r="CW55" s="20"/>
      <c r="CX55" s="20"/>
      <c r="CY55" s="20"/>
      <c r="CZ55" s="188">
        <f>+-FirstEnergy!AH145</f>
        <v>604</v>
      </c>
      <c r="DA55" s="20"/>
      <c r="DB55" s="20"/>
      <c r="DC55" s="20"/>
      <c r="DD55" s="20"/>
      <c r="DE55" s="188">
        <f>+-FirstEnergy!AM145</f>
        <v>607</v>
      </c>
      <c r="DF55" s="20"/>
      <c r="DG55" s="20"/>
      <c r="DH55" s="20"/>
      <c r="DI55" s="20"/>
      <c r="DJ55" s="188">
        <f>+-FirstEnergy!AR145</f>
        <v>611</v>
      </c>
      <c r="DK55" s="20"/>
      <c r="DL55" s="20"/>
      <c r="DM55" s="20"/>
      <c r="DN55" s="20"/>
      <c r="DO55" s="188">
        <f>+-FirstEnergy!AW145</f>
        <v>639</v>
      </c>
      <c r="DP55" s="20"/>
      <c r="DQ55" s="20"/>
      <c r="DR55" s="20"/>
      <c r="DS55" s="20"/>
      <c r="DT55" s="188">
        <f>+-FirstEnergy!BB145</f>
        <v>680.79814446021999</v>
      </c>
      <c r="DU55" s="20"/>
      <c r="DV55" s="20"/>
      <c r="DW55" s="20"/>
      <c r="DX55" s="20"/>
      <c r="DY55" s="188">
        <f>+-FirstEnergy!BG145</f>
        <v>721.25398590228917</v>
      </c>
      <c r="DZ55" s="20"/>
      <c r="EA55" s="20"/>
      <c r="EB55" s="20"/>
      <c r="EC55" s="20"/>
      <c r="ED55" s="188">
        <f>+-FirstEnergy!BL145</f>
        <v>780.16598285785926</v>
      </c>
      <c r="EE55" s="20"/>
      <c r="EF55" s="20"/>
      <c r="EG55" s="20"/>
      <c r="EH55" s="20"/>
      <c r="EI55" s="188">
        <f>+-FirstEnergy!BQ145</f>
        <v>784.05293937959834</v>
      </c>
    </row>
    <row r="56" spans="2:139">
      <c r="B56" s="162"/>
      <c r="C56" s="12" t="s">
        <v>116</v>
      </c>
      <c r="D56" s="12"/>
      <c r="F56" s="18"/>
      <c r="G56" s="17"/>
      <c r="H56" s="17"/>
      <c r="I56" s="12"/>
      <c r="K56" s="18"/>
      <c r="L56" s="17"/>
      <c r="M56" s="17"/>
      <c r="N56" s="190">
        <f>(N14*N44)/AVERAGE(CA16,CF16)</f>
        <v>0.13519238442683693</v>
      </c>
      <c r="O56" s="17"/>
      <c r="P56" s="17"/>
      <c r="Q56" s="17"/>
      <c r="S56" s="190">
        <f>(S14*S44)/AVERAGE(CF16,CK16)</f>
        <v>0.13039705353934605</v>
      </c>
      <c r="T56" s="17"/>
      <c r="U56" s="17"/>
      <c r="V56" s="17"/>
      <c r="X56" s="190">
        <f>(X14*X44)/AVERAGE(CK16,CP16)</f>
        <v>0.10559854346836596</v>
      </c>
      <c r="Y56" s="17"/>
      <c r="Z56" s="17"/>
      <c r="AA56" s="17"/>
      <c r="AC56" s="190">
        <f>(AC14*AC44)/AVERAGE(CP16,CU16)</f>
        <v>9.8541278708876454E-2</v>
      </c>
      <c r="AD56" s="17"/>
      <c r="AE56" s="17"/>
      <c r="AF56" s="17"/>
      <c r="AH56" s="190">
        <f>(AH14*AH44)/AVERAGE(CU16,CZ16)</f>
        <v>8.5616438356164407E-2</v>
      </c>
      <c r="AI56" s="20"/>
      <c r="AJ56" s="20"/>
      <c r="AK56" s="20"/>
      <c r="AL56" s="20"/>
      <c r="AM56" s="190">
        <f>(AM14*AM44)/AVERAGE(CZ16,DE16)</f>
        <v>9.2105792842478162E-2</v>
      </c>
      <c r="AN56" s="20"/>
      <c r="AO56" s="20"/>
      <c r="AP56" s="20"/>
      <c r="AQ56" s="20"/>
      <c r="AR56" s="190">
        <f>(AR14*AR44)/AVERAGE(DE16,DJ16)</f>
        <v>0.12003000750187549</v>
      </c>
      <c r="AS56" s="20"/>
      <c r="AT56" s="20"/>
      <c r="AU56" s="20"/>
      <c r="AV56" s="20"/>
      <c r="AW56" s="190">
        <f>(AW14*AW44)/AVERAGE(DJ16,DO16)</f>
        <v>0.2687389337005705</v>
      </c>
      <c r="AX56" s="20"/>
      <c r="AY56" s="20"/>
      <c r="AZ56" s="20"/>
      <c r="BA56" s="20"/>
      <c r="BB56" s="190">
        <f>(BB14*BB44)/AVERAGE(DO16,DT16)</f>
        <v>0.26176001462098447</v>
      </c>
      <c r="BC56" s="20"/>
      <c r="BD56" s="20"/>
      <c r="BE56" s="20"/>
      <c r="BF56" s="20"/>
      <c r="BG56" s="190">
        <f>(BG14*BG44)/AVERAGE(DT16,DY16)</f>
        <v>0.18409695599300663</v>
      </c>
      <c r="BH56" s="20"/>
      <c r="BI56" s="20"/>
      <c r="BJ56" s="20"/>
      <c r="BK56" s="20"/>
      <c r="BL56" s="190">
        <f>(BL14*BL44)/AVERAGE(DY16,ED16)</f>
        <v>0.14078374527142704</v>
      </c>
      <c r="BM56" s="20"/>
      <c r="BN56" s="20"/>
      <c r="BO56" s="20"/>
      <c r="BP56" s="20"/>
      <c r="BQ56" s="190">
        <f>(BQ14*BQ44)/AVERAGE(ED16,EI16)</f>
        <v>0.15415830979096343</v>
      </c>
      <c r="BR56" s="162"/>
      <c r="BS56" s="162"/>
      <c r="BT56" s="38"/>
      <c r="BU56" s="42" t="s">
        <v>117</v>
      </c>
      <c r="BV56" s="191"/>
      <c r="BW56" s="49">
        <f t="shared" ref="BW56:DD56" si="12">+BW53+BW54-BW55</f>
        <v>0</v>
      </c>
      <c r="BX56" s="49">
        <f t="shared" si="12"/>
        <v>0</v>
      </c>
      <c r="BY56" s="49">
        <f t="shared" si="12"/>
        <v>0</v>
      </c>
      <c r="BZ56" s="49">
        <f t="shared" si="12"/>
        <v>0</v>
      </c>
      <c r="CA56" s="49">
        <f>+CA53+CA54-CA55</f>
        <v>-390</v>
      </c>
      <c r="CB56" s="49">
        <f t="shared" si="12"/>
        <v>32</v>
      </c>
      <c r="CC56" s="49">
        <f t="shared" si="12"/>
        <v>-2</v>
      </c>
      <c r="CD56" s="49">
        <f t="shared" si="12"/>
        <v>-8</v>
      </c>
      <c r="CE56" s="49">
        <f t="shared" si="12"/>
        <v>-7</v>
      </c>
      <c r="CF56" s="49">
        <f>+CF53+CF54-CF55</f>
        <v>641</v>
      </c>
      <c r="CG56" s="49">
        <f t="shared" si="12"/>
        <v>590</v>
      </c>
      <c r="CH56" s="49">
        <f t="shared" si="12"/>
        <v>-107</v>
      </c>
      <c r="CI56" s="49">
        <f t="shared" si="12"/>
        <v>491</v>
      </c>
      <c r="CJ56" s="49">
        <f t="shared" si="12"/>
        <v>348</v>
      </c>
      <c r="CK56" s="49">
        <f>+CK53+CK54-CK55</f>
        <v>1375</v>
      </c>
      <c r="CL56" s="49">
        <f t="shared" si="12"/>
        <v>55</v>
      </c>
      <c r="CM56" s="49">
        <f t="shared" si="12"/>
        <v>-55</v>
      </c>
      <c r="CN56" s="49">
        <f t="shared" si="12"/>
        <v>-97</v>
      </c>
      <c r="CO56" s="49">
        <f t="shared" si="12"/>
        <v>-96</v>
      </c>
      <c r="CP56" s="49">
        <f>+CP53+CP54-CP55</f>
        <v>-1471</v>
      </c>
      <c r="CQ56" s="49">
        <f t="shared" si="12"/>
        <v>-74</v>
      </c>
      <c r="CR56" s="49">
        <f t="shared" si="12"/>
        <v>-34</v>
      </c>
      <c r="CS56" s="49">
        <f t="shared" si="12"/>
        <v>-48</v>
      </c>
      <c r="CT56" s="49">
        <f t="shared" si="12"/>
        <v>-49</v>
      </c>
      <c r="CU56" s="49">
        <f>+CU53+CU54-CU55</f>
        <v>-1351</v>
      </c>
      <c r="CV56" s="49">
        <f t="shared" si="12"/>
        <v>361</v>
      </c>
      <c r="CW56" s="49">
        <f t="shared" si="12"/>
        <v>-63</v>
      </c>
      <c r="CX56" s="49">
        <f t="shared" si="12"/>
        <v>-17</v>
      </c>
      <c r="CY56" s="49">
        <f t="shared" si="12"/>
        <v>-95</v>
      </c>
      <c r="CZ56" s="49">
        <f>+CZ53+CZ54-CZ55</f>
        <v>-1250</v>
      </c>
      <c r="DA56" s="49">
        <f t="shared" si="12"/>
        <v>-20</v>
      </c>
      <c r="DB56" s="49">
        <f t="shared" si="12"/>
        <v>-90</v>
      </c>
      <c r="DC56" s="49">
        <f t="shared" si="12"/>
        <v>-51</v>
      </c>
      <c r="DD56" s="49">
        <f t="shared" si="12"/>
        <v>-67</v>
      </c>
      <c r="DE56" s="49">
        <f t="shared" ref="DE56:DT56" si="13">+DE53+DE54-DE55</f>
        <v>-282</v>
      </c>
      <c r="DF56" s="49">
        <f t="shared" si="13"/>
        <v>-18</v>
      </c>
      <c r="DG56" s="49">
        <f t="shared" si="13"/>
        <v>-69</v>
      </c>
      <c r="DH56" s="49">
        <f t="shared" si="13"/>
        <v>-38</v>
      </c>
      <c r="DI56" s="49">
        <f t="shared" si="13"/>
        <v>-89</v>
      </c>
      <c r="DJ56" s="49">
        <f t="shared" si="13"/>
        <v>-521</v>
      </c>
      <c r="DK56" s="49">
        <f t="shared" si="13"/>
        <v>-42</v>
      </c>
      <c r="DL56" s="49">
        <f t="shared" si="13"/>
        <v>-81</v>
      </c>
      <c r="DM56" s="49">
        <f t="shared" si="13"/>
        <v>-55</v>
      </c>
      <c r="DN56" s="49">
        <f t="shared" si="13"/>
        <v>303</v>
      </c>
      <c r="DO56" s="49">
        <f t="shared" si="13"/>
        <v>453</v>
      </c>
      <c r="DP56" s="49">
        <f t="shared" si="13"/>
        <v>0</v>
      </c>
      <c r="DQ56" s="49">
        <f t="shared" si="13"/>
        <v>0</v>
      </c>
      <c r="DR56" s="49">
        <f t="shared" si="13"/>
        <v>0</v>
      </c>
      <c r="DS56" s="49">
        <f t="shared" si="13"/>
        <v>0</v>
      </c>
      <c r="DT56" s="49">
        <f t="shared" si="13"/>
        <v>-2242.0269559251142</v>
      </c>
      <c r="DU56" s="49">
        <f t="shared" ref="DU56:ED56" si="14">+DU53+DU54-DU55</f>
        <v>0</v>
      </c>
      <c r="DV56" s="49">
        <f t="shared" si="14"/>
        <v>0</v>
      </c>
      <c r="DW56" s="49">
        <f t="shared" si="14"/>
        <v>0</v>
      </c>
      <c r="DX56" s="49">
        <f t="shared" si="14"/>
        <v>0</v>
      </c>
      <c r="DY56" s="49">
        <f t="shared" si="14"/>
        <v>-1227.4348492165286</v>
      </c>
      <c r="DZ56" s="49">
        <f t="shared" si="14"/>
        <v>0</v>
      </c>
      <c r="EA56" s="49">
        <f t="shared" si="14"/>
        <v>0</v>
      </c>
      <c r="EB56" s="49">
        <f t="shared" si="14"/>
        <v>0</v>
      </c>
      <c r="EC56" s="49">
        <f t="shared" si="14"/>
        <v>0</v>
      </c>
      <c r="ED56" s="49">
        <f t="shared" si="14"/>
        <v>-1140.2192851082848</v>
      </c>
      <c r="EE56" s="49">
        <f t="shared" ref="EE56:EI56" si="15">+EE53+EE54-EE55</f>
        <v>0</v>
      </c>
      <c r="EF56" s="49">
        <f t="shared" si="15"/>
        <v>0</v>
      </c>
      <c r="EG56" s="49">
        <f t="shared" si="15"/>
        <v>0</v>
      </c>
      <c r="EH56" s="49">
        <f t="shared" si="15"/>
        <v>0</v>
      </c>
      <c r="EI56" s="55">
        <f t="shared" si="15"/>
        <v>-862.40957430112178</v>
      </c>
    </row>
    <row r="57" spans="2:139">
      <c r="B57" s="162"/>
      <c r="C57" s="12" t="s">
        <v>118</v>
      </c>
      <c r="D57" s="162"/>
      <c r="H57" s="17"/>
      <c r="I57" s="162"/>
      <c r="N57" s="190">
        <f>(FirstEnergy!N22*(1-FirstEnergy!N104))/AVERAGE((FirstEnergy!N172-FirstEnergy!N157-FirstEnergy!N176-FirstEnergy!N177),(FirstEnergy!I172-FirstEnergy!I157-FirstEnergy!I176-FirstEnergy!I177))</f>
        <v>4.472674990183604E-2</v>
      </c>
      <c r="O57" s="190"/>
      <c r="P57" s="190"/>
      <c r="Q57" s="190"/>
      <c r="R57" s="190"/>
      <c r="S57" s="190">
        <f>(FirstEnergy!S22*(1-FirstEnergy!S104))/AVERAGE((FirstEnergy!S172-FirstEnergy!S157-FirstEnergy!S176-FirstEnergy!S177),(FirstEnergy!N172-FirstEnergy!N157-FirstEnergy!N176-FirstEnergy!N177))</f>
        <v>3.9251597972804024E-2</v>
      </c>
      <c r="T57" s="190"/>
      <c r="U57" s="190"/>
      <c r="V57" s="190"/>
      <c r="W57" s="190"/>
      <c r="X57" s="190">
        <f>(FirstEnergy!X22*(1-FirstEnergy!X104))/AVERAGE((FirstEnergy!X172-FirstEnergy!X157-FirstEnergy!X176-FirstEnergy!X177),(FirstEnergy!S172-FirstEnergy!S157-FirstEnergy!S176-FirstEnergy!S177))</f>
        <v>3.1018960611156873E-2</v>
      </c>
      <c r="Y57" s="190"/>
      <c r="Z57" s="190"/>
      <c r="AA57" s="190"/>
      <c r="AB57" s="190"/>
      <c r="AC57" s="190">
        <f>(FirstEnergy!AC22*(1-FirstEnergy!AC104))/AVERAGE((FirstEnergy!AC172-FirstEnergy!AC157-FirstEnergy!AC176-FirstEnergy!AC177),(FirstEnergy!X172-FirstEnergy!X157-FirstEnergy!X176-FirstEnergy!X177))</f>
        <v>3.0043987982404808E-2</v>
      </c>
      <c r="AD57" s="190"/>
      <c r="AE57" s="190"/>
      <c r="AF57" s="190"/>
      <c r="AG57" s="190"/>
      <c r="AH57" s="190">
        <f>(FirstEnergy!AH22*(1-FirstEnergy!AH104))/AVERAGE((FirstEnergy!AH172-FirstEnergy!AH157-FirstEnergy!AH176-FirstEnergy!AH177),(FirstEnergy!AC172-FirstEnergy!AC157-FirstEnergy!AC176-FirstEnergy!AC177))</f>
        <v>4.8967057113933191E-2</v>
      </c>
      <c r="AI57" s="190"/>
      <c r="AJ57" s="190"/>
      <c r="AK57" s="190"/>
      <c r="AL57" s="190"/>
      <c r="AM57" s="190">
        <f>(FirstEnergy!AM22*(1-FirstEnergy!AM104))/AVERAGE((FirstEnergy!AM172-FirstEnergy!AM157-FirstEnergy!AM176-FirstEnergy!AM177),(FirstEnergy!AH172-FirstEnergy!AH157-FirstEnergy!AH176-FirstEnergy!AH177))</f>
        <v>3.3871318458646722E-2</v>
      </c>
      <c r="AN57" s="190"/>
      <c r="AO57" s="190"/>
      <c r="AP57" s="190"/>
      <c r="AQ57" s="190"/>
      <c r="AR57" s="190">
        <f>(FirstEnergy!AR22*(1-FirstEnergy!AR104))/AVERAGE((FirstEnergy!AR172-FirstEnergy!AR157-FirstEnergy!AR176-FirstEnergy!AR177),(FirstEnergy!AM172-FirstEnergy!AM157-FirstEnergy!AM176-FirstEnergy!AM177))</f>
        <v>3.8121990835358541E-2</v>
      </c>
      <c r="AS57" s="190"/>
      <c r="AT57" s="190"/>
      <c r="AU57" s="190"/>
      <c r="AV57" s="190"/>
      <c r="AW57" s="190">
        <f>(FirstEnergy!AW22*(1-FirstEnergy!AW104))/AVERAGE((FirstEnergy!AW172-FirstEnergy!AW157-FirstEnergy!AW176-FirstEnergy!AW177),(FirstEnergy!AR172-FirstEnergy!AR157-FirstEnergy!AR176-FirstEnergy!AR177))</f>
        <v>0.14286902941838567</v>
      </c>
      <c r="AX57" s="190"/>
      <c r="AY57" s="190"/>
      <c r="AZ57" s="190"/>
      <c r="BA57" s="190"/>
      <c r="BB57" s="190">
        <f>(FirstEnergy!BB22*(1-FirstEnergy!BB104))/AVERAGE((FirstEnergy!BB172-FirstEnergy!BB157-FirstEnergy!BB176-FirstEnergy!BB177),(FirstEnergy!AW172-FirstEnergy!AW157-FirstEnergy!AW176-FirstEnergy!AW177))</f>
        <v>4.9156976933729696E-2</v>
      </c>
      <c r="BC57" s="190"/>
      <c r="BD57" s="190"/>
      <c r="BE57" s="190"/>
      <c r="BF57" s="190"/>
      <c r="BG57" s="190">
        <f>(FirstEnergy!BG22*(1-FirstEnergy!BG104))/AVERAGE((FirstEnergy!BG172-FirstEnergy!BG157-FirstEnergy!BG176-FirstEnergy!BG177),(FirstEnergy!BB172-FirstEnergy!BB157-FirstEnergy!BB176-FirstEnergy!BB177))</f>
        <v>4.6035295105000186E-2</v>
      </c>
      <c r="BH57" s="190"/>
      <c r="BI57" s="190"/>
      <c r="BJ57" s="190"/>
      <c r="BK57" s="190"/>
      <c r="BL57" s="190">
        <f>(FirstEnergy!BL22*(1-FirstEnergy!BL104))/AVERAGE((FirstEnergy!BL172-FirstEnergy!BL157-FirstEnergy!BL176-FirstEnergy!BL177),(FirstEnergy!BG172-FirstEnergy!BG157-FirstEnergy!BG176-FirstEnergy!BG177))</f>
        <v>4.2384181844021089E-2</v>
      </c>
      <c r="BM57" s="190"/>
      <c r="BN57" s="190"/>
      <c r="BO57" s="190"/>
      <c r="BP57" s="190"/>
      <c r="BQ57" s="190">
        <f>(FirstEnergy!BQ22*(1-FirstEnergy!BQ104))/AVERAGE((FirstEnergy!BQ172-FirstEnergy!BQ157-FirstEnergy!BQ176-FirstEnergy!BQ177),(FirstEnergy!BL172-FirstEnergy!BL157-FirstEnergy!BL176-FirstEnergy!BL177))</f>
        <v>4.533532465283472E-2</v>
      </c>
      <c r="BR57" s="162"/>
      <c r="BS57" s="162"/>
      <c r="BT57" s="162"/>
      <c r="BU57" s="162"/>
      <c r="BV57" s="162"/>
      <c r="CA57" s="162"/>
      <c r="CF57" s="162"/>
      <c r="CK57" s="162"/>
      <c r="CP57" s="162"/>
      <c r="CU57" s="162"/>
      <c r="CZ57" s="162"/>
      <c r="DE57" s="162"/>
      <c r="DJ57" s="162"/>
      <c r="DO57" s="162"/>
      <c r="DT57" s="162"/>
      <c r="DY57" s="162"/>
      <c r="ED57" s="162"/>
      <c r="EI57" s="162"/>
    </row>
    <row r="58" spans="2:139">
      <c r="B58" s="162"/>
      <c r="C58" s="25" t="s">
        <v>119</v>
      </c>
      <c r="D58" s="41"/>
      <c r="F58" s="23"/>
      <c r="G58" s="17"/>
      <c r="I58" s="12"/>
      <c r="K58" s="23"/>
      <c r="L58" s="17"/>
      <c r="M58" s="17"/>
      <c r="N58" s="190">
        <f>(N14*N44)/AVERAGE(FirstEnergy!I172,FirstEnergy!N172)</f>
        <v>3.396119424357414E-2</v>
      </c>
      <c r="O58" s="17"/>
      <c r="P58" s="17"/>
      <c r="Q58" s="17"/>
      <c r="S58" s="190">
        <f>(S14*S44)/AVERAGE(FirstEnergy!N172,FirstEnergy!S172)</f>
        <v>3.503819834172129E-2</v>
      </c>
      <c r="T58" s="17"/>
      <c r="U58" s="17"/>
      <c r="V58" s="17"/>
      <c r="X58" s="190">
        <f>(X14*X44)/AVERAGE(FirstEnergy!S172,FirstEnergy!X172)</f>
        <v>2.8486063929930833E-2</v>
      </c>
      <c r="Y58" s="17"/>
      <c r="Z58" s="17"/>
      <c r="AA58" s="17"/>
      <c r="AC58" s="190">
        <f>(AC14*AC44)/AVERAGE(FirstEnergy!X172,FirstEnergy!AC172)</f>
        <v>2.5190915402162051E-2</v>
      </c>
      <c r="AD58" s="17"/>
      <c r="AE58" s="17"/>
      <c r="AF58" s="17"/>
      <c r="AH58" s="190">
        <f>(AH14*AH44)/AVERAGE(FirstEnergy!AC172,FirstEnergy!AH172)</f>
        <v>2.0957208304903018E-2</v>
      </c>
      <c r="AI58" s="18"/>
      <c r="AJ58" s="18"/>
      <c r="AK58" s="18"/>
      <c r="AM58" s="190">
        <f>(AM14*AM44)/AVERAGE(FirstEnergy!AH172,FirstEnergy!AM172)</f>
        <v>2.1925579523348632E-2</v>
      </c>
      <c r="AN58" s="18"/>
      <c r="AO58" s="18"/>
      <c r="AP58" s="18"/>
      <c r="AR58" s="190">
        <f>(AR14*AR44)/AVERAGE(FirstEnergy!AM172,FirstEnergy!AR172)</f>
        <v>2.3496092725651653E-2</v>
      </c>
      <c r="AS58" s="18"/>
      <c r="AT58" s="18"/>
      <c r="AU58" s="18"/>
      <c r="AW58" s="190">
        <f>(AW14*AW44)/AVERAGE(FirstEnergy!AR172,FirstEnergy!AW172)</f>
        <v>3.1988759440313798E-2</v>
      </c>
      <c r="AX58" s="18"/>
      <c r="AY58" s="18"/>
      <c r="AZ58" s="18"/>
      <c r="BB58" s="190">
        <f>(BB14*BB44)/AVERAGE(FirstEnergy!AW172,FirstEnergy!BB172)</f>
        <v>2.8482733477809104E-2</v>
      </c>
      <c r="BC58" s="18"/>
      <c r="BD58" s="18"/>
      <c r="BE58" s="18"/>
      <c r="BG58" s="190">
        <f>(BG14*BG44)/AVERAGE(FirstEnergy!BB172,FirstEnergy!BG172)</f>
        <v>2.6944169942504884E-2</v>
      </c>
      <c r="BH58" s="18"/>
      <c r="BI58" s="18"/>
      <c r="BJ58" s="18"/>
      <c r="BL58" s="190">
        <f>(BL14*BL44)/AVERAGE(FirstEnergy!BG172,FirstEnergy!BL172)</f>
        <v>2.379850054777892E-2</v>
      </c>
      <c r="BM58" s="18"/>
      <c r="BN58" s="18"/>
      <c r="BO58" s="18"/>
      <c r="BQ58" s="190">
        <f>(BQ14*BQ44)/AVERAGE(FirstEnergy!BL172,FirstEnergy!BQ172)</f>
        <v>2.6776726967827045E-2</v>
      </c>
      <c r="BR58" s="162"/>
      <c r="BS58" s="162"/>
      <c r="BT58" s="162"/>
      <c r="BU58" s="13" t="s">
        <v>120</v>
      </c>
      <c r="BV58" s="162"/>
      <c r="CA58" s="162"/>
      <c r="CF58" s="162"/>
      <c r="CK58" s="162"/>
      <c r="CP58" s="162"/>
      <c r="CU58" s="162"/>
      <c r="CZ58" s="162"/>
      <c r="DE58" s="162"/>
      <c r="DJ58" s="162"/>
      <c r="DO58" s="162"/>
      <c r="DT58" s="162"/>
      <c r="DY58" s="162"/>
      <c r="ED58" s="162"/>
      <c r="EI58" s="162"/>
    </row>
    <row r="59" spans="2:139">
      <c r="B59" s="162"/>
      <c r="C59" s="41"/>
      <c r="D59" s="162"/>
      <c r="I59" s="162"/>
      <c r="N59" s="162"/>
      <c r="Q59" s="18"/>
      <c r="S59" s="162"/>
      <c r="V59" s="18"/>
      <c r="X59" s="162"/>
      <c r="AA59" s="18"/>
      <c r="AC59" s="162"/>
      <c r="AF59" s="18"/>
      <c r="AH59" s="162"/>
      <c r="AK59" s="18"/>
      <c r="AM59" s="162"/>
      <c r="AP59" s="18"/>
      <c r="AR59" s="162"/>
      <c r="AU59" s="18"/>
      <c r="AW59" s="162"/>
      <c r="AZ59" s="18"/>
      <c r="BB59" s="162"/>
      <c r="BE59" s="18"/>
      <c r="BG59" s="162"/>
      <c r="BJ59" s="18"/>
      <c r="BL59" s="162"/>
      <c r="BO59" s="18"/>
      <c r="BQ59" s="162"/>
      <c r="BR59" s="162"/>
      <c r="BS59" s="162"/>
      <c r="BT59" s="162"/>
      <c r="BU59" s="162" t="s">
        <v>121</v>
      </c>
      <c r="BV59" s="162"/>
      <c r="CA59" s="188">
        <f>FirstEnergy!I144</f>
        <v>0</v>
      </c>
      <c r="CB59" s="20">
        <f>FirstEnergy!J146</f>
        <v>-22</v>
      </c>
      <c r="CC59" s="20">
        <f>FirstEnergy!K146</f>
        <v>-1</v>
      </c>
      <c r="CD59" s="20">
        <f>FirstEnergy!L146</f>
        <v>-2</v>
      </c>
      <c r="CE59" s="20">
        <f>FirstEnergy!M146</f>
        <v>6</v>
      </c>
      <c r="CF59" s="188">
        <f>FirstEnergy!N144</f>
        <v>0</v>
      </c>
      <c r="CG59" s="20">
        <f>FirstEnergy!O146</f>
        <v>-4</v>
      </c>
      <c r="CH59" s="20">
        <f>FirstEnergy!P146</f>
        <v>-72</v>
      </c>
      <c r="CI59" s="20">
        <f>FirstEnergy!Q146</f>
        <v>3</v>
      </c>
      <c r="CJ59" s="20">
        <f>FirstEnergy!R146</f>
        <v>35</v>
      </c>
      <c r="CK59" s="188">
        <f>FirstEnergy!S144</f>
        <v>0</v>
      </c>
      <c r="CL59" s="20">
        <f>FirstEnergy!T146</f>
        <v>-10</v>
      </c>
      <c r="CM59" s="20">
        <f>FirstEnergy!U146</f>
        <v>-25</v>
      </c>
      <c r="CN59" s="20">
        <f>FirstEnergy!V146</f>
        <v>-7</v>
      </c>
      <c r="CO59" s="20">
        <f>FirstEnergy!W146</f>
        <v>-10</v>
      </c>
      <c r="CP59" s="188">
        <f>FirstEnergy!X144</f>
        <v>0</v>
      </c>
      <c r="CQ59" s="20">
        <f>FirstEnergy!Y146</f>
        <v>-23</v>
      </c>
      <c r="CR59" s="20">
        <f>FirstEnergy!Z146</f>
        <v>-103</v>
      </c>
      <c r="CS59" s="20">
        <f>FirstEnergy!AA146</f>
        <v>-48</v>
      </c>
      <c r="CT59" s="20">
        <f>FirstEnergy!AB146</f>
        <v>-9</v>
      </c>
      <c r="CU59" s="188">
        <f>FirstEnergy!AC144</f>
        <v>0</v>
      </c>
      <c r="CV59" s="20">
        <f>FirstEnergy!AD146</f>
        <v>-10</v>
      </c>
      <c r="CW59" s="20">
        <f>FirstEnergy!AE146</f>
        <v>-14</v>
      </c>
      <c r="CX59" s="20">
        <f>FirstEnergy!AF146</f>
        <v>-13</v>
      </c>
      <c r="CY59" s="20">
        <f>FirstEnergy!AG146</f>
        <v>-10</v>
      </c>
      <c r="CZ59" s="188">
        <f>FirstEnergy!AH144</f>
        <v>0</v>
      </c>
      <c r="DA59" s="20">
        <f>FirstEnergy!AI146</f>
        <v>0</v>
      </c>
      <c r="DB59" s="20">
        <f>FirstEnergy!AJ146</f>
        <v>-2</v>
      </c>
      <c r="DC59" s="20">
        <f>FirstEnergy!AK146</f>
        <v>-9</v>
      </c>
      <c r="DD59" s="20">
        <f>FirstEnergy!AL146</f>
        <v>-2</v>
      </c>
      <c r="DE59" s="188">
        <f>FirstEnergy!AM144</f>
        <v>0</v>
      </c>
      <c r="DF59" s="20">
        <f>FirstEnergy!AN146</f>
        <v>0</v>
      </c>
      <c r="DG59" s="20">
        <f>FirstEnergy!AO146</f>
        <v>36</v>
      </c>
      <c r="DH59" s="20">
        <f>FirstEnergy!AP146</f>
        <v>-41</v>
      </c>
      <c r="DI59" s="20">
        <f>FirstEnergy!AQ146</f>
        <v>-26</v>
      </c>
      <c r="DJ59" s="188">
        <f>FirstEnergy!AR144</f>
        <v>0</v>
      </c>
      <c r="DK59" s="20">
        <f>FirstEnergy!AS146</f>
        <v>-13</v>
      </c>
      <c r="DL59" s="20">
        <f>FirstEnergy!AT146</f>
        <v>-39</v>
      </c>
      <c r="DM59" s="20">
        <f>FirstEnergy!AU146</f>
        <v>-15</v>
      </c>
      <c r="DN59" s="20">
        <f>FirstEnergy!AV146</f>
        <v>-5</v>
      </c>
      <c r="DO59" s="188">
        <f>FirstEnergy!AW144</f>
        <v>0</v>
      </c>
      <c r="DP59" s="20">
        <f>FirstEnergy!AX146</f>
        <v>0</v>
      </c>
      <c r="DQ59" s="20">
        <f>FirstEnergy!AY146</f>
        <v>-797</v>
      </c>
      <c r="DR59" s="20">
        <f>FirstEnergy!AZ146</f>
        <v>0</v>
      </c>
      <c r="DS59" s="20">
        <f>FirstEnergy!BA146</f>
        <v>0</v>
      </c>
      <c r="DT59" s="188">
        <f>FirstEnergy!BB144</f>
        <v>950</v>
      </c>
      <c r="DU59" s="20">
        <f>FirstEnergy!BC146</f>
        <v>0</v>
      </c>
      <c r="DV59" s="20">
        <f>FirstEnergy!BD146</f>
        <v>0</v>
      </c>
      <c r="DW59" s="20">
        <f>FirstEnergy!BE146</f>
        <v>0</v>
      </c>
      <c r="DX59" s="20">
        <f>FirstEnergy!BF146</f>
        <v>0</v>
      </c>
      <c r="DY59" s="188">
        <f>FirstEnergy!BG144</f>
        <v>1720</v>
      </c>
      <c r="DZ59" s="20">
        <f>FirstEnergy!BH146</f>
        <v>0</v>
      </c>
      <c r="EA59" s="20">
        <f>FirstEnergy!BI146</f>
        <v>0</v>
      </c>
      <c r="EB59" s="20">
        <f>FirstEnergy!BJ146</f>
        <v>0</v>
      </c>
      <c r="EC59" s="20">
        <f>FirstEnergy!BK146</f>
        <v>0</v>
      </c>
      <c r="ED59" s="188">
        <f>FirstEnergy!BL144</f>
        <v>100</v>
      </c>
      <c r="EE59" s="20">
        <f>FirstEnergy!BM146</f>
        <v>0</v>
      </c>
      <c r="EF59" s="20">
        <f>FirstEnergy!BN146</f>
        <v>0</v>
      </c>
      <c r="EG59" s="20">
        <f>FirstEnergy!BO146</f>
        <v>0</v>
      </c>
      <c r="EH59" s="20">
        <f>FirstEnergy!BP146</f>
        <v>0</v>
      </c>
      <c r="EI59" s="188">
        <f>FirstEnergy!BQ144</f>
        <v>86.25</v>
      </c>
    </row>
    <row r="60" spans="2:139">
      <c r="B60" s="162"/>
      <c r="C60" s="25" t="s">
        <v>127</v>
      </c>
      <c r="D60" s="12"/>
      <c r="G60" s="18"/>
      <c r="H60" s="18"/>
      <c r="I60" s="162"/>
      <c r="L60" s="18"/>
      <c r="M60" s="18"/>
      <c r="N60" s="192">
        <f>+S60</f>
        <v>34.5</v>
      </c>
      <c r="O60" s="18"/>
      <c r="P60" s="23"/>
      <c r="Q60" s="18"/>
      <c r="S60" s="192">
        <f>+X60</f>
        <v>34.5</v>
      </c>
      <c r="T60" s="16"/>
      <c r="U60" s="16"/>
      <c r="V60" s="16"/>
      <c r="W60" s="16"/>
      <c r="X60" s="192">
        <f>+AC60</f>
        <v>34.5</v>
      </c>
      <c r="Y60" s="16"/>
      <c r="Z60" s="16"/>
      <c r="AA60" s="16"/>
      <c r="AB60" s="16"/>
      <c r="AC60" s="192">
        <f>+AH60</f>
        <v>34.5</v>
      </c>
      <c r="AD60" s="16"/>
      <c r="AE60" s="16"/>
      <c r="AF60" s="16"/>
      <c r="AG60" s="16"/>
      <c r="AH60" s="192">
        <f>+AM60</f>
        <v>34.5</v>
      </c>
      <c r="AI60" s="16"/>
      <c r="AJ60" s="16"/>
      <c r="AK60" s="16"/>
      <c r="AL60" s="16"/>
      <c r="AM60" s="192">
        <f>+AR60</f>
        <v>34.5</v>
      </c>
      <c r="AN60" s="16"/>
      <c r="AO60" s="16"/>
      <c r="AP60" s="16"/>
      <c r="AQ60" s="16"/>
      <c r="AR60" s="24">
        <f>+Valuation!$AR$19</f>
        <v>34.5</v>
      </c>
      <c r="AS60" s="16"/>
      <c r="AT60" s="16"/>
      <c r="AU60" s="16"/>
      <c r="AV60" s="16"/>
      <c r="AW60" s="24">
        <f>+Valuation!$AR$19</f>
        <v>34.5</v>
      </c>
      <c r="AX60" s="16"/>
      <c r="AY60" s="16"/>
      <c r="AZ60" s="16"/>
      <c r="BA60" s="16"/>
      <c r="BB60" s="24">
        <f>+Valuation!$AR$19</f>
        <v>34.5</v>
      </c>
      <c r="BC60" s="16"/>
      <c r="BD60" s="16"/>
      <c r="BE60" s="16"/>
      <c r="BF60" s="16"/>
      <c r="BG60" s="24">
        <f>+Valuation!$AR$19</f>
        <v>34.5</v>
      </c>
      <c r="BH60" s="16"/>
      <c r="BI60" s="16"/>
      <c r="BJ60" s="16"/>
      <c r="BK60" s="16"/>
      <c r="BL60" s="24">
        <f>+Valuation!$AR$19</f>
        <v>34.5</v>
      </c>
      <c r="BM60" s="16"/>
      <c r="BN60" s="16"/>
      <c r="BO60" s="16"/>
      <c r="BP60" s="16"/>
      <c r="BQ60" s="24">
        <f>+Valuation!$AR$19</f>
        <v>34.5</v>
      </c>
      <c r="BR60" s="162"/>
      <c r="BS60" s="162"/>
      <c r="BT60" s="162"/>
      <c r="BU60" s="162" t="s">
        <v>128</v>
      </c>
      <c r="BV60" s="162"/>
      <c r="CA60" s="188">
        <f>+FirstEnergy!I141</f>
        <v>4632</v>
      </c>
      <c r="CB60" s="81">
        <f>+FirstEnergy!J142</f>
        <v>-109</v>
      </c>
      <c r="CC60" s="81">
        <f>+FirstEnergy!K142</f>
        <v>-298</v>
      </c>
      <c r="CD60" s="81">
        <f>+FirstEnergy!L142</f>
        <v>-15</v>
      </c>
      <c r="CE60" s="81">
        <f>+FirstEnergy!M142</f>
        <v>-593</v>
      </c>
      <c r="CF60" s="188">
        <f>+FirstEnergy!N141</f>
        <v>1099</v>
      </c>
      <c r="CG60" s="81">
        <f>+FirstEnergy!O142</f>
        <v>-359</v>
      </c>
      <c r="CH60" s="81">
        <f>+FirstEnergy!P142</f>
        <v>-643</v>
      </c>
      <c r="CI60" s="81">
        <f>+FirstEnergy!Q142</f>
        <v>-579</v>
      </c>
      <c r="CJ60" s="81">
        <f>+FirstEnergy!R142</f>
        <v>-328</v>
      </c>
      <c r="CK60" s="188">
        <f>+FirstEnergy!S141</f>
        <v>604</v>
      </c>
      <c r="CL60" s="81">
        <f>+FirstEnergy!T142</f>
        <v>-16</v>
      </c>
      <c r="CM60" s="81">
        <f>+FirstEnergy!U142</f>
        <v>-730</v>
      </c>
      <c r="CN60" s="81">
        <f>+FirstEnergy!V142</f>
        <v>-124</v>
      </c>
      <c r="CO60" s="81">
        <f>+FirstEnergy!W142</f>
        <v>-70</v>
      </c>
      <c r="CP60" s="188">
        <f>+FirstEnergy!X141</f>
        <v>750</v>
      </c>
      <c r="CQ60" s="81">
        <f>+FirstEnergy!Y142</f>
        <v>-956</v>
      </c>
      <c r="CR60" s="81">
        <f>+FirstEnergy!Z142</f>
        <v>-1012</v>
      </c>
      <c r="CS60" s="81">
        <f>+FirstEnergy!AA142</f>
        <v>-694</v>
      </c>
      <c r="CT60" s="81">
        <f>+FirstEnergy!AB142</f>
        <v>-938</v>
      </c>
      <c r="CU60" s="188">
        <f>+FirstEnergy!AC141</f>
        <v>3745</v>
      </c>
      <c r="CV60" s="81">
        <f>+FirstEnergy!AD142</f>
        <v>-489</v>
      </c>
      <c r="CW60" s="81">
        <f>+FirstEnergy!AE142</f>
        <v>-436</v>
      </c>
      <c r="CX60" s="81">
        <f>+FirstEnergy!AF142</f>
        <v>-137</v>
      </c>
      <c r="CY60" s="81">
        <f>+FirstEnergy!AG142</f>
        <v>-697</v>
      </c>
      <c r="CZ60" s="188">
        <f>+FirstEnergy!AH141</f>
        <v>4528</v>
      </c>
      <c r="DA60" s="81">
        <f>+FirstEnergy!AI142</f>
        <v>-48</v>
      </c>
      <c r="DB60" s="81">
        <f>+FirstEnergy!AJ142</f>
        <v>-244</v>
      </c>
      <c r="DC60" s="81">
        <f>+FirstEnergy!AK142</f>
        <v>-489</v>
      </c>
      <c r="DD60" s="81">
        <f>+FirstEnergy!AL142</f>
        <v>-98</v>
      </c>
      <c r="DE60" s="188">
        <f>+FirstEnergy!AM141</f>
        <v>1311</v>
      </c>
      <c r="DF60" s="81">
        <f>+FirstEnergy!AN142</f>
        <v>-31</v>
      </c>
      <c r="DG60" s="81">
        <f>+FirstEnergy!AO142</f>
        <v>-550</v>
      </c>
      <c r="DH60" s="81">
        <f>+FirstEnergy!AP142</f>
        <v>-436</v>
      </c>
      <c r="DI60" s="81">
        <f>+FirstEnergy!AQ142</f>
        <v>-1314</v>
      </c>
      <c r="DJ60" s="188">
        <f>+FirstEnergy!AR141</f>
        <v>1976</v>
      </c>
      <c r="DK60" s="81">
        <f>+FirstEnergy!AS142</f>
        <v>-211</v>
      </c>
      <c r="DL60" s="81">
        <f>+FirstEnergy!AT142</f>
        <v>-524</v>
      </c>
      <c r="DM60" s="81">
        <f>+FirstEnergy!AU142</f>
        <v>-976</v>
      </c>
      <c r="DN60" s="81">
        <f>+FirstEnergy!AV142</f>
        <v>-580</v>
      </c>
      <c r="DO60" s="188">
        <f>+FirstEnergy!AW141</f>
        <v>4675</v>
      </c>
      <c r="DP60" s="81">
        <f>+FirstEnergy!AX142</f>
        <v>-1450</v>
      </c>
      <c r="DQ60" s="81">
        <f>+FirstEnergy!AY142</f>
        <v>-295.86229200000002</v>
      </c>
      <c r="DR60" s="81">
        <f>+FirstEnergy!AZ142</f>
        <v>-43</v>
      </c>
      <c r="DS60" s="81">
        <f>+FirstEnergy!BA142</f>
        <v>-325</v>
      </c>
      <c r="DT60" s="188">
        <f>+FirstEnergy!BB141</f>
        <v>2420</v>
      </c>
      <c r="DU60" s="81">
        <f>+FirstEnergy!BC142</f>
        <v>-600</v>
      </c>
      <c r="DV60" s="81">
        <f>+FirstEnergy!BD142</f>
        <v>-215.14</v>
      </c>
      <c r="DW60" s="81">
        <f>+FirstEnergy!BE142</f>
        <v>-1660.9622159999999</v>
      </c>
      <c r="DX60" s="81">
        <f>+FirstEnergy!BF142</f>
        <v>-157.49300000000002</v>
      </c>
      <c r="DY60" s="188">
        <f>+FirstEnergy!BG141</f>
        <v>1900</v>
      </c>
      <c r="DZ60" s="81">
        <f>+FirstEnergy!BH142</f>
        <v>-352.95805300000001</v>
      </c>
      <c r="EA60" s="81">
        <f>+FirstEnergy!BI142</f>
        <v>-250</v>
      </c>
      <c r="EB60" s="81">
        <f>+FirstEnergy!BJ142</f>
        <v>-177</v>
      </c>
      <c r="EC60" s="81">
        <f>+FirstEnergy!BK142</f>
        <v>0</v>
      </c>
      <c r="ED60" s="188">
        <f>+FirstEnergy!BL141</f>
        <v>1950</v>
      </c>
      <c r="EE60" s="81">
        <f>+FirstEnergy!BM142</f>
        <v>0</v>
      </c>
      <c r="EF60" s="81">
        <f>+FirstEnergy!BN142</f>
        <v>-1251.1389999999999</v>
      </c>
      <c r="EG60" s="81">
        <f>+FirstEnergy!BO142</f>
        <v>-332.30500000000001</v>
      </c>
      <c r="EH60" s="81">
        <f>+FirstEnergy!BP142</f>
        <v>0</v>
      </c>
      <c r="EI60" s="188">
        <f>+FirstEnergy!BQ141</f>
        <v>2300</v>
      </c>
    </row>
    <row r="61" spans="2:139">
      <c r="B61" s="162"/>
      <c r="C61" s="12" t="s">
        <v>129</v>
      </c>
      <c r="D61" s="56"/>
      <c r="E61" s="21"/>
      <c r="F61" s="21"/>
      <c r="G61" s="21"/>
      <c r="H61" s="21"/>
      <c r="I61" s="95"/>
      <c r="J61" s="21"/>
      <c r="K61" s="21"/>
      <c r="L61" s="21"/>
      <c r="M61" s="21"/>
      <c r="N61" s="188">
        <f>+S61</f>
        <v>442.34421800000001</v>
      </c>
      <c r="O61" s="21"/>
      <c r="P61" s="21"/>
      <c r="Q61" s="21"/>
      <c r="R61" s="21"/>
      <c r="S61" s="188">
        <f>+X61</f>
        <v>442.34421800000001</v>
      </c>
      <c r="T61" s="21"/>
      <c r="U61" s="21"/>
      <c r="V61" s="21"/>
      <c r="W61" s="21"/>
      <c r="X61" s="188">
        <f>+AC61</f>
        <v>442.34421800000001</v>
      </c>
      <c r="Y61" s="21"/>
      <c r="Z61" s="21"/>
      <c r="AA61" s="21"/>
      <c r="AB61" s="21"/>
      <c r="AC61" s="188">
        <f>+AH61</f>
        <v>442.34421800000001</v>
      </c>
      <c r="AD61" s="21"/>
      <c r="AE61" s="21"/>
      <c r="AF61" s="21"/>
      <c r="AG61" s="21"/>
      <c r="AH61" s="188">
        <f>+AM61</f>
        <v>442.34421800000001</v>
      </c>
      <c r="AI61" s="21"/>
      <c r="AJ61" s="21"/>
      <c r="AK61" s="21"/>
      <c r="AL61" s="21"/>
      <c r="AM61" s="188">
        <f>+AR61</f>
        <v>442.34421800000001</v>
      </c>
      <c r="AN61" s="21"/>
      <c r="AO61" s="21"/>
      <c r="AP61" s="21"/>
      <c r="AQ61" s="21"/>
      <c r="AR61" s="188">
        <f>+FirstEnergy!AR46</f>
        <v>442.34421800000001</v>
      </c>
      <c r="AS61" s="21"/>
      <c r="AT61" s="21"/>
      <c r="AU61" s="21"/>
      <c r="AV61" s="21"/>
      <c r="AW61" s="188">
        <f>AR61</f>
        <v>442.34421800000001</v>
      </c>
      <c r="AX61" s="21"/>
      <c r="AY61" s="21"/>
      <c r="AZ61" s="21"/>
      <c r="BA61" s="21"/>
      <c r="BB61" s="188">
        <f>AW61</f>
        <v>442.34421800000001</v>
      </c>
      <c r="BC61" s="21"/>
      <c r="BD61" s="21"/>
      <c r="BE61" s="21"/>
      <c r="BF61" s="21"/>
      <c r="BG61" s="188">
        <f>BB61</f>
        <v>442.34421800000001</v>
      </c>
      <c r="BH61" s="21"/>
      <c r="BI61" s="21"/>
      <c r="BJ61" s="21"/>
      <c r="BK61" s="21"/>
      <c r="BL61" s="188">
        <f>BG61</f>
        <v>442.34421800000001</v>
      </c>
      <c r="BM61" s="21"/>
      <c r="BN61" s="21"/>
      <c r="BO61" s="21"/>
      <c r="BP61" s="21"/>
      <c r="BQ61" s="188">
        <f>BL61</f>
        <v>442.34421800000001</v>
      </c>
      <c r="BR61" s="162"/>
      <c r="BS61" s="162"/>
      <c r="BT61" s="162"/>
      <c r="BU61" s="162" t="s">
        <v>140</v>
      </c>
      <c r="BV61" s="162"/>
      <c r="CA61" s="188">
        <f>+FirstEnergy!I142</f>
        <v>-2610</v>
      </c>
      <c r="CB61" s="81">
        <f>+FirstEnergy!J143</f>
        <v>-295</v>
      </c>
      <c r="CC61" s="81">
        <f>+FirstEnergy!K143</f>
        <v>576</v>
      </c>
      <c r="CD61" s="81">
        <f>+FirstEnergy!L143</f>
        <v>-452</v>
      </c>
      <c r="CE61" s="81">
        <f>+FirstEnergy!M143</f>
        <v>-207</v>
      </c>
      <c r="CF61" s="188">
        <f>+FirstEnergy!N142</f>
        <v>-1015</v>
      </c>
      <c r="CG61" s="81">
        <f>+FirstEnergy!O143</f>
        <v>-214</v>
      </c>
      <c r="CH61" s="81">
        <f>+FirstEnergy!P143</f>
        <v>170</v>
      </c>
      <c r="CI61" s="81">
        <f>+FirstEnergy!Q143</f>
        <v>-656</v>
      </c>
      <c r="CJ61" s="81">
        <f>+FirstEnergy!R143</f>
        <v>0</v>
      </c>
      <c r="CK61" s="188">
        <f>+FirstEnergy!S142</f>
        <v>-1909</v>
      </c>
      <c r="CL61" s="81">
        <f>+FirstEnergy!T143</f>
        <v>1075</v>
      </c>
      <c r="CM61" s="81">
        <f>+FirstEnergy!U143</f>
        <v>815</v>
      </c>
      <c r="CN61" s="81">
        <f>+FirstEnergy!V143</f>
        <v>-286</v>
      </c>
      <c r="CO61" s="81">
        <f>+FirstEnergy!W143</f>
        <v>365</v>
      </c>
      <c r="CP61" s="188">
        <f>+FirstEnergy!X142</f>
        <v>-940</v>
      </c>
      <c r="CQ61" s="81">
        <f>+FirstEnergy!Y143</f>
        <v>181</v>
      </c>
      <c r="CR61" s="81">
        <f>+FirstEnergy!Z143</f>
        <v>1104</v>
      </c>
      <c r="CS61" s="81">
        <f>+FirstEnergy!AA143</f>
        <v>150</v>
      </c>
      <c r="CT61" s="81">
        <f>+FirstEnergy!AB143</f>
        <v>0</v>
      </c>
      <c r="CU61" s="188">
        <f>+FirstEnergy!AC142</f>
        <v>-3600</v>
      </c>
      <c r="CV61" s="81">
        <f>+FirstEnergy!AD143</f>
        <v>-319</v>
      </c>
      <c r="CW61" s="81">
        <f>+FirstEnergy!AE143</f>
        <v>-762</v>
      </c>
      <c r="CX61" s="81">
        <f>+FirstEnergy!AF143</f>
        <v>-702</v>
      </c>
      <c r="CY61" s="81">
        <f>+FirstEnergy!AG143</f>
        <v>178</v>
      </c>
      <c r="CZ61" s="188">
        <f>+FirstEnergy!AH142</f>
        <v>-1759</v>
      </c>
      <c r="DA61" s="81">
        <f>+FirstEnergy!AI143</f>
        <v>760</v>
      </c>
      <c r="DB61" s="81">
        <f>+FirstEnergy!AJ143</f>
        <v>349</v>
      </c>
      <c r="DC61" s="81">
        <f>+FirstEnergy!AK143</f>
        <v>-975</v>
      </c>
      <c r="DD61" s="81">
        <f>+FirstEnergy!AL143</f>
        <v>-225</v>
      </c>
      <c r="DE61" s="188">
        <f>+FirstEnergy!AM142</f>
        <v>-879</v>
      </c>
      <c r="DF61" s="81">
        <f>+FirstEnergy!AN143</f>
        <v>425</v>
      </c>
      <c r="DG61" s="81">
        <f>+FirstEnergy!AO143</f>
        <v>800</v>
      </c>
      <c r="DH61" s="81">
        <f>+FirstEnergy!AP143</f>
        <v>50</v>
      </c>
      <c r="DI61" s="81">
        <f>+FirstEnergy!AQ143</f>
        <v>-300</v>
      </c>
      <c r="DJ61" s="188">
        <f>+FirstEnergy!AR142</f>
        <v>-2331</v>
      </c>
      <c r="DK61" s="81">
        <f>+FirstEnergy!AS143</f>
        <v>75</v>
      </c>
      <c r="DL61" s="81">
        <f>+FirstEnergy!AT143</f>
        <v>-2525</v>
      </c>
      <c r="DM61" s="81">
        <f>+FirstEnergy!AU143</f>
        <v>275</v>
      </c>
      <c r="DN61" s="81">
        <f>+FirstEnergy!AV143</f>
        <v>-200</v>
      </c>
      <c r="DO61" s="188">
        <f>+FirstEnergy!AW142</f>
        <v>-2291</v>
      </c>
      <c r="DP61" s="81">
        <f>+FirstEnergy!AX143</f>
        <v>0</v>
      </c>
      <c r="DQ61" s="81">
        <f>+FirstEnergy!AY143</f>
        <v>0</v>
      </c>
      <c r="DR61" s="81">
        <f>+FirstEnergy!AZ143</f>
        <v>0</v>
      </c>
      <c r="DS61" s="81">
        <f>+FirstEnergy!BA143</f>
        <v>0</v>
      </c>
      <c r="DT61" s="188">
        <f>+FirstEnergy!BB142</f>
        <v>-2113.8622919999998</v>
      </c>
      <c r="DU61" s="81">
        <f>+FirstEnergy!BC143</f>
        <v>0</v>
      </c>
      <c r="DV61" s="81">
        <f>+FirstEnergy!BD143</f>
        <v>0</v>
      </c>
      <c r="DW61" s="81">
        <f>+FirstEnergy!BE143</f>
        <v>0</v>
      </c>
      <c r="DX61" s="81">
        <f>+FirstEnergy!BF143</f>
        <v>0</v>
      </c>
      <c r="DY61" s="188">
        <f>+FirstEnergy!BG142</f>
        <v>-2633.5952159999997</v>
      </c>
      <c r="DZ61" s="81">
        <f>+FirstEnergy!BH143</f>
        <v>0</v>
      </c>
      <c r="EA61" s="81">
        <f>+FirstEnergy!BI143</f>
        <v>0</v>
      </c>
      <c r="EB61" s="81">
        <f>+FirstEnergy!BJ143</f>
        <v>0</v>
      </c>
      <c r="EC61" s="81">
        <f>+FirstEnergy!BK143</f>
        <v>0</v>
      </c>
      <c r="ED61" s="188">
        <f>+FirstEnergy!BL142</f>
        <v>-779.95805300000006</v>
      </c>
      <c r="EE61" s="81">
        <f>+FirstEnergy!BM143</f>
        <v>0</v>
      </c>
      <c r="EF61" s="81">
        <f>+FirstEnergy!BN143</f>
        <v>0</v>
      </c>
      <c r="EG61" s="81">
        <f>+FirstEnergy!BO143</f>
        <v>0</v>
      </c>
      <c r="EH61" s="81">
        <f>+FirstEnergy!BP143</f>
        <v>0</v>
      </c>
      <c r="EI61" s="188">
        <f>+FirstEnergy!BQ142</f>
        <v>-1583.444</v>
      </c>
    </row>
    <row r="62" spans="2:139">
      <c r="B62" s="162"/>
      <c r="C62" s="30" t="s">
        <v>141</v>
      </c>
      <c r="D62" s="56"/>
      <c r="E62" s="20"/>
      <c r="F62" s="57"/>
      <c r="G62" s="20"/>
      <c r="H62" s="57"/>
      <c r="I62" s="47"/>
      <c r="J62" s="20"/>
      <c r="K62" s="57"/>
      <c r="L62" s="20"/>
      <c r="M62" s="57"/>
      <c r="N62" s="52">
        <f>+N60*N61</f>
        <v>15260.875521</v>
      </c>
      <c r="O62" s="20"/>
      <c r="P62" s="57"/>
      <c r="Q62" s="21"/>
      <c r="R62" s="21"/>
      <c r="S62" s="52">
        <f>+S60*S61</f>
        <v>15260.875521</v>
      </c>
      <c r="T62" s="20"/>
      <c r="U62" s="57"/>
      <c r="V62" s="21"/>
      <c r="W62" s="21"/>
      <c r="X62" s="52">
        <f>+X60*X61</f>
        <v>15260.875521</v>
      </c>
      <c r="Y62" s="20"/>
      <c r="Z62" s="57"/>
      <c r="AA62" s="21"/>
      <c r="AB62" s="21"/>
      <c r="AC62" s="52">
        <f>+AC60*AC61</f>
        <v>15260.875521</v>
      </c>
      <c r="AD62" s="20"/>
      <c r="AE62" s="57"/>
      <c r="AF62" s="21"/>
      <c r="AG62" s="21"/>
      <c r="AH62" s="52">
        <f>+AH60*AH61</f>
        <v>15260.875521</v>
      </c>
      <c r="AI62" s="20"/>
      <c r="AJ62" s="57"/>
      <c r="AK62" s="21"/>
      <c r="AL62" s="21"/>
      <c r="AM62" s="52">
        <f>+AM60*AM61</f>
        <v>15260.875521</v>
      </c>
      <c r="AN62" s="20"/>
      <c r="AO62" s="57"/>
      <c r="AP62" s="21"/>
      <c r="AQ62" s="21"/>
      <c r="AR62" s="52">
        <f>+AR60*AR61</f>
        <v>15260.875521</v>
      </c>
      <c r="AS62" s="20"/>
      <c r="AT62" s="57"/>
      <c r="AU62" s="21"/>
      <c r="AV62" s="21"/>
      <c r="AW62" s="52">
        <f>+AW60*AW61</f>
        <v>15260.875521</v>
      </c>
      <c r="AX62" s="20"/>
      <c r="AY62" s="57"/>
      <c r="AZ62" s="21"/>
      <c r="BA62" s="21"/>
      <c r="BB62" s="52">
        <f>+BB60*BB61</f>
        <v>15260.875521</v>
      </c>
      <c r="BC62" s="20"/>
      <c r="BD62" s="57"/>
      <c r="BE62" s="21"/>
      <c r="BF62" s="21"/>
      <c r="BG62" s="52">
        <f>+BG60*BG61</f>
        <v>15260.875521</v>
      </c>
      <c r="BH62" s="20"/>
      <c r="BI62" s="57"/>
      <c r="BJ62" s="21"/>
      <c r="BK62" s="21"/>
      <c r="BL62" s="52">
        <f>+BL60*BL61</f>
        <v>15260.875521</v>
      </c>
      <c r="BM62" s="20"/>
      <c r="BN62" s="57"/>
      <c r="BO62" s="21"/>
      <c r="BP62" s="21"/>
      <c r="BQ62" s="52">
        <f>+BQ60*BQ61</f>
        <v>15260.875521</v>
      </c>
      <c r="BR62" s="162"/>
      <c r="BS62" s="162"/>
      <c r="BT62" s="162"/>
      <c r="BU62" s="162" t="s">
        <v>142</v>
      </c>
      <c r="BV62" s="162"/>
      <c r="CA62" s="188">
        <f>FirstEnergy!I143+FirstEnergy!I151</f>
        <v>-1246</v>
      </c>
      <c r="CB62" s="81">
        <f>FirstEnergy!J143+FirstEnergy!J151</f>
        <v>-295</v>
      </c>
      <c r="CC62" s="81">
        <f>FirstEnergy!K143+FirstEnergy!K151</f>
        <v>576</v>
      </c>
      <c r="CD62" s="81">
        <f>FirstEnergy!L143+FirstEnergy!L151</f>
        <v>-452</v>
      </c>
      <c r="CE62" s="81">
        <f>FirstEnergy!M143+FirstEnergy!M151</f>
        <v>-207</v>
      </c>
      <c r="CF62" s="188">
        <f>FirstEnergy!N143+FirstEnergy!N151</f>
        <v>-378</v>
      </c>
      <c r="CG62" s="81">
        <f>FirstEnergy!O143+FirstEnergy!O151</f>
        <v>-214</v>
      </c>
      <c r="CH62" s="81">
        <f>FirstEnergy!P143+FirstEnergy!P151</f>
        <v>170</v>
      </c>
      <c r="CI62" s="81">
        <f>FirstEnergy!Q143+FirstEnergy!Q151</f>
        <v>-656</v>
      </c>
      <c r="CJ62" s="81">
        <f>FirstEnergy!R143+FirstEnergy!R151</f>
        <v>0</v>
      </c>
      <c r="CK62" s="188">
        <f>FirstEnergy!S143+FirstEnergy!S151</f>
        <v>-700</v>
      </c>
      <c r="CL62" s="81">
        <f>FirstEnergy!T143+FirstEnergy!T151</f>
        <v>1075</v>
      </c>
      <c r="CM62" s="81">
        <f>FirstEnergy!U143+FirstEnergy!U151</f>
        <v>815</v>
      </c>
      <c r="CN62" s="81">
        <f>FirstEnergy!V143+FirstEnergy!V151</f>
        <v>-286</v>
      </c>
      <c r="CO62" s="81">
        <f>FirstEnergy!W143+FirstEnergy!W151</f>
        <v>365</v>
      </c>
      <c r="CP62" s="188">
        <f>FirstEnergy!X143+FirstEnergy!X151</f>
        <v>1969</v>
      </c>
      <c r="CQ62" s="81">
        <f>FirstEnergy!Y143+FirstEnergy!Y151</f>
        <v>181</v>
      </c>
      <c r="CR62" s="81">
        <f>FirstEnergy!Z143+FirstEnergy!Z151</f>
        <v>1104</v>
      </c>
      <c r="CS62" s="81">
        <f>FirstEnergy!AA143+FirstEnergy!AA151</f>
        <v>150</v>
      </c>
      <c r="CT62" s="81">
        <f>FirstEnergy!AB143+FirstEnergy!AB151</f>
        <v>0</v>
      </c>
      <c r="CU62" s="188">
        <f>FirstEnergy!AC143+FirstEnergy!AC151</f>
        <v>1435</v>
      </c>
      <c r="CV62" s="81">
        <f>FirstEnergy!AD143+FirstEnergy!AD151</f>
        <v>-319</v>
      </c>
      <c r="CW62" s="81">
        <f>FirstEnergy!AE143+FirstEnergy!AE151</f>
        <v>-762</v>
      </c>
      <c r="CX62" s="81">
        <f>FirstEnergy!AF143+FirstEnergy!AF151</f>
        <v>-702</v>
      </c>
      <c r="CY62" s="81">
        <f>FirstEnergy!AG143+FirstEnergy!AG151</f>
        <v>178</v>
      </c>
      <c r="CZ62" s="188">
        <f>FirstEnergy!AH143+FirstEnergy!AH151</f>
        <v>-1605</v>
      </c>
      <c r="DA62" s="81">
        <f>FirstEnergy!AI143+FirstEnergy!AI151</f>
        <v>760</v>
      </c>
      <c r="DB62" s="81">
        <f>FirstEnergy!AJ143+FirstEnergy!AJ151</f>
        <v>349</v>
      </c>
      <c r="DC62" s="81">
        <f>FirstEnergy!AK143+FirstEnergy!AK151</f>
        <v>-975</v>
      </c>
      <c r="DD62" s="81">
        <f>FirstEnergy!AL143+FirstEnergy!AL151</f>
        <v>-225</v>
      </c>
      <c r="DE62" s="188">
        <f>FirstEnergy!AM143+FirstEnergy!AM151</f>
        <v>-91</v>
      </c>
      <c r="DF62" s="81">
        <f>FirstEnergy!AN143+FirstEnergy!AN151</f>
        <v>425</v>
      </c>
      <c r="DG62" s="81">
        <f>FirstEnergy!AO143+FirstEnergy!AO151</f>
        <v>800</v>
      </c>
      <c r="DH62" s="81">
        <f>FirstEnergy!AP143+FirstEnergy!AP151</f>
        <v>50</v>
      </c>
      <c r="DI62" s="81">
        <f>FirstEnergy!AQ143+FirstEnergy!AQ151</f>
        <v>-300</v>
      </c>
      <c r="DJ62" s="188">
        <f>FirstEnergy!AR143+FirstEnergy!AR151</f>
        <v>975</v>
      </c>
      <c r="DK62" s="81">
        <f>FirstEnergy!AS143+FirstEnergy!AS151</f>
        <v>75</v>
      </c>
      <c r="DL62" s="81">
        <f>FirstEnergy!AT143+FirstEnergy!AT151</f>
        <v>-2525</v>
      </c>
      <c r="DM62" s="81">
        <f>FirstEnergy!AU143+FirstEnergy!AU151</f>
        <v>275</v>
      </c>
      <c r="DN62" s="81">
        <f>FirstEnergy!AV143+FirstEnergy!AV151</f>
        <v>-200</v>
      </c>
      <c r="DO62" s="188">
        <f>FirstEnergy!AW143+FirstEnergy!AW151</f>
        <v>-2375</v>
      </c>
      <c r="DP62" s="81">
        <f>FirstEnergy!AX143+FirstEnergy!AX151</f>
        <v>-158.67912815087993</v>
      </c>
      <c r="DQ62" s="81">
        <f>FirstEnergy!AY143+FirstEnergy!AY151</f>
        <v>1401.4023610891709</v>
      </c>
      <c r="DR62" s="81">
        <f>FirstEnergy!AZ143+FirstEnergy!AZ151</f>
        <v>-595.53844381128886</v>
      </c>
      <c r="DS62" s="81">
        <f>FirstEnergy!BA143+FirstEnergy!BA151</f>
        <v>599.704458798112</v>
      </c>
      <c r="DT62" s="188">
        <f>FirstEnergy!BB143+FirstEnergy!BB151</f>
        <v>1246.889247925114</v>
      </c>
      <c r="DU62" s="81">
        <f>FirstEnergy!BC143+FirstEnergy!BC151</f>
        <v>881.85952686088717</v>
      </c>
      <c r="DV62" s="81">
        <f>FirstEnergy!BD143+FirstEnergy!BD151</f>
        <v>-1328.401882997455</v>
      </c>
      <c r="DW62" s="81">
        <f>FirstEnergy!BE143+FirstEnergy!BE151</f>
        <v>346.12910278483446</v>
      </c>
      <c r="DX62" s="81">
        <f>FirstEnergy!BF143+FirstEnergy!BF151</f>
        <v>394.44331856826216</v>
      </c>
      <c r="DY62" s="188">
        <f>FirstEnergy!BG143+FirstEnergy!BG151</f>
        <v>294.03006521652878</v>
      </c>
      <c r="DZ62" s="81">
        <f>FirstEnergy!BH143+FirstEnergy!BH151</f>
        <v>590.05825998456442</v>
      </c>
      <c r="EA62" s="81">
        <f>FirstEnergy!BI143+FirstEnergy!BI151</f>
        <v>-1133.323214171995</v>
      </c>
      <c r="EB62" s="81">
        <f>FirstEnergy!BJ143+FirstEnergy!BJ151</f>
        <v>134.00622108958993</v>
      </c>
      <c r="EC62" s="81">
        <f>FirstEnergy!BK143+FirstEnergy!BK151</f>
        <v>279.43607120612518</v>
      </c>
      <c r="ED62" s="188">
        <f>FirstEnergy!BL143+FirstEnergy!BL151</f>
        <v>-129.82266189171548</v>
      </c>
      <c r="EE62" s="81">
        <f>FirstEnergy!BM143+FirstEnergy!BM151</f>
        <v>170.27410610825839</v>
      </c>
      <c r="EF62" s="81">
        <f>FirstEnergy!BN143+FirstEnergy!BN151</f>
        <v>-280.01616023509018</v>
      </c>
      <c r="EG62" s="81">
        <f>FirstEnergy!BO143+FirstEnergy!BO151</f>
        <v>-20.040055719881792</v>
      </c>
      <c r="EH62" s="81">
        <f>FirstEnergy!BP143+FirstEnergy!BP151</f>
        <v>189.38568414783538</v>
      </c>
      <c r="EI62" s="188">
        <f>FirstEnergy!BQ143+FirstEnergy!BQ151</f>
        <v>59.603574301121796</v>
      </c>
    </row>
    <row r="63" spans="2:139">
      <c r="B63" s="162"/>
      <c r="C63" s="12" t="s">
        <v>160</v>
      </c>
      <c r="D63" s="47"/>
      <c r="E63" s="21"/>
      <c r="F63" s="21"/>
      <c r="G63" s="21"/>
      <c r="H63" s="21"/>
      <c r="I63" s="95"/>
      <c r="J63" s="21"/>
      <c r="K63" s="21"/>
      <c r="L63" s="21"/>
      <c r="M63" s="21"/>
      <c r="N63" s="188">
        <f>+CF13-CF9</f>
        <v>13746</v>
      </c>
      <c r="O63" s="21"/>
      <c r="P63" s="21"/>
      <c r="Q63" s="21"/>
      <c r="R63" s="21"/>
      <c r="S63" s="188">
        <f>+CK13-CK9</f>
        <v>17135</v>
      </c>
      <c r="T63" s="21"/>
      <c r="U63" s="21"/>
      <c r="V63" s="21"/>
      <c r="W63" s="21"/>
      <c r="X63" s="188">
        <f>+CP13-CP9</f>
        <v>18975</v>
      </c>
      <c r="Y63" s="21"/>
      <c r="Z63" s="21"/>
      <c r="AA63" s="21"/>
      <c r="AB63" s="21"/>
      <c r="AC63" s="188">
        <f>+CU13-CU9</f>
        <v>20432</v>
      </c>
      <c r="AD63" s="21"/>
      <c r="AE63" s="21"/>
      <c r="AF63" s="21"/>
      <c r="AG63" s="21"/>
      <c r="AH63" s="188">
        <f>+CZ13-CZ9</f>
        <v>21694</v>
      </c>
      <c r="AI63" s="21"/>
      <c r="AJ63" s="21"/>
      <c r="AK63" s="21"/>
      <c r="AL63" s="21"/>
      <c r="AM63" s="188">
        <f>+DE13-DE9</f>
        <v>21935</v>
      </c>
      <c r="AN63" s="21"/>
      <c r="AO63" s="21"/>
      <c r="AP63" s="21"/>
      <c r="AQ63" s="21"/>
      <c r="AR63" s="188">
        <f>+DJ13-DJ9</f>
        <v>22353</v>
      </c>
      <c r="AS63" s="21"/>
      <c r="AT63" s="21"/>
      <c r="AU63" s="21"/>
      <c r="AV63" s="21"/>
      <c r="AW63" s="188">
        <f>+DO13-DO9</f>
        <v>21908</v>
      </c>
      <c r="AX63" s="21"/>
      <c r="AY63" s="21"/>
      <c r="AZ63" s="21"/>
      <c r="BA63" s="21"/>
      <c r="BB63" s="188">
        <f>+DT13-DT9</f>
        <v>24050.026955925114</v>
      </c>
      <c r="BC63" s="21"/>
      <c r="BD63" s="21"/>
      <c r="BE63" s="21"/>
      <c r="BF63" s="21"/>
      <c r="BG63" s="188">
        <f>+DY13-DY9</f>
        <v>23610.461805141644</v>
      </c>
      <c r="BH63" s="21"/>
      <c r="BI63" s="21"/>
      <c r="BJ63" s="21"/>
      <c r="BK63" s="21"/>
      <c r="BL63" s="188">
        <f>+ED13-ED9</f>
        <v>24650.681090249931</v>
      </c>
      <c r="BM63" s="21"/>
      <c r="BN63" s="21"/>
      <c r="BO63" s="21"/>
      <c r="BP63" s="21"/>
      <c r="BQ63" s="188">
        <f>+EI13-EI9</f>
        <v>25426.840664551051</v>
      </c>
      <c r="BR63" s="162"/>
      <c r="BS63" s="162"/>
      <c r="BT63" s="162"/>
      <c r="BU63" s="162" t="s">
        <v>161</v>
      </c>
      <c r="BV63" s="12"/>
      <c r="BW63" s="21"/>
      <c r="BX63" s="21"/>
      <c r="BY63" s="21"/>
      <c r="BZ63" s="21"/>
      <c r="CA63" s="47">
        <f>FirstEnergy!I146</f>
        <v>-57</v>
      </c>
      <c r="CB63" s="47">
        <f>FirstEnergy!J146</f>
        <v>-22</v>
      </c>
      <c r="CC63" s="47">
        <f>FirstEnergy!K146</f>
        <v>-1</v>
      </c>
      <c r="CD63" s="47">
        <f>FirstEnergy!L146</f>
        <v>-2</v>
      </c>
      <c r="CE63" s="47">
        <f>FirstEnergy!M146</f>
        <v>6</v>
      </c>
      <c r="CF63" s="47">
        <f>FirstEnergy!N146</f>
        <v>-19</v>
      </c>
      <c r="CG63" s="47">
        <f>FirstEnergy!O146</f>
        <v>-4</v>
      </c>
      <c r="CH63" s="47">
        <f>FirstEnergy!P146</f>
        <v>-72</v>
      </c>
      <c r="CI63" s="47">
        <f>FirstEnergy!Q146</f>
        <v>3</v>
      </c>
      <c r="CJ63" s="47">
        <f>FirstEnergy!R146</f>
        <v>35</v>
      </c>
      <c r="CK63" s="47">
        <f>FirstEnergy!S146</f>
        <v>-38</v>
      </c>
      <c r="CL63" s="47">
        <f>FirstEnergy!T146</f>
        <v>-10</v>
      </c>
      <c r="CM63" s="47">
        <f>FirstEnergy!U146</f>
        <v>-25</v>
      </c>
      <c r="CN63" s="47">
        <f>FirstEnergy!V146</f>
        <v>-7</v>
      </c>
      <c r="CO63" s="47">
        <f>FirstEnergy!W146</f>
        <v>-10</v>
      </c>
      <c r="CP63" s="47">
        <f>FirstEnergy!X146</f>
        <v>-52</v>
      </c>
      <c r="CQ63" s="47">
        <f>FirstEnergy!Y146</f>
        <v>-23</v>
      </c>
      <c r="CR63" s="47">
        <f>FirstEnergy!Z146</f>
        <v>-103</v>
      </c>
      <c r="CS63" s="47">
        <f>FirstEnergy!AA146</f>
        <v>-48</v>
      </c>
      <c r="CT63" s="47">
        <f>FirstEnergy!AB146</f>
        <v>-9</v>
      </c>
      <c r="CU63" s="47">
        <f>FirstEnergy!AC146</f>
        <v>-183</v>
      </c>
      <c r="CV63" s="47">
        <f>FirstEnergy!AD146</f>
        <v>-10</v>
      </c>
      <c r="CW63" s="47">
        <f>FirstEnergy!AE146</f>
        <v>-14</v>
      </c>
      <c r="CX63" s="47">
        <f>FirstEnergy!AF146</f>
        <v>-13</v>
      </c>
      <c r="CY63" s="47">
        <f>FirstEnergy!AG146</f>
        <v>-10</v>
      </c>
      <c r="CZ63" s="47">
        <f>FirstEnergy!AH146</f>
        <v>-47</v>
      </c>
      <c r="DA63" s="47">
        <f>FirstEnergy!AI146</f>
        <v>0</v>
      </c>
      <c r="DB63" s="47">
        <f>FirstEnergy!AJ146</f>
        <v>-2</v>
      </c>
      <c r="DC63" s="47">
        <f>FirstEnergy!AK146</f>
        <v>-9</v>
      </c>
      <c r="DD63" s="47">
        <f>FirstEnergy!AL146</f>
        <v>-2</v>
      </c>
      <c r="DE63" s="47">
        <f>FirstEnergy!AM146</f>
        <v>-13</v>
      </c>
      <c r="DF63" s="47">
        <f>FirstEnergy!AN146</f>
        <v>0</v>
      </c>
      <c r="DG63" s="47">
        <f>FirstEnergy!AO146</f>
        <v>36</v>
      </c>
      <c r="DH63" s="47">
        <f>FirstEnergy!AP146</f>
        <v>-41</v>
      </c>
      <c r="DI63" s="47">
        <f>FirstEnergy!AQ146</f>
        <v>-26</v>
      </c>
      <c r="DJ63" s="47">
        <f>FirstEnergy!AR146</f>
        <v>-31</v>
      </c>
      <c r="DK63" s="47">
        <f>FirstEnergy!AS146</f>
        <v>-13</v>
      </c>
      <c r="DL63" s="47">
        <f>FirstEnergy!AT146</f>
        <v>-39</v>
      </c>
      <c r="DM63" s="47">
        <f>FirstEnergy!AU146</f>
        <v>-15</v>
      </c>
      <c r="DN63" s="47">
        <f>FirstEnergy!AV146</f>
        <v>-5</v>
      </c>
      <c r="DO63" s="47">
        <f>FirstEnergy!AW146</f>
        <v>-72</v>
      </c>
      <c r="DP63" s="47">
        <f>FirstEnergy!AX146</f>
        <v>0</v>
      </c>
      <c r="DQ63" s="47">
        <f>FirstEnergy!AY146</f>
        <v>-797</v>
      </c>
      <c r="DR63" s="47">
        <f>FirstEnergy!AZ146</f>
        <v>0</v>
      </c>
      <c r="DS63" s="47">
        <f>FirstEnergy!BA146</f>
        <v>0</v>
      </c>
      <c r="DT63" s="47">
        <f>FirstEnergy!BB146</f>
        <v>-797</v>
      </c>
      <c r="DU63" s="47">
        <f>FirstEnergy!BC146</f>
        <v>0</v>
      </c>
      <c r="DV63" s="47">
        <f>FirstEnergy!BD146</f>
        <v>0</v>
      </c>
      <c r="DW63" s="47">
        <f>FirstEnergy!BE146</f>
        <v>0</v>
      </c>
      <c r="DX63" s="47">
        <f>FirstEnergy!BF146</f>
        <v>0</v>
      </c>
      <c r="DY63" s="47">
        <f>FirstEnergy!BG146</f>
        <v>0</v>
      </c>
      <c r="DZ63" s="47">
        <f>FirstEnergy!BH146</f>
        <v>0</v>
      </c>
      <c r="EA63" s="47">
        <f>FirstEnergy!BI146</f>
        <v>0</v>
      </c>
      <c r="EB63" s="47">
        <f>FirstEnergy!BJ146</f>
        <v>0</v>
      </c>
      <c r="EC63" s="47">
        <f>FirstEnergy!BK146</f>
        <v>0</v>
      </c>
      <c r="ED63" s="47">
        <f>FirstEnergy!BL146</f>
        <v>0</v>
      </c>
      <c r="EE63" s="47">
        <f>FirstEnergy!BM146</f>
        <v>0</v>
      </c>
      <c r="EF63" s="47">
        <f>FirstEnergy!BN146</f>
        <v>0</v>
      </c>
      <c r="EG63" s="47">
        <f>FirstEnergy!BO146</f>
        <v>0</v>
      </c>
      <c r="EH63" s="47">
        <f>FirstEnergy!BP146</f>
        <v>0</v>
      </c>
      <c r="EI63" s="47">
        <f>FirstEnergy!BQ146</f>
        <v>0</v>
      </c>
    </row>
    <row r="64" spans="2:139">
      <c r="B64" s="162"/>
      <c r="C64" s="13" t="s">
        <v>162</v>
      </c>
      <c r="D64" s="58"/>
      <c r="E64" s="58"/>
      <c r="F64" s="58"/>
      <c r="G64" s="20"/>
      <c r="H64" s="58"/>
      <c r="I64" s="58"/>
      <c r="J64" s="58"/>
      <c r="K64" s="58"/>
      <c r="L64" s="20"/>
      <c r="M64" s="57"/>
      <c r="N64" s="52">
        <f>+N62+N63</f>
        <v>29006.875521000002</v>
      </c>
      <c r="O64" s="20"/>
      <c r="P64" s="57"/>
      <c r="Q64" s="21"/>
      <c r="R64" s="21"/>
      <c r="S64" s="52">
        <f>+S62+S63</f>
        <v>32395.875521000002</v>
      </c>
      <c r="T64" s="20"/>
      <c r="U64" s="57"/>
      <c r="V64" s="21"/>
      <c r="W64" s="21"/>
      <c r="X64" s="52">
        <f>+X62+X63</f>
        <v>34235.875521000002</v>
      </c>
      <c r="Y64" s="20"/>
      <c r="Z64" s="57"/>
      <c r="AA64" s="21"/>
      <c r="AB64" s="21"/>
      <c r="AC64" s="52">
        <f>+AC62+AC63</f>
        <v>35692.875521000002</v>
      </c>
      <c r="AD64" s="20"/>
      <c r="AE64" s="57"/>
      <c r="AF64" s="21"/>
      <c r="AG64" s="21"/>
      <c r="AH64" s="52">
        <f>+AH62+AH63</f>
        <v>36954.875521000002</v>
      </c>
      <c r="AI64" s="20"/>
      <c r="AJ64" s="57"/>
      <c r="AK64" s="21"/>
      <c r="AL64" s="21"/>
      <c r="AM64" s="52">
        <f>+AM62+AM63</f>
        <v>37195.875521000002</v>
      </c>
      <c r="AN64" s="20"/>
      <c r="AO64" s="57"/>
      <c r="AP64" s="21"/>
      <c r="AQ64" s="21"/>
      <c r="AR64" s="52">
        <f>+AR62+AR63</f>
        <v>37613.875521000002</v>
      </c>
      <c r="AS64" s="20"/>
      <c r="AT64" s="57"/>
      <c r="AU64" s="21"/>
      <c r="AV64" s="21"/>
      <c r="AW64" s="52">
        <f>+AW62+AW63</f>
        <v>37168.875521000002</v>
      </c>
      <c r="AX64" s="20"/>
      <c r="AY64" s="57"/>
      <c r="AZ64" s="21"/>
      <c r="BA64" s="21"/>
      <c r="BB64" s="52">
        <f>+BB62+BB63</f>
        <v>39310.902476925112</v>
      </c>
      <c r="BC64" s="20"/>
      <c r="BD64" s="57"/>
      <c r="BE64" s="21"/>
      <c r="BF64" s="21"/>
      <c r="BG64" s="52">
        <f>+BG62+BG63</f>
        <v>38871.337326141642</v>
      </c>
      <c r="BH64" s="20"/>
      <c r="BI64" s="57"/>
      <c r="BJ64" s="21"/>
      <c r="BK64" s="21"/>
      <c r="BL64" s="52">
        <f>+BL62+BL63</f>
        <v>39911.556611249929</v>
      </c>
      <c r="BM64" s="20"/>
      <c r="BN64" s="57"/>
      <c r="BO64" s="21"/>
      <c r="BP64" s="21"/>
      <c r="BQ64" s="52">
        <f>+BQ62+BQ63</f>
        <v>40687.716185551049</v>
      </c>
      <c r="BR64" s="162"/>
      <c r="BS64" s="162"/>
      <c r="BT64" s="162"/>
      <c r="BU64" s="13" t="s">
        <v>163</v>
      </c>
      <c r="BV64" s="12"/>
      <c r="BX64" s="59"/>
      <c r="BY64" s="59"/>
      <c r="BZ64" s="59"/>
      <c r="CA64" s="60">
        <f>SUM(CA56,CA59:CA63)</f>
        <v>329</v>
      </c>
      <c r="CB64" s="81"/>
      <c r="CC64" s="793"/>
      <c r="CD64" s="793"/>
      <c r="CE64" s="793"/>
      <c r="CF64" s="60">
        <f>SUM(CF56,CF59:CF63)</f>
        <v>328</v>
      </c>
      <c r="CG64" s="793"/>
      <c r="CH64" s="793"/>
      <c r="CI64" s="793"/>
      <c r="CJ64" s="81"/>
      <c r="CK64" s="60">
        <f>SUM(CK56,CK59:CK63)</f>
        <v>-668</v>
      </c>
      <c r="CL64" s="793"/>
      <c r="CM64" s="793"/>
      <c r="CN64" s="793"/>
      <c r="CO64" s="81"/>
      <c r="CP64" s="60">
        <f>SUM(CP56,CP59:CP63)</f>
        <v>256</v>
      </c>
      <c r="CQ64" s="793"/>
      <c r="CR64" s="793"/>
      <c r="CS64" s="793"/>
      <c r="CT64" s="81"/>
      <c r="CU64" s="60">
        <f>SUM(CU56,CU59:CU63)</f>
        <v>46</v>
      </c>
      <c r="CV64" s="793"/>
      <c r="CW64" s="793"/>
      <c r="CX64" s="793"/>
      <c r="CY64" s="81"/>
      <c r="CZ64" s="60">
        <f>SUM(CZ56,CZ59:CZ63)</f>
        <v>-133</v>
      </c>
      <c r="DA64" s="793"/>
      <c r="DB64" s="793"/>
      <c r="DC64" s="793"/>
      <c r="DD64" s="81"/>
      <c r="DE64" s="60">
        <f>SUM(DE56,DE59:DE63)</f>
        <v>46</v>
      </c>
      <c r="DF64" s="793"/>
      <c r="DG64" s="793"/>
      <c r="DH64" s="793"/>
      <c r="DI64" s="81"/>
      <c r="DJ64" s="60">
        <f>SUM(DJ56,DJ59:DJ63)</f>
        <v>68</v>
      </c>
      <c r="DK64" s="793"/>
      <c r="DL64" s="793"/>
      <c r="DM64" s="793"/>
      <c r="DN64" s="81"/>
      <c r="DO64" s="60">
        <f>SUM(DO56,DO59:DO63)</f>
        <v>390</v>
      </c>
      <c r="DP64" s="793"/>
      <c r="DQ64" s="793"/>
      <c r="DR64" s="793"/>
      <c r="DS64" s="81"/>
      <c r="DT64" s="60">
        <f>SUM(DT56,DT59:DT63)</f>
        <v>-536</v>
      </c>
      <c r="DU64" s="793"/>
      <c r="DV64" s="793"/>
      <c r="DW64" s="793"/>
      <c r="DX64" s="81"/>
      <c r="DY64" s="60">
        <f>SUM(DY56,DY59:DY63)</f>
        <v>53.000000000000455</v>
      </c>
      <c r="DZ64" s="793"/>
      <c r="EA64" s="793"/>
      <c r="EB64" s="793"/>
      <c r="EC64" s="81"/>
      <c r="ED64" s="60">
        <f>SUM(ED56,ED59:ED63)</f>
        <v>-3.4106051316484809E-13</v>
      </c>
      <c r="EE64" s="793"/>
      <c r="EF64" s="793"/>
      <c r="EG64" s="793"/>
      <c r="EH64" s="81"/>
      <c r="EI64" s="60">
        <f>SUM(EI56,EI59:EI63)</f>
        <v>1.7053025658242404E-13</v>
      </c>
    </row>
    <row r="71" spans="29:29">
      <c r="AC71" s="203"/>
    </row>
    <row r="72" spans="29:29">
      <c r="AC72" s="203"/>
    </row>
    <row r="73" spans="29:29">
      <c r="AC73" s="203"/>
    </row>
    <row r="74" spans="29:29">
      <c r="AC74" s="203"/>
    </row>
  </sheetData>
  <phoneticPr fontId="39" type="noConversion"/>
  <pageMargins left="0" right="0" top="0" bottom="0" header="0" footer="0"/>
  <pageSetup paperSize="5" scale="72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DT259"/>
  <sheetViews>
    <sheetView zoomScale="85" zoomScaleNormal="85" workbookViewId="0">
      <pane xSplit="4" ySplit="5" topLeftCell="I6" activePane="bottomRight" state="frozen"/>
      <selection activeCell="X6" sqref="X6"/>
      <selection pane="topRight" activeCell="X6" sqref="X6"/>
      <selection pane="bottomLeft" activeCell="X6" sqref="X6"/>
      <selection pane="bottomRight" activeCell="I6" sqref="I6"/>
    </sheetView>
  </sheetViews>
  <sheetFormatPr defaultRowHeight="12.75" outlineLevelCol="1"/>
  <cols>
    <col min="1" max="2" width="2.7109375" customWidth="1"/>
    <col min="3" max="3" width="45.7109375" customWidth="1"/>
    <col min="4" max="4" width="5.42578125" customWidth="1"/>
    <col min="5" max="8" width="9.7109375" hidden="1" customWidth="1" outlineLevel="1"/>
    <col min="9" max="9" width="9.7109375" customWidth="1" collapsed="1"/>
    <col min="10" max="13" width="9.7109375" hidden="1" customWidth="1" outlineLevel="1"/>
    <col min="14" max="14" width="9.7109375" customWidth="1" collapsed="1"/>
    <col min="15" max="18" width="9.7109375" hidden="1" customWidth="1" outlineLevel="1"/>
    <col min="19" max="19" width="9.7109375" customWidth="1" collapsed="1"/>
    <col min="20" max="23" width="9.7109375" hidden="1" customWidth="1" outlineLevel="1"/>
    <col min="24" max="24" width="9.7109375" customWidth="1" collapsed="1"/>
    <col min="25" max="28" width="9.7109375" hidden="1" customWidth="1" outlineLevel="1"/>
    <col min="29" max="29" width="9.7109375" customWidth="1" collapsed="1"/>
    <col min="30" max="33" width="9.7109375" hidden="1" customWidth="1" outlineLevel="1"/>
    <col min="34" max="34" width="9.7109375" customWidth="1" collapsed="1"/>
    <col min="35" max="38" width="9.7109375" hidden="1" customWidth="1" outlineLevel="1"/>
    <col min="39" max="39" width="9.7109375" customWidth="1" collapsed="1"/>
    <col min="40" max="43" width="9.7109375" hidden="1" customWidth="1" outlineLevel="1"/>
    <col min="44" max="44" width="9.7109375" customWidth="1" collapsed="1"/>
    <col min="45" max="48" width="9.7109375" hidden="1" customWidth="1" outlineLevel="1"/>
    <col min="49" max="49" width="9.7109375" customWidth="1" collapsed="1"/>
    <col min="50" max="53" width="9.7109375" hidden="1" customWidth="1" outlineLevel="1"/>
    <col min="54" max="54" width="9.7109375" customWidth="1" collapsed="1"/>
    <col min="55" max="58" width="9.7109375" hidden="1" customWidth="1" outlineLevel="1"/>
    <col min="59" max="59" width="9.7109375" customWidth="1" collapsed="1"/>
    <col min="60" max="63" width="9.7109375" hidden="1" customWidth="1" outlineLevel="1"/>
    <col min="64" max="64" width="9.7109375" customWidth="1" collapsed="1"/>
    <col min="65" max="68" width="9.7109375" hidden="1" customWidth="1" outlineLevel="1"/>
    <col min="69" max="69" width="9.7109375" customWidth="1" collapsed="1"/>
    <col min="72" max="72" width="43" hidden="1" customWidth="1" outlineLevel="1"/>
    <col min="73" max="78" width="9.140625" hidden="1" customWidth="1" outlineLevel="1"/>
    <col min="79" max="79" width="9.140625" collapsed="1"/>
  </cols>
  <sheetData>
    <row r="1" spans="1:94" ht="18" customHeight="1">
      <c r="A1" s="1"/>
      <c r="B1" s="1"/>
      <c r="C1" s="1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61"/>
      <c r="BS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</row>
    <row r="2" spans="1:94" ht="18" customHeight="1">
      <c r="A2" s="1"/>
      <c r="B2" s="1" t="s">
        <v>277</v>
      </c>
      <c r="C2" s="1"/>
      <c r="D2" s="2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61"/>
      <c r="BS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</row>
    <row r="3" spans="1:94" ht="15.75" customHeight="1">
      <c r="A3" s="4"/>
      <c r="B3" s="5" t="s">
        <v>164</v>
      </c>
      <c r="C3" s="5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61"/>
      <c r="BS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</row>
    <row r="4" spans="1:94">
      <c r="A4" s="6"/>
      <c r="B4" s="7" t="s">
        <v>3</v>
      </c>
      <c r="C4" s="7"/>
      <c r="D4" s="6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62"/>
      <c r="BS4" s="62"/>
      <c r="BZ4" s="62"/>
      <c r="CA4" s="62"/>
      <c r="CB4" s="62"/>
      <c r="CC4" s="62"/>
      <c r="CD4" s="62"/>
      <c r="CE4" s="62"/>
      <c r="CF4" s="62"/>
      <c r="CG4" s="62"/>
      <c r="CH4" s="62"/>
      <c r="CI4" s="62"/>
      <c r="CJ4" s="62"/>
      <c r="CK4" s="62"/>
      <c r="CL4" s="62"/>
      <c r="CM4" s="62"/>
      <c r="CN4" s="62"/>
      <c r="CO4" s="62"/>
      <c r="CP4" s="62"/>
    </row>
    <row r="5" spans="1:94">
      <c r="A5" s="63"/>
      <c r="B5" s="64" t="s">
        <v>22</v>
      </c>
      <c r="C5" s="64"/>
      <c r="D5" s="65"/>
      <c r="E5" s="66" t="s">
        <v>165</v>
      </c>
      <c r="F5" s="67" t="s">
        <v>166</v>
      </c>
      <c r="G5" s="67" t="s">
        <v>170</v>
      </c>
      <c r="H5" s="68" t="s">
        <v>171</v>
      </c>
      <c r="I5" s="69">
        <v>2009</v>
      </c>
      <c r="J5" s="66" t="s">
        <v>172</v>
      </c>
      <c r="K5" s="67" t="s">
        <v>173</v>
      </c>
      <c r="L5" s="67" t="s">
        <v>177</v>
      </c>
      <c r="M5" s="68" t="s">
        <v>178</v>
      </c>
      <c r="N5" s="69" t="s">
        <v>4</v>
      </c>
      <c r="O5" s="66" t="s">
        <v>181</v>
      </c>
      <c r="P5" s="67" t="s">
        <v>182</v>
      </c>
      <c r="Q5" s="67" t="s">
        <v>771</v>
      </c>
      <c r="R5" s="68" t="s">
        <v>218</v>
      </c>
      <c r="S5" s="70" t="s">
        <v>772</v>
      </c>
      <c r="T5" s="71" t="s">
        <v>475</v>
      </c>
      <c r="U5" s="72" t="s">
        <v>929</v>
      </c>
      <c r="V5" s="72" t="s">
        <v>742</v>
      </c>
      <c r="W5" s="73" t="s">
        <v>767</v>
      </c>
      <c r="X5" s="70" t="s">
        <v>768</v>
      </c>
      <c r="Y5" s="66" t="s">
        <v>769</v>
      </c>
      <c r="Z5" s="67" t="s">
        <v>76</v>
      </c>
      <c r="AA5" s="67" t="s">
        <v>77</v>
      </c>
      <c r="AB5" s="68" t="s">
        <v>670</v>
      </c>
      <c r="AC5" s="70" t="s">
        <v>669</v>
      </c>
      <c r="AD5" s="66" t="s">
        <v>90</v>
      </c>
      <c r="AE5" s="67" t="s">
        <v>91</v>
      </c>
      <c r="AF5" s="67" t="s">
        <v>92</v>
      </c>
      <c r="AG5" s="68" t="s">
        <v>960</v>
      </c>
      <c r="AH5" s="70" t="s">
        <v>964</v>
      </c>
      <c r="AI5" s="66" t="s">
        <v>962</v>
      </c>
      <c r="AJ5" s="67" t="s">
        <v>963</v>
      </c>
      <c r="AK5" s="67" t="s">
        <v>1005</v>
      </c>
      <c r="AL5" s="68" t="s">
        <v>1009</v>
      </c>
      <c r="AM5" s="85" t="s">
        <v>1011</v>
      </c>
      <c r="AN5" s="868" t="s">
        <v>1060</v>
      </c>
      <c r="AO5" s="72" t="s">
        <v>1062</v>
      </c>
      <c r="AP5" s="72" t="s">
        <v>1134</v>
      </c>
      <c r="AQ5" s="73" t="s">
        <v>1157</v>
      </c>
      <c r="AR5" s="85" t="s">
        <v>1158</v>
      </c>
      <c r="AS5" s="71" t="s">
        <v>1187</v>
      </c>
      <c r="AT5" s="72" t="s">
        <v>1200</v>
      </c>
      <c r="AU5" s="72" t="s">
        <v>1207</v>
      </c>
      <c r="AV5" s="73" t="s">
        <v>1218</v>
      </c>
      <c r="AW5" s="85" t="s">
        <v>1220</v>
      </c>
      <c r="AX5" s="71" t="s">
        <v>130</v>
      </c>
      <c r="AY5" s="72" t="s">
        <v>131</v>
      </c>
      <c r="AZ5" s="72" t="s">
        <v>132</v>
      </c>
      <c r="BA5" s="73" t="s">
        <v>133</v>
      </c>
      <c r="BB5" s="85" t="s">
        <v>138</v>
      </c>
      <c r="BC5" s="71" t="s">
        <v>971</v>
      </c>
      <c r="BD5" s="72" t="s">
        <v>972</v>
      </c>
      <c r="BE5" s="72" t="s">
        <v>973</v>
      </c>
      <c r="BF5" s="73" t="s">
        <v>974</v>
      </c>
      <c r="BG5" s="85" t="s">
        <v>969</v>
      </c>
      <c r="BH5" s="71" t="s">
        <v>975</v>
      </c>
      <c r="BI5" s="72" t="s">
        <v>976</v>
      </c>
      <c r="BJ5" s="72" t="s">
        <v>977</v>
      </c>
      <c r="BK5" s="73" t="s">
        <v>978</v>
      </c>
      <c r="BL5" s="85" t="s">
        <v>970</v>
      </c>
      <c r="BM5" s="71" t="s">
        <v>1137</v>
      </c>
      <c r="BN5" s="72" t="s">
        <v>1138</v>
      </c>
      <c r="BO5" s="72" t="s">
        <v>1139</v>
      </c>
      <c r="BP5" s="73" t="s">
        <v>1140</v>
      </c>
      <c r="BQ5" s="85" t="s">
        <v>1135</v>
      </c>
      <c r="BR5" s="74"/>
      <c r="BS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</row>
    <row r="6" spans="1:94">
      <c r="A6" s="92"/>
      <c r="B6" s="92"/>
      <c r="C6" s="92"/>
      <c r="D6" s="89"/>
      <c r="E6" s="130"/>
      <c r="F6" s="131"/>
      <c r="G6" s="131"/>
      <c r="H6" s="132"/>
      <c r="I6" s="94"/>
      <c r="J6" s="133"/>
      <c r="K6" s="134"/>
      <c r="L6" s="134"/>
      <c r="M6" s="135"/>
      <c r="N6" s="94"/>
      <c r="O6" s="133"/>
      <c r="P6" s="134"/>
      <c r="Q6" s="134"/>
      <c r="R6" s="135"/>
      <c r="S6" s="94"/>
      <c r="T6" s="163"/>
      <c r="U6" s="164"/>
      <c r="V6" s="164"/>
      <c r="W6" s="165"/>
      <c r="X6" s="94"/>
      <c r="Y6" s="133"/>
      <c r="Z6" s="134"/>
      <c r="AA6" s="134"/>
      <c r="AB6" s="135"/>
      <c r="AC6" s="94"/>
      <c r="AD6" s="133"/>
      <c r="AE6" s="134"/>
      <c r="AF6" s="134"/>
      <c r="AG6" s="135"/>
      <c r="AH6" s="94"/>
      <c r="AI6" s="133"/>
      <c r="AJ6" s="134"/>
      <c r="AK6" s="134"/>
      <c r="AL6" s="135"/>
      <c r="AM6" s="94"/>
      <c r="AN6" s="133"/>
      <c r="AO6" s="134"/>
      <c r="AP6" s="134"/>
      <c r="AQ6" s="135"/>
      <c r="AR6" s="94"/>
      <c r="AS6" s="133"/>
      <c r="AT6" s="134"/>
      <c r="AU6" s="134"/>
      <c r="AV6" s="135"/>
      <c r="AW6" s="94"/>
      <c r="AX6" s="133"/>
      <c r="AY6" s="134"/>
      <c r="AZ6" s="134"/>
      <c r="BA6" s="135"/>
      <c r="BB6" s="94"/>
      <c r="BC6" s="133"/>
      <c r="BD6" s="134"/>
      <c r="BE6" s="134"/>
      <c r="BF6" s="135"/>
      <c r="BG6" s="94"/>
      <c r="BH6" s="133"/>
      <c r="BI6" s="134"/>
      <c r="BJ6" s="134"/>
      <c r="BK6" s="135"/>
      <c r="BL6" s="94"/>
      <c r="BM6" s="133"/>
      <c r="BN6" s="134"/>
      <c r="BO6" s="134"/>
      <c r="BP6" s="135"/>
      <c r="BQ6" s="94"/>
    </row>
    <row r="7" spans="1:94">
      <c r="A7" s="92"/>
      <c r="B7" s="126" t="s">
        <v>185</v>
      </c>
      <c r="C7" s="32"/>
      <c r="D7" s="128"/>
      <c r="E7" s="130"/>
      <c r="F7" s="131"/>
      <c r="G7" s="131"/>
      <c r="H7" s="132"/>
      <c r="I7" s="94"/>
      <c r="J7" s="133"/>
      <c r="K7" s="134"/>
      <c r="L7" s="134"/>
      <c r="M7" s="135"/>
      <c r="N7" s="94"/>
      <c r="O7" s="133"/>
      <c r="P7" s="134"/>
      <c r="Q7" s="131"/>
      <c r="R7" s="135"/>
      <c r="S7" s="94"/>
      <c r="T7" s="133"/>
      <c r="U7" s="134"/>
      <c r="V7" s="134"/>
      <c r="W7" s="135"/>
      <c r="X7" s="94"/>
      <c r="Y7" s="133"/>
      <c r="Z7" s="134"/>
      <c r="AA7" s="134"/>
      <c r="AB7" s="135"/>
      <c r="AC7" s="94"/>
      <c r="AD7" s="133"/>
      <c r="AE7" s="134"/>
      <c r="AF7" s="134"/>
      <c r="AG7" s="135"/>
      <c r="AH7" s="94"/>
      <c r="AI7" s="133"/>
      <c r="AJ7" s="134"/>
      <c r="AK7" s="134"/>
      <c r="AL7" s="135"/>
      <c r="AM7" s="94"/>
      <c r="AN7" s="133"/>
      <c r="AO7" s="134"/>
      <c r="AP7" s="134"/>
      <c r="AQ7" s="135"/>
      <c r="AR7" s="94"/>
      <c r="AS7" s="133"/>
      <c r="AT7" s="134"/>
      <c r="AU7" s="134"/>
      <c r="AV7" s="135"/>
      <c r="AW7" s="94"/>
      <c r="AX7" s="133"/>
      <c r="AY7" s="134"/>
      <c r="AZ7" s="134"/>
      <c r="BA7" s="135"/>
      <c r="BB7" s="94"/>
      <c r="BC7" s="133"/>
      <c r="BD7" s="134"/>
      <c r="BE7" s="134"/>
      <c r="BF7" s="135"/>
      <c r="BG7" s="94"/>
      <c r="BH7" s="133"/>
      <c r="BI7" s="134"/>
      <c r="BJ7" s="134"/>
      <c r="BK7" s="135"/>
      <c r="BL7" s="94"/>
      <c r="BM7" s="133"/>
      <c r="BN7" s="134"/>
      <c r="BO7" s="134"/>
      <c r="BP7" s="135"/>
      <c r="BQ7" s="94"/>
    </row>
    <row r="8" spans="1:94" s="173" customFormat="1">
      <c r="A8" s="96"/>
      <c r="B8" s="96"/>
      <c r="C8" s="256" t="s">
        <v>186</v>
      </c>
      <c r="D8" s="96"/>
      <c r="E8" s="101">
        <v>3334</v>
      </c>
      <c r="F8" s="75">
        <v>3271</v>
      </c>
      <c r="G8" s="75">
        <v>3408</v>
      </c>
      <c r="H8" s="102">
        <f>+I8-G8-F8-E8</f>
        <v>2960</v>
      </c>
      <c r="I8" s="103">
        <v>12973</v>
      </c>
      <c r="J8" s="101">
        <v>3299</v>
      </c>
      <c r="K8" s="75">
        <v>3139</v>
      </c>
      <c r="L8" s="75">
        <v>3728</v>
      </c>
      <c r="M8" s="102">
        <f>+N8-L8-K8-J8</f>
        <v>3173</v>
      </c>
      <c r="N8" s="103">
        <v>13339</v>
      </c>
      <c r="O8" s="101">
        <f>7636-P8</f>
        <v>3576</v>
      </c>
      <c r="P8" s="75">
        <v>4060</v>
      </c>
      <c r="Q8" s="75">
        <v>4719</v>
      </c>
      <c r="R8" s="102">
        <f>S8-SUM(O8:Q8)</f>
        <v>3792</v>
      </c>
      <c r="S8" s="103">
        <v>16147</v>
      </c>
      <c r="T8" s="101">
        <v>3990</v>
      </c>
      <c r="U8" s="75">
        <v>3869</v>
      </c>
      <c r="V8" s="75">
        <v>4311</v>
      </c>
      <c r="W8" s="102">
        <f>X8-SUM(T8:V8)</f>
        <v>3133</v>
      </c>
      <c r="X8" s="103">
        <v>15303</v>
      </c>
      <c r="Y8" s="101">
        <v>3729</v>
      </c>
      <c r="Z8" s="75">
        <v>3519</v>
      </c>
      <c r="AA8" s="75">
        <v>4036</v>
      </c>
      <c r="AB8" s="102">
        <f>AC8-SUM(Y8:AA8)</f>
        <v>3633</v>
      </c>
      <c r="AC8" s="103">
        <v>14917</v>
      </c>
      <c r="AD8" s="101">
        <v>4189</v>
      </c>
      <c r="AE8" s="75">
        <v>3496</v>
      </c>
      <c r="AF8" s="75">
        <v>3888</v>
      </c>
      <c r="AG8" s="102">
        <f>AH8-SUM(AD8:AF8)</f>
        <v>3476</v>
      </c>
      <c r="AH8" s="103">
        <v>15049</v>
      </c>
      <c r="AI8" s="101">
        <v>3897</v>
      </c>
      <c r="AJ8" s="75">
        <v>3465</v>
      </c>
      <c r="AK8" s="75">
        <v>4123</v>
      </c>
      <c r="AL8" s="102">
        <f>AM8-SUM(AI8:AK8)</f>
        <v>3541</v>
      </c>
      <c r="AM8" s="103">
        <v>15026</v>
      </c>
      <c r="AN8" s="101">
        <v>3869</v>
      </c>
      <c r="AO8" s="75">
        <v>3401</v>
      </c>
      <c r="AP8" s="75">
        <v>3917</v>
      </c>
      <c r="AQ8" s="102">
        <f>AR8-SUM(AN8:AP8)</f>
        <v>3375</v>
      </c>
      <c r="AR8" s="103">
        <v>14562</v>
      </c>
      <c r="AS8" s="101">
        <v>3552</v>
      </c>
      <c r="AT8" s="75">
        <v>3309</v>
      </c>
      <c r="AU8" s="75">
        <v>3714</v>
      </c>
      <c r="AV8" s="102">
        <f>AW8-SUM(AS8:AU8)</f>
        <v>3442</v>
      </c>
      <c r="AW8" s="103">
        <v>14017</v>
      </c>
      <c r="AX8" s="104">
        <f>Distribution!AX8+Transmission!AX8+Competitive!AX8+Parent!AX8</f>
        <v>3395.9353268740451</v>
      </c>
      <c r="AY8" s="77">
        <f>Distribution!AY8+Transmission!AY8+Competitive!AY8+Parent!AY8</f>
        <v>3075.8153149160557</v>
      </c>
      <c r="AZ8" s="77">
        <f>Distribution!AZ8+Transmission!AZ8+Competitive!AZ8+Parent!AZ8</f>
        <v>3369.7908659796535</v>
      </c>
      <c r="BA8" s="102">
        <f>Distribution!BA8+Transmission!BA8+Competitive!BA8+Parent!BA8</f>
        <v>3175.6044844276494</v>
      </c>
      <c r="BB8" s="96">
        <f>SUM(AX8:BA8)</f>
        <v>13017.145992197404</v>
      </c>
      <c r="BC8" s="104">
        <f>Distribution!BC8+Transmission!BC8+Competitive!BC8+Parent!BC8</f>
        <v>3295.668662758962</v>
      </c>
      <c r="BD8" s="77">
        <f>Distribution!BD8+Transmission!BD8+Competitive!BD8+Parent!BD8</f>
        <v>2974.1416116688197</v>
      </c>
      <c r="BE8" s="77">
        <f>Distribution!BE8+Transmission!BE8+Competitive!BE8+Parent!BE8</f>
        <v>3271.1320937651699</v>
      </c>
      <c r="BF8" s="102">
        <f>Distribution!BF8+Transmission!BF8+Competitive!BF8+Parent!BF8</f>
        <v>3146.0228873510609</v>
      </c>
      <c r="BG8" s="96">
        <f>SUM(BC8:BF8)</f>
        <v>12686.965255544012</v>
      </c>
      <c r="BH8" s="104">
        <f>Distribution!BH8+Transmission!BH8+Competitive!BH8+Parent!BH8</f>
        <v>3267.0699168614242</v>
      </c>
      <c r="BI8" s="77">
        <f>Distribution!BI8+Transmission!BI8+Competitive!BI8+Parent!BI8</f>
        <v>2951.0389850984825</v>
      </c>
      <c r="BJ8" s="77">
        <f>Distribution!BJ8+Transmission!BJ8+Competitive!BJ8+Parent!BJ8</f>
        <v>3258.2427405808726</v>
      </c>
      <c r="BK8" s="102">
        <f>Distribution!BK8+Transmission!BK8+Competitive!BK8+Parent!BK8</f>
        <v>3132.0086266967869</v>
      </c>
      <c r="BL8" s="96">
        <f>SUM(BH8:BK8)</f>
        <v>12608.360269237566</v>
      </c>
      <c r="BM8" s="104">
        <f>Distribution!BM8+Transmission!BM8+Competitive!BM8+Parent!BM8</f>
        <v>3305.0898056175665</v>
      </c>
      <c r="BN8" s="77">
        <f>Distribution!BN8+Transmission!BN8+Competitive!BN8+Parent!BN8</f>
        <v>3041.4076910973777</v>
      </c>
      <c r="BO8" s="77">
        <f>Distribution!BO8+Transmission!BO8+Competitive!BO8+Parent!BO8</f>
        <v>3347.5750448511394</v>
      </c>
      <c r="BP8" s="102">
        <f>Distribution!BP8+Transmission!BP8+Competitive!BP8+Parent!BP8</f>
        <v>3186.0809706724444</v>
      </c>
      <c r="BQ8" s="96">
        <f>SUM(BM8:BP8)</f>
        <v>12880.153512238528</v>
      </c>
      <c r="BR8" s="96"/>
      <c r="BS8" s="96"/>
      <c r="BT8"/>
      <c r="BU8"/>
      <c r="BV8"/>
      <c r="BW8"/>
      <c r="BX8"/>
      <c r="BY8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</row>
    <row r="9" spans="1:94" s="257" customFormat="1">
      <c r="A9" s="255"/>
      <c r="B9" s="255"/>
      <c r="C9" s="258" t="s">
        <v>625</v>
      </c>
      <c r="D9" s="255"/>
      <c r="E9" s="288">
        <v>1455</v>
      </c>
      <c r="F9" s="289">
        <v>1300</v>
      </c>
      <c r="G9" s="289">
        <v>1615</v>
      </c>
      <c r="H9" s="290">
        <f>+I9-G9-F9-E9</f>
        <v>1513</v>
      </c>
      <c r="I9" s="291">
        <v>5883</v>
      </c>
      <c r="J9" s="288">
        <v>1572</v>
      </c>
      <c r="K9" s="289">
        <v>1413</v>
      </c>
      <c r="L9" s="289">
        <v>1719</v>
      </c>
      <c r="M9" s="290">
        <f>+N9-L9-K9-J9</f>
        <v>1352</v>
      </c>
      <c r="N9" s="291">
        <v>6056</v>
      </c>
      <c r="O9" s="288">
        <f>1088+2406-P9</f>
        <v>1639</v>
      </c>
      <c r="P9" s="289">
        <f>1220+635</f>
        <v>1855</v>
      </c>
      <c r="Q9" s="289">
        <f>632+1349</f>
        <v>1981</v>
      </c>
      <c r="R9" s="102">
        <f>S9-SUM(O9:Q9)</f>
        <v>1717</v>
      </c>
      <c r="S9" s="291">
        <f>2317+4875</f>
        <v>7192</v>
      </c>
      <c r="T9" s="288">
        <f>541+1259</f>
        <v>1800</v>
      </c>
      <c r="U9" s="289">
        <v>1812</v>
      </c>
      <c r="V9" s="289">
        <f>636+1312</f>
        <v>1948</v>
      </c>
      <c r="W9" s="102">
        <f>X9-SUM(T9:V9)</f>
        <v>1148</v>
      </c>
      <c r="X9" s="291">
        <f>2471+4237</f>
        <v>6708</v>
      </c>
      <c r="Y9" s="288">
        <f>630+943</f>
        <v>1573</v>
      </c>
      <c r="Z9" s="302">
        <f>628+862</f>
        <v>1490</v>
      </c>
      <c r="AA9" s="302">
        <f>657+1120</f>
        <v>1777</v>
      </c>
      <c r="AB9" s="102">
        <f>AC9-SUM(Y9:AA9)</f>
        <v>1619</v>
      </c>
      <c r="AC9" s="291">
        <f>2496+3963</f>
        <v>6459</v>
      </c>
      <c r="AD9" s="288">
        <f>617+1455</f>
        <v>2072</v>
      </c>
      <c r="AE9" s="302">
        <f>550+1083</f>
        <v>1633</v>
      </c>
      <c r="AF9" s="302">
        <f>544+1188</f>
        <v>1732</v>
      </c>
      <c r="AG9" s="102">
        <f>AH9-SUM(AD9:AF9)</f>
        <v>1559</v>
      </c>
      <c r="AH9" s="291">
        <f>2280+4716</f>
        <v>6996</v>
      </c>
      <c r="AI9" s="301">
        <f>513+1113</f>
        <v>1626</v>
      </c>
      <c r="AJ9" s="302">
        <f>383+989</f>
        <v>1372</v>
      </c>
      <c r="AK9" s="302">
        <f>482+1209</f>
        <v>1691</v>
      </c>
      <c r="AL9" s="102">
        <f>AM9-SUM(AI9:AK9)</f>
        <v>1484</v>
      </c>
      <c r="AM9" s="291">
        <f>1855+4318</f>
        <v>6173</v>
      </c>
      <c r="AN9" s="301">
        <f>381+1124</f>
        <v>1505</v>
      </c>
      <c r="AO9" s="2028">
        <f>438+889</f>
        <v>1327</v>
      </c>
      <c r="AP9" s="2028">
        <f>450+979</f>
        <v>1429</v>
      </c>
      <c r="AQ9" s="102">
        <f>AR9-SUM(AN9:AP9)</f>
        <v>1218</v>
      </c>
      <c r="AR9" s="291">
        <f>1666+3813</f>
        <v>5479</v>
      </c>
      <c r="AS9" s="301">
        <f>368+863</f>
        <v>1231</v>
      </c>
      <c r="AT9" s="2028">
        <f>343+735</f>
        <v>1078</v>
      </c>
      <c r="AU9" s="2028">
        <f>363+861</f>
        <v>1224</v>
      </c>
      <c r="AV9" s="102">
        <f>AW9-SUM(AS9:AU9)</f>
        <v>1044</v>
      </c>
      <c r="AW9" s="291">
        <f>1383+3194</f>
        <v>4577</v>
      </c>
      <c r="AX9" s="104">
        <f>Distribution!AX9+Competitive!AX9+Parent!AX9</f>
        <v>1209.6080445287398</v>
      </c>
      <c r="AY9" s="77">
        <f>Distribution!AY9+Competitive!AY9+Parent!AY9</f>
        <v>1024.1766566834835</v>
      </c>
      <c r="AZ9" s="77">
        <f>Distribution!AZ9+Competitive!AZ9+Parent!AZ9</f>
        <v>1154.3506185207743</v>
      </c>
      <c r="BA9" s="102">
        <f>Distribution!BA9+Competitive!BA9+Parent!BA9</f>
        <v>1021.7342313109996</v>
      </c>
      <c r="BB9" s="96">
        <f>SUM(AX9:BA9)</f>
        <v>4409.8695510439975</v>
      </c>
      <c r="BC9" s="104">
        <f>Distribution!BC9+Competitive!BC9+Parent!BC9</f>
        <v>1149.0302967751625</v>
      </c>
      <c r="BD9" s="77">
        <f>Distribution!BD9+Competitive!BD9+Parent!BD9</f>
        <v>914.68066413610768</v>
      </c>
      <c r="BE9" s="77">
        <f>Distribution!BE9+Competitive!BE9+Parent!BE9</f>
        <v>1044.6951895487498</v>
      </c>
      <c r="BF9" s="102">
        <f>Distribution!BF9+Competitive!BF9+Parent!BF9</f>
        <v>991.3522006970677</v>
      </c>
      <c r="BG9" s="96">
        <f>SUM(BC9:BF9)</f>
        <v>4099.7583511570883</v>
      </c>
      <c r="BH9" s="104">
        <f>Distribution!BH9+Competitive!BH9+Parent!BH9</f>
        <v>1127.3629189184519</v>
      </c>
      <c r="BI9" s="77">
        <f>Distribution!BI9+Competitive!BI9+Parent!BI9</f>
        <v>896.06221906738483</v>
      </c>
      <c r="BJ9" s="77">
        <f>Distribution!BJ9+Competitive!BJ9+Parent!BJ9</f>
        <v>1028.0194418252847</v>
      </c>
      <c r="BK9" s="102">
        <f>Distribution!BK9+Competitive!BK9+Parent!BK9</f>
        <v>970.72874160178412</v>
      </c>
      <c r="BL9" s="96">
        <f>SUM(BH9:BK9)</f>
        <v>4022.1733214129054</v>
      </c>
      <c r="BM9" s="104">
        <f>Distribution!BM9+Competitive!BM9+Parent!BM9</f>
        <v>1052.6343329589329</v>
      </c>
      <c r="BN9" s="77">
        <f>Distribution!BN9+Competitive!BN9+Parent!BN9</f>
        <v>896.3910969730274</v>
      </c>
      <c r="BO9" s="77">
        <f>Distribution!BO9+Competitive!BO9+Parent!BO9</f>
        <v>1022.487340936319</v>
      </c>
      <c r="BP9" s="102">
        <f>Distribution!BP9+Competitive!BP9+Parent!BP9</f>
        <v>883.31528207026986</v>
      </c>
      <c r="BQ9" s="96">
        <f>SUM(BM9:BP9)</f>
        <v>3854.8280529385493</v>
      </c>
      <c r="BR9" s="255"/>
      <c r="BS9" s="255"/>
      <c r="BT9"/>
      <c r="BU9"/>
      <c r="BV9"/>
      <c r="BW9"/>
      <c r="BX9"/>
      <c r="BY9"/>
      <c r="BZ9" s="255"/>
      <c r="CA9" s="255"/>
      <c r="CB9" s="255"/>
      <c r="CC9" s="255"/>
      <c r="CD9" s="255"/>
      <c r="CE9" s="255"/>
      <c r="CF9" s="255"/>
      <c r="CG9" s="255"/>
      <c r="CH9" s="255"/>
      <c r="CI9" s="255"/>
      <c r="CJ9" s="255"/>
      <c r="CK9" s="255"/>
      <c r="CL9" s="255"/>
      <c r="CM9" s="255"/>
      <c r="CN9" s="255"/>
      <c r="CO9" s="255"/>
      <c r="CP9" s="255"/>
    </row>
    <row r="10" spans="1:94" s="23" customFormat="1">
      <c r="A10" s="259"/>
      <c r="B10" s="259"/>
      <c r="C10" s="242" t="s">
        <v>187</v>
      </c>
      <c r="D10" s="260"/>
      <c r="E10" s="106">
        <f t="shared" ref="E10:AR10" si="0">E8-SUM(E9:E9)</f>
        <v>1879</v>
      </c>
      <c r="F10" s="76">
        <f t="shared" si="0"/>
        <v>1971</v>
      </c>
      <c r="G10" s="76">
        <f t="shared" si="0"/>
        <v>1793</v>
      </c>
      <c r="H10" s="107">
        <f t="shared" si="0"/>
        <v>1447</v>
      </c>
      <c r="I10" s="51">
        <f t="shared" si="0"/>
        <v>7090</v>
      </c>
      <c r="J10" s="106">
        <f t="shared" si="0"/>
        <v>1727</v>
      </c>
      <c r="K10" s="76">
        <f t="shared" si="0"/>
        <v>1726</v>
      </c>
      <c r="L10" s="76">
        <f t="shared" si="0"/>
        <v>2009</v>
      </c>
      <c r="M10" s="107">
        <f t="shared" si="0"/>
        <v>1821</v>
      </c>
      <c r="N10" s="51">
        <f t="shared" si="0"/>
        <v>7283</v>
      </c>
      <c r="O10" s="106">
        <f t="shared" si="0"/>
        <v>1937</v>
      </c>
      <c r="P10" s="76">
        <f t="shared" si="0"/>
        <v>2205</v>
      </c>
      <c r="Q10" s="76">
        <f t="shared" si="0"/>
        <v>2738</v>
      </c>
      <c r="R10" s="107">
        <f t="shared" si="0"/>
        <v>2075</v>
      </c>
      <c r="S10" s="51">
        <f t="shared" si="0"/>
        <v>8955</v>
      </c>
      <c r="T10" s="106">
        <f t="shared" si="0"/>
        <v>2190</v>
      </c>
      <c r="U10" s="76">
        <f t="shared" si="0"/>
        <v>2057</v>
      </c>
      <c r="V10" s="76">
        <f t="shared" si="0"/>
        <v>2363</v>
      </c>
      <c r="W10" s="107">
        <f t="shared" si="0"/>
        <v>1985</v>
      </c>
      <c r="X10" s="51">
        <f t="shared" si="0"/>
        <v>8595</v>
      </c>
      <c r="Y10" s="106">
        <f t="shared" si="0"/>
        <v>2156</v>
      </c>
      <c r="Z10" s="76">
        <f t="shared" si="0"/>
        <v>2029</v>
      </c>
      <c r="AA10" s="76">
        <f t="shared" si="0"/>
        <v>2259</v>
      </c>
      <c r="AB10" s="107">
        <f>AB8-SUM(AB9:AB9)</f>
        <v>2014</v>
      </c>
      <c r="AC10" s="51">
        <f>AC8-SUM(AC9:AC9)</f>
        <v>8458</v>
      </c>
      <c r="AD10" s="106">
        <f t="shared" si="0"/>
        <v>2117</v>
      </c>
      <c r="AE10" s="76">
        <f t="shared" si="0"/>
        <v>1863</v>
      </c>
      <c r="AF10" s="76">
        <f t="shared" si="0"/>
        <v>2156</v>
      </c>
      <c r="AG10" s="107">
        <f>AG8-SUM(AG9:AG9)</f>
        <v>1917</v>
      </c>
      <c r="AH10" s="51">
        <f>AH8-SUM(AH9:AH9)</f>
        <v>8053</v>
      </c>
      <c r="AI10" s="106">
        <f>AI8-SUM(AI9:AI9)</f>
        <v>2271</v>
      </c>
      <c r="AJ10" s="76">
        <f>AJ8-SUM(AJ9:AJ9)</f>
        <v>2093</v>
      </c>
      <c r="AK10" s="76">
        <f t="shared" ref="AK10" si="1">AK8-SUM(AK9:AK9)</f>
        <v>2432</v>
      </c>
      <c r="AL10" s="107">
        <f>AL8-SUM(AL9:AL9)</f>
        <v>2057</v>
      </c>
      <c r="AM10" s="51">
        <f>AM8-SUM(AM9:AM9)</f>
        <v>8853</v>
      </c>
      <c r="AN10" s="106">
        <f>AN8-SUM(AN9:AN9)</f>
        <v>2364</v>
      </c>
      <c r="AO10" s="76">
        <f>AO8-SUM(AO9:AO9)</f>
        <v>2074</v>
      </c>
      <c r="AP10" s="76">
        <f t="shared" si="0"/>
        <v>2488</v>
      </c>
      <c r="AQ10" s="107">
        <f>AQ8-SUM(AQ9:AQ9)</f>
        <v>2157</v>
      </c>
      <c r="AR10" s="51">
        <f t="shared" si="0"/>
        <v>9083</v>
      </c>
      <c r="AS10" s="106">
        <f>AS8-SUM(AS9:AS9)</f>
        <v>2321</v>
      </c>
      <c r="AT10" s="76">
        <f>AT8-SUM(AT9:AT9)</f>
        <v>2231</v>
      </c>
      <c r="AU10" s="76">
        <f>AU8-SUM(AU9:AU9)</f>
        <v>2490</v>
      </c>
      <c r="AV10" s="107">
        <f>AV8-SUM(AV9:AV9)</f>
        <v>2398</v>
      </c>
      <c r="AW10" s="51">
        <f t="shared" ref="AW10" si="2">AW8-SUM(AW9:AW9)</f>
        <v>9440</v>
      </c>
      <c r="AX10" s="106">
        <f t="shared" ref="AX10:BB10" si="3">AX8-SUM(AX9:AX9)</f>
        <v>2186.3272823453053</v>
      </c>
      <c r="AY10" s="76">
        <f t="shared" si="3"/>
        <v>2051.6386582325722</v>
      </c>
      <c r="AZ10" s="76">
        <f t="shared" si="3"/>
        <v>2215.4402474588792</v>
      </c>
      <c r="BA10" s="107">
        <f t="shared" si="3"/>
        <v>2153.87025311665</v>
      </c>
      <c r="BB10" s="51">
        <f t="shared" si="3"/>
        <v>8607.2764411534063</v>
      </c>
      <c r="BC10" s="106">
        <f t="shared" ref="BC10:BL10" si="4">BC8-SUM(BC9:BC9)</f>
        <v>2146.6383659837993</v>
      </c>
      <c r="BD10" s="76">
        <f t="shared" si="4"/>
        <v>2059.460947532712</v>
      </c>
      <c r="BE10" s="76">
        <f t="shared" si="4"/>
        <v>2226.4369042164199</v>
      </c>
      <c r="BF10" s="107">
        <f t="shared" si="4"/>
        <v>2154.6706866539935</v>
      </c>
      <c r="BG10" s="51">
        <f t="shared" si="4"/>
        <v>8587.2069043869233</v>
      </c>
      <c r="BH10" s="106">
        <f t="shared" si="4"/>
        <v>2139.7069979429725</v>
      </c>
      <c r="BI10" s="76">
        <f t="shared" si="4"/>
        <v>2054.9767660310977</v>
      </c>
      <c r="BJ10" s="76">
        <f t="shared" si="4"/>
        <v>2230.2232987555881</v>
      </c>
      <c r="BK10" s="107">
        <f t="shared" si="4"/>
        <v>2161.279885095003</v>
      </c>
      <c r="BL10" s="51">
        <f t="shared" si="4"/>
        <v>8586.1869478246608</v>
      </c>
      <c r="BM10" s="106">
        <f t="shared" ref="BM10:BQ10" si="5">BM8-SUM(BM9:BM9)</f>
        <v>2252.4554726586339</v>
      </c>
      <c r="BN10" s="76">
        <f t="shared" si="5"/>
        <v>2145.0165941243504</v>
      </c>
      <c r="BO10" s="76">
        <f t="shared" si="5"/>
        <v>2325.0877039148204</v>
      </c>
      <c r="BP10" s="107">
        <f t="shared" si="5"/>
        <v>2302.7656886021746</v>
      </c>
      <c r="BQ10" s="51">
        <f t="shared" si="5"/>
        <v>9025.3254592999801</v>
      </c>
      <c r="BR10" s="19"/>
      <c r="BS10" s="19"/>
      <c r="BT10"/>
      <c r="BU10"/>
      <c r="BV10"/>
      <c r="BW10"/>
      <c r="BX10"/>
      <c r="BY10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94" s="23" customFormat="1">
      <c r="A11" s="259"/>
      <c r="B11" s="259"/>
      <c r="C11" s="242"/>
      <c r="D11" s="260"/>
      <c r="E11" s="106"/>
      <c r="F11" s="76"/>
      <c r="G11" s="76"/>
      <c r="H11" s="107"/>
      <c r="I11" s="51"/>
      <c r="J11" s="106"/>
      <c r="K11" s="76"/>
      <c r="L11" s="76"/>
      <c r="M11" s="107"/>
      <c r="N11" s="51"/>
      <c r="O11" s="106"/>
      <c r="P11" s="76"/>
      <c r="Q11" s="76"/>
      <c r="R11" s="107"/>
      <c r="S11" s="51"/>
      <c r="T11" s="106"/>
      <c r="U11" s="76"/>
      <c r="V11" s="76"/>
      <c r="W11" s="107"/>
      <c r="X11" s="51"/>
      <c r="Y11" s="106"/>
      <c r="Z11" s="76"/>
      <c r="AA11" s="76"/>
      <c r="AB11" s="107"/>
      <c r="AC11" s="51"/>
      <c r="AD11" s="106"/>
      <c r="AE11" s="76"/>
      <c r="AF11" s="76"/>
      <c r="AG11" s="107"/>
      <c r="AH11" s="51"/>
      <c r="AI11" s="106"/>
      <c r="AJ11" s="76"/>
      <c r="AK11" s="76"/>
      <c r="AL11" s="107"/>
      <c r="AM11" s="51"/>
      <c r="AN11" s="106"/>
      <c r="AO11" s="76"/>
      <c r="AP11" s="76"/>
      <c r="AQ11" s="107"/>
      <c r="AR11" s="51"/>
      <c r="AS11" s="106"/>
      <c r="AT11" s="76"/>
      <c r="AU11" s="76"/>
      <c r="AV11" s="107"/>
      <c r="AW11" s="51"/>
      <c r="AX11" s="106"/>
      <c r="AY11" s="76"/>
      <c r="AZ11" s="76"/>
      <c r="BA11" s="107"/>
      <c r="BB11" s="51"/>
      <c r="BC11" s="106"/>
      <c r="BD11" s="76"/>
      <c r="BE11" s="76"/>
      <c r="BF11" s="107"/>
      <c r="BG11" s="51"/>
      <c r="BH11" s="106"/>
      <c r="BI11" s="76"/>
      <c r="BJ11" s="76"/>
      <c r="BK11" s="107"/>
      <c r="BL11" s="51"/>
      <c r="BM11" s="106"/>
      <c r="BN11" s="76"/>
      <c r="BO11" s="76"/>
      <c r="BP11" s="107"/>
      <c r="BQ11" s="51"/>
      <c r="BR11" s="19"/>
      <c r="BS11" s="19"/>
      <c r="BT11"/>
      <c r="BU11"/>
      <c r="BV11"/>
      <c r="BW11"/>
      <c r="BX11"/>
      <c r="BY11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94" s="23" customFormat="1">
      <c r="A12" s="261"/>
      <c r="B12" s="261"/>
      <c r="C12" s="258" t="s">
        <v>188</v>
      </c>
      <c r="D12" s="262"/>
      <c r="E12" s="288">
        <v>827</v>
      </c>
      <c r="F12" s="289">
        <v>612</v>
      </c>
      <c r="G12" s="289">
        <v>665</v>
      </c>
      <c r="H12" s="290">
        <f>+I12-G12-F12-E12</f>
        <v>447</v>
      </c>
      <c r="I12" s="291">
        <f>2697-146</f>
        <v>2551</v>
      </c>
      <c r="J12" s="288">
        <v>701</v>
      </c>
      <c r="K12" s="289">
        <v>673</v>
      </c>
      <c r="L12" s="289">
        <v>738</v>
      </c>
      <c r="M12" s="290">
        <f>+N12-L12-K12-J12</f>
        <v>584</v>
      </c>
      <c r="N12" s="291">
        <f>2850-154</f>
        <v>2696</v>
      </c>
      <c r="O12" s="288">
        <f>2058-P12</f>
        <v>993</v>
      </c>
      <c r="P12" s="289">
        <v>1065</v>
      </c>
      <c r="Q12" s="289">
        <v>993</v>
      </c>
      <c r="R12" s="102">
        <f>S12-SUM(O12:Q12)</f>
        <v>913</v>
      </c>
      <c r="S12" s="291">
        <v>3964</v>
      </c>
      <c r="T12" s="288">
        <v>818</v>
      </c>
      <c r="U12" s="289">
        <v>914</v>
      </c>
      <c r="V12" s="289">
        <v>856</v>
      </c>
      <c r="W12" s="102">
        <f>X12-SUM(T12:V12)</f>
        <v>1181</v>
      </c>
      <c r="X12" s="291">
        <v>3769</v>
      </c>
      <c r="Y12" s="288">
        <v>884</v>
      </c>
      <c r="Z12" s="302">
        <v>887</v>
      </c>
      <c r="AA12" s="302">
        <v>877</v>
      </c>
      <c r="AB12" s="102">
        <f>AC12-SUM(Y12:AA12)</f>
        <v>945</v>
      </c>
      <c r="AC12" s="291">
        <v>3593</v>
      </c>
      <c r="AD12" s="288">
        <v>1182</v>
      </c>
      <c r="AE12" s="302">
        <v>1021</v>
      </c>
      <c r="AF12" s="302">
        <v>858</v>
      </c>
      <c r="AG12" s="102">
        <f>AH12-SUM(AD12:AF12)</f>
        <v>901</v>
      </c>
      <c r="AH12" s="291">
        <v>3962</v>
      </c>
      <c r="AI12" s="288">
        <v>1057</v>
      </c>
      <c r="AJ12" s="302">
        <v>916</v>
      </c>
      <c r="AK12" s="302">
        <v>850</v>
      </c>
      <c r="AL12" s="102">
        <f>AM12-SUM(AI12:AK12)</f>
        <v>926</v>
      </c>
      <c r="AM12" s="291">
        <v>3749</v>
      </c>
      <c r="AN12" s="288">
        <v>918</v>
      </c>
      <c r="AO12" s="2028">
        <v>964</v>
      </c>
      <c r="AP12" s="2028">
        <v>953</v>
      </c>
      <c r="AQ12" s="102">
        <f>AR12-SUM(AN12:AP12)</f>
        <v>1023</v>
      </c>
      <c r="AR12" s="291">
        <v>3858</v>
      </c>
      <c r="AS12" s="288">
        <v>1142</v>
      </c>
      <c r="AT12" s="2028">
        <v>957</v>
      </c>
      <c r="AU12" s="2028">
        <v>942</v>
      </c>
      <c r="AV12" s="102">
        <f>AW12-SUM(AS12:AU12)</f>
        <v>1191</v>
      </c>
      <c r="AW12" s="291">
        <v>4232</v>
      </c>
      <c r="AX12" s="104">
        <f>Distribution!AX12+Transmission!AX10+Competitive!AX12+Parent!AX12</f>
        <v>885.10500000000002</v>
      </c>
      <c r="AY12" s="77">
        <f>Distribution!AY12+Transmission!AY10+Competitive!AY12+Parent!AY12</f>
        <v>914.17499999999995</v>
      </c>
      <c r="AZ12" s="77">
        <f>Distribution!AZ12+Transmission!AZ10+Competitive!AZ12+Parent!AZ12</f>
        <v>925.16499999999996</v>
      </c>
      <c r="BA12" s="102">
        <f>Distribution!BA12+Transmission!BA10+Competitive!BA12+Parent!BA12</f>
        <v>958.40499999999997</v>
      </c>
      <c r="BB12" s="96">
        <f>SUM(AX12:BA12)</f>
        <v>3682.8499999999995</v>
      </c>
      <c r="BC12" s="104">
        <f>Distribution!BC12+Transmission!BC10+Competitive!BC12+Parent!BC12</f>
        <v>880.53109999999992</v>
      </c>
      <c r="BD12" s="77">
        <f>Distribution!BD12+Transmission!BD10+Competitive!BD12+Parent!BD12</f>
        <v>909.67179999999996</v>
      </c>
      <c r="BE12" s="77">
        <f>Distribution!BE12+Transmission!BE10+Competitive!BE12+Parent!BE12</f>
        <v>920.65170000000001</v>
      </c>
      <c r="BF12" s="102">
        <f>Distribution!BF12+Transmission!BF10+Competitive!BF12+Parent!BF12</f>
        <v>954.13409999999999</v>
      </c>
      <c r="BG12" s="96">
        <f>SUM(BC12:BF12)</f>
        <v>3664.9886999999999</v>
      </c>
      <c r="BH12" s="104">
        <f>Distribution!BH12+Transmission!BH10+Competitive!BH12+Parent!BH12</f>
        <v>887.27396099999999</v>
      </c>
      <c r="BI12" s="77">
        <f>Distribution!BI12+Transmission!BI10+Competitive!BI12+Parent!BI12</f>
        <v>916.48606799999993</v>
      </c>
      <c r="BJ12" s="77">
        <f>Distribution!BJ12+Transmission!BJ10+Competitive!BJ12+Parent!BJ12</f>
        <v>927.45576700000004</v>
      </c>
      <c r="BK12" s="102">
        <f>Distribution!BK12+Transmission!BK10+Competitive!BK12+Parent!BK12</f>
        <v>961.18299100000002</v>
      </c>
      <c r="BL12" s="96">
        <f>SUM(BH12:BK12)</f>
        <v>3692.3987870000001</v>
      </c>
      <c r="BM12" s="104">
        <f>Distribution!BM12+Transmission!BM10+Competitive!BM12+Parent!BM12</f>
        <v>894.08425060999991</v>
      </c>
      <c r="BN12" s="77">
        <f>Distribution!BN12+Transmission!BN10+Competitive!BN12+Parent!BN12</f>
        <v>923.36847867999995</v>
      </c>
      <c r="BO12" s="77">
        <f>Distribution!BO12+Transmission!BO10+Competitive!BO12+Parent!BO12</f>
        <v>934.32787467000003</v>
      </c>
      <c r="BP12" s="102">
        <f>Distribution!BP12+Transmission!BP10+Competitive!BP12+Parent!BP12</f>
        <v>968.30237091000004</v>
      </c>
      <c r="BQ12" s="96">
        <f>SUM(BM12:BP12)</f>
        <v>3720.0829748699998</v>
      </c>
      <c r="BT12"/>
      <c r="BU12"/>
      <c r="BV12"/>
      <c r="BW12"/>
      <c r="BX12"/>
      <c r="BY12"/>
    </row>
    <row r="13" spans="1:94" s="23" customFormat="1">
      <c r="A13" s="261"/>
      <c r="B13" s="261"/>
      <c r="C13" s="258" t="s">
        <v>873</v>
      </c>
      <c r="D13" s="262"/>
      <c r="E13" s="288">
        <v>177</v>
      </c>
      <c r="F13" s="289">
        <v>185</v>
      </c>
      <c r="G13" s="289">
        <v>188</v>
      </c>
      <c r="H13" s="290">
        <f>+I13-G13-F13-E13</f>
        <v>207</v>
      </c>
      <c r="I13" s="291">
        <f>736+21</f>
        <v>757</v>
      </c>
      <c r="J13" s="288">
        <v>193</v>
      </c>
      <c r="K13" s="289">
        <v>190</v>
      </c>
      <c r="L13" s="289">
        <v>182</v>
      </c>
      <c r="M13" s="290">
        <f>+N13-L13-K13-J13</f>
        <v>203</v>
      </c>
      <c r="N13" s="291">
        <f>746+22</f>
        <v>768</v>
      </c>
      <c r="O13" s="288">
        <f>512-P13</f>
        <v>225</v>
      </c>
      <c r="P13" s="289">
        <v>287</v>
      </c>
      <c r="Q13" s="289">
        <v>297</v>
      </c>
      <c r="R13" s="102">
        <f>S13-SUM(O13:Q13)</f>
        <v>257</v>
      </c>
      <c r="S13" s="291">
        <v>1066</v>
      </c>
      <c r="T13" s="288">
        <v>279</v>
      </c>
      <c r="U13" s="289">
        <v>292</v>
      </c>
      <c r="V13" s="289">
        <v>282</v>
      </c>
      <c r="W13" s="102">
        <f>X13-SUM(T13:V13)</f>
        <v>271</v>
      </c>
      <c r="X13" s="291">
        <v>1124</v>
      </c>
      <c r="Y13" s="288">
        <v>294</v>
      </c>
      <c r="Z13" s="302">
        <v>302</v>
      </c>
      <c r="AA13" s="302">
        <v>316</v>
      </c>
      <c r="AB13" s="102">
        <f>AC13-SUM(Y13:AA13)</f>
        <v>290</v>
      </c>
      <c r="AC13" s="291">
        <v>1202</v>
      </c>
      <c r="AD13" s="288">
        <v>294</v>
      </c>
      <c r="AE13" s="302">
        <v>302</v>
      </c>
      <c r="AF13" s="302">
        <v>308</v>
      </c>
      <c r="AG13" s="102">
        <f>AH13-SUM(AD13:AF13)</f>
        <v>316</v>
      </c>
      <c r="AH13" s="291">
        <v>1220</v>
      </c>
      <c r="AI13" s="288">
        <v>319</v>
      </c>
      <c r="AJ13" s="302">
        <v>322</v>
      </c>
      <c r="AK13" s="302">
        <v>328</v>
      </c>
      <c r="AL13" s="102">
        <f>AM13-SUM(AI13:AK13)</f>
        <v>313</v>
      </c>
      <c r="AM13" s="291">
        <v>1282</v>
      </c>
      <c r="AN13" s="288">
        <v>329</v>
      </c>
      <c r="AO13" s="2028">
        <v>334</v>
      </c>
      <c r="AP13" s="2028">
        <v>311</v>
      </c>
      <c r="AQ13" s="102">
        <f>AR13-SUM(AN13:AP13)</f>
        <v>339</v>
      </c>
      <c r="AR13" s="291">
        <v>1313</v>
      </c>
      <c r="AS13" s="288">
        <v>275</v>
      </c>
      <c r="AT13" s="2028">
        <v>281</v>
      </c>
      <c r="AU13" s="2028">
        <v>289</v>
      </c>
      <c r="AV13" s="102">
        <f>AW13-SUM(AS13:AU13)</f>
        <v>293</v>
      </c>
      <c r="AW13" s="291">
        <v>1138</v>
      </c>
      <c r="AX13" s="104">
        <f>Distribution!AX13+Transmission!AX11+Competitive!AX13+Parent!AX13</f>
        <v>285.02045833333335</v>
      </c>
      <c r="AY13" s="77">
        <f>Distribution!AY13+Transmission!AY11+Competitive!AY13+Parent!AY13</f>
        <v>291.42373366666669</v>
      </c>
      <c r="AZ13" s="77">
        <f>Distribution!AZ13+Transmission!AZ11+Competitive!AZ13+Parent!AZ13</f>
        <v>294.79719698349999</v>
      </c>
      <c r="BA13" s="102">
        <f>Distribution!BA13+Transmission!BA11+Competitive!BA13+Parent!BA13</f>
        <v>301.14157867823758</v>
      </c>
      <c r="BB13" s="96">
        <f>SUM(AX13:BA13)</f>
        <v>1172.3829676617374</v>
      </c>
      <c r="BC13" s="104">
        <f>Distribution!BC13+Transmission!BC11+Competitive!BC13+Parent!BC13</f>
        <v>306.45759125062074</v>
      </c>
      <c r="BD13" s="77">
        <f>Distribution!BD13+Transmission!BD11+Competitive!BD13+Parent!BD13</f>
        <v>312.74592974414719</v>
      </c>
      <c r="BE13" s="77">
        <f>Distribution!BE13+Transmission!BE11+Competitive!BE13+Parent!BE13</f>
        <v>316.00727217374896</v>
      </c>
      <c r="BF13" s="102">
        <f>Distribution!BF13+Transmission!BF11+Competitive!BF13+Parent!BF13</f>
        <v>322.24227994299213</v>
      </c>
      <c r="BG13" s="96">
        <f>SUM(BC13:BF13)</f>
        <v>1257.453073111509</v>
      </c>
      <c r="BH13" s="104">
        <f>Distribution!BH13+Transmission!BH11+Competitive!BH13+Parent!BH13</f>
        <v>327.45159825105549</v>
      </c>
      <c r="BI13" s="77">
        <f>Distribution!BI13+Transmission!BI11+Competitive!BI13+Parent!BI13</f>
        <v>333.63585648973793</v>
      </c>
      <c r="BJ13" s="77">
        <f>Distribution!BJ13+Transmission!BJ11+Competitive!BJ13+Parent!BJ13</f>
        <v>336.79566863073933</v>
      </c>
      <c r="BK13" s="102">
        <f>Distribution!BK13+Transmission!BK11+Competitive!BK13+Parent!BK13</f>
        <v>342.93163360345289</v>
      </c>
      <c r="BL13" s="96">
        <f>SUM(BH13:BK13)</f>
        <v>1340.8147569749856</v>
      </c>
      <c r="BM13" s="104">
        <f>Distribution!BM13+Transmission!BM11+Competitive!BM13+Parent!BM13</f>
        <v>348.04433566350161</v>
      </c>
      <c r="BN13" s="77">
        <f>Distribution!BN13+Transmission!BN11+Competitive!BN13+Parent!BN13</f>
        <v>354.13434475224585</v>
      </c>
      <c r="BO13" s="77">
        <f>Distribution!BO13+Transmission!BO11+Competitive!BO13+Parent!BO13</f>
        <v>357.20221684748248</v>
      </c>
      <c r="BP13" s="102">
        <f>Distribution!BP13+Transmission!BP11+Competitive!BP13+Parent!BP13</f>
        <v>363.24849430555253</v>
      </c>
      <c r="BQ13" s="96">
        <f>SUM(BM13:BP13)</f>
        <v>1422.6293915687825</v>
      </c>
      <c r="BT13"/>
      <c r="BU13"/>
      <c r="BV13"/>
      <c r="BW13"/>
      <c r="BX13"/>
      <c r="BY13"/>
    </row>
    <row r="14" spans="1:94" s="23" customFormat="1">
      <c r="A14" s="261"/>
      <c r="B14" s="261"/>
      <c r="C14" s="258" t="s">
        <v>276</v>
      </c>
      <c r="D14" s="262"/>
      <c r="E14" s="288">
        <f>411-93</f>
        <v>318</v>
      </c>
      <c r="F14" s="289">
        <f>233-45</f>
        <v>188</v>
      </c>
      <c r="G14" s="289">
        <v>261</v>
      </c>
      <c r="H14" s="290">
        <f>+I14-G14-F14-E14</f>
        <v>252</v>
      </c>
      <c r="I14" s="291">
        <f>1155-136</f>
        <v>1019</v>
      </c>
      <c r="J14" s="288">
        <v>212</v>
      </c>
      <c r="K14" s="289">
        <v>161</v>
      </c>
      <c r="L14" s="289">
        <v>176</v>
      </c>
      <c r="M14" s="290">
        <f>+N14-L14-K14-J14</f>
        <v>173</v>
      </c>
      <c r="N14" s="291">
        <v>722</v>
      </c>
      <c r="O14" s="288">
        <f>222-P14</f>
        <v>132</v>
      </c>
      <c r="P14" s="289">
        <v>90</v>
      </c>
      <c r="Q14" s="289">
        <v>122</v>
      </c>
      <c r="R14" s="102">
        <f>S14-SUM(O14:Q14)</f>
        <v>130</v>
      </c>
      <c r="S14" s="291">
        <v>474</v>
      </c>
      <c r="T14" s="288">
        <v>75</v>
      </c>
      <c r="U14" s="289">
        <v>62</v>
      </c>
      <c r="V14" s="289">
        <v>61</v>
      </c>
      <c r="W14" s="102">
        <f>X14-SUM(T14:V14)</f>
        <v>109</v>
      </c>
      <c r="X14" s="291">
        <v>307</v>
      </c>
      <c r="Y14" s="288">
        <v>59</v>
      </c>
      <c r="Z14" s="302">
        <v>72</v>
      </c>
      <c r="AA14" s="302">
        <f>312-254</f>
        <v>58</v>
      </c>
      <c r="AB14" s="102">
        <f>AC14-SUM(Y14:AA14)</f>
        <v>350</v>
      </c>
      <c r="AC14" s="291">
        <v>539</v>
      </c>
      <c r="AD14" s="288">
        <v>-28</v>
      </c>
      <c r="AE14" s="302">
        <v>20</v>
      </c>
      <c r="AF14" s="302">
        <v>35</v>
      </c>
      <c r="AG14" s="102">
        <f>AH14-SUM(AD14:AF14)</f>
        <v>-15</v>
      </c>
      <c r="AH14" s="291">
        <v>12</v>
      </c>
      <c r="AI14" s="288">
        <v>32</v>
      </c>
      <c r="AJ14" s="302">
        <v>59</v>
      </c>
      <c r="AK14" s="302">
        <v>110</v>
      </c>
      <c r="AL14" s="102">
        <f>AM14-SUM(AI14:AK14)</f>
        <v>67</v>
      </c>
      <c r="AM14" s="291">
        <v>268</v>
      </c>
      <c r="AN14" s="288">
        <v>61</v>
      </c>
      <c r="AO14" s="2028">
        <v>63</v>
      </c>
      <c r="AP14" s="2028">
        <v>98</v>
      </c>
      <c r="AQ14" s="102">
        <f>AR14-SUM(AN14:AP14)</f>
        <v>98</v>
      </c>
      <c r="AR14" s="291">
        <v>320</v>
      </c>
      <c r="AS14" s="288">
        <v>59</v>
      </c>
      <c r="AT14" s="2028">
        <v>65</v>
      </c>
      <c r="AU14" s="2028">
        <v>91</v>
      </c>
      <c r="AV14" s="102">
        <f>AW14-SUM(AS14:AU14)</f>
        <v>93</v>
      </c>
      <c r="AW14" s="291">
        <v>308</v>
      </c>
      <c r="AX14" s="104">
        <f>Distribution!AX14+Transmission!AX12+Parent!AX14</f>
        <v>19.5</v>
      </c>
      <c r="AY14" s="77">
        <f>Distribution!AY14+Transmission!AY12+Parent!AY14</f>
        <v>20.5</v>
      </c>
      <c r="AZ14" s="77">
        <f>Distribution!AZ14+Transmission!AZ12+Parent!AZ14</f>
        <v>23.5</v>
      </c>
      <c r="BA14" s="102">
        <f>Distribution!BA14+Transmission!BA12+Parent!BA14</f>
        <v>22.5</v>
      </c>
      <c r="BB14" s="96">
        <f>SUM(AX14:BA14)</f>
        <v>86</v>
      </c>
      <c r="BC14" s="104">
        <f>Distribution!BC14+Transmission!BC12+Parent!BC14</f>
        <v>19.5</v>
      </c>
      <c r="BD14" s="77">
        <f>Distribution!BD14+Transmission!BD12+Parent!BD14</f>
        <v>20.5</v>
      </c>
      <c r="BE14" s="77">
        <f>Distribution!BE14+Transmission!BE12+Parent!BE14</f>
        <v>23.5</v>
      </c>
      <c r="BF14" s="102">
        <f>Distribution!BF14+Transmission!BF12+Parent!BF14</f>
        <v>22.5</v>
      </c>
      <c r="BG14" s="96">
        <f>SUM(BC14:BF14)</f>
        <v>86</v>
      </c>
      <c r="BH14" s="104">
        <f>Distribution!BH14+Transmission!BH12+Parent!BH14</f>
        <v>19.5</v>
      </c>
      <c r="BI14" s="77">
        <f>Distribution!BI14+Transmission!BI12+Parent!BI14</f>
        <v>20.5</v>
      </c>
      <c r="BJ14" s="77">
        <f>Distribution!BJ14+Transmission!BJ12+Parent!BJ14</f>
        <v>23.5</v>
      </c>
      <c r="BK14" s="102">
        <f>Distribution!BK14+Transmission!BK12+Parent!BK14</f>
        <v>22.5</v>
      </c>
      <c r="BL14" s="96">
        <f>SUM(BH14:BK14)</f>
        <v>86</v>
      </c>
      <c r="BM14" s="104">
        <f>Distribution!BM14+Transmission!BM12+Parent!BM14</f>
        <v>19.5</v>
      </c>
      <c r="BN14" s="77">
        <f>Distribution!BN14+Transmission!BN12+Parent!BN14</f>
        <v>20.5</v>
      </c>
      <c r="BO14" s="77">
        <f>Distribution!BO14+Transmission!BO12+Parent!BO14</f>
        <v>23.5</v>
      </c>
      <c r="BP14" s="102">
        <f>Distribution!BP14+Transmission!BP12+Parent!BP14</f>
        <v>22.5</v>
      </c>
      <c r="BQ14" s="96">
        <f>SUM(BM14:BP14)</f>
        <v>86</v>
      </c>
      <c r="BT14"/>
      <c r="BU14"/>
      <c r="BV14"/>
      <c r="BW14"/>
      <c r="BX14"/>
      <c r="BY14"/>
    </row>
    <row r="15" spans="1:94" s="23" customFormat="1">
      <c r="A15" s="263"/>
      <c r="B15" s="263"/>
      <c r="C15" s="258" t="s">
        <v>194</v>
      </c>
      <c r="D15" s="263"/>
      <c r="E15" s="288">
        <v>211</v>
      </c>
      <c r="F15" s="289">
        <v>184</v>
      </c>
      <c r="G15" s="289">
        <v>192</v>
      </c>
      <c r="H15" s="290">
        <f>+I15-G15-F15-E15</f>
        <v>166</v>
      </c>
      <c r="I15" s="291">
        <v>753</v>
      </c>
      <c r="J15" s="288">
        <v>205</v>
      </c>
      <c r="K15" s="289">
        <v>176</v>
      </c>
      <c r="L15" s="289">
        <v>206</v>
      </c>
      <c r="M15" s="290">
        <f>+N15-L15-K15-J15</f>
        <v>189</v>
      </c>
      <c r="N15" s="291">
        <v>776</v>
      </c>
      <c r="O15" s="288">
        <f>479-P15</f>
        <v>237</v>
      </c>
      <c r="P15" s="289">
        <v>242</v>
      </c>
      <c r="Q15" s="289">
        <v>269</v>
      </c>
      <c r="R15" s="105">
        <f>S15-SUM(O15:Q15)</f>
        <v>230</v>
      </c>
      <c r="S15" s="291">
        <v>978</v>
      </c>
      <c r="T15" s="288">
        <v>272</v>
      </c>
      <c r="U15" s="289">
        <v>232</v>
      </c>
      <c r="V15" s="289">
        <v>257</v>
      </c>
      <c r="W15" s="105">
        <f>X15-SUM(T15:V15)</f>
        <v>224</v>
      </c>
      <c r="X15" s="291">
        <v>985</v>
      </c>
      <c r="Y15" s="288">
        <v>265</v>
      </c>
      <c r="Z15" s="302">
        <v>241</v>
      </c>
      <c r="AA15" s="302">
        <v>242</v>
      </c>
      <c r="AB15" s="105">
        <f>AC15-SUM(Y15:AA15)</f>
        <v>230</v>
      </c>
      <c r="AC15" s="291">
        <v>978</v>
      </c>
      <c r="AD15" s="288">
        <v>271</v>
      </c>
      <c r="AE15" s="302">
        <v>228</v>
      </c>
      <c r="AF15" s="302">
        <v>239</v>
      </c>
      <c r="AG15" s="105">
        <f>AH15-SUM(AD15:AF15)</f>
        <v>224</v>
      </c>
      <c r="AH15" s="291">
        <v>962</v>
      </c>
      <c r="AI15" s="288">
        <v>269</v>
      </c>
      <c r="AJ15" s="302">
        <v>242</v>
      </c>
      <c r="AK15" s="302">
        <v>236</v>
      </c>
      <c r="AL15" s="105">
        <f>AM15-SUM(AI15:AK15)</f>
        <v>231</v>
      </c>
      <c r="AM15" s="291">
        <v>978</v>
      </c>
      <c r="AN15" s="288">
        <v>280</v>
      </c>
      <c r="AO15" s="2028">
        <v>241</v>
      </c>
      <c r="AP15" s="2028">
        <v>265</v>
      </c>
      <c r="AQ15" s="105">
        <f>AR15-SUM(AN15:AP15)</f>
        <v>256</v>
      </c>
      <c r="AR15" s="291">
        <v>1042</v>
      </c>
      <c r="AS15" s="288">
        <v>271</v>
      </c>
      <c r="AT15" s="2028">
        <v>253</v>
      </c>
      <c r="AU15" s="2028">
        <v>253</v>
      </c>
      <c r="AV15" s="105">
        <f>AW15-SUM(AS15:AU15)</f>
        <v>266</v>
      </c>
      <c r="AW15" s="291">
        <v>1043</v>
      </c>
      <c r="AX15" s="114">
        <f>Distribution!AX15+Transmission!AX13+Competitive!AX14+Parent!AX15</f>
        <v>273.98</v>
      </c>
      <c r="AY15" s="115">
        <f>Distribution!AY15+Transmission!AY13+Competitive!AY14+Parent!AY15</f>
        <v>255.88000000000002</v>
      </c>
      <c r="AZ15" s="115">
        <f>Distribution!AZ15+Transmission!AZ13+Competitive!AZ14+Parent!AZ15</f>
        <v>255.91000000000003</v>
      </c>
      <c r="BA15" s="105">
        <f>Distribution!BA15+Transmission!BA13+Competitive!BA14+Parent!BA15</f>
        <v>268.95000000000005</v>
      </c>
      <c r="BB15" s="96">
        <f>SUM(AX15:BA15)</f>
        <v>1054.72</v>
      </c>
      <c r="BC15" s="114">
        <f>Distribution!BC15+Transmission!BC13+Competitive!BC14+Parent!BC15</f>
        <v>276.9982</v>
      </c>
      <c r="BD15" s="115">
        <f>Distribution!BD15+Transmission!BD13+Competitive!BD14+Parent!BD15</f>
        <v>258.79740000000004</v>
      </c>
      <c r="BE15" s="115">
        <f>Distribution!BE15+Transmission!BE13+Competitive!BE14+Parent!BE15</f>
        <v>258.85810000000004</v>
      </c>
      <c r="BF15" s="105">
        <f>Distribution!BF15+Transmission!BF13+Competitive!BF14+Parent!BF15</f>
        <v>271.93810000000002</v>
      </c>
      <c r="BG15" s="96">
        <f>SUM(BC15:BF15)</f>
        <v>1066.5918000000001</v>
      </c>
      <c r="BH15" s="114">
        <f>Distribution!BH15+Transmission!BH13+Competitive!BH14+Parent!BH15</f>
        <v>280.05515000000003</v>
      </c>
      <c r="BI15" s="115">
        <f>Distribution!BI15+Transmission!BI13+Competitive!BI14+Parent!BI15</f>
        <v>261.752746</v>
      </c>
      <c r="BJ15" s="115">
        <f>Distribution!BJ15+Transmission!BJ13+Competitive!BJ14+Parent!BJ15</f>
        <v>261.84486100000004</v>
      </c>
      <c r="BK15" s="105">
        <f>Distribution!BK15+Transmission!BK13+Competitive!BK14+Parent!BK15</f>
        <v>274.96485300000001</v>
      </c>
      <c r="BL15" s="96">
        <f>SUM(BH15:BK15)</f>
        <v>1078.61761</v>
      </c>
      <c r="BM15" s="114">
        <f>Distribution!BM15+Transmission!BM13+Competitive!BM14+Parent!BM15</f>
        <v>283.15140886</v>
      </c>
      <c r="BN15" s="115">
        <f>Distribution!BN15+Transmission!BN13+Competitive!BN14+Parent!BN15</f>
        <v>264.74659290000005</v>
      </c>
      <c r="BO15" s="115">
        <f>Distribution!BO15+Transmission!BO13+Competitive!BO14+Parent!BO15</f>
        <v>264.87085321000001</v>
      </c>
      <c r="BP15" s="105">
        <f>Distribution!BP15+Transmission!BP13+Competitive!BP14+Parent!BP15</f>
        <v>278.03082097000004</v>
      </c>
      <c r="BQ15" s="96">
        <f>SUM(BM15:BP15)</f>
        <v>1090.7996759400003</v>
      </c>
      <c r="BR15" s="263"/>
      <c r="BS15" s="263"/>
      <c r="BT15"/>
      <c r="BU15"/>
      <c r="BV15"/>
      <c r="BW15"/>
      <c r="BX15"/>
      <c r="BY15"/>
      <c r="BZ15" s="263"/>
      <c r="CA15" s="263"/>
      <c r="CB15" s="263"/>
      <c r="CC15" s="263"/>
      <c r="CD15" s="263"/>
      <c r="CE15" s="263"/>
      <c r="CF15" s="263"/>
      <c r="CG15" s="263"/>
      <c r="CH15" s="263"/>
      <c r="CI15" s="263"/>
      <c r="CJ15" s="263"/>
      <c r="CK15" s="263"/>
      <c r="CL15" s="263"/>
      <c r="CM15" s="263"/>
      <c r="CN15" s="263"/>
      <c r="CO15" s="263"/>
      <c r="CP15" s="263"/>
    </row>
    <row r="16" spans="1:94" s="23" customFormat="1">
      <c r="A16" s="261"/>
      <c r="B16" s="261"/>
      <c r="C16" s="242" t="s">
        <v>195</v>
      </c>
      <c r="D16" s="262"/>
      <c r="E16" s="106">
        <f t="shared" ref="E16:O16" si="6">SUM(E9:E9,E12:E15)</f>
        <v>2988</v>
      </c>
      <c r="F16" s="76">
        <f t="shared" si="6"/>
        <v>2469</v>
      </c>
      <c r="G16" s="76">
        <f t="shared" si="6"/>
        <v>2921</v>
      </c>
      <c r="H16" s="107">
        <f t="shared" si="6"/>
        <v>2585</v>
      </c>
      <c r="I16" s="93">
        <f t="shared" si="6"/>
        <v>10963</v>
      </c>
      <c r="J16" s="106">
        <f t="shared" si="6"/>
        <v>2883</v>
      </c>
      <c r="K16" s="76">
        <f t="shared" si="6"/>
        <v>2613</v>
      </c>
      <c r="L16" s="76">
        <f t="shared" si="6"/>
        <v>3021</v>
      </c>
      <c r="M16" s="107">
        <f t="shared" si="6"/>
        <v>2501</v>
      </c>
      <c r="N16" s="93">
        <f t="shared" si="6"/>
        <v>11018</v>
      </c>
      <c r="O16" s="106">
        <f t="shared" si="6"/>
        <v>3226</v>
      </c>
      <c r="P16" s="76">
        <f t="shared" ref="P16:AT16" si="7">SUM(P9:P9,P12:P15)</f>
        <v>3539</v>
      </c>
      <c r="Q16" s="76">
        <f t="shared" si="7"/>
        <v>3662</v>
      </c>
      <c r="R16" s="107">
        <f t="shared" si="7"/>
        <v>3247</v>
      </c>
      <c r="S16" s="93">
        <f t="shared" si="7"/>
        <v>13674</v>
      </c>
      <c r="T16" s="106">
        <f t="shared" si="7"/>
        <v>3244</v>
      </c>
      <c r="U16" s="76">
        <f t="shared" si="7"/>
        <v>3312</v>
      </c>
      <c r="V16" s="76">
        <f t="shared" si="7"/>
        <v>3404</v>
      </c>
      <c r="W16" s="107">
        <f t="shared" si="7"/>
        <v>2933</v>
      </c>
      <c r="X16" s="93">
        <f t="shared" si="7"/>
        <v>12893</v>
      </c>
      <c r="Y16" s="106">
        <f t="shared" si="7"/>
        <v>3075</v>
      </c>
      <c r="Z16" s="76">
        <f t="shared" si="7"/>
        <v>2992</v>
      </c>
      <c r="AA16" s="76">
        <f t="shared" si="7"/>
        <v>3270</v>
      </c>
      <c r="AB16" s="107">
        <f>SUM(AB9:AB9,AB12:AB15)</f>
        <v>3434</v>
      </c>
      <c r="AC16" s="93">
        <f>SUM(AC9:AC9,AC12:AC15)</f>
        <v>12771</v>
      </c>
      <c r="AD16" s="106">
        <f t="shared" si="7"/>
        <v>3791</v>
      </c>
      <c r="AE16" s="76">
        <f t="shared" si="7"/>
        <v>3204</v>
      </c>
      <c r="AF16" s="76">
        <f t="shared" si="7"/>
        <v>3172</v>
      </c>
      <c r="AG16" s="107">
        <f>SUM(AG9:AG9,AG12:AG15)</f>
        <v>2985</v>
      </c>
      <c r="AH16" s="93">
        <f>SUM(AH9:AH9,AH12:AH15)</f>
        <v>13152</v>
      </c>
      <c r="AI16" s="106">
        <f>SUM(AI9:AI9,AI12:AI15)</f>
        <v>3303</v>
      </c>
      <c r="AJ16" s="76">
        <f>SUM(AJ9:AJ9,AJ12:AJ15)</f>
        <v>2911</v>
      </c>
      <c r="AK16" s="76">
        <f t="shared" ref="AK16" si="8">SUM(AK9:AK9,AK12:AK15)</f>
        <v>3215</v>
      </c>
      <c r="AL16" s="107">
        <f t="shared" ref="AL16:AQ16" si="9">SUM(AL9:AL9,AL12:AL15)</f>
        <v>3021</v>
      </c>
      <c r="AM16" s="93">
        <f t="shared" si="9"/>
        <v>12450</v>
      </c>
      <c r="AN16" s="106">
        <f t="shared" si="9"/>
        <v>3093</v>
      </c>
      <c r="AO16" s="76">
        <f t="shared" si="9"/>
        <v>2929</v>
      </c>
      <c r="AP16" s="76">
        <f t="shared" si="9"/>
        <v>3056</v>
      </c>
      <c r="AQ16" s="107">
        <f t="shared" si="9"/>
        <v>2934</v>
      </c>
      <c r="AR16" s="93">
        <f t="shared" si="7"/>
        <v>12012</v>
      </c>
      <c r="AS16" s="106">
        <f t="shared" si="7"/>
        <v>2978</v>
      </c>
      <c r="AT16" s="76">
        <f t="shared" si="7"/>
        <v>2634</v>
      </c>
      <c r="AU16" s="76">
        <f t="shared" ref="AU16:BB16" si="10">SUM(AU9:AU9,AU12:AU15)</f>
        <v>2799</v>
      </c>
      <c r="AV16" s="107">
        <f t="shared" si="10"/>
        <v>2887</v>
      </c>
      <c r="AW16" s="93">
        <f t="shared" si="10"/>
        <v>11298</v>
      </c>
      <c r="AX16" s="106">
        <f t="shared" si="10"/>
        <v>2673.2135028620733</v>
      </c>
      <c r="AY16" s="76">
        <f t="shared" si="10"/>
        <v>2506.1553903501504</v>
      </c>
      <c r="AZ16" s="76">
        <f t="shared" si="10"/>
        <v>2653.722815504274</v>
      </c>
      <c r="BA16" s="107">
        <f t="shared" si="10"/>
        <v>2572.7308099892371</v>
      </c>
      <c r="BB16" s="93">
        <f t="shared" si="10"/>
        <v>10405.822518705734</v>
      </c>
      <c r="BC16" s="106">
        <f t="shared" ref="BC16:BL16" si="11">SUM(BC9:BC9,BC12:BC15)</f>
        <v>2632.5171880257831</v>
      </c>
      <c r="BD16" s="76">
        <f t="shared" si="11"/>
        <v>2416.395793880255</v>
      </c>
      <c r="BE16" s="76">
        <f t="shared" si="11"/>
        <v>2563.7122617224986</v>
      </c>
      <c r="BF16" s="107">
        <f t="shared" si="11"/>
        <v>2562.1666806400594</v>
      </c>
      <c r="BG16" s="93">
        <f t="shared" si="11"/>
        <v>10174.791924268597</v>
      </c>
      <c r="BH16" s="106">
        <f t="shared" si="11"/>
        <v>2641.6436281695078</v>
      </c>
      <c r="BI16" s="76">
        <f t="shared" si="11"/>
        <v>2428.4368895571229</v>
      </c>
      <c r="BJ16" s="76">
        <f t="shared" si="11"/>
        <v>2577.6157384560242</v>
      </c>
      <c r="BK16" s="107">
        <f t="shared" si="11"/>
        <v>2572.308219205237</v>
      </c>
      <c r="BL16" s="93">
        <f t="shared" si="11"/>
        <v>10220.00447538789</v>
      </c>
      <c r="BM16" s="106">
        <f t="shared" ref="BM16:BQ16" si="12">SUM(BM9:BM9,BM12:BM15)</f>
        <v>2597.4143280924345</v>
      </c>
      <c r="BN16" s="76">
        <f t="shared" si="12"/>
        <v>2459.1405133052731</v>
      </c>
      <c r="BO16" s="76">
        <f t="shared" si="12"/>
        <v>2602.3882856638015</v>
      </c>
      <c r="BP16" s="107">
        <f t="shared" si="12"/>
        <v>2515.3969682558227</v>
      </c>
      <c r="BQ16" s="93">
        <f t="shared" si="12"/>
        <v>10174.340095317333</v>
      </c>
      <c r="BT16"/>
      <c r="BU16"/>
      <c r="BV16"/>
      <c r="BW16"/>
      <c r="BX16"/>
      <c r="BY16"/>
    </row>
    <row r="17" spans="1:94" s="23" customFormat="1">
      <c r="A17" s="261"/>
      <c r="B17" s="261"/>
      <c r="C17" s="259"/>
      <c r="D17" s="262"/>
      <c r="E17" s="169"/>
      <c r="F17" s="167"/>
      <c r="G17" s="167"/>
      <c r="H17" s="168"/>
      <c r="I17" s="21"/>
      <c r="J17" s="169"/>
      <c r="K17" s="167"/>
      <c r="L17" s="167"/>
      <c r="M17" s="168"/>
      <c r="N17" s="21"/>
      <c r="O17" s="169"/>
      <c r="P17" s="167"/>
      <c r="Q17" s="167"/>
      <c r="R17" s="168"/>
      <c r="S17" s="21"/>
      <c r="T17" s="169"/>
      <c r="U17" s="167"/>
      <c r="V17" s="167"/>
      <c r="W17" s="168"/>
      <c r="X17" s="21"/>
      <c r="Y17" s="169"/>
      <c r="Z17" s="167"/>
      <c r="AA17" s="167"/>
      <c r="AB17" s="168"/>
      <c r="AC17" s="21"/>
      <c r="AD17" s="169"/>
      <c r="AE17" s="167"/>
      <c r="AF17" s="167"/>
      <c r="AG17" s="168"/>
      <c r="AH17" s="21"/>
      <c r="AI17" s="169"/>
      <c r="AJ17" s="167"/>
      <c r="AK17" s="167"/>
      <c r="AL17" s="168"/>
      <c r="AM17" s="21"/>
      <c r="AN17" s="169"/>
      <c r="AO17" s="167"/>
      <c r="AP17" s="167"/>
      <c r="AQ17" s="168"/>
      <c r="AR17" s="21"/>
      <c r="AS17" s="169"/>
      <c r="AT17" s="167"/>
      <c r="AU17" s="167"/>
      <c r="AV17" s="168"/>
      <c r="AW17" s="21"/>
      <c r="AX17" s="169"/>
      <c r="AY17" s="167"/>
      <c r="AZ17" s="167"/>
      <c r="BA17" s="168"/>
      <c r="BB17" s="21"/>
      <c r="BC17" s="169"/>
      <c r="BD17" s="167"/>
      <c r="BE17" s="167"/>
      <c r="BF17" s="168"/>
      <c r="BG17" s="21"/>
      <c r="BH17" s="169"/>
      <c r="BI17" s="167"/>
      <c r="BJ17" s="167"/>
      <c r="BK17" s="168"/>
      <c r="BL17" s="21"/>
      <c r="BM17" s="169"/>
      <c r="BN17" s="167"/>
      <c r="BO17" s="167"/>
      <c r="BP17" s="168"/>
      <c r="BQ17" s="21"/>
      <c r="BT17"/>
      <c r="BU17"/>
      <c r="BV17"/>
      <c r="BW17"/>
      <c r="BX17"/>
      <c r="BY17"/>
    </row>
    <row r="18" spans="1:94" s="23" customFormat="1">
      <c r="A18" s="261"/>
      <c r="B18" s="261"/>
      <c r="C18" s="264" t="s">
        <v>278</v>
      </c>
      <c r="D18" s="262"/>
      <c r="E18" s="169"/>
      <c r="F18" s="167"/>
      <c r="G18" s="167"/>
      <c r="H18" s="168"/>
      <c r="I18" s="21">
        <f>Distribution!I18</f>
        <v>1078</v>
      </c>
      <c r="J18" s="169">
        <f>Distribution!J18</f>
        <v>263</v>
      </c>
      <c r="K18" s="167">
        <f>Distribution!K18</f>
        <v>309</v>
      </c>
      <c r="L18" s="167">
        <f>Distribution!L18</f>
        <v>427</v>
      </c>
      <c r="M18" s="168">
        <f>Distribution!M18</f>
        <v>368</v>
      </c>
      <c r="N18" s="21">
        <f>Distribution!N18</f>
        <v>1367</v>
      </c>
      <c r="O18" s="169">
        <f>Distribution!O18</f>
        <v>253</v>
      </c>
      <c r="P18" s="167">
        <f>Distribution!P18</f>
        <v>380</v>
      </c>
      <c r="Q18" s="167">
        <f>Distribution!Q18</f>
        <v>549</v>
      </c>
      <c r="R18" s="168">
        <f>Distribution!R18</f>
        <v>246</v>
      </c>
      <c r="S18" s="21">
        <f>SUM(O18:R18)</f>
        <v>1428</v>
      </c>
      <c r="T18" s="169">
        <f>Distribution!T18</f>
        <v>360</v>
      </c>
      <c r="U18" s="167">
        <f>Distribution!U18</f>
        <v>368</v>
      </c>
      <c r="V18" s="167">
        <f>Distribution!V18</f>
        <v>566</v>
      </c>
      <c r="W18" s="168">
        <f>Distribution!W18</f>
        <v>7</v>
      </c>
      <c r="X18" s="21">
        <f>SUM(T18:W18)</f>
        <v>1301</v>
      </c>
      <c r="Y18" s="169">
        <f>Distribution!Y18</f>
        <v>451</v>
      </c>
      <c r="Z18" s="167">
        <f>Distribution!Z18</f>
        <v>410</v>
      </c>
      <c r="AA18" s="167">
        <f>Distribution!AA18</f>
        <v>506</v>
      </c>
      <c r="AB18" s="168">
        <f>Distribution!AB18</f>
        <v>81</v>
      </c>
      <c r="AC18" s="21">
        <f>SUM(Y18:AB18)</f>
        <v>1448</v>
      </c>
      <c r="AD18" s="169">
        <f>Distribution!AD18</f>
        <v>473</v>
      </c>
      <c r="AE18" s="167">
        <f>Distribution!AE18</f>
        <v>364</v>
      </c>
      <c r="AF18" s="167">
        <f>Distribution!AF18</f>
        <v>479</v>
      </c>
      <c r="AG18" s="168">
        <f>Distribution!AG18</f>
        <v>401</v>
      </c>
      <c r="AH18" s="21">
        <f>SUM(AD18:AG18)</f>
        <v>1717</v>
      </c>
      <c r="AI18" s="169">
        <f>Distribution!AI18</f>
        <v>453</v>
      </c>
      <c r="AJ18" s="167">
        <f>Distribution!AJ18</f>
        <v>374</v>
      </c>
      <c r="AK18" s="167">
        <f>Distribution!AK18</f>
        <v>506</v>
      </c>
      <c r="AL18" s="168">
        <f>Distribution!AL18</f>
        <v>333</v>
      </c>
      <c r="AM18" s="21">
        <f>SUM(AI18:AL18)</f>
        <v>1666</v>
      </c>
      <c r="AN18" s="169">
        <f>Distribution!AN18</f>
        <v>395</v>
      </c>
      <c r="AO18" s="167">
        <f>Distribution!AO18</f>
        <v>357</v>
      </c>
      <c r="AP18" s="167">
        <f>Distribution!AP18</f>
        <v>570</v>
      </c>
      <c r="AQ18" s="168">
        <f>Distribution!AQ18</f>
        <v>322</v>
      </c>
      <c r="AR18" s="21">
        <f>SUM(AN18:AQ18)</f>
        <v>1644</v>
      </c>
      <c r="AS18" s="169">
        <f>Distribution!AS18</f>
        <v>493</v>
      </c>
      <c r="AT18" s="167">
        <f>Distribution!AT18</f>
        <v>441</v>
      </c>
      <c r="AU18" s="167">
        <f>Distribution!AU18</f>
        <v>612</v>
      </c>
      <c r="AV18" s="168">
        <f>Distribution!AV18</f>
        <v>511</v>
      </c>
      <c r="AW18" s="21">
        <f>SUM(AS18:AV18)</f>
        <v>2057</v>
      </c>
      <c r="AX18" s="169">
        <f>Distribution!AX18</f>
        <v>497.15549969390372</v>
      </c>
      <c r="AY18" s="167">
        <f>Distribution!AY18</f>
        <v>412.41332463480853</v>
      </c>
      <c r="AZ18" s="167">
        <f>Distribution!AZ18</f>
        <v>547.29970267546105</v>
      </c>
      <c r="BA18" s="168">
        <f>Distribution!BA18</f>
        <v>459.32814465693173</v>
      </c>
      <c r="BB18" s="21">
        <f>SUM(AX18:BA18)</f>
        <v>1916.196671661105</v>
      </c>
      <c r="BC18" s="169">
        <f>Distribution!BC18</f>
        <v>505.10590509930921</v>
      </c>
      <c r="BD18" s="167">
        <f>Distribution!BD18</f>
        <v>420.43443004021401</v>
      </c>
      <c r="BE18" s="167">
        <f>Distribution!BE18</f>
        <v>555.26020808086582</v>
      </c>
      <c r="BF18" s="168">
        <f>Distribution!BF18</f>
        <v>467.08665006233696</v>
      </c>
      <c r="BG18" s="21">
        <f>SUM(BC18:BF18)</f>
        <v>1947.887193282726</v>
      </c>
      <c r="BH18" s="169">
        <f>Distribution!BH18</f>
        <v>470.65118618039037</v>
      </c>
      <c r="BI18" s="167">
        <f>Distribution!BI18</f>
        <v>386.05111812129417</v>
      </c>
      <c r="BJ18" s="167">
        <f>Distribution!BJ18</f>
        <v>520.81569016194726</v>
      </c>
      <c r="BK18" s="168">
        <f>Distribution!BK18</f>
        <v>432.43811214341849</v>
      </c>
      <c r="BL18" s="21">
        <f>SUM(BH18:BK18)</f>
        <v>1809.9561066070503</v>
      </c>
      <c r="BM18" s="169">
        <f>Distribution!BM18</f>
        <v>491.09121061282281</v>
      </c>
      <c r="BN18" s="167">
        <f>Distribution!BN18</f>
        <v>406.56326362372715</v>
      </c>
      <c r="BO18" s="167">
        <f>Distribution!BO18</f>
        <v>541.26601760437939</v>
      </c>
      <c r="BP18" s="168">
        <f>Distribution!BP18</f>
        <v>452.68237938585094</v>
      </c>
      <c r="BQ18" s="21">
        <f>SUM(BM18:BP18)</f>
        <v>1891.6028712267803</v>
      </c>
      <c r="BT18"/>
      <c r="BU18"/>
      <c r="BV18"/>
      <c r="BW18"/>
      <c r="BX18"/>
      <c r="BY18"/>
    </row>
    <row r="19" spans="1:94" s="23" customFormat="1">
      <c r="A19" s="261"/>
      <c r="B19" s="261"/>
      <c r="C19" s="264" t="s">
        <v>287</v>
      </c>
      <c r="D19" s="262"/>
      <c r="E19" s="169"/>
      <c r="F19" s="167"/>
      <c r="G19" s="167"/>
      <c r="H19" s="168"/>
      <c r="I19" s="21">
        <f>Competitive!I17</f>
        <v>899</v>
      </c>
      <c r="J19" s="169">
        <f>Competitive!J17</f>
        <v>143</v>
      </c>
      <c r="K19" s="167">
        <f>Competitive!K17</f>
        <v>216</v>
      </c>
      <c r="L19" s="167">
        <f>Competitive!L17</f>
        <v>256</v>
      </c>
      <c r="M19" s="168">
        <f>Competitive!M17</f>
        <v>304</v>
      </c>
      <c r="N19" s="21">
        <f>Competitive!N17</f>
        <v>919</v>
      </c>
      <c r="O19" s="169">
        <f>Competitive!O17</f>
        <v>72</v>
      </c>
      <c r="P19" s="167">
        <f>Competitive!P17</f>
        <v>86</v>
      </c>
      <c r="Q19" s="167">
        <f>Competitive!Q17</f>
        <v>429</v>
      </c>
      <c r="R19" s="168">
        <f>Competitive!R17</f>
        <v>175</v>
      </c>
      <c r="S19" s="21">
        <f>SUM(O19:R19)</f>
        <v>762</v>
      </c>
      <c r="T19" s="169">
        <f>Competitive!T17</f>
        <v>272</v>
      </c>
      <c r="U19" s="167">
        <f>Competitive!U17</f>
        <v>92</v>
      </c>
      <c r="V19" s="167">
        <f>Competitive!V17</f>
        <v>231</v>
      </c>
      <c r="W19" s="168">
        <f>Competitive!W17</f>
        <v>100</v>
      </c>
      <c r="X19" s="21">
        <f>SUM(T19:W19)</f>
        <v>695</v>
      </c>
      <c r="Y19" s="169">
        <f>Competitive!Y17</f>
        <v>103</v>
      </c>
      <c r="Z19" s="167">
        <f>Competitive!Z17</f>
        <v>26</v>
      </c>
      <c r="AA19" s="167">
        <f>Competitive!AA17</f>
        <v>163</v>
      </c>
      <c r="AB19" s="168">
        <f>Competitive!AB17</f>
        <v>11</v>
      </c>
      <c r="AC19" s="21">
        <f>SUM(Y19:AB19)</f>
        <v>303</v>
      </c>
      <c r="AD19" s="169">
        <f>Competitive!AD17</f>
        <v>-170</v>
      </c>
      <c r="AE19" s="167">
        <f>Competitive!AE17</f>
        <v>-166</v>
      </c>
      <c r="AF19" s="167">
        <f>Competitive!AF17</f>
        <v>134</v>
      </c>
      <c r="AG19" s="168">
        <f>Competitive!AG17</f>
        <v>-5</v>
      </c>
      <c r="AH19" s="21">
        <f>SUM(AD19:AG19)</f>
        <v>-207</v>
      </c>
      <c r="AI19" s="169">
        <f>Competitive!AI17</f>
        <v>14</v>
      </c>
      <c r="AJ19" s="167">
        <f>Competitive!AJ17</f>
        <v>26</v>
      </c>
      <c r="AK19" s="167">
        <f>Competitive!AK17</f>
        <v>287</v>
      </c>
      <c r="AL19" s="168">
        <f>Competitive!AL17</f>
        <v>75</v>
      </c>
      <c r="AM19" s="21">
        <f>SUM(AI19:AL19)</f>
        <v>402</v>
      </c>
      <c r="AN19" s="169">
        <f>Competitive!AN17</f>
        <v>250</v>
      </c>
      <c r="AO19" s="167">
        <f>Competitive!AO17</f>
        <v>-21</v>
      </c>
      <c r="AP19" s="167">
        <f>Competitive!AP17</f>
        <v>151</v>
      </c>
      <c r="AQ19" s="168">
        <f>Competitive!AQ17</f>
        <v>4</v>
      </c>
      <c r="AR19" s="21">
        <f>SUM(AN19:AQ19)</f>
        <v>384</v>
      </c>
      <c r="AS19" s="169">
        <f>Competitive!AS17</f>
        <v>-85</v>
      </c>
      <c r="AT19" s="167">
        <f>Competitive!AT17</f>
        <v>73</v>
      </c>
      <c r="AU19" s="167">
        <f>Competitive!AU17</f>
        <v>127</v>
      </c>
      <c r="AV19" s="168">
        <f>Competitive!AV17</f>
        <v>-126</v>
      </c>
      <c r="AW19" s="21">
        <f>SUM(AS19:AV19)</f>
        <v>-11</v>
      </c>
      <c r="AX19" s="169">
        <f>Competitive!AX17</f>
        <v>62.050826871893037</v>
      </c>
      <c r="AY19" s="167">
        <f>Competitive!AY17</f>
        <v>-1.6445195709070504</v>
      </c>
      <c r="AZ19" s="167">
        <f>Competitive!AZ17</f>
        <v>-7.9664036853173457</v>
      </c>
      <c r="BA19" s="168">
        <f>Competitive!BA17</f>
        <v>-25.670323073848976</v>
      </c>
      <c r="BB19" s="21">
        <f>SUM(AX19:BA19)</f>
        <v>26.769580541819664</v>
      </c>
      <c r="BC19" s="169">
        <f>Competitive!BC17</f>
        <v>-23.378672857350807</v>
      </c>
      <c r="BD19" s="167">
        <f>Competitive!BD17</f>
        <v>-39.417576798698065</v>
      </c>
      <c r="BE19" s="167">
        <f>Competitive!BE17</f>
        <v>-42.321672568475265</v>
      </c>
      <c r="BF19" s="168">
        <f>Competitive!BF17</f>
        <v>-70.253841251710469</v>
      </c>
      <c r="BG19" s="21">
        <f>SUM(BC19:BF19)</f>
        <v>-175.37176347623461</v>
      </c>
      <c r="BH19" s="169">
        <f>Competitive!BH17</f>
        <v>-46.413231051765933</v>
      </c>
      <c r="BI19" s="167">
        <f>Competitive!BI17</f>
        <v>-59.870265199055439</v>
      </c>
      <c r="BJ19" s="167">
        <f>Competitive!BJ17</f>
        <v>-54.269641639451436</v>
      </c>
      <c r="BK19" s="168">
        <f>Competitive!BK17</f>
        <v>-79.422777624315131</v>
      </c>
      <c r="BL19" s="21">
        <f>SUM(BH19:BK19)</f>
        <v>-239.97591551458794</v>
      </c>
      <c r="BM19" s="169">
        <f>Competitive!BM17</f>
        <v>-3.8768317962986885</v>
      </c>
      <c r="BN19" s="167">
        <f>Competitive!BN17</f>
        <v>-39.917354386059287</v>
      </c>
      <c r="BO19" s="167">
        <f>Competitive!BO17</f>
        <v>-29.266274584708867</v>
      </c>
      <c r="BP19" s="168">
        <f>Competitive!BP17</f>
        <v>-7.8525668469909533</v>
      </c>
      <c r="BQ19" s="21">
        <f>SUM(BM19:BP19)</f>
        <v>-80.913027614057796</v>
      </c>
      <c r="BT19"/>
      <c r="BU19"/>
      <c r="BV19"/>
      <c r="BW19"/>
      <c r="BX19"/>
      <c r="BY19"/>
    </row>
    <row r="20" spans="1:94" s="23" customFormat="1">
      <c r="A20" s="261"/>
      <c r="B20" s="261"/>
      <c r="C20" s="264" t="s">
        <v>279</v>
      </c>
      <c r="D20" s="262"/>
      <c r="E20" s="169"/>
      <c r="F20" s="167"/>
      <c r="G20" s="167"/>
      <c r="H20" s="168"/>
      <c r="I20" s="21">
        <f>Transmission!I16</f>
        <v>85</v>
      </c>
      <c r="J20" s="169">
        <f>Transmission!J16</f>
        <v>24</v>
      </c>
      <c r="K20" s="167">
        <f>Transmission!K16</f>
        <v>23</v>
      </c>
      <c r="L20" s="167">
        <f>Transmission!L16</f>
        <v>41</v>
      </c>
      <c r="M20" s="168">
        <f>Transmission!M16</f>
        <v>16</v>
      </c>
      <c r="N20" s="21">
        <f>Transmission!N16</f>
        <v>104</v>
      </c>
      <c r="O20" s="169">
        <f>Transmission!O16</f>
        <v>54</v>
      </c>
      <c r="P20" s="167">
        <f>Transmission!P16</f>
        <v>114</v>
      </c>
      <c r="Q20" s="167">
        <f>Transmission!Q16</f>
        <v>111</v>
      </c>
      <c r="R20" s="168">
        <f>Transmission!R16</f>
        <v>118</v>
      </c>
      <c r="S20" s="21">
        <f>SUM(O20:R20)</f>
        <v>397</v>
      </c>
      <c r="T20" s="169">
        <f>Transmission!T16</f>
        <v>117</v>
      </c>
      <c r="U20" s="167">
        <f>Transmission!U16</f>
        <v>105</v>
      </c>
      <c r="V20" s="167">
        <f>Transmission!V16</f>
        <v>116</v>
      </c>
      <c r="W20" s="168">
        <f>Transmission!W16</f>
        <v>106</v>
      </c>
      <c r="X20" s="21">
        <f>SUM(T20:W20)</f>
        <v>444</v>
      </c>
      <c r="Y20" s="169">
        <f>Transmission!Y16</f>
        <v>105</v>
      </c>
      <c r="Z20" s="167">
        <f>Transmission!Z16</f>
        <v>102</v>
      </c>
      <c r="AA20" s="167">
        <f>Transmission!AA16</f>
        <v>109</v>
      </c>
      <c r="AB20" s="168">
        <f>Transmission!AB16</f>
        <v>116</v>
      </c>
      <c r="AC20" s="21">
        <f>SUM(Y20:AB20)</f>
        <v>432</v>
      </c>
      <c r="AD20" s="169">
        <f>Transmission!AD16</f>
        <v>103</v>
      </c>
      <c r="AE20" s="167">
        <f>Transmission!AE16</f>
        <v>109</v>
      </c>
      <c r="AF20" s="167">
        <f>Transmission!AF16</f>
        <v>106</v>
      </c>
      <c r="AG20" s="168">
        <f>Transmission!AG16</f>
        <v>104</v>
      </c>
      <c r="AH20" s="21">
        <f>SUM(AD20:AG20)</f>
        <v>422</v>
      </c>
      <c r="AI20" s="169">
        <f>Transmission!AI16</f>
        <v>139</v>
      </c>
      <c r="AJ20" s="167">
        <f>Transmission!AJ16</f>
        <v>168</v>
      </c>
      <c r="AK20" s="167">
        <f>Transmission!AK16</f>
        <v>142</v>
      </c>
      <c r="AL20" s="168">
        <f>Transmission!AL16</f>
        <v>143</v>
      </c>
      <c r="AM20" s="21">
        <f>SUM(AI20:AL20)</f>
        <v>592</v>
      </c>
      <c r="AN20" s="169">
        <f>Transmission!AN16</f>
        <v>153</v>
      </c>
      <c r="AO20" s="167">
        <f>Transmission!AO16</f>
        <v>146</v>
      </c>
      <c r="AP20" s="167">
        <f>Transmission!AP16</f>
        <v>157</v>
      </c>
      <c r="AQ20" s="168">
        <f>Transmission!AQ16</f>
        <v>187</v>
      </c>
      <c r="AR20" s="21">
        <f>SUM(AN20:AQ20)</f>
        <v>643</v>
      </c>
      <c r="AS20" s="169">
        <f>Transmission!AS16</f>
        <v>173</v>
      </c>
      <c r="AT20" s="167">
        <f>Transmission!AT16</f>
        <v>177</v>
      </c>
      <c r="AU20" s="167">
        <f>Transmission!AU16</f>
        <v>177</v>
      </c>
      <c r="AV20" s="168">
        <f>Transmission!AV16</f>
        <v>182</v>
      </c>
      <c r="AW20" s="21">
        <f>SUM(AS20:AV20)</f>
        <v>709</v>
      </c>
      <c r="AX20" s="169">
        <f>Transmission!AX16</f>
        <v>165.51549744617543</v>
      </c>
      <c r="AY20" s="167">
        <f>Transmission!AY16</f>
        <v>169.89111950200379</v>
      </c>
      <c r="AZ20" s="167">
        <f>Transmission!AZ16</f>
        <v>172.73475148523531</v>
      </c>
      <c r="BA20" s="168">
        <f>Transmission!BA16</f>
        <v>176.21585285532939</v>
      </c>
      <c r="BB20" s="21">
        <f>SUM(AX20:BA20)</f>
        <v>684.35722128874386</v>
      </c>
      <c r="BC20" s="169">
        <f>Transmission!BC16</f>
        <v>183.42424249122047</v>
      </c>
      <c r="BD20" s="167">
        <f>Transmission!BD16</f>
        <v>187.7289645470488</v>
      </c>
      <c r="BE20" s="167">
        <f>Transmission!BE16</f>
        <v>190.48129653028036</v>
      </c>
      <c r="BF20" s="168">
        <f>Transmission!BF16</f>
        <v>194.02339790037442</v>
      </c>
      <c r="BG20" s="21">
        <f>SUM(BC20:BF20)</f>
        <v>755.65790146892414</v>
      </c>
      <c r="BH20" s="169">
        <f>Transmission!BH16</f>
        <v>203.18833356329253</v>
      </c>
      <c r="BI20" s="167">
        <f>Transmission!BI16</f>
        <v>207.42124261912087</v>
      </c>
      <c r="BJ20" s="167">
        <f>Transmission!BJ16</f>
        <v>210.08095360235242</v>
      </c>
      <c r="BK20" s="168">
        <f>Transmission!BK16</f>
        <v>213.68507297244648</v>
      </c>
      <c r="BL20" s="21">
        <f>SUM(BH20:BK20)</f>
        <v>834.37560275721239</v>
      </c>
      <c r="BM20" s="169">
        <f>Transmission!BM16</f>
        <v>222.46109870860786</v>
      </c>
      <c r="BN20" s="167">
        <f>Transmission!BN16</f>
        <v>226.62126855443623</v>
      </c>
      <c r="BO20" s="167">
        <f>Transmission!BO16</f>
        <v>229.18701616766776</v>
      </c>
      <c r="BP20" s="168">
        <f>Transmission!BP16</f>
        <v>232.85418987776183</v>
      </c>
      <c r="BQ20" s="21">
        <f>SUM(BM20:BP20)</f>
        <v>911.12357330847362</v>
      </c>
      <c r="BT20"/>
      <c r="BU20"/>
      <c r="BV20"/>
      <c r="BW20"/>
      <c r="BX20"/>
      <c r="BY20"/>
    </row>
    <row r="21" spans="1:94" s="23" customFormat="1">
      <c r="A21" s="261"/>
      <c r="B21" s="264"/>
      <c r="C21" s="264" t="s">
        <v>280</v>
      </c>
      <c r="D21" s="262"/>
      <c r="E21" s="169"/>
      <c r="F21" s="167"/>
      <c r="G21" s="167"/>
      <c r="H21" s="168"/>
      <c r="I21" s="21">
        <f>Parent!I18</f>
        <v>-52</v>
      </c>
      <c r="J21" s="169">
        <f>Parent!J18</f>
        <v>-14</v>
      </c>
      <c r="K21" s="167">
        <f>Parent!K18</f>
        <v>-22</v>
      </c>
      <c r="L21" s="167">
        <f>Parent!L18</f>
        <v>-17</v>
      </c>
      <c r="M21" s="168">
        <f>Parent!M18</f>
        <v>-16</v>
      </c>
      <c r="N21" s="21">
        <f>Parent!N18</f>
        <v>-69</v>
      </c>
      <c r="O21" s="169">
        <f>Parent!O18</f>
        <v>-29</v>
      </c>
      <c r="P21" s="167">
        <f>Parent!P18</f>
        <v>-59</v>
      </c>
      <c r="Q21" s="167">
        <f>Parent!Q18</f>
        <v>-32</v>
      </c>
      <c r="R21" s="168">
        <f>Parent!R18</f>
        <v>6</v>
      </c>
      <c r="S21" s="21">
        <f>SUM(O21:R21)</f>
        <v>-114</v>
      </c>
      <c r="T21" s="169">
        <f>Parent!T18</f>
        <v>-3</v>
      </c>
      <c r="U21" s="167">
        <f>Parent!U18</f>
        <v>-8</v>
      </c>
      <c r="V21" s="167">
        <f>Parent!V18</f>
        <v>-6</v>
      </c>
      <c r="W21" s="168">
        <f>Parent!W18</f>
        <v>-13</v>
      </c>
      <c r="X21" s="21">
        <f>SUM(T21:W21)</f>
        <v>-30</v>
      </c>
      <c r="Y21" s="169">
        <f>Parent!Y18</f>
        <v>-5</v>
      </c>
      <c r="Z21" s="167">
        <f>Parent!Z18</f>
        <v>-11</v>
      </c>
      <c r="AA21" s="167">
        <f>Parent!AA18</f>
        <v>-12</v>
      </c>
      <c r="AB21" s="168">
        <f>Parent!AB18</f>
        <v>-9</v>
      </c>
      <c r="AC21" s="21">
        <f>SUM(Y21:AB21)</f>
        <v>-37</v>
      </c>
      <c r="AD21" s="169">
        <f>Parent!AD18</f>
        <v>-8</v>
      </c>
      <c r="AE21" s="167">
        <f>Parent!AE18</f>
        <v>-15</v>
      </c>
      <c r="AF21" s="167">
        <f>Parent!AF18</f>
        <v>-3</v>
      </c>
      <c r="AG21" s="168">
        <f>Parent!AG18</f>
        <v>-9</v>
      </c>
      <c r="AH21" s="21">
        <f>SUM(AD21:AG21)</f>
        <v>-35</v>
      </c>
      <c r="AI21" s="169">
        <f>Parent!AI18</f>
        <v>-12</v>
      </c>
      <c r="AJ21" s="167">
        <f>Parent!AJ18</f>
        <v>-14</v>
      </c>
      <c r="AK21" s="167">
        <f>Parent!AK18</f>
        <v>-27</v>
      </c>
      <c r="AL21" s="168">
        <f>Parent!AL18</f>
        <v>-31</v>
      </c>
      <c r="AM21" s="21">
        <f>SUM(AI21:AL21)</f>
        <v>-84</v>
      </c>
      <c r="AN21" s="169">
        <f>Parent!AN18</f>
        <v>-22</v>
      </c>
      <c r="AO21" s="167">
        <f>Parent!AO18</f>
        <v>-10</v>
      </c>
      <c r="AP21" s="167">
        <f>Parent!AP18</f>
        <v>-17</v>
      </c>
      <c r="AQ21" s="168">
        <f>Parent!AQ18</f>
        <v>-72</v>
      </c>
      <c r="AR21" s="21">
        <f>SUM(AN21:AQ21)</f>
        <v>-121</v>
      </c>
      <c r="AS21" s="169">
        <f>Parent!AS18</f>
        <v>-7</v>
      </c>
      <c r="AT21" s="167">
        <f>Parent!AT18</f>
        <v>-16</v>
      </c>
      <c r="AU21" s="167">
        <f>Parent!AU18</f>
        <v>-1</v>
      </c>
      <c r="AV21" s="168">
        <f>Parent!AV18</f>
        <v>-12</v>
      </c>
      <c r="AW21" s="21">
        <f>SUM(AS21:AV21)</f>
        <v>-36</v>
      </c>
      <c r="AX21" s="169">
        <f>Parent!AX18</f>
        <v>-2</v>
      </c>
      <c r="AY21" s="167">
        <f>Parent!AY18</f>
        <v>-11</v>
      </c>
      <c r="AZ21" s="167">
        <f>Parent!AZ18</f>
        <v>4</v>
      </c>
      <c r="BA21" s="168">
        <f>Parent!BA18</f>
        <v>-7</v>
      </c>
      <c r="BB21" s="21">
        <f>SUM(AX21:BA21)</f>
        <v>-16</v>
      </c>
      <c r="BC21" s="169">
        <f>Parent!BC18</f>
        <v>-2</v>
      </c>
      <c r="BD21" s="167">
        <f>Parent!BD18</f>
        <v>-11</v>
      </c>
      <c r="BE21" s="167">
        <f>Parent!BE18</f>
        <v>4</v>
      </c>
      <c r="BF21" s="168">
        <f>Parent!BF18</f>
        <v>-7</v>
      </c>
      <c r="BG21" s="21">
        <f>SUM(BC21:BF21)</f>
        <v>-16</v>
      </c>
      <c r="BH21" s="169">
        <f>Parent!BH18</f>
        <v>-2</v>
      </c>
      <c r="BI21" s="167">
        <f>Parent!BI18</f>
        <v>-11</v>
      </c>
      <c r="BJ21" s="167">
        <f>Parent!BJ18</f>
        <v>4</v>
      </c>
      <c r="BK21" s="168">
        <f>Parent!BK18</f>
        <v>-7</v>
      </c>
      <c r="BL21" s="21">
        <f>SUM(BH21:BK21)</f>
        <v>-16</v>
      </c>
      <c r="BM21" s="169">
        <f>Parent!BM18</f>
        <v>-2</v>
      </c>
      <c r="BN21" s="167">
        <f>Parent!BN18</f>
        <v>-11</v>
      </c>
      <c r="BO21" s="167">
        <f>Parent!BO18</f>
        <v>4</v>
      </c>
      <c r="BP21" s="168">
        <f>Parent!BP18</f>
        <v>-7</v>
      </c>
      <c r="BQ21" s="21">
        <f>SUM(BM21:BP21)</f>
        <v>-16</v>
      </c>
      <c r="BT21"/>
      <c r="BU21"/>
      <c r="BV21"/>
      <c r="BW21"/>
      <c r="BX21"/>
      <c r="BY21"/>
    </row>
    <row r="22" spans="1:94" s="23" customFormat="1">
      <c r="A22" s="261"/>
      <c r="B22" s="261"/>
      <c r="C22" s="265" t="s">
        <v>196</v>
      </c>
      <c r="D22" s="262"/>
      <c r="E22" s="106">
        <f t="shared" ref="E22:AR22" si="13">E8-E16</f>
        <v>346</v>
      </c>
      <c r="F22" s="76">
        <f t="shared" si="13"/>
        <v>802</v>
      </c>
      <c r="G22" s="76">
        <f t="shared" si="13"/>
        <v>487</v>
      </c>
      <c r="H22" s="107">
        <f t="shared" si="13"/>
        <v>375</v>
      </c>
      <c r="I22" s="93">
        <f t="shared" si="13"/>
        <v>2010</v>
      </c>
      <c r="J22" s="106">
        <f t="shared" si="13"/>
        <v>416</v>
      </c>
      <c r="K22" s="76">
        <f t="shared" si="13"/>
        <v>526</v>
      </c>
      <c r="L22" s="76">
        <f t="shared" si="13"/>
        <v>707</v>
      </c>
      <c r="M22" s="107">
        <f t="shared" si="13"/>
        <v>672</v>
      </c>
      <c r="N22" s="93">
        <f t="shared" si="13"/>
        <v>2321</v>
      </c>
      <c r="O22" s="106">
        <f t="shared" si="13"/>
        <v>350</v>
      </c>
      <c r="P22" s="76">
        <f t="shared" si="13"/>
        <v>521</v>
      </c>
      <c r="Q22" s="76">
        <f t="shared" si="13"/>
        <v>1057</v>
      </c>
      <c r="R22" s="107">
        <f>R8-R16</f>
        <v>545</v>
      </c>
      <c r="S22" s="93">
        <f>S8-S16</f>
        <v>2473</v>
      </c>
      <c r="T22" s="106">
        <f t="shared" si="13"/>
        <v>746</v>
      </c>
      <c r="U22" s="76">
        <f t="shared" si="13"/>
        <v>557</v>
      </c>
      <c r="V22" s="76">
        <f>V8-V16</f>
        <v>907</v>
      </c>
      <c r="W22" s="107">
        <f>W8-W16</f>
        <v>200</v>
      </c>
      <c r="X22" s="93">
        <f t="shared" si="13"/>
        <v>2410</v>
      </c>
      <c r="Y22" s="106">
        <f t="shared" si="13"/>
        <v>654</v>
      </c>
      <c r="Z22" s="76">
        <f t="shared" ref="Z22:AF22" si="14">Z8-Z16</f>
        <v>527</v>
      </c>
      <c r="AA22" s="76">
        <f t="shared" si="14"/>
        <v>766</v>
      </c>
      <c r="AB22" s="107">
        <f t="shared" si="14"/>
        <v>199</v>
      </c>
      <c r="AC22" s="93">
        <f t="shared" si="14"/>
        <v>2146</v>
      </c>
      <c r="AD22" s="106">
        <f t="shared" si="14"/>
        <v>398</v>
      </c>
      <c r="AE22" s="76">
        <f t="shared" si="14"/>
        <v>292</v>
      </c>
      <c r="AF22" s="76">
        <f t="shared" si="14"/>
        <v>716</v>
      </c>
      <c r="AG22" s="107">
        <f>AG8-AG16</f>
        <v>491</v>
      </c>
      <c r="AH22" s="93">
        <f>AH8-AH16</f>
        <v>1897</v>
      </c>
      <c r="AI22" s="106">
        <f>AI8-AI16</f>
        <v>594</v>
      </c>
      <c r="AJ22" s="76">
        <f>AJ8-AJ16</f>
        <v>554</v>
      </c>
      <c r="AK22" s="76">
        <f t="shared" ref="AK22" si="15">AK8-AK16</f>
        <v>908</v>
      </c>
      <c r="AL22" s="107">
        <f>AL8-AL16</f>
        <v>520</v>
      </c>
      <c r="AM22" s="93">
        <f>AM8-AM16</f>
        <v>2576</v>
      </c>
      <c r="AN22" s="106">
        <f>AN8-AN16</f>
        <v>776</v>
      </c>
      <c r="AO22" s="76">
        <f>AO8-AO16</f>
        <v>472</v>
      </c>
      <c r="AP22" s="76">
        <f t="shared" si="13"/>
        <v>861</v>
      </c>
      <c r="AQ22" s="107">
        <f>AQ8-AQ16</f>
        <v>441</v>
      </c>
      <c r="AR22" s="93">
        <f t="shared" si="13"/>
        <v>2550</v>
      </c>
      <c r="AS22" s="106">
        <f>AS8-AS16</f>
        <v>574</v>
      </c>
      <c r="AT22" s="76">
        <f>AT8-AT16</f>
        <v>675</v>
      </c>
      <c r="AU22" s="76">
        <f t="shared" ref="AU22" si="16">AU8-AU16</f>
        <v>915</v>
      </c>
      <c r="AV22" s="107">
        <f>AV8-AV16</f>
        <v>555</v>
      </c>
      <c r="AW22" s="93">
        <f t="shared" ref="AW22" si="17">AW8-AW16</f>
        <v>2719</v>
      </c>
      <c r="AX22" s="106">
        <f t="shared" ref="AX22:BB22" si="18">AX8-AX16</f>
        <v>722.72182401197188</v>
      </c>
      <c r="AY22" s="76">
        <f t="shared" si="18"/>
        <v>569.65992456590538</v>
      </c>
      <c r="AZ22" s="76">
        <f t="shared" si="18"/>
        <v>716.06805047537955</v>
      </c>
      <c r="BA22" s="107">
        <f t="shared" si="18"/>
        <v>602.87367443841231</v>
      </c>
      <c r="BB22" s="93">
        <f t="shared" si="18"/>
        <v>2611.3234734916696</v>
      </c>
      <c r="BC22" s="106">
        <f t="shared" ref="BC22:BL22" si="19">BC8-BC16</f>
        <v>663.15147473317893</v>
      </c>
      <c r="BD22" s="76">
        <f t="shared" si="19"/>
        <v>557.74581778856464</v>
      </c>
      <c r="BE22" s="76">
        <f t="shared" si="19"/>
        <v>707.41983204267126</v>
      </c>
      <c r="BF22" s="107">
        <f t="shared" si="19"/>
        <v>583.85620671100151</v>
      </c>
      <c r="BG22" s="93">
        <f t="shared" si="19"/>
        <v>2512.173331275415</v>
      </c>
      <c r="BH22" s="106">
        <f t="shared" si="19"/>
        <v>625.4262886919164</v>
      </c>
      <c r="BI22" s="76">
        <f t="shared" si="19"/>
        <v>522.60209554135963</v>
      </c>
      <c r="BJ22" s="76">
        <f t="shared" si="19"/>
        <v>680.62700212484833</v>
      </c>
      <c r="BK22" s="107">
        <f t="shared" si="19"/>
        <v>559.70040749154987</v>
      </c>
      <c r="BL22" s="93">
        <f t="shared" si="19"/>
        <v>2388.355793849676</v>
      </c>
      <c r="BM22" s="106">
        <f t="shared" ref="BM22:BQ22" si="20">BM8-BM16</f>
        <v>707.67547752513201</v>
      </c>
      <c r="BN22" s="76">
        <f t="shared" si="20"/>
        <v>582.26717779210458</v>
      </c>
      <c r="BO22" s="76">
        <f t="shared" si="20"/>
        <v>745.18675918733788</v>
      </c>
      <c r="BP22" s="107">
        <f t="shared" si="20"/>
        <v>670.68400241662175</v>
      </c>
      <c r="BQ22" s="93">
        <f t="shared" si="20"/>
        <v>2705.8134169211953</v>
      </c>
      <c r="BT22"/>
      <c r="BU22"/>
      <c r="BV22"/>
      <c r="BW22"/>
      <c r="BX22"/>
      <c r="BY22"/>
    </row>
    <row r="23" spans="1:94" s="23" customFormat="1">
      <c r="A23" s="261"/>
      <c r="B23" s="261"/>
      <c r="C23" s="266" t="s">
        <v>197</v>
      </c>
      <c r="D23" s="267"/>
      <c r="E23" s="292"/>
      <c r="F23" s="293"/>
      <c r="G23" s="293"/>
      <c r="H23" s="294"/>
      <c r="I23" s="295">
        <f t="shared" ref="I23:AP23" si="21">SUM(I18:I21)-I22</f>
        <v>0</v>
      </c>
      <c r="J23" s="292">
        <f t="shared" si="21"/>
        <v>0</v>
      </c>
      <c r="K23" s="293">
        <f t="shared" si="21"/>
        <v>0</v>
      </c>
      <c r="L23" s="293">
        <f t="shared" si="21"/>
        <v>0</v>
      </c>
      <c r="M23" s="294">
        <f t="shared" si="21"/>
        <v>0</v>
      </c>
      <c r="N23" s="295">
        <f t="shared" si="21"/>
        <v>0</v>
      </c>
      <c r="O23" s="292">
        <f t="shared" si="21"/>
        <v>0</v>
      </c>
      <c r="P23" s="293">
        <f t="shared" si="21"/>
        <v>0</v>
      </c>
      <c r="Q23" s="293">
        <f t="shared" si="21"/>
        <v>0</v>
      </c>
      <c r="R23" s="294">
        <f t="shared" si="21"/>
        <v>0</v>
      </c>
      <c r="S23" s="295">
        <f>SUM(S18:S21)-S22</f>
        <v>0</v>
      </c>
      <c r="T23" s="292">
        <f t="shared" si="21"/>
        <v>0</v>
      </c>
      <c r="U23" s="293">
        <f t="shared" si="21"/>
        <v>0</v>
      </c>
      <c r="V23" s="293">
        <f t="shared" si="21"/>
        <v>0</v>
      </c>
      <c r="W23" s="294">
        <f t="shared" si="21"/>
        <v>0</v>
      </c>
      <c r="X23" s="295">
        <f t="shared" si="21"/>
        <v>0</v>
      </c>
      <c r="Y23" s="292">
        <f t="shared" si="21"/>
        <v>0</v>
      </c>
      <c r="Z23" s="293">
        <f t="shared" si="21"/>
        <v>0</v>
      </c>
      <c r="AA23" s="293">
        <f t="shared" si="21"/>
        <v>0</v>
      </c>
      <c r="AB23" s="294">
        <f>SUM(AB18:AB21)-AB22</f>
        <v>0</v>
      </c>
      <c r="AC23" s="295">
        <f>SUM(AC18:AC21)-AC22</f>
        <v>0</v>
      </c>
      <c r="AD23" s="292">
        <f t="shared" si="21"/>
        <v>0</v>
      </c>
      <c r="AE23" s="293">
        <f t="shared" si="21"/>
        <v>0</v>
      </c>
      <c r="AF23" s="293">
        <f t="shared" si="21"/>
        <v>0</v>
      </c>
      <c r="AG23" s="294">
        <f>SUM(AG18:AG21)-AG22</f>
        <v>0</v>
      </c>
      <c r="AH23" s="295">
        <f>SUM(AH18:AH21)-AH22</f>
        <v>0</v>
      </c>
      <c r="AI23" s="292">
        <f>SUM(AI18:AI21)-AI22</f>
        <v>0</v>
      </c>
      <c r="AJ23" s="293">
        <f>SUM(AJ18:AJ21)-AJ22</f>
        <v>0</v>
      </c>
      <c r="AK23" s="293">
        <f t="shared" ref="AK23" si="22">SUM(AK18:AK21)-AK22</f>
        <v>0</v>
      </c>
      <c r="AL23" s="294">
        <f>SUM(AL18:AL21)-AL22</f>
        <v>0</v>
      </c>
      <c r="AM23" s="295">
        <f>SUM(AM18:AM21)-AM22</f>
        <v>0</v>
      </c>
      <c r="AN23" s="292">
        <f>SUM(AN18:AN21)-AN22</f>
        <v>0</v>
      </c>
      <c r="AO23" s="293">
        <f>SUM(AO18:AO21)-AO22</f>
        <v>0</v>
      </c>
      <c r="AP23" s="293">
        <f t="shared" si="21"/>
        <v>0</v>
      </c>
      <c r="AQ23" s="294">
        <f>SUM(AQ18:AQ21)-AQ22</f>
        <v>0</v>
      </c>
      <c r="AR23" s="295">
        <f>SUM(AR18:AR21)-AR22</f>
        <v>0</v>
      </c>
      <c r="AS23" s="292">
        <f>SUM(AS18:AS21)-AS22</f>
        <v>0</v>
      </c>
      <c r="AT23" s="293">
        <f>SUM(AT18:AT21)-AT22</f>
        <v>0</v>
      </c>
      <c r="AU23" s="293">
        <f t="shared" ref="AU23" si="23">SUM(AU18:AU21)-AU22</f>
        <v>0</v>
      </c>
      <c r="AV23" s="294">
        <f>SUM(AV18:AV21)-AV22</f>
        <v>0</v>
      </c>
      <c r="AW23" s="295">
        <f>SUM(AW18:AW21)-AW22</f>
        <v>0</v>
      </c>
      <c r="AX23" s="292">
        <f t="shared" ref="AX23:BB23" si="24">SUM(AX18:AX21)-AX22</f>
        <v>0</v>
      </c>
      <c r="AY23" s="293">
        <f t="shared" si="24"/>
        <v>0</v>
      </c>
      <c r="AZ23" s="293">
        <f t="shared" si="24"/>
        <v>0</v>
      </c>
      <c r="BA23" s="294">
        <f t="shared" si="24"/>
        <v>0</v>
      </c>
      <c r="BB23" s="295">
        <f t="shared" si="24"/>
        <v>0</v>
      </c>
      <c r="BC23" s="292">
        <f t="shared" ref="BC23:BL23" si="25">SUM(BC18:BC21)-BC22</f>
        <v>0</v>
      </c>
      <c r="BD23" s="293">
        <f t="shared" si="25"/>
        <v>0</v>
      </c>
      <c r="BE23" s="293">
        <f t="shared" si="25"/>
        <v>0</v>
      </c>
      <c r="BF23" s="294">
        <f t="shared" si="25"/>
        <v>0</v>
      </c>
      <c r="BG23" s="295">
        <f t="shared" si="25"/>
        <v>0</v>
      </c>
      <c r="BH23" s="292">
        <f t="shared" si="25"/>
        <v>0</v>
      </c>
      <c r="BI23" s="293">
        <f t="shared" si="25"/>
        <v>0</v>
      </c>
      <c r="BJ23" s="293">
        <f t="shared" si="25"/>
        <v>0</v>
      </c>
      <c r="BK23" s="294">
        <f t="shared" si="25"/>
        <v>0</v>
      </c>
      <c r="BL23" s="295">
        <f t="shared" si="25"/>
        <v>0</v>
      </c>
      <c r="BM23" s="292">
        <f t="shared" ref="BM23:BQ23" si="26">SUM(BM18:BM21)-BM22</f>
        <v>0</v>
      </c>
      <c r="BN23" s="293">
        <f t="shared" si="26"/>
        <v>0</v>
      </c>
      <c r="BO23" s="293">
        <f t="shared" si="26"/>
        <v>0</v>
      </c>
      <c r="BP23" s="294">
        <f t="shared" si="26"/>
        <v>0</v>
      </c>
      <c r="BQ23" s="295">
        <f t="shared" si="26"/>
        <v>0</v>
      </c>
      <c r="BR23" s="268"/>
      <c r="BS23" s="268"/>
      <c r="BT23"/>
      <c r="BU23"/>
      <c r="BV23"/>
      <c r="BW23"/>
      <c r="BX23"/>
      <c r="BY23"/>
      <c r="BZ23" s="268"/>
      <c r="CA23" s="268"/>
      <c r="CB23" s="268"/>
      <c r="CC23" s="268"/>
      <c r="CD23" s="268"/>
      <c r="CE23" s="268"/>
      <c r="CF23" s="268"/>
      <c r="CG23" s="268"/>
      <c r="CH23" s="268"/>
      <c r="CI23" s="268"/>
      <c r="CJ23" s="268"/>
      <c r="CK23" s="268"/>
      <c r="CL23" s="268"/>
      <c r="CM23" s="268"/>
      <c r="CN23" s="268"/>
      <c r="CO23" s="268"/>
      <c r="CP23" s="268"/>
    </row>
    <row r="24" spans="1:94" s="23" customFormat="1">
      <c r="A24" s="261"/>
      <c r="B24" s="261"/>
      <c r="C24" s="266"/>
      <c r="D24" s="267"/>
      <c r="E24" s="292"/>
      <c r="F24" s="293"/>
      <c r="G24" s="293"/>
      <c r="H24" s="294"/>
      <c r="I24" s="295"/>
      <c r="J24" s="292"/>
      <c r="K24" s="293"/>
      <c r="L24" s="293"/>
      <c r="M24" s="294"/>
      <c r="N24" s="295"/>
      <c r="O24" s="292"/>
      <c r="P24" s="293"/>
      <c r="Q24" s="293"/>
      <c r="R24" s="294"/>
      <c r="S24" s="295"/>
      <c r="T24" s="292"/>
      <c r="U24" s="293"/>
      <c r="V24" s="293"/>
      <c r="W24" s="294"/>
      <c r="X24" s="295"/>
      <c r="Y24" s="292"/>
      <c r="Z24" s="293"/>
      <c r="AA24" s="293"/>
      <c r="AB24" s="294"/>
      <c r="AC24" s="295"/>
      <c r="AD24" s="292"/>
      <c r="AE24" s="293"/>
      <c r="AF24" s="293"/>
      <c r="AG24" s="294"/>
      <c r="AH24" s="295"/>
      <c r="AI24" s="292"/>
      <c r="AJ24" s="293"/>
      <c r="AK24" s="293"/>
      <c r="AL24" s="294"/>
      <c r="AM24" s="295"/>
      <c r="AN24" s="292"/>
      <c r="AO24" s="293"/>
      <c r="AP24" s="293"/>
      <c r="AQ24" s="294"/>
      <c r="AR24" s="295"/>
      <c r="AS24" s="292"/>
      <c r="AT24" s="293"/>
      <c r="AU24" s="293"/>
      <c r="AV24" s="294"/>
      <c r="AW24" s="295"/>
      <c r="AX24" s="292"/>
      <c r="AY24" s="293"/>
      <c r="AZ24" s="293"/>
      <c r="BA24" s="294"/>
      <c r="BB24" s="295"/>
      <c r="BC24" s="292"/>
      <c r="BD24" s="293"/>
      <c r="BE24" s="293"/>
      <c r="BF24" s="294"/>
      <c r="BG24" s="295"/>
      <c r="BH24" s="292"/>
      <c r="BI24" s="293"/>
      <c r="BJ24" s="293"/>
      <c r="BK24" s="294"/>
      <c r="BL24" s="295"/>
      <c r="BM24" s="292"/>
      <c r="BN24" s="293"/>
      <c r="BO24" s="293"/>
      <c r="BP24" s="294"/>
      <c r="BQ24" s="295"/>
      <c r="BR24" s="268"/>
      <c r="BS24" s="268"/>
      <c r="BT24"/>
      <c r="BU24"/>
      <c r="BV24"/>
      <c r="BW24"/>
      <c r="BX24"/>
      <c r="BY24"/>
      <c r="BZ24" s="268"/>
      <c r="CA24" s="268"/>
      <c r="CB24" s="268"/>
      <c r="CC24" s="268"/>
      <c r="CD24" s="268"/>
      <c r="CE24" s="268"/>
      <c r="CF24" s="268"/>
      <c r="CG24" s="268"/>
      <c r="CH24" s="268"/>
      <c r="CI24" s="268"/>
      <c r="CJ24" s="268"/>
      <c r="CK24" s="268"/>
      <c r="CL24" s="268"/>
      <c r="CM24" s="268"/>
      <c r="CN24" s="268"/>
      <c r="CO24" s="268"/>
      <c r="CP24" s="268"/>
    </row>
    <row r="25" spans="1:94" s="173" customFormat="1">
      <c r="A25" s="491"/>
      <c r="B25" s="269"/>
      <c r="C25" s="256" t="s">
        <v>644</v>
      </c>
      <c r="E25" s="301">
        <v>-11</v>
      </c>
      <c r="F25" s="302">
        <v>27</v>
      </c>
      <c r="G25" s="302">
        <v>191</v>
      </c>
      <c r="H25" s="311">
        <f>+I25-G25-F25-E25</f>
        <v>-330</v>
      </c>
      <c r="I25" s="300">
        <v>-123</v>
      </c>
      <c r="J25" s="301">
        <v>16</v>
      </c>
      <c r="K25" s="302">
        <v>31</v>
      </c>
      <c r="L25" s="302">
        <v>-246</v>
      </c>
      <c r="M25" s="311">
        <f>+N25-L25-K25-J25</f>
        <v>-262</v>
      </c>
      <c r="N25" s="300">
        <v>-461</v>
      </c>
      <c r="O25" s="301">
        <f>52-P25</f>
        <v>21</v>
      </c>
      <c r="P25" s="302">
        <v>31</v>
      </c>
      <c r="Q25" s="302">
        <v>48</v>
      </c>
      <c r="R25" s="311">
        <f>S25-SUM(O25:Q25)</f>
        <v>-192</v>
      </c>
      <c r="S25" s="300">
        <f>114-507+145-413+569</f>
        <v>-92</v>
      </c>
      <c r="T25" s="301">
        <v>11</v>
      </c>
      <c r="U25" s="302">
        <v>13</v>
      </c>
      <c r="V25" s="302">
        <v>39</v>
      </c>
      <c r="W25" s="311">
        <f>X25-SUM(T25:V25)</f>
        <v>-220</v>
      </c>
      <c r="X25" s="300">
        <f>77-609+375</f>
        <v>-157</v>
      </c>
      <c r="Y25" s="301">
        <f>18-119</f>
        <v>-101</v>
      </c>
      <c r="Z25" s="302">
        <f>-15-473-24</f>
        <v>-512</v>
      </c>
      <c r="AA25" s="302">
        <f>9+5-254</f>
        <v>-240</v>
      </c>
      <c r="AB25" s="311">
        <f>AC25-SUM(Y25:AA25)</f>
        <v>218</v>
      </c>
      <c r="AC25" s="300">
        <f>36-795-132+256</f>
        <v>-635</v>
      </c>
      <c r="AD25" s="301">
        <f>-7+22</f>
        <v>15</v>
      </c>
      <c r="AE25" s="302">
        <f>29-1</f>
        <v>28</v>
      </c>
      <c r="AF25" s="302">
        <v>16</v>
      </c>
      <c r="AG25" s="311">
        <f>AH25-SUM(AD25:AF25)</f>
        <v>-830</v>
      </c>
      <c r="AH25" s="300">
        <f>-835-8+72</f>
        <v>-771</v>
      </c>
      <c r="AI25" s="301">
        <v>17</v>
      </c>
      <c r="AJ25" s="302">
        <v>-3</v>
      </c>
      <c r="AK25" s="302">
        <v>-28</v>
      </c>
      <c r="AL25" s="311">
        <f>AM25-SUM(AI25:AK25)</f>
        <v>-654</v>
      </c>
      <c r="AM25" s="300">
        <f>+-42-22-362-242</f>
        <v>-668</v>
      </c>
      <c r="AN25" s="301">
        <v>28</v>
      </c>
      <c r="AO25" s="2028">
        <f>19-1447</f>
        <v>-1428</v>
      </c>
      <c r="AP25" s="2028">
        <v>28</v>
      </c>
      <c r="AQ25" s="311">
        <f>AR25-SUM(AN25:AP25)</f>
        <v>-9356</v>
      </c>
      <c r="AR25" s="300">
        <f>+-10665-147+84</f>
        <v>-10728</v>
      </c>
      <c r="AS25" s="301">
        <v>24</v>
      </c>
      <c r="AT25" s="2028">
        <f>17-131</f>
        <v>-114</v>
      </c>
      <c r="AU25" s="2028">
        <f>37-31</f>
        <v>6</v>
      </c>
      <c r="AV25" s="311">
        <f>AW25-SUM(AS25:AU25)</f>
        <v>-2365</v>
      </c>
      <c r="AW25" s="300">
        <f>-2406-141+98</f>
        <v>-2449</v>
      </c>
      <c r="AX25" s="309">
        <f>Distribution!AX20+Transmission!AX18+Competitive!AX19+Parent!AX20</f>
        <v>30.25</v>
      </c>
      <c r="AY25" s="310">
        <f>Distribution!AY20+Transmission!AY18+Competitive!AY19+Parent!AY20</f>
        <v>31.25</v>
      </c>
      <c r="AZ25" s="310">
        <f>Distribution!AZ20+Transmission!AZ18+Competitive!AZ19+Parent!AZ20</f>
        <v>29.25</v>
      </c>
      <c r="BA25" s="311">
        <f>Distribution!BA20+Transmission!BA18+Competitive!BA19+Parent!BA20</f>
        <v>31.25</v>
      </c>
      <c r="BB25" s="96">
        <f>SUM(AX25:BA25)</f>
        <v>122</v>
      </c>
      <c r="BC25" s="309">
        <f>Distribution!BC20+Transmission!BC18+Competitive!BC19+Parent!BC20</f>
        <v>29</v>
      </c>
      <c r="BD25" s="310">
        <f>Distribution!BD20+Transmission!BD18+Competitive!BD19+Parent!BD20</f>
        <v>30</v>
      </c>
      <c r="BE25" s="310">
        <f>Distribution!BE20+Transmission!BE18+Competitive!BE19+Parent!BE20</f>
        <v>28</v>
      </c>
      <c r="BF25" s="311">
        <f>Distribution!BF20+Transmission!BF18+Competitive!BF19+Parent!BF20</f>
        <v>30</v>
      </c>
      <c r="BG25" s="96">
        <f>SUM(BC25:BF25)</f>
        <v>117</v>
      </c>
      <c r="BH25" s="309">
        <f>Distribution!BH20+Transmission!BH18+Competitive!BH19+Parent!BH20</f>
        <v>29</v>
      </c>
      <c r="BI25" s="310">
        <f>Distribution!BI20+Transmission!BI18+Competitive!BI19+Parent!BI20</f>
        <v>30</v>
      </c>
      <c r="BJ25" s="310">
        <f>Distribution!BJ20+Transmission!BJ18+Competitive!BJ19+Parent!BJ20</f>
        <v>28</v>
      </c>
      <c r="BK25" s="311">
        <f>Distribution!BK20+Transmission!BK18+Competitive!BK19+Parent!BK20</f>
        <v>30</v>
      </c>
      <c r="BL25" s="96">
        <f>SUM(BH25:BK25)</f>
        <v>117</v>
      </c>
      <c r="BM25" s="309">
        <f>Distribution!BM20+Transmission!BM18+Competitive!BM19+Parent!BM20</f>
        <v>29</v>
      </c>
      <c r="BN25" s="310">
        <f>Distribution!BN20+Transmission!BN18+Competitive!BN19+Parent!BN20</f>
        <v>30</v>
      </c>
      <c r="BO25" s="310">
        <f>Distribution!BO20+Transmission!BO18+Competitive!BO19+Parent!BO20</f>
        <v>28</v>
      </c>
      <c r="BP25" s="311">
        <f>Distribution!BP20+Transmission!BP18+Competitive!BP19+Parent!BP20</f>
        <v>30</v>
      </c>
      <c r="BQ25" s="96">
        <f>SUM(BM25:BP25)</f>
        <v>117</v>
      </c>
      <c r="BT25"/>
      <c r="BU25"/>
      <c r="BV25"/>
      <c r="BW25"/>
      <c r="BX25"/>
      <c r="BY25"/>
    </row>
    <row r="26" spans="1:94" s="23" customFormat="1">
      <c r="A26" s="261"/>
      <c r="B26" s="261"/>
      <c r="C26" s="266"/>
      <c r="D26" s="267"/>
      <c r="E26" s="292"/>
      <c r="F26" s="293"/>
      <c r="G26" s="293"/>
      <c r="H26" s="294"/>
      <c r="I26" s="295"/>
      <c r="J26" s="292"/>
      <c r="K26" s="293"/>
      <c r="L26" s="293"/>
      <c r="M26" s="294"/>
      <c r="N26" s="295"/>
      <c r="O26" s="292"/>
      <c r="P26" s="293"/>
      <c r="Q26" s="293"/>
      <c r="R26" s="294"/>
      <c r="S26" s="295"/>
      <c r="T26" s="292"/>
      <c r="U26" s="293"/>
      <c r="V26" s="293"/>
      <c r="W26" s="294"/>
      <c r="X26" s="295"/>
      <c r="Y26" s="292"/>
      <c r="Z26" s="293"/>
      <c r="AA26" s="293"/>
      <c r="AB26" s="294"/>
      <c r="AC26" s="295"/>
      <c r="AD26" s="292"/>
      <c r="AE26" s="293"/>
      <c r="AF26" s="293"/>
      <c r="AG26" s="294"/>
      <c r="AH26" s="295"/>
      <c r="AI26" s="292"/>
      <c r="AJ26" s="293"/>
      <c r="AK26" s="293"/>
      <c r="AL26" s="294"/>
      <c r="AM26" s="295"/>
      <c r="AN26" s="292"/>
      <c r="AO26" s="293"/>
      <c r="AP26" s="293"/>
      <c r="AQ26" s="294"/>
      <c r="AR26" s="295"/>
      <c r="AS26" s="292"/>
      <c r="AT26" s="293"/>
      <c r="AU26" s="293"/>
      <c r="AV26" s="294"/>
      <c r="AW26" s="295"/>
      <c r="AX26" s="292"/>
      <c r="AY26" s="293"/>
      <c r="AZ26" s="293"/>
      <c r="BA26" s="294"/>
      <c r="BB26" s="295"/>
      <c r="BC26" s="292"/>
      <c r="BD26" s="293"/>
      <c r="BE26" s="293"/>
      <c r="BF26" s="294"/>
      <c r="BG26" s="295"/>
      <c r="BH26" s="292"/>
      <c r="BI26" s="293"/>
      <c r="BJ26" s="293"/>
      <c r="BK26" s="294"/>
      <c r="BL26" s="295"/>
      <c r="BM26" s="292"/>
      <c r="BN26" s="293"/>
      <c r="BO26" s="293"/>
      <c r="BP26" s="294"/>
      <c r="BQ26" s="295"/>
      <c r="BR26" s="268"/>
      <c r="BS26" s="268"/>
      <c r="BT26"/>
      <c r="BU26"/>
      <c r="BV26"/>
      <c r="BW26"/>
      <c r="BX26"/>
      <c r="BY26"/>
      <c r="BZ26" s="268"/>
      <c r="CA26" s="268"/>
      <c r="CB26" s="268"/>
      <c r="CC26" s="268"/>
      <c r="CD26" s="268"/>
      <c r="CE26" s="268"/>
      <c r="CF26" s="268"/>
      <c r="CG26" s="268"/>
      <c r="CH26" s="268"/>
      <c r="CI26" s="268"/>
      <c r="CJ26" s="268"/>
      <c r="CK26" s="268"/>
      <c r="CL26" s="268"/>
      <c r="CM26" s="268"/>
      <c r="CN26" s="268"/>
      <c r="CO26" s="268"/>
      <c r="CP26" s="268"/>
    </row>
    <row r="27" spans="1:94" s="23" customFormat="1">
      <c r="A27" s="261"/>
      <c r="B27" s="261"/>
      <c r="C27" s="242" t="s">
        <v>198</v>
      </c>
      <c r="D27" s="262"/>
      <c r="E27" s="106">
        <f t="shared" ref="E27:AR27" si="27">E22+E25</f>
        <v>335</v>
      </c>
      <c r="F27" s="76">
        <f t="shared" si="27"/>
        <v>829</v>
      </c>
      <c r="G27" s="76">
        <f t="shared" si="27"/>
        <v>678</v>
      </c>
      <c r="H27" s="107">
        <f t="shared" si="27"/>
        <v>45</v>
      </c>
      <c r="I27" s="93">
        <f t="shared" si="27"/>
        <v>1887</v>
      </c>
      <c r="J27" s="106">
        <f t="shared" si="27"/>
        <v>432</v>
      </c>
      <c r="K27" s="76">
        <f t="shared" si="27"/>
        <v>557</v>
      </c>
      <c r="L27" s="76">
        <f t="shared" si="27"/>
        <v>461</v>
      </c>
      <c r="M27" s="107">
        <f t="shared" si="27"/>
        <v>410</v>
      </c>
      <c r="N27" s="93">
        <f t="shared" si="27"/>
        <v>1860</v>
      </c>
      <c r="O27" s="106">
        <f t="shared" si="27"/>
        <v>371</v>
      </c>
      <c r="P27" s="76">
        <f t="shared" si="27"/>
        <v>552</v>
      </c>
      <c r="Q27" s="76">
        <f>Q22+Q25</f>
        <v>1105</v>
      </c>
      <c r="R27" s="107">
        <f>R22+R25</f>
        <v>353</v>
      </c>
      <c r="S27" s="93">
        <f>S22+S25</f>
        <v>2381</v>
      </c>
      <c r="T27" s="106">
        <f>T22+T25</f>
        <v>757</v>
      </c>
      <c r="U27" s="76">
        <f t="shared" si="27"/>
        <v>570</v>
      </c>
      <c r="V27" s="76">
        <f>V22+V25</f>
        <v>946</v>
      </c>
      <c r="W27" s="107">
        <f t="shared" si="27"/>
        <v>-20</v>
      </c>
      <c r="X27" s="93">
        <f t="shared" si="27"/>
        <v>2253</v>
      </c>
      <c r="Y27" s="106">
        <f t="shared" si="27"/>
        <v>553</v>
      </c>
      <c r="Z27" s="76">
        <f t="shared" ref="Z27:AF27" si="28">Z22+Z25</f>
        <v>15</v>
      </c>
      <c r="AA27" s="76">
        <f t="shared" si="28"/>
        <v>526</v>
      </c>
      <c r="AB27" s="107">
        <f t="shared" si="28"/>
        <v>417</v>
      </c>
      <c r="AC27" s="93">
        <f t="shared" si="28"/>
        <v>1511</v>
      </c>
      <c r="AD27" s="106">
        <f t="shared" si="28"/>
        <v>413</v>
      </c>
      <c r="AE27" s="76">
        <f t="shared" si="28"/>
        <v>320</v>
      </c>
      <c r="AF27" s="76">
        <f t="shared" si="28"/>
        <v>732</v>
      </c>
      <c r="AG27" s="107">
        <f>AG22+AG25</f>
        <v>-339</v>
      </c>
      <c r="AH27" s="93">
        <f>AH22+AH25</f>
        <v>1126</v>
      </c>
      <c r="AI27" s="106">
        <f>AI22+AI25</f>
        <v>611</v>
      </c>
      <c r="AJ27" s="76">
        <f>AJ22+AJ25</f>
        <v>551</v>
      </c>
      <c r="AK27" s="76">
        <f t="shared" ref="AK27" si="29">AK22+AK25</f>
        <v>880</v>
      </c>
      <c r="AL27" s="107">
        <f>AL22+AL25</f>
        <v>-134</v>
      </c>
      <c r="AM27" s="93">
        <f>AM22+AM25</f>
        <v>1908</v>
      </c>
      <c r="AN27" s="106">
        <f>AN22+AN25</f>
        <v>804</v>
      </c>
      <c r="AO27" s="76">
        <f>AO22+AO25</f>
        <v>-956</v>
      </c>
      <c r="AP27" s="76">
        <f t="shared" si="27"/>
        <v>889</v>
      </c>
      <c r="AQ27" s="107">
        <f>AQ22+AQ25</f>
        <v>-8915</v>
      </c>
      <c r="AR27" s="93">
        <f t="shared" si="27"/>
        <v>-8178</v>
      </c>
      <c r="AS27" s="106">
        <f>AS22+AS25</f>
        <v>598</v>
      </c>
      <c r="AT27" s="76">
        <f>AT22+AT25</f>
        <v>561</v>
      </c>
      <c r="AU27" s="76">
        <f>AU22+AU25</f>
        <v>921</v>
      </c>
      <c r="AV27" s="107">
        <f>AV22+AV25</f>
        <v>-1810</v>
      </c>
      <c r="AW27" s="93">
        <f t="shared" ref="AW27" si="30">AW22+AW25</f>
        <v>270</v>
      </c>
      <c r="AX27" s="106">
        <f t="shared" ref="AX27:BB27" si="31">AX22+AX25</f>
        <v>752.97182401197188</v>
      </c>
      <c r="AY27" s="76">
        <f t="shared" si="31"/>
        <v>600.90992456590538</v>
      </c>
      <c r="AZ27" s="76">
        <f t="shared" si="31"/>
        <v>745.31805047537955</v>
      </c>
      <c r="BA27" s="107">
        <f t="shared" si="31"/>
        <v>634.12367443841231</v>
      </c>
      <c r="BB27" s="93">
        <f t="shared" si="31"/>
        <v>2733.3234734916696</v>
      </c>
      <c r="BC27" s="106">
        <f t="shared" ref="BC27:BL27" si="32">BC22+BC25</f>
        <v>692.15147473317893</v>
      </c>
      <c r="BD27" s="76">
        <f t="shared" si="32"/>
        <v>587.74581778856464</v>
      </c>
      <c r="BE27" s="76">
        <f t="shared" si="32"/>
        <v>735.41983204267126</v>
      </c>
      <c r="BF27" s="107">
        <f t="shared" si="32"/>
        <v>613.85620671100151</v>
      </c>
      <c r="BG27" s="93">
        <f t="shared" si="32"/>
        <v>2629.173331275415</v>
      </c>
      <c r="BH27" s="106">
        <f t="shared" si="32"/>
        <v>654.4262886919164</v>
      </c>
      <c r="BI27" s="76">
        <f t="shared" si="32"/>
        <v>552.60209554135963</v>
      </c>
      <c r="BJ27" s="76">
        <f t="shared" si="32"/>
        <v>708.62700212484833</v>
      </c>
      <c r="BK27" s="107">
        <f t="shared" si="32"/>
        <v>589.70040749154987</v>
      </c>
      <c r="BL27" s="93">
        <f t="shared" si="32"/>
        <v>2505.355793849676</v>
      </c>
      <c r="BM27" s="106">
        <f t="shared" ref="BM27:BQ27" si="33">BM22+BM25</f>
        <v>736.67547752513201</v>
      </c>
      <c r="BN27" s="76">
        <f t="shared" si="33"/>
        <v>612.26717779210458</v>
      </c>
      <c r="BO27" s="76">
        <f t="shared" si="33"/>
        <v>773.18675918733788</v>
      </c>
      <c r="BP27" s="107">
        <f t="shared" si="33"/>
        <v>700.68400241662175</v>
      </c>
      <c r="BQ27" s="93">
        <f t="shared" si="33"/>
        <v>2822.8134169211953</v>
      </c>
      <c r="BT27"/>
      <c r="BU27"/>
      <c r="BV27"/>
      <c r="BW27"/>
      <c r="BX27"/>
      <c r="BY27"/>
    </row>
    <row r="28" spans="1:94" s="23" customFormat="1">
      <c r="A28" s="261"/>
      <c r="B28" s="261"/>
      <c r="C28" s="242" t="s">
        <v>199</v>
      </c>
      <c r="D28" s="262"/>
      <c r="E28" s="106">
        <f>E22+E13+E14</f>
        <v>841</v>
      </c>
      <c r="F28" s="76">
        <f>F22+F13</f>
        <v>987</v>
      </c>
      <c r="G28" s="76">
        <f>G22+G13</f>
        <v>675</v>
      </c>
      <c r="H28" s="107">
        <f>H22+H13</f>
        <v>582</v>
      </c>
      <c r="I28" s="93">
        <f t="shared" ref="I28:AR28" si="34">I22+I13+I25</f>
        <v>2644</v>
      </c>
      <c r="J28" s="106">
        <f t="shared" si="34"/>
        <v>625</v>
      </c>
      <c r="K28" s="76">
        <f t="shared" si="34"/>
        <v>747</v>
      </c>
      <c r="L28" s="76">
        <f t="shared" si="34"/>
        <v>643</v>
      </c>
      <c r="M28" s="107">
        <f t="shared" si="34"/>
        <v>613</v>
      </c>
      <c r="N28" s="93">
        <f t="shared" si="34"/>
        <v>2628</v>
      </c>
      <c r="O28" s="106">
        <f t="shared" si="34"/>
        <v>596</v>
      </c>
      <c r="P28" s="76">
        <f t="shared" si="34"/>
        <v>839</v>
      </c>
      <c r="Q28" s="76">
        <f>Q22+Q13+Q25</f>
        <v>1402</v>
      </c>
      <c r="R28" s="107">
        <f>R22+R13+R25</f>
        <v>610</v>
      </c>
      <c r="S28" s="93">
        <f t="shared" si="34"/>
        <v>3447</v>
      </c>
      <c r="T28" s="106">
        <f>T22+T13+T25</f>
        <v>1036</v>
      </c>
      <c r="U28" s="76">
        <f t="shared" si="34"/>
        <v>862</v>
      </c>
      <c r="V28" s="76">
        <f>V22+V13+V25</f>
        <v>1228</v>
      </c>
      <c r="W28" s="107">
        <f t="shared" si="34"/>
        <v>251</v>
      </c>
      <c r="X28" s="93">
        <f t="shared" si="34"/>
        <v>3377</v>
      </c>
      <c r="Y28" s="106">
        <f t="shared" si="34"/>
        <v>847</v>
      </c>
      <c r="Z28" s="76">
        <f t="shared" ref="Z28:AF28" si="35">Z22+Z13+Z25</f>
        <v>317</v>
      </c>
      <c r="AA28" s="76">
        <f t="shared" si="35"/>
        <v>842</v>
      </c>
      <c r="AB28" s="107">
        <f t="shared" si="35"/>
        <v>707</v>
      </c>
      <c r="AC28" s="93">
        <f t="shared" si="35"/>
        <v>2713</v>
      </c>
      <c r="AD28" s="106">
        <f t="shared" si="35"/>
        <v>707</v>
      </c>
      <c r="AE28" s="76">
        <f t="shared" si="35"/>
        <v>622</v>
      </c>
      <c r="AF28" s="76">
        <f t="shared" si="35"/>
        <v>1040</v>
      </c>
      <c r="AG28" s="107">
        <f>AG22+AG13+AG25</f>
        <v>-23</v>
      </c>
      <c r="AH28" s="93">
        <f>AH22+AH13+AH25</f>
        <v>2346</v>
      </c>
      <c r="AI28" s="106">
        <f>AI22+AI13+AI25</f>
        <v>930</v>
      </c>
      <c r="AJ28" s="76">
        <f>AJ22+AJ13+AJ25</f>
        <v>873</v>
      </c>
      <c r="AK28" s="76">
        <f t="shared" ref="AK28" si="36">AK22+AK13+AK25</f>
        <v>1208</v>
      </c>
      <c r="AL28" s="107">
        <f>AL22+AL13+AL25</f>
        <v>179</v>
      </c>
      <c r="AM28" s="93">
        <f>AM22+AM13+AM25</f>
        <v>3190</v>
      </c>
      <c r="AN28" s="106">
        <f>AN22+AN13+AN25</f>
        <v>1133</v>
      </c>
      <c r="AO28" s="76">
        <f>AO22+AO13+AO25</f>
        <v>-622</v>
      </c>
      <c r="AP28" s="76">
        <f t="shared" si="34"/>
        <v>1200</v>
      </c>
      <c r="AQ28" s="107">
        <f>AQ22+AQ13+AQ25</f>
        <v>-8576</v>
      </c>
      <c r="AR28" s="93">
        <f t="shared" si="34"/>
        <v>-6865</v>
      </c>
      <c r="AS28" s="106">
        <f>AS22+AS13+AS25</f>
        <v>873</v>
      </c>
      <c r="AT28" s="76">
        <f>AT22+AT13+AT25</f>
        <v>842</v>
      </c>
      <c r="AU28" s="76">
        <f>AU22+AU13+AU25</f>
        <v>1210</v>
      </c>
      <c r="AV28" s="107">
        <f>AV22+AV13+AV25</f>
        <v>-1517</v>
      </c>
      <c r="AW28" s="93">
        <f t="shared" ref="AW28" si="37">AW22+AW13+AW25</f>
        <v>1408</v>
      </c>
      <c r="AX28" s="106">
        <f t="shared" ref="AX28:BB28" si="38">AX22+AX13+AX25</f>
        <v>1037.9922823453053</v>
      </c>
      <c r="AY28" s="76">
        <f t="shared" si="38"/>
        <v>892.33365823257213</v>
      </c>
      <c r="AZ28" s="76">
        <f t="shared" si="38"/>
        <v>1040.1152474588796</v>
      </c>
      <c r="BA28" s="107">
        <f t="shared" si="38"/>
        <v>935.26525311664989</v>
      </c>
      <c r="BB28" s="93">
        <f t="shared" si="38"/>
        <v>3905.706441153407</v>
      </c>
      <c r="BC28" s="106">
        <f t="shared" ref="BC28:BL28" si="39">BC22+BC13+BC25</f>
        <v>998.60906598379961</v>
      </c>
      <c r="BD28" s="76">
        <f t="shared" si="39"/>
        <v>900.49174753271177</v>
      </c>
      <c r="BE28" s="76">
        <f t="shared" si="39"/>
        <v>1051.4271042164203</v>
      </c>
      <c r="BF28" s="107">
        <f t="shared" si="39"/>
        <v>936.09848665399363</v>
      </c>
      <c r="BG28" s="93">
        <f t="shared" si="39"/>
        <v>3886.6264043869242</v>
      </c>
      <c r="BH28" s="106">
        <f t="shared" si="39"/>
        <v>981.87788694297183</v>
      </c>
      <c r="BI28" s="76">
        <f t="shared" si="39"/>
        <v>886.23795203109762</v>
      </c>
      <c r="BJ28" s="76">
        <f t="shared" si="39"/>
        <v>1045.4226707555877</v>
      </c>
      <c r="BK28" s="107">
        <f t="shared" si="39"/>
        <v>932.63204109500271</v>
      </c>
      <c r="BL28" s="93">
        <f t="shared" si="39"/>
        <v>3846.1705508246614</v>
      </c>
      <c r="BM28" s="106">
        <f t="shared" ref="BM28:BQ28" si="40">BM22+BM13+BM25</f>
        <v>1084.7198131886337</v>
      </c>
      <c r="BN28" s="76">
        <f t="shared" si="40"/>
        <v>966.40152254435043</v>
      </c>
      <c r="BO28" s="76">
        <f t="shared" si="40"/>
        <v>1130.3889760348204</v>
      </c>
      <c r="BP28" s="107">
        <f t="shared" si="40"/>
        <v>1063.9324967221742</v>
      </c>
      <c r="BQ28" s="93">
        <f t="shared" si="40"/>
        <v>4245.4428084899773</v>
      </c>
      <c r="BT28"/>
      <c r="BU28"/>
      <c r="BV28"/>
      <c r="BW28"/>
      <c r="BX28"/>
      <c r="BY28"/>
    </row>
    <row r="29" spans="1:94" s="23" customFormat="1">
      <c r="A29" s="261"/>
      <c r="B29" s="261"/>
      <c r="C29" s="242"/>
      <c r="D29" s="262"/>
      <c r="E29" s="106"/>
      <c r="F29" s="76"/>
      <c r="G29" s="76"/>
      <c r="H29" s="107"/>
      <c r="I29" s="93"/>
      <c r="J29" s="106"/>
      <c r="K29" s="76"/>
      <c r="L29" s="76"/>
      <c r="M29" s="107"/>
      <c r="N29" s="93"/>
      <c r="O29" s="106"/>
      <c r="P29" s="76"/>
      <c r="Q29" s="76"/>
      <c r="R29" s="107"/>
      <c r="S29" s="93"/>
      <c r="T29" s="106"/>
      <c r="U29" s="76"/>
      <c r="V29" s="76"/>
      <c r="W29" s="107"/>
      <c r="X29" s="93"/>
      <c r="Y29" s="106"/>
      <c r="Z29" s="76"/>
      <c r="AA29" s="76"/>
      <c r="AB29" s="107"/>
      <c r="AC29" s="93"/>
      <c r="AD29" s="106"/>
      <c r="AE29" s="76"/>
      <c r="AF29" s="76"/>
      <c r="AG29" s="107"/>
      <c r="AH29" s="93"/>
      <c r="AI29" s="106"/>
      <c r="AJ29" s="76"/>
      <c r="AK29" s="76"/>
      <c r="AL29" s="107"/>
      <c r="AM29" s="93"/>
      <c r="AN29" s="106"/>
      <c r="AO29" s="76"/>
      <c r="AP29" s="76"/>
      <c r="AQ29" s="107"/>
      <c r="AR29" s="93"/>
      <c r="AS29" s="106"/>
      <c r="AT29" s="76"/>
      <c r="AU29" s="76"/>
      <c r="AV29" s="107"/>
      <c r="AW29" s="93"/>
      <c r="AX29" s="106"/>
      <c r="AY29" s="76"/>
      <c r="AZ29" s="76"/>
      <c r="BA29" s="107"/>
      <c r="BB29" s="93"/>
      <c r="BC29" s="106"/>
      <c r="BD29" s="76"/>
      <c r="BE29" s="76"/>
      <c r="BF29" s="107"/>
      <c r="BG29" s="93"/>
      <c r="BH29" s="106"/>
      <c r="BI29" s="76"/>
      <c r="BJ29" s="76"/>
      <c r="BK29" s="107"/>
      <c r="BL29" s="93"/>
      <c r="BM29" s="106"/>
      <c r="BN29" s="76"/>
      <c r="BO29" s="76"/>
      <c r="BP29" s="107"/>
      <c r="BQ29" s="93"/>
      <c r="BT29"/>
      <c r="BU29"/>
      <c r="BV29"/>
      <c r="BW29"/>
      <c r="BX29"/>
      <c r="BY29"/>
    </row>
    <row r="30" spans="1:94" s="257" customFormat="1">
      <c r="A30" s="269"/>
      <c r="B30" s="269"/>
      <c r="C30" s="256" t="s">
        <v>200</v>
      </c>
      <c r="D30" s="255"/>
      <c r="E30" s="288">
        <v>194</v>
      </c>
      <c r="F30" s="289">
        <v>206</v>
      </c>
      <c r="G30" s="289">
        <v>355</v>
      </c>
      <c r="H30" s="290">
        <f>+I30-G30-F30-E30</f>
        <v>223</v>
      </c>
      <c r="I30" s="291">
        <v>978</v>
      </c>
      <c r="J30" s="288">
        <v>213</v>
      </c>
      <c r="K30" s="289">
        <v>207</v>
      </c>
      <c r="L30" s="289">
        <v>208</v>
      </c>
      <c r="M30" s="290">
        <f>+N30-L30-K30-J30</f>
        <v>217</v>
      </c>
      <c r="N30" s="291">
        <v>845</v>
      </c>
      <c r="O30" s="288">
        <f>496-P30</f>
        <v>231</v>
      </c>
      <c r="P30" s="289">
        <v>265</v>
      </c>
      <c r="Q30" s="289">
        <v>267</v>
      </c>
      <c r="R30" s="105">
        <f>S30-SUM(O30:Q30)</f>
        <v>245</v>
      </c>
      <c r="S30" s="291">
        <v>1008</v>
      </c>
      <c r="T30" s="288">
        <v>246</v>
      </c>
      <c r="U30" s="289">
        <v>274</v>
      </c>
      <c r="V30" s="289">
        <v>230</v>
      </c>
      <c r="W30" s="105">
        <f>X30-SUM(T30:V30)</f>
        <v>251</v>
      </c>
      <c r="X30" s="291">
        <v>1001</v>
      </c>
      <c r="Y30" s="288">
        <v>256</v>
      </c>
      <c r="Z30" s="302">
        <v>256</v>
      </c>
      <c r="AA30" s="302">
        <v>257</v>
      </c>
      <c r="AB30" s="105">
        <f>AC30-SUM(Y30:AA30)</f>
        <v>247</v>
      </c>
      <c r="AC30" s="291">
        <v>1016</v>
      </c>
      <c r="AD30" s="288">
        <v>265</v>
      </c>
      <c r="AE30" s="302">
        <v>262</v>
      </c>
      <c r="AF30" s="302">
        <v>275</v>
      </c>
      <c r="AG30" s="105">
        <f>AH30-SUM(AD30:AF30)</f>
        <v>271</v>
      </c>
      <c r="AH30" s="291">
        <v>1073</v>
      </c>
      <c r="AI30" s="288">
        <v>279</v>
      </c>
      <c r="AJ30" s="302">
        <v>282</v>
      </c>
      <c r="AK30" s="302">
        <v>285</v>
      </c>
      <c r="AL30" s="105">
        <f>AM30-SUM(AI30:AK30)</f>
        <v>286</v>
      </c>
      <c r="AM30" s="291">
        <v>1132</v>
      </c>
      <c r="AN30" s="288">
        <v>288</v>
      </c>
      <c r="AO30" s="2028">
        <v>289</v>
      </c>
      <c r="AP30" s="2028">
        <v>286</v>
      </c>
      <c r="AQ30" s="105">
        <f>AR30-SUM(AN30:AP30)</f>
        <v>294</v>
      </c>
      <c r="AR30" s="291">
        <v>1157</v>
      </c>
      <c r="AS30" s="288">
        <v>287</v>
      </c>
      <c r="AT30" s="2028">
        <v>290</v>
      </c>
      <c r="AU30" s="2028">
        <v>305</v>
      </c>
      <c r="AV30" s="105">
        <f>AW30-SUM(AS30:AU30)</f>
        <v>296</v>
      </c>
      <c r="AW30" s="291">
        <v>1178</v>
      </c>
      <c r="AX30" s="114">
        <f>AS30+AX98</f>
        <v>293.83569115758178</v>
      </c>
      <c r="AY30" s="115">
        <f>AT30+AY98</f>
        <v>299.47786251276068</v>
      </c>
      <c r="AZ30" s="115">
        <f>AU30+AZ98</f>
        <v>311.68566247673988</v>
      </c>
      <c r="BA30" s="105">
        <f>AV30+BA98</f>
        <v>301.91217859101675</v>
      </c>
      <c r="BB30" s="21">
        <f>SUM(AX30:BA30)</f>
        <v>1206.911394738099</v>
      </c>
      <c r="BC30" s="114">
        <f>AX30+BC98</f>
        <v>290.05397440836174</v>
      </c>
      <c r="BD30" s="115">
        <f>AY30+BD98</f>
        <v>297.94050113559922</v>
      </c>
      <c r="BE30" s="115">
        <f>AZ30+BE98</f>
        <v>293.19075189368249</v>
      </c>
      <c r="BF30" s="105">
        <f>BA30+BF98</f>
        <v>284.83491016122633</v>
      </c>
      <c r="BG30" s="21">
        <f>SUM(BC30:BF30)</f>
        <v>1166.02013759887</v>
      </c>
      <c r="BH30" s="114">
        <f>BC30+BH98</f>
        <v>280.06186082174651</v>
      </c>
      <c r="BI30" s="115">
        <f>BD30+BI98</f>
        <v>296.41170076389409</v>
      </c>
      <c r="BJ30" s="115">
        <f>BE30+BJ98</f>
        <v>306.07185686689166</v>
      </c>
      <c r="BK30" s="105">
        <f>BF30+BK98</f>
        <v>297.84068571370881</v>
      </c>
      <c r="BL30" s="21">
        <f>SUM(BH30:BK30)</f>
        <v>1180.386104166241</v>
      </c>
      <c r="BM30" s="114">
        <f>BH30+BM98</f>
        <v>293.66103954569843</v>
      </c>
      <c r="BN30" s="115">
        <f>BI30+BN98</f>
        <v>316.36062459758062</v>
      </c>
      <c r="BO30" s="115">
        <f>BJ30+BO98</f>
        <v>314.49661039395482</v>
      </c>
      <c r="BP30" s="105">
        <f>BK30+BP98</f>
        <v>303.93343756447524</v>
      </c>
      <c r="BQ30" s="21">
        <f>SUM(BM30:BP30)</f>
        <v>1228.4517121017091</v>
      </c>
      <c r="BR30" s="23"/>
      <c r="BS30" s="23"/>
      <c r="BT30"/>
      <c r="BU30"/>
      <c r="BV30"/>
      <c r="BW30"/>
      <c r="BX30"/>
      <c r="BY30"/>
    </row>
    <row r="31" spans="1:94" s="257" customFormat="1">
      <c r="A31" s="269"/>
      <c r="B31" s="269"/>
      <c r="C31" s="120" t="s">
        <v>251</v>
      </c>
      <c r="D31" s="255"/>
      <c r="E31" s="288">
        <v>-28</v>
      </c>
      <c r="F31" s="289">
        <v>-33</v>
      </c>
      <c r="G31" s="289">
        <v>-35</v>
      </c>
      <c r="H31" s="290">
        <f>+I31-G31-F31-E31</f>
        <v>-35</v>
      </c>
      <c r="I31" s="291">
        <f>-(130+1)</f>
        <v>-131</v>
      </c>
      <c r="J31" s="101">
        <v>-41</v>
      </c>
      <c r="K31" s="75">
        <v>-40</v>
      </c>
      <c r="L31" s="75">
        <v>-41</v>
      </c>
      <c r="M31" s="290">
        <f>+N31-L31-K31-J31</f>
        <v>-43</v>
      </c>
      <c r="N31" s="291">
        <v>-165</v>
      </c>
      <c r="O31" s="101">
        <f>-38-P31</f>
        <v>-18</v>
      </c>
      <c r="P31" s="75">
        <v>-20</v>
      </c>
      <c r="Q31" s="75">
        <v>-17</v>
      </c>
      <c r="R31" s="105">
        <f>S31-SUM(O31:Q31)</f>
        <v>-15</v>
      </c>
      <c r="S31" s="291">
        <v>-70</v>
      </c>
      <c r="T31" s="101">
        <v>-17</v>
      </c>
      <c r="U31" s="75">
        <v>-19</v>
      </c>
      <c r="V31" s="75">
        <v>-18</v>
      </c>
      <c r="W31" s="105">
        <f>X31-SUM(T31:V31)</f>
        <v>-18</v>
      </c>
      <c r="X31" s="291">
        <v>-72</v>
      </c>
      <c r="Y31" s="101">
        <v>-15</v>
      </c>
      <c r="Z31" s="75">
        <v>-19</v>
      </c>
      <c r="AA31" s="75">
        <v>-17</v>
      </c>
      <c r="AB31" s="105">
        <f>AC31-SUM(Y31:AA31)</f>
        <v>-24</v>
      </c>
      <c r="AC31" s="291">
        <v>-75</v>
      </c>
      <c r="AD31" s="101">
        <v>-22</v>
      </c>
      <c r="AE31" s="75">
        <v>-32</v>
      </c>
      <c r="AF31" s="75">
        <v>-28</v>
      </c>
      <c r="AG31" s="105">
        <f>AH31-SUM(AD31:AF31)</f>
        <v>-36</v>
      </c>
      <c r="AH31" s="291">
        <v>-118</v>
      </c>
      <c r="AI31" s="101">
        <v>-34</v>
      </c>
      <c r="AJ31" s="75">
        <v>-33</v>
      </c>
      <c r="AK31" s="75">
        <v>-26</v>
      </c>
      <c r="AL31" s="105">
        <f>AM31-SUM(AI31:AK31)</f>
        <v>-24</v>
      </c>
      <c r="AM31" s="291">
        <v>-117</v>
      </c>
      <c r="AN31" s="101">
        <v>-25</v>
      </c>
      <c r="AO31" s="75">
        <v>-26</v>
      </c>
      <c r="AP31" s="75">
        <v>-28</v>
      </c>
      <c r="AQ31" s="105">
        <f>AR31-SUM(AN31:AP31)</f>
        <v>-24</v>
      </c>
      <c r="AR31" s="291">
        <v>-103</v>
      </c>
      <c r="AS31" s="101">
        <v>-20</v>
      </c>
      <c r="AT31" s="75">
        <v>-20</v>
      </c>
      <c r="AU31" s="75">
        <v>-19</v>
      </c>
      <c r="AV31" s="105">
        <f>AW31-SUM(AS31:AU31)</f>
        <v>-20</v>
      </c>
      <c r="AW31" s="291">
        <v>-79</v>
      </c>
      <c r="AX31" s="114">
        <f>Parent!AX26+Distribution!AX26+Transmission!AX24+Competitive!AX25</f>
        <v>-25</v>
      </c>
      <c r="AY31" s="115">
        <f>Parent!AY26+Distribution!AY26+Transmission!AY24+Competitive!AY25</f>
        <v>-25</v>
      </c>
      <c r="AZ31" s="115">
        <f>Parent!AZ26+Distribution!AZ26+Transmission!AZ24+Competitive!AZ25</f>
        <v>-24</v>
      </c>
      <c r="BA31" s="105">
        <f>Parent!BA26+Distribution!BA26+Transmission!BA24+Competitive!BA25</f>
        <v>-25</v>
      </c>
      <c r="BB31" s="113">
        <f>SUM(AX31:BA31)</f>
        <v>-99</v>
      </c>
      <c r="BC31" s="114">
        <f>Parent!BC26+Distribution!BC26+Transmission!BC24+Competitive!BC25</f>
        <v>-25</v>
      </c>
      <c r="BD31" s="115">
        <f>Parent!BD26+Distribution!BD26+Transmission!BD24+Competitive!BD25</f>
        <v>-25</v>
      </c>
      <c r="BE31" s="115">
        <f>Parent!BE26+Distribution!BE26+Transmission!BE24+Competitive!BE25</f>
        <v>-24</v>
      </c>
      <c r="BF31" s="105">
        <f>Parent!BF26+Distribution!BF26+Transmission!BF24+Competitive!BF25</f>
        <v>-25</v>
      </c>
      <c r="BG31" s="113">
        <f>SUM(BC31:BF31)</f>
        <v>-99</v>
      </c>
      <c r="BH31" s="114">
        <f>Parent!BH26+Distribution!BH26+Transmission!BH24+Competitive!BH25</f>
        <v>-25</v>
      </c>
      <c r="BI31" s="115">
        <f>Parent!BI26+Distribution!BI26+Transmission!BI24+Competitive!BI25</f>
        <v>-25</v>
      </c>
      <c r="BJ31" s="115">
        <f>Parent!BJ26+Distribution!BJ26+Transmission!BJ24+Competitive!BJ25</f>
        <v>-24</v>
      </c>
      <c r="BK31" s="105">
        <f>Parent!BK26+Distribution!BK26+Transmission!BK24+Competitive!BK25</f>
        <v>-25</v>
      </c>
      <c r="BL31" s="113">
        <f>SUM(BH31:BK31)</f>
        <v>-99</v>
      </c>
      <c r="BM31" s="114">
        <f>Parent!BM26+Distribution!BM26+Transmission!BM24+Competitive!BM25</f>
        <v>-25</v>
      </c>
      <c r="BN31" s="115">
        <f>Parent!BN26+Distribution!BN26+Transmission!BN24+Competitive!BN25</f>
        <v>-25</v>
      </c>
      <c r="BO31" s="115">
        <f>Parent!BO26+Distribution!BO26+Transmission!BO24+Competitive!BO25</f>
        <v>-24</v>
      </c>
      <c r="BP31" s="105">
        <f>Parent!BP26+Distribution!BP26+Transmission!BP24+Competitive!BP25</f>
        <v>-25</v>
      </c>
      <c r="BQ31" s="113">
        <f>SUM(BM31:BP31)</f>
        <v>-99</v>
      </c>
      <c r="BT31"/>
      <c r="BU31"/>
      <c r="BV31"/>
      <c r="BW31"/>
      <c r="BX31"/>
      <c r="BY31"/>
    </row>
    <row r="32" spans="1:94" s="81" customFormat="1">
      <c r="A32" s="221"/>
      <c r="B32" s="269"/>
      <c r="C32" s="242" t="s">
        <v>400</v>
      </c>
      <c r="E32" s="305">
        <f>SUM(E30:E31)</f>
        <v>166</v>
      </c>
      <c r="F32" s="306">
        <f>SUM(F30:F31)</f>
        <v>173</v>
      </c>
      <c r="G32" s="306">
        <f>SUM(G30:G31)</f>
        <v>320</v>
      </c>
      <c r="H32" s="314">
        <f>SUM(H30:H31)</f>
        <v>188</v>
      </c>
      <c r="I32" s="308">
        <f>SUM(I30:I31)</f>
        <v>847</v>
      </c>
      <c r="J32" s="305">
        <f t="shared" ref="J32:AR32" si="41">SUM(J30:J31)</f>
        <v>172</v>
      </c>
      <c r="K32" s="306">
        <f t="shared" si="41"/>
        <v>167</v>
      </c>
      <c r="L32" s="306">
        <f t="shared" si="41"/>
        <v>167</v>
      </c>
      <c r="M32" s="314">
        <f t="shared" si="41"/>
        <v>174</v>
      </c>
      <c r="N32" s="308">
        <f t="shared" si="41"/>
        <v>680</v>
      </c>
      <c r="O32" s="305">
        <f t="shared" si="41"/>
        <v>213</v>
      </c>
      <c r="P32" s="306">
        <f t="shared" si="41"/>
        <v>245</v>
      </c>
      <c r="Q32" s="306">
        <f t="shared" si="41"/>
        <v>250</v>
      </c>
      <c r="R32" s="307">
        <f t="shared" si="41"/>
        <v>230</v>
      </c>
      <c r="S32" s="308">
        <f t="shared" si="41"/>
        <v>938</v>
      </c>
      <c r="T32" s="305">
        <f t="shared" si="41"/>
        <v>229</v>
      </c>
      <c r="U32" s="306">
        <f t="shared" si="41"/>
        <v>255</v>
      </c>
      <c r="V32" s="306">
        <f t="shared" si="41"/>
        <v>212</v>
      </c>
      <c r="W32" s="307">
        <f t="shared" si="41"/>
        <v>233</v>
      </c>
      <c r="X32" s="308">
        <f t="shared" si="41"/>
        <v>929</v>
      </c>
      <c r="Y32" s="305">
        <f t="shared" si="41"/>
        <v>241</v>
      </c>
      <c r="Z32" s="306">
        <f t="shared" si="41"/>
        <v>237</v>
      </c>
      <c r="AA32" s="306">
        <f t="shared" si="41"/>
        <v>240</v>
      </c>
      <c r="AB32" s="307">
        <f>SUM(AB30:AB31)</f>
        <v>223</v>
      </c>
      <c r="AC32" s="308">
        <f>SUM(AC30:AC31)</f>
        <v>941</v>
      </c>
      <c r="AD32" s="305">
        <f t="shared" si="41"/>
        <v>243</v>
      </c>
      <c r="AE32" s="306">
        <f t="shared" si="41"/>
        <v>230</v>
      </c>
      <c r="AF32" s="306">
        <f t="shared" si="41"/>
        <v>247</v>
      </c>
      <c r="AG32" s="307">
        <f>SUM(AG30:AG31)</f>
        <v>235</v>
      </c>
      <c r="AH32" s="308">
        <f>SUM(AH30:AH31)</f>
        <v>955</v>
      </c>
      <c r="AI32" s="305">
        <f>SUM(AI30:AI31)</f>
        <v>245</v>
      </c>
      <c r="AJ32" s="306">
        <f>SUM(AJ30:AJ31)</f>
        <v>249</v>
      </c>
      <c r="AK32" s="306">
        <f t="shared" ref="AK32" si="42">SUM(AK30:AK31)</f>
        <v>259</v>
      </c>
      <c r="AL32" s="307">
        <f>SUM(AL30:AL31)</f>
        <v>262</v>
      </c>
      <c r="AM32" s="308">
        <f>SUM(AM30:AM31)</f>
        <v>1015</v>
      </c>
      <c r="AN32" s="305">
        <f>SUM(AN30:AN31)</f>
        <v>263</v>
      </c>
      <c r="AO32" s="2029">
        <f>SUM(AO30:AO31)</f>
        <v>263</v>
      </c>
      <c r="AP32" s="2029">
        <f t="shared" si="41"/>
        <v>258</v>
      </c>
      <c r="AQ32" s="307">
        <f>SUM(AQ30:AQ31)</f>
        <v>270</v>
      </c>
      <c r="AR32" s="308">
        <f t="shared" si="41"/>
        <v>1054</v>
      </c>
      <c r="AS32" s="305">
        <f>SUM(AS30:AS31)</f>
        <v>267</v>
      </c>
      <c r="AT32" s="2029">
        <f>SUM(AT30:AT31)</f>
        <v>270</v>
      </c>
      <c r="AU32" s="2029">
        <f t="shared" ref="AU32:BB32" si="43">SUM(AU30:AU31)</f>
        <v>286</v>
      </c>
      <c r="AV32" s="307">
        <f>SUM(AV30:AV31)</f>
        <v>276</v>
      </c>
      <c r="AW32" s="308">
        <f t="shared" ref="AW32" si="44">SUM(AW30:AW31)</f>
        <v>1099</v>
      </c>
      <c r="AX32" s="305">
        <f t="shared" si="43"/>
        <v>268.83569115758178</v>
      </c>
      <c r="AY32" s="306">
        <f t="shared" si="43"/>
        <v>274.47786251276068</v>
      </c>
      <c r="AZ32" s="306">
        <f t="shared" si="43"/>
        <v>287.68566247673988</v>
      </c>
      <c r="BA32" s="307">
        <f t="shared" si="43"/>
        <v>276.91217859101675</v>
      </c>
      <c r="BB32" s="308">
        <f t="shared" si="43"/>
        <v>1107.911394738099</v>
      </c>
      <c r="BC32" s="305">
        <f t="shared" ref="BC32:BL32" si="45">SUM(BC30:BC31)</f>
        <v>265.05397440836174</v>
      </c>
      <c r="BD32" s="306">
        <f t="shared" si="45"/>
        <v>272.94050113559922</v>
      </c>
      <c r="BE32" s="306">
        <f t="shared" si="45"/>
        <v>269.19075189368249</v>
      </c>
      <c r="BF32" s="307">
        <f t="shared" si="45"/>
        <v>259.83491016122633</v>
      </c>
      <c r="BG32" s="308">
        <f t="shared" si="45"/>
        <v>1067.02013759887</v>
      </c>
      <c r="BH32" s="305">
        <f t="shared" si="45"/>
        <v>255.06186082174651</v>
      </c>
      <c r="BI32" s="306">
        <f t="shared" si="45"/>
        <v>271.41170076389409</v>
      </c>
      <c r="BJ32" s="306">
        <f t="shared" si="45"/>
        <v>282.07185686689166</v>
      </c>
      <c r="BK32" s="307">
        <f t="shared" si="45"/>
        <v>272.84068571370881</v>
      </c>
      <c r="BL32" s="308">
        <f t="shared" si="45"/>
        <v>1081.386104166241</v>
      </c>
      <c r="BM32" s="305">
        <f t="shared" ref="BM32:BQ32" si="46">SUM(BM30:BM31)</f>
        <v>268.66103954569843</v>
      </c>
      <c r="BN32" s="306">
        <f t="shared" si="46"/>
        <v>291.36062459758062</v>
      </c>
      <c r="BO32" s="306">
        <f t="shared" si="46"/>
        <v>290.49661039395482</v>
      </c>
      <c r="BP32" s="307">
        <f t="shared" si="46"/>
        <v>278.93343756447524</v>
      </c>
      <c r="BQ32" s="308">
        <f t="shared" si="46"/>
        <v>1129.4517121017091</v>
      </c>
      <c r="BT32"/>
      <c r="BU32"/>
      <c r="BV32"/>
      <c r="BW32"/>
      <c r="BX32"/>
      <c r="BY32"/>
    </row>
    <row r="33" spans="1:94" s="257" customFormat="1">
      <c r="A33" s="269"/>
      <c r="B33" s="269"/>
      <c r="C33" s="120"/>
      <c r="D33" s="255"/>
      <c r="E33" s="288"/>
      <c r="F33" s="289"/>
      <c r="G33" s="289"/>
      <c r="H33" s="290"/>
      <c r="I33" s="291"/>
      <c r="J33" s="101"/>
      <c r="K33" s="75"/>
      <c r="L33" s="75"/>
      <c r="M33" s="290"/>
      <c r="N33" s="291"/>
      <c r="O33" s="101"/>
      <c r="P33" s="75"/>
      <c r="Q33" s="75"/>
      <c r="R33" s="105"/>
      <c r="S33" s="291"/>
      <c r="T33" s="101"/>
      <c r="U33" s="75"/>
      <c r="V33" s="75"/>
      <c r="W33" s="105"/>
      <c r="X33" s="291"/>
      <c r="Y33" s="101"/>
      <c r="Z33" s="75"/>
      <c r="AA33" s="75"/>
      <c r="AB33" s="105"/>
      <c r="AC33" s="291"/>
      <c r="AD33" s="101"/>
      <c r="AE33" s="75"/>
      <c r="AF33" s="75"/>
      <c r="AG33" s="105"/>
      <c r="AH33" s="291"/>
      <c r="AI33" s="101"/>
      <c r="AJ33" s="75"/>
      <c r="AK33" s="75"/>
      <c r="AL33" s="105"/>
      <c r="AM33" s="291"/>
      <c r="AN33" s="101"/>
      <c r="AO33" s="75"/>
      <c r="AP33" s="75"/>
      <c r="AQ33" s="105"/>
      <c r="AR33" s="113"/>
      <c r="AS33" s="101"/>
      <c r="AT33" s="75"/>
      <c r="AU33" s="115"/>
      <c r="AV33" s="105"/>
      <c r="AW33" s="113"/>
      <c r="AX33" s="114"/>
      <c r="AY33" s="115"/>
      <c r="AZ33" s="115"/>
      <c r="BA33" s="105"/>
      <c r="BB33" s="113"/>
      <c r="BC33" s="114"/>
      <c r="BD33" s="115"/>
      <c r="BE33" s="115"/>
      <c r="BF33" s="105"/>
      <c r="BG33" s="113"/>
      <c r="BH33" s="114"/>
      <c r="BI33" s="115"/>
      <c r="BJ33" s="115"/>
      <c r="BK33" s="105"/>
      <c r="BL33" s="113"/>
      <c r="BM33" s="114"/>
      <c r="BN33" s="115"/>
      <c r="BO33" s="115"/>
      <c r="BP33" s="105"/>
      <c r="BQ33" s="113"/>
      <c r="BT33"/>
      <c r="BU33"/>
      <c r="BV33"/>
      <c r="BW33"/>
      <c r="BX33"/>
      <c r="BY33"/>
    </row>
    <row r="34" spans="1:94" s="23" customFormat="1">
      <c r="A34" s="261"/>
      <c r="B34" s="261"/>
      <c r="C34" s="242" t="s">
        <v>201</v>
      </c>
      <c r="D34" s="255"/>
      <c r="E34" s="106">
        <f>E27-E32</f>
        <v>169</v>
      </c>
      <c r="F34" s="76">
        <f t="shared" ref="F34:AR34" si="47">F27-F32</f>
        <v>656</v>
      </c>
      <c r="G34" s="76">
        <f t="shared" si="47"/>
        <v>358</v>
      </c>
      <c r="H34" s="107">
        <f t="shared" si="47"/>
        <v>-143</v>
      </c>
      <c r="I34" s="93">
        <f t="shared" si="47"/>
        <v>1040</v>
      </c>
      <c r="J34" s="106">
        <f t="shared" si="47"/>
        <v>260</v>
      </c>
      <c r="K34" s="76">
        <f t="shared" si="47"/>
        <v>390</v>
      </c>
      <c r="L34" s="76">
        <f t="shared" si="47"/>
        <v>294</v>
      </c>
      <c r="M34" s="107">
        <f t="shared" si="47"/>
        <v>236</v>
      </c>
      <c r="N34" s="93">
        <f t="shared" si="47"/>
        <v>1180</v>
      </c>
      <c r="O34" s="106">
        <f t="shared" si="47"/>
        <v>158</v>
      </c>
      <c r="P34" s="76">
        <f t="shared" si="47"/>
        <v>307</v>
      </c>
      <c r="Q34" s="76">
        <f>Q27-Q32</f>
        <v>855</v>
      </c>
      <c r="R34" s="107">
        <f>R27-R32</f>
        <v>123</v>
      </c>
      <c r="S34" s="93">
        <f t="shared" si="47"/>
        <v>1443</v>
      </c>
      <c r="T34" s="106">
        <f>T27-T32</f>
        <v>528</v>
      </c>
      <c r="U34" s="76">
        <f t="shared" si="47"/>
        <v>315</v>
      </c>
      <c r="V34" s="76">
        <f>V27-V32</f>
        <v>734</v>
      </c>
      <c r="W34" s="107">
        <f t="shared" si="47"/>
        <v>-253</v>
      </c>
      <c r="X34" s="93">
        <f t="shared" si="47"/>
        <v>1324</v>
      </c>
      <c r="Y34" s="106">
        <f t="shared" si="47"/>
        <v>312</v>
      </c>
      <c r="Z34" s="76">
        <f t="shared" ref="Z34:AF34" si="48">Z27-Z32</f>
        <v>-222</v>
      </c>
      <c r="AA34" s="76">
        <f t="shared" si="48"/>
        <v>286</v>
      </c>
      <c r="AB34" s="107">
        <f t="shared" si="48"/>
        <v>194</v>
      </c>
      <c r="AC34" s="93">
        <f t="shared" si="48"/>
        <v>570</v>
      </c>
      <c r="AD34" s="106">
        <f t="shared" si="48"/>
        <v>170</v>
      </c>
      <c r="AE34" s="76">
        <f t="shared" si="48"/>
        <v>90</v>
      </c>
      <c r="AF34" s="76">
        <f t="shared" si="48"/>
        <v>485</v>
      </c>
      <c r="AG34" s="107">
        <f>AG27-AG32</f>
        <v>-574</v>
      </c>
      <c r="AH34" s="93">
        <f>AH27-AH32</f>
        <v>171</v>
      </c>
      <c r="AI34" s="106">
        <f>AI27-AI32</f>
        <v>366</v>
      </c>
      <c r="AJ34" s="76">
        <f>AJ27-AJ32</f>
        <v>302</v>
      </c>
      <c r="AK34" s="76">
        <f t="shared" ref="AK34" si="49">AK27-AK32</f>
        <v>621</v>
      </c>
      <c r="AL34" s="107">
        <f>AL27-AL32</f>
        <v>-396</v>
      </c>
      <c r="AM34" s="93">
        <f>AM27-AM32</f>
        <v>893</v>
      </c>
      <c r="AN34" s="106">
        <f>AN27-AN32</f>
        <v>541</v>
      </c>
      <c r="AO34" s="76">
        <f>AO27-AO32</f>
        <v>-1219</v>
      </c>
      <c r="AP34" s="76">
        <f t="shared" si="47"/>
        <v>631</v>
      </c>
      <c r="AQ34" s="107">
        <f>AQ27-AQ32</f>
        <v>-9185</v>
      </c>
      <c r="AR34" s="93">
        <f t="shared" si="47"/>
        <v>-9232</v>
      </c>
      <c r="AS34" s="106">
        <f>AS27-AS32</f>
        <v>331</v>
      </c>
      <c r="AT34" s="76">
        <f>AT27-AT32</f>
        <v>291</v>
      </c>
      <c r="AU34" s="76">
        <f t="shared" ref="AU34:BB34" si="50">AU27-AU32</f>
        <v>635</v>
      </c>
      <c r="AV34" s="107">
        <f>AV27-AV32</f>
        <v>-2086</v>
      </c>
      <c r="AW34" s="93">
        <f t="shared" ref="AW34" si="51">AW27-AW32</f>
        <v>-829</v>
      </c>
      <c r="AX34" s="106">
        <f t="shared" si="50"/>
        <v>484.1361328543901</v>
      </c>
      <c r="AY34" s="76">
        <f t="shared" si="50"/>
        <v>326.4320620531447</v>
      </c>
      <c r="AZ34" s="76">
        <f t="shared" si="50"/>
        <v>457.63238799863967</v>
      </c>
      <c r="BA34" s="107">
        <f t="shared" si="50"/>
        <v>357.21149584739555</v>
      </c>
      <c r="BB34" s="93">
        <f t="shared" si="50"/>
        <v>1625.4120787535705</v>
      </c>
      <c r="BC34" s="106">
        <f t="shared" ref="BC34:BL34" si="52">BC27-BC32</f>
        <v>427.09750032481719</v>
      </c>
      <c r="BD34" s="76">
        <f t="shared" si="52"/>
        <v>314.80531665296542</v>
      </c>
      <c r="BE34" s="76">
        <f t="shared" si="52"/>
        <v>466.22908014898877</v>
      </c>
      <c r="BF34" s="107">
        <f t="shared" si="52"/>
        <v>354.02129654977517</v>
      </c>
      <c r="BG34" s="93">
        <f t="shared" si="52"/>
        <v>1562.153193676545</v>
      </c>
      <c r="BH34" s="106">
        <f t="shared" si="52"/>
        <v>399.36442787016989</v>
      </c>
      <c r="BI34" s="76">
        <f t="shared" si="52"/>
        <v>281.19039477746554</v>
      </c>
      <c r="BJ34" s="76">
        <f t="shared" si="52"/>
        <v>426.55514525795667</v>
      </c>
      <c r="BK34" s="107">
        <f t="shared" si="52"/>
        <v>316.85972177784106</v>
      </c>
      <c r="BL34" s="93">
        <f t="shared" si="52"/>
        <v>1423.969689683435</v>
      </c>
      <c r="BM34" s="106">
        <f t="shared" ref="BM34:BQ34" si="53">BM27-BM32</f>
        <v>468.01443797943358</v>
      </c>
      <c r="BN34" s="76">
        <f t="shared" si="53"/>
        <v>320.90655319452395</v>
      </c>
      <c r="BO34" s="76">
        <f t="shared" si="53"/>
        <v>482.69014879338306</v>
      </c>
      <c r="BP34" s="107">
        <f t="shared" si="53"/>
        <v>421.75056485214651</v>
      </c>
      <c r="BQ34" s="93">
        <f t="shared" si="53"/>
        <v>1693.3617048194862</v>
      </c>
      <c r="BT34"/>
      <c r="BU34"/>
      <c r="BV34"/>
      <c r="BW34"/>
      <c r="BX34"/>
      <c r="BY34"/>
    </row>
    <row r="35" spans="1:94" s="23" customFormat="1">
      <c r="A35" s="261"/>
      <c r="B35" s="261"/>
      <c r="C35" s="261"/>
      <c r="D35" s="262"/>
      <c r="E35" s="169"/>
      <c r="F35" s="167"/>
      <c r="G35" s="167"/>
      <c r="H35" s="168"/>
      <c r="I35" s="21"/>
      <c r="J35" s="169"/>
      <c r="K35" s="167"/>
      <c r="L35" s="167"/>
      <c r="M35" s="168"/>
      <c r="N35" s="21"/>
      <c r="O35" s="169"/>
      <c r="P35" s="167"/>
      <c r="Q35" s="167"/>
      <c r="R35" s="168"/>
      <c r="S35" s="1257"/>
      <c r="T35" s="169"/>
      <c r="U35" s="167"/>
      <c r="V35" s="167"/>
      <c r="W35" s="168"/>
      <c r="X35" s="1257"/>
      <c r="Y35" s="169"/>
      <c r="Z35" s="167"/>
      <c r="AA35" s="167"/>
      <c r="AB35" s="168"/>
      <c r="AC35" s="1257"/>
      <c r="AD35" s="169"/>
      <c r="AE35" s="167"/>
      <c r="AF35" s="167"/>
      <c r="AG35" s="168"/>
      <c r="AH35" s="1257"/>
      <c r="AI35" s="169"/>
      <c r="AJ35" s="167"/>
      <c r="AK35" s="167"/>
      <c r="AL35" s="168"/>
      <c r="AM35" s="1257"/>
      <c r="AN35" s="169"/>
      <c r="AO35" s="167"/>
      <c r="AP35" s="167"/>
      <c r="AQ35" s="168"/>
      <c r="AR35" s="21"/>
      <c r="AS35" s="169"/>
      <c r="AT35" s="167"/>
      <c r="AU35" s="167"/>
      <c r="AV35" s="168"/>
      <c r="AW35" s="21"/>
      <c r="AX35" s="169"/>
      <c r="AY35" s="167"/>
      <c r="AZ35" s="167"/>
      <c r="BA35" s="168"/>
      <c r="BB35" s="21"/>
      <c r="BC35" s="169"/>
      <c r="BD35" s="167"/>
      <c r="BE35" s="167"/>
      <c r="BF35" s="168"/>
      <c r="BG35" s="21"/>
      <c r="BH35" s="169"/>
      <c r="BI35" s="167"/>
      <c r="BJ35" s="167"/>
      <c r="BK35" s="168"/>
      <c r="BL35" s="21"/>
      <c r="BM35" s="169"/>
      <c r="BN35" s="167"/>
      <c r="BO35" s="167"/>
      <c r="BP35" s="168"/>
      <c r="BQ35" s="21"/>
      <c r="BT35"/>
      <c r="BU35"/>
      <c r="BV35"/>
      <c r="BW35"/>
      <c r="BX35"/>
      <c r="BY35"/>
    </row>
    <row r="36" spans="1:94" s="23" customFormat="1">
      <c r="A36" s="261"/>
      <c r="B36" s="261"/>
      <c r="C36" s="261" t="s">
        <v>202</v>
      </c>
      <c r="D36" s="262"/>
      <c r="E36" s="288">
        <v>54</v>
      </c>
      <c r="F36" s="289">
        <v>248</v>
      </c>
      <c r="G36" s="289">
        <v>128</v>
      </c>
      <c r="H36" s="290">
        <f>+I36-G36-F36-E36</f>
        <v>-246</v>
      </c>
      <c r="I36" s="291">
        <f>245-61</f>
        <v>184</v>
      </c>
      <c r="J36" s="288">
        <v>111</v>
      </c>
      <c r="K36" s="289">
        <v>134</v>
      </c>
      <c r="L36" s="289">
        <v>119</v>
      </c>
      <c r="M36" s="290">
        <f>+N36-L36-K36-J36</f>
        <v>98</v>
      </c>
      <c r="N36" s="291">
        <f>482-20</f>
        <v>462</v>
      </c>
      <c r="O36" s="288">
        <f>225-P36</f>
        <v>111</v>
      </c>
      <c r="P36" s="289">
        <v>114</v>
      </c>
      <c r="Q36" s="289">
        <v>325</v>
      </c>
      <c r="R36" s="168">
        <f>S36-SUM(O36:Q36)</f>
        <v>24</v>
      </c>
      <c r="S36" s="291">
        <v>574</v>
      </c>
      <c r="T36" s="288">
        <v>222</v>
      </c>
      <c r="U36" s="289">
        <v>127</v>
      </c>
      <c r="V36" s="289">
        <v>309</v>
      </c>
      <c r="W36" s="168">
        <f>X36-SUM(T36:V36)</f>
        <v>-105</v>
      </c>
      <c r="X36" s="291">
        <v>553</v>
      </c>
      <c r="Y36" s="288">
        <v>116</v>
      </c>
      <c r="Z36" s="302">
        <v>-58</v>
      </c>
      <c r="AA36" s="302">
        <v>77</v>
      </c>
      <c r="AB36" s="168">
        <f>AC36-SUM(Y36:AA36)</f>
        <v>60</v>
      </c>
      <c r="AC36" s="291">
        <v>195</v>
      </c>
      <c r="AD36" s="288">
        <v>48</v>
      </c>
      <c r="AE36" s="302">
        <v>26</v>
      </c>
      <c r="AF36" s="302">
        <v>152</v>
      </c>
      <c r="AG36" s="168">
        <f>AH36-SUM(AD36:AF36)</f>
        <v>-268</v>
      </c>
      <c r="AH36" s="291">
        <v>-42</v>
      </c>
      <c r="AI36" s="288">
        <v>144</v>
      </c>
      <c r="AJ36" s="302">
        <v>115</v>
      </c>
      <c r="AK36" s="302">
        <v>226</v>
      </c>
      <c r="AL36" s="168">
        <f>AM36-SUM(AI36:AK36)</f>
        <v>-170</v>
      </c>
      <c r="AM36" s="291">
        <v>315</v>
      </c>
      <c r="AN36" s="288">
        <v>213</v>
      </c>
      <c r="AO36" s="2028">
        <v>-130</v>
      </c>
      <c r="AP36" s="2028">
        <v>251</v>
      </c>
      <c r="AQ36" s="168">
        <f>AR36-SUM(AN36:AP36)</f>
        <v>-3389</v>
      </c>
      <c r="AR36" s="291">
        <v>-3055</v>
      </c>
      <c r="AS36" s="288">
        <v>126</v>
      </c>
      <c r="AT36" s="2028">
        <v>117</v>
      </c>
      <c r="AU36" s="2028">
        <v>239</v>
      </c>
      <c r="AV36" s="168">
        <f>AW36-SUM(AS36:AU36)</f>
        <v>413</v>
      </c>
      <c r="AW36" s="291">
        <v>895</v>
      </c>
      <c r="AX36" s="114">
        <f>Distribution!AX31+Transmission!AX29+Competitive!AX30+Parent!AX31</f>
        <v>127.3662695642501</v>
      </c>
      <c r="AY36" s="167">
        <f>Distribution!AY31+Transmission!AY29+Competitive!AY30+Parent!AY31</f>
        <v>78.862984589401108</v>
      </c>
      <c r="AZ36" s="167">
        <f>Distribution!AZ31+Transmission!AZ29+Competitive!AZ30+Parent!AZ31</f>
        <v>112.8365218208348</v>
      </c>
      <c r="BA36" s="168">
        <f>Distribution!BA31+Transmission!BA29+Competitive!BA30+Parent!BA31</f>
        <v>84.481174843294298</v>
      </c>
      <c r="BB36" s="166">
        <f>SUM(AX36:BA36)</f>
        <v>403.54695081778027</v>
      </c>
      <c r="BC36" s="114">
        <f>Distribution!BC31+Transmission!BC29+Competitive!BC30+Parent!BC31</f>
        <v>103.07283443443789</v>
      </c>
      <c r="BD36" s="167">
        <f>Distribution!BD31+Transmission!BD29+Competitive!BD30+Parent!BD31</f>
        <v>71.667579397770496</v>
      </c>
      <c r="BE36" s="167">
        <f>Distribution!BE31+Transmission!BE29+Competitive!BE30+Parent!BE31</f>
        <v>111.4268818015275</v>
      </c>
      <c r="BF36" s="168">
        <f>Distribution!BF31+Transmission!BF29+Competitive!BF30+Parent!BF31</f>
        <v>79.081225320392363</v>
      </c>
      <c r="BG36" s="166">
        <f>SUM(BC36:BF36)</f>
        <v>365.24852095412825</v>
      </c>
      <c r="BH36" s="114">
        <f>Distribution!BH31+Transmission!BH29+Competitive!BH30+Parent!BH31</f>
        <v>93.74005270212696</v>
      </c>
      <c r="BI36" s="167">
        <f>Distribution!BI31+Transmission!BI29+Competitive!BI30+Parent!BI31</f>
        <v>61.065987126328281</v>
      </c>
      <c r="BJ36" s="167">
        <f>Distribution!BJ31+Transmission!BJ29+Competitive!BJ30+Parent!BJ31</f>
        <v>99.659115444188288</v>
      </c>
      <c r="BK36" s="168">
        <f>Distribution!BK31+Transmission!BK29+Competitive!BK30+Parent!BK31</f>
        <v>68.268637488104261</v>
      </c>
      <c r="BL36" s="166">
        <f>SUM(BH36:BK36)</f>
        <v>322.7337927607478</v>
      </c>
      <c r="BM36" s="114">
        <f>Distribution!BM31+Transmission!BM29+Competitive!BM30+Parent!BM31</f>
        <v>116.10783733952971</v>
      </c>
      <c r="BN36" s="167">
        <f>Distribution!BN31+Transmission!BN29+Competitive!BN30+Parent!BN31</f>
        <v>73.435695300016036</v>
      </c>
      <c r="BO36" s="167">
        <f>Distribution!BO31+Transmission!BO29+Competitive!BO30+Parent!BO31</f>
        <v>116.87226750932017</v>
      </c>
      <c r="BP36" s="168">
        <f>Distribution!BP31+Transmission!BP29+Competitive!BP30+Parent!BP31</f>
        <v>103.48470089387089</v>
      </c>
      <c r="BQ36" s="166">
        <f>SUM(BM36:BP36)</f>
        <v>409.90050104273678</v>
      </c>
      <c r="BT36"/>
      <c r="BU36"/>
      <c r="BV36"/>
      <c r="BW36"/>
      <c r="BX36"/>
      <c r="BY36"/>
    </row>
    <row r="37" spans="1:94" s="23" customFormat="1">
      <c r="A37" s="261"/>
      <c r="B37" s="261"/>
      <c r="C37" s="261"/>
      <c r="D37" s="262"/>
      <c r="E37" s="101"/>
      <c r="F37" s="75"/>
      <c r="G37" s="75"/>
      <c r="H37" s="102"/>
      <c r="I37" s="103"/>
      <c r="J37" s="101"/>
      <c r="K37" s="75"/>
      <c r="L37" s="75"/>
      <c r="M37" s="102"/>
      <c r="N37" s="103"/>
      <c r="O37" s="101"/>
      <c r="P37" s="75"/>
      <c r="Q37" s="75"/>
      <c r="R37" s="168"/>
      <c r="S37" s="103"/>
      <c r="T37" s="101"/>
      <c r="U37" s="75"/>
      <c r="V37" s="75"/>
      <c r="W37" s="168"/>
      <c r="X37" s="103"/>
      <c r="Y37" s="101"/>
      <c r="Z37" s="75"/>
      <c r="AA37" s="75"/>
      <c r="AB37" s="168"/>
      <c r="AC37" s="103"/>
      <c r="AD37" s="101"/>
      <c r="AE37" s="75"/>
      <c r="AF37" s="75"/>
      <c r="AG37" s="168"/>
      <c r="AH37" s="103"/>
      <c r="AI37" s="101"/>
      <c r="AJ37" s="75"/>
      <c r="AK37" s="75"/>
      <c r="AL37" s="168"/>
      <c r="AM37" s="103"/>
      <c r="AN37" s="101"/>
      <c r="AO37" s="75"/>
      <c r="AP37" s="75"/>
      <c r="AQ37" s="168"/>
      <c r="AR37" s="166"/>
      <c r="AS37" s="101"/>
      <c r="AT37" s="75"/>
      <c r="AU37" s="75"/>
      <c r="AV37" s="168"/>
      <c r="AW37" s="166"/>
      <c r="AX37" s="114"/>
      <c r="AY37" s="167"/>
      <c r="AZ37" s="167"/>
      <c r="BA37" s="168"/>
      <c r="BB37" s="166"/>
      <c r="BC37" s="114"/>
      <c r="BD37" s="167"/>
      <c r="BE37" s="167"/>
      <c r="BF37" s="168"/>
      <c r="BG37" s="166"/>
      <c r="BH37" s="114"/>
      <c r="BI37" s="167"/>
      <c r="BJ37" s="167"/>
      <c r="BK37" s="168"/>
      <c r="BL37" s="166"/>
      <c r="BM37" s="114"/>
      <c r="BN37" s="167"/>
      <c r="BO37" s="167"/>
      <c r="BP37" s="168"/>
      <c r="BQ37" s="166"/>
      <c r="BT37"/>
      <c r="BU37"/>
      <c r="BV37"/>
      <c r="BW37"/>
      <c r="BX37"/>
      <c r="BY37"/>
    </row>
    <row r="38" spans="1:94" s="23" customFormat="1">
      <c r="A38" s="260"/>
      <c r="B38" s="260"/>
      <c r="C38" s="242" t="s">
        <v>24</v>
      </c>
      <c r="D38" s="260"/>
      <c r="E38" s="106">
        <f t="shared" ref="E38:M38" si="54">E34-E36</f>
        <v>115</v>
      </c>
      <c r="F38" s="76">
        <f t="shared" si="54"/>
        <v>408</v>
      </c>
      <c r="G38" s="76">
        <f t="shared" si="54"/>
        <v>230</v>
      </c>
      <c r="H38" s="107">
        <f t="shared" si="54"/>
        <v>103</v>
      </c>
      <c r="I38" s="93">
        <f t="shared" si="54"/>
        <v>856</v>
      </c>
      <c r="J38" s="106">
        <f t="shared" si="54"/>
        <v>149</v>
      </c>
      <c r="K38" s="76">
        <f t="shared" si="54"/>
        <v>256</v>
      </c>
      <c r="L38" s="76">
        <f t="shared" si="54"/>
        <v>175</v>
      </c>
      <c r="M38" s="107">
        <f t="shared" si="54"/>
        <v>138</v>
      </c>
      <c r="N38" s="93">
        <f t="shared" ref="N38:T38" si="55">N34-N36</f>
        <v>718</v>
      </c>
      <c r="O38" s="106">
        <f t="shared" si="55"/>
        <v>47</v>
      </c>
      <c r="P38" s="76">
        <f t="shared" si="55"/>
        <v>193</v>
      </c>
      <c r="Q38" s="76">
        <f>Q34-Q36</f>
        <v>530</v>
      </c>
      <c r="R38" s="107">
        <f>R34-R36</f>
        <v>99</v>
      </c>
      <c r="S38" s="93">
        <f t="shared" si="55"/>
        <v>869</v>
      </c>
      <c r="T38" s="106">
        <f t="shared" si="55"/>
        <v>306</v>
      </c>
      <c r="U38" s="76">
        <f t="shared" ref="U38:AR38" si="56">U34-U36</f>
        <v>188</v>
      </c>
      <c r="V38" s="76">
        <f>V34-V36</f>
        <v>425</v>
      </c>
      <c r="W38" s="107">
        <f t="shared" si="56"/>
        <v>-148</v>
      </c>
      <c r="X38" s="93">
        <f t="shared" si="56"/>
        <v>771</v>
      </c>
      <c r="Y38" s="106">
        <f t="shared" si="56"/>
        <v>196</v>
      </c>
      <c r="Z38" s="76">
        <f t="shared" ref="Z38:AF38" si="57">Z34-Z36</f>
        <v>-164</v>
      </c>
      <c r="AA38" s="76">
        <f t="shared" si="57"/>
        <v>209</v>
      </c>
      <c r="AB38" s="107">
        <f t="shared" si="57"/>
        <v>134</v>
      </c>
      <c r="AC38" s="93">
        <f t="shared" si="57"/>
        <v>375</v>
      </c>
      <c r="AD38" s="106">
        <f t="shared" si="57"/>
        <v>122</v>
      </c>
      <c r="AE38" s="76">
        <f t="shared" si="57"/>
        <v>64</v>
      </c>
      <c r="AF38" s="76">
        <f t="shared" si="57"/>
        <v>333</v>
      </c>
      <c r="AG38" s="107">
        <f>AG34-AG36</f>
        <v>-306</v>
      </c>
      <c r="AH38" s="93">
        <f>AH34-AH36</f>
        <v>213</v>
      </c>
      <c r="AI38" s="106">
        <f>AI34-AI36</f>
        <v>222</v>
      </c>
      <c r="AJ38" s="76">
        <f>AJ34-AJ36</f>
        <v>187</v>
      </c>
      <c r="AK38" s="76">
        <f t="shared" ref="AK38" si="58">AK34-AK36</f>
        <v>395</v>
      </c>
      <c r="AL38" s="107">
        <f>AL34-AL36</f>
        <v>-226</v>
      </c>
      <c r="AM38" s="93">
        <f>AM34-AM36</f>
        <v>578</v>
      </c>
      <c r="AN38" s="106">
        <f>AN34-AN36</f>
        <v>328</v>
      </c>
      <c r="AO38" s="76">
        <f>AO34-AO36</f>
        <v>-1089</v>
      </c>
      <c r="AP38" s="76">
        <f t="shared" si="56"/>
        <v>380</v>
      </c>
      <c r="AQ38" s="107">
        <f>AQ34-AQ36</f>
        <v>-5796</v>
      </c>
      <c r="AR38" s="93">
        <f t="shared" si="56"/>
        <v>-6177</v>
      </c>
      <c r="AS38" s="106">
        <f>AS34-AS36</f>
        <v>205</v>
      </c>
      <c r="AT38" s="76">
        <f>AT34-AT36</f>
        <v>174</v>
      </c>
      <c r="AU38" s="76">
        <f t="shared" ref="AU38:BB38" si="59">AU34-AU36</f>
        <v>396</v>
      </c>
      <c r="AV38" s="107">
        <f>AV34-AV36</f>
        <v>-2499</v>
      </c>
      <c r="AW38" s="93">
        <f t="shared" ref="AW38" si="60">AW34-AW36</f>
        <v>-1724</v>
      </c>
      <c r="AX38" s="106">
        <f t="shared" si="59"/>
        <v>356.76986329013999</v>
      </c>
      <c r="AY38" s="76">
        <f t="shared" si="59"/>
        <v>247.56907746374361</v>
      </c>
      <c r="AZ38" s="76">
        <f t="shared" si="59"/>
        <v>344.7958661778049</v>
      </c>
      <c r="BA38" s="107">
        <f t="shared" si="59"/>
        <v>272.73032100410126</v>
      </c>
      <c r="BB38" s="93">
        <f t="shared" si="59"/>
        <v>1221.8651279357903</v>
      </c>
      <c r="BC38" s="106">
        <f t="shared" ref="BC38:BL38" si="61">BC34-BC36</f>
        <v>324.02466589037931</v>
      </c>
      <c r="BD38" s="76">
        <f t="shared" si="61"/>
        <v>243.13773725519491</v>
      </c>
      <c r="BE38" s="76">
        <f t="shared" si="61"/>
        <v>354.80219834746129</v>
      </c>
      <c r="BF38" s="107">
        <f t="shared" si="61"/>
        <v>274.9400712293828</v>
      </c>
      <c r="BG38" s="93">
        <f t="shared" si="61"/>
        <v>1196.9046727224168</v>
      </c>
      <c r="BH38" s="106">
        <f t="shared" si="61"/>
        <v>305.62437516804295</v>
      </c>
      <c r="BI38" s="76">
        <f t="shared" si="61"/>
        <v>220.12440765113726</v>
      </c>
      <c r="BJ38" s="76">
        <f t="shared" si="61"/>
        <v>326.89602981376839</v>
      </c>
      <c r="BK38" s="107">
        <f t="shared" si="61"/>
        <v>248.59108428973678</v>
      </c>
      <c r="BL38" s="93">
        <f t="shared" si="61"/>
        <v>1101.2358969226873</v>
      </c>
      <c r="BM38" s="106">
        <f t="shared" ref="BM38:BQ38" si="62">BM34-BM36</f>
        <v>351.9066006399039</v>
      </c>
      <c r="BN38" s="76">
        <f t="shared" si="62"/>
        <v>247.4708578945079</v>
      </c>
      <c r="BO38" s="76">
        <f t="shared" si="62"/>
        <v>365.81788128406288</v>
      </c>
      <c r="BP38" s="107">
        <f t="shared" si="62"/>
        <v>318.26586395827565</v>
      </c>
      <c r="BQ38" s="93">
        <f t="shared" si="62"/>
        <v>1283.4612037767495</v>
      </c>
      <c r="BR38" s="260"/>
      <c r="BS38" s="260"/>
      <c r="BT38"/>
      <c r="BU38"/>
      <c r="BV38"/>
      <c r="BW38"/>
      <c r="BX38"/>
      <c r="BY38"/>
      <c r="BZ38" s="260"/>
      <c r="CA38" s="260"/>
      <c r="CB38" s="260"/>
      <c r="CC38" s="260"/>
      <c r="CD38" s="260"/>
      <c r="CE38" s="260"/>
      <c r="CF38" s="260"/>
      <c r="CG38" s="260"/>
      <c r="CH38" s="260"/>
      <c r="CI38" s="260"/>
      <c r="CJ38" s="260"/>
      <c r="CK38" s="260"/>
      <c r="CL38" s="260"/>
      <c r="CM38" s="260"/>
      <c r="CN38" s="260"/>
      <c r="CO38" s="260"/>
      <c r="CP38" s="260"/>
    </row>
    <row r="39" spans="1:94" s="257" customFormat="1">
      <c r="A39" s="255"/>
      <c r="B39" s="255"/>
      <c r="C39" s="256" t="s">
        <v>761</v>
      </c>
      <c r="D39" s="255"/>
      <c r="E39" s="288">
        <v>4</v>
      </c>
      <c r="F39" s="289">
        <v>6</v>
      </c>
      <c r="G39" s="289">
        <v>4</v>
      </c>
      <c r="H39" s="290">
        <f>+I39-G39-F39-E39</f>
        <v>2</v>
      </c>
      <c r="I39" s="291">
        <v>16</v>
      </c>
      <c r="J39" s="288">
        <v>6</v>
      </c>
      <c r="K39" s="289">
        <v>9</v>
      </c>
      <c r="L39" s="289">
        <v>4</v>
      </c>
      <c r="M39" s="290">
        <f>+N39-L39-K39-J39</f>
        <v>5</v>
      </c>
      <c r="N39" s="291">
        <v>24</v>
      </c>
      <c r="O39" s="288">
        <f>15-P39</f>
        <v>5</v>
      </c>
      <c r="P39" s="289">
        <v>10</v>
      </c>
      <c r="Q39" s="289">
        <v>2</v>
      </c>
      <c r="R39" s="102">
        <f>S39-SUM(O39:Q39)</f>
        <v>-1</v>
      </c>
      <c r="S39" s="291">
        <v>16</v>
      </c>
      <c r="T39" s="288">
        <f>-1-U39</f>
        <v>0</v>
      </c>
      <c r="U39" s="289">
        <v>-1</v>
      </c>
      <c r="V39" s="289">
        <v>0</v>
      </c>
      <c r="W39" s="102">
        <f>X39-SUM(T39:V39)</f>
        <v>0</v>
      </c>
      <c r="X39" s="291">
        <v>-1</v>
      </c>
      <c r="Y39" s="288">
        <v>0</v>
      </c>
      <c r="Z39" s="302">
        <v>0</v>
      </c>
      <c r="AA39" s="302">
        <v>0</v>
      </c>
      <c r="AB39" s="102">
        <f>AC39-SUM(Y39:AA39)</f>
        <v>0</v>
      </c>
      <c r="AC39" s="291">
        <v>0</v>
      </c>
      <c r="AD39" s="288">
        <v>0</v>
      </c>
      <c r="AE39" s="302">
        <v>0</v>
      </c>
      <c r="AF39" s="302">
        <v>0</v>
      </c>
      <c r="AG39" s="102">
        <f>AH39-SUM(AD39:AF39)</f>
        <v>0</v>
      </c>
      <c r="AH39" s="291">
        <v>0</v>
      </c>
      <c r="AI39" s="288">
        <v>0</v>
      </c>
      <c r="AJ39" s="302">
        <v>0</v>
      </c>
      <c r="AK39" s="302">
        <v>0</v>
      </c>
      <c r="AL39" s="102">
        <f>AM39-SUM(AI39:AK39)</f>
        <v>0</v>
      </c>
      <c r="AM39" s="291">
        <v>0</v>
      </c>
      <c r="AN39" s="288">
        <v>0</v>
      </c>
      <c r="AO39" s="2028">
        <v>0</v>
      </c>
      <c r="AP39" s="2028">
        <v>0</v>
      </c>
      <c r="AQ39" s="102">
        <f>AR39-SUM(AN39:AP39)</f>
        <v>0</v>
      </c>
      <c r="AR39" s="291">
        <v>0</v>
      </c>
      <c r="AS39" s="288">
        <v>0</v>
      </c>
      <c r="AT39" s="2028">
        <v>0</v>
      </c>
      <c r="AU39" s="2028">
        <v>0</v>
      </c>
      <c r="AV39" s="102">
        <f>AW39-SUM(AS39:AU39)</f>
        <v>0</v>
      </c>
      <c r="AW39" s="291">
        <v>0</v>
      </c>
      <c r="AX39" s="104">
        <f>Parent!AX34</f>
        <v>0</v>
      </c>
      <c r="AY39" s="77">
        <f>Parent!AY34</f>
        <v>0</v>
      </c>
      <c r="AZ39" s="77">
        <f>Parent!AZ34</f>
        <v>0</v>
      </c>
      <c r="BA39" s="102">
        <f>Parent!BA34</f>
        <v>0</v>
      </c>
      <c r="BB39" s="96">
        <f>SUM(AX39:BA39)</f>
        <v>0</v>
      </c>
      <c r="BC39" s="104">
        <f>Parent!BC34</f>
        <v>0</v>
      </c>
      <c r="BD39" s="77">
        <f>Parent!BD34</f>
        <v>0</v>
      </c>
      <c r="BE39" s="77">
        <f>Parent!BE34</f>
        <v>0</v>
      </c>
      <c r="BF39" s="102">
        <f>Parent!BF34</f>
        <v>0</v>
      </c>
      <c r="BG39" s="96">
        <f>SUM(BC39:BF39)</f>
        <v>0</v>
      </c>
      <c r="BH39" s="104">
        <f>Parent!BH34</f>
        <v>0</v>
      </c>
      <c r="BI39" s="77">
        <f>Parent!BI34</f>
        <v>0</v>
      </c>
      <c r="BJ39" s="77">
        <f>Parent!BJ34</f>
        <v>0</v>
      </c>
      <c r="BK39" s="102">
        <f>Parent!BK34</f>
        <v>0</v>
      </c>
      <c r="BL39" s="96">
        <f>SUM(BH39:BK39)</f>
        <v>0</v>
      </c>
      <c r="BM39" s="104">
        <f>Parent!BM34</f>
        <v>0</v>
      </c>
      <c r="BN39" s="77">
        <f>Parent!BN34</f>
        <v>0</v>
      </c>
      <c r="BO39" s="77">
        <f>Parent!BO34</f>
        <v>0</v>
      </c>
      <c r="BP39" s="102">
        <f>Parent!BP34</f>
        <v>0</v>
      </c>
      <c r="BQ39" s="96">
        <f>SUM(BM39:BP39)</f>
        <v>0</v>
      </c>
      <c r="BR39" s="255"/>
      <c r="BS39" s="255"/>
      <c r="BT39"/>
      <c r="BU39"/>
      <c r="BV39"/>
      <c r="BW39"/>
      <c r="BX39"/>
      <c r="BY39"/>
      <c r="BZ39" s="255"/>
      <c r="CA39" s="255"/>
      <c r="CB39" s="255"/>
      <c r="CC39" s="255"/>
      <c r="CD39" s="255"/>
      <c r="CE39" s="255"/>
      <c r="CF39" s="255"/>
      <c r="CG39" s="255"/>
      <c r="CH39" s="255"/>
      <c r="CI39" s="255"/>
      <c r="CJ39" s="255"/>
      <c r="CK39" s="255"/>
      <c r="CL39" s="255"/>
      <c r="CM39" s="255"/>
      <c r="CN39" s="255"/>
      <c r="CO39" s="255"/>
      <c r="CP39" s="255"/>
    </row>
    <row r="40" spans="1:94" s="1584" customFormat="1">
      <c r="A40" s="263"/>
      <c r="B40" s="263"/>
      <c r="C40" s="270" t="s">
        <v>75</v>
      </c>
      <c r="D40" s="263"/>
      <c r="E40" s="301">
        <v>0</v>
      </c>
      <c r="F40" s="302">
        <v>0</v>
      </c>
      <c r="G40" s="302">
        <v>0</v>
      </c>
      <c r="H40" s="290">
        <f>+I40-G40-F40-E40</f>
        <v>0</v>
      </c>
      <c r="I40" s="300">
        <v>0</v>
      </c>
      <c r="J40" s="301">
        <v>0</v>
      </c>
      <c r="K40" s="302">
        <v>0</v>
      </c>
      <c r="L40" s="302">
        <v>0</v>
      </c>
      <c r="M40" s="290">
        <f>+N40-L40-K40-J40</f>
        <v>0</v>
      </c>
      <c r="N40" s="300">
        <v>0</v>
      </c>
      <c r="O40" s="301">
        <v>0</v>
      </c>
      <c r="P40" s="302">
        <v>0</v>
      </c>
      <c r="Q40" s="302">
        <v>0</v>
      </c>
      <c r="R40" s="290">
        <f>+S40-Q40-P40-O40</f>
        <v>0</v>
      </c>
      <c r="S40" s="300">
        <v>0</v>
      </c>
      <c r="T40" s="301">
        <v>0</v>
      </c>
      <c r="U40" s="302">
        <v>0</v>
      </c>
      <c r="V40" s="302">
        <v>3</v>
      </c>
      <c r="W40" s="290">
        <f>+X40-V40-U40-T40</f>
        <v>-3</v>
      </c>
      <c r="X40" s="300">
        <v>0</v>
      </c>
      <c r="Y40" s="301">
        <v>0</v>
      </c>
      <c r="Z40" s="302">
        <v>0</v>
      </c>
      <c r="AA40" s="302">
        <v>9</v>
      </c>
      <c r="AB40" s="290">
        <f>+AC40-AA40-Z40-Y40</f>
        <v>8</v>
      </c>
      <c r="AC40" s="300">
        <v>17</v>
      </c>
      <c r="AD40" s="301">
        <v>86</v>
      </c>
      <c r="AE40" s="302">
        <v>0</v>
      </c>
      <c r="AF40" s="302">
        <v>0</v>
      </c>
      <c r="AG40" s="290">
        <f>+AH40-AF40-AE40-AD40</f>
        <v>0</v>
      </c>
      <c r="AH40" s="300">
        <v>86</v>
      </c>
      <c r="AI40" s="301">
        <v>0</v>
      </c>
      <c r="AJ40" s="302">
        <v>0</v>
      </c>
      <c r="AK40" s="302">
        <v>0</v>
      </c>
      <c r="AL40" s="290">
        <f>+AM40-AK40-AJ40-AI40</f>
        <v>0</v>
      </c>
      <c r="AM40" s="300">
        <v>0</v>
      </c>
      <c r="AN40" s="301">
        <v>0</v>
      </c>
      <c r="AO40" s="2028">
        <v>0</v>
      </c>
      <c r="AP40" s="2028">
        <v>0</v>
      </c>
      <c r="AQ40" s="290">
        <f>+AR40-AP40-AO40-AN40</f>
        <v>0</v>
      </c>
      <c r="AR40" s="300">
        <v>0</v>
      </c>
      <c r="AS40" s="301">
        <v>0</v>
      </c>
      <c r="AT40" s="2028">
        <v>0</v>
      </c>
      <c r="AU40" s="2028">
        <v>0</v>
      </c>
      <c r="AV40" s="290">
        <f>+AW40-AU40-AT40-AS40</f>
        <v>0</v>
      </c>
      <c r="AW40" s="300">
        <v>0</v>
      </c>
      <c r="AX40" s="114">
        <f>+Competitive!AX33+Parent!AX35</f>
        <v>0</v>
      </c>
      <c r="AY40" s="115">
        <f>+Competitive!AY33+Parent!AY35</f>
        <v>0</v>
      </c>
      <c r="AZ40" s="115">
        <f>+Competitive!AZ33+Parent!AZ35</f>
        <v>0</v>
      </c>
      <c r="BA40" s="105">
        <f>+Competitive!BA33+Parent!BA35</f>
        <v>0</v>
      </c>
      <c r="BB40" s="113">
        <f>SUM(AX40:BA40)</f>
        <v>0</v>
      </c>
      <c r="BC40" s="114">
        <f>+Competitive!BC33+Parent!BC35</f>
        <v>0</v>
      </c>
      <c r="BD40" s="115">
        <f>+Competitive!BD33+Parent!BD35</f>
        <v>0</v>
      </c>
      <c r="BE40" s="115">
        <f>+Competitive!BE33+Parent!BE35</f>
        <v>0</v>
      </c>
      <c r="BF40" s="105">
        <f>+Competitive!BF33+Parent!BF35</f>
        <v>0</v>
      </c>
      <c r="BG40" s="113">
        <f>SUM(BC40:BF40)</f>
        <v>0</v>
      </c>
      <c r="BH40" s="114">
        <f>+Competitive!BH33+Parent!BH35</f>
        <v>0</v>
      </c>
      <c r="BI40" s="115">
        <f>+Competitive!BI33+Parent!BI35</f>
        <v>0</v>
      </c>
      <c r="BJ40" s="115">
        <f>+Competitive!BJ33+Parent!BJ35</f>
        <v>0</v>
      </c>
      <c r="BK40" s="105">
        <f>+Competitive!BK33+Parent!BK35</f>
        <v>0</v>
      </c>
      <c r="BL40" s="113">
        <f>SUM(BH40:BK40)</f>
        <v>0</v>
      </c>
      <c r="BM40" s="114">
        <f>+Competitive!BM33+Parent!BM35</f>
        <v>0</v>
      </c>
      <c r="BN40" s="115">
        <f>+Competitive!BN33+Parent!BN35</f>
        <v>0</v>
      </c>
      <c r="BO40" s="115">
        <f>+Competitive!BO33+Parent!BO35</f>
        <v>0</v>
      </c>
      <c r="BP40" s="105">
        <f>+Competitive!BP33+Parent!BP35</f>
        <v>0</v>
      </c>
      <c r="BQ40" s="113">
        <f>SUM(BM40:BP40)</f>
        <v>0</v>
      </c>
      <c r="BR40" s="263"/>
      <c r="BS40" s="263"/>
      <c r="BT40"/>
      <c r="BU40"/>
      <c r="BV40"/>
      <c r="BW40"/>
      <c r="BX40"/>
      <c r="BY40"/>
      <c r="BZ40" s="263"/>
      <c r="CA40" s="263"/>
      <c r="CB40" s="263"/>
      <c r="CC40" s="263"/>
      <c r="CD40" s="263"/>
      <c r="CE40" s="263"/>
      <c r="CF40" s="263"/>
      <c r="CG40" s="263"/>
      <c r="CH40" s="263"/>
      <c r="CI40" s="263"/>
      <c r="CJ40" s="263"/>
      <c r="CK40" s="263"/>
      <c r="CL40" s="263"/>
      <c r="CM40" s="263"/>
      <c r="CN40" s="263"/>
      <c r="CO40" s="263"/>
      <c r="CP40" s="263"/>
    </row>
    <row r="41" spans="1:94" s="1584" customFormat="1">
      <c r="A41" s="263"/>
      <c r="B41" s="263"/>
      <c r="C41" s="270"/>
      <c r="D41" s="263"/>
      <c r="E41" s="301"/>
      <c r="F41" s="302"/>
      <c r="G41" s="302"/>
      <c r="H41" s="290"/>
      <c r="I41" s="300"/>
      <c r="J41" s="301"/>
      <c r="K41" s="302"/>
      <c r="L41" s="302"/>
      <c r="M41" s="290"/>
      <c r="N41" s="300"/>
      <c r="O41" s="301"/>
      <c r="P41" s="302"/>
      <c r="Q41" s="302"/>
      <c r="R41" s="105"/>
      <c r="S41" s="300"/>
      <c r="T41" s="301"/>
      <c r="U41" s="302"/>
      <c r="V41" s="302"/>
      <c r="W41" s="105"/>
      <c r="X41" s="300"/>
      <c r="Y41" s="301"/>
      <c r="Z41" s="302"/>
      <c r="AA41" s="302"/>
      <c r="AB41" s="105"/>
      <c r="AC41" s="300"/>
      <c r="AD41" s="301"/>
      <c r="AE41" s="302"/>
      <c r="AF41" s="302"/>
      <c r="AG41" s="105"/>
      <c r="AH41" s="300"/>
      <c r="AI41" s="301"/>
      <c r="AJ41" s="302"/>
      <c r="AK41" s="302"/>
      <c r="AL41" s="105"/>
      <c r="AM41" s="300"/>
      <c r="AN41" s="301"/>
      <c r="AO41" s="2028"/>
      <c r="AP41" s="2028"/>
      <c r="AQ41" s="105"/>
      <c r="AR41" s="113"/>
      <c r="AS41" s="301"/>
      <c r="AT41" s="2028"/>
      <c r="AU41" s="115"/>
      <c r="AV41" s="105"/>
      <c r="AW41" s="113"/>
      <c r="AX41" s="114"/>
      <c r="AY41" s="115"/>
      <c r="AZ41" s="115"/>
      <c r="BA41" s="105"/>
      <c r="BB41" s="113"/>
      <c r="BC41" s="114"/>
      <c r="BD41" s="115"/>
      <c r="BE41" s="115"/>
      <c r="BF41" s="105"/>
      <c r="BG41" s="113"/>
      <c r="BH41" s="114"/>
      <c r="BI41" s="115"/>
      <c r="BJ41" s="115"/>
      <c r="BK41" s="105"/>
      <c r="BL41" s="113"/>
      <c r="BM41" s="114"/>
      <c r="BN41" s="115"/>
      <c r="BO41" s="115"/>
      <c r="BP41" s="105"/>
      <c r="BQ41" s="113"/>
      <c r="BR41" s="263"/>
      <c r="BS41" s="263"/>
      <c r="BT41"/>
      <c r="BU41"/>
      <c r="BV41"/>
      <c r="BW41"/>
      <c r="BX41"/>
      <c r="BY41"/>
      <c r="BZ41" s="263"/>
      <c r="CA41" s="263"/>
      <c r="CB41" s="263"/>
      <c r="CC41" s="263"/>
      <c r="CD41" s="263"/>
      <c r="CE41" s="263"/>
      <c r="CF41" s="263"/>
      <c r="CG41" s="263"/>
      <c r="CH41" s="263"/>
      <c r="CI41" s="263"/>
      <c r="CJ41" s="263"/>
      <c r="CK41" s="263"/>
      <c r="CL41" s="263"/>
      <c r="CM41" s="263"/>
      <c r="CN41" s="263"/>
      <c r="CO41" s="263"/>
      <c r="CP41" s="263"/>
    </row>
    <row r="42" spans="1:94" s="19" customFormat="1">
      <c r="A42" s="259"/>
      <c r="B42" s="259"/>
      <c r="C42" s="242" t="s">
        <v>425</v>
      </c>
      <c r="D42" s="260"/>
      <c r="E42" s="106">
        <f>E38+E39</f>
        <v>119</v>
      </c>
      <c r="F42" s="76">
        <f>F38+F39</f>
        <v>414</v>
      </c>
      <c r="G42" s="76">
        <f>G38+G39</f>
        <v>234</v>
      </c>
      <c r="H42" s="107">
        <f>H38+H39</f>
        <v>105</v>
      </c>
      <c r="I42" s="51">
        <f>I38+I39+I40</f>
        <v>872</v>
      </c>
      <c r="J42" s="106">
        <f t="shared" ref="J42:AU42" si="63">J38+J39+J40</f>
        <v>155</v>
      </c>
      <c r="K42" s="76">
        <f t="shared" si="63"/>
        <v>265</v>
      </c>
      <c r="L42" s="76">
        <f t="shared" si="63"/>
        <v>179</v>
      </c>
      <c r="M42" s="107">
        <f t="shared" si="63"/>
        <v>143</v>
      </c>
      <c r="N42" s="51">
        <f>N38+N39+N40</f>
        <v>742</v>
      </c>
      <c r="O42" s="106">
        <f t="shared" si="63"/>
        <v>52</v>
      </c>
      <c r="P42" s="76">
        <f t="shared" si="63"/>
        <v>203</v>
      </c>
      <c r="Q42" s="76">
        <f t="shared" si="63"/>
        <v>532</v>
      </c>
      <c r="R42" s="107">
        <f t="shared" si="63"/>
        <v>98</v>
      </c>
      <c r="S42" s="51">
        <f>S38+S39+S40</f>
        <v>885</v>
      </c>
      <c r="T42" s="106">
        <f t="shared" si="63"/>
        <v>306</v>
      </c>
      <c r="U42" s="76">
        <f t="shared" si="63"/>
        <v>187</v>
      </c>
      <c r="V42" s="76">
        <f t="shared" si="63"/>
        <v>428</v>
      </c>
      <c r="W42" s="107">
        <f t="shared" si="63"/>
        <v>-151</v>
      </c>
      <c r="X42" s="51">
        <f t="shared" ref="X42:AE42" si="64">X38+X39+X40</f>
        <v>770</v>
      </c>
      <c r="Y42" s="106">
        <f t="shared" si="64"/>
        <v>196</v>
      </c>
      <c r="Z42" s="76">
        <f t="shared" si="64"/>
        <v>-164</v>
      </c>
      <c r="AA42" s="76">
        <f t="shared" si="64"/>
        <v>218</v>
      </c>
      <c r="AB42" s="107">
        <f t="shared" si="64"/>
        <v>142</v>
      </c>
      <c r="AC42" s="51">
        <f t="shared" si="64"/>
        <v>392</v>
      </c>
      <c r="AD42" s="106">
        <f t="shared" si="64"/>
        <v>208</v>
      </c>
      <c r="AE42" s="76">
        <f t="shared" si="64"/>
        <v>64</v>
      </c>
      <c r="AF42" s="76">
        <f t="shared" si="63"/>
        <v>333</v>
      </c>
      <c r="AG42" s="107">
        <f t="shared" si="63"/>
        <v>-306</v>
      </c>
      <c r="AH42" s="51">
        <f t="shared" si="63"/>
        <v>299</v>
      </c>
      <c r="AI42" s="106">
        <f t="shared" si="63"/>
        <v>222</v>
      </c>
      <c r="AJ42" s="76">
        <f t="shared" si="63"/>
        <v>187</v>
      </c>
      <c r="AK42" s="76">
        <f t="shared" ref="AK42:AO42" si="65">AK38+AK39+AK40</f>
        <v>395</v>
      </c>
      <c r="AL42" s="107">
        <f t="shared" si="65"/>
        <v>-226</v>
      </c>
      <c r="AM42" s="51">
        <f t="shared" si="65"/>
        <v>578</v>
      </c>
      <c r="AN42" s="106">
        <f t="shared" si="65"/>
        <v>328</v>
      </c>
      <c r="AO42" s="76">
        <f t="shared" si="65"/>
        <v>-1089</v>
      </c>
      <c r="AP42" s="76">
        <f t="shared" si="63"/>
        <v>380</v>
      </c>
      <c r="AQ42" s="107">
        <f t="shared" si="63"/>
        <v>-5796</v>
      </c>
      <c r="AR42" s="51">
        <f>AR38+AR39+AR40</f>
        <v>-6177</v>
      </c>
      <c r="AS42" s="106">
        <f t="shared" ref="AS42:AT42" si="66">AS38+AS39+AS40</f>
        <v>205</v>
      </c>
      <c r="AT42" s="76">
        <f t="shared" si="66"/>
        <v>174</v>
      </c>
      <c r="AU42" s="76">
        <f t="shared" si="63"/>
        <v>396</v>
      </c>
      <c r="AV42" s="107">
        <f t="shared" ref="AV42" si="67">AV38+AV39+AV40</f>
        <v>-2499</v>
      </c>
      <c r="AW42" s="51">
        <f>AW38+AW39+AW40</f>
        <v>-1724</v>
      </c>
      <c r="AX42" s="106">
        <f t="shared" ref="AX42:BL42" si="68">AX38+AX39+AX40</f>
        <v>356.76986329013999</v>
      </c>
      <c r="AY42" s="76">
        <f t="shared" si="68"/>
        <v>247.56907746374361</v>
      </c>
      <c r="AZ42" s="76">
        <f t="shared" si="68"/>
        <v>344.7958661778049</v>
      </c>
      <c r="BA42" s="107">
        <f t="shared" si="68"/>
        <v>272.73032100410126</v>
      </c>
      <c r="BB42" s="51">
        <f t="shared" si="68"/>
        <v>1221.8651279357903</v>
      </c>
      <c r="BC42" s="106">
        <f t="shared" si="68"/>
        <v>324.02466589037931</v>
      </c>
      <c r="BD42" s="76">
        <f t="shared" si="68"/>
        <v>243.13773725519491</v>
      </c>
      <c r="BE42" s="76">
        <f t="shared" si="68"/>
        <v>354.80219834746129</v>
      </c>
      <c r="BF42" s="107">
        <f t="shared" si="68"/>
        <v>274.9400712293828</v>
      </c>
      <c r="BG42" s="51">
        <f t="shared" si="68"/>
        <v>1196.9046727224168</v>
      </c>
      <c r="BH42" s="106">
        <f t="shared" si="68"/>
        <v>305.62437516804295</v>
      </c>
      <c r="BI42" s="76">
        <f t="shared" si="68"/>
        <v>220.12440765113726</v>
      </c>
      <c r="BJ42" s="76">
        <f t="shared" si="68"/>
        <v>326.89602981376839</v>
      </c>
      <c r="BK42" s="107">
        <f t="shared" si="68"/>
        <v>248.59108428973678</v>
      </c>
      <c r="BL42" s="51">
        <f t="shared" si="68"/>
        <v>1101.2358969226873</v>
      </c>
      <c r="BM42" s="106">
        <f t="shared" ref="BM42:BQ42" si="69">BM38+BM39+BM40</f>
        <v>351.9066006399039</v>
      </c>
      <c r="BN42" s="76">
        <f t="shared" si="69"/>
        <v>247.4708578945079</v>
      </c>
      <c r="BO42" s="76">
        <f t="shared" si="69"/>
        <v>365.81788128406288</v>
      </c>
      <c r="BP42" s="107">
        <f t="shared" si="69"/>
        <v>318.26586395827565</v>
      </c>
      <c r="BQ42" s="51">
        <f t="shared" si="69"/>
        <v>1283.4612037767495</v>
      </c>
      <c r="BT42"/>
      <c r="BU42"/>
      <c r="BV42"/>
      <c r="BW42"/>
      <c r="BX42"/>
      <c r="BY42"/>
    </row>
    <row r="43" spans="1:94" s="23" customFormat="1">
      <c r="C43" s="12" t="s">
        <v>432</v>
      </c>
      <c r="E43" s="288">
        <f>+(0.55+0.07+0.05-0.04)*E47</f>
        <v>191.52000000000004</v>
      </c>
      <c r="F43" s="289">
        <f>+(0.01+0.01+0.01-0.52)*F47</f>
        <v>-148.96</v>
      </c>
      <c r="G43" s="289">
        <f>+(-0.03+0.07+0.3)*G47</f>
        <v>103.35999999999999</v>
      </c>
      <c r="H43" s="290">
        <f>+I43-G43-F43-E43</f>
        <v>206.71999999999997</v>
      </c>
      <c r="I43" s="291">
        <f>+(0.55+0.09+0.14+0.31-0.52-0.53+0.7+0.42)*I47</f>
        <v>352.64</v>
      </c>
      <c r="J43" s="288">
        <f>+(0.08+0.02+0.04+0.03+0.02+0.11)*J47</f>
        <v>91.2</v>
      </c>
      <c r="K43" s="289">
        <f>+(0.02+0.01-0.07-0.01)*K47</f>
        <v>-15.200000000000003</v>
      </c>
      <c r="L43" s="289">
        <f>+(0.02+0.04+0.6+0.03)*L47</f>
        <v>209.76</v>
      </c>
      <c r="M43" s="290">
        <f>+N43-L43-K43-J43</f>
        <v>158.07999999999998</v>
      </c>
      <c r="N43" s="291">
        <f>+(0.11+0.07+0.04+0.15-0.14+0.4+0.06-0.01+0.78)*N47</f>
        <v>443.84</v>
      </c>
      <c r="O43" s="288">
        <f>294-P43</f>
        <v>206</v>
      </c>
      <c r="P43" s="289">
        <f>7+3+17+7+20+51+33+3-53</f>
        <v>88</v>
      </c>
      <c r="Q43" s="289">
        <v>50</v>
      </c>
      <c r="R43" s="102">
        <f>S43-SUM(O43:Q43)</f>
        <v>222.58000000000004</v>
      </c>
      <c r="S43" s="291">
        <f>+(0.05+0.03+0.07+0.41-0.78+0.78+0.02+0.26+0.06+0.52)*S47</f>
        <v>566.58000000000004</v>
      </c>
      <c r="T43" s="288">
        <v>38</v>
      </c>
      <c r="U43" s="289">
        <f>(9+3+3-12+11+23+48+8-31)</f>
        <v>62</v>
      </c>
      <c r="V43" s="289">
        <v>38</v>
      </c>
      <c r="W43" s="102">
        <f>X43-SUM(T43:V43)</f>
        <v>484</v>
      </c>
      <c r="X43" s="291">
        <v>622</v>
      </c>
      <c r="Y43" s="288">
        <v>121</v>
      </c>
      <c r="Z43" s="302">
        <v>411</v>
      </c>
      <c r="AA43" s="302">
        <v>172</v>
      </c>
      <c r="AB43" s="102">
        <f>AC43-SUM(Y43:AA43)</f>
        <v>174</v>
      </c>
      <c r="AC43" s="291">
        <v>878</v>
      </c>
      <c r="AD43" s="288">
        <v>-46</v>
      </c>
      <c r="AE43" s="302">
        <v>140</v>
      </c>
      <c r="AF43" s="302">
        <v>40</v>
      </c>
      <c r="AG43" s="102">
        <f>AH43-SUM(AD43:AF43)</f>
        <v>642</v>
      </c>
      <c r="AH43" s="291">
        <v>776</v>
      </c>
      <c r="AI43" s="288">
        <v>38</v>
      </c>
      <c r="AJ43" s="302">
        <v>38</v>
      </c>
      <c r="AK43" s="302">
        <v>20</v>
      </c>
      <c r="AL43" s="102">
        <f>AM43-SUM(AI43:AK43)</f>
        <v>470</v>
      </c>
      <c r="AM43" s="291">
        <v>566</v>
      </c>
      <c r="AN43" s="288">
        <v>9</v>
      </c>
      <c r="AO43" s="2028">
        <v>1326</v>
      </c>
      <c r="AP43" s="2028">
        <v>3</v>
      </c>
      <c r="AQ43" s="102">
        <f>AR43-SUM(AN43:AP43)</f>
        <v>5959</v>
      </c>
      <c r="AR43" s="300">
        <v>7297</v>
      </c>
      <c r="AS43" s="288">
        <v>139</v>
      </c>
      <c r="AT43" s="2028">
        <v>97</v>
      </c>
      <c r="AU43" s="2028">
        <v>37</v>
      </c>
      <c r="AV43" s="102">
        <f>AW43-SUM(AS43:AU43)</f>
        <v>2817</v>
      </c>
      <c r="AW43" s="300">
        <v>3090</v>
      </c>
      <c r="AX43" s="104">
        <f>Distribution!AX34+Transmission!AX32+Competitive!AX35+Parent!AX38</f>
        <v>0</v>
      </c>
      <c r="AY43" s="476">
        <f>Distribution!AY34+Transmission!AY32+Competitive!AY35+Parent!AY38</f>
        <v>0</v>
      </c>
      <c r="AZ43" s="476">
        <f>Distribution!AZ34+Transmission!AZ32+Competitive!AZ35+Parent!AZ38</f>
        <v>0</v>
      </c>
      <c r="BA43" s="102">
        <f>Distribution!BA34+Transmission!BA32+Competitive!BA35+Parent!BA38</f>
        <v>0</v>
      </c>
      <c r="BB43" s="751">
        <f>SUM(AX43:BA43)</f>
        <v>0</v>
      </c>
      <c r="BC43" s="104">
        <f>Distribution!BC34+Transmission!BC32+Competitive!BC35+Parent!BC38</f>
        <v>0</v>
      </c>
      <c r="BD43" s="476">
        <f>Distribution!BD34+Transmission!BD32+Competitive!BD35+Parent!BD38</f>
        <v>0</v>
      </c>
      <c r="BE43" s="476">
        <f>Distribution!BE34+Transmission!BE32+Competitive!BE35+Parent!BE38</f>
        <v>0</v>
      </c>
      <c r="BF43" s="102">
        <f>Distribution!BF34+Transmission!BF32+Competitive!BF35+Parent!BF38</f>
        <v>0</v>
      </c>
      <c r="BG43" s="751">
        <f>SUM(BC43:BF43)</f>
        <v>0</v>
      </c>
      <c r="BH43" s="104">
        <f>Distribution!BH34+Transmission!BH32+Competitive!BH35+Parent!BH38</f>
        <v>0</v>
      </c>
      <c r="BI43" s="476">
        <f>Distribution!BI34+Transmission!BI32+Competitive!BI35+Parent!BI38</f>
        <v>0</v>
      </c>
      <c r="BJ43" s="476">
        <f>Distribution!BJ34+Transmission!BJ32+Competitive!BJ35+Parent!BJ38</f>
        <v>0</v>
      </c>
      <c r="BK43" s="102">
        <f>Distribution!BK34+Transmission!BK32+Competitive!BK35+Parent!BK38</f>
        <v>0</v>
      </c>
      <c r="BL43" s="751">
        <f>SUM(BH43:BK43)</f>
        <v>0</v>
      </c>
      <c r="BM43" s="104">
        <f>Distribution!BM34+Transmission!BM32+Competitive!BM35+Parent!BM38</f>
        <v>0</v>
      </c>
      <c r="BN43" s="476">
        <f>Distribution!BN34+Transmission!BN32+Competitive!BN35+Parent!BN38</f>
        <v>0</v>
      </c>
      <c r="BO43" s="476">
        <f>Distribution!BO34+Transmission!BO32+Competitive!BO35+Parent!BO38</f>
        <v>0</v>
      </c>
      <c r="BP43" s="102">
        <f>Distribution!BP34+Transmission!BP32+Competitive!BP35+Parent!BP38</f>
        <v>0</v>
      </c>
      <c r="BQ43" s="751">
        <f>SUM(BM43:BP43)</f>
        <v>0</v>
      </c>
      <c r="BT43"/>
      <c r="BU43"/>
      <c r="BV43"/>
      <c r="BW43"/>
      <c r="BX43"/>
      <c r="BY43"/>
    </row>
    <row r="44" spans="1:94" s="23" customFormat="1">
      <c r="A44" s="263"/>
      <c r="B44" s="263"/>
      <c r="C44" s="242" t="s">
        <v>203</v>
      </c>
      <c r="D44" s="263"/>
      <c r="E44" s="106">
        <f t="shared" ref="E44:S44" si="70">SUM(E42:E43)</f>
        <v>310.52000000000004</v>
      </c>
      <c r="F44" s="76">
        <f t="shared" si="70"/>
        <v>265.03999999999996</v>
      </c>
      <c r="G44" s="76">
        <f t="shared" si="70"/>
        <v>337.36</v>
      </c>
      <c r="H44" s="107">
        <f t="shared" si="70"/>
        <v>311.71999999999997</v>
      </c>
      <c r="I44" s="93">
        <f t="shared" si="70"/>
        <v>1224.6399999999999</v>
      </c>
      <c r="J44" s="106">
        <f t="shared" si="70"/>
        <v>246.2</v>
      </c>
      <c r="K44" s="76">
        <f t="shared" si="70"/>
        <v>249.8</v>
      </c>
      <c r="L44" s="76">
        <f t="shared" si="70"/>
        <v>388.76</v>
      </c>
      <c r="M44" s="107">
        <f t="shared" si="70"/>
        <v>301.08</v>
      </c>
      <c r="N44" s="93">
        <f t="shared" si="70"/>
        <v>1185.8399999999999</v>
      </c>
      <c r="O44" s="106">
        <f t="shared" si="70"/>
        <v>258</v>
      </c>
      <c r="P44" s="76">
        <f t="shared" si="70"/>
        <v>291</v>
      </c>
      <c r="Q44" s="76">
        <f>SUM(Q42:Q43)</f>
        <v>582</v>
      </c>
      <c r="R44" s="107">
        <f>SUM(R42:R43)</f>
        <v>320.58000000000004</v>
      </c>
      <c r="S44" s="93">
        <f t="shared" si="70"/>
        <v>1451.58</v>
      </c>
      <c r="T44" s="106">
        <f>SUM(T42:T43)</f>
        <v>344</v>
      </c>
      <c r="U44" s="76">
        <f>SUM(U42:U43)</f>
        <v>249</v>
      </c>
      <c r="V44" s="76">
        <f>SUM(V42:V43)</f>
        <v>466</v>
      </c>
      <c r="W44" s="107">
        <f>SUM(W42:W43)</f>
        <v>333</v>
      </c>
      <c r="X44" s="93">
        <f>SUM(X42:X43)</f>
        <v>1392</v>
      </c>
      <c r="Y44" s="106">
        <f t="shared" ref="Y44:AT44" si="71">SUM(Y42:Y43)</f>
        <v>317</v>
      </c>
      <c r="Z44" s="76">
        <f>SUM(Z42:Z43)</f>
        <v>247</v>
      </c>
      <c r="AA44" s="76">
        <f>SUM(AA42:AA43)</f>
        <v>390</v>
      </c>
      <c r="AB44" s="107">
        <f>SUM(AB42:AB43)</f>
        <v>316</v>
      </c>
      <c r="AC44" s="93">
        <f>SUM(AC42:AC43)</f>
        <v>1270</v>
      </c>
      <c r="AD44" s="106">
        <f t="shared" si="71"/>
        <v>162</v>
      </c>
      <c r="AE44" s="76">
        <f t="shared" ref="AE44:AJ44" si="72">SUM(AE42:AE43)</f>
        <v>204</v>
      </c>
      <c r="AF44" s="76">
        <f t="shared" si="72"/>
        <v>373</v>
      </c>
      <c r="AG44" s="107">
        <f t="shared" si="72"/>
        <v>336</v>
      </c>
      <c r="AH44" s="93">
        <f t="shared" si="72"/>
        <v>1075</v>
      </c>
      <c r="AI44" s="106">
        <f t="shared" si="72"/>
        <v>260</v>
      </c>
      <c r="AJ44" s="76">
        <f t="shared" si="72"/>
        <v>225</v>
      </c>
      <c r="AK44" s="76">
        <f t="shared" ref="AK44:AO44" si="73">SUM(AK42:AK43)</f>
        <v>415</v>
      </c>
      <c r="AL44" s="107">
        <f t="shared" si="73"/>
        <v>244</v>
      </c>
      <c r="AM44" s="93">
        <f t="shared" si="73"/>
        <v>1144</v>
      </c>
      <c r="AN44" s="106">
        <f t="shared" si="73"/>
        <v>337</v>
      </c>
      <c r="AO44" s="76">
        <f t="shared" si="73"/>
        <v>237</v>
      </c>
      <c r="AP44" s="76">
        <f t="shared" si="71"/>
        <v>383</v>
      </c>
      <c r="AQ44" s="107">
        <f t="shared" si="71"/>
        <v>163</v>
      </c>
      <c r="AR44" s="93">
        <f t="shared" si="71"/>
        <v>1120</v>
      </c>
      <c r="AS44" s="106">
        <f t="shared" si="71"/>
        <v>344</v>
      </c>
      <c r="AT44" s="76">
        <f t="shared" si="71"/>
        <v>271</v>
      </c>
      <c r="AU44" s="76">
        <f t="shared" ref="AU44:BB44" si="74">SUM(AU42:AU43)</f>
        <v>433</v>
      </c>
      <c r="AV44" s="107">
        <f t="shared" si="74"/>
        <v>318</v>
      </c>
      <c r="AW44" s="93">
        <f t="shared" si="74"/>
        <v>1366</v>
      </c>
      <c r="AX44" s="106">
        <f t="shared" si="74"/>
        <v>356.76986329013999</v>
      </c>
      <c r="AY44" s="76">
        <f t="shared" si="74"/>
        <v>247.56907746374361</v>
      </c>
      <c r="AZ44" s="76">
        <f t="shared" si="74"/>
        <v>344.7958661778049</v>
      </c>
      <c r="BA44" s="107">
        <f t="shared" si="74"/>
        <v>272.73032100410126</v>
      </c>
      <c r="BB44" s="93">
        <f t="shared" si="74"/>
        <v>1221.8651279357903</v>
      </c>
      <c r="BC44" s="106">
        <f t="shared" ref="BC44:BL44" si="75">SUM(BC42:BC43)</f>
        <v>324.02466589037931</v>
      </c>
      <c r="BD44" s="76">
        <f t="shared" si="75"/>
        <v>243.13773725519491</v>
      </c>
      <c r="BE44" s="76">
        <f t="shared" si="75"/>
        <v>354.80219834746129</v>
      </c>
      <c r="BF44" s="107">
        <f t="shared" si="75"/>
        <v>274.9400712293828</v>
      </c>
      <c r="BG44" s="93">
        <f t="shared" si="75"/>
        <v>1196.9046727224168</v>
      </c>
      <c r="BH44" s="106">
        <f t="shared" si="75"/>
        <v>305.62437516804295</v>
      </c>
      <c r="BI44" s="76">
        <f t="shared" si="75"/>
        <v>220.12440765113726</v>
      </c>
      <c r="BJ44" s="76">
        <f t="shared" si="75"/>
        <v>326.89602981376839</v>
      </c>
      <c r="BK44" s="107">
        <f t="shared" si="75"/>
        <v>248.59108428973678</v>
      </c>
      <c r="BL44" s="93">
        <f t="shared" si="75"/>
        <v>1101.2358969226873</v>
      </c>
      <c r="BM44" s="106">
        <f t="shared" ref="BM44:BQ44" si="76">SUM(BM42:BM43)</f>
        <v>351.9066006399039</v>
      </c>
      <c r="BN44" s="76">
        <f t="shared" si="76"/>
        <v>247.4708578945079</v>
      </c>
      <c r="BO44" s="76">
        <f t="shared" si="76"/>
        <v>365.81788128406288</v>
      </c>
      <c r="BP44" s="107">
        <f t="shared" si="76"/>
        <v>318.26586395827565</v>
      </c>
      <c r="BQ44" s="93">
        <f t="shared" si="76"/>
        <v>1283.4612037767495</v>
      </c>
      <c r="BR44" s="263"/>
      <c r="BS44" s="263"/>
      <c r="BT44"/>
      <c r="BU44"/>
      <c r="BV44"/>
      <c r="BW44"/>
      <c r="BX44"/>
      <c r="BY44"/>
      <c r="BZ44" s="263"/>
      <c r="CA44" s="263"/>
      <c r="CB44" s="263"/>
      <c r="CC44" s="263"/>
      <c r="CD44" s="263"/>
      <c r="CE44" s="263"/>
      <c r="CF44" s="263"/>
      <c r="CG44" s="263"/>
      <c r="CH44" s="263"/>
      <c r="CI44" s="263"/>
      <c r="CJ44" s="263"/>
      <c r="CK44" s="263"/>
      <c r="CL44" s="263"/>
      <c r="CM44" s="263"/>
      <c r="CN44" s="263"/>
      <c r="CO44" s="263"/>
      <c r="CP44" s="263"/>
    </row>
    <row r="45" spans="1:94" s="23" customFormat="1">
      <c r="A45" s="261"/>
      <c r="B45" s="261"/>
      <c r="C45" s="854"/>
      <c r="D45" s="855"/>
      <c r="E45" s="856"/>
      <c r="F45" s="857"/>
      <c r="G45" s="857"/>
      <c r="H45" s="858"/>
      <c r="I45" s="859"/>
      <c r="J45" s="856"/>
      <c r="K45" s="857"/>
      <c r="L45" s="857"/>
      <c r="M45" s="858"/>
      <c r="N45" s="859"/>
      <c r="O45" s="856"/>
      <c r="P45" s="857"/>
      <c r="Q45" s="857"/>
      <c r="R45" s="858"/>
      <c r="S45" s="864"/>
      <c r="T45" s="856"/>
      <c r="U45" s="857"/>
      <c r="V45" s="857"/>
      <c r="W45" s="858"/>
      <c r="X45" s="864"/>
      <c r="Y45" s="856"/>
      <c r="Z45" s="857"/>
      <c r="AA45" s="857"/>
      <c r="AB45" s="858"/>
      <c r="AC45" s="864"/>
      <c r="AD45" s="856"/>
      <c r="AE45" s="857"/>
      <c r="AF45" s="857"/>
      <c r="AG45" s="858"/>
      <c r="AH45" s="864"/>
      <c r="AI45" s="856"/>
      <c r="AJ45" s="857"/>
      <c r="AK45" s="857"/>
      <c r="AL45" s="858"/>
      <c r="AM45" s="864"/>
      <c r="AN45" s="856"/>
      <c r="AO45" s="857"/>
      <c r="AP45" s="857"/>
      <c r="AQ45" s="1753"/>
      <c r="AR45" s="1754"/>
      <c r="AS45" s="856"/>
      <c r="AT45" s="857"/>
      <c r="AU45" s="1756"/>
      <c r="AV45" s="1753"/>
      <c r="AW45" s="1754"/>
      <c r="AX45" s="1755"/>
      <c r="AY45" s="1756"/>
      <c r="AZ45" s="1756"/>
      <c r="BA45" s="1753"/>
      <c r="BB45" s="1754"/>
      <c r="BC45" s="1755"/>
      <c r="BD45" s="1756"/>
      <c r="BE45" s="1756"/>
      <c r="BF45" s="1753"/>
      <c r="BG45" s="1754"/>
      <c r="BH45" s="1755"/>
      <c r="BI45" s="1756"/>
      <c r="BJ45" s="1756"/>
      <c r="BK45" s="1753"/>
      <c r="BL45" s="1754"/>
      <c r="BM45" s="1755"/>
      <c r="BN45" s="1756"/>
      <c r="BO45" s="1756"/>
      <c r="BP45" s="1753"/>
      <c r="BQ45" s="1754"/>
      <c r="BT45"/>
      <c r="BU45"/>
      <c r="BV45"/>
      <c r="BW45"/>
      <c r="BX45"/>
      <c r="BY45"/>
    </row>
    <row r="46" spans="1:94" s="23" customFormat="1">
      <c r="A46" s="261"/>
      <c r="B46" s="261"/>
      <c r="C46" s="271" t="s">
        <v>100</v>
      </c>
      <c r="D46" s="262"/>
      <c r="E46" s="288">
        <v>304.83540699999998</v>
      </c>
      <c r="F46" s="289">
        <v>304.83540699999998</v>
      </c>
      <c r="G46" s="289">
        <v>304.83540699999998</v>
      </c>
      <c r="H46" s="299">
        <v>304.83540699999998</v>
      </c>
      <c r="I46" s="300">
        <f>H46</f>
        <v>304.83540699999998</v>
      </c>
      <c r="J46" s="288">
        <v>304.83540699999998</v>
      </c>
      <c r="K46" s="289">
        <v>304.83540699999998</v>
      </c>
      <c r="L46" s="289">
        <v>304.83540699999998</v>
      </c>
      <c r="M46" s="299">
        <v>304.83540699999998</v>
      </c>
      <c r="N46" s="285">
        <f>M46</f>
        <v>304.83540699999998</v>
      </c>
      <c r="O46" s="288">
        <v>418.21643699999998</v>
      </c>
      <c r="P46" s="289">
        <v>418.21643699999998</v>
      </c>
      <c r="Q46" s="289">
        <v>418.21643699999998</v>
      </c>
      <c r="R46" s="299">
        <v>418.21643699999998</v>
      </c>
      <c r="S46" s="285">
        <f>R46</f>
        <v>418.21643699999998</v>
      </c>
      <c r="T46" s="288">
        <v>418.21643699999998</v>
      </c>
      <c r="U46" s="289">
        <v>418.21643699999998</v>
      </c>
      <c r="V46" s="289">
        <v>418.21643699999998</v>
      </c>
      <c r="W46" s="299">
        <v>418.21643699999998</v>
      </c>
      <c r="X46" s="285">
        <f>W46</f>
        <v>418.21643699999998</v>
      </c>
      <c r="Y46" s="288">
        <v>418.21643699999998</v>
      </c>
      <c r="Z46" s="302">
        <v>418.21643699999998</v>
      </c>
      <c r="AA46" s="302">
        <v>418.21643699999998</v>
      </c>
      <c r="AB46" s="299">
        <v>418.628559</v>
      </c>
      <c r="AC46" s="285">
        <f>AB46</f>
        <v>418.628559</v>
      </c>
      <c r="AD46" s="288">
        <v>419.837287</v>
      </c>
      <c r="AE46" s="302">
        <v>420.271254</v>
      </c>
      <c r="AF46" s="302">
        <v>420.729105</v>
      </c>
      <c r="AG46" s="299">
        <v>421.10257000000001</v>
      </c>
      <c r="AH46" s="285">
        <f>AG46</f>
        <v>421.10257000000001</v>
      </c>
      <c r="AI46" s="288">
        <v>422.02587</v>
      </c>
      <c r="AJ46" s="302">
        <v>422.45336099999997</v>
      </c>
      <c r="AK46" s="302">
        <v>423.04178200000001</v>
      </c>
      <c r="AL46" s="299">
        <v>423.56039700000002</v>
      </c>
      <c r="AM46" s="285">
        <f>AL46</f>
        <v>423.56039700000002</v>
      </c>
      <c r="AN46" s="288">
        <v>424.71243099999998</v>
      </c>
      <c r="AO46" s="2028">
        <v>425.19822799999997</v>
      </c>
      <c r="AP46" s="2028">
        <v>425.74328200000002</v>
      </c>
      <c r="AQ46" s="299">
        <v>442.34421800000001</v>
      </c>
      <c r="AR46" s="285">
        <f>AQ46</f>
        <v>442.34421800000001</v>
      </c>
      <c r="AS46" s="288">
        <v>443.74001399999997</v>
      </c>
      <c r="AT46" s="2028">
        <v>444.30445600000002</v>
      </c>
      <c r="AU46" s="2028">
        <v>444.858003</v>
      </c>
      <c r="AV46" s="299">
        <v>445.33411100000001</v>
      </c>
      <c r="AW46" s="285">
        <f>AV46</f>
        <v>445.33411100000001</v>
      </c>
      <c r="AX46" s="114">
        <f>AW46+AX69</f>
        <v>475.45459292771085</v>
      </c>
      <c r="AY46" s="167">
        <f>AX46+AY69</f>
        <v>475.45459292771085</v>
      </c>
      <c r="AZ46" s="167">
        <f>AY46+AZ69</f>
        <v>478.35314365234854</v>
      </c>
      <c r="BA46" s="168">
        <f>AZ46+BA69</f>
        <v>478.35314365234854</v>
      </c>
      <c r="BB46" s="79">
        <f>BA46</f>
        <v>478.35314365234854</v>
      </c>
      <c r="BC46" s="114">
        <f>BB46+BC69</f>
        <v>478.35314365234854</v>
      </c>
      <c r="BD46" s="167">
        <f>BC46+BD69</f>
        <v>478.35314365234854</v>
      </c>
      <c r="BE46" s="167">
        <f>BD46+BE69</f>
        <v>537.43410645322376</v>
      </c>
      <c r="BF46" s="168">
        <f>BE46+BF69</f>
        <v>540.33265717786139</v>
      </c>
      <c r="BG46" s="79">
        <f>BF46</f>
        <v>540.33265717786139</v>
      </c>
      <c r="BH46" s="114">
        <f>BG46+BH69</f>
        <v>541.05729485902077</v>
      </c>
      <c r="BI46" s="167">
        <f>BH46+BI69</f>
        <v>541.78193254018015</v>
      </c>
      <c r="BJ46" s="167">
        <f>BI46+BJ69</f>
        <v>542.50657022133953</v>
      </c>
      <c r="BK46" s="168">
        <f>BJ46+BK69</f>
        <v>543.23120790249891</v>
      </c>
      <c r="BL46" s="79">
        <f>BK46</f>
        <v>543.23120790249891</v>
      </c>
      <c r="BM46" s="114">
        <f>BL46+BM69</f>
        <v>543.85620790249891</v>
      </c>
      <c r="BN46" s="167">
        <f>BM46+BN69</f>
        <v>544.48120790249891</v>
      </c>
      <c r="BO46" s="167">
        <f>BN46+BO69</f>
        <v>545.10620790249891</v>
      </c>
      <c r="BP46" s="168">
        <f>BO46+BP69</f>
        <v>545.73120790249891</v>
      </c>
      <c r="BQ46" s="79">
        <f>BP46</f>
        <v>545.73120790249891</v>
      </c>
      <c r="BT46"/>
      <c r="BU46"/>
      <c r="BV46"/>
      <c r="BW46"/>
      <c r="BX46"/>
      <c r="BY46"/>
    </row>
    <row r="47" spans="1:94" s="23" customFormat="1">
      <c r="A47" s="261"/>
      <c r="B47" s="261"/>
      <c r="C47" s="272" t="s">
        <v>101</v>
      </c>
      <c r="D47" s="262"/>
      <c r="E47" s="288">
        <v>304</v>
      </c>
      <c r="F47" s="289">
        <v>304</v>
      </c>
      <c r="G47" s="289">
        <v>304</v>
      </c>
      <c r="H47" s="299">
        <v>304</v>
      </c>
      <c r="I47" s="300">
        <v>304</v>
      </c>
      <c r="J47" s="288">
        <v>304</v>
      </c>
      <c r="K47" s="289">
        <v>304</v>
      </c>
      <c r="L47" s="289">
        <v>304</v>
      </c>
      <c r="M47" s="299">
        <v>304</v>
      </c>
      <c r="N47" s="300">
        <v>304</v>
      </c>
      <c r="O47" s="288">
        <v>342</v>
      </c>
      <c r="P47" s="289">
        <v>418</v>
      </c>
      <c r="Q47" s="289">
        <v>418</v>
      </c>
      <c r="R47" s="299">
        <v>418</v>
      </c>
      <c r="S47" s="300">
        <v>399</v>
      </c>
      <c r="T47" s="288">
        <v>418</v>
      </c>
      <c r="U47" s="289">
        <v>417</v>
      </c>
      <c r="V47" s="289">
        <v>417</v>
      </c>
      <c r="W47" s="299">
        <v>418</v>
      </c>
      <c r="X47" s="300">
        <v>418</v>
      </c>
      <c r="Y47" s="288">
        <v>418</v>
      </c>
      <c r="Z47" s="302">
        <v>418</v>
      </c>
      <c r="AA47" s="302">
        <v>418</v>
      </c>
      <c r="AB47" s="299">
        <v>418</v>
      </c>
      <c r="AC47" s="300">
        <v>418</v>
      </c>
      <c r="AD47" s="288">
        <v>419</v>
      </c>
      <c r="AE47" s="302">
        <v>420</v>
      </c>
      <c r="AF47" s="302">
        <v>420</v>
      </c>
      <c r="AG47" s="299">
        <v>421</v>
      </c>
      <c r="AH47" s="300">
        <v>420</v>
      </c>
      <c r="AI47" s="288">
        <v>421</v>
      </c>
      <c r="AJ47" s="302">
        <v>422</v>
      </c>
      <c r="AK47" s="302">
        <v>423</v>
      </c>
      <c r="AL47" s="299">
        <v>423</v>
      </c>
      <c r="AM47" s="300">
        <v>422</v>
      </c>
      <c r="AN47" s="288">
        <v>424</v>
      </c>
      <c r="AO47" s="2028">
        <v>425</v>
      </c>
      <c r="AP47" s="2028">
        <v>425</v>
      </c>
      <c r="AQ47" s="299">
        <v>431</v>
      </c>
      <c r="AR47" s="300">
        <v>426</v>
      </c>
      <c r="AS47" s="288">
        <v>443</v>
      </c>
      <c r="AT47" s="2028">
        <v>444</v>
      </c>
      <c r="AU47" s="2028">
        <v>444</v>
      </c>
      <c r="AV47" s="299">
        <v>445</v>
      </c>
      <c r="AW47" s="300">
        <v>444</v>
      </c>
      <c r="AX47" s="114">
        <f>AVERAGE(AW46:AX46)</f>
        <v>460.39435196385546</v>
      </c>
      <c r="AY47" s="167">
        <f>AVERAGE(AX46:AY46)</f>
        <v>475.45459292771085</v>
      </c>
      <c r="AZ47" s="167">
        <f>AVERAGE(AY46:AZ46)</f>
        <v>476.90386829002966</v>
      </c>
      <c r="BA47" s="168">
        <f>AVERAGE(AZ46:BA46)</f>
        <v>478.35314365234854</v>
      </c>
      <c r="BB47" s="79">
        <f>AVERAGE(AX47:BA47)</f>
        <v>472.77648920848617</v>
      </c>
      <c r="BC47" s="114">
        <f>AVERAGE(BB46:BC46)</f>
        <v>478.35314365234854</v>
      </c>
      <c r="BD47" s="167">
        <f>AVERAGE(BC46:BD46)</f>
        <v>478.35314365234854</v>
      </c>
      <c r="BE47" s="167">
        <f>AVERAGE(BD46:BE46)</f>
        <v>507.89362505278615</v>
      </c>
      <c r="BF47" s="168">
        <f>AVERAGE(BE46:BF46)</f>
        <v>538.88338181554263</v>
      </c>
      <c r="BG47" s="79">
        <f>AVERAGE(BC47:BF47)</f>
        <v>500.87082354325645</v>
      </c>
      <c r="BH47" s="114">
        <f>AVERAGE(BG46:BH46)</f>
        <v>540.69497601844114</v>
      </c>
      <c r="BI47" s="167">
        <f>AVERAGE(BH46:BI46)</f>
        <v>541.4196136996004</v>
      </c>
      <c r="BJ47" s="167">
        <f>AVERAGE(BI46:BJ46)</f>
        <v>542.1442513807599</v>
      </c>
      <c r="BK47" s="168">
        <f>AVERAGE(BJ46:BK46)</f>
        <v>542.86888906191916</v>
      </c>
      <c r="BL47" s="79">
        <f>AVERAGE(BH47:BK47)</f>
        <v>541.78193254018015</v>
      </c>
      <c r="BM47" s="114">
        <f>AVERAGE(BL46:BM46)</f>
        <v>543.54370790249891</v>
      </c>
      <c r="BN47" s="167">
        <f>AVERAGE(BM46:BN46)</f>
        <v>544.16870790249891</v>
      </c>
      <c r="BO47" s="167">
        <f>AVERAGE(BN46:BO46)</f>
        <v>544.79370790249891</v>
      </c>
      <c r="BP47" s="168">
        <f>AVERAGE(BO46:BP46)</f>
        <v>545.41870790249891</v>
      </c>
      <c r="BQ47" s="79">
        <f>AVERAGE(BM47:BP47)</f>
        <v>544.48120790249891</v>
      </c>
      <c r="BT47"/>
      <c r="BU47"/>
      <c r="BV47"/>
      <c r="BW47"/>
      <c r="BX47"/>
      <c r="BY47"/>
    </row>
    <row r="48" spans="1:94" s="23" customFormat="1">
      <c r="A48" s="261"/>
      <c r="B48" s="261"/>
      <c r="C48" s="271" t="s">
        <v>104</v>
      </c>
      <c r="D48" s="262"/>
      <c r="E48" s="288">
        <v>306</v>
      </c>
      <c r="F48" s="289">
        <v>305</v>
      </c>
      <c r="G48" s="289">
        <v>306</v>
      </c>
      <c r="H48" s="299">
        <v>306</v>
      </c>
      <c r="I48" s="300">
        <v>306</v>
      </c>
      <c r="J48" s="288">
        <v>306</v>
      </c>
      <c r="K48" s="289">
        <v>305</v>
      </c>
      <c r="L48" s="289">
        <v>305</v>
      </c>
      <c r="M48" s="299">
        <v>306</v>
      </c>
      <c r="N48" s="300">
        <v>305</v>
      </c>
      <c r="O48" s="288">
        <v>343</v>
      </c>
      <c r="P48" s="289">
        <v>420</v>
      </c>
      <c r="Q48" s="289">
        <v>420</v>
      </c>
      <c r="R48" s="299">
        <v>420</v>
      </c>
      <c r="S48" s="300">
        <v>401</v>
      </c>
      <c r="T48" s="288">
        <v>420</v>
      </c>
      <c r="U48" s="289">
        <v>419</v>
      </c>
      <c r="V48" s="289">
        <v>419</v>
      </c>
      <c r="W48" s="299">
        <v>419</v>
      </c>
      <c r="X48" s="300">
        <v>419</v>
      </c>
      <c r="Y48" s="288">
        <v>419</v>
      </c>
      <c r="Z48" s="302">
        <v>418</v>
      </c>
      <c r="AA48" s="302">
        <v>419</v>
      </c>
      <c r="AB48" s="299">
        <v>419</v>
      </c>
      <c r="AC48" s="300">
        <v>419</v>
      </c>
      <c r="AD48" s="288">
        <v>420</v>
      </c>
      <c r="AE48" s="302">
        <v>421</v>
      </c>
      <c r="AF48" s="302">
        <v>421</v>
      </c>
      <c r="AG48" s="299">
        <v>421</v>
      </c>
      <c r="AH48" s="300">
        <v>421</v>
      </c>
      <c r="AI48" s="288">
        <v>423</v>
      </c>
      <c r="AJ48" s="302">
        <v>423</v>
      </c>
      <c r="AK48" s="302">
        <v>424</v>
      </c>
      <c r="AL48" s="299">
        <v>423</v>
      </c>
      <c r="AM48" s="300">
        <v>424</v>
      </c>
      <c r="AN48" s="288">
        <v>426</v>
      </c>
      <c r="AO48" s="2028">
        <v>425</v>
      </c>
      <c r="AP48" s="2028">
        <v>427</v>
      </c>
      <c r="AQ48" s="299">
        <v>431</v>
      </c>
      <c r="AR48" s="300">
        <v>426</v>
      </c>
      <c r="AS48" s="288">
        <v>444</v>
      </c>
      <c r="AT48" s="2028">
        <v>445</v>
      </c>
      <c r="AU48" s="2028">
        <v>446</v>
      </c>
      <c r="AV48" s="299">
        <v>445</v>
      </c>
      <c r="AW48" s="300">
        <v>444</v>
      </c>
      <c r="AX48" s="316">
        <f>AX47+(AV48-AV47)</f>
        <v>460.39435196385546</v>
      </c>
      <c r="AY48" s="312">
        <f>AY47+(AX48-AX47)</f>
        <v>475.45459292771085</v>
      </c>
      <c r="AZ48" s="312">
        <f>AZ47+(AY48-AY47)</f>
        <v>476.90386829002966</v>
      </c>
      <c r="BA48" s="317">
        <f>BA47+(AZ48-AZ47)</f>
        <v>478.35314365234854</v>
      </c>
      <c r="BB48" s="298">
        <f>AVERAGE(AX48:BA48)</f>
        <v>472.77648920848617</v>
      </c>
      <c r="BC48" s="316">
        <f>BC47+(BA48-BA47)</f>
        <v>478.35314365234854</v>
      </c>
      <c r="BD48" s="312">
        <f>BD47+(BC48-BC47)</f>
        <v>478.35314365234854</v>
      </c>
      <c r="BE48" s="312">
        <f>BE47+(BD48-BD47)</f>
        <v>507.89362505278615</v>
      </c>
      <c r="BF48" s="317">
        <f>BF47+(BE48-BE47)</f>
        <v>538.88338181554263</v>
      </c>
      <c r="BG48" s="298">
        <f>AVERAGE(BC48:BF48)</f>
        <v>500.87082354325645</v>
      </c>
      <c r="BH48" s="316">
        <f>BH47+(BF48-BF47)</f>
        <v>540.69497601844114</v>
      </c>
      <c r="BI48" s="312">
        <f>BI47+(BH48-BH47)</f>
        <v>541.4196136996004</v>
      </c>
      <c r="BJ48" s="312">
        <f>BJ47+(BI48-BI47)</f>
        <v>542.1442513807599</v>
      </c>
      <c r="BK48" s="317">
        <f>BK47+(BJ48-BJ47)</f>
        <v>542.86888906191916</v>
      </c>
      <c r="BL48" s="298">
        <f>AVERAGE(BH48:BK48)</f>
        <v>541.78193254018015</v>
      </c>
      <c r="BM48" s="316">
        <f>BM47+(BK48-BK47)</f>
        <v>543.54370790249891</v>
      </c>
      <c r="BN48" s="312">
        <f>BN47+(BM48-BM47)</f>
        <v>544.16870790249891</v>
      </c>
      <c r="BO48" s="312">
        <f>BO47+(BN48-BN47)</f>
        <v>544.79370790249891</v>
      </c>
      <c r="BP48" s="317">
        <f>BP47+(BO48-BO47)</f>
        <v>545.41870790249891</v>
      </c>
      <c r="BQ48" s="298">
        <f>AVERAGE(BM48:BP48)</f>
        <v>544.48120790249891</v>
      </c>
      <c r="BT48"/>
      <c r="BU48"/>
      <c r="BV48"/>
      <c r="BW48"/>
      <c r="BX48"/>
      <c r="BY48"/>
    </row>
    <row r="49" spans="1:94">
      <c r="A49" s="92"/>
      <c r="B49" s="92"/>
      <c r="C49" s="137"/>
      <c r="D49" s="166"/>
      <c r="E49" s="101"/>
      <c r="F49" s="75"/>
      <c r="G49" s="75"/>
      <c r="H49" s="108"/>
      <c r="I49" s="80"/>
      <c r="J49" s="101"/>
      <c r="K49" s="75"/>
      <c r="L49" s="75"/>
      <c r="M49" s="108"/>
      <c r="N49" s="80"/>
      <c r="O49" s="101"/>
      <c r="P49" s="75"/>
      <c r="Q49" s="75"/>
      <c r="R49" s="168"/>
      <c r="S49" s="79"/>
      <c r="T49" s="101"/>
      <c r="U49" s="75"/>
      <c r="V49" s="75"/>
      <c r="W49" s="168"/>
      <c r="X49" s="79"/>
      <c r="Y49" s="114"/>
      <c r="Z49" s="75"/>
      <c r="AA49" s="75"/>
      <c r="AB49" s="168"/>
      <c r="AC49" s="79"/>
      <c r="AD49" s="114"/>
      <c r="AE49" s="75"/>
      <c r="AF49" s="75"/>
      <c r="AG49" s="168"/>
      <c r="AH49" s="79"/>
      <c r="AI49" s="114"/>
      <c r="AJ49" s="75"/>
      <c r="AK49" s="75"/>
      <c r="AL49" s="168"/>
      <c r="AM49" s="79"/>
      <c r="AN49" s="114"/>
      <c r="AO49" s="75"/>
      <c r="AP49" s="167"/>
      <c r="AQ49" s="168"/>
      <c r="AR49" s="79"/>
      <c r="AS49" s="114"/>
      <c r="AT49" s="75"/>
      <c r="AU49" s="167"/>
      <c r="AV49" s="168"/>
      <c r="AW49" s="79"/>
      <c r="AX49" s="114"/>
      <c r="AY49" s="167"/>
      <c r="AZ49" s="167"/>
      <c r="BA49" s="168"/>
      <c r="BB49" s="79"/>
      <c r="BC49" s="114"/>
      <c r="BD49" s="167"/>
      <c r="BE49" s="167"/>
      <c r="BF49" s="168"/>
      <c r="BG49" s="79"/>
      <c r="BH49" s="114"/>
      <c r="BI49" s="167"/>
      <c r="BJ49" s="167"/>
      <c r="BK49" s="168"/>
      <c r="BL49" s="79"/>
      <c r="BM49" s="114"/>
      <c r="BN49" s="167"/>
      <c r="BO49" s="167"/>
      <c r="BP49" s="168"/>
      <c r="BQ49" s="79"/>
    </row>
    <row r="50" spans="1:94" s="29" customFormat="1">
      <c r="A50" s="754"/>
      <c r="B50" s="754"/>
      <c r="C50" s="119" t="s">
        <v>204</v>
      </c>
      <c r="D50" s="119"/>
      <c r="E50" s="116">
        <f t="shared" ref="E50:S50" si="77">E42/E48</f>
        <v>0.3888888888888889</v>
      </c>
      <c r="F50" s="117">
        <f t="shared" si="77"/>
        <v>1.3573770491803279</v>
      </c>
      <c r="G50" s="117">
        <f t="shared" si="77"/>
        <v>0.76470588235294112</v>
      </c>
      <c r="H50" s="118">
        <f t="shared" si="77"/>
        <v>0.34313725490196079</v>
      </c>
      <c r="I50" s="138">
        <f t="shared" si="77"/>
        <v>2.8496732026143792</v>
      </c>
      <c r="J50" s="116">
        <f t="shared" si="77"/>
        <v>0.50653594771241828</v>
      </c>
      <c r="K50" s="117">
        <f t="shared" si="77"/>
        <v>0.86885245901639341</v>
      </c>
      <c r="L50" s="117">
        <f t="shared" si="77"/>
        <v>0.58688524590163937</v>
      </c>
      <c r="M50" s="118">
        <f t="shared" si="77"/>
        <v>0.4673202614379085</v>
      </c>
      <c r="N50" s="138">
        <f t="shared" si="77"/>
        <v>2.4327868852459016</v>
      </c>
      <c r="O50" s="116">
        <f t="shared" si="77"/>
        <v>0.15160349854227406</v>
      </c>
      <c r="P50" s="117">
        <f t="shared" si="77"/>
        <v>0.48333333333333334</v>
      </c>
      <c r="Q50" s="117">
        <f t="shared" si="77"/>
        <v>1.2666666666666666</v>
      </c>
      <c r="R50" s="118">
        <f t="shared" si="77"/>
        <v>0.23333333333333334</v>
      </c>
      <c r="S50" s="138">
        <f t="shared" si="77"/>
        <v>2.2069825436408976</v>
      </c>
      <c r="T50" s="116">
        <f t="shared" ref="T50:AQ50" si="78">T42/T48</f>
        <v>0.72857142857142854</v>
      </c>
      <c r="U50" s="117">
        <f t="shared" si="78"/>
        <v>0.44630071599045346</v>
      </c>
      <c r="V50" s="117">
        <f>V42/V48</f>
        <v>1.0214797136038185</v>
      </c>
      <c r="W50" s="118">
        <f t="shared" si="78"/>
        <v>-0.36038186157517899</v>
      </c>
      <c r="X50" s="138">
        <f t="shared" si="78"/>
        <v>1.837708830548926</v>
      </c>
      <c r="Y50" s="116">
        <f t="shared" si="78"/>
        <v>0.46778042959427207</v>
      </c>
      <c r="Z50" s="1576">
        <f t="shared" ref="Z50:AF50" si="79">Z42/Z48</f>
        <v>-0.3923444976076555</v>
      </c>
      <c r="AA50" s="1576">
        <f t="shared" si="79"/>
        <v>0.52028639618138428</v>
      </c>
      <c r="AB50" s="118">
        <f t="shared" si="79"/>
        <v>0.33890214797136037</v>
      </c>
      <c r="AC50" s="138">
        <f t="shared" si="79"/>
        <v>0.93556085918854415</v>
      </c>
      <c r="AD50" s="116">
        <f t="shared" si="79"/>
        <v>0.49523809523809526</v>
      </c>
      <c r="AE50" s="1576">
        <f t="shared" si="79"/>
        <v>0.15201900237529692</v>
      </c>
      <c r="AF50" s="1576">
        <f t="shared" si="79"/>
        <v>0.79097387173396672</v>
      </c>
      <c r="AG50" s="118">
        <f>AG42/AG48</f>
        <v>-0.72684085510688834</v>
      </c>
      <c r="AH50" s="138">
        <f>AH42/AH48</f>
        <v>0.7102137767220903</v>
      </c>
      <c r="AI50" s="116">
        <f>AI42/AI48</f>
        <v>0.52482269503546097</v>
      </c>
      <c r="AJ50" s="1576">
        <f>AJ42/AJ48</f>
        <v>0.44208037825059104</v>
      </c>
      <c r="AK50" s="1576">
        <f t="shared" ref="AK50" si="80">AK42/AK48</f>
        <v>0.93160377358490565</v>
      </c>
      <c r="AL50" s="118">
        <f>AL42/AL48</f>
        <v>-0.5342789598108747</v>
      </c>
      <c r="AM50" s="138">
        <f>AM42/AM48</f>
        <v>1.3632075471698113</v>
      </c>
      <c r="AN50" s="116">
        <f>AN42/AN48</f>
        <v>0.7699530516431925</v>
      </c>
      <c r="AO50" s="2030">
        <f>AO42/AO48</f>
        <v>-2.5623529411764707</v>
      </c>
      <c r="AP50" s="117">
        <f t="shared" si="78"/>
        <v>0.88992974238875877</v>
      </c>
      <c r="AQ50" s="118">
        <f t="shared" si="78"/>
        <v>-13.447795823665894</v>
      </c>
      <c r="AR50" s="138">
        <f>AR42/AR48</f>
        <v>-14.5</v>
      </c>
      <c r="AS50" s="116">
        <f>AS42/AS48</f>
        <v>0.46171171171171171</v>
      </c>
      <c r="AT50" s="2030">
        <f>AT42/AT48</f>
        <v>0.39101123595505616</v>
      </c>
      <c r="AU50" s="2030">
        <f t="shared" ref="AU50:AV50" si="81">AU42/AU48</f>
        <v>0.88789237668161436</v>
      </c>
      <c r="AV50" s="118">
        <f t="shared" si="81"/>
        <v>-5.6157303370786513</v>
      </c>
      <c r="AW50" s="138">
        <f>AW42/AW48</f>
        <v>-3.8828828828828827</v>
      </c>
      <c r="AX50" s="116">
        <f t="shared" ref="AX50:BB50" si="82">AX42/AX48</f>
        <v>0.77492232858266952</v>
      </c>
      <c r="AY50" s="117">
        <f t="shared" si="82"/>
        <v>0.52069972852567348</v>
      </c>
      <c r="AZ50" s="117">
        <f t="shared" si="82"/>
        <v>0.7229881934363277</v>
      </c>
      <c r="BA50" s="118">
        <f t="shared" si="82"/>
        <v>0.57014430577739184</v>
      </c>
      <c r="BB50" s="138">
        <f t="shared" si="82"/>
        <v>2.5844456224576962</v>
      </c>
      <c r="BC50" s="116">
        <f t="shared" ref="BC50:BL50" si="83">BC42/BC48</f>
        <v>0.67737542899032321</v>
      </c>
      <c r="BD50" s="117">
        <f t="shared" si="83"/>
        <v>0.5082808391281306</v>
      </c>
      <c r="BE50" s="117">
        <f t="shared" si="83"/>
        <v>0.69857580573212774</v>
      </c>
      <c r="BF50" s="118">
        <f t="shared" si="83"/>
        <v>0.5102032842487868</v>
      </c>
      <c r="BG50" s="138">
        <f t="shared" si="83"/>
        <v>2.38964742297282</v>
      </c>
      <c r="BH50" s="116">
        <f t="shared" si="83"/>
        <v>0.56524360077948865</v>
      </c>
      <c r="BI50" s="117">
        <f t="shared" si="83"/>
        <v>0.40656895701837359</v>
      </c>
      <c r="BJ50" s="117">
        <f t="shared" si="83"/>
        <v>0.60296872830655923</v>
      </c>
      <c r="BK50" s="118">
        <f t="shared" si="83"/>
        <v>0.45792103636534365</v>
      </c>
      <c r="BL50" s="138">
        <f t="shared" si="83"/>
        <v>2.0326183484182843</v>
      </c>
      <c r="BM50" s="116">
        <f t="shared" ref="BM50:BQ50" si="84">BM42/BM48</f>
        <v>0.64743017999028896</v>
      </c>
      <c r="BN50" s="117">
        <f t="shared" si="84"/>
        <v>0.45476863020732228</v>
      </c>
      <c r="BO50" s="117">
        <f t="shared" si="84"/>
        <v>0.67147963711345371</v>
      </c>
      <c r="BP50" s="118">
        <f t="shared" si="84"/>
        <v>0.58352575617037694</v>
      </c>
      <c r="BQ50" s="138">
        <f t="shared" si="84"/>
        <v>2.3572185507026369</v>
      </c>
      <c r="BR50" s="755"/>
      <c r="BS50" s="755"/>
      <c r="BT50"/>
      <c r="BU50"/>
      <c r="BV50"/>
      <c r="BW50"/>
      <c r="BX50"/>
      <c r="BY50"/>
      <c r="BZ50" s="755"/>
      <c r="CA50" s="755"/>
      <c r="CB50" s="755"/>
      <c r="CC50" s="755"/>
      <c r="CD50" s="755"/>
      <c r="CE50" s="755"/>
      <c r="CF50" s="755"/>
      <c r="CG50" s="755"/>
      <c r="CH50" s="755"/>
      <c r="CI50" s="755"/>
      <c r="CJ50" s="755"/>
      <c r="CK50" s="755"/>
      <c r="CL50" s="755"/>
      <c r="CM50" s="755"/>
      <c r="CN50" s="755"/>
      <c r="CO50" s="755"/>
      <c r="CP50" s="755"/>
    </row>
    <row r="51" spans="1:94" s="29" customFormat="1">
      <c r="A51" s="328"/>
      <c r="B51" s="328"/>
      <c r="C51" s="349" t="s">
        <v>205</v>
      </c>
      <c r="D51" s="756"/>
      <c r="E51" s="121">
        <f t="shared" ref="E51:S51" si="85">E44/E48</f>
        <v>1.0147712418300654</v>
      </c>
      <c r="F51" s="122">
        <f t="shared" si="85"/>
        <v>0.86898360655737694</v>
      </c>
      <c r="G51" s="122">
        <f t="shared" si="85"/>
        <v>1.1024836601307191</v>
      </c>
      <c r="H51" s="123">
        <f t="shared" si="85"/>
        <v>1.0186928104575161</v>
      </c>
      <c r="I51" s="140">
        <f t="shared" si="85"/>
        <v>4.0020915032679731</v>
      </c>
      <c r="J51" s="121">
        <f t="shared" si="85"/>
        <v>0.80457516339869273</v>
      </c>
      <c r="K51" s="122">
        <f t="shared" si="85"/>
        <v>0.819016393442623</v>
      </c>
      <c r="L51" s="122">
        <f t="shared" si="85"/>
        <v>1.274622950819672</v>
      </c>
      <c r="M51" s="123">
        <f t="shared" si="85"/>
        <v>0.98392156862745095</v>
      </c>
      <c r="N51" s="140">
        <f t="shared" si="85"/>
        <v>3.8879999999999999</v>
      </c>
      <c r="O51" s="121">
        <f t="shared" si="85"/>
        <v>0.75218658892128276</v>
      </c>
      <c r="P51" s="122">
        <f t="shared" si="85"/>
        <v>0.69285714285714284</v>
      </c>
      <c r="Q51" s="122">
        <f t="shared" si="85"/>
        <v>1.3857142857142857</v>
      </c>
      <c r="R51" s="123">
        <f t="shared" si="85"/>
        <v>0.76328571428571435</v>
      </c>
      <c r="S51" s="140">
        <f t="shared" si="85"/>
        <v>3.6199002493765584</v>
      </c>
      <c r="T51" s="121">
        <f t="shared" ref="T51:AQ51" si="86">T44/T48</f>
        <v>0.81904761904761902</v>
      </c>
      <c r="U51" s="122">
        <f t="shared" si="86"/>
        <v>0.59427207637231505</v>
      </c>
      <c r="V51" s="122">
        <f>V44/V48</f>
        <v>1.1121718377088305</v>
      </c>
      <c r="W51" s="123">
        <f t="shared" si="86"/>
        <v>0.79474940334128874</v>
      </c>
      <c r="X51" s="140">
        <f t="shared" si="86"/>
        <v>3.3221957040572794</v>
      </c>
      <c r="Y51" s="121">
        <f t="shared" si="86"/>
        <v>0.75656324582338907</v>
      </c>
      <c r="Z51" s="122">
        <f t="shared" ref="Z51:AF51" si="87">Z44/Z48</f>
        <v>0.59090909090909094</v>
      </c>
      <c r="AA51" s="122">
        <f t="shared" si="87"/>
        <v>0.93078758949880669</v>
      </c>
      <c r="AB51" s="123">
        <f t="shared" si="87"/>
        <v>0.75417661097852029</v>
      </c>
      <c r="AC51" s="140">
        <f t="shared" si="87"/>
        <v>3.0310262529832936</v>
      </c>
      <c r="AD51" s="121">
        <f t="shared" si="87"/>
        <v>0.38571428571428573</v>
      </c>
      <c r="AE51" s="122">
        <f t="shared" si="87"/>
        <v>0.48456057007125891</v>
      </c>
      <c r="AF51" s="122">
        <f t="shared" si="87"/>
        <v>0.88598574821852727</v>
      </c>
      <c r="AG51" s="123">
        <f>AG44/AG48</f>
        <v>0.79809976247030878</v>
      </c>
      <c r="AH51" s="140">
        <f>AH44/AH48</f>
        <v>2.5534441805225652</v>
      </c>
      <c r="AI51" s="121">
        <f>AI44/AI48</f>
        <v>0.61465721040189125</v>
      </c>
      <c r="AJ51" s="122">
        <f>AJ44/AJ48</f>
        <v>0.53191489361702127</v>
      </c>
      <c r="AK51" s="122">
        <f t="shared" ref="AK51" si="88">AK44/AK48</f>
        <v>0.97877358490566035</v>
      </c>
      <c r="AL51" s="123">
        <f>AL44/AL48</f>
        <v>0.57683215130023646</v>
      </c>
      <c r="AM51" s="140">
        <f>AM44/AM48</f>
        <v>2.6981132075471699</v>
      </c>
      <c r="AN51" s="121">
        <f>AN44/AN48</f>
        <v>0.79107981220657275</v>
      </c>
      <c r="AO51" s="2031">
        <f>AO44/AO48</f>
        <v>0.55764705882352938</v>
      </c>
      <c r="AP51" s="122">
        <f t="shared" si="86"/>
        <v>0.89695550351288056</v>
      </c>
      <c r="AQ51" s="123">
        <f t="shared" si="86"/>
        <v>0.37819025522041766</v>
      </c>
      <c r="AR51" s="140">
        <f>AR44/AR48</f>
        <v>2.6291079812206575</v>
      </c>
      <c r="AS51" s="121">
        <f>AS44/AS48</f>
        <v>0.77477477477477474</v>
      </c>
      <c r="AT51" s="2031">
        <f>AT44/AT48</f>
        <v>0.60898876404494384</v>
      </c>
      <c r="AU51" s="2031">
        <f t="shared" ref="AU51:AV51" si="89">AU44/AU48</f>
        <v>0.97085201793721976</v>
      </c>
      <c r="AV51" s="123">
        <f t="shared" si="89"/>
        <v>0.71460674157303372</v>
      </c>
      <c r="AW51" s="140">
        <f>AW44/AW48</f>
        <v>3.0765765765765765</v>
      </c>
      <c r="AX51" s="121">
        <f t="shared" ref="AX51:BB51" si="90">AX44/AX48</f>
        <v>0.77492232858266952</v>
      </c>
      <c r="AY51" s="122">
        <f t="shared" si="90"/>
        <v>0.52069972852567348</v>
      </c>
      <c r="AZ51" s="122">
        <f t="shared" si="90"/>
        <v>0.7229881934363277</v>
      </c>
      <c r="BA51" s="123">
        <f t="shared" si="90"/>
        <v>0.57014430577739184</v>
      </c>
      <c r="BB51" s="140">
        <f t="shared" si="90"/>
        <v>2.5844456224576962</v>
      </c>
      <c r="BC51" s="121">
        <f t="shared" ref="BC51:BL51" si="91">BC44/BC48</f>
        <v>0.67737542899032321</v>
      </c>
      <c r="BD51" s="122">
        <f t="shared" si="91"/>
        <v>0.5082808391281306</v>
      </c>
      <c r="BE51" s="122">
        <f t="shared" si="91"/>
        <v>0.69857580573212774</v>
      </c>
      <c r="BF51" s="123">
        <f t="shared" si="91"/>
        <v>0.5102032842487868</v>
      </c>
      <c r="BG51" s="140">
        <f t="shared" si="91"/>
        <v>2.38964742297282</v>
      </c>
      <c r="BH51" s="121">
        <f t="shared" si="91"/>
        <v>0.56524360077948865</v>
      </c>
      <c r="BI51" s="122">
        <f t="shared" si="91"/>
        <v>0.40656895701837359</v>
      </c>
      <c r="BJ51" s="122">
        <f t="shared" si="91"/>
        <v>0.60296872830655923</v>
      </c>
      <c r="BK51" s="123">
        <f t="shared" si="91"/>
        <v>0.45792103636534365</v>
      </c>
      <c r="BL51" s="140">
        <f t="shared" si="91"/>
        <v>2.0326183484182843</v>
      </c>
      <c r="BM51" s="121">
        <f t="shared" ref="BM51:BQ51" si="92">BM44/BM48</f>
        <v>0.64743017999028896</v>
      </c>
      <c r="BN51" s="122">
        <f t="shared" si="92"/>
        <v>0.45476863020732228</v>
      </c>
      <c r="BO51" s="122">
        <f t="shared" si="92"/>
        <v>0.67147963711345371</v>
      </c>
      <c r="BP51" s="123">
        <f t="shared" si="92"/>
        <v>0.58352575617037694</v>
      </c>
      <c r="BQ51" s="1385">
        <f t="shared" si="92"/>
        <v>2.3572185507026369</v>
      </c>
      <c r="BR51" s="755"/>
      <c r="BS51" s="755"/>
      <c r="BT51"/>
      <c r="BU51"/>
      <c r="BV51"/>
      <c r="BW51"/>
      <c r="BX51"/>
      <c r="BY51"/>
      <c r="BZ51" s="755"/>
      <c r="CA51" s="755"/>
      <c r="CB51" s="755"/>
      <c r="CC51" s="755"/>
      <c r="CD51" s="755"/>
      <c r="CE51" s="755"/>
      <c r="CF51" s="755"/>
      <c r="CG51" s="755"/>
      <c r="CH51" s="755"/>
      <c r="CI51" s="755"/>
      <c r="CJ51" s="755"/>
      <c r="CK51" s="755"/>
      <c r="CL51" s="755"/>
      <c r="CM51" s="755"/>
      <c r="CN51" s="755"/>
      <c r="CO51" s="755"/>
      <c r="CP51" s="755"/>
    </row>
    <row r="52" spans="1:94" s="720" customFormat="1">
      <c r="A52" s="497"/>
      <c r="B52" s="497"/>
      <c r="C52" s="376" t="s">
        <v>206</v>
      </c>
      <c r="D52" s="498"/>
      <c r="E52" s="141"/>
      <c r="F52" s="84"/>
      <c r="G52" s="84"/>
      <c r="H52" s="142"/>
      <c r="I52" s="747"/>
      <c r="J52" s="141">
        <f t="shared" ref="J52:T52" si="93">J51/E51-1</f>
        <v>-0.20713641633389168</v>
      </c>
      <c r="K52" s="84">
        <f t="shared" si="93"/>
        <v>-5.7500754603078574E-2</v>
      </c>
      <c r="L52" s="84">
        <f t="shared" si="93"/>
        <v>0.15613772513285396</v>
      </c>
      <c r="M52" s="142">
        <f t="shared" si="93"/>
        <v>-3.4133196458359882E-2</v>
      </c>
      <c r="N52" s="143">
        <f t="shared" si="93"/>
        <v>-2.8507969689051338E-2</v>
      </c>
      <c r="O52" s="141">
        <f t="shared" si="93"/>
        <v>-6.5113337896374746E-2</v>
      </c>
      <c r="P52" s="84">
        <f t="shared" si="93"/>
        <v>-0.1540375157268673</v>
      </c>
      <c r="Q52" s="84">
        <f t="shared" si="93"/>
        <v>8.7156233004571426E-2</v>
      </c>
      <c r="R52" s="142">
        <f t="shared" si="93"/>
        <v>-0.22424130273871201</v>
      </c>
      <c r="S52" s="143">
        <f>S51/N51-1</f>
        <v>-6.8955697176811048E-2</v>
      </c>
      <c r="T52" s="141">
        <f t="shared" si="93"/>
        <v>8.8888888888889017E-2</v>
      </c>
      <c r="U52" s="84">
        <f t="shared" ref="U52:AQ52" si="94">U51/P51-1</f>
        <v>-0.14228772482346275</v>
      </c>
      <c r="V52" s="84">
        <f t="shared" si="94"/>
        <v>-0.19740176660187481</v>
      </c>
      <c r="W52" s="142">
        <f t="shared" si="94"/>
        <v>4.1221378137566989E-2</v>
      </c>
      <c r="X52" s="143">
        <f t="shared" si="94"/>
        <v>-8.2241090861703059E-2</v>
      </c>
      <c r="Y52" s="141">
        <f t="shared" si="94"/>
        <v>-7.6289060331908631E-2</v>
      </c>
      <c r="Z52" s="697">
        <f t="shared" si="94"/>
        <v>-5.658999634903239E-3</v>
      </c>
      <c r="AA52" s="697">
        <f t="shared" si="94"/>
        <v>-0.16309012875536477</v>
      </c>
      <c r="AB52" s="142">
        <f>AB51/W51-1</f>
        <v>-5.1051051051051011E-2</v>
      </c>
      <c r="AC52" s="143">
        <f>AC51/X51-1</f>
        <v>-8.7643678160919558E-2</v>
      </c>
      <c r="AD52" s="141">
        <f t="shared" si="94"/>
        <v>-0.49017575484452458</v>
      </c>
      <c r="AE52" s="697">
        <f t="shared" si="94"/>
        <v>-0.17997441987940799</v>
      </c>
      <c r="AF52" s="697">
        <f t="shared" si="94"/>
        <v>-4.8133260247274601E-2</v>
      </c>
      <c r="AG52" s="142">
        <f>AG51/AB51-1</f>
        <v>5.8239874921073964E-2</v>
      </c>
      <c r="AH52" s="143">
        <f>AH51/AC51-1</f>
        <v>-0.15756447902444504</v>
      </c>
      <c r="AI52" s="141">
        <f>AI51/AD51-1</f>
        <v>0.59355573067156975</v>
      </c>
      <c r="AJ52" s="697">
        <f>AJ51/AE51-1</f>
        <v>9.7726324572382062E-2</v>
      </c>
      <c r="AK52" s="697">
        <f t="shared" si="94"/>
        <v>0.10472836258789009</v>
      </c>
      <c r="AL52" s="142">
        <f>AL51/AG51-1</f>
        <v>-0.27724304851964421</v>
      </c>
      <c r="AM52" s="143">
        <f>AM51/AH51-1</f>
        <v>5.6656428258007985E-2</v>
      </c>
      <c r="AN52" s="141">
        <f>AN51/AI51-1</f>
        <v>0.28702600216684715</v>
      </c>
      <c r="AO52" s="2032">
        <f>AO51/AJ51-1</f>
        <v>4.8376470588235243E-2</v>
      </c>
      <c r="AP52" s="84">
        <f t="shared" si="94"/>
        <v>-8.3592449422984716E-2</v>
      </c>
      <c r="AQ52" s="142">
        <f t="shared" si="94"/>
        <v>-0.34436689361378425</v>
      </c>
      <c r="AR52" s="143">
        <f>AR51/AM51-1</f>
        <v>-2.5575363603532519E-2</v>
      </c>
      <c r="AS52" s="141">
        <f>AS51/AN51-1</f>
        <v>-2.061111556660522E-2</v>
      </c>
      <c r="AT52" s="2032">
        <f>AT51/AO51-1</f>
        <v>9.2068458730384606E-2</v>
      </c>
      <c r="AU52" s="2032">
        <f t="shared" ref="AU52" si="95">AU51/AP51-1</f>
        <v>8.238593122504656E-2</v>
      </c>
      <c r="AV52" s="142">
        <f t="shared" ref="AV52" si="96">AV51/AQ51-1</f>
        <v>0.8895429792513958</v>
      </c>
      <c r="AW52" s="143">
        <f>AW51/AR51-1</f>
        <v>0.17019787644787621</v>
      </c>
      <c r="AX52" s="141">
        <f t="shared" ref="AX52:BB52" si="97">AX51/AS51-1</f>
        <v>1.9044735670137314E-4</v>
      </c>
      <c r="AY52" s="84">
        <f t="shared" si="97"/>
        <v>-0.14497646053902324</v>
      </c>
      <c r="AZ52" s="84">
        <f t="shared" si="97"/>
        <v>-0.25530546357366712</v>
      </c>
      <c r="BA52" s="142">
        <f t="shared" si="97"/>
        <v>-0.20215655323603976</v>
      </c>
      <c r="BB52" s="143">
        <f t="shared" si="97"/>
        <v>-0.15996057366675176</v>
      </c>
      <c r="BC52" s="141">
        <f t="shared" ref="BC52:BL52" si="98">BC51/AX51-1</f>
        <v>-0.12587958301673829</v>
      </c>
      <c r="BD52" s="84">
        <f t="shared" si="98"/>
        <v>-2.3850385773593774E-2</v>
      </c>
      <c r="BE52" s="84">
        <f t="shared" si="98"/>
        <v>-3.3765956243585471E-2</v>
      </c>
      <c r="BF52" s="142">
        <f t="shared" si="98"/>
        <v>-0.1051330705598742</v>
      </c>
      <c r="BG52" s="143">
        <f t="shared" si="98"/>
        <v>-7.5373301644331536E-2</v>
      </c>
      <c r="BH52" s="141">
        <f t="shared" si="98"/>
        <v>-0.16553867089329632</v>
      </c>
      <c r="BI52" s="84">
        <f t="shared" si="98"/>
        <v>-0.20010961318987841</v>
      </c>
      <c r="BJ52" s="84">
        <f t="shared" si="98"/>
        <v>-0.1368599894829875</v>
      </c>
      <c r="BK52" s="142">
        <f t="shared" si="98"/>
        <v>-0.10247336600434176</v>
      </c>
      <c r="BL52" s="143">
        <f t="shared" si="98"/>
        <v>-0.14940659074733997</v>
      </c>
      <c r="BM52" s="141">
        <f t="shared" ref="BM52" si="99">BM51/BH51-1</f>
        <v>0.14540028245779779</v>
      </c>
      <c r="BN52" s="84">
        <f t="shared" ref="BN52" si="100">BN51/BI51-1</f>
        <v>0.11855227104013855</v>
      </c>
      <c r="BO52" s="84">
        <f t="shared" ref="BO52" si="101">BO51/BJ51-1</f>
        <v>0.11362265668288929</v>
      </c>
      <c r="BP52" s="142">
        <f t="shared" ref="BP52" si="102">BP51/BK51-1</f>
        <v>0.27429340395015611</v>
      </c>
      <c r="BQ52" s="143">
        <f t="shared" ref="BQ52" si="103">BQ51/BL51-1</f>
        <v>0.15969559781694653</v>
      </c>
      <c r="BR52" s="708"/>
      <c r="BS52" s="708"/>
      <c r="BT52"/>
      <c r="BU52"/>
      <c r="BV52"/>
      <c r="BW52"/>
      <c r="BX52"/>
      <c r="BY52"/>
      <c r="BZ52" s="708"/>
      <c r="CA52" s="708"/>
      <c r="CB52" s="708"/>
      <c r="CC52" s="708"/>
      <c r="CD52" s="708"/>
      <c r="CE52" s="708"/>
      <c r="CF52" s="708"/>
      <c r="CG52" s="708"/>
      <c r="CH52" s="708"/>
      <c r="CI52" s="708"/>
      <c r="CJ52" s="708"/>
      <c r="CK52" s="708"/>
      <c r="CL52" s="708"/>
      <c r="CM52" s="708"/>
      <c r="CN52" s="708"/>
      <c r="CO52" s="708"/>
      <c r="CP52" s="708"/>
    </row>
    <row r="53" spans="1:94" s="720" customFormat="1">
      <c r="A53" s="497"/>
      <c r="B53" s="497"/>
      <c r="C53" s="880"/>
      <c r="D53" s="880"/>
      <c r="E53" s="874"/>
      <c r="F53" s="875"/>
      <c r="G53" s="875"/>
      <c r="H53" s="881"/>
      <c r="I53" s="882"/>
      <c r="J53" s="874"/>
      <c r="K53" s="875"/>
      <c r="L53" s="875"/>
      <c r="M53" s="881"/>
      <c r="N53" s="882"/>
      <c r="O53" s="874"/>
      <c r="P53" s="875"/>
      <c r="Q53" s="875"/>
      <c r="R53" s="881"/>
      <c r="S53" s="882"/>
      <c r="T53" s="874"/>
      <c r="U53" s="875"/>
      <c r="V53" s="875"/>
      <c r="W53" s="881"/>
      <c r="X53" s="882"/>
      <c r="Y53" s="874"/>
      <c r="Z53" s="875"/>
      <c r="AA53" s="875"/>
      <c r="AB53" s="881"/>
      <c r="AC53" s="1339"/>
      <c r="AD53" s="874"/>
      <c r="AE53" s="875"/>
      <c r="AF53" s="875"/>
      <c r="AG53" s="881"/>
      <c r="AH53" s="1339"/>
      <c r="AI53" s="874"/>
      <c r="AJ53" s="875"/>
      <c r="AK53" s="1341"/>
      <c r="AL53" s="1342"/>
      <c r="AM53" s="1339"/>
      <c r="AN53" s="1340"/>
      <c r="AO53" s="1341"/>
      <c r="AP53" s="1341"/>
      <c r="AQ53" s="1342"/>
      <c r="AR53" s="1339"/>
      <c r="AS53" s="1340"/>
      <c r="AT53" s="1341"/>
      <c r="AU53" s="1341"/>
      <c r="AV53" s="1342"/>
      <c r="AW53" s="1339"/>
      <c r="AX53" s="1340"/>
      <c r="AY53" s="1341"/>
      <c r="AZ53" s="1341"/>
      <c r="BA53" s="1342"/>
      <c r="BB53" s="1339"/>
      <c r="BC53" s="1340"/>
      <c r="BD53" s="1341"/>
      <c r="BE53" s="1341"/>
      <c r="BF53" s="1342"/>
      <c r="BG53" s="1339"/>
      <c r="BH53" s="1340"/>
      <c r="BI53" s="1341"/>
      <c r="BJ53" s="1341"/>
      <c r="BK53" s="1342"/>
      <c r="BL53" s="1339"/>
      <c r="BM53" s="1340"/>
      <c r="BN53" s="1341"/>
      <c r="BO53" s="1341"/>
      <c r="BP53" s="1342"/>
      <c r="BQ53" s="1339"/>
      <c r="BR53" s="708"/>
      <c r="BS53" s="708"/>
      <c r="BT53"/>
      <c r="BU53"/>
      <c r="BV53"/>
      <c r="BW53"/>
      <c r="BX53"/>
      <c r="BY53"/>
      <c r="BZ53" s="708"/>
      <c r="CA53" s="708"/>
      <c r="CB53" s="708"/>
      <c r="CC53" s="708"/>
      <c r="CD53" s="708"/>
      <c r="CE53" s="708"/>
      <c r="CF53" s="708"/>
      <c r="CG53" s="708"/>
      <c r="CH53" s="708"/>
      <c r="CI53" s="708"/>
      <c r="CJ53" s="708"/>
      <c r="CK53" s="708"/>
      <c r="CL53" s="708"/>
      <c r="CM53" s="708"/>
      <c r="CN53" s="708"/>
      <c r="CO53" s="708"/>
      <c r="CP53" s="708"/>
    </row>
    <row r="54" spans="1:94" s="720" customFormat="1">
      <c r="A54" s="497"/>
      <c r="B54" s="497"/>
      <c r="C54" s="376" t="s">
        <v>727</v>
      </c>
      <c r="D54" s="498"/>
      <c r="E54" s="141"/>
      <c r="F54" s="84"/>
      <c r="G54" s="84"/>
      <c r="H54" s="142"/>
      <c r="I54" s="747"/>
      <c r="J54" s="141"/>
      <c r="K54" s="84"/>
      <c r="L54" s="84"/>
      <c r="M54" s="142"/>
      <c r="N54" s="143"/>
      <c r="O54" s="141"/>
      <c r="P54" s="84"/>
      <c r="Q54" s="84"/>
      <c r="R54" s="142"/>
      <c r="S54" s="143"/>
      <c r="T54" s="141"/>
      <c r="U54" s="84"/>
      <c r="V54" s="84"/>
      <c r="W54" s="142"/>
      <c r="X54" s="143"/>
      <c r="Y54" s="873"/>
      <c r="Z54" s="84"/>
      <c r="AA54" s="84"/>
      <c r="AB54" s="142"/>
      <c r="AC54" s="143"/>
      <c r="AD54" s="873"/>
      <c r="AE54" s="84"/>
      <c r="AF54" s="84"/>
      <c r="AG54" s="142"/>
      <c r="AH54" s="143"/>
      <c r="AI54" s="141"/>
      <c r="AJ54" s="84"/>
      <c r="AK54" s="84"/>
      <c r="AL54" s="142"/>
      <c r="AM54" s="143"/>
      <c r="AN54" s="141"/>
      <c r="AO54" s="2032"/>
      <c r="AP54" s="84"/>
      <c r="AQ54" s="142"/>
      <c r="AR54" s="143"/>
      <c r="AS54" s="141"/>
      <c r="AT54" s="84"/>
      <c r="AU54" s="84"/>
      <c r="AV54" s="142"/>
      <c r="AW54" s="1620"/>
      <c r="AX54" s="141"/>
      <c r="AY54" s="84"/>
      <c r="AZ54" s="84"/>
      <c r="BA54" s="142"/>
      <c r="BB54" s="1620"/>
      <c r="BC54" s="141"/>
      <c r="BD54" s="84"/>
      <c r="BE54" s="84"/>
      <c r="BF54" s="142"/>
      <c r="BG54" s="1620"/>
      <c r="BH54" s="141"/>
      <c r="BI54" s="84"/>
      <c r="BJ54" s="84"/>
      <c r="BK54" s="142"/>
      <c r="BL54" s="1620"/>
      <c r="BM54" s="141"/>
      <c r="BN54" s="84"/>
      <c r="BO54" s="84"/>
      <c r="BP54" s="142"/>
      <c r="BQ54" s="1620"/>
      <c r="BR54" s="708"/>
      <c r="BS54" s="708"/>
      <c r="BT54"/>
      <c r="BU54"/>
      <c r="BV54"/>
      <c r="BW54"/>
      <c r="BX54"/>
      <c r="BY54"/>
      <c r="BZ54" s="708"/>
      <c r="CA54" s="708"/>
      <c r="CB54" s="708"/>
      <c r="CC54" s="708"/>
      <c r="CD54" s="708"/>
      <c r="CE54" s="708"/>
      <c r="CF54" s="708"/>
      <c r="CG54" s="708"/>
      <c r="CH54" s="708"/>
      <c r="CI54" s="708"/>
      <c r="CJ54" s="708"/>
      <c r="CK54" s="708"/>
      <c r="CL54" s="708"/>
      <c r="CM54" s="708"/>
      <c r="CN54" s="708"/>
      <c r="CO54" s="708"/>
      <c r="CP54" s="708"/>
    </row>
    <row r="55" spans="1:94" s="1144" customFormat="1">
      <c r="A55" s="1134"/>
      <c r="B55" s="1134"/>
      <c r="C55" s="1135" t="s">
        <v>728</v>
      </c>
      <c r="D55" s="1135"/>
      <c r="E55" s="1136"/>
      <c r="F55" s="1137"/>
      <c r="G55" s="1137"/>
      <c r="H55" s="1138"/>
      <c r="I55" s="1139"/>
      <c r="J55" s="1140"/>
      <c r="K55" s="1141"/>
      <c r="L55" s="1141"/>
      <c r="M55" s="1142"/>
      <c r="N55" s="1139"/>
      <c r="O55" s="1140"/>
      <c r="P55" s="1141"/>
      <c r="Q55" s="1141"/>
      <c r="R55" s="1142"/>
      <c r="S55" s="1139"/>
      <c r="T55" s="1140"/>
      <c r="U55" s="1141"/>
      <c r="V55" s="1141"/>
      <c r="W55" s="1142"/>
      <c r="X55" s="1139"/>
      <c r="Y55" s="1140"/>
      <c r="Z55" s="1141"/>
      <c r="AA55" s="1141"/>
      <c r="AB55" s="1142"/>
      <c r="AC55" s="1139"/>
      <c r="AD55" s="1140"/>
      <c r="AE55" s="1141"/>
      <c r="AF55" s="1141"/>
      <c r="AG55" s="1142"/>
      <c r="AH55" s="1139"/>
      <c r="AI55" s="1140"/>
      <c r="AJ55" s="1141"/>
      <c r="AK55" s="1141"/>
      <c r="AL55" s="1142"/>
      <c r="AM55" s="1139"/>
      <c r="AN55" s="1140"/>
      <c r="AO55" s="1141"/>
      <c r="AP55" s="1141"/>
      <c r="AQ55" s="1142"/>
      <c r="AR55" s="1944"/>
      <c r="AS55" s="1140"/>
      <c r="AT55" s="1141"/>
      <c r="AU55" s="1141"/>
      <c r="AV55" s="1142"/>
      <c r="AW55" s="2261"/>
      <c r="AX55" s="1140"/>
      <c r="AY55" s="1141"/>
      <c r="AZ55" s="1141"/>
      <c r="BA55" s="1142"/>
      <c r="BB55" s="1139"/>
      <c r="BC55" s="1140"/>
      <c r="BD55" s="1141"/>
      <c r="BE55" s="1141"/>
      <c r="BF55" s="1142"/>
      <c r="BG55" s="2261"/>
      <c r="BH55" s="1140"/>
      <c r="BI55" s="1141"/>
      <c r="BJ55" s="1141"/>
      <c r="BK55" s="1142"/>
      <c r="BL55" s="2261"/>
      <c r="BM55" s="1140"/>
      <c r="BN55" s="1141"/>
      <c r="BO55" s="1141"/>
      <c r="BP55" s="1142"/>
      <c r="BQ55" s="2261"/>
      <c r="BR55" s="1143"/>
      <c r="BS55" s="1143"/>
      <c r="BT55"/>
      <c r="BU55"/>
      <c r="BV55"/>
      <c r="BW55"/>
      <c r="BX55"/>
      <c r="BY55"/>
      <c r="BZ55" s="1143"/>
      <c r="CA55" s="1143"/>
      <c r="CB55" s="1143"/>
      <c r="CC55" s="1143"/>
      <c r="CD55" s="1143"/>
      <c r="CE55" s="1143"/>
      <c r="CF55" s="1143"/>
      <c r="CG55" s="1143"/>
      <c r="CH55" s="1143"/>
      <c r="CI55" s="1143"/>
      <c r="CJ55" s="1143"/>
      <c r="CK55" s="1143"/>
      <c r="CL55" s="1143"/>
      <c r="CM55" s="1143"/>
      <c r="CN55" s="1143"/>
      <c r="CO55" s="1143"/>
      <c r="CP55" s="1143"/>
    </row>
    <row r="56" spans="1:94" s="1144" customFormat="1">
      <c r="A56" s="1134"/>
      <c r="B56" s="1134"/>
      <c r="C56" s="1135" t="s">
        <v>729</v>
      </c>
      <c r="D56" s="1135"/>
      <c r="E56" s="1136"/>
      <c r="F56" s="1137"/>
      <c r="G56" s="1137"/>
      <c r="H56" s="1138"/>
      <c r="I56" s="1139"/>
      <c r="J56" s="1140"/>
      <c r="K56" s="1141"/>
      <c r="L56" s="1141"/>
      <c r="M56" s="1142"/>
      <c r="N56" s="1139"/>
      <c r="O56" s="1140"/>
      <c r="P56" s="1141"/>
      <c r="Q56" s="1141"/>
      <c r="R56" s="1142"/>
      <c r="S56" s="1139"/>
      <c r="T56" s="1140"/>
      <c r="U56" s="1141"/>
      <c r="V56" s="1141"/>
      <c r="W56" s="1142"/>
      <c r="X56" s="1139"/>
      <c r="Y56" s="1140"/>
      <c r="Z56" s="1141"/>
      <c r="AA56" s="1141"/>
      <c r="AB56" s="1142"/>
      <c r="AC56" s="1139"/>
      <c r="AD56" s="1140"/>
      <c r="AE56" s="1141"/>
      <c r="AF56" s="1141"/>
      <c r="AG56" s="1142"/>
      <c r="AH56" s="1139"/>
      <c r="AI56" s="1140"/>
      <c r="AJ56" s="1141"/>
      <c r="AK56" s="1141"/>
      <c r="AL56" s="1142"/>
      <c r="AM56" s="1139"/>
      <c r="AN56" s="1140"/>
      <c r="AO56" s="1141"/>
      <c r="AP56" s="1141"/>
      <c r="AQ56" s="1142"/>
      <c r="AR56" s="1139"/>
      <c r="AS56" s="1140"/>
      <c r="AT56" s="1141"/>
      <c r="AU56" s="1141"/>
      <c r="AV56" s="1142"/>
      <c r="AW56" s="1139"/>
      <c r="AX56" s="1140"/>
      <c r="AY56" s="1141"/>
      <c r="AZ56" s="1141"/>
      <c r="BA56" s="1142"/>
      <c r="BB56" s="1139"/>
      <c r="BC56" s="1140"/>
      <c r="BD56" s="1141"/>
      <c r="BE56" s="1141"/>
      <c r="BF56" s="1142"/>
      <c r="BG56" s="1139"/>
      <c r="BH56" s="1140"/>
      <c r="BI56" s="1141"/>
      <c r="BJ56" s="1141"/>
      <c r="BK56" s="1142"/>
      <c r="BL56" s="1139"/>
      <c r="BM56" s="1140"/>
      <c r="BN56" s="1141"/>
      <c r="BO56" s="1141"/>
      <c r="BP56" s="1142"/>
      <c r="BQ56" s="1139"/>
      <c r="BR56" s="1143"/>
      <c r="BS56" s="1143"/>
      <c r="BT56"/>
      <c r="BU56"/>
      <c r="BV56"/>
      <c r="BW56"/>
      <c r="BX56"/>
      <c r="BY56"/>
      <c r="BZ56" s="1143"/>
      <c r="CA56" s="1143"/>
      <c r="CB56" s="1143"/>
      <c r="CC56" s="1143"/>
      <c r="CD56" s="1143"/>
      <c r="CE56" s="1143"/>
      <c r="CF56" s="1143"/>
      <c r="CG56" s="1143"/>
      <c r="CH56" s="1143"/>
      <c r="CI56" s="1143"/>
      <c r="CJ56" s="1143"/>
      <c r="CK56" s="1143"/>
      <c r="CL56" s="1143"/>
      <c r="CM56" s="1143"/>
      <c r="CN56" s="1143"/>
      <c r="CO56" s="1143"/>
      <c r="CP56" s="1143"/>
    </row>
    <row r="57" spans="1:94" s="720" customFormat="1">
      <c r="A57" s="497"/>
      <c r="B57" s="497"/>
      <c r="C57" s="376"/>
      <c r="D57" s="498"/>
      <c r="E57" s="141"/>
      <c r="F57" s="84"/>
      <c r="G57" s="84"/>
      <c r="H57" s="142"/>
      <c r="I57" s="747"/>
      <c r="J57" s="141"/>
      <c r="K57" s="84"/>
      <c r="L57" s="84"/>
      <c r="M57" s="142"/>
      <c r="N57" s="143"/>
      <c r="O57" s="141"/>
      <c r="P57" s="84"/>
      <c r="Q57" s="84"/>
      <c r="R57" s="142"/>
      <c r="S57" s="143"/>
      <c r="T57" s="141"/>
      <c r="U57" s="84"/>
      <c r="V57" s="84"/>
      <c r="W57" s="142"/>
      <c r="X57" s="143"/>
      <c r="Y57" s="141"/>
      <c r="Z57" s="84"/>
      <c r="AA57" s="84"/>
      <c r="AB57" s="142"/>
      <c r="AC57" s="143"/>
      <c r="AD57" s="141"/>
      <c r="AE57" s="84"/>
      <c r="AF57" s="84"/>
      <c r="AG57" s="142"/>
      <c r="AH57" s="143"/>
      <c r="AI57" s="141"/>
      <c r="AJ57" s="84"/>
      <c r="AK57" s="84"/>
      <c r="AL57" s="142"/>
      <c r="AM57" s="143"/>
      <c r="AN57" s="141"/>
      <c r="AO57" s="2032"/>
      <c r="AP57" s="84"/>
      <c r="AQ57" s="142"/>
      <c r="AR57" s="143"/>
      <c r="AS57" s="141"/>
      <c r="AT57" s="84"/>
      <c r="AU57" s="84"/>
      <c r="AV57" s="142"/>
      <c r="AW57" s="143"/>
      <c r="AX57" s="141"/>
      <c r="AY57" s="84"/>
      <c r="AZ57" s="84"/>
      <c r="BA57" s="142"/>
      <c r="BB57" s="143"/>
      <c r="BC57" s="141"/>
      <c r="BD57" s="84"/>
      <c r="BE57" s="84"/>
      <c r="BF57" s="142"/>
      <c r="BG57" s="143"/>
      <c r="BH57" s="141"/>
      <c r="BI57" s="84"/>
      <c r="BJ57" s="84"/>
      <c r="BK57" s="142"/>
      <c r="BL57" s="143"/>
      <c r="BM57" s="141"/>
      <c r="BN57" s="84"/>
      <c r="BO57" s="84"/>
      <c r="BP57" s="142"/>
      <c r="BQ57" s="143"/>
      <c r="BR57" s="708"/>
      <c r="BS57" s="708"/>
      <c r="BT57"/>
      <c r="BU57"/>
      <c r="BV57"/>
      <c r="BW57"/>
      <c r="BX57"/>
      <c r="BY57"/>
      <c r="BZ57" s="708"/>
      <c r="CA57" s="708"/>
      <c r="CB57" s="708"/>
      <c r="CC57" s="708"/>
      <c r="CD57" s="708"/>
      <c r="CE57" s="708"/>
      <c r="CF57" s="708"/>
      <c r="CG57" s="708"/>
      <c r="CH57" s="708"/>
      <c r="CI57" s="708"/>
      <c r="CJ57" s="708"/>
      <c r="CK57" s="708"/>
      <c r="CL57" s="708"/>
      <c r="CM57" s="708"/>
      <c r="CN57" s="708"/>
      <c r="CO57" s="708"/>
      <c r="CP57" s="708"/>
    </row>
    <row r="58" spans="1:94">
      <c r="A58" s="91"/>
      <c r="B58" s="91"/>
      <c r="C58" s="98"/>
      <c r="D58" s="87"/>
      <c r="E58" s="116"/>
      <c r="F58" s="117"/>
      <c r="G58" s="117"/>
      <c r="H58" s="118"/>
      <c r="I58" s="138"/>
      <c r="J58" s="141"/>
      <c r="K58" s="84"/>
      <c r="L58" s="84"/>
      <c r="M58" s="142"/>
      <c r="N58" s="143"/>
      <c r="O58" s="141"/>
      <c r="P58" s="84"/>
      <c r="Q58" s="84"/>
      <c r="R58" s="142"/>
      <c r="S58" s="144"/>
      <c r="T58" s="116"/>
      <c r="U58" s="117"/>
      <c r="V58" s="117"/>
      <c r="W58" s="118"/>
      <c r="X58" s="144"/>
      <c r="Y58" s="116"/>
      <c r="Z58" s="117"/>
      <c r="AA58" s="117"/>
      <c r="AB58" s="118"/>
      <c r="AC58" s="1335"/>
      <c r="AD58" s="116"/>
      <c r="AE58" s="117"/>
      <c r="AF58" s="117"/>
      <c r="AG58" s="511"/>
      <c r="AH58" s="1335"/>
      <c r="AI58" s="509"/>
      <c r="AJ58" s="510"/>
      <c r="AK58" s="510"/>
      <c r="AL58" s="511"/>
      <c r="AM58" s="1335"/>
      <c r="AN58" s="509"/>
      <c r="AO58" s="2033"/>
      <c r="AP58" s="510"/>
      <c r="AQ58" s="511"/>
      <c r="AR58" s="1335"/>
      <c r="AS58" s="509"/>
      <c r="AT58" s="510"/>
      <c r="AU58" s="510"/>
      <c r="AV58" s="511"/>
      <c r="AW58" s="1335"/>
      <c r="AX58" s="509"/>
      <c r="AY58" s="510"/>
      <c r="AZ58" s="510"/>
      <c r="BA58" s="511"/>
      <c r="BB58" s="2313"/>
      <c r="BC58" s="509"/>
      <c r="BD58" s="510"/>
      <c r="BE58" s="510"/>
      <c r="BF58" s="511"/>
      <c r="BG58" s="1335"/>
      <c r="BH58" s="509"/>
      <c r="BI58" s="510"/>
      <c r="BJ58" s="510"/>
      <c r="BK58" s="511"/>
      <c r="BL58" s="1335"/>
      <c r="BM58" s="509"/>
      <c r="BN58" s="510"/>
      <c r="BO58" s="510"/>
      <c r="BP58" s="511"/>
      <c r="BQ58" s="1335"/>
      <c r="BR58" s="12"/>
      <c r="BS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</row>
    <row r="59" spans="1:94">
      <c r="A59" s="92"/>
      <c r="B59" s="126" t="s">
        <v>384</v>
      </c>
      <c r="C59" s="126"/>
      <c r="D59" s="128"/>
      <c r="E59" s="145"/>
      <c r="F59" s="146"/>
      <c r="G59" s="146"/>
      <c r="H59" s="147"/>
      <c r="I59" s="94"/>
      <c r="J59" s="145"/>
      <c r="K59" s="337"/>
      <c r="L59" s="146"/>
      <c r="M59" s="147"/>
      <c r="N59" s="94"/>
      <c r="O59" s="145"/>
      <c r="P59" s="146"/>
      <c r="Q59" s="146"/>
      <c r="R59" s="147"/>
      <c r="S59" s="94"/>
      <c r="T59" s="145"/>
      <c r="U59" s="146"/>
      <c r="V59" s="146"/>
      <c r="W59" s="147"/>
      <c r="X59" s="94"/>
      <c r="Y59" s="145"/>
      <c r="Z59" s="146"/>
      <c r="AA59" s="146"/>
      <c r="AB59" s="147"/>
      <c r="AC59" s="1336"/>
      <c r="AD59" s="145"/>
      <c r="AE59" s="146"/>
      <c r="AF59" s="146"/>
      <c r="AG59" s="147"/>
      <c r="AH59" s="1336"/>
      <c r="AI59" s="145"/>
      <c r="AJ59" s="146"/>
      <c r="AK59" s="146"/>
      <c r="AL59" s="147"/>
      <c r="AM59" s="1336"/>
      <c r="AN59" s="145"/>
      <c r="AO59" s="2034"/>
      <c r="AP59" s="146"/>
      <c r="AQ59" s="147"/>
      <c r="AR59" s="1336"/>
      <c r="AS59" s="145"/>
      <c r="AT59" s="146"/>
      <c r="AU59" s="146"/>
      <c r="AV59" s="147"/>
      <c r="AW59" s="1336"/>
      <c r="AX59" s="145"/>
      <c r="AY59" s="146"/>
      <c r="AZ59" s="146"/>
      <c r="BA59" s="147"/>
      <c r="BB59" s="1336"/>
      <c r="BC59" s="145"/>
      <c r="BD59" s="146"/>
      <c r="BE59" s="146"/>
      <c r="BF59" s="147"/>
      <c r="BG59" s="1336"/>
      <c r="BH59" s="145"/>
      <c r="BI59" s="146"/>
      <c r="BJ59" s="146"/>
      <c r="BK59" s="147"/>
      <c r="BL59" s="1336"/>
      <c r="BM59" s="145"/>
      <c r="BN59" s="146"/>
      <c r="BO59" s="146"/>
      <c r="BP59" s="147"/>
      <c r="BQ59" s="1336"/>
    </row>
    <row r="60" spans="1:94">
      <c r="A60" s="92"/>
      <c r="B60" s="136"/>
      <c r="C60" s="338" t="s">
        <v>115</v>
      </c>
      <c r="D60" s="88"/>
      <c r="E60" s="214"/>
      <c r="F60" s="148"/>
      <c r="G60" s="148"/>
      <c r="H60" s="215"/>
      <c r="I60" s="149"/>
      <c r="J60" s="214"/>
      <c r="K60" s="148"/>
      <c r="L60" s="148"/>
      <c r="M60" s="215"/>
      <c r="N60" s="149"/>
      <c r="O60" s="214"/>
      <c r="P60" s="148"/>
      <c r="Q60" s="148"/>
      <c r="R60" s="215"/>
      <c r="S60" s="149"/>
      <c r="T60" s="145"/>
      <c r="U60" s="146"/>
      <c r="V60" s="146"/>
      <c r="W60" s="147"/>
      <c r="X60" s="94"/>
      <c r="Y60" s="145"/>
      <c r="Z60" s="146"/>
      <c r="AA60" s="146"/>
      <c r="AB60" s="147"/>
      <c r="AC60" s="94"/>
      <c r="AD60" s="145"/>
      <c r="AE60" s="146"/>
      <c r="AF60" s="146"/>
      <c r="AG60" s="147"/>
      <c r="AH60" s="94"/>
      <c r="AI60" s="145"/>
      <c r="AJ60" s="146"/>
      <c r="AK60" s="146"/>
      <c r="AL60" s="147"/>
      <c r="AM60" s="94"/>
      <c r="AN60" s="145"/>
      <c r="AO60" s="2034"/>
      <c r="AP60" s="146"/>
      <c r="AQ60" s="147"/>
      <c r="AR60" s="94"/>
      <c r="AS60" s="145"/>
      <c r="AT60" s="146"/>
      <c r="AU60" s="146"/>
      <c r="AV60" s="147"/>
      <c r="AW60" s="94"/>
      <c r="AX60" s="145"/>
      <c r="AY60" s="146"/>
      <c r="AZ60" s="146"/>
      <c r="BA60" s="147"/>
      <c r="BB60" s="94"/>
      <c r="BC60" s="145"/>
      <c r="BD60" s="146"/>
      <c r="BE60" s="146"/>
      <c r="BF60" s="147"/>
      <c r="BG60" s="94"/>
      <c r="BH60" s="145"/>
      <c r="BI60" s="146"/>
      <c r="BJ60" s="146"/>
      <c r="BK60" s="147"/>
      <c r="BL60" s="94"/>
      <c r="BM60" s="145"/>
      <c r="BN60" s="146"/>
      <c r="BO60" s="146"/>
      <c r="BP60" s="147"/>
      <c r="BQ60" s="94"/>
      <c r="CB60" s="276"/>
    </row>
    <row r="61" spans="1:94" s="29" customFormat="1">
      <c r="A61" s="181"/>
      <c r="B61" s="181"/>
      <c r="C61" s="757" t="s">
        <v>19</v>
      </c>
      <c r="D61" s="327"/>
      <c r="E61" s="758">
        <v>0.55000000000000004</v>
      </c>
      <c r="F61" s="759">
        <v>0.55000000000000004</v>
      </c>
      <c r="G61" s="759">
        <v>0.55000000000000004</v>
      </c>
      <c r="H61" s="343">
        <f>I61-SUM(E61:G61)</f>
        <v>0.55000000000000004</v>
      </c>
      <c r="I61" s="760">
        <v>2.2000000000000002</v>
      </c>
      <c r="J61" s="758">
        <v>0.55000000000000004</v>
      </c>
      <c r="K61" s="759">
        <v>0.55000000000000004</v>
      </c>
      <c r="L61" s="759">
        <v>0.55000000000000004</v>
      </c>
      <c r="M61" s="343">
        <f>N61-SUM(J61:L61)</f>
        <v>0.55000000000000004</v>
      </c>
      <c r="N61" s="760">
        <v>2.2000000000000002</v>
      </c>
      <c r="O61" s="758">
        <v>0.55000000000000004</v>
      </c>
      <c r="P61" s="759">
        <v>0.55000000000000004</v>
      </c>
      <c r="Q61" s="759">
        <v>0.55000000000000004</v>
      </c>
      <c r="R61" s="343">
        <f>S61-SUM(O61:Q61)</f>
        <v>0.55000000000000004</v>
      </c>
      <c r="S61" s="760">
        <v>2.2000000000000002</v>
      </c>
      <c r="T61" s="758">
        <v>0.55000000000000004</v>
      </c>
      <c r="U61" s="759">
        <v>0.55000000000000004</v>
      </c>
      <c r="V61" s="759">
        <v>0.55000000000000004</v>
      </c>
      <c r="W61" s="343">
        <f>X61-SUM(T61:V61)</f>
        <v>0.55000000000000004</v>
      </c>
      <c r="X61" s="1139">
        <v>2.2000000000000002</v>
      </c>
      <c r="Y61" s="758">
        <v>0.55000000000000004</v>
      </c>
      <c r="Z61" s="759">
        <v>0.55000000000000004</v>
      </c>
      <c r="AA61" s="759">
        <v>0.55000000000000004</v>
      </c>
      <c r="AB61" s="343">
        <f>AC61-SUM(Y61:AA61)</f>
        <v>0.55000000000000004</v>
      </c>
      <c r="AC61" s="1139">
        <v>2.2000000000000002</v>
      </c>
      <c r="AD61" s="758">
        <v>0.36</v>
      </c>
      <c r="AE61" s="759">
        <v>0.36</v>
      </c>
      <c r="AF61" s="759">
        <v>0.36</v>
      </c>
      <c r="AG61" s="343">
        <f>AH61-SUM(AD61:AF61)</f>
        <v>0.35999999999999988</v>
      </c>
      <c r="AH61" s="1139">
        <v>1.44</v>
      </c>
      <c r="AI61" s="758">
        <v>0.36</v>
      </c>
      <c r="AJ61" s="759">
        <v>0.36</v>
      </c>
      <c r="AK61" s="759">
        <v>0.36</v>
      </c>
      <c r="AL61" s="343">
        <f>AM61-SUM(AI61:AK61)</f>
        <v>0.35999999999999988</v>
      </c>
      <c r="AM61" s="1139">
        <v>1.44</v>
      </c>
      <c r="AN61" s="758">
        <v>0.36</v>
      </c>
      <c r="AO61" s="2035">
        <v>0.36</v>
      </c>
      <c r="AP61" s="2035">
        <v>0.36</v>
      </c>
      <c r="AQ61" s="343">
        <f>AR61-SUM(AN61:AP61)</f>
        <v>0.35999999999999988</v>
      </c>
      <c r="AR61" s="1139">
        <v>1.44</v>
      </c>
      <c r="AS61" s="758">
        <v>0.36</v>
      </c>
      <c r="AT61" s="2035">
        <v>0.36</v>
      </c>
      <c r="AU61" s="2035">
        <v>0.36</v>
      </c>
      <c r="AV61" s="343">
        <f>AW61-SUM(AS61:AU61)</f>
        <v>0.35999999999999988</v>
      </c>
      <c r="AW61" s="1139">
        <v>1.44</v>
      </c>
      <c r="AX61" s="342">
        <f>AS61*(1+AX62)</f>
        <v>0.36</v>
      </c>
      <c r="AY61" s="150">
        <f>AT61*(1+AY62)</f>
        <v>0.36</v>
      </c>
      <c r="AZ61" s="150">
        <f>AU61*(1+AZ62)</f>
        <v>0.36</v>
      </c>
      <c r="BA61" s="343">
        <f>AV61*(1+BA62)</f>
        <v>0.35999999999999988</v>
      </c>
      <c r="BB61" s="327">
        <f>SUM(AX61:BA61)</f>
        <v>1.44</v>
      </c>
      <c r="BC61" s="342">
        <f>AX61*(1+BC62)</f>
        <v>0.36</v>
      </c>
      <c r="BD61" s="150">
        <f>AY61*(1+BD62)</f>
        <v>0.36</v>
      </c>
      <c r="BE61" s="150">
        <f>AZ61*(1+BE62)</f>
        <v>0.36</v>
      </c>
      <c r="BF61" s="343">
        <f>BA61*(1+BF62)</f>
        <v>0.35999999999999988</v>
      </c>
      <c r="BG61" s="327">
        <f>SUM(BC61:BF61)</f>
        <v>1.44</v>
      </c>
      <c r="BH61" s="342">
        <f>BC61*(1+BH62)</f>
        <v>0.36</v>
      </c>
      <c r="BI61" s="150">
        <f>BD61*(1+BI62)</f>
        <v>0.36</v>
      </c>
      <c r="BJ61" s="150">
        <f>BE61*(1+BJ62)</f>
        <v>0.36</v>
      </c>
      <c r="BK61" s="343">
        <f>BF61*(1+BK62)</f>
        <v>0.35999999999999988</v>
      </c>
      <c r="BL61" s="327">
        <f>SUM(BH61:BK61)</f>
        <v>1.44</v>
      </c>
      <c r="BM61" s="342">
        <f>BH61*(1+BM62)</f>
        <v>0.36</v>
      </c>
      <c r="BN61" s="150">
        <f>BI61*(1+BN62)</f>
        <v>0.36</v>
      </c>
      <c r="BO61" s="150">
        <f>BJ61*(1+BO62)</f>
        <v>0.36</v>
      </c>
      <c r="BP61" s="343">
        <f>BK61*(1+BP62)</f>
        <v>0.35999999999999988</v>
      </c>
      <c r="BQ61" s="327">
        <f>SUM(BM61:BP61)</f>
        <v>1.44</v>
      </c>
      <c r="BT61"/>
      <c r="BU61"/>
      <c r="BV61"/>
      <c r="BW61"/>
      <c r="BX61"/>
      <c r="BY61"/>
      <c r="CB61" s="492"/>
    </row>
    <row r="62" spans="1:94" s="720" customFormat="1">
      <c r="A62" s="684"/>
      <c r="B62" s="684"/>
      <c r="C62" s="752" t="s">
        <v>385</v>
      </c>
      <c r="D62" s="719"/>
      <c r="E62" s="685"/>
      <c r="F62" s="686"/>
      <c r="G62" s="686"/>
      <c r="H62" s="687"/>
      <c r="I62" s="748"/>
      <c r="J62" s="685">
        <f>J61/E61-1</f>
        <v>0</v>
      </c>
      <c r="K62" s="803">
        <f>IF(ISERROR(K61/F61-1),"NM",K61/F61-1)</f>
        <v>0</v>
      </c>
      <c r="L62" s="686">
        <f t="shared" ref="L62:S62" si="104">L61/G61-1</f>
        <v>0</v>
      </c>
      <c r="M62" s="687">
        <f t="shared" si="104"/>
        <v>0</v>
      </c>
      <c r="N62" s="748">
        <f t="shared" si="104"/>
        <v>0</v>
      </c>
      <c r="O62" s="685">
        <f t="shared" si="104"/>
        <v>0</v>
      </c>
      <c r="P62" s="803">
        <f>IF(ISERROR(P61/K61-1),"NM",P61/K61-1)</f>
        <v>0</v>
      </c>
      <c r="Q62" s="686">
        <f t="shared" si="104"/>
        <v>0</v>
      </c>
      <c r="R62" s="687">
        <f t="shared" si="104"/>
        <v>0</v>
      </c>
      <c r="S62" s="748">
        <f t="shared" si="104"/>
        <v>0</v>
      </c>
      <c r="T62" s="1128">
        <f>U62</f>
        <v>0</v>
      </c>
      <c r="U62" s="803">
        <f>IF(ISERROR(U61/P61-1),"NM",U61/P61-1)</f>
        <v>0</v>
      </c>
      <c r="V62" s="803">
        <f>IF(ISERROR(V61/Q61-1),"NM",V61/Q61-1)</f>
        <v>0</v>
      </c>
      <c r="W62" s="687">
        <f>W61/R61-1</f>
        <v>0</v>
      </c>
      <c r="X62" s="748">
        <f>X61/S61-1</f>
        <v>0</v>
      </c>
      <c r="Y62" s="1128">
        <f>Z62</f>
        <v>0</v>
      </c>
      <c r="Z62" s="803">
        <f>IF(ISERROR(Z61/U61-1),"NM",Z61/U61-1)</f>
        <v>0</v>
      </c>
      <c r="AA62" s="803">
        <f>IF(ISERROR(AA61/V61-1),"NM",AA61/V61-1)</f>
        <v>0</v>
      </c>
      <c r="AB62" s="687">
        <f t="shared" ref="AB62:AK62" si="105">AB61/W61-1</f>
        <v>0</v>
      </c>
      <c r="AC62" s="748">
        <f t="shared" si="105"/>
        <v>0</v>
      </c>
      <c r="AD62" s="1128">
        <f t="shared" si="105"/>
        <v>-0.34545454545454557</v>
      </c>
      <c r="AE62" s="803">
        <f t="shared" si="105"/>
        <v>-0.34545454545454557</v>
      </c>
      <c r="AF62" s="803">
        <f t="shared" si="105"/>
        <v>-0.34545454545454557</v>
      </c>
      <c r="AG62" s="687">
        <f t="shared" si="105"/>
        <v>-0.34545454545454568</v>
      </c>
      <c r="AH62" s="748">
        <f t="shared" si="105"/>
        <v>-0.34545454545454557</v>
      </c>
      <c r="AI62" s="1128">
        <f t="shared" si="105"/>
        <v>0</v>
      </c>
      <c r="AJ62" s="803">
        <f t="shared" si="105"/>
        <v>0</v>
      </c>
      <c r="AK62" s="803">
        <f t="shared" si="105"/>
        <v>0</v>
      </c>
      <c r="AL62" s="687">
        <f t="shared" ref="AL62" si="106">AL61/AG61-1</f>
        <v>0</v>
      </c>
      <c r="AM62" s="748">
        <f t="shared" ref="AM62:AU62" si="107">AM61/AH61-1</f>
        <v>0</v>
      </c>
      <c r="AN62" s="1128">
        <f t="shared" si="107"/>
        <v>0</v>
      </c>
      <c r="AO62" s="803">
        <f t="shared" si="107"/>
        <v>0</v>
      </c>
      <c r="AP62" s="803">
        <f t="shared" si="107"/>
        <v>0</v>
      </c>
      <c r="AQ62" s="687">
        <f t="shared" si="107"/>
        <v>0</v>
      </c>
      <c r="AR62" s="748">
        <f t="shared" si="107"/>
        <v>0</v>
      </c>
      <c r="AS62" s="1128">
        <f t="shared" si="107"/>
        <v>0</v>
      </c>
      <c r="AT62" s="803">
        <f t="shared" si="107"/>
        <v>0</v>
      </c>
      <c r="AU62" s="803">
        <f t="shared" si="107"/>
        <v>0</v>
      </c>
      <c r="AV62" s="687">
        <f t="shared" ref="AV62" si="108">AV61/AQ61-1</f>
        <v>0</v>
      </c>
      <c r="AW62" s="748">
        <f t="shared" ref="AW62" si="109">AW61/AR61-1</f>
        <v>0</v>
      </c>
      <c r="AX62" s="141">
        <f>AY62</f>
        <v>0</v>
      </c>
      <c r="AY62" s="84">
        <f>AZ62</f>
        <v>0</v>
      </c>
      <c r="AZ62" s="84">
        <f>BA62</f>
        <v>0</v>
      </c>
      <c r="BA62" s="142">
        <f>BB62</f>
        <v>0</v>
      </c>
      <c r="BB62" s="502">
        <v>0</v>
      </c>
      <c r="BC62" s="141">
        <f>BD62</f>
        <v>0</v>
      </c>
      <c r="BD62" s="84">
        <f>BE62</f>
        <v>0</v>
      </c>
      <c r="BE62" s="84">
        <f>BF62</f>
        <v>0</v>
      </c>
      <c r="BF62" s="142">
        <f>BG62</f>
        <v>0</v>
      </c>
      <c r="BG62" s="502">
        <v>0</v>
      </c>
      <c r="BH62" s="141">
        <f>BI62</f>
        <v>0</v>
      </c>
      <c r="BI62" s="84">
        <f>BJ62</f>
        <v>0</v>
      </c>
      <c r="BJ62" s="84">
        <f>BK62</f>
        <v>0</v>
      </c>
      <c r="BK62" s="142">
        <f>BL62</f>
        <v>0</v>
      </c>
      <c r="BL62" s="502">
        <v>0</v>
      </c>
      <c r="BM62" s="141">
        <f>BN62</f>
        <v>0</v>
      </c>
      <c r="BN62" s="84">
        <f>BO62</f>
        <v>0</v>
      </c>
      <c r="BO62" s="84">
        <f>BP62</f>
        <v>0</v>
      </c>
      <c r="BP62" s="142">
        <f>BQ62</f>
        <v>0</v>
      </c>
      <c r="BQ62" s="502">
        <v>0</v>
      </c>
      <c r="BT62"/>
      <c r="BU62"/>
      <c r="BV62"/>
      <c r="BW62"/>
      <c r="BX62"/>
      <c r="BY62"/>
      <c r="CB62" s="690"/>
    </row>
    <row r="63" spans="1:94">
      <c r="A63" s="92"/>
      <c r="B63" s="92"/>
      <c r="C63" s="339"/>
      <c r="D63" s="89"/>
      <c r="E63" s="145"/>
      <c r="F63" s="146"/>
      <c r="G63" s="146"/>
      <c r="H63" s="147"/>
      <c r="I63" s="94"/>
      <c r="J63" s="145"/>
      <c r="K63" s="146"/>
      <c r="L63" s="146"/>
      <c r="M63" s="147"/>
      <c r="N63" s="94"/>
      <c r="O63" s="145"/>
      <c r="P63" s="146"/>
      <c r="Q63" s="146"/>
      <c r="R63" s="147"/>
      <c r="S63" s="94"/>
      <c r="T63" s="145"/>
      <c r="U63" s="146"/>
      <c r="V63" s="146"/>
      <c r="W63" s="147"/>
      <c r="X63" s="94"/>
      <c r="Y63" s="145"/>
      <c r="Z63" s="146"/>
      <c r="AA63" s="146"/>
      <c r="AB63" s="147"/>
      <c r="AC63" s="94"/>
      <c r="AD63" s="145"/>
      <c r="AE63" s="146"/>
      <c r="AF63" s="146"/>
      <c r="AG63" s="147"/>
      <c r="AH63" s="94"/>
      <c r="AI63" s="1901"/>
      <c r="AJ63" s="1902"/>
      <c r="AK63" s="1902"/>
      <c r="AL63" s="147"/>
      <c r="AM63" s="94"/>
      <c r="AN63" s="1901"/>
      <c r="AO63" s="1902"/>
      <c r="AP63" s="1902"/>
      <c r="AQ63" s="147"/>
      <c r="AR63" s="94"/>
      <c r="AS63" s="1901"/>
      <c r="AT63" s="146"/>
      <c r="AU63" s="1902"/>
      <c r="AV63" s="147"/>
      <c r="AW63" s="94"/>
      <c r="AX63" s="145"/>
      <c r="AY63" s="146"/>
      <c r="AZ63" s="146"/>
      <c r="BA63" s="147"/>
      <c r="BB63" s="94"/>
      <c r="BC63" s="145"/>
      <c r="BD63" s="146"/>
      <c r="BE63" s="146"/>
      <c r="BF63" s="147"/>
      <c r="BG63" s="94"/>
      <c r="BH63" s="145"/>
      <c r="BI63" s="146"/>
      <c r="BJ63" s="146"/>
      <c r="BK63" s="147"/>
      <c r="BL63" s="94"/>
      <c r="BM63" s="145"/>
      <c r="BN63" s="146"/>
      <c r="BO63" s="146"/>
      <c r="BP63" s="147"/>
      <c r="BQ63" s="94"/>
      <c r="CB63" s="276"/>
    </row>
    <row r="64" spans="1:94">
      <c r="A64" s="92"/>
      <c r="B64" s="91"/>
      <c r="C64" s="137" t="s">
        <v>386</v>
      </c>
      <c r="D64" s="96"/>
      <c r="E64" s="104">
        <f>-E145</f>
        <v>168</v>
      </c>
      <c r="F64" s="77">
        <f t="shared" ref="F64:S64" si="110">-F145</f>
        <v>167</v>
      </c>
      <c r="G64" s="77">
        <f t="shared" si="110"/>
        <v>168</v>
      </c>
      <c r="H64" s="102">
        <f t="shared" si="110"/>
        <v>167</v>
      </c>
      <c r="I64" s="79">
        <f t="shared" si="110"/>
        <v>670</v>
      </c>
      <c r="J64" s="104">
        <f t="shared" si="110"/>
        <v>168</v>
      </c>
      <c r="K64" s="77">
        <f t="shared" si="110"/>
        <v>167</v>
      </c>
      <c r="L64" s="77">
        <f t="shared" si="110"/>
        <v>168</v>
      </c>
      <c r="M64" s="102">
        <f t="shared" si="110"/>
        <v>167</v>
      </c>
      <c r="N64" s="79">
        <f t="shared" si="110"/>
        <v>670</v>
      </c>
      <c r="O64" s="104">
        <f t="shared" si="110"/>
        <v>190</v>
      </c>
      <c r="P64" s="77">
        <f t="shared" si="110"/>
        <v>230</v>
      </c>
      <c r="Q64" s="77">
        <f t="shared" si="110"/>
        <v>231</v>
      </c>
      <c r="R64" s="102">
        <f t="shared" si="110"/>
        <v>230</v>
      </c>
      <c r="S64" s="79">
        <f t="shared" si="110"/>
        <v>881</v>
      </c>
      <c r="T64" s="104">
        <f t="shared" ref="T64:AF64" si="111">-T145</f>
        <v>230</v>
      </c>
      <c r="U64" s="77">
        <f t="shared" si="111"/>
        <v>230</v>
      </c>
      <c r="V64" s="77">
        <f t="shared" si="111"/>
        <v>230</v>
      </c>
      <c r="W64" s="102">
        <f t="shared" si="111"/>
        <v>230</v>
      </c>
      <c r="X64" s="79">
        <f t="shared" si="111"/>
        <v>920</v>
      </c>
      <c r="Y64" s="104">
        <f t="shared" si="111"/>
        <v>230</v>
      </c>
      <c r="Z64" s="77">
        <f t="shared" si="111"/>
        <v>230</v>
      </c>
      <c r="AA64" s="77">
        <f t="shared" si="111"/>
        <v>230</v>
      </c>
      <c r="AB64" s="102">
        <f t="shared" si="111"/>
        <v>230</v>
      </c>
      <c r="AC64" s="79">
        <f t="shared" si="111"/>
        <v>920</v>
      </c>
      <c r="AD64" s="104">
        <f t="shared" si="111"/>
        <v>151</v>
      </c>
      <c r="AE64" s="77">
        <f t="shared" si="111"/>
        <v>151</v>
      </c>
      <c r="AF64" s="77">
        <f t="shared" si="111"/>
        <v>150</v>
      </c>
      <c r="AG64" s="102">
        <f t="shared" ref="AG64:AM64" si="112">-AG145</f>
        <v>152</v>
      </c>
      <c r="AH64" s="79">
        <f t="shared" si="112"/>
        <v>604</v>
      </c>
      <c r="AI64" s="104">
        <f t="shared" si="112"/>
        <v>152</v>
      </c>
      <c r="AJ64" s="77">
        <f t="shared" si="112"/>
        <v>151</v>
      </c>
      <c r="AK64" s="77">
        <f t="shared" si="112"/>
        <v>152</v>
      </c>
      <c r="AL64" s="102">
        <f t="shared" si="112"/>
        <v>152</v>
      </c>
      <c r="AM64" s="79">
        <f t="shared" si="112"/>
        <v>607</v>
      </c>
      <c r="AN64" s="104">
        <f t="shared" ref="AN64:AR64" si="113">-AN145</f>
        <v>152</v>
      </c>
      <c r="AO64" s="77">
        <f t="shared" si="113"/>
        <v>153</v>
      </c>
      <c r="AP64" s="77">
        <f t="shared" si="113"/>
        <v>153</v>
      </c>
      <c r="AQ64" s="102">
        <f t="shared" si="113"/>
        <v>153</v>
      </c>
      <c r="AR64" s="79">
        <f t="shared" si="113"/>
        <v>611</v>
      </c>
      <c r="AS64" s="104">
        <f t="shared" ref="AS64:AW64" si="114">-AS145</f>
        <v>159</v>
      </c>
      <c r="AT64" s="77">
        <f t="shared" si="114"/>
        <v>160</v>
      </c>
      <c r="AU64" s="77">
        <f t="shared" si="114"/>
        <v>159</v>
      </c>
      <c r="AV64" s="102">
        <f t="shared" si="114"/>
        <v>161</v>
      </c>
      <c r="AW64" s="79">
        <f t="shared" si="114"/>
        <v>639</v>
      </c>
      <c r="AX64" s="104">
        <f>AX61*AX47</f>
        <v>165.74196670698797</v>
      </c>
      <c r="AY64" s="77">
        <f>AY61*AY47</f>
        <v>171.16365345397591</v>
      </c>
      <c r="AZ64" s="77">
        <f>AZ61*AZ47</f>
        <v>171.68539258441066</v>
      </c>
      <c r="BA64" s="102">
        <f>BA61*BA47</f>
        <v>172.20713171484542</v>
      </c>
      <c r="BB64" s="79">
        <f>SUM(AX64:BA64)</f>
        <v>680.79814446021999</v>
      </c>
      <c r="BC64" s="104">
        <f>BC61*BC47</f>
        <v>172.20713171484547</v>
      </c>
      <c r="BD64" s="77">
        <f>BD61*BD47</f>
        <v>172.20713171484547</v>
      </c>
      <c r="BE64" s="77">
        <f>BE61*BE47</f>
        <v>182.841705019003</v>
      </c>
      <c r="BF64" s="102">
        <f>BF61*BF47</f>
        <v>193.99801745359528</v>
      </c>
      <c r="BG64" s="79">
        <f>SUM(BC64:BF64)</f>
        <v>721.25398590228917</v>
      </c>
      <c r="BH64" s="104">
        <f>BH61*BH47</f>
        <v>194.65019136663881</v>
      </c>
      <c r="BI64" s="77">
        <f>BI61*BI47</f>
        <v>194.91106093185613</v>
      </c>
      <c r="BJ64" s="77">
        <f>BJ61*BJ47</f>
        <v>195.17193049707356</v>
      </c>
      <c r="BK64" s="102">
        <f>BK61*BK47</f>
        <v>195.43280006229082</v>
      </c>
      <c r="BL64" s="79">
        <f>SUM(BH64:BK64)</f>
        <v>780.16598285785926</v>
      </c>
      <c r="BM64" s="104">
        <f>BM61*BM47</f>
        <v>195.67573484489961</v>
      </c>
      <c r="BN64" s="77">
        <f>BN61*BN47</f>
        <v>195.9007348448996</v>
      </c>
      <c r="BO64" s="77">
        <f>BO61*BO47</f>
        <v>196.1257348448996</v>
      </c>
      <c r="BP64" s="102">
        <f>BP61*BP47</f>
        <v>196.35073484489953</v>
      </c>
      <c r="BQ64" s="79">
        <f>SUM(BM64:BP64)</f>
        <v>784.05293937959834</v>
      </c>
      <c r="CB64" s="276"/>
    </row>
    <row r="65" spans="1:80" s="746" customFormat="1">
      <c r="A65" s="673"/>
      <c r="B65" s="673"/>
      <c r="C65" s="359" t="s">
        <v>336</v>
      </c>
      <c r="D65" s="744"/>
      <c r="E65" s="674">
        <f t="shared" ref="E65:AA65" si="115">E61/E51</f>
        <v>0.54199407445575165</v>
      </c>
      <c r="F65" s="675">
        <f t="shared" si="115"/>
        <v>0.632923332327196</v>
      </c>
      <c r="G65" s="675">
        <f t="shared" si="115"/>
        <v>0.49887360682949961</v>
      </c>
      <c r="H65" s="676">
        <f t="shared" si="115"/>
        <v>0.53990760939304516</v>
      </c>
      <c r="I65" s="745">
        <f t="shared" si="115"/>
        <v>0.54971256859158624</v>
      </c>
      <c r="J65" s="674">
        <f t="shared" si="115"/>
        <v>0.68359057676685631</v>
      </c>
      <c r="K65" s="675">
        <f t="shared" si="115"/>
        <v>0.67153722978382713</v>
      </c>
      <c r="L65" s="675">
        <f t="shared" si="115"/>
        <v>0.431500154336866</v>
      </c>
      <c r="M65" s="676">
        <f t="shared" si="115"/>
        <v>0.55898764447987248</v>
      </c>
      <c r="N65" s="745">
        <f t="shared" si="115"/>
        <v>0.56584362139917699</v>
      </c>
      <c r="O65" s="674">
        <f t="shared" si="115"/>
        <v>0.73120155038759704</v>
      </c>
      <c r="P65" s="675">
        <f t="shared" si="115"/>
        <v>0.79381443298969079</v>
      </c>
      <c r="Q65" s="675">
        <f t="shared" si="115"/>
        <v>0.39690721649484539</v>
      </c>
      <c r="R65" s="676">
        <f t="shared" si="115"/>
        <v>0.72056896874415122</v>
      </c>
      <c r="S65" s="745">
        <f t="shared" si="115"/>
        <v>0.6077515534796567</v>
      </c>
      <c r="T65" s="674">
        <f t="shared" si="115"/>
        <v>0.67151162790697683</v>
      </c>
      <c r="U65" s="675">
        <f t="shared" si="115"/>
        <v>0.92550200803212856</v>
      </c>
      <c r="V65" s="675">
        <f t="shared" si="115"/>
        <v>0.4945278969957082</v>
      </c>
      <c r="W65" s="676">
        <f t="shared" si="115"/>
        <v>0.69204204204204212</v>
      </c>
      <c r="X65" s="745">
        <f t="shared" si="115"/>
        <v>0.66221264367816091</v>
      </c>
      <c r="Y65" s="674">
        <f t="shared" si="115"/>
        <v>0.72697160883280754</v>
      </c>
      <c r="Z65" s="675">
        <f t="shared" si="115"/>
        <v>0.93076923076923079</v>
      </c>
      <c r="AA65" s="675">
        <f t="shared" si="115"/>
        <v>0.59089743589743593</v>
      </c>
      <c r="AB65" s="676">
        <f t="shared" ref="AB65:AJ65" si="116">AB61/AB51</f>
        <v>0.72927215189873418</v>
      </c>
      <c r="AC65" s="745">
        <f t="shared" si="116"/>
        <v>0.72582677165354337</v>
      </c>
      <c r="AD65" s="674">
        <f t="shared" si="116"/>
        <v>0.93333333333333324</v>
      </c>
      <c r="AE65" s="675">
        <f t="shared" si="116"/>
        <v>0.74294117647058822</v>
      </c>
      <c r="AF65" s="675">
        <f t="shared" si="116"/>
        <v>0.40632707774798926</v>
      </c>
      <c r="AG65" s="676">
        <f t="shared" si="116"/>
        <v>0.4510714285714284</v>
      </c>
      <c r="AH65" s="745">
        <f t="shared" si="116"/>
        <v>0.56394418604651164</v>
      </c>
      <c r="AI65" s="674">
        <f t="shared" si="116"/>
        <v>0.58569230769230762</v>
      </c>
      <c r="AJ65" s="675">
        <f t="shared" si="116"/>
        <v>0.67679999999999996</v>
      </c>
      <c r="AK65" s="675">
        <f t="shared" ref="AK65:AO65" si="117">AK61/AK51</f>
        <v>0.36780722891566264</v>
      </c>
      <c r="AL65" s="676">
        <f t="shared" si="117"/>
        <v>0.62409836065573743</v>
      </c>
      <c r="AM65" s="745">
        <f t="shared" si="117"/>
        <v>0.53370629370629363</v>
      </c>
      <c r="AN65" s="674">
        <f t="shared" si="117"/>
        <v>0.45507418397626115</v>
      </c>
      <c r="AO65" s="675">
        <f t="shared" si="117"/>
        <v>0.64556962025316456</v>
      </c>
      <c r="AP65" s="675">
        <f t="shared" ref="AP65:AT65" si="118">AP61/AP51</f>
        <v>0.40135770234986945</v>
      </c>
      <c r="AQ65" s="676">
        <f t="shared" si="118"/>
        <v>0.95190184049079718</v>
      </c>
      <c r="AR65" s="745">
        <f t="shared" si="118"/>
        <v>0.5477142857142856</v>
      </c>
      <c r="AS65" s="674">
        <f t="shared" si="118"/>
        <v>0.46465116279069768</v>
      </c>
      <c r="AT65" s="675">
        <f t="shared" si="118"/>
        <v>0.59114391143911438</v>
      </c>
      <c r="AU65" s="675">
        <f t="shared" ref="AU65:AW65" si="119">AU61/AU51</f>
        <v>0.37080831408775977</v>
      </c>
      <c r="AV65" s="676">
        <f t="shared" si="119"/>
        <v>0.50377358490566015</v>
      </c>
      <c r="AW65" s="745">
        <f t="shared" si="119"/>
        <v>0.46805270863836018</v>
      </c>
      <c r="AX65" s="674">
        <f t="shared" ref="AX65:BL65" si="120">AX61/AX51</f>
        <v>0.46456268805473555</v>
      </c>
      <c r="AY65" s="675">
        <f t="shared" si="120"/>
        <v>0.69137735296946656</v>
      </c>
      <c r="AZ65" s="675">
        <f t="shared" si="120"/>
        <v>0.49793344243830251</v>
      </c>
      <c r="BA65" s="676">
        <f t="shared" si="120"/>
        <v>0.63141909224041071</v>
      </c>
      <c r="BB65" s="745">
        <f t="shared" si="120"/>
        <v>0.55717945368516675</v>
      </c>
      <c r="BC65" s="674">
        <f t="shared" si="120"/>
        <v>0.53146303304299936</v>
      </c>
      <c r="BD65" s="675">
        <f t="shared" si="120"/>
        <v>0.70826986241999368</v>
      </c>
      <c r="BE65" s="675">
        <f t="shared" si="120"/>
        <v>0.51533419429364513</v>
      </c>
      <c r="BF65" s="676">
        <f t="shared" si="120"/>
        <v>0.70560110276447308</v>
      </c>
      <c r="BG65" s="745">
        <f t="shared" si="120"/>
        <v>0.60259935677397147</v>
      </c>
      <c r="BH65" s="674">
        <f t="shared" si="120"/>
        <v>0.63689354378103302</v>
      </c>
      <c r="BI65" s="675">
        <f t="shared" si="120"/>
        <v>0.88545865045896988</v>
      </c>
      <c r="BJ65" s="675">
        <f t="shared" si="120"/>
        <v>0.59704588828522143</v>
      </c>
      <c r="BK65" s="676">
        <f t="shared" si="120"/>
        <v>0.78616174276994921</v>
      </c>
      <c r="BL65" s="745">
        <f t="shared" si="120"/>
        <v>0.70844583348396906</v>
      </c>
      <c r="BM65" s="674">
        <f t="shared" ref="BM65:BQ65" si="121">BM61/BM51</f>
        <v>0.55604451433728308</v>
      </c>
      <c r="BN65" s="675">
        <f t="shared" si="121"/>
        <v>0.79161132955868418</v>
      </c>
      <c r="BO65" s="675">
        <f t="shared" si="121"/>
        <v>0.53612943729397722</v>
      </c>
      <c r="BP65" s="676">
        <f t="shared" si="121"/>
        <v>0.61693934876610257</v>
      </c>
      <c r="BQ65" s="745">
        <f t="shared" si="121"/>
        <v>0.61088947377016289</v>
      </c>
      <c r="BT65"/>
      <c r="BU65"/>
      <c r="BV65"/>
      <c r="BW65"/>
      <c r="BX65"/>
      <c r="BY65"/>
      <c r="CB65" s="678"/>
    </row>
    <row r="66" spans="1:80">
      <c r="A66" s="92"/>
      <c r="B66" s="92"/>
      <c r="C66" s="92"/>
      <c r="D66" s="89"/>
      <c r="E66" s="145"/>
      <c r="F66" s="146"/>
      <c r="G66" s="146"/>
      <c r="H66" s="147"/>
      <c r="I66" s="94"/>
      <c r="J66" s="145"/>
      <c r="K66" s="146"/>
      <c r="L66" s="146"/>
      <c r="M66" s="147"/>
      <c r="N66" s="94"/>
      <c r="O66" s="145"/>
      <c r="P66" s="146"/>
      <c r="Q66" s="146"/>
      <c r="R66" s="147"/>
      <c r="S66" s="94"/>
      <c r="T66" s="145"/>
      <c r="U66" s="146"/>
      <c r="V66" s="146"/>
      <c r="W66" s="147"/>
      <c r="X66" s="94"/>
      <c r="Y66" s="145"/>
      <c r="Z66" s="146"/>
      <c r="AA66" s="146"/>
      <c r="AB66" s="147"/>
      <c r="AC66" s="94"/>
      <c r="AD66" s="145"/>
      <c r="AE66" s="146"/>
      <c r="AF66" s="146"/>
      <c r="AG66" s="147"/>
      <c r="AH66" s="94"/>
      <c r="AI66" s="145"/>
      <c r="AJ66" s="146"/>
      <c r="AK66" s="146"/>
      <c r="AL66" s="147"/>
      <c r="AM66" s="94"/>
      <c r="AN66" s="145"/>
      <c r="AO66" s="146"/>
      <c r="AP66" s="146"/>
      <c r="AQ66" s="147"/>
      <c r="AR66" s="94"/>
      <c r="AS66" s="145"/>
      <c r="AT66" s="146"/>
      <c r="AU66" s="146"/>
      <c r="AV66" s="147"/>
      <c r="AW66" s="94"/>
      <c r="AX66" s="145"/>
      <c r="AY66" s="146"/>
      <c r="AZ66" s="146"/>
      <c r="BA66" s="147"/>
      <c r="BB66" s="94"/>
      <c r="BC66" s="145"/>
      <c r="BD66" s="146"/>
      <c r="BE66" s="146"/>
      <c r="BF66" s="147"/>
      <c r="BG66" s="94"/>
      <c r="BH66" s="145"/>
      <c r="BI66" s="146"/>
      <c r="BJ66" s="146"/>
      <c r="BK66" s="147"/>
      <c r="BL66" s="94"/>
      <c r="BM66" s="145"/>
      <c r="BN66" s="146"/>
      <c r="BO66" s="146"/>
      <c r="BP66" s="147"/>
      <c r="BQ66" s="94"/>
      <c r="CB66" s="276"/>
    </row>
    <row r="67" spans="1:80">
      <c r="A67" s="92"/>
      <c r="B67" s="136"/>
      <c r="C67" s="761" t="s">
        <v>371</v>
      </c>
      <c r="D67" s="88"/>
      <c r="E67" s="214"/>
      <c r="F67" s="148"/>
      <c r="G67" s="148"/>
      <c r="H67" s="215"/>
      <c r="I67" s="149"/>
      <c r="J67" s="214"/>
      <c r="K67" s="148"/>
      <c r="L67" s="148"/>
      <c r="M67" s="215"/>
      <c r="N67" s="149"/>
      <c r="O67" s="214"/>
      <c r="P67" s="148"/>
      <c r="Q67" s="148"/>
      <c r="R67" s="215"/>
      <c r="S67" s="149"/>
      <c r="T67" s="145"/>
      <c r="U67" s="146"/>
      <c r="V67" s="146"/>
      <c r="W67" s="215"/>
      <c r="X67" s="149"/>
      <c r="Y67" s="145"/>
      <c r="Z67" s="146"/>
      <c r="AA67" s="146"/>
      <c r="AB67" s="215"/>
      <c r="AC67" s="149"/>
      <c r="AD67" s="145"/>
      <c r="AE67" s="146"/>
      <c r="AF67" s="146"/>
      <c r="AG67" s="147"/>
      <c r="AH67" s="94"/>
      <c r="AI67" s="145"/>
      <c r="AJ67" s="146"/>
      <c r="AK67" s="146"/>
      <c r="AL67" s="147"/>
      <c r="AM67" s="94"/>
      <c r="AN67" s="145"/>
      <c r="AO67" s="146"/>
      <c r="AP67" s="146"/>
      <c r="AQ67" s="147"/>
      <c r="AR67" s="94"/>
      <c r="AS67" s="145"/>
      <c r="AT67" s="146"/>
      <c r="AU67" s="146"/>
      <c r="AV67" s="147"/>
      <c r="AW67" s="94"/>
      <c r="AX67" s="145"/>
      <c r="AY67" s="146"/>
      <c r="AZ67" s="146"/>
      <c r="BA67" s="147"/>
      <c r="BB67" s="94"/>
      <c r="BC67" s="145"/>
      <c r="BD67" s="146"/>
      <c r="BE67" s="146"/>
      <c r="BF67" s="147"/>
      <c r="BG67" s="94"/>
      <c r="BH67" s="145"/>
      <c r="BI67" s="146"/>
      <c r="BJ67" s="146"/>
      <c r="BK67" s="147"/>
      <c r="BL67" s="94"/>
      <c r="BM67" s="145"/>
      <c r="BN67" s="146"/>
      <c r="BO67" s="146"/>
      <c r="BP67" s="147"/>
      <c r="BQ67" s="94"/>
      <c r="CB67" s="276"/>
    </row>
    <row r="68" spans="1:80" s="29" customFormat="1">
      <c r="A68" s="181"/>
      <c r="B68" s="181"/>
      <c r="C68" s="742" t="s">
        <v>387</v>
      </c>
      <c r="D68" s="327"/>
      <c r="E68" s="342"/>
      <c r="F68" s="150"/>
      <c r="G68" s="150"/>
      <c r="H68" s="343"/>
      <c r="I68" s="341"/>
      <c r="J68" s="342"/>
      <c r="K68" s="150"/>
      <c r="L68" s="150"/>
      <c r="M68" s="343"/>
      <c r="N68" s="341"/>
      <c r="O68" s="342"/>
      <c r="P68" s="150"/>
      <c r="Q68" s="150"/>
      <c r="R68" s="343"/>
      <c r="S68" s="341"/>
      <c r="T68" s="342"/>
      <c r="U68" s="150"/>
      <c r="V68" s="150"/>
      <c r="W68" s="343"/>
      <c r="X68" s="341"/>
      <c r="Y68" s="342"/>
      <c r="Z68" s="150"/>
      <c r="AA68" s="150"/>
      <c r="AB68" s="343"/>
      <c r="AC68" s="341"/>
      <c r="AD68" s="342"/>
      <c r="AE68" s="150"/>
      <c r="AF68" s="150"/>
      <c r="AG68" s="343"/>
      <c r="AH68" s="341"/>
      <c r="AI68" s="342"/>
      <c r="AJ68" s="150"/>
      <c r="AK68" s="150"/>
      <c r="AL68" s="343"/>
      <c r="AM68" s="341"/>
      <c r="AN68" s="342"/>
      <c r="AO68" s="150"/>
      <c r="AP68" s="150"/>
      <c r="AQ68" s="343"/>
      <c r="AR68" s="341"/>
      <c r="AS68" s="342"/>
      <c r="AT68" s="150"/>
      <c r="AU68" s="150"/>
      <c r="AV68" s="343"/>
      <c r="AW68" s="341"/>
      <c r="AX68" s="2289">
        <v>28.22</v>
      </c>
      <c r="AY68" s="150">
        <f>+Valuation!$AR$19</f>
        <v>34.5</v>
      </c>
      <c r="AZ68" s="150">
        <f>+Valuation!$AR$19</f>
        <v>34.5</v>
      </c>
      <c r="BA68" s="343">
        <f>+Valuation!$AR$19</f>
        <v>34.5</v>
      </c>
      <c r="BB68" s="341">
        <f>+Valuation!$AR$19</f>
        <v>34.5</v>
      </c>
      <c r="BC68" s="342">
        <f>+Valuation!$AR$19</f>
        <v>34.5</v>
      </c>
      <c r="BD68" s="150">
        <f>+Valuation!$AR$19</f>
        <v>34.5</v>
      </c>
      <c r="BE68" s="2290">
        <v>27.42</v>
      </c>
      <c r="BF68" s="343">
        <f>+Valuation!$AR$19</f>
        <v>34.5</v>
      </c>
      <c r="BG68" s="341">
        <f>+Valuation!$AR$19</f>
        <v>34.5</v>
      </c>
      <c r="BH68" s="342">
        <f>+Valuation!$AR$19</f>
        <v>34.5</v>
      </c>
      <c r="BI68" s="150">
        <f>+Valuation!$AR$19</f>
        <v>34.5</v>
      </c>
      <c r="BJ68" s="150">
        <f>+Valuation!$AR$19</f>
        <v>34.5</v>
      </c>
      <c r="BK68" s="343">
        <f>+Valuation!$AR$19</f>
        <v>34.5</v>
      </c>
      <c r="BL68" s="341">
        <f>+Valuation!$AR$19</f>
        <v>34.5</v>
      </c>
      <c r="BM68" s="342">
        <f>+Valuation!$AR$19</f>
        <v>34.5</v>
      </c>
      <c r="BN68" s="150">
        <f>+Valuation!$AR$19</f>
        <v>34.5</v>
      </c>
      <c r="BO68" s="150">
        <f>+Valuation!$AR$19</f>
        <v>34.5</v>
      </c>
      <c r="BP68" s="343">
        <f>+Valuation!$AR$19</f>
        <v>34.5</v>
      </c>
      <c r="BQ68" s="341">
        <f>+Valuation!$AR$19</f>
        <v>34.5</v>
      </c>
      <c r="BT68"/>
      <c r="BU68"/>
      <c r="BV68"/>
      <c r="BW68"/>
      <c r="BX68"/>
      <c r="BY68"/>
      <c r="CB68" s="492"/>
    </row>
    <row r="69" spans="1:80" s="81" customFormat="1">
      <c r="A69" s="221"/>
      <c r="B69" s="221"/>
      <c r="C69" s="742" t="s">
        <v>388</v>
      </c>
      <c r="D69" s="113"/>
      <c r="E69" s="114"/>
      <c r="F69" s="115"/>
      <c r="G69" s="115"/>
      <c r="H69" s="105"/>
      <c r="I69" s="95"/>
      <c r="J69" s="114"/>
      <c r="K69" s="115"/>
      <c r="L69" s="115"/>
      <c r="M69" s="105"/>
      <c r="N69" s="95"/>
      <c r="O69" s="112"/>
      <c r="P69" s="78"/>
      <c r="Q69" s="78"/>
      <c r="R69" s="307"/>
      <c r="S69" s="200"/>
      <c r="T69" s="667"/>
      <c r="U69" s="485"/>
      <c r="V69" s="485"/>
      <c r="W69" s="307"/>
      <c r="X69" s="200"/>
      <c r="Y69" s="667"/>
      <c r="Z69" s="505"/>
      <c r="AA69" s="505"/>
      <c r="AB69" s="307"/>
      <c r="AC69" s="200"/>
      <c r="AD69" s="667"/>
      <c r="AE69" s="505"/>
      <c r="AF69" s="505"/>
      <c r="AG69" s="290"/>
      <c r="AH69" s="1397"/>
      <c r="AI69" s="296"/>
      <c r="AJ69" s="297"/>
      <c r="AK69" s="297"/>
      <c r="AL69" s="290"/>
      <c r="AM69" s="1397"/>
      <c r="AN69" s="296"/>
      <c r="AO69" s="297"/>
      <c r="AP69" s="297"/>
      <c r="AQ69" s="290"/>
      <c r="AR69" s="1397"/>
      <c r="AS69" s="296"/>
      <c r="AT69" s="297"/>
      <c r="AU69" s="297"/>
      <c r="AV69" s="290"/>
      <c r="AW69" s="1397"/>
      <c r="AX69" s="296">
        <f t="shared" ref="AX69:BA69" si="122">AX70/AX68</f>
        <v>30.120481927710845</v>
      </c>
      <c r="AY69" s="297">
        <f t="shared" si="122"/>
        <v>0</v>
      </c>
      <c r="AZ69" s="297">
        <f t="shared" si="122"/>
        <v>2.8985507246376812</v>
      </c>
      <c r="BA69" s="290">
        <f t="shared" si="122"/>
        <v>0</v>
      </c>
      <c r="BB69" s="1370">
        <f>SUM(AX69:BA69)</f>
        <v>33.019032652348528</v>
      </c>
      <c r="BC69" s="296">
        <f t="shared" ref="BC69:BL69" si="123">BC70/BC68</f>
        <v>0</v>
      </c>
      <c r="BD69" s="297">
        <f t="shared" si="123"/>
        <v>0</v>
      </c>
      <c r="BE69" s="297">
        <f t="shared" si="123"/>
        <v>59.08096280087527</v>
      </c>
      <c r="BF69" s="290">
        <f t="shared" si="123"/>
        <v>2.8985507246376812</v>
      </c>
      <c r="BG69" s="1370">
        <f>SUM(BC69:BF69)</f>
        <v>61.979513525512949</v>
      </c>
      <c r="BH69" s="296">
        <f t="shared" si="123"/>
        <v>0.72463768115942029</v>
      </c>
      <c r="BI69" s="297">
        <f t="shared" si="123"/>
        <v>0.72463768115942029</v>
      </c>
      <c r="BJ69" s="297">
        <f t="shared" si="123"/>
        <v>0.72463768115942029</v>
      </c>
      <c r="BK69" s="290">
        <f t="shared" si="123"/>
        <v>0.72463768115942029</v>
      </c>
      <c r="BL69" s="1397">
        <f t="shared" si="123"/>
        <v>2.8985507246376812</v>
      </c>
      <c r="BM69" s="296">
        <f>+BQ69/4</f>
        <v>0.625</v>
      </c>
      <c r="BN69" s="297">
        <f>+BQ69/4</f>
        <v>0.625</v>
      </c>
      <c r="BO69" s="297">
        <f>+BQ69/4</f>
        <v>0.625</v>
      </c>
      <c r="BP69" s="290">
        <f>+BQ69/4</f>
        <v>0.625</v>
      </c>
      <c r="BQ69" s="1397">
        <v>2.5</v>
      </c>
      <c r="BT69"/>
      <c r="BU69"/>
      <c r="BV69"/>
      <c r="BW69"/>
      <c r="BX69"/>
      <c r="BY69"/>
      <c r="CB69" s="489"/>
    </row>
    <row r="70" spans="1:80" s="81" customFormat="1">
      <c r="A70" s="221"/>
      <c r="B70" s="221"/>
      <c r="C70" s="669" t="s">
        <v>389</v>
      </c>
      <c r="D70" s="113"/>
      <c r="E70" s="114">
        <f>E144</f>
        <v>0</v>
      </c>
      <c r="F70" s="115">
        <f t="shared" ref="F70:U70" si="124">F144</f>
        <v>0</v>
      </c>
      <c r="G70" s="115">
        <f t="shared" si="124"/>
        <v>0</v>
      </c>
      <c r="H70" s="105">
        <f t="shared" si="124"/>
        <v>0</v>
      </c>
      <c r="I70" s="95">
        <f t="shared" si="124"/>
        <v>0</v>
      </c>
      <c r="J70" s="114">
        <f t="shared" si="124"/>
        <v>0</v>
      </c>
      <c r="K70" s="115">
        <f t="shared" si="124"/>
        <v>0</v>
      </c>
      <c r="L70" s="115">
        <f t="shared" si="124"/>
        <v>0</v>
      </c>
      <c r="M70" s="105">
        <f t="shared" si="124"/>
        <v>0</v>
      </c>
      <c r="N70" s="95">
        <f t="shared" si="124"/>
        <v>0</v>
      </c>
      <c r="O70" s="114">
        <f t="shared" si="124"/>
        <v>0</v>
      </c>
      <c r="P70" s="115">
        <f t="shared" si="124"/>
        <v>0</v>
      </c>
      <c r="Q70" s="115">
        <f t="shared" si="124"/>
        <v>0</v>
      </c>
      <c r="R70" s="105">
        <f t="shared" si="124"/>
        <v>0</v>
      </c>
      <c r="S70" s="95">
        <f t="shared" si="124"/>
        <v>0</v>
      </c>
      <c r="T70" s="114">
        <f t="shared" si="124"/>
        <v>0</v>
      </c>
      <c r="U70" s="312">
        <f t="shared" si="124"/>
        <v>0</v>
      </c>
      <c r="V70" s="312">
        <f t="shared" ref="V70:AC70" si="125">V144</f>
        <v>0</v>
      </c>
      <c r="W70" s="105">
        <f t="shared" si="125"/>
        <v>0</v>
      </c>
      <c r="X70" s="95">
        <f t="shared" si="125"/>
        <v>0</v>
      </c>
      <c r="Y70" s="114">
        <f t="shared" si="125"/>
        <v>0</v>
      </c>
      <c r="Z70" s="312">
        <f t="shared" si="125"/>
        <v>0</v>
      </c>
      <c r="AA70" s="312">
        <f t="shared" si="125"/>
        <v>0</v>
      </c>
      <c r="AB70" s="105">
        <f t="shared" si="125"/>
        <v>0</v>
      </c>
      <c r="AC70" s="95">
        <f t="shared" si="125"/>
        <v>0</v>
      </c>
      <c r="AD70" s="114">
        <f t="shared" ref="AD70:AJ70" si="126">AD144</f>
        <v>0</v>
      </c>
      <c r="AE70" s="312">
        <f t="shared" si="126"/>
        <v>0</v>
      </c>
      <c r="AF70" s="312">
        <f t="shared" si="126"/>
        <v>0</v>
      </c>
      <c r="AG70" s="317">
        <f t="shared" si="126"/>
        <v>0</v>
      </c>
      <c r="AH70" s="488">
        <f t="shared" si="126"/>
        <v>0</v>
      </c>
      <c r="AI70" s="316">
        <f t="shared" si="126"/>
        <v>0</v>
      </c>
      <c r="AJ70" s="312">
        <f t="shared" si="126"/>
        <v>0</v>
      </c>
      <c r="AK70" s="312">
        <f t="shared" ref="AK70:AO70" si="127">AK144</f>
        <v>0</v>
      </c>
      <c r="AL70" s="317">
        <f t="shared" si="127"/>
        <v>0</v>
      </c>
      <c r="AM70" s="488">
        <f t="shared" si="127"/>
        <v>0</v>
      </c>
      <c r="AN70" s="316">
        <f t="shared" si="127"/>
        <v>0</v>
      </c>
      <c r="AO70" s="312">
        <f t="shared" si="127"/>
        <v>0</v>
      </c>
      <c r="AP70" s="312">
        <f t="shared" ref="AP70:AT70" si="128">AP144</f>
        <v>0</v>
      </c>
      <c r="AQ70" s="317">
        <f t="shared" si="128"/>
        <v>0</v>
      </c>
      <c r="AR70" s="488">
        <f t="shared" si="128"/>
        <v>0</v>
      </c>
      <c r="AS70" s="316">
        <f t="shared" si="128"/>
        <v>0</v>
      </c>
      <c r="AT70" s="312">
        <f t="shared" si="128"/>
        <v>0</v>
      </c>
      <c r="AU70" s="312">
        <f t="shared" ref="AU70:AW70" si="129">AU144</f>
        <v>0</v>
      </c>
      <c r="AV70" s="317">
        <f t="shared" si="129"/>
        <v>0</v>
      </c>
      <c r="AW70" s="488">
        <f t="shared" si="129"/>
        <v>0</v>
      </c>
      <c r="AX70" s="2178">
        <v>850</v>
      </c>
      <c r="AY70" s="312">
        <v>0</v>
      </c>
      <c r="AZ70" s="1899">
        <v>100</v>
      </c>
      <c r="BA70" s="317">
        <v>0</v>
      </c>
      <c r="BB70" s="1940">
        <f>SUM(AX70:BA70)</f>
        <v>950</v>
      </c>
      <c r="BC70" s="316">
        <v>0</v>
      </c>
      <c r="BD70" s="1899">
        <v>0</v>
      </c>
      <c r="BE70" s="1899">
        <v>1620</v>
      </c>
      <c r="BF70" s="1900">
        <v>100</v>
      </c>
      <c r="BG70" s="1940">
        <f>SUM(BC70:BF70)</f>
        <v>1720</v>
      </c>
      <c r="BH70" s="316">
        <f>BL70/4</f>
        <v>25</v>
      </c>
      <c r="BI70" s="312">
        <f>BH70</f>
        <v>25</v>
      </c>
      <c r="BJ70" s="312">
        <f>BI70</f>
        <v>25</v>
      </c>
      <c r="BK70" s="317">
        <f>BJ70</f>
        <v>25</v>
      </c>
      <c r="BL70" s="1940">
        <v>100</v>
      </c>
      <c r="BM70" s="316">
        <f>BM68*BM69</f>
        <v>21.5625</v>
      </c>
      <c r="BN70" s="312">
        <f>BN68*BN69</f>
        <v>21.5625</v>
      </c>
      <c r="BO70" s="312">
        <f>BO68*BO69</f>
        <v>21.5625</v>
      </c>
      <c r="BP70" s="317">
        <f>BP68*BP69</f>
        <v>21.5625</v>
      </c>
      <c r="BQ70" s="488">
        <f>SUM(BM70:BP70)</f>
        <v>86.25</v>
      </c>
      <c r="BT70"/>
      <c r="BU70"/>
      <c r="BV70"/>
      <c r="BW70"/>
      <c r="BX70"/>
      <c r="BY70"/>
      <c r="CB70" s="489"/>
    </row>
    <row r="71" spans="1:80">
      <c r="A71" s="92"/>
      <c r="B71" s="92"/>
      <c r="C71" s="92"/>
      <c r="D71" s="89"/>
      <c r="E71" s="145"/>
      <c r="F71" s="146"/>
      <c r="G71" s="146"/>
      <c r="H71" s="147"/>
      <c r="I71" s="94"/>
      <c r="J71" s="145"/>
      <c r="K71" s="146"/>
      <c r="L71" s="146"/>
      <c r="M71" s="147"/>
      <c r="N71" s="94"/>
      <c r="O71" s="145"/>
      <c r="P71" s="146"/>
      <c r="Q71" s="146"/>
      <c r="R71" s="147"/>
      <c r="S71" s="94"/>
      <c r="T71" s="145"/>
      <c r="U71" s="146"/>
      <c r="V71" s="146"/>
      <c r="W71" s="147"/>
      <c r="X71" s="94"/>
      <c r="Y71" s="145"/>
      <c r="Z71" s="146"/>
      <c r="AA71" s="146"/>
      <c r="AB71" s="147"/>
      <c r="AC71" s="94"/>
      <c r="AD71" s="145"/>
      <c r="AE71" s="146"/>
      <c r="AF71" s="146"/>
      <c r="AG71" s="147"/>
      <c r="AH71" s="94"/>
      <c r="AI71" s="145"/>
      <c r="AJ71" s="146"/>
      <c r="AK71" s="146"/>
      <c r="AL71" s="147"/>
      <c r="AM71" s="488"/>
      <c r="AN71" s="145"/>
      <c r="AO71" s="146"/>
      <c r="AP71" s="146"/>
      <c r="AQ71" s="147"/>
      <c r="AR71" s="94"/>
      <c r="AS71" s="145"/>
      <c r="AT71" s="146"/>
      <c r="AU71" s="146"/>
      <c r="AV71" s="147"/>
      <c r="AW71" s="94"/>
      <c r="AX71" s="145"/>
      <c r="AY71" s="146"/>
      <c r="AZ71" s="146"/>
      <c r="BA71" s="147"/>
      <c r="BB71" s="94"/>
      <c r="BC71" s="145"/>
      <c r="BD71" s="146"/>
      <c r="BE71" s="146"/>
      <c r="BF71" s="147"/>
      <c r="BG71" s="94"/>
      <c r="BH71" s="145"/>
      <c r="BI71" s="146"/>
      <c r="BJ71" s="146"/>
      <c r="BK71" s="147"/>
      <c r="BL71" s="94"/>
      <c r="BM71" s="145"/>
      <c r="BN71" s="146"/>
      <c r="BO71" s="146"/>
      <c r="BP71" s="147"/>
      <c r="BQ71" s="94"/>
      <c r="CB71" s="276"/>
    </row>
    <row r="72" spans="1:80">
      <c r="A72" s="92"/>
      <c r="B72" s="92"/>
      <c r="C72" s="92"/>
      <c r="D72" s="89"/>
      <c r="E72" s="145"/>
      <c r="F72" s="146"/>
      <c r="G72" s="146"/>
      <c r="H72" s="147"/>
      <c r="I72" s="94"/>
      <c r="J72" s="145"/>
      <c r="K72" s="146"/>
      <c r="L72" s="146"/>
      <c r="M72" s="147"/>
      <c r="N72" s="94"/>
      <c r="O72" s="145"/>
      <c r="P72" s="146"/>
      <c r="Q72" s="146"/>
      <c r="R72" s="147"/>
      <c r="S72" s="94"/>
      <c r="T72" s="145"/>
      <c r="U72" s="146"/>
      <c r="V72" s="146"/>
      <c r="W72" s="147"/>
      <c r="X72" s="94"/>
      <c r="Y72" s="145"/>
      <c r="Z72" s="146"/>
      <c r="AA72" s="146"/>
      <c r="AB72" s="147"/>
      <c r="AC72" s="94"/>
      <c r="AD72" s="145"/>
      <c r="AE72" s="146"/>
      <c r="AF72" s="146"/>
      <c r="AG72" s="147"/>
      <c r="AH72" s="94"/>
      <c r="AI72" s="145"/>
      <c r="AJ72" s="146"/>
      <c r="AK72" s="146"/>
      <c r="AL72" s="147"/>
      <c r="AM72" s="94"/>
      <c r="AN72" s="145"/>
      <c r="AO72" s="146"/>
      <c r="AP72" s="146"/>
      <c r="AQ72" s="147"/>
      <c r="AR72" s="94"/>
      <c r="AS72" s="145"/>
      <c r="AT72" s="146"/>
      <c r="AU72" s="146"/>
      <c r="AV72" s="147"/>
      <c r="AW72" s="94"/>
      <c r="AX72" s="145"/>
      <c r="AY72" s="146"/>
      <c r="AZ72" s="146"/>
      <c r="BA72" s="147"/>
      <c r="BB72" s="94"/>
      <c r="BC72" s="145"/>
      <c r="BD72" s="146"/>
      <c r="BE72" s="146"/>
      <c r="BF72" s="147"/>
      <c r="BG72" s="94"/>
      <c r="BH72" s="145"/>
      <c r="BI72" s="146"/>
      <c r="BJ72" s="146"/>
      <c r="BK72" s="147"/>
      <c r="BL72" s="94"/>
      <c r="BM72" s="145"/>
      <c r="BN72" s="146"/>
      <c r="BO72" s="146"/>
      <c r="BP72" s="147"/>
      <c r="BQ72" s="94"/>
      <c r="CB72" s="276"/>
    </row>
    <row r="73" spans="1:80">
      <c r="A73" s="92"/>
      <c r="B73" s="126" t="s">
        <v>390</v>
      </c>
      <c r="C73" s="126"/>
      <c r="D73" s="128"/>
      <c r="E73" s="145"/>
      <c r="F73" s="146"/>
      <c r="G73" s="146"/>
      <c r="H73" s="147"/>
      <c r="I73" s="94"/>
      <c r="J73" s="145"/>
      <c r="K73" s="146"/>
      <c r="L73" s="146"/>
      <c r="M73" s="147"/>
      <c r="N73" s="341"/>
      <c r="O73" s="145"/>
      <c r="P73" s="146"/>
      <c r="Q73" s="146"/>
      <c r="R73" s="147"/>
      <c r="S73" s="94"/>
      <c r="T73" s="145"/>
      <c r="U73" s="146"/>
      <c r="V73" s="146"/>
      <c r="W73" s="147"/>
      <c r="X73" s="94"/>
      <c r="Y73" s="145"/>
      <c r="Z73" s="146"/>
      <c r="AA73" s="146"/>
      <c r="AB73" s="147"/>
      <c r="AC73" s="94"/>
      <c r="AD73" s="145"/>
      <c r="AE73" s="146"/>
      <c r="AF73" s="146"/>
      <c r="AG73" s="147"/>
      <c r="AH73" s="94"/>
      <c r="AI73" s="145"/>
      <c r="AJ73" s="146"/>
      <c r="AK73" s="146"/>
      <c r="AL73" s="147"/>
      <c r="AM73" s="94"/>
      <c r="AN73" s="145"/>
      <c r="AO73" s="146"/>
      <c r="AP73" s="146"/>
      <c r="AQ73" s="147"/>
      <c r="AR73" s="94"/>
      <c r="AS73" s="145"/>
      <c r="AT73" s="146"/>
      <c r="AU73" s="146"/>
      <c r="AV73" s="147"/>
      <c r="AW73" s="94"/>
      <c r="AX73" s="145"/>
      <c r="AY73" s="146"/>
      <c r="AZ73" s="146"/>
      <c r="BA73" s="147"/>
      <c r="BB73" s="94"/>
      <c r="BC73" s="145"/>
      <c r="BD73" s="146"/>
      <c r="BE73" s="146"/>
      <c r="BF73" s="147"/>
      <c r="BG73" s="94"/>
      <c r="BH73" s="145"/>
      <c r="BI73" s="146"/>
      <c r="BJ73" s="146"/>
      <c r="BK73" s="147"/>
      <c r="BL73" s="94"/>
      <c r="BM73" s="145"/>
      <c r="BN73" s="146"/>
      <c r="BO73" s="146"/>
      <c r="BP73" s="147"/>
      <c r="BQ73" s="94"/>
      <c r="CB73" s="276"/>
    </row>
    <row r="74" spans="1:80">
      <c r="A74" s="92"/>
      <c r="B74" s="136"/>
      <c r="C74" s="340" t="s">
        <v>391</v>
      </c>
      <c r="D74" s="88"/>
      <c r="E74" s="214"/>
      <c r="F74" s="148"/>
      <c r="G74" s="148"/>
      <c r="H74" s="215"/>
      <c r="I74" s="149"/>
      <c r="J74" s="214"/>
      <c r="K74" s="148"/>
      <c r="L74" s="148"/>
      <c r="M74" s="215"/>
      <c r="N74" s="149"/>
      <c r="O74" s="214"/>
      <c r="P74" s="148"/>
      <c r="Q74" s="148"/>
      <c r="R74" s="215"/>
      <c r="S74" s="149"/>
      <c r="T74" s="145"/>
      <c r="U74" s="146"/>
      <c r="V74" s="146"/>
      <c r="W74" s="147"/>
      <c r="X74" s="94"/>
      <c r="Y74" s="145"/>
      <c r="Z74" s="146"/>
      <c r="AA74" s="146"/>
      <c r="AB74" s="147"/>
      <c r="AC74" s="94"/>
      <c r="AD74" s="145"/>
      <c r="AE74" s="146"/>
      <c r="AF74" s="146"/>
      <c r="AG74" s="147"/>
      <c r="AH74" s="94"/>
      <c r="AI74" s="145"/>
      <c r="AJ74" s="146"/>
      <c r="AK74" s="146"/>
      <c r="AL74" s="147"/>
      <c r="AM74" s="94"/>
      <c r="AN74" s="145"/>
      <c r="AO74" s="146"/>
      <c r="AP74" s="146"/>
      <c r="AQ74" s="147"/>
      <c r="AR74" s="94"/>
      <c r="AS74" s="145"/>
      <c r="AT74" s="146"/>
      <c r="AU74" s="146"/>
      <c r="AV74" s="147"/>
      <c r="AW74" s="94"/>
      <c r="AX74" s="145"/>
      <c r="AY74" s="146"/>
      <c r="AZ74" s="146"/>
      <c r="BA74" s="147"/>
      <c r="BB74" s="94"/>
      <c r="BC74" s="145"/>
      <c r="BD74" s="146"/>
      <c r="BE74" s="146"/>
      <c r="BF74" s="147"/>
      <c r="BG74" s="94"/>
      <c r="BH74" s="145"/>
      <c r="BI74" s="146"/>
      <c r="BJ74" s="146"/>
      <c r="BK74" s="147"/>
      <c r="BL74" s="94"/>
      <c r="BM74" s="145"/>
      <c r="BN74" s="146"/>
      <c r="BO74" s="146"/>
      <c r="BP74" s="147"/>
      <c r="BQ74" s="94"/>
      <c r="CB74" s="276"/>
    </row>
    <row r="75" spans="1:80">
      <c r="A75" s="92"/>
      <c r="B75" s="92"/>
      <c r="C75" s="97" t="s">
        <v>337</v>
      </c>
      <c r="D75" s="89"/>
      <c r="E75" s="342"/>
      <c r="F75" s="150"/>
      <c r="G75" s="150"/>
      <c r="H75" s="343"/>
      <c r="I75" s="341">
        <f>Distribution!I41</f>
        <v>1.0947712418300655</v>
      </c>
      <c r="J75" s="342">
        <f>Distribution!J41</f>
        <v>0.47712418300653597</v>
      </c>
      <c r="K75" s="150">
        <f>Distribution!K41</f>
        <v>0.42950819672131146</v>
      </c>
      <c r="L75" s="150">
        <f>Distribution!L41</f>
        <v>0.71147540983606561</v>
      </c>
      <c r="M75" s="343">
        <f>Distribution!M41</f>
        <v>0.66666666666666663</v>
      </c>
      <c r="N75" s="341">
        <f>Distribution!N41</f>
        <v>2.2885245901639344</v>
      </c>
      <c r="O75" s="342">
        <f>Distribution!O41</f>
        <v>0.46064139941690962</v>
      </c>
      <c r="P75" s="150">
        <f>Distribution!P41</f>
        <v>0.42142857142857143</v>
      </c>
      <c r="Q75" s="150">
        <f>Distribution!Q41</f>
        <v>0.67619047619047623</v>
      </c>
      <c r="R75" s="343">
        <f>Distribution!R41</f>
        <v>0.41904761904761906</v>
      </c>
      <c r="S75" s="341">
        <f>Distribution!S41</f>
        <v>1.9825436408977557</v>
      </c>
      <c r="T75" s="342">
        <f>Distribution!T41</f>
        <v>0.40476190476190477</v>
      </c>
      <c r="U75" s="150">
        <f>Distribution!U41</f>
        <v>0.42720763723150357</v>
      </c>
      <c r="V75" s="150">
        <f>Distribution!V41</f>
        <v>0.74224343675417659</v>
      </c>
      <c r="W75" s="343">
        <f>Distribution!W41</f>
        <v>0.48687350835322196</v>
      </c>
      <c r="X75" s="341">
        <f>Distribution!X41</f>
        <v>2.0620525059665873</v>
      </c>
      <c r="Y75" s="342">
        <f>Distribution!Y41</f>
        <v>0.52267303102625295</v>
      </c>
      <c r="Z75" s="150">
        <f>Distribution!Z41</f>
        <v>0.45454545454545453</v>
      </c>
      <c r="AA75" s="150">
        <f>Distribution!AA41</f>
        <v>0.60143198090692129</v>
      </c>
      <c r="AB75" s="343">
        <f>Distribution!AB41</f>
        <v>0.46539379474940334</v>
      </c>
      <c r="AC75" s="341">
        <f>Distribution!AC41</f>
        <v>2.042959427207637</v>
      </c>
      <c r="AD75" s="342">
        <f>Distribution!AD41</f>
        <v>0.52857142857142858</v>
      </c>
      <c r="AE75" s="150">
        <f>Distribution!AE41</f>
        <v>0.39192399049881232</v>
      </c>
      <c r="AF75" s="150">
        <f>Distribution!AF41</f>
        <v>0.56057007125890734</v>
      </c>
      <c r="AG75" s="343">
        <f>Distribution!AG41</f>
        <v>0.44180522565320662</v>
      </c>
      <c r="AH75" s="341">
        <f>Distribution!AH41</f>
        <v>1.9216152019002375</v>
      </c>
      <c r="AI75" s="342">
        <f>Distribution!AI41</f>
        <v>0.51536643026004725</v>
      </c>
      <c r="AJ75" s="150">
        <f>Distribution!AJ41</f>
        <v>0.38770685579196218</v>
      </c>
      <c r="AK75" s="150">
        <f>Distribution!AK41</f>
        <v>0.589622641509434</v>
      </c>
      <c r="AL75" s="343">
        <f>Distribution!AL41</f>
        <v>0.31914893617021278</v>
      </c>
      <c r="AM75" s="341">
        <f>Distribution!AM41</f>
        <v>1.8089622641509433</v>
      </c>
      <c r="AN75" s="342">
        <f>Distribution!AN41</f>
        <v>0.48122065727699531</v>
      </c>
      <c r="AO75" s="150">
        <f>Distribution!AO41</f>
        <v>0.35764705882352943</v>
      </c>
      <c r="AP75" s="150">
        <f>Distribution!AP41</f>
        <v>0.67447306791569084</v>
      </c>
      <c r="AQ75" s="343">
        <f>Distribution!AQ41</f>
        <v>0.2923433874709977</v>
      </c>
      <c r="AR75" s="341">
        <f>Distribution!AR41</f>
        <v>1.8098591549295775</v>
      </c>
      <c r="AS75" s="342">
        <f>Distribution!AS41</f>
        <v>0.54504504504504503</v>
      </c>
      <c r="AT75" s="150">
        <f>Distribution!AT41</f>
        <v>0.47415730337078654</v>
      </c>
      <c r="AU75" s="150">
        <f>Distribution!AU41</f>
        <v>0.7152466367713004</v>
      </c>
      <c r="AV75" s="343">
        <f>Distribution!AV41</f>
        <v>0.57977528089887642</v>
      </c>
      <c r="AW75" s="341">
        <f>Distribution!AW41</f>
        <v>2.3198198198198199</v>
      </c>
      <c r="AX75" s="342">
        <f>Distribution!AX41</f>
        <v>0.67194168877932581</v>
      </c>
      <c r="AY75" s="150">
        <f>Distribution!AY41</f>
        <v>0.52599074760200293</v>
      </c>
      <c r="AZ75" s="150">
        <f>Distribution!AZ41</f>
        <v>0.71416485700164045</v>
      </c>
      <c r="BA75" s="343">
        <f>Distribution!BA41</f>
        <v>0.58637310693854328</v>
      </c>
      <c r="BB75" s="341">
        <f>Distribution!BB41</f>
        <v>2.4984704003215126</v>
      </c>
      <c r="BC75" s="342">
        <f>Distribution!BC41</f>
        <v>0.67658091874926229</v>
      </c>
      <c r="BD75" s="150">
        <f>Distribution!BD41</f>
        <v>0.54615512458805948</v>
      </c>
      <c r="BE75" s="150">
        <f>Distribution!BE41</f>
        <v>0.69223177575303629</v>
      </c>
      <c r="BF75" s="343">
        <f>Distribution!BF41</f>
        <v>0.53636737590157746</v>
      </c>
      <c r="BG75" s="341">
        <f>Distribution!BG41</f>
        <v>2.4513351949919358</v>
      </c>
      <c r="BH75" s="342">
        <f>Distribution!BH41</f>
        <v>0.54531527741637909</v>
      </c>
      <c r="BI75" s="150">
        <f>Distribution!BI41</f>
        <v>0.42096349722678822</v>
      </c>
      <c r="BJ75" s="150">
        <f>Distribution!BJ41</f>
        <v>0.59414933148607796</v>
      </c>
      <c r="BK75" s="343">
        <f>Distribution!BK41</f>
        <v>0.4782722071167595</v>
      </c>
      <c r="BL75" s="341">
        <f>Distribution!BL41</f>
        <v>2.0387003132460046</v>
      </c>
      <c r="BM75" s="342">
        <f>Distribution!BM41</f>
        <v>0.56316138724491982</v>
      </c>
      <c r="BN75" s="150">
        <f>Distribution!BN41</f>
        <v>0.43148655335421671</v>
      </c>
      <c r="BO75" s="150">
        <f>Distribution!BO41</f>
        <v>0.61507406220754512</v>
      </c>
      <c r="BP75" s="343">
        <f>Distribution!BP41</f>
        <v>0.50004852120974386</v>
      </c>
      <c r="BQ75" s="341">
        <f>Distribution!BQ41</f>
        <v>2.1097705240164255</v>
      </c>
      <c r="CB75" s="276"/>
    </row>
    <row r="76" spans="1:80">
      <c r="A76" s="92"/>
      <c r="B76" s="92"/>
      <c r="C76" s="97" t="s">
        <v>338</v>
      </c>
      <c r="D76" s="89"/>
      <c r="E76" s="342"/>
      <c r="F76" s="150"/>
      <c r="G76" s="150"/>
      <c r="H76" s="343"/>
      <c r="I76" s="341">
        <f>Competitive!I42</f>
        <v>1.457516339869281</v>
      </c>
      <c r="J76" s="342">
        <f>Competitive!J42</f>
        <v>0.37908496732026142</v>
      </c>
      <c r="K76" s="150">
        <f>Competitive!K42</f>
        <v>0.34754098360655739</v>
      </c>
      <c r="L76" s="150">
        <f>Competitive!L42</f>
        <v>0.5540983606557377</v>
      </c>
      <c r="M76" s="343">
        <f>Competitive!M42</f>
        <v>0.56209150326797386</v>
      </c>
      <c r="N76" s="341">
        <f>Competitive!N42</f>
        <v>1.8459016393442622</v>
      </c>
      <c r="O76" s="342">
        <f>Competitive!O42</f>
        <v>0.31778425655976678</v>
      </c>
      <c r="P76" s="150">
        <f>Competitive!P42</f>
        <v>0.18571428571428572</v>
      </c>
      <c r="Q76" s="150">
        <f>Competitive!Q42</f>
        <v>0.66666666666666663</v>
      </c>
      <c r="R76" s="343">
        <f>Competitive!R42</f>
        <v>0.1761904761904762</v>
      </c>
      <c r="S76" s="341">
        <f>Competitive!S42</f>
        <v>1.3491271820448878</v>
      </c>
      <c r="T76" s="342">
        <f>Competitive!T42</f>
        <v>0.37619047619047619</v>
      </c>
      <c r="U76" s="150">
        <f>Competitive!U42</f>
        <v>0.13126491646778043</v>
      </c>
      <c r="V76" s="150">
        <f>Competitive!V42</f>
        <v>0.37708830548926014</v>
      </c>
      <c r="W76" s="343">
        <f>Competitive!W42</f>
        <v>0.25536992840095463</v>
      </c>
      <c r="X76" s="341">
        <f>Competitive!X42</f>
        <v>1.1408114558472553</v>
      </c>
      <c r="Y76" s="342">
        <f>Competitive!Y42</f>
        <v>0.1766109785202864</v>
      </c>
      <c r="Z76" s="150">
        <f>Competitive!Z42</f>
        <v>0.10526315789473684</v>
      </c>
      <c r="AA76" s="150">
        <f>Competitive!AA42</f>
        <v>0.23389021479713604</v>
      </c>
      <c r="AB76" s="343">
        <f>Competitive!AB42</f>
        <v>0.21718377088305491</v>
      </c>
      <c r="AC76" s="341">
        <f>Competitive!AC42</f>
        <v>0.73269689737470167</v>
      </c>
      <c r="AD76" s="342">
        <f>Competitive!AD42</f>
        <v>-0.21904761904761905</v>
      </c>
      <c r="AE76" s="150">
        <f>Competitive!AE42</f>
        <v>2.8503562945368172E-2</v>
      </c>
      <c r="AF76" s="150">
        <f>Competitive!AF42</f>
        <v>0.24703087885985747</v>
      </c>
      <c r="AG76" s="343">
        <f>Competitive!AG42</f>
        <v>0.17814726840855108</v>
      </c>
      <c r="AH76" s="341">
        <f>Competitive!AH42</f>
        <v>0.23515439429928742</v>
      </c>
      <c r="AI76" s="342">
        <f>Competitive!AI42</f>
        <v>4.4917257683215132E-2</v>
      </c>
      <c r="AJ76" s="150">
        <f>Competitive!AJ42</f>
        <v>4.2553191489361701E-2</v>
      </c>
      <c r="AK76" s="150">
        <f>Competitive!AK42</f>
        <v>0.33962264150943394</v>
      </c>
      <c r="AL76" s="343">
        <f>Competitive!AL42</f>
        <v>0.1867612293144208</v>
      </c>
      <c r="AM76" s="341">
        <f>Competitive!AM42</f>
        <v>0.6132075471698113</v>
      </c>
      <c r="AN76" s="342">
        <f>Competitive!AN42</f>
        <v>0.26525821596244131</v>
      </c>
      <c r="AO76" s="150">
        <f>Competitive!AO42</f>
        <v>0.14352941176470588</v>
      </c>
      <c r="AP76" s="150">
        <f>Competitive!AP42</f>
        <v>0.19672131147540983</v>
      </c>
      <c r="AQ76" s="343">
        <f>Competitive!AQ42</f>
        <v>-4.6403712296983757E-3</v>
      </c>
      <c r="AR76" s="341">
        <f>Competitive!AR42</f>
        <v>0.60093896713615025</v>
      </c>
      <c r="AS76" s="342">
        <f>Competitive!AS42</f>
        <v>0.15090090090090091</v>
      </c>
      <c r="AT76" s="150">
        <f>Competitive!AT42</f>
        <v>7.6404494382022473E-2</v>
      </c>
      <c r="AU76" s="150">
        <f>Competitive!AU42</f>
        <v>0.19282511210762332</v>
      </c>
      <c r="AV76" s="343">
        <f>Competitive!AV42</f>
        <v>4.0449438202247189E-2</v>
      </c>
      <c r="AW76" s="341">
        <f>Competitive!AW42</f>
        <v>0.46171171171171171</v>
      </c>
      <c r="AX76" s="342">
        <f>Competitive!AX42</f>
        <v>4.2471564175330552E-2</v>
      </c>
      <c r="AY76" s="150">
        <f>Competitive!AY42</f>
        <v>-4.5245030108492783E-2</v>
      </c>
      <c r="AZ76" s="150">
        <f>Competitive!AZ42</f>
        <v>-4.9295689785827594E-2</v>
      </c>
      <c r="BA76" s="343">
        <f>Competitive!BA42</f>
        <v>-7.515787501913257E-2</v>
      </c>
      <c r="BB76" s="341">
        <f>Competitive!BB42</f>
        <v>-0.12991255158265183</v>
      </c>
      <c r="BC76" s="342">
        <f>Competitive!BC42</f>
        <v>-7.1518067023358306E-2</v>
      </c>
      <c r="BD76" s="150">
        <f>Competitive!BD42</f>
        <v>-9.4472328486778001E-2</v>
      </c>
      <c r="BE76" s="150">
        <f>Competitive!BE42</f>
        <v>-9.1291985280605073E-2</v>
      </c>
      <c r="BF76" s="343">
        <f>Competitive!BF42</f>
        <v>-0.11892641644852424</v>
      </c>
      <c r="BG76" s="341">
        <f>Competitive!BG42</f>
        <v>-0.37905205376250078</v>
      </c>
      <c r="BH76" s="342">
        <f>Competitive!BH42</f>
        <v>-8.9804585820738053E-2</v>
      </c>
      <c r="BI76" s="150">
        <f>Competitive!BI42</f>
        <v>-0.10667095054170812</v>
      </c>
      <c r="BJ76" s="150">
        <f>Competitive!BJ42</f>
        <v>-0.10051075979105376</v>
      </c>
      <c r="BK76" s="343">
        <f>Competitive!BK42</f>
        <v>-0.12972418014113063</v>
      </c>
      <c r="BL76" s="341">
        <f>Competitive!BL42</f>
        <v>-0.42678644580883757</v>
      </c>
      <c r="BM76" s="342">
        <f>Competitive!BM42</f>
        <v>-4.1170484635852864E-2</v>
      </c>
      <c r="BN76" s="150">
        <f>Competitive!BN42</f>
        <v>-8.3948236974984478E-2</v>
      </c>
      <c r="BO76" s="150">
        <f>Competitive!BO42</f>
        <v>-7.2598902549198721E-2</v>
      </c>
      <c r="BP76" s="343">
        <f>Competitive!BP42</f>
        <v>-4.5811350741788902E-2</v>
      </c>
      <c r="BQ76" s="341">
        <f>Competitive!BQ42</f>
        <v>-0.2435304518030558</v>
      </c>
      <c r="CB76" s="276"/>
    </row>
    <row r="77" spans="1:80">
      <c r="A77" s="92"/>
      <c r="B77" s="92"/>
      <c r="C77" s="97" t="s">
        <v>339</v>
      </c>
      <c r="D77" s="89"/>
      <c r="E77" s="342"/>
      <c r="F77" s="150"/>
      <c r="G77" s="150"/>
      <c r="H77" s="343"/>
      <c r="I77" s="341">
        <f>Transmission!I39</f>
        <v>0.12745098039215685</v>
      </c>
      <c r="J77" s="342">
        <f>Transmission!J39</f>
        <v>4.2483660130718956E-2</v>
      </c>
      <c r="K77" s="150">
        <f>Transmission!K39</f>
        <v>3.6065573770491806E-2</v>
      </c>
      <c r="L77" s="150">
        <f>Transmission!L39</f>
        <v>7.5409836065573776E-2</v>
      </c>
      <c r="M77" s="343">
        <f>Transmission!M39</f>
        <v>3.5947712418300651E-2</v>
      </c>
      <c r="N77" s="341">
        <f>Transmission!N39</f>
        <v>0.1901639344262295</v>
      </c>
      <c r="O77" s="342">
        <f>Transmission!O39</f>
        <v>7.2886297376093298E-2</v>
      </c>
      <c r="P77" s="150">
        <f>Transmission!P39</f>
        <v>0.1380952380952381</v>
      </c>
      <c r="Q77" s="150">
        <f>Transmission!Q39</f>
        <v>0.13333333333333333</v>
      </c>
      <c r="R77" s="343">
        <f>Transmission!R39</f>
        <v>0.14047619047619048</v>
      </c>
      <c r="S77" s="341">
        <f>Transmission!S39</f>
        <v>0.49376558603491272</v>
      </c>
      <c r="T77" s="342">
        <f>Transmission!T39</f>
        <v>0.1380952380952381</v>
      </c>
      <c r="U77" s="150">
        <f>Transmission!U39</f>
        <v>0.12410501193317422</v>
      </c>
      <c r="V77" s="150">
        <f>Transmission!V39</f>
        <v>0.14081145584725538</v>
      </c>
      <c r="W77" s="343">
        <f>Transmission!W39</f>
        <v>0.14319809069212411</v>
      </c>
      <c r="X77" s="341">
        <f>Transmission!X39</f>
        <v>0.54653937947494036</v>
      </c>
      <c r="Y77" s="342">
        <f>Transmission!Y39</f>
        <v>0.12171837708830549</v>
      </c>
      <c r="Z77" s="150">
        <f>Transmission!Z39</f>
        <v>0.12200956937799043</v>
      </c>
      <c r="AA77" s="150">
        <f>Transmission!AA39</f>
        <v>0.12887828162291171</v>
      </c>
      <c r="AB77" s="343">
        <f>Transmission!AB39</f>
        <v>0.13842482100238662</v>
      </c>
      <c r="AC77" s="341">
        <f>Transmission!AC39</f>
        <v>0.51073985680190925</v>
      </c>
      <c r="AD77" s="342">
        <f>Transmission!AD39</f>
        <v>0.12142857142857143</v>
      </c>
      <c r="AE77" s="150">
        <f>Transmission!AE39</f>
        <v>0.1496437054631829</v>
      </c>
      <c r="AF77" s="150">
        <f>Transmission!AF39</f>
        <v>0.13064133016627077</v>
      </c>
      <c r="AG77" s="343">
        <f>Transmission!AG39</f>
        <v>0.13539192399049882</v>
      </c>
      <c r="AH77" s="341">
        <f>Transmission!AH39</f>
        <v>0.53681710213776723</v>
      </c>
      <c r="AI77" s="342">
        <f>Transmission!AI39</f>
        <v>0.1702127659574468</v>
      </c>
      <c r="AJ77" s="150">
        <f>Transmission!AJ39</f>
        <v>0.21040189125295508</v>
      </c>
      <c r="AK77" s="150">
        <f>Transmission!AK39</f>
        <v>0.1650943396226415</v>
      </c>
      <c r="AL77" s="343">
        <f>Transmission!AL39</f>
        <v>0.16312056737588654</v>
      </c>
      <c r="AM77" s="341">
        <f>Transmission!AM39</f>
        <v>0.70754716981132071</v>
      </c>
      <c r="AN77" s="342">
        <f>Transmission!AN39</f>
        <v>0.17370892018779344</v>
      </c>
      <c r="AO77" s="150">
        <f>Transmission!AO39</f>
        <v>0.16705882352941176</v>
      </c>
      <c r="AP77" s="150">
        <f>Transmission!AP39</f>
        <v>0.18266978922716628</v>
      </c>
      <c r="AQ77" s="343">
        <f>Transmission!AQ39</f>
        <v>0.25290023201856149</v>
      </c>
      <c r="AR77" s="341">
        <f>Transmission!AR39</f>
        <v>0.77934272300469487</v>
      </c>
      <c r="AS77" s="342">
        <f>Transmission!AS39</f>
        <v>0.1981981981981982</v>
      </c>
      <c r="AT77" s="150">
        <f>Transmission!AT39</f>
        <v>0.20674157303370785</v>
      </c>
      <c r="AU77" s="150">
        <f>Transmission!AU39</f>
        <v>0.20627802690582961</v>
      </c>
      <c r="AV77" s="343">
        <f>Transmission!AV39</f>
        <v>0.21348314606741572</v>
      </c>
      <c r="AW77" s="341">
        <f>Transmission!AW39</f>
        <v>0.82657657657657657</v>
      </c>
      <c r="AX77" s="342">
        <f>Transmission!AX39</f>
        <v>0.21089595779250778</v>
      </c>
      <c r="AY77" s="150">
        <f>Transmission!AY39</f>
        <v>0.21056680778979245</v>
      </c>
      <c r="AZ77" s="150">
        <f>Transmission!AZ39</f>
        <v>0.21234631558883418</v>
      </c>
      <c r="BA77" s="343">
        <f>Transmission!BA39</f>
        <v>0.21821154417779087</v>
      </c>
      <c r="BB77" s="341">
        <f>Transmission!BB39</f>
        <v>0.85211771388220769</v>
      </c>
      <c r="BC77" s="342">
        <f>Transmission!BC39</f>
        <v>0.22276767638706638</v>
      </c>
      <c r="BD77" s="150">
        <f>Transmission!BD39</f>
        <v>0.22903621298399357</v>
      </c>
      <c r="BE77" s="150">
        <f>Transmission!BE39</f>
        <v>0.21791540707844337</v>
      </c>
      <c r="BF77" s="343">
        <f>Transmission!BF39</f>
        <v>0.21130318885443861</v>
      </c>
      <c r="BG77" s="341">
        <f>Transmission!BG39</f>
        <v>0.87980256212939401</v>
      </c>
      <c r="BH77" s="342">
        <f>Transmission!BH39</f>
        <v>0.21736183719342944</v>
      </c>
      <c r="BI77" s="150">
        <f>Transmission!BI39</f>
        <v>0.22256910350473577</v>
      </c>
      <c r="BJ77" s="150">
        <f>Transmission!BJ39</f>
        <v>0.22426463783629846</v>
      </c>
      <c r="BK77" s="343">
        <f>Transmission!BK39</f>
        <v>0.22998370894707082</v>
      </c>
      <c r="BL77" s="341">
        <f>Transmission!BL39</f>
        <v>0.89420574415901177</v>
      </c>
      <c r="BM77" s="342">
        <f>Transmission!BM39</f>
        <v>0.23595761268772625</v>
      </c>
      <c r="BN77" s="150">
        <f>Transmission!BN39</f>
        <v>0.24111578560986843</v>
      </c>
      <c r="BO77" s="150">
        <f>Transmission!BO39</f>
        <v>0.24275249323393139</v>
      </c>
      <c r="BP77" s="343">
        <f>Transmission!BP39</f>
        <v>0.24860771669746787</v>
      </c>
      <c r="BQ77" s="341">
        <f>Transmission!BQ39</f>
        <v>0.96845632883617327</v>
      </c>
      <c r="CB77" s="276"/>
    </row>
    <row r="78" spans="1:80">
      <c r="A78" s="92"/>
      <c r="B78" s="92"/>
      <c r="C78" s="97" t="s">
        <v>883</v>
      </c>
      <c r="D78" s="89"/>
      <c r="E78" s="342"/>
      <c r="F78" s="150"/>
      <c r="G78" s="150"/>
      <c r="H78" s="343"/>
      <c r="I78" s="341">
        <f>Parent!I45</f>
        <v>1.3223529411764705</v>
      </c>
      <c r="J78" s="342">
        <f>Parent!J45</f>
        <v>-9.4117647058823514E-2</v>
      </c>
      <c r="K78" s="150">
        <f>Parent!K45</f>
        <v>5.9016393442622855E-3</v>
      </c>
      <c r="L78" s="150">
        <f>Parent!L45</f>
        <v>-6.6360655737704943E-2</v>
      </c>
      <c r="M78" s="343">
        <f>Parent!M45</f>
        <v>-0.28078431372549023</v>
      </c>
      <c r="N78" s="341">
        <f>Parent!N45</f>
        <v>-0.43659016393442629</v>
      </c>
      <c r="O78" s="342">
        <f>Parent!O45</f>
        <v>-9.9125364431486881E-2</v>
      </c>
      <c r="P78" s="150">
        <f>Parent!P45</f>
        <v>-5.2380952380952382E-2</v>
      </c>
      <c r="Q78" s="150">
        <f>Parent!Q45</f>
        <v>-9.0476190476190474E-2</v>
      </c>
      <c r="R78" s="343">
        <f>Parent!R45</f>
        <v>2.757142857142867E-2</v>
      </c>
      <c r="S78" s="341">
        <f>Parent!S45</f>
        <v>-0.20553615960099741</v>
      </c>
      <c r="T78" s="342">
        <f>Parent!T45</f>
        <v>-0.1</v>
      </c>
      <c r="U78" s="150">
        <f>Parent!U45</f>
        <v>-8.83054892601432E-2</v>
      </c>
      <c r="V78" s="150">
        <f>Parent!V45</f>
        <v>-0.14797136038186157</v>
      </c>
      <c r="W78" s="343">
        <f>Parent!W45</f>
        <v>-9.0692124105011929E-2</v>
      </c>
      <c r="X78" s="341">
        <f>Parent!X45</f>
        <v>-0.42720763723150357</v>
      </c>
      <c r="Y78" s="342">
        <f>Parent!Y45</f>
        <v>-6.4439140811455853E-2</v>
      </c>
      <c r="Z78" s="150">
        <f>Parent!Z45</f>
        <v>-9.0909090909090912E-2</v>
      </c>
      <c r="AA78" s="150">
        <f>Parent!AA45</f>
        <v>-3.3412887828162291E-2</v>
      </c>
      <c r="AB78" s="343">
        <f>Parent!AB45</f>
        <v>-6.6825775656324582E-2</v>
      </c>
      <c r="AC78" s="341">
        <f>Parent!AC45</f>
        <v>-0.25536992840095463</v>
      </c>
      <c r="AD78" s="342">
        <f>Parent!AD45</f>
        <v>-4.5238095238095237E-2</v>
      </c>
      <c r="AE78" s="150">
        <f>Parent!AE45</f>
        <v>-8.5510688836104506E-2</v>
      </c>
      <c r="AF78" s="150">
        <f>Parent!AF45</f>
        <v>-5.2256532066508314E-2</v>
      </c>
      <c r="AG78" s="343">
        <f>Parent!AG45</f>
        <v>4.2755344418052253E-2</v>
      </c>
      <c r="AH78" s="341">
        <f>Parent!AH45</f>
        <v>-0.14014251781472684</v>
      </c>
      <c r="AI78" s="342">
        <f>Parent!AI45</f>
        <v>-0.11583924349881797</v>
      </c>
      <c r="AJ78" s="150">
        <f>Parent!AJ45</f>
        <v>-0.10874704491725769</v>
      </c>
      <c r="AK78" s="150">
        <f>Parent!AK45</f>
        <v>-0.11556603773584906</v>
      </c>
      <c r="AL78" s="343">
        <f>Parent!AL45</f>
        <v>-9.2198581560283682E-2</v>
      </c>
      <c r="AM78" s="341">
        <f>Parent!AM45</f>
        <v>-0.43160377358490565</v>
      </c>
      <c r="AN78" s="342">
        <f>Parent!AN45</f>
        <v>-0.12910798122065728</v>
      </c>
      <c r="AO78" s="150">
        <f>Parent!AO45</f>
        <v>-0.11058823529411765</v>
      </c>
      <c r="AP78" s="150">
        <f>Parent!AP45</f>
        <v>-0.15690866510538642</v>
      </c>
      <c r="AQ78" s="343">
        <f>Parent!AQ45</f>
        <v>-0.16241299303944315</v>
      </c>
      <c r="AR78" s="341">
        <f>Parent!AR45</f>
        <v>-0.56103286384976525</v>
      </c>
      <c r="AS78" s="342">
        <f>Parent!AS45</f>
        <v>-0.11936936936936937</v>
      </c>
      <c r="AT78" s="150">
        <f>Parent!AT45</f>
        <v>-0.14831460674157304</v>
      </c>
      <c r="AU78" s="150">
        <f>Parent!AU45</f>
        <v>-0.14349775784753363</v>
      </c>
      <c r="AV78" s="343">
        <f>Parent!AV45</f>
        <v>-0.11910112359550562</v>
      </c>
      <c r="AW78" s="341">
        <f>Parent!AW45</f>
        <v>-0.53153153153153154</v>
      </c>
      <c r="AX78" s="342">
        <f>Parent!AX45</f>
        <v>-0.15038688216449392</v>
      </c>
      <c r="AY78" s="150">
        <f>Parent!AY45</f>
        <v>-0.17061279675762936</v>
      </c>
      <c r="AZ78" s="150">
        <f>Parent!AZ45</f>
        <v>-0.1542272893683205</v>
      </c>
      <c r="BA78" s="343">
        <f>Parent!BA45</f>
        <v>-0.15928247031981019</v>
      </c>
      <c r="BB78" s="341">
        <f>Parent!BB45</f>
        <v>-0.63476246628274169</v>
      </c>
      <c r="BC78" s="342">
        <f>Parent!BC45</f>
        <v>-0.15045509912264715</v>
      </c>
      <c r="BD78" s="150">
        <f>Parent!BD45</f>
        <v>-0.17243816995714409</v>
      </c>
      <c r="BE78" s="150">
        <f>Parent!BE45</f>
        <v>-0.1202793918187475</v>
      </c>
      <c r="BF78" s="343">
        <f>Parent!BF45</f>
        <v>-0.11854086405870611</v>
      </c>
      <c r="BG78" s="341">
        <f>Parent!BG45</f>
        <v>-0.55788006653901279</v>
      </c>
      <c r="BH78" s="342">
        <f>Parent!BH45</f>
        <v>-0.10762892800958085</v>
      </c>
      <c r="BI78" s="150">
        <f>Parent!BI45</f>
        <v>-0.13029269317144235</v>
      </c>
      <c r="BJ78" s="150">
        <f>Parent!BJ45</f>
        <v>-0.11493448122476363</v>
      </c>
      <c r="BK78" s="343">
        <f>Parent!BK45</f>
        <v>-0.12061069955735607</v>
      </c>
      <c r="BL78" s="341">
        <f>Parent!BL45</f>
        <v>-0.47348257593268367</v>
      </c>
      <c r="BM78" s="342">
        <f>Parent!BM45</f>
        <v>-0.1105183353065044</v>
      </c>
      <c r="BN78" s="150">
        <f>Parent!BN45</f>
        <v>-0.13388547178177929</v>
      </c>
      <c r="BO78" s="150">
        <f>Parent!BO45</f>
        <v>-0.11374801577882329</v>
      </c>
      <c r="BP78" s="343">
        <f>Parent!BP45</f>
        <v>-0.11931913099504582</v>
      </c>
      <c r="BQ78" s="341">
        <f>Parent!BQ45</f>
        <v>-0.47747454956192842</v>
      </c>
      <c r="CB78" s="276"/>
    </row>
    <row r="79" spans="1:80">
      <c r="A79" s="92"/>
      <c r="B79" s="136"/>
      <c r="C79" s="340" t="s">
        <v>392</v>
      </c>
      <c r="D79" s="88"/>
      <c r="E79" s="344"/>
      <c r="F79" s="151"/>
      <c r="G79" s="151"/>
      <c r="H79" s="345"/>
      <c r="I79" s="346">
        <f>SUM(I75:I78)</f>
        <v>4.0020915032679731</v>
      </c>
      <c r="J79" s="344">
        <f t="shared" ref="J79:S79" si="130">SUM(J75:J78)</f>
        <v>0.80457516339869284</v>
      </c>
      <c r="K79" s="151">
        <f t="shared" si="130"/>
        <v>0.81901639344262289</v>
      </c>
      <c r="L79" s="151">
        <f t="shared" si="130"/>
        <v>1.274622950819672</v>
      </c>
      <c r="M79" s="345">
        <f t="shared" si="130"/>
        <v>0.98392156862745117</v>
      </c>
      <c r="N79" s="346">
        <f t="shared" si="130"/>
        <v>3.8880000000000003</v>
      </c>
      <c r="O79" s="344">
        <f t="shared" si="130"/>
        <v>0.75218658892128287</v>
      </c>
      <c r="P79" s="151">
        <f t="shared" si="130"/>
        <v>0.69285714285714284</v>
      </c>
      <c r="Q79" s="151">
        <f t="shared" si="130"/>
        <v>1.3857142857142859</v>
      </c>
      <c r="R79" s="345">
        <f t="shared" si="130"/>
        <v>0.76328571428571446</v>
      </c>
      <c r="S79" s="346">
        <f t="shared" si="130"/>
        <v>3.6199002493765593</v>
      </c>
      <c r="T79" s="344">
        <f t="shared" ref="T79:AM79" si="131">SUM(T75:T78)</f>
        <v>0.81904761904761914</v>
      </c>
      <c r="U79" s="151">
        <f t="shared" si="131"/>
        <v>0.59427207637231505</v>
      </c>
      <c r="V79" s="151">
        <f t="shared" si="131"/>
        <v>1.1121718377088305</v>
      </c>
      <c r="W79" s="345">
        <f t="shared" si="131"/>
        <v>0.79474940334128874</v>
      </c>
      <c r="X79" s="346">
        <f t="shared" si="131"/>
        <v>3.3221957040572794</v>
      </c>
      <c r="Y79" s="344">
        <f t="shared" si="131"/>
        <v>0.75656324582338896</v>
      </c>
      <c r="Z79" s="151">
        <f t="shared" si="131"/>
        <v>0.59090909090909083</v>
      </c>
      <c r="AA79" s="151">
        <f t="shared" si="131"/>
        <v>0.93078758949880669</v>
      </c>
      <c r="AB79" s="345">
        <f t="shared" si="131"/>
        <v>0.75417661097852018</v>
      </c>
      <c r="AC79" s="346">
        <f t="shared" si="131"/>
        <v>3.0310262529832932</v>
      </c>
      <c r="AD79" s="344">
        <f t="shared" si="131"/>
        <v>0.38571428571428573</v>
      </c>
      <c r="AE79" s="151">
        <f t="shared" si="131"/>
        <v>0.4845605700712588</v>
      </c>
      <c r="AF79" s="151">
        <f t="shared" si="131"/>
        <v>0.88598574821852738</v>
      </c>
      <c r="AG79" s="345">
        <f t="shared" si="131"/>
        <v>0.79809976247030878</v>
      </c>
      <c r="AH79" s="346">
        <f t="shared" si="131"/>
        <v>2.5534441805225656</v>
      </c>
      <c r="AI79" s="344">
        <f t="shared" si="131"/>
        <v>0.61465721040189125</v>
      </c>
      <c r="AJ79" s="151">
        <f t="shared" si="131"/>
        <v>0.53191489361702127</v>
      </c>
      <c r="AK79" s="151">
        <f t="shared" si="131"/>
        <v>0.97877358490566035</v>
      </c>
      <c r="AL79" s="345">
        <f t="shared" si="131"/>
        <v>0.57683215130023646</v>
      </c>
      <c r="AM79" s="346">
        <f t="shared" si="131"/>
        <v>2.6981132075471699</v>
      </c>
      <c r="AN79" s="344">
        <f t="shared" ref="AN79:AR79" si="132">SUM(AN75:AN78)</f>
        <v>0.79107981220657275</v>
      </c>
      <c r="AO79" s="151">
        <f t="shared" si="132"/>
        <v>0.55764705882352938</v>
      </c>
      <c r="AP79" s="151">
        <f t="shared" si="132"/>
        <v>0.89695550351288067</v>
      </c>
      <c r="AQ79" s="345">
        <f t="shared" si="132"/>
        <v>0.37819025522041771</v>
      </c>
      <c r="AR79" s="346">
        <f t="shared" si="132"/>
        <v>2.6291079812206579</v>
      </c>
      <c r="AS79" s="344">
        <f>SUM(AS75:AS78)</f>
        <v>0.77477477477477474</v>
      </c>
      <c r="AT79" s="151">
        <f t="shared" ref="AT79:AW79" si="133">SUM(AT75:AT78)</f>
        <v>0.60898876404494384</v>
      </c>
      <c r="AU79" s="151">
        <f t="shared" si="133"/>
        <v>0.97085201793721976</v>
      </c>
      <c r="AV79" s="345">
        <f t="shared" si="133"/>
        <v>0.71460674157303372</v>
      </c>
      <c r="AW79" s="346">
        <f t="shared" si="133"/>
        <v>3.0765765765765765</v>
      </c>
      <c r="AX79" s="344">
        <f t="shared" ref="AX79:BB79" si="134">SUM(AX75:AX78)</f>
        <v>0.77492232858267029</v>
      </c>
      <c r="AY79" s="151">
        <f t="shared" si="134"/>
        <v>0.52069972852567314</v>
      </c>
      <c r="AZ79" s="151">
        <f t="shared" si="134"/>
        <v>0.72298819343632659</v>
      </c>
      <c r="BA79" s="345">
        <f t="shared" si="134"/>
        <v>0.57014430577739139</v>
      </c>
      <c r="BB79" s="346">
        <f t="shared" si="134"/>
        <v>2.5859130963383268</v>
      </c>
      <c r="BC79" s="344">
        <f t="shared" ref="BC79:BL79" si="135">SUM(BC75:BC78)</f>
        <v>0.67737542899032332</v>
      </c>
      <c r="BD79" s="151">
        <f t="shared" si="135"/>
        <v>0.50828083912813093</v>
      </c>
      <c r="BE79" s="151">
        <f t="shared" si="135"/>
        <v>0.69857580573212708</v>
      </c>
      <c r="BF79" s="345">
        <f t="shared" si="135"/>
        <v>0.51020328424878569</v>
      </c>
      <c r="BG79" s="346">
        <f t="shared" si="135"/>
        <v>2.3942056368198159</v>
      </c>
      <c r="BH79" s="344">
        <f t="shared" si="135"/>
        <v>0.56524360077948965</v>
      </c>
      <c r="BI79" s="151">
        <f t="shared" si="135"/>
        <v>0.40656895701837359</v>
      </c>
      <c r="BJ79" s="151">
        <f t="shared" si="135"/>
        <v>0.60296872830655901</v>
      </c>
      <c r="BK79" s="345">
        <f t="shared" si="135"/>
        <v>0.45792103636534365</v>
      </c>
      <c r="BL79" s="346">
        <f t="shared" si="135"/>
        <v>2.0326370356634955</v>
      </c>
      <c r="BM79" s="344">
        <f t="shared" ref="BM79:BQ79" si="136">SUM(BM75:BM78)</f>
        <v>0.64743017999028885</v>
      </c>
      <c r="BN79" s="151">
        <f t="shared" si="136"/>
        <v>0.45476863020732133</v>
      </c>
      <c r="BO79" s="151">
        <f t="shared" si="136"/>
        <v>0.67147963711345438</v>
      </c>
      <c r="BP79" s="345">
        <f t="shared" si="136"/>
        <v>0.58352575617037705</v>
      </c>
      <c r="BQ79" s="346">
        <f t="shared" si="136"/>
        <v>2.3572218514876147</v>
      </c>
      <c r="CB79" s="276"/>
    </row>
    <row r="80" spans="1:80">
      <c r="A80" s="92"/>
      <c r="B80" s="92"/>
      <c r="C80" s="92"/>
      <c r="D80" s="89"/>
      <c r="E80" s="145"/>
      <c r="F80" s="146"/>
      <c r="G80" s="146"/>
      <c r="H80" s="147"/>
      <c r="I80" s="94"/>
      <c r="J80" s="145"/>
      <c r="K80" s="146"/>
      <c r="L80" s="146"/>
      <c r="M80" s="147"/>
      <c r="N80" s="94"/>
      <c r="O80" s="145"/>
      <c r="P80" s="146"/>
      <c r="Q80" s="146"/>
      <c r="R80" s="147"/>
      <c r="S80" s="94"/>
      <c r="T80" s="145"/>
      <c r="U80" s="146"/>
      <c r="V80" s="146"/>
      <c r="W80" s="147"/>
      <c r="X80" s="94"/>
      <c r="Y80" s="145"/>
      <c r="Z80" s="146"/>
      <c r="AA80" s="146"/>
      <c r="AB80" s="147"/>
      <c r="AC80" s="94"/>
      <c r="AD80" s="145"/>
      <c r="AE80" s="146"/>
      <c r="AF80" s="146"/>
      <c r="AG80" s="147"/>
      <c r="AH80" s="94"/>
      <c r="AI80" s="145"/>
      <c r="AJ80" s="146"/>
      <c r="AK80" s="146"/>
      <c r="AL80" s="147"/>
      <c r="AM80" s="94"/>
      <c r="AN80" s="145"/>
      <c r="AO80" s="146"/>
      <c r="AP80" s="146"/>
      <c r="AQ80" s="147"/>
      <c r="AR80" s="94"/>
      <c r="AS80" s="145"/>
      <c r="AT80" s="146"/>
      <c r="AU80" s="146"/>
      <c r="AV80" s="147"/>
      <c r="AW80" s="94"/>
      <c r="AX80" s="145"/>
      <c r="AY80" s="146"/>
      <c r="AZ80" s="146"/>
      <c r="BA80" s="147"/>
      <c r="BB80" s="94"/>
      <c r="BC80" s="145"/>
      <c r="BD80" s="146"/>
      <c r="BE80" s="146"/>
      <c r="BF80" s="147"/>
      <c r="BG80" s="94"/>
      <c r="BH80" s="145"/>
      <c r="BI80" s="146"/>
      <c r="BJ80" s="146"/>
      <c r="BK80" s="147"/>
      <c r="BL80" s="94"/>
      <c r="BM80" s="145"/>
      <c r="BN80" s="146"/>
      <c r="BO80" s="146"/>
      <c r="BP80" s="147"/>
      <c r="BQ80" s="94"/>
      <c r="CB80" s="276"/>
    </row>
    <row r="81" spans="1:80">
      <c r="A81" s="92"/>
      <c r="B81" s="92"/>
      <c r="C81" s="340" t="s">
        <v>393</v>
      </c>
      <c r="D81" s="89"/>
      <c r="E81" s="316"/>
      <c r="F81" s="312"/>
      <c r="G81" s="312"/>
      <c r="H81" s="317"/>
      <c r="I81" s="488"/>
      <c r="J81" s="316"/>
      <c r="K81" s="312"/>
      <c r="L81" s="312"/>
      <c r="M81" s="317"/>
      <c r="N81" s="488"/>
      <c r="O81" s="316"/>
      <c r="P81" s="312"/>
      <c r="Q81" s="312"/>
      <c r="R81" s="317"/>
      <c r="S81" s="488"/>
      <c r="T81" s="316"/>
      <c r="U81" s="312"/>
      <c r="V81" s="312"/>
      <c r="W81" s="317"/>
      <c r="X81" s="488"/>
      <c r="Y81" s="316"/>
      <c r="Z81" s="312"/>
      <c r="AA81" s="312"/>
      <c r="AB81" s="317"/>
      <c r="AC81" s="488"/>
      <c r="AD81" s="316"/>
      <c r="AE81" s="312"/>
      <c r="AF81" s="312"/>
      <c r="AG81" s="317"/>
      <c r="AH81" s="488"/>
      <c r="AI81" s="316"/>
      <c r="AJ81" s="312"/>
      <c r="AK81" s="312"/>
      <c r="AL81" s="317"/>
      <c r="AM81" s="488"/>
      <c r="AN81" s="316"/>
      <c r="AO81" s="312"/>
      <c r="AP81" s="312"/>
      <c r="AQ81" s="317"/>
      <c r="AR81" s="488"/>
      <c r="AS81" s="316"/>
      <c r="AT81" s="312"/>
      <c r="AU81" s="312"/>
      <c r="AV81" s="317"/>
      <c r="AW81" s="488"/>
      <c r="AX81" s="316"/>
      <c r="AY81" s="312"/>
      <c r="AZ81" s="312"/>
      <c r="BA81" s="317"/>
      <c r="BB81" s="488"/>
      <c r="BC81" s="316"/>
      <c r="BD81" s="312"/>
      <c r="BE81" s="312"/>
      <c r="BF81" s="317"/>
      <c r="BG81" s="488"/>
      <c r="BH81" s="316"/>
      <c r="BI81" s="312"/>
      <c r="BJ81" s="312"/>
      <c r="BK81" s="317"/>
      <c r="BL81" s="488"/>
      <c r="BM81" s="316"/>
      <c r="BN81" s="312"/>
      <c r="BO81" s="312"/>
      <c r="BP81" s="317"/>
      <c r="BQ81" s="488"/>
      <c r="CB81" s="276"/>
    </row>
    <row r="82" spans="1:80">
      <c r="A82" s="92"/>
      <c r="B82" s="92"/>
      <c r="C82" s="97" t="s">
        <v>337</v>
      </c>
      <c r="D82" s="113"/>
      <c r="E82" s="114"/>
      <c r="F82" s="115"/>
      <c r="G82" s="115"/>
      <c r="H82" s="105"/>
      <c r="I82" s="95">
        <f>Distribution!I127</f>
        <v>718</v>
      </c>
      <c r="J82" s="114">
        <f>Distribution!J127</f>
        <v>0</v>
      </c>
      <c r="K82" s="115">
        <f>Distribution!K127</f>
        <v>0</v>
      </c>
      <c r="L82" s="115">
        <f>Distribution!L127</f>
        <v>0</v>
      </c>
      <c r="M82" s="105">
        <f>Distribution!M127</f>
        <v>0</v>
      </c>
      <c r="N82" s="95">
        <f>Distribution!N127</f>
        <v>681</v>
      </c>
      <c r="O82" s="114">
        <f>Distribution!O127</f>
        <v>0</v>
      </c>
      <c r="P82" s="115">
        <f>Distribution!P127</f>
        <v>0</v>
      </c>
      <c r="Q82" s="115">
        <f>Distribution!Q127</f>
        <v>0</v>
      </c>
      <c r="R82" s="105">
        <f>Distribution!R127</f>
        <v>0</v>
      </c>
      <c r="S82" s="95">
        <f>Distribution!S127</f>
        <v>868</v>
      </c>
      <c r="T82" s="114">
        <f>Distribution!T127</f>
        <v>266</v>
      </c>
      <c r="U82" s="115">
        <f>Distribution!U127</f>
        <v>177</v>
      </c>
      <c r="V82" s="115">
        <f>Distribution!V127</f>
        <v>308</v>
      </c>
      <c r="W82" s="105">
        <f>Distribution!W127</f>
        <v>323</v>
      </c>
      <c r="X82" s="95">
        <f>Distribution!X127</f>
        <v>1074</v>
      </c>
      <c r="Y82" s="114">
        <f>Distribution!Y127</f>
        <v>266</v>
      </c>
      <c r="Z82" s="115">
        <f>Distribution!Z127</f>
        <v>177</v>
      </c>
      <c r="AA82" s="115">
        <f>Distribution!AA127</f>
        <v>308</v>
      </c>
      <c r="AB82" s="105">
        <f>Distribution!AB127</f>
        <v>152</v>
      </c>
      <c r="AC82" s="95">
        <f>Distribution!AC127</f>
        <v>903</v>
      </c>
      <c r="AD82" s="114">
        <f>Distribution!AD127</f>
        <v>269</v>
      </c>
      <c r="AE82" s="115">
        <f>Distribution!AE127</f>
        <v>340</v>
      </c>
      <c r="AF82" s="115">
        <f>Distribution!AF127</f>
        <v>271</v>
      </c>
      <c r="AG82" s="105">
        <f>Distribution!AG127</f>
        <v>92</v>
      </c>
      <c r="AH82" s="95">
        <f>Distribution!AH127</f>
        <v>972</v>
      </c>
      <c r="AI82" s="114">
        <f>Distribution!AI127</f>
        <v>280</v>
      </c>
      <c r="AJ82" s="115">
        <f>Distribution!AJ127</f>
        <v>312</v>
      </c>
      <c r="AK82" s="115">
        <f>Distribution!AK127</f>
        <v>292</v>
      </c>
      <c r="AL82" s="105">
        <f>Distribution!AL127</f>
        <v>224</v>
      </c>
      <c r="AM82" s="95">
        <f>Distribution!AM127</f>
        <v>1108</v>
      </c>
      <c r="AN82" s="114">
        <f>Distribution!AN127</f>
        <v>262</v>
      </c>
      <c r="AO82" s="115">
        <f>Distribution!AO127</f>
        <v>313</v>
      </c>
      <c r="AP82" s="115">
        <f>Distribution!AP127</f>
        <v>303</v>
      </c>
      <c r="AQ82" s="105">
        <f>Distribution!AQ127</f>
        <v>185</v>
      </c>
      <c r="AR82" s="95">
        <f>Distribution!AR127</f>
        <v>1063</v>
      </c>
      <c r="AS82" s="114">
        <f>Distribution!AS127</f>
        <v>264</v>
      </c>
      <c r="AT82" s="115">
        <f>Distribution!AT127</f>
        <v>304</v>
      </c>
      <c r="AU82" s="115">
        <f>Distribution!AU127</f>
        <v>286</v>
      </c>
      <c r="AV82" s="105">
        <f>Distribution!AV127</f>
        <v>337</v>
      </c>
      <c r="AW82" s="95">
        <f>Distribution!AW127</f>
        <v>1191</v>
      </c>
      <c r="AX82" s="114">
        <f>Distribution!AX127</f>
        <v>387.5</v>
      </c>
      <c r="AY82" s="115">
        <f>Distribution!AY127</f>
        <v>387.5</v>
      </c>
      <c r="AZ82" s="115">
        <f>Distribution!AZ127</f>
        <v>387.5</v>
      </c>
      <c r="BA82" s="105">
        <f>Distribution!BA127</f>
        <v>387.5</v>
      </c>
      <c r="BB82" s="95">
        <f>Distribution!BB127</f>
        <v>1550</v>
      </c>
      <c r="BC82" s="114">
        <f>Distribution!BC127</f>
        <v>387.5</v>
      </c>
      <c r="BD82" s="115">
        <f>Distribution!BD127</f>
        <v>387.5</v>
      </c>
      <c r="BE82" s="115">
        <f>Distribution!BE127</f>
        <v>387.5</v>
      </c>
      <c r="BF82" s="105">
        <f>Distribution!BF127</f>
        <v>387.5</v>
      </c>
      <c r="BG82" s="95">
        <f>Distribution!BG127</f>
        <v>1550</v>
      </c>
      <c r="BH82" s="114">
        <f>Distribution!BH127</f>
        <v>387.5</v>
      </c>
      <c r="BI82" s="115">
        <f>Distribution!BI127</f>
        <v>387.5</v>
      </c>
      <c r="BJ82" s="115">
        <f>Distribution!BJ127</f>
        <v>387.5</v>
      </c>
      <c r="BK82" s="105">
        <f>Distribution!BK127</f>
        <v>387.5</v>
      </c>
      <c r="BL82" s="95">
        <f>Distribution!BL127</f>
        <v>1550</v>
      </c>
      <c r="BM82" s="114">
        <f>Distribution!BM127</f>
        <v>387.5</v>
      </c>
      <c r="BN82" s="115">
        <f>Distribution!BN127</f>
        <v>387.5</v>
      </c>
      <c r="BO82" s="115">
        <f>Distribution!BO127</f>
        <v>387.5</v>
      </c>
      <c r="BP82" s="105">
        <f>Distribution!BP127</f>
        <v>387.5</v>
      </c>
      <c r="BQ82" s="95">
        <f>Distribution!BQ127</f>
        <v>1550</v>
      </c>
      <c r="CB82" s="276"/>
    </row>
    <row r="83" spans="1:80">
      <c r="A83" s="92"/>
      <c r="B83" s="92"/>
      <c r="C83" s="97" t="s">
        <v>338</v>
      </c>
      <c r="D83" s="113"/>
      <c r="E83" s="114"/>
      <c r="F83" s="115"/>
      <c r="G83" s="115"/>
      <c r="H83" s="105"/>
      <c r="I83" s="95">
        <f>Competitive!I570</f>
        <v>1412</v>
      </c>
      <c r="J83" s="114">
        <f>Competitive!J570</f>
        <v>329</v>
      </c>
      <c r="K83" s="115">
        <f>Competitive!K570</f>
        <v>290</v>
      </c>
      <c r="L83" s="115">
        <f>Competitive!L570</f>
        <v>264</v>
      </c>
      <c r="M83" s="105">
        <f>Competitive!M570</f>
        <v>276</v>
      </c>
      <c r="N83" s="95">
        <f>Competitive!N570</f>
        <v>976</v>
      </c>
      <c r="O83" s="114">
        <f>Competitive!O570</f>
        <v>214</v>
      </c>
      <c r="P83" s="115">
        <f>Competitive!P570</f>
        <v>197</v>
      </c>
      <c r="Q83" s="115">
        <f>Competitive!Q570</f>
        <v>186</v>
      </c>
      <c r="R83" s="105">
        <f>Competitive!R570</f>
        <v>181</v>
      </c>
      <c r="S83" s="95">
        <f>Competitive!S570</f>
        <v>778</v>
      </c>
      <c r="T83" s="114">
        <f>Competitive!T570</f>
        <v>171</v>
      </c>
      <c r="U83" s="115">
        <f>Competitive!U570</f>
        <v>150</v>
      </c>
      <c r="V83" s="115">
        <f>Competitive!V570</f>
        <v>412</v>
      </c>
      <c r="W83" s="105">
        <f>Competitive!W570</f>
        <v>281</v>
      </c>
      <c r="X83" s="95">
        <f>Competitive!X570</f>
        <v>1014</v>
      </c>
      <c r="Y83" s="114">
        <f>Competitive!Y570</f>
        <v>283</v>
      </c>
      <c r="Z83" s="115">
        <f>Competitive!Z570</f>
        <v>185</v>
      </c>
      <c r="AA83" s="115">
        <f>Competitive!AA570</f>
        <v>162</v>
      </c>
      <c r="AB83" s="105">
        <f>Competitive!AB570</f>
        <v>197</v>
      </c>
      <c r="AC83" s="95">
        <f>Competitive!AC570</f>
        <v>827</v>
      </c>
      <c r="AD83" s="114">
        <f>Competitive!AD570</f>
        <v>318</v>
      </c>
      <c r="AE83" s="115">
        <f>Competitive!AE570</f>
        <v>240</v>
      </c>
      <c r="AF83" s="115">
        <f>Competitive!AF570</f>
        <v>97</v>
      </c>
      <c r="AG83" s="105">
        <f>Competitive!AG570</f>
        <v>284</v>
      </c>
      <c r="AH83" s="95">
        <f>Competitive!AH570</f>
        <v>939</v>
      </c>
      <c r="AI83" s="114">
        <f>Competitive!AI570</f>
        <v>126</v>
      </c>
      <c r="AJ83" s="115">
        <f>Competitive!AJ570</f>
        <v>191</v>
      </c>
      <c r="AK83" s="115">
        <f>Competitive!AK570</f>
        <v>83</v>
      </c>
      <c r="AL83" s="105">
        <f>Competitive!AL570</f>
        <v>188</v>
      </c>
      <c r="AM83" s="95">
        <f>Competitive!AM570</f>
        <v>588</v>
      </c>
      <c r="AN83" s="114">
        <f>Competitive!AN570</f>
        <v>169</v>
      </c>
      <c r="AO83" s="115">
        <f>Competitive!AO570</f>
        <v>213</v>
      </c>
      <c r="AP83" s="115">
        <f>Competitive!AP570</f>
        <v>110</v>
      </c>
      <c r="AQ83" s="105">
        <f>Competitive!AQ570</f>
        <v>127</v>
      </c>
      <c r="AR83" s="95">
        <f>Competitive!AR570</f>
        <v>619</v>
      </c>
      <c r="AS83" s="114">
        <f>Competitive!AS570</f>
        <v>169</v>
      </c>
      <c r="AT83" s="115">
        <f>Competitive!AT570</f>
        <v>213</v>
      </c>
      <c r="AU83" s="115">
        <f>Competitive!AU570</f>
        <v>110</v>
      </c>
      <c r="AV83" s="105">
        <f>Competitive!AV570</f>
        <v>-175</v>
      </c>
      <c r="AW83" s="95">
        <f>Competitive!AW570</f>
        <v>317</v>
      </c>
      <c r="AX83" s="114">
        <f>Competitive!AX570</f>
        <v>72.5</v>
      </c>
      <c r="AY83" s="115">
        <f>Competitive!AY570</f>
        <v>72.5</v>
      </c>
      <c r="AZ83" s="115">
        <f>Competitive!AZ570</f>
        <v>72.5</v>
      </c>
      <c r="BA83" s="105">
        <f>Competitive!BA570</f>
        <v>72.5</v>
      </c>
      <c r="BB83" s="95">
        <f>Competitive!BB570</f>
        <v>290</v>
      </c>
      <c r="BC83" s="114">
        <f>Competitive!BC570</f>
        <v>72.5</v>
      </c>
      <c r="BD83" s="115">
        <f>Competitive!BD570</f>
        <v>72.5</v>
      </c>
      <c r="BE83" s="115">
        <f>Competitive!BE570</f>
        <v>72.5</v>
      </c>
      <c r="BF83" s="105">
        <f>Competitive!BF570</f>
        <v>72.5</v>
      </c>
      <c r="BG83" s="95">
        <f>Competitive!BG570</f>
        <v>290</v>
      </c>
      <c r="BH83" s="114">
        <f>Competitive!BH570</f>
        <v>72.5</v>
      </c>
      <c r="BI83" s="115">
        <f>Competitive!BI570</f>
        <v>72.5</v>
      </c>
      <c r="BJ83" s="115">
        <f>Competitive!BJ570</f>
        <v>72.5</v>
      </c>
      <c r="BK83" s="105">
        <f>Competitive!BK570</f>
        <v>72.5</v>
      </c>
      <c r="BL83" s="95">
        <f>Competitive!BL570</f>
        <v>290</v>
      </c>
      <c r="BM83" s="114">
        <f>Competitive!BM570</f>
        <v>72.5</v>
      </c>
      <c r="BN83" s="115">
        <f>Competitive!BN570</f>
        <v>72.5</v>
      </c>
      <c r="BO83" s="115">
        <f>Competitive!BO570</f>
        <v>72.5</v>
      </c>
      <c r="BP83" s="105">
        <f>Competitive!BP570</f>
        <v>72.5</v>
      </c>
      <c r="BQ83" s="95">
        <f>Competitive!BQ570</f>
        <v>290</v>
      </c>
      <c r="CB83" s="276"/>
    </row>
    <row r="84" spans="1:80">
      <c r="A84" s="92"/>
      <c r="B84" s="92"/>
      <c r="C84" s="97" t="s">
        <v>339</v>
      </c>
      <c r="D84" s="113"/>
      <c r="E84" s="114"/>
      <c r="F84" s="115"/>
      <c r="G84" s="115"/>
      <c r="H84" s="105"/>
      <c r="I84" s="95">
        <f>Transmission!I83</f>
        <v>32</v>
      </c>
      <c r="J84" s="114">
        <f>Transmission!J83</f>
        <v>0</v>
      </c>
      <c r="K84" s="115">
        <f>Transmission!K83</f>
        <v>0</v>
      </c>
      <c r="L84" s="115">
        <f>Transmission!L83</f>
        <v>0</v>
      </c>
      <c r="M84" s="105">
        <f>Transmission!M83</f>
        <v>0</v>
      </c>
      <c r="N84" s="95">
        <f>Transmission!N83</f>
        <v>64</v>
      </c>
      <c r="O84" s="114">
        <f>Transmission!O83</f>
        <v>27</v>
      </c>
      <c r="P84" s="115">
        <f>Transmission!P83</f>
        <v>81</v>
      </c>
      <c r="Q84" s="115">
        <f>Transmission!Q83</f>
        <v>80</v>
      </c>
      <c r="R84" s="105">
        <f>Transmission!R83</f>
        <v>202</v>
      </c>
      <c r="S84" s="95">
        <f>Transmission!S83</f>
        <v>390</v>
      </c>
      <c r="T84" s="114">
        <f>Transmission!T83</f>
        <v>63</v>
      </c>
      <c r="U84" s="115">
        <f>Transmission!U83</f>
        <v>59</v>
      </c>
      <c r="V84" s="115">
        <f>Transmission!V83</f>
        <v>47</v>
      </c>
      <c r="W84" s="105">
        <f>Transmission!W83</f>
        <v>338</v>
      </c>
      <c r="X84" s="95">
        <f>Transmission!X83</f>
        <v>507</v>
      </c>
      <c r="Y84" s="114">
        <f>Transmission!Y83</f>
        <v>89</v>
      </c>
      <c r="Z84" s="115">
        <f>Transmission!Z83</f>
        <v>97</v>
      </c>
      <c r="AA84" s="115">
        <f>Transmission!AA83</f>
        <v>105</v>
      </c>
      <c r="AB84" s="105">
        <f>Transmission!AB83</f>
        <v>205</v>
      </c>
      <c r="AC84" s="95">
        <f>Transmission!AC83</f>
        <v>496</v>
      </c>
      <c r="AD84" s="114">
        <f>Transmission!AD83</f>
        <v>217</v>
      </c>
      <c r="AE84" s="115">
        <f>Transmission!AE83</f>
        <v>384</v>
      </c>
      <c r="AF84" s="115">
        <f>Transmission!AF83</f>
        <v>279</v>
      </c>
      <c r="AG84" s="105">
        <f>Transmission!AG83</f>
        <v>449</v>
      </c>
      <c r="AH84" s="95">
        <f>Transmission!AH83</f>
        <v>1329</v>
      </c>
      <c r="AI84" s="114">
        <f>Transmission!AI83</f>
        <v>254</v>
      </c>
      <c r="AJ84" s="115">
        <f>Transmission!AJ83</f>
        <v>297</v>
      </c>
      <c r="AK84" s="115">
        <f>Transmission!AK83</f>
        <v>149</v>
      </c>
      <c r="AL84" s="105">
        <f>Transmission!AL83</f>
        <v>252</v>
      </c>
      <c r="AM84" s="95">
        <f>Transmission!AM83</f>
        <v>952</v>
      </c>
      <c r="AN84" s="114">
        <f>Transmission!AN83</f>
        <v>258</v>
      </c>
      <c r="AO84" s="115">
        <f>Transmission!AO83</f>
        <v>251</v>
      </c>
      <c r="AP84" s="115">
        <f>Transmission!AP83</f>
        <v>246</v>
      </c>
      <c r="AQ84" s="105">
        <f>Transmission!AQ83</f>
        <v>346</v>
      </c>
      <c r="AR84" s="95">
        <f>Transmission!AR83</f>
        <v>1101</v>
      </c>
      <c r="AS84" s="114">
        <f>Transmission!AS83</f>
        <v>224</v>
      </c>
      <c r="AT84" s="115">
        <f>Transmission!AT83</f>
        <v>245</v>
      </c>
      <c r="AU84" s="115">
        <f>Transmission!AU83</f>
        <v>248</v>
      </c>
      <c r="AV84" s="105">
        <f>Transmission!AV83</f>
        <v>313</v>
      </c>
      <c r="AW84" s="95">
        <f>Transmission!AW83</f>
        <v>1030</v>
      </c>
      <c r="AX84" s="114">
        <f>Transmission!AX83</f>
        <v>275</v>
      </c>
      <c r="AY84" s="115">
        <f>Transmission!AY83</f>
        <v>275</v>
      </c>
      <c r="AZ84" s="115">
        <f>Transmission!AZ83</f>
        <v>275</v>
      </c>
      <c r="BA84" s="105">
        <f>Transmission!BA83</f>
        <v>275</v>
      </c>
      <c r="BB84" s="95">
        <f>Transmission!BB83</f>
        <v>1100</v>
      </c>
      <c r="BC84" s="114">
        <f>Transmission!BC83</f>
        <v>275</v>
      </c>
      <c r="BD84" s="115">
        <f>Transmission!BD83</f>
        <v>275</v>
      </c>
      <c r="BE84" s="115">
        <f>Transmission!BE83</f>
        <v>275</v>
      </c>
      <c r="BF84" s="105">
        <f>Transmission!BF83</f>
        <v>275</v>
      </c>
      <c r="BG84" s="95">
        <f>Transmission!BG83</f>
        <v>1100</v>
      </c>
      <c r="BH84" s="114">
        <f>Transmission!BH83</f>
        <v>275</v>
      </c>
      <c r="BI84" s="115">
        <f>Transmission!BI83</f>
        <v>275</v>
      </c>
      <c r="BJ84" s="115">
        <f>Transmission!BJ83</f>
        <v>275</v>
      </c>
      <c r="BK84" s="105">
        <f>Transmission!BK83</f>
        <v>275</v>
      </c>
      <c r="BL84" s="95">
        <f>Transmission!BL83</f>
        <v>1100</v>
      </c>
      <c r="BM84" s="114">
        <f>Transmission!BM83</f>
        <v>275</v>
      </c>
      <c r="BN84" s="115">
        <f>Transmission!BN83</f>
        <v>275</v>
      </c>
      <c r="BO84" s="115">
        <f>Transmission!BO83</f>
        <v>275</v>
      </c>
      <c r="BP84" s="105">
        <f>Transmission!BP83</f>
        <v>275</v>
      </c>
      <c r="BQ84" s="95">
        <f>Transmission!BQ83</f>
        <v>1100</v>
      </c>
      <c r="CB84" s="276"/>
    </row>
    <row r="85" spans="1:80">
      <c r="A85" s="92"/>
      <c r="B85" s="92"/>
      <c r="C85" s="97" t="s">
        <v>883</v>
      </c>
      <c r="D85" s="113"/>
      <c r="E85" s="114"/>
      <c r="F85" s="115"/>
      <c r="G85" s="115"/>
      <c r="H85" s="105"/>
      <c r="I85" s="95">
        <f>-Parent!I66</f>
        <v>41</v>
      </c>
      <c r="J85" s="114">
        <f>-Parent!J66</f>
        <v>0</v>
      </c>
      <c r="K85" s="115">
        <f>-Parent!K66</f>
        <v>0</v>
      </c>
      <c r="L85" s="115">
        <f>-Parent!L66</f>
        <v>0</v>
      </c>
      <c r="M85" s="105">
        <f>-Parent!M66</f>
        <v>0</v>
      </c>
      <c r="N85" s="95">
        <f>-Parent!N66</f>
        <v>59</v>
      </c>
      <c r="O85" s="114">
        <f>-Parent!O66</f>
        <v>0</v>
      </c>
      <c r="P85" s="115">
        <f>-Parent!P66</f>
        <v>0</v>
      </c>
      <c r="Q85" s="115">
        <f>-Parent!Q66</f>
        <v>0</v>
      </c>
      <c r="R85" s="105">
        <f>-Parent!R66</f>
        <v>0</v>
      </c>
      <c r="S85" s="95">
        <f>-Parent!S66</f>
        <v>93</v>
      </c>
      <c r="T85" s="114">
        <f>-Parent!T66</f>
        <v>0</v>
      </c>
      <c r="U85" s="115">
        <f>-Parent!U66</f>
        <v>0</v>
      </c>
      <c r="V85" s="115">
        <f>-Parent!V66</f>
        <v>0</v>
      </c>
      <c r="W85" s="105">
        <f>-Parent!W66</f>
        <v>0</v>
      </c>
      <c r="X85" s="95">
        <f>-Parent!X66</f>
        <v>83</v>
      </c>
      <c r="Y85" s="114">
        <f>Y86-Y82-Y83-Y84</f>
        <v>215</v>
      </c>
      <c r="Z85" s="115">
        <f>Z86-Z82-Z83-Z84</f>
        <v>150</v>
      </c>
      <c r="AA85" s="115">
        <f>AA86-AA82-AA83-AA84</f>
        <v>82</v>
      </c>
      <c r="AB85" s="105">
        <f>AB86-AB82-AB83-AB84</f>
        <v>215</v>
      </c>
      <c r="AC85" s="95">
        <f>SUM(Y85:AB85)</f>
        <v>662</v>
      </c>
      <c r="AD85" s="114">
        <f>AD86-AD82-AD83-AD84</f>
        <v>72</v>
      </c>
      <c r="AE85" s="115">
        <f t="shared" ref="AE85:AJ85" si="137">AE86-AE82-AE83-AE84</f>
        <v>27</v>
      </c>
      <c r="AF85" s="115">
        <f t="shared" si="137"/>
        <v>57</v>
      </c>
      <c r="AG85" s="105">
        <f t="shared" si="137"/>
        <v>149</v>
      </c>
      <c r="AH85" s="95">
        <f>AH86-AH82-AH83-AH84</f>
        <v>305</v>
      </c>
      <c r="AI85" s="114">
        <f t="shared" si="137"/>
        <v>68</v>
      </c>
      <c r="AJ85" s="115">
        <f t="shared" si="137"/>
        <v>55</v>
      </c>
      <c r="AK85" s="115">
        <f t="shared" ref="AK85:AL85" si="138">AK86-AK82-AK83-AK84</f>
        <v>19</v>
      </c>
      <c r="AL85" s="105">
        <f t="shared" si="138"/>
        <v>104</v>
      </c>
      <c r="AM85" s="95">
        <f>AM86-AM82-AM83-AM84</f>
        <v>246</v>
      </c>
      <c r="AN85" s="114">
        <f t="shared" ref="AN85:AQ85" si="139">AN86-AN82-AN83-AN84</f>
        <v>158</v>
      </c>
      <c r="AO85" s="115">
        <f t="shared" si="139"/>
        <v>56</v>
      </c>
      <c r="AP85" s="115">
        <f t="shared" si="139"/>
        <v>12</v>
      </c>
      <c r="AQ85" s="105">
        <f t="shared" si="139"/>
        <v>58</v>
      </c>
      <c r="AR85" s="95">
        <f>AR86-AR82-AR83-AR84</f>
        <v>284</v>
      </c>
      <c r="AS85" s="114">
        <f t="shared" ref="AS85:AT85" si="140">AS86-AS82-AS83-AS84</f>
        <v>63</v>
      </c>
      <c r="AT85" s="115">
        <f t="shared" si="140"/>
        <v>-94</v>
      </c>
      <c r="AU85" s="115">
        <f t="shared" ref="AU85:AV85" si="141">AU86-AU82-AU83-AU84</f>
        <v>-29</v>
      </c>
      <c r="AV85" s="105">
        <f t="shared" si="141"/>
        <v>363</v>
      </c>
      <c r="AW85" s="95">
        <f>AW86-AW82-AW83-AW84</f>
        <v>303</v>
      </c>
      <c r="AX85" s="114">
        <f>-Parent!AX66</f>
        <v>25</v>
      </c>
      <c r="AY85" s="115">
        <f>-Parent!AY66</f>
        <v>25</v>
      </c>
      <c r="AZ85" s="115">
        <f>-Parent!AZ66</f>
        <v>78</v>
      </c>
      <c r="BA85" s="105">
        <f>-Parent!BA66</f>
        <v>25</v>
      </c>
      <c r="BB85" s="95">
        <f>-Parent!BB66</f>
        <v>100</v>
      </c>
      <c r="BC85" s="114">
        <f>-Parent!BC66</f>
        <v>25</v>
      </c>
      <c r="BD85" s="115">
        <f>-Parent!BD66</f>
        <v>25</v>
      </c>
      <c r="BE85" s="115">
        <f>-Parent!BE66</f>
        <v>78</v>
      </c>
      <c r="BF85" s="105">
        <f>-Parent!BF66</f>
        <v>25</v>
      </c>
      <c r="BG85" s="95">
        <f>-Parent!BG66</f>
        <v>100</v>
      </c>
      <c r="BH85" s="114">
        <f>-Parent!BH66</f>
        <v>25</v>
      </c>
      <c r="BI85" s="115">
        <f>-Parent!BI66</f>
        <v>25</v>
      </c>
      <c r="BJ85" s="115">
        <f>-Parent!BJ66</f>
        <v>25</v>
      </c>
      <c r="BK85" s="105">
        <f>-Parent!BK66</f>
        <v>25</v>
      </c>
      <c r="BL85" s="95">
        <f>-Parent!BL66</f>
        <v>100</v>
      </c>
      <c r="BM85" s="114">
        <f>-Parent!BM66</f>
        <v>25</v>
      </c>
      <c r="BN85" s="115">
        <f>-Parent!BN66</f>
        <v>25</v>
      </c>
      <c r="BO85" s="115">
        <f>-Parent!BO66</f>
        <v>25</v>
      </c>
      <c r="BP85" s="105">
        <f>-Parent!BP66</f>
        <v>25</v>
      </c>
      <c r="BQ85" s="95">
        <f>-Parent!BQ66</f>
        <v>100</v>
      </c>
      <c r="CB85" s="276"/>
    </row>
    <row r="86" spans="1:80">
      <c r="A86" s="92"/>
      <c r="B86" s="92"/>
      <c r="C86" s="340" t="s">
        <v>394</v>
      </c>
      <c r="D86" s="113"/>
      <c r="E86" s="106"/>
      <c r="F86" s="76"/>
      <c r="G86" s="76"/>
      <c r="H86" s="107"/>
      <c r="I86" s="51">
        <f>SUM(I82:I85)</f>
        <v>2203</v>
      </c>
      <c r="J86" s="106">
        <f t="shared" ref="J86:S86" si="142">SUM(J82:J85)</f>
        <v>329</v>
      </c>
      <c r="K86" s="76">
        <f t="shared" si="142"/>
        <v>290</v>
      </c>
      <c r="L86" s="76">
        <f t="shared" si="142"/>
        <v>264</v>
      </c>
      <c r="M86" s="107">
        <f t="shared" si="142"/>
        <v>276</v>
      </c>
      <c r="N86" s="51">
        <f t="shared" si="142"/>
        <v>1780</v>
      </c>
      <c r="O86" s="106">
        <f t="shared" si="142"/>
        <v>241</v>
      </c>
      <c r="P86" s="76">
        <f t="shared" si="142"/>
        <v>278</v>
      </c>
      <c r="Q86" s="76">
        <f t="shared" si="142"/>
        <v>266</v>
      </c>
      <c r="R86" s="107">
        <f t="shared" si="142"/>
        <v>383</v>
      </c>
      <c r="S86" s="51">
        <f t="shared" si="142"/>
        <v>2129</v>
      </c>
      <c r="T86" s="106">
        <f t="shared" ref="T86:X86" si="143">SUM(T82:T85)</f>
        <v>500</v>
      </c>
      <c r="U86" s="76">
        <f t="shared" si="143"/>
        <v>386</v>
      </c>
      <c r="V86" s="76">
        <f t="shared" si="143"/>
        <v>767</v>
      </c>
      <c r="W86" s="107">
        <f t="shared" si="143"/>
        <v>942</v>
      </c>
      <c r="X86" s="51">
        <f t="shared" si="143"/>
        <v>2678</v>
      </c>
      <c r="Y86" s="106">
        <f t="shared" ref="Y86:AD86" si="144">-Y136</f>
        <v>853</v>
      </c>
      <c r="Z86" s="76">
        <f t="shared" si="144"/>
        <v>609</v>
      </c>
      <c r="AA86" s="76">
        <f t="shared" si="144"/>
        <v>657</v>
      </c>
      <c r="AB86" s="107">
        <f t="shared" si="144"/>
        <v>769</v>
      </c>
      <c r="AC86" s="51">
        <f t="shared" si="144"/>
        <v>2888</v>
      </c>
      <c r="AD86" s="106">
        <f t="shared" si="144"/>
        <v>876</v>
      </c>
      <c r="AE86" s="76">
        <f t="shared" ref="AE86:AJ86" si="145">-AE136</f>
        <v>991</v>
      </c>
      <c r="AF86" s="76">
        <f t="shared" si="145"/>
        <v>704</v>
      </c>
      <c r="AG86" s="107">
        <f t="shared" si="145"/>
        <v>974</v>
      </c>
      <c r="AH86" s="51">
        <f t="shared" si="145"/>
        <v>3545</v>
      </c>
      <c r="AI86" s="106">
        <f t="shared" si="145"/>
        <v>728</v>
      </c>
      <c r="AJ86" s="76">
        <f t="shared" si="145"/>
        <v>855</v>
      </c>
      <c r="AK86" s="76">
        <f t="shared" ref="AK86:AO86" si="146">-AK136</f>
        <v>543</v>
      </c>
      <c r="AL86" s="107">
        <f t="shared" si="146"/>
        <v>768</v>
      </c>
      <c r="AM86" s="51">
        <f t="shared" si="146"/>
        <v>2894</v>
      </c>
      <c r="AN86" s="106">
        <f t="shared" si="146"/>
        <v>847</v>
      </c>
      <c r="AO86" s="76">
        <f t="shared" si="146"/>
        <v>833</v>
      </c>
      <c r="AP86" s="76">
        <f t="shared" ref="AP86:AT86" si="147">-AP136</f>
        <v>671</v>
      </c>
      <c r="AQ86" s="107">
        <f t="shared" si="147"/>
        <v>716</v>
      </c>
      <c r="AR86" s="51">
        <f t="shared" si="147"/>
        <v>3067</v>
      </c>
      <c r="AS86" s="106">
        <f t="shared" si="147"/>
        <v>720</v>
      </c>
      <c r="AT86" s="76">
        <f t="shared" si="147"/>
        <v>668</v>
      </c>
      <c r="AU86" s="76">
        <f t="shared" ref="AU86:AW86" si="148">-AU136</f>
        <v>615</v>
      </c>
      <c r="AV86" s="107">
        <f t="shared" si="148"/>
        <v>838</v>
      </c>
      <c r="AW86" s="51">
        <f t="shared" si="148"/>
        <v>2841</v>
      </c>
      <c r="AX86" s="106">
        <f t="shared" ref="AX86:BB86" si="149">SUM(AX82:AX85)</f>
        <v>760</v>
      </c>
      <c r="AY86" s="76">
        <f t="shared" si="149"/>
        <v>760</v>
      </c>
      <c r="AZ86" s="76">
        <f t="shared" si="149"/>
        <v>813</v>
      </c>
      <c r="BA86" s="107">
        <f t="shared" si="149"/>
        <v>760</v>
      </c>
      <c r="BB86" s="51">
        <f t="shared" si="149"/>
        <v>3040</v>
      </c>
      <c r="BC86" s="106">
        <f t="shared" ref="BC86:BL86" si="150">SUM(BC82:BC85)</f>
        <v>760</v>
      </c>
      <c r="BD86" s="76">
        <f t="shared" si="150"/>
        <v>760</v>
      </c>
      <c r="BE86" s="76">
        <f t="shared" si="150"/>
        <v>813</v>
      </c>
      <c r="BF86" s="107">
        <f t="shared" si="150"/>
        <v>760</v>
      </c>
      <c r="BG86" s="51">
        <f t="shared" si="150"/>
        <v>3040</v>
      </c>
      <c r="BH86" s="106">
        <f t="shared" si="150"/>
        <v>760</v>
      </c>
      <c r="BI86" s="76">
        <f t="shared" si="150"/>
        <v>760</v>
      </c>
      <c r="BJ86" s="76">
        <f t="shared" si="150"/>
        <v>760</v>
      </c>
      <c r="BK86" s="107">
        <f t="shared" si="150"/>
        <v>760</v>
      </c>
      <c r="BL86" s="51">
        <f t="shared" si="150"/>
        <v>3040</v>
      </c>
      <c r="BM86" s="106">
        <f t="shared" ref="BM86:BQ86" si="151">SUM(BM82:BM85)</f>
        <v>760</v>
      </c>
      <c r="BN86" s="76">
        <f t="shared" si="151"/>
        <v>760</v>
      </c>
      <c r="BO86" s="76">
        <f t="shared" si="151"/>
        <v>760</v>
      </c>
      <c r="BP86" s="107">
        <f t="shared" si="151"/>
        <v>760</v>
      </c>
      <c r="BQ86" s="51">
        <f t="shared" si="151"/>
        <v>3040</v>
      </c>
      <c r="CB86" s="276"/>
    </row>
    <row r="87" spans="1:80">
      <c r="A87" s="92"/>
      <c r="B87" s="92"/>
      <c r="C87" s="340"/>
      <c r="D87" s="113"/>
      <c r="E87" s="106"/>
      <c r="F87" s="76"/>
      <c r="G87" s="76"/>
      <c r="H87" s="107"/>
      <c r="I87" s="51"/>
      <c r="J87" s="106"/>
      <c r="K87" s="76"/>
      <c r="L87" s="76"/>
      <c r="M87" s="107"/>
      <c r="N87" s="51"/>
      <c r="O87" s="106"/>
      <c r="P87" s="76"/>
      <c r="Q87" s="76"/>
      <c r="R87" s="107"/>
      <c r="S87" s="51"/>
      <c r="T87" s="145"/>
      <c r="U87" s="146"/>
      <c r="V87" s="146"/>
      <c r="W87" s="147"/>
      <c r="X87" s="94"/>
      <c r="Y87" s="145"/>
      <c r="Z87" s="146"/>
      <c r="AA87" s="146"/>
      <c r="AB87" s="147"/>
      <c r="AC87" s="94"/>
      <c r="AD87" s="145"/>
      <c r="AE87" s="146"/>
      <c r="AF87" s="312"/>
      <c r="AG87" s="147"/>
      <c r="AH87" s="488"/>
      <c r="AI87" s="145"/>
      <c r="AJ87" s="146"/>
      <c r="AK87" s="312"/>
      <c r="AL87" s="147"/>
      <c r="AM87" s="94"/>
      <c r="AN87" s="145"/>
      <c r="AO87" s="146"/>
      <c r="AP87" s="312"/>
      <c r="AQ87" s="147"/>
      <c r="AR87" s="94"/>
      <c r="AS87" s="145"/>
      <c r="AT87" s="146"/>
      <c r="AU87" s="146"/>
      <c r="AV87" s="147"/>
      <c r="AW87" s="94"/>
      <c r="AX87" s="145"/>
      <c r="AY87" s="146"/>
      <c r="AZ87" s="146"/>
      <c r="BA87" s="147"/>
      <c r="BB87" s="94"/>
      <c r="BC87" s="145"/>
      <c r="BD87" s="146"/>
      <c r="BE87" s="146"/>
      <c r="BF87" s="147"/>
      <c r="BG87" s="94"/>
      <c r="BH87" s="145"/>
      <c r="BI87" s="146"/>
      <c r="BJ87" s="146"/>
      <c r="BK87" s="147"/>
      <c r="BL87" s="94"/>
      <c r="BM87" s="145"/>
      <c r="BN87" s="146"/>
      <c r="BO87" s="146"/>
      <c r="BP87" s="147"/>
      <c r="BQ87" s="94"/>
      <c r="CB87" s="276"/>
    </row>
    <row r="88" spans="1:80">
      <c r="A88" s="92"/>
      <c r="B88" s="92"/>
      <c r="C88" s="340"/>
      <c r="D88" s="113"/>
      <c r="E88" s="106"/>
      <c r="F88" s="76"/>
      <c r="G88" s="76"/>
      <c r="H88" s="107"/>
      <c r="I88" s="51"/>
      <c r="J88" s="106"/>
      <c r="K88" s="76"/>
      <c r="L88" s="76"/>
      <c r="M88" s="107"/>
      <c r="N88" s="51"/>
      <c r="O88" s="106"/>
      <c r="P88" s="76"/>
      <c r="Q88" s="76"/>
      <c r="R88" s="107"/>
      <c r="S88" s="51"/>
      <c r="T88" s="145"/>
      <c r="U88" s="146"/>
      <c r="V88" s="146"/>
      <c r="W88" s="147"/>
      <c r="X88" s="94"/>
      <c r="Y88" s="145"/>
      <c r="Z88" s="146"/>
      <c r="AA88" s="146"/>
      <c r="AB88" s="147"/>
      <c r="AC88" s="94"/>
      <c r="AD88" s="145"/>
      <c r="AE88" s="146"/>
      <c r="AF88" s="146"/>
      <c r="AG88" s="147"/>
      <c r="AH88" s="94"/>
      <c r="AI88" s="145"/>
      <c r="AJ88" s="312"/>
      <c r="AK88" s="146"/>
      <c r="AL88" s="147"/>
      <c r="AM88" s="94"/>
      <c r="AN88" s="145"/>
      <c r="AO88" s="146"/>
      <c r="AP88" s="146"/>
      <c r="AQ88" s="147"/>
      <c r="AR88" s="94"/>
      <c r="AS88" s="145"/>
      <c r="AT88" s="146"/>
      <c r="AU88" s="146"/>
      <c r="AV88" s="147"/>
      <c r="AW88" s="94"/>
      <c r="AX88" s="145"/>
      <c r="AY88" s="146"/>
      <c r="AZ88" s="146"/>
      <c r="BA88" s="147"/>
      <c r="BB88" s="94"/>
      <c r="BC88" s="145"/>
      <c r="BD88" s="146"/>
      <c r="BE88" s="146"/>
      <c r="BF88" s="147"/>
      <c r="BG88" s="94"/>
      <c r="BH88" s="145"/>
      <c r="BI88" s="146"/>
      <c r="BJ88" s="146"/>
      <c r="BK88" s="147"/>
      <c r="BL88" s="94"/>
      <c r="BM88" s="145"/>
      <c r="BN88" s="146"/>
      <c r="BO88" s="146"/>
      <c r="BP88" s="147"/>
      <c r="BQ88" s="94"/>
      <c r="CB88" s="276"/>
    </row>
    <row r="89" spans="1:80">
      <c r="A89" s="92"/>
      <c r="B89" s="126" t="s">
        <v>395</v>
      </c>
      <c r="C89" s="126"/>
      <c r="D89" s="772"/>
      <c r="E89" s="114"/>
      <c r="F89" s="115"/>
      <c r="G89" s="115"/>
      <c r="H89" s="105"/>
      <c r="I89" s="95"/>
      <c r="J89" s="114"/>
      <c r="K89" s="115"/>
      <c r="L89" s="115"/>
      <c r="M89" s="105"/>
      <c r="N89" s="95"/>
      <c r="O89" s="114"/>
      <c r="P89" s="115"/>
      <c r="Q89" s="115"/>
      <c r="R89" s="105"/>
      <c r="S89" s="95"/>
      <c r="T89" s="145"/>
      <c r="U89" s="146"/>
      <c r="V89" s="146"/>
      <c r="W89" s="147"/>
      <c r="X89" s="94"/>
      <c r="Y89" s="145"/>
      <c r="Z89" s="146"/>
      <c r="AA89" s="146"/>
      <c r="AB89" s="147"/>
      <c r="AC89" s="94"/>
      <c r="AD89" s="145"/>
      <c r="AE89" s="146"/>
      <c r="AF89" s="146"/>
      <c r="AG89" s="147"/>
      <c r="AH89" s="94"/>
      <c r="AI89" s="145"/>
      <c r="AJ89" s="146"/>
      <c r="AK89" s="146"/>
      <c r="AL89" s="147"/>
      <c r="AM89" s="94"/>
      <c r="AN89" s="145"/>
      <c r="AO89" s="146"/>
      <c r="AP89" s="146"/>
      <c r="AQ89" s="147"/>
      <c r="AR89" s="94"/>
      <c r="AS89" s="145"/>
      <c r="AT89" s="146"/>
      <c r="AU89" s="146"/>
      <c r="AV89" s="147"/>
      <c r="AW89" s="94"/>
      <c r="AX89" s="145"/>
      <c r="AY89" s="146"/>
      <c r="AZ89" s="146"/>
      <c r="BA89" s="147"/>
      <c r="BB89" s="94"/>
      <c r="BC89" s="145"/>
      <c r="BD89" s="146"/>
      <c r="BE89" s="146"/>
      <c r="BF89" s="147"/>
      <c r="BG89" s="94"/>
      <c r="BH89" s="145"/>
      <c r="BI89" s="146"/>
      <c r="BJ89" s="146"/>
      <c r="BK89" s="147"/>
      <c r="BL89" s="94"/>
      <c r="BM89" s="145"/>
      <c r="BN89" s="146"/>
      <c r="BO89" s="146"/>
      <c r="BP89" s="147"/>
      <c r="BQ89" s="94"/>
      <c r="CB89" s="276"/>
    </row>
    <row r="90" spans="1:80">
      <c r="A90" s="92"/>
      <c r="B90" s="92"/>
      <c r="C90" s="670" t="s">
        <v>207</v>
      </c>
      <c r="D90" s="113"/>
      <c r="E90" s="114"/>
      <c r="F90" s="115"/>
      <c r="G90" s="115"/>
      <c r="H90" s="105"/>
      <c r="I90" s="95"/>
      <c r="J90" s="114"/>
      <c r="K90" s="115"/>
      <c r="L90" s="115"/>
      <c r="M90" s="105"/>
      <c r="N90" s="95"/>
      <c r="O90" s="114"/>
      <c r="P90" s="115"/>
      <c r="Q90" s="115"/>
      <c r="R90" s="105"/>
      <c r="S90" s="95"/>
      <c r="T90" s="145"/>
      <c r="U90" s="146"/>
      <c r="V90" s="146"/>
      <c r="W90" s="147"/>
      <c r="X90" s="94"/>
      <c r="Y90" s="145"/>
      <c r="Z90" s="146"/>
      <c r="AA90" s="146"/>
      <c r="AB90" s="147"/>
      <c r="AC90" s="94"/>
      <c r="AD90" s="145"/>
      <c r="AE90" s="146"/>
      <c r="AF90" s="146"/>
      <c r="AG90" s="147"/>
      <c r="AH90" s="94"/>
      <c r="AI90" s="145"/>
      <c r="AJ90" s="146"/>
      <c r="AK90" s="146"/>
      <c r="AL90" s="147"/>
      <c r="AM90" s="94"/>
      <c r="AN90" s="145"/>
      <c r="AO90" s="146"/>
      <c r="AP90" s="146"/>
      <c r="AQ90" s="147"/>
      <c r="AR90" s="94"/>
      <c r="AS90" s="145"/>
      <c r="AT90" s="146"/>
      <c r="AU90" s="146"/>
      <c r="AV90" s="147"/>
      <c r="AW90" s="94"/>
      <c r="AX90" s="145"/>
      <c r="AY90" s="146"/>
      <c r="AZ90" s="146"/>
      <c r="BA90" s="147"/>
      <c r="BB90" s="94"/>
      <c r="BC90" s="145"/>
      <c r="BD90" s="146"/>
      <c r="BE90" s="146"/>
      <c r="BF90" s="147"/>
      <c r="BG90" s="94"/>
      <c r="BH90" s="145"/>
      <c r="BI90" s="146"/>
      <c r="BJ90" s="146"/>
      <c r="BK90" s="147"/>
      <c r="BL90" s="94"/>
      <c r="BM90" s="145"/>
      <c r="BN90" s="146"/>
      <c r="BO90" s="146"/>
      <c r="BP90" s="147"/>
      <c r="BQ90" s="94"/>
      <c r="CB90" s="276"/>
    </row>
    <row r="91" spans="1:80">
      <c r="A91" s="92"/>
      <c r="B91" s="92"/>
      <c r="C91" s="669" t="s">
        <v>208</v>
      </c>
      <c r="D91" s="96"/>
      <c r="E91" s="104">
        <f>E141</f>
        <v>700</v>
      </c>
      <c r="F91" s="77">
        <f t="shared" ref="F91:S91" si="152">F141</f>
        <v>979</v>
      </c>
      <c r="G91" s="77">
        <f t="shared" si="152"/>
        <v>2472</v>
      </c>
      <c r="H91" s="102">
        <f t="shared" si="152"/>
        <v>481</v>
      </c>
      <c r="I91" s="96">
        <f t="shared" si="152"/>
        <v>4632</v>
      </c>
      <c r="J91" s="104">
        <f t="shared" si="152"/>
        <v>0</v>
      </c>
      <c r="K91" s="77">
        <f t="shared" si="152"/>
        <v>0</v>
      </c>
      <c r="L91" s="77">
        <f t="shared" si="152"/>
        <v>251</v>
      </c>
      <c r="M91" s="102">
        <f t="shared" si="152"/>
        <v>848</v>
      </c>
      <c r="N91" s="96">
        <f t="shared" si="152"/>
        <v>1099</v>
      </c>
      <c r="O91" s="104">
        <f t="shared" si="152"/>
        <v>217</v>
      </c>
      <c r="P91" s="77">
        <f t="shared" si="152"/>
        <v>286</v>
      </c>
      <c r="Q91" s="377">
        <f t="shared" si="152"/>
        <v>100</v>
      </c>
      <c r="R91" s="102">
        <f t="shared" si="152"/>
        <v>1</v>
      </c>
      <c r="S91" s="96">
        <f t="shared" si="152"/>
        <v>604</v>
      </c>
      <c r="T91" s="104">
        <f t="shared" ref="T91:X92" si="153">T141</f>
        <v>0</v>
      </c>
      <c r="U91" s="77">
        <f t="shared" si="153"/>
        <v>182</v>
      </c>
      <c r="V91" s="77">
        <f t="shared" si="153"/>
        <v>478</v>
      </c>
      <c r="W91" s="102">
        <f t="shared" si="153"/>
        <v>90</v>
      </c>
      <c r="X91" s="96">
        <f t="shared" si="153"/>
        <v>750</v>
      </c>
      <c r="Y91" s="104">
        <f t="shared" ref="Y91:AC92" si="154">Y141</f>
        <v>1800</v>
      </c>
      <c r="Z91" s="77">
        <f t="shared" si="154"/>
        <v>445</v>
      </c>
      <c r="AA91" s="77">
        <f t="shared" si="154"/>
        <v>500</v>
      </c>
      <c r="AB91" s="102">
        <f t="shared" si="154"/>
        <v>1000</v>
      </c>
      <c r="AC91" s="96">
        <f t="shared" si="154"/>
        <v>3745</v>
      </c>
      <c r="AD91" s="104">
        <f t="shared" ref="AD91:AJ92" si="155">AD141</f>
        <v>1467</v>
      </c>
      <c r="AE91" s="77">
        <f t="shared" si="155"/>
        <v>1670</v>
      </c>
      <c r="AF91" s="77">
        <f t="shared" si="155"/>
        <v>641</v>
      </c>
      <c r="AG91" s="102">
        <f t="shared" si="155"/>
        <v>750</v>
      </c>
      <c r="AH91" s="96">
        <f t="shared" si="155"/>
        <v>4528</v>
      </c>
      <c r="AI91" s="104">
        <f t="shared" si="155"/>
        <v>0</v>
      </c>
      <c r="AJ91" s="77">
        <f t="shared" si="155"/>
        <v>200</v>
      </c>
      <c r="AK91" s="77">
        <f t="shared" ref="AK91:AO91" si="156">AK141</f>
        <v>884</v>
      </c>
      <c r="AL91" s="102">
        <f t="shared" si="156"/>
        <v>227</v>
      </c>
      <c r="AM91" s="96">
        <f t="shared" si="156"/>
        <v>1311</v>
      </c>
      <c r="AN91" s="104">
        <f t="shared" si="156"/>
        <v>0</v>
      </c>
      <c r="AO91" s="77">
        <f t="shared" si="156"/>
        <v>0</v>
      </c>
      <c r="AP91" s="77">
        <f t="shared" ref="AP91:AS91" si="157">AP141</f>
        <v>521</v>
      </c>
      <c r="AQ91" s="102">
        <f t="shared" si="157"/>
        <v>1455</v>
      </c>
      <c r="AR91" s="96">
        <f t="shared" si="157"/>
        <v>1976</v>
      </c>
      <c r="AS91" s="104">
        <f t="shared" si="157"/>
        <v>250</v>
      </c>
      <c r="AT91" s="77">
        <f>AT141</f>
        <v>3250</v>
      </c>
      <c r="AU91" s="77">
        <f t="shared" ref="AU91:AW91" si="158">AU141</f>
        <v>550</v>
      </c>
      <c r="AV91" s="102">
        <f t="shared" si="158"/>
        <v>625</v>
      </c>
      <c r="AW91" s="96">
        <f t="shared" si="158"/>
        <v>4675</v>
      </c>
      <c r="AX91" s="104">
        <f>Debt!AU11</f>
        <v>1620</v>
      </c>
      <c r="AY91" s="77">
        <f>Debt!AV11</f>
        <v>0</v>
      </c>
      <c r="AZ91" s="77">
        <f>Debt!AW11</f>
        <v>800</v>
      </c>
      <c r="BA91" s="102">
        <f>Debt!AX11</f>
        <v>0</v>
      </c>
      <c r="BB91" s="96">
        <f>Debt!AY11</f>
        <v>2420</v>
      </c>
      <c r="BC91" s="104">
        <f>Debt!AZ11</f>
        <v>0</v>
      </c>
      <c r="BD91" s="77">
        <f>Debt!BA11</f>
        <v>1900</v>
      </c>
      <c r="BE91" s="77">
        <f>Debt!BB11</f>
        <v>0</v>
      </c>
      <c r="BF91" s="102">
        <f>Debt!BC11</f>
        <v>0</v>
      </c>
      <c r="BG91" s="96">
        <f>Debt!BD11</f>
        <v>1900</v>
      </c>
      <c r="BH91" s="104">
        <f>Debt!BE11</f>
        <v>0</v>
      </c>
      <c r="BI91" s="77">
        <f>Debt!BF11</f>
        <v>1700</v>
      </c>
      <c r="BJ91" s="77">
        <f>Debt!BG11</f>
        <v>250</v>
      </c>
      <c r="BK91" s="102">
        <f>Debt!BH11</f>
        <v>0</v>
      </c>
      <c r="BL91" s="96">
        <f>Debt!BI11</f>
        <v>1950</v>
      </c>
      <c r="BM91" s="104">
        <f>Debt!BJ11</f>
        <v>0</v>
      </c>
      <c r="BN91" s="77">
        <f>Debt!BK11</f>
        <v>1800</v>
      </c>
      <c r="BO91" s="77">
        <f>Debt!BL11</f>
        <v>500</v>
      </c>
      <c r="BP91" s="102">
        <f>Debt!BM11</f>
        <v>0</v>
      </c>
      <c r="BQ91" s="96">
        <f>Debt!BN11</f>
        <v>2300</v>
      </c>
      <c r="CB91" s="276"/>
    </row>
    <row r="92" spans="1:80">
      <c r="A92" s="92"/>
      <c r="B92" s="92"/>
      <c r="C92" s="669" t="s">
        <v>210</v>
      </c>
      <c r="D92" s="96"/>
      <c r="E92" s="104">
        <f>E142</f>
        <v>-444</v>
      </c>
      <c r="F92" s="77">
        <f t="shared" ref="F92:S92" si="159">F142</f>
        <v>-437</v>
      </c>
      <c r="G92" s="77">
        <f t="shared" si="159"/>
        <v>-1332</v>
      </c>
      <c r="H92" s="102">
        <f t="shared" si="159"/>
        <v>-397</v>
      </c>
      <c r="I92" s="96">
        <f t="shared" si="159"/>
        <v>-2610</v>
      </c>
      <c r="J92" s="104">
        <f t="shared" si="159"/>
        <v>-109</v>
      </c>
      <c r="K92" s="77">
        <f t="shared" si="159"/>
        <v>-298</v>
      </c>
      <c r="L92" s="77">
        <f t="shared" si="159"/>
        <v>-15</v>
      </c>
      <c r="M92" s="102">
        <f t="shared" si="159"/>
        <v>-593</v>
      </c>
      <c r="N92" s="96">
        <f t="shared" si="159"/>
        <v>-1015</v>
      </c>
      <c r="O92" s="104">
        <f t="shared" si="159"/>
        <v>-359</v>
      </c>
      <c r="P92" s="77">
        <f t="shared" si="159"/>
        <v>-643</v>
      </c>
      <c r="Q92" s="377">
        <f t="shared" si="159"/>
        <v>-579</v>
      </c>
      <c r="R92" s="102">
        <f t="shared" si="159"/>
        <v>-328</v>
      </c>
      <c r="S92" s="96">
        <f t="shared" si="159"/>
        <v>-1909</v>
      </c>
      <c r="T92" s="104">
        <f t="shared" si="153"/>
        <v>-16</v>
      </c>
      <c r="U92" s="77">
        <f t="shared" si="153"/>
        <v>-730</v>
      </c>
      <c r="V92" s="77">
        <f t="shared" si="153"/>
        <v>-124</v>
      </c>
      <c r="W92" s="102">
        <f t="shared" si="153"/>
        <v>-70</v>
      </c>
      <c r="X92" s="96">
        <f t="shared" si="153"/>
        <v>-940</v>
      </c>
      <c r="Y92" s="104">
        <f t="shared" si="154"/>
        <v>-956</v>
      </c>
      <c r="Z92" s="77">
        <f t="shared" si="154"/>
        <v>-1012</v>
      </c>
      <c r="AA92" s="77">
        <f t="shared" si="154"/>
        <v>-694</v>
      </c>
      <c r="AB92" s="102">
        <f t="shared" si="154"/>
        <v>-938</v>
      </c>
      <c r="AC92" s="96">
        <f t="shared" si="154"/>
        <v>-3600</v>
      </c>
      <c r="AD92" s="104">
        <f t="shared" si="155"/>
        <v>-489</v>
      </c>
      <c r="AE92" s="77">
        <f t="shared" si="155"/>
        <v>-436</v>
      </c>
      <c r="AF92" s="77">
        <f t="shared" si="155"/>
        <v>-137</v>
      </c>
      <c r="AG92" s="102">
        <f t="shared" si="155"/>
        <v>-697</v>
      </c>
      <c r="AH92" s="96">
        <f t="shared" si="155"/>
        <v>-1759</v>
      </c>
      <c r="AI92" s="104">
        <f t="shared" si="155"/>
        <v>-48</v>
      </c>
      <c r="AJ92" s="77">
        <f t="shared" si="155"/>
        <v>-244</v>
      </c>
      <c r="AK92" s="77">
        <f t="shared" ref="AK92:AO92" si="160">AK142</f>
        <v>-489</v>
      </c>
      <c r="AL92" s="102">
        <f t="shared" si="160"/>
        <v>-98</v>
      </c>
      <c r="AM92" s="96">
        <f t="shared" si="160"/>
        <v>-879</v>
      </c>
      <c r="AN92" s="104">
        <f t="shared" si="160"/>
        <v>-31</v>
      </c>
      <c r="AO92" s="77">
        <f t="shared" si="160"/>
        <v>-550</v>
      </c>
      <c r="AP92" s="77">
        <f t="shared" ref="AP92:AT92" si="161">AP142</f>
        <v>-436</v>
      </c>
      <c r="AQ92" s="102">
        <f t="shared" si="161"/>
        <v>-1314</v>
      </c>
      <c r="AR92" s="96">
        <f t="shared" si="161"/>
        <v>-2331</v>
      </c>
      <c r="AS92" s="104">
        <f t="shared" si="161"/>
        <v>-211</v>
      </c>
      <c r="AT92" s="77">
        <f t="shared" si="161"/>
        <v>-524</v>
      </c>
      <c r="AU92" s="77">
        <f t="shared" ref="AU92:AW92" si="162">AU142</f>
        <v>-976</v>
      </c>
      <c r="AV92" s="102">
        <f t="shared" si="162"/>
        <v>-580</v>
      </c>
      <c r="AW92" s="96">
        <f t="shared" si="162"/>
        <v>-2291</v>
      </c>
      <c r="AX92" s="104">
        <f>Debt!AU10</f>
        <v>-1450</v>
      </c>
      <c r="AY92" s="77">
        <f>Debt!AV10</f>
        <v>-295.86229200000002</v>
      </c>
      <c r="AZ92" s="377">
        <f>Debt!AW10</f>
        <v>-43</v>
      </c>
      <c r="BA92" s="102">
        <f>Debt!AX10</f>
        <v>-325</v>
      </c>
      <c r="BB92" s="96">
        <f>Debt!AY10</f>
        <v>-2113.8622919999998</v>
      </c>
      <c r="BC92" s="104">
        <f>Debt!AZ10</f>
        <v>-600</v>
      </c>
      <c r="BD92" s="77">
        <f>Debt!BA10</f>
        <v>-215.14</v>
      </c>
      <c r="BE92" s="377">
        <f>Debt!BB10</f>
        <v>-1660.9622159999999</v>
      </c>
      <c r="BF92" s="102">
        <f>Debt!BC10</f>
        <v>-157.49300000000002</v>
      </c>
      <c r="BG92" s="96">
        <f>Debt!BD10</f>
        <v>-2633.5952160000002</v>
      </c>
      <c r="BH92" s="104">
        <f>Debt!BE10</f>
        <v>-352.95805300000001</v>
      </c>
      <c r="BI92" s="77">
        <f>Debt!BF10</f>
        <v>-250</v>
      </c>
      <c r="BJ92" s="377">
        <f>Debt!BG10</f>
        <v>-177</v>
      </c>
      <c r="BK92" s="102">
        <f>Debt!BH10</f>
        <v>0</v>
      </c>
      <c r="BL92" s="96">
        <f>Debt!BI10</f>
        <v>-779.95805300000006</v>
      </c>
      <c r="BM92" s="104">
        <f>Debt!BJ10</f>
        <v>0</v>
      </c>
      <c r="BN92" s="77">
        <f>Debt!BK10</f>
        <v>-1251.1389999999999</v>
      </c>
      <c r="BO92" s="377">
        <f>Debt!BL10</f>
        <v>-332.30500000000001</v>
      </c>
      <c r="BP92" s="102">
        <f>Debt!BM10</f>
        <v>0</v>
      </c>
      <c r="BQ92" s="96">
        <f>Debt!BN10</f>
        <v>-1583.444</v>
      </c>
      <c r="CB92" s="276"/>
    </row>
    <row r="93" spans="1:80">
      <c r="A93" s="92"/>
      <c r="B93" s="92"/>
      <c r="C93" s="97"/>
      <c r="D93" s="96"/>
      <c r="E93" s="104"/>
      <c r="F93" s="77"/>
      <c r="G93" s="77"/>
      <c r="H93" s="102"/>
      <c r="I93" s="96"/>
      <c r="J93" s="104"/>
      <c r="K93" s="77"/>
      <c r="L93" s="77"/>
      <c r="M93" s="102"/>
      <c r="N93" s="96"/>
      <c r="O93" s="104"/>
      <c r="P93" s="77"/>
      <c r="Q93" s="77"/>
      <c r="R93" s="102"/>
      <c r="S93" s="96"/>
      <c r="T93" s="145"/>
      <c r="U93" s="146"/>
      <c r="V93" s="146"/>
      <c r="W93" s="102"/>
      <c r="X93" s="96"/>
      <c r="Y93" s="145"/>
      <c r="Z93" s="146"/>
      <c r="AA93" s="146"/>
      <c r="AB93" s="147"/>
      <c r="AC93" s="94"/>
      <c r="AD93" s="145"/>
      <c r="AE93" s="146"/>
      <c r="AF93" s="146"/>
      <c r="AG93" s="147"/>
      <c r="AH93" s="94"/>
      <c r="AI93" s="145"/>
      <c r="AJ93" s="146"/>
      <c r="AK93" s="146"/>
      <c r="AL93" s="147"/>
      <c r="AM93" s="94"/>
      <c r="AN93" s="145"/>
      <c r="AO93" s="146"/>
      <c r="AP93" s="146"/>
      <c r="AQ93" s="147"/>
      <c r="AR93" s="94"/>
      <c r="AS93" s="145"/>
      <c r="AT93" s="146"/>
      <c r="AU93" s="146"/>
      <c r="AV93" s="147"/>
      <c r="AW93" s="94"/>
      <c r="AX93" s="145"/>
      <c r="AY93" s="146"/>
      <c r="AZ93" s="146"/>
      <c r="BA93" s="147"/>
      <c r="BB93" s="94"/>
      <c r="BC93" s="145"/>
      <c r="BD93" s="146"/>
      <c r="BE93" s="146"/>
      <c r="BF93" s="147"/>
      <c r="BG93" s="94"/>
      <c r="BH93" s="145"/>
      <c r="BI93" s="146"/>
      <c r="BJ93" s="146"/>
      <c r="BK93" s="147"/>
      <c r="BL93" s="94"/>
      <c r="BM93" s="145"/>
      <c r="BN93" s="146"/>
      <c r="BO93" s="146"/>
      <c r="BP93" s="147"/>
      <c r="BQ93" s="94"/>
      <c r="CB93" s="276"/>
    </row>
    <row r="94" spans="1:80" s="81" customFormat="1">
      <c r="A94" s="221"/>
      <c r="B94" s="221"/>
      <c r="C94" s="670" t="s">
        <v>200</v>
      </c>
      <c r="D94" s="96"/>
      <c r="E94" s="104"/>
      <c r="F94" s="77"/>
      <c r="G94" s="77"/>
      <c r="H94" s="102"/>
      <c r="I94" s="96"/>
      <c r="J94" s="104"/>
      <c r="K94" s="77"/>
      <c r="L94" s="77"/>
      <c r="M94" s="102"/>
      <c r="N94" s="96"/>
      <c r="O94" s="378"/>
      <c r="P94" s="379"/>
      <c r="Q94" s="77"/>
      <c r="R94" s="102"/>
      <c r="S94" s="96"/>
      <c r="T94" s="316"/>
      <c r="U94" s="312"/>
      <c r="V94" s="312"/>
      <c r="W94" s="102"/>
      <c r="X94" s="96"/>
      <c r="Y94" s="316"/>
      <c r="Z94" s="312"/>
      <c r="AA94" s="312"/>
      <c r="AB94" s="317"/>
      <c r="AC94" s="488"/>
      <c r="AD94" s="316"/>
      <c r="AE94" s="312"/>
      <c r="AF94" s="312"/>
      <c r="AG94" s="317"/>
      <c r="AH94" s="488"/>
      <c r="AI94" s="316"/>
      <c r="AJ94" s="312"/>
      <c r="AK94" s="312"/>
      <c r="AL94" s="317"/>
      <c r="AM94" s="488"/>
      <c r="AN94" s="316"/>
      <c r="AO94" s="312"/>
      <c r="AP94" s="312"/>
      <c r="AQ94" s="317"/>
      <c r="AR94" s="488"/>
      <c r="AS94" s="316"/>
      <c r="AT94" s="312"/>
      <c r="AU94" s="312"/>
      <c r="AV94" s="317"/>
      <c r="AW94" s="488"/>
      <c r="AX94" s="316"/>
      <c r="AY94" s="312"/>
      <c r="AZ94" s="312"/>
      <c r="BA94" s="317"/>
      <c r="BB94" s="488"/>
      <c r="BC94" s="316"/>
      <c r="BD94" s="312"/>
      <c r="BE94" s="312"/>
      <c r="BF94" s="317"/>
      <c r="BG94" s="488"/>
      <c r="BH94" s="316"/>
      <c r="BI94" s="312"/>
      <c r="BJ94" s="312"/>
      <c r="BK94" s="317"/>
      <c r="BL94" s="488"/>
      <c r="BM94" s="316"/>
      <c r="BN94" s="312"/>
      <c r="BO94" s="312"/>
      <c r="BP94" s="317"/>
      <c r="BQ94" s="488"/>
      <c r="BT94"/>
      <c r="BU94"/>
      <c r="BV94"/>
      <c r="BW94"/>
      <c r="BX94"/>
      <c r="BY94"/>
      <c r="CB94" s="489"/>
    </row>
    <row r="95" spans="1:80" s="81" customFormat="1">
      <c r="A95" s="221"/>
      <c r="B95" s="221"/>
      <c r="C95" s="669" t="s">
        <v>396</v>
      </c>
      <c r="D95" s="96"/>
      <c r="E95" s="104"/>
      <c r="F95" s="77"/>
      <c r="G95" s="77"/>
      <c r="H95" s="102"/>
      <c r="I95" s="96"/>
      <c r="J95" s="104"/>
      <c r="K95" s="77"/>
      <c r="L95" s="77"/>
      <c r="M95" s="102"/>
      <c r="N95" s="96"/>
      <c r="O95" s="104"/>
      <c r="P95" s="77"/>
      <c r="Q95" s="77"/>
      <c r="R95" s="102"/>
      <c r="S95" s="96"/>
      <c r="T95" s="316"/>
      <c r="U95" s="312"/>
      <c r="V95" s="312"/>
      <c r="W95" s="102"/>
      <c r="X95" s="96"/>
      <c r="Y95" s="316"/>
      <c r="Z95" s="312"/>
      <c r="AA95" s="312"/>
      <c r="AB95" s="317"/>
      <c r="AC95" s="488"/>
      <c r="AD95" s="316"/>
      <c r="AE95" s="312"/>
      <c r="AF95" s="312"/>
      <c r="AG95" s="317"/>
      <c r="AH95" s="488"/>
      <c r="AI95" s="316"/>
      <c r="AJ95" s="312"/>
      <c r="AK95" s="312"/>
      <c r="AL95" s="317"/>
      <c r="AM95" s="488"/>
      <c r="AN95" s="316"/>
      <c r="AO95" s="312"/>
      <c r="AP95" s="312"/>
      <c r="AQ95" s="317"/>
      <c r="AR95" s="488"/>
      <c r="AS95" s="316"/>
      <c r="AT95" s="312"/>
      <c r="AU95" s="312"/>
      <c r="AV95" s="317"/>
      <c r="AW95" s="488"/>
      <c r="AX95" s="316">
        <f>(((AW174-AS174)*AX100)/4)-((AW157-AS157)*(AX100-1%)/4)</f>
        <v>-13.3125</v>
      </c>
      <c r="AY95" s="312">
        <f>(((AX174-AT174)*AY100)/4)-((AX157-AT157)*(AY100-1%)/4)</f>
        <v>-0.13339564075439964</v>
      </c>
      <c r="AZ95" s="312">
        <f>(((AY174-AU174)*AZ100)/4)-((AY157-AU157)*(AZ100-1%)/4)</f>
        <v>6.2111161646914557</v>
      </c>
      <c r="BA95" s="317">
        <f>(((AZ174-AV174)*BA100)/4)-((AZ157-AV157)*(BA100-1%)/4)</f>
        <v>4.7084239456350101</v>
      </c>
      <c r="BB95" s="488">
        <f>SUM(AX95:BA95)</f>
        <v>-2.5263555304279333</v>
      </c>
      <c r="BC95" s="316">
        <f>(((BB174-AX174)*BC100)/4)-((BB157-AX157)*(BC100-1%)/4)</f>
        <v>7.0278418803799694</v>
      </c>
      <c r="BD95" s="312">
        <f>(((BC174-AY174)*BD100)/4)-((BC157-AY157)*(BD100-1%)/4)</f>
        <v>4.430127709238552</v>
      </c>
      <c r="BE95" s="312">
        <f>(((BD174-AZ174)*BE100)/4)-((BD157-AZ157)*(BE100-1%)/4)</f>
        <v>0.76581051330772143</v>
      </c>
      <c r="BF95" s="317">
        <f>(((BE174-BA174)*BF100)/4)-((BE157-BA157)*(BF100-1%)/4)</f>
        <v>-0.50206626675866572</v>
      </c>
      <c r="BG95" s="488">
        <f>SUM(BC95:BF95)</f>
        <v>11.721713836167577</v>
      </c>
      <c r="BH95" s="316">
        <f>(((BG174-BC174)*BH100)/4)-((BG157-BC157)*(BH100-1%)/4)</f>
        <v>-2.9391473082217918</v>
      </c>
      <c r="BI95" s="312">
        <f>(((BH174-BD174)*BI100)/4)-((BH157-BD157)*(BI100-1%)/4)</f>
        <v>6.6531534066883058</v>
      </c>
      <c r="BJ95" s="312">
        <f>(((BI174-BE174)*BJ100)/4)-((BI157-BE157)*(BJ100-1%)/4)</f>
        <v>-0.74410817809584162</v>
      </c>
      <c r="BK95" s="317">
        <f>(((BJ174-BF174)*BK100)/4)-((BJ157-BF157)*(BK100-1%)/4)</f>
        <v>-2.0462936654892032</v>
      </c>
      <c r="BL95" s="488">
        <f>SUM(BH95:BK95)</f>
        <v>0.92360425488146936</v>
      </c>
      <c r="BM95" s="316">
        <f>(((BL174-BH174)*BM100)/4)-((BL157-BH157)*(BM100-1%)/4)</f>
        <v>-3.5994046093813994</v>
      </c>
      <c r="BN95" s="312">
        <f>(((BM174-BI174)*BN100)/4)-((BM157-BI157)*(BN100-1%)/4)</f>
        <v>2.9185819920198672</v>
      </c>
      <c r="BO95" s="312">
        <f>(((BN174-BJ174)*BO100)/4)-((BN157-BJ157)*(BO100-1%)/4)</f>
        <v>0.84847008539646707</v>
      </c>
      <c r="BP95" s="317">
        <f>(((BO174-BK174)*BP100)/4)-((BO157-BK157)*(BP100-1%)/4)</f>
        <v>-0.64891054923356817</v>
      </c>
      <c r="BQ95" s="488">
        <f>SUM(BM95:BP95)</f>
        <v>-0.48126308119863326</v>
      </c>
      <c r="BT95"/>
      <c r="BU95"/>
      <c r="BV95"/>
      <c r="BW95"/>
      <c r="BX95"/>
      <c r="BY95"/>
      <c r="CB95" s="489"/>
    </row>
    <row r="96" spans="1:80" s="81" customFormat="1">
      <c r="A96" s="221"/>
      <c r="B96" s="221"/>
      <c r="C96" s="669" t="s">
        <v>211</v>
      </c>
      <c r="D96" s="96"/>
      <c r="E96" s="104"/>
      <c r="F96" s="77"/>
      <c r="G96" s="77"/>
      <c r="H96" s="102"/>
      <c r="I96" s="96"/>
      <c r="J96" s="104"/>
      <c r="K96" s="77"/>
      <c r="L96" s="77"/>
      <c r="M96" s="102"/>
      <c r="N96" s="96"/>
      <c r="O96" s="104"/>
      <c r="P96" s="77"/>
      <c r="Q96" s="377"/>
      <c r="R96" s="102"/>
      <c r="S96" s="96"/>
      <c r="T96" s="316"/>
      <c r="U96" s="312"/>
      <c r="V96" s="312"/>
      <c r="W96" s="102"/>
      <c r="X96" s="96"/>
      <c r="Y96" s="316"/>
      <c r="Z96" s="312"/>
      <c r="AA96" s="312"/>
      <c r="AB96" s="317"/>
      <c r="AC96" s="488"/>
      <c r="AD96" s="316"/>
      <c r="AE96" s="312"/>
      <c r="AF96" s="312"/>
      <c r="AG96" s="317"/>
      <c r="AH96" s="488"/>
      <c r="AI96" s="316"/>
      <c r="AJ96" s="312"/>
      <c r="AK96" s="312"/>
      <c r="AL96" s="317"/>
      <c r="AM96" s="488"/>
      <c r="AN96" s="316"/>
      <c r="AO96" s="312"/>
      <c r="AP96" s="312"/>
      <c r="AQ96" s="317"/>
      <c r="AR96" s="488"/>
      <c r="AS96" s="316"/>
      <c r="AT96" s="312"/>
      <c r="AU96" s="312"/>
      <c r="AV96" s="317"/>
      <c r="AW96" s="488"/>
      <c r="AX96" s="316">
        <f>Debt!CY11</f>
        <v>65.341646608315102</v>
      </c>
      <c r="AY96" s="312">
        <f>Debt!CZ11</f>
        <v>52.958313274981762</v>
      </c>
      <c r="AZ96" s="312">
        <f>Debt!DA11</f>
        <v>39.942063274981763</v>
      </c>
      <c r="BA96" s="317">
        <f>Debt!DB11</f>
        <v>33.166646608315098</v>
      </c>
      <c r="BB96" s="488">
        <f>Debt!DC11</f>
        <v>191.4086697665937</v>
      </c>
      <c r="BC96" s="316">
        <f>Debt!DD11</f>
        <v>10</v>
      </c>
      <c r="BD96" s="312">
        <f>Debt!DE11</f>
        <v>17.916666666666664</v>
      </c>
      <c r="BE96" s="312">
        <f>Debt!DF11</f>
        <v>23.75</v>
      </c>
      <c r="BF96" s="317">
        <f>Debt!DG11</f>
        <v>23.75</v>
      </c>
      <c r="BG96" s="488">
        <f>Debt!DH11</f>
        <v>75.416666666666671</v>
      </c>
      <c r="BH96" s="316">
        <f>Debt!DI11</f>
        <v>23.75</v>
      </c>
      <c r="BI96" s="312">
        <f>Debt!DJ11</f>
        <v>22.916666666666664</v>
      </c>
      <c r="BJ96" s="312">
        <f>Debt!DK11</f>
        <v>24.375</v>
      </c>
      <c r="BK96" s="317">
        <f>Debt!DL11</f>
        <v>24.375</v>
      </c>
      <c r="BL96" s="488">
        <f>Debt!DM11</f>
        <v>95.416666666666657</v>
      </c>
      <c r="BM96" s="316">
        <f>Debt!DN11</f>
        <v>24.375</v>
      </c>
      <c r="BN96" s="312">
        <f>Debt!DO11</f>
        <v>24.791666666666664</v>
      </c>
      <c r="BO96" s="312">
        <f>Debt!DP11</f>
        <v>28.75</v>
      </c>
      <c r="BP96" s="317">
        <f>Debt!DQ11</f>
        <v>28.75</v>
      </c>
      <c r="BQ96" s="488">
        <f>Debt!DR11</f>
        <v>106.66666666666667</v>
      </c>
      <c r="BT96"/>
      <c r="BU96"/>
      <c r="BV96"/>
      <c r="BW96"/>
      <c r="BX96"/>
      <c r="BY96"/>
      <c r="CB96" s="489"/>
    </row>
    <row r="97" spans="1:80" s="81" customFormat="1">
      <c r="A97" s="221"/>
      <c r="B97" s="221"/>
      <c r="C97" s="669" t="s">
        <v>212</v>
      </c>
      <c r="D97" s="96"/>
      <c r="E97" s="104"/>
      <c r="F97" s="77"/>
      <c r="G97" s="77"/>
      <c r="H97" s="102"/>
      <c r="I97" s="96"/>
      <c r="J97" s="104"/>
      <c r="K97" s="77"/>
      <c r="L97" s="77"/>
      <c r="M97" s="102"/>
      <c r="N97" s="96"/>
      <c r="O97" s="104"/>
      <c r="P97" s="77"/>
      <c r="Q97" s="377"/>
      <c r="R97" s="102"/>
      <c r="S97" s="96"/>
      <c r="T97" s="316"/>
      <c r="U97" s="312"/>
      <c r="V97" s="312"/>
      <c r="W97" s="102"/>
      <c r="X97" s="96"/>
      <c r="Y97" s="316"/>
      <c r="Z97" s="312"/>
      <c r="AA97" s="312"/>
      <c r="AB97" s="317"/>
      <c r="AC97" s="488"/>
      <c r="AD97" s="316"/>
      <c r="AE97" s="312"/>
      <c r="AF97" s="312"/>
      <c r="AG97" s="317"/>
      <c r="AH97" s="488"/>
      <c r="AI97" s="316"/>
      <c r="AJ97" s="312"/>
      <c r="AK97" s="312"/>
      <c r="AL97" s="317"/>
      <c r="AM97" s="488"/>
      <c r="AN97" s="316"/>
      <c r="AO97" s="312"/>
      <c r="AP97" s="312"/>
      <c r="AQ97" s="317"/>
      <c r="AR97" s="488"/>
      <c r="AS97" s="316"/>
      <c r="AT97" s="312"/>
      <c r="AU97" s="312"/>
      <c r="AV97" s="317"/>
      <c r="AW97" s="488"/>
      <c r="AX97" s="316">
        <f>Debt!CY10</f>
        <v>-45.193455450733339</v>
      </c>
      <c r="AY97" s="312">
        <f>Debt!CZ10</f>
        <v>-43.347055121466667</v>
      </c>
      <c r="AZ97" s="312">
        <f>Debt!DA10</f>
        <v>-39.467516962933331</v>
      </c>
      <c r="BA97" s="317">
        <f>Debt!DB10</f>
        <v>-31.962891962933334</v>
      </c>
      <c r="BB97" s="488">
        <f>Debt!DC10</f>
        <v>-159.97091949806668</v>
      </c>
      <c r="BC97" s="316">
        <f>Debt!DD10</f>
        <v>-20.809558629600001</v>
      </c>
      <c r="BD97" s="312">
        <f>Debt!DE10</f>
        <v>-23.884155753066665</v>
      </c>
      <c r="BE97" s="312">
        <f>Debt!DF10</f>
        <v>-43.010721096365103</v>
      </c>
      <c r="BF97" s="317">
        <f>Debt!DG10</f>
        <v>-40.325202163031761</v>
      </c>
      <c r="BG97" s="488">
        <f>Debt!DH10</f>
        <v>-128.02963764206353</v>
      </c>
      <c r="BH97" s="316">
        <f>Debt!DI10</f>
        <v>-30.802966278393431</v>
      </c>
      <c r="BI97" s="312">
        <f>Debt!DJ10</f>
        <v>-31.098620445060099</v>
      </c>
      <c r="BJ97" s="312">
        <f>Debt!DK10</f>
        <v>-10.749786848694999</v>
      </c>
      <c r="BK97" s="317">
        <f>Debt!DL10</f>
        <v>-9.3229307820283331</v>
      </c>
      <c r="BL97" s="488">
        <f>Debt!DM10</f>
        <v>-81.974304354176866</v>
      </c>
      <c r="BM97" s="316">
        <f>Debt!DN10</f>
        <v>-7.1764166666666664</v>
      </c>
      <c r="BN97" s="312">
        <f>Debt!DO10</f>
        <v>-7.761324825</v>
      </c>
      <c r="BO97" s="312">
        <f>Debt!DP10</f>
        <v>-21.173716558333332</v>
      </c>
      <c r="BP97" s="317">
        <f>Debt!DQ10</f>
        <v>-22.008337599999997</v>
      </c>
      <c r="BQ97" s="488">
        <f>Debt!DR10</f>
        <v>-58.11979565</v>
      </c>
      <c r="BT97"/>
      <c r="BU97"/>
      <c r="BV97"/>
      <c r="BW97"/>
      <c r="BX97"/>
      <c r="BY97"/>
      <c r="CB97" s="489"/>
    </row>
    <row r="98" spans="1:80" s="60" customFormat="1">
      <c r="A98" s="490"/>
      <c r="B98" s="490"/>
      <c r="C98" s="670" t="s">
        <v>213</v>
      </c>
      <c r="D98" s="93"/>
      <c r="E98" s="106"/>
      <c r="F98" s="76"/>
      <c r="G98" s="76"/>
      <c r="H98" s="107"/>
      <c r="I98" s="93"/>
      <c r="J98" s="106"/>
      <c r="K98" s="76"/>
      <c r="L98" s="76"/>
      <c r="M98" s="107"/>
      <c r="N98" s="93"/>
      <c r="O98" s="106"/>
      <c r="P98" s="76"/>
      <c r="Q98" s="76"/>
      <c r="R98" s="107"/>
      <c r="S98" s="93"/>
      <c r="T98" s="305"/>
      <c r="U98" s="306"/>
      <c r="V98" s="306"/>
      <c r="W98" s="107"/>
      <c r="X98" s="93"/>
      <c r="Y98" s="305"/>
      <c r="Z98" s="306"/>
      <c r="AA98" s="306"/>
      <c r="AB98" s="307"/>
      <c r="AC98" s="200"/>
      <c r="AD98" s="305"/>
      <c r="AE98" s="306"/>
      <c r="AF98" s="306"/>
      <c r="AG98" s="307"/>
      <c r="AH98" s="200"/>
      <c r="AI98" s="305"/>
      <c r="AJ98" s="306"/>
      <c r="AK98" s="306"/>
      <c r="AL98" s="307"/>
      <c r="AM98" s="200"/>
      <c r="AN98" s="305"/>
      <c r="AO98" s="306"/>
      <c r="AP98" s="306"/>
      <c r="AQ98" s="307"/>
      <c r="AR98" s="200"/>
      <c r="AS98" s="305"/>
      <c r="AT98" s="306"/>
      <c r="AU98" s="306"/>
      <c r="AV98" s="307"/>
      <c r="AW98" s="200"/>
      <c r="AX98" s="305">
        <f t="shared" ref="AX98:BB98" si="163">SUM(AX95:AX97)</f>
        <v>6.8356911575817634</v>
      </c>
      <c r="AY98" s="306">
        <f t="shared" si="163"/>
        <v>9.4778625127606944</v>
      </c>
      <c r="AZ98" s="306">
        <f t="shared" si="163"/>
        <v>6.6856624767398856</v>
      </c>
      <c r="BA98" s="307">
        <f t="shared" si="163"/>
        <v>5.9121785910167759</v>
      </c>
      <c r="BB98" s="200">
        <f t="shared" si="163"/>
        <v>28.911394738099091</v>
      </c>
      <c r="BC98" s="305">
        <f t="shared" ref="BC98:BL98" si="164">SUM(BC95:BC97)</f>
        <v>-3.7817167492200312</v>
      </c>
      <c r="BD98" s="306">
        <f t="shared" si="164"/>
        <v>-1.5373613771614494</v>
      </c>
      <c r="BE98" s="306">
        <f t="shared" si="164"/>
        <v>-18.494910583057383</v>
      </c>
      <c r="BF98" s="307">
        <f t="shared" si="164"/>
        <v>-17.077268429790426</v>
      </c>
      <c r="BG98" s="200">
        <f t="shared" si="164"/>
        <v>-40.891257139229282</v>
      </c>
      <c r="BH98" s="305">
        <f t="shared" si="164"/>
        <v>-9.992113586615222</v>
      </c>
      <c r="BI98" s="306">
        <f t="shared" si="164"/>
        <v>-1.5288003717051311</v>
      </c>
      <c r="BJ98" s="306">
        <f t="shared" si="164"/>
        <v>12.881104973209158</v>
      </c>
      <c r="BK98" s="307">
        <f t="shared" si="164"/>
        <v>13.005775552482465</v>
      </c>
      <c r="BL98" s="200">
        <f t="shared" si="164"/>
        <v>14.36596656737126</v>
      </c>
      <c r="BM98" s="305">
        <f t="shared" ref="BM98:BQ98" si="165">SUM(BM95:BM97)</f>
        <v>13.599178723951935</v>
      </c>
      <c r="BN98" s="306">
        <f t="shared" si="165"/>
        <v>19.948923833686532</v>
      </c>
      <c r="BO98" s="306">
        <f t="shared" si="165"/>
        <v>8.4247535270631353</v>
      </c>
      <c r="BP98" s="307">
        <f t="shared" si="165"/>
        <v>6.0927518507664331</v>
      </c>
      <c r="BQ98" s="200">
        <f t="shared" si="165"/>
        <v>48.065607935468037</v>
      </c>
      <c r="BT98"/>
      <c r="BU98"/>
      <c r="BV98"/>
      <c r="BW98"/>
      <c r="BX98"/>
      <c r="BY98"/>
      <c r="CB98" s="489"/>
    </row>
    <row r="99" spans="1:80">
      <c r="A99" s="92"/>
      <c r="B99" s="92"/>
      <c r="C99" s="87"/>
      <c r="D99" s="96"/>
      <c r="E99" s="104"/>
      <c r="F99" s="77"/>
      <c r="G99" s="77"/>
      <c r="H99" s="102"/>
      <c r="I99" s="96"/>
      <c r="J99" s="104"/>
      <c r="K99" s="77"/>
      <c r="L99" s="77"/>
      <c r="M99" s="102"/>
      <c r="N99" s="96"/>
      <c r="O99" s="104"/>
      <c r="P99" s="77"/>
      <c r="Q99" s="77"/>
      <c r="R99" s="102"/>
      <c r="S99" s="96"/>
      <c r="T99" s="145"/>
      <c r="U99" s="146"/>
      <c r="V99" s="146"/>
      <c r="W99" s="102"/>
      <c r="X99" s="96"/>
      <c r="Y99" s="145"/>
      <c r="Z99" s="146"/>
      <c r="AA99" s="146"/>
      <c r="AB99" s="147"/>
      <c r="AC99" s="94"/>
      <c r="AD99" s="145"/>
      <c r="AE99" s="146"/>
      <c r="AF99" s="146"/>
      <c r="AG99" s="147"/>
      <c r="AH99" s="94"/>
      <c r="AI99" s="145"/>
      <c r="AJ99" s="146"/>
      <c r="AK99" s="146"/>
      <c r="AL99" s="147"/>
      <c r="AM99" s="94"/>
      <c r="AN99" s="145"/>
      <c r="AO99" s="146"/>
      <c r="AP99" s="146"/>
      <c r="AQ99" s="147"/>
      <c r="AR99" s="94"/>
      <c r="AS99" s="145"/>
      <c r="AT99" s="146"/>
      <c r="AU99" s="146"/>
      <c r="AV99" s="147"/>
      <c r="AW99" s="94"/>
      <c r="AX99" s="145"/>
      <c r="AY99" s="146"/>
      <c r="AZ99" s="146"/>
      <c r="BA99" s="147"/>
      <c r="BB99" s="94"/>
      <c r="BC99" s="145"/>
      <c r="BD99" s="146"/>
      <c r="BE99" s="146"/>
      <c r="BF99" s="147"/>
      <c r="BG99" s="94"/>
      <c r="BH99" s="145"/>
      <c r="BI99" s="146"/>
      <c r="BJ99" s="146"/>
      <c r="BK99" s="147"/>
      <c r="BL99" s="94"/>
      <c r="BM99" s="145"/>
      <c r="BN99" s="146"/>
      <c r="BO99" s="146"/>
      <c r="BP99" s="147"/>
      <c r="BQ99" s="94"/>
      <c r="CB99" s="276"/>
    </row>
    <row r="100" spans="1:80" s="720" customFormat="1">
      <c r="A100" s="684"/>
      <c r="B100" s="684"/>
      <c r="C100" s="708" t="s">
        <v>214</v>
      </c>
      <c r="D100" s="498"/>
      <c r="E100" s="141"/>
      <c r="F100" s="84"/>
      <c r="G100" s="84"/>
      <c r="H100" s="142"/>
      <c r="I100" s="498"/>
      <c r="J100" s="141"/>
      <c r="K100" s="84"/>
      <c r="L100" s="84"/>
      <c r="M100" s="142"/>
      <c r="N100" s="498"/>
      <c r="O100" s="141"/>
      <c r="P100" s="84"/>
      <c r="Q100" s="84"/>
      <c r="R100" s="142"/>
      <c r="S100" s="502"/>
      <c r="T100" s="685"/>
      <c r="U100" s="686"/>
      <c r="V100" s="686"/>
      <c r="W100" s="142"/>
      <c r="X100" s="502"/>
      <c r="Y100" s="685"/>
      <c r="Z100" s="686"/>
      <c r="AA100" s="686"/>
      <c r="AB100" s="687"/>
      <c r="AC100" s="749"/>
      <c r="AD100" s="685"/>
      <c r="AE100" s="686"/>
      <c r="AF100" s="686"/>
      <c r="AG100" s="687"/>
      <c r="AH100" s="749"/>
      <c r="AI100" s="685"/>
      <c r="AJ100" s="686"/>
      <c r="AK100" s="686"/>
      <c r="AL100" s="687"/>
      <c r="AM100" s="749"/>
      <c r="AN100" s="685"/>
      <c r="AO100" s="686"/>
      <c r="AP100" s="686"/>
      <c r="AQ100" s="687"/>
      <c r="AR100" s="749"/>
      <c r="AS100" s="685"/>
      <c r="AT100" s="686"/>
      <c r="AU100" s="686"/>
      <c r="AV100" s="687"/>
      <c r="AW100" s="749"/>
      <c r="AX100" s="685">
        <f>AY100</f>
        <v>0.02</v>
      </c>
      <c r="AY100" s="686">
        <f>AZ100</f>
        <v>0.02</v>
      </c>
      <c r="AZ100" s="686">
        <f>BA100</f>
        <v>0.02</v>
      </c>
      <c r="BA100" s="687">
        <f>BB100</f>
        <v>0.02</v>
      </c>
      <c r="BB100" s="749">
        <v>0.02</v>
      </c>
      <c r="BC100" s="685">
        <f>BD100</f>
        <v>0.02</v>
      </c>
      <c r="BD100" s="686">
        <f>BE100</f>
        <v>0.02</v>
      </c>
      <c r="BE100" s="686">
        <f>BF100</f>
        <v>0.02</v>
      </c>
      <c r="BF100" s="687">
        <f>BG100</f>
        <v>0.02</v>
      </c>
      <c r="BG100" s="749">
        <v>0.02</v>
      </c>
      <c r="BH100" s="685">
        <f>BI100</f>
        <v>0.02</v>
      </c>
      <c r="BI100" s="686">
        <f>BJ100</f>
        <v>0.02</v>
      </c>
      <c r="BJ100" s="686">
        <f>BK100</f>
        <v>0.02</v>
      </c>
      <c r="BK100" s="687">
        <f>BL100</f>
        <v>0.02</v>
      </c>
      <c r="BL100" s="749">
        <v>0.02</v>
      </c>
      <c r="BM100" s="685">
        <f>BN100</f>
        <v>0.02</v>
      </c>
      <c r="BN100" s="686">
        <f>BO100</f>
        <v>0.02</v>
      </c>
      <c r="BO100" s="686">
        <f>BP100</f>
        <v>0.02</v>
      </c>
      <c r="BP100" s="687">
        <f>BQ100</f>
        <v>0.02</v>
      </c>
      <c r="BQ100" s="749">
        <v>0.02</v>
      </c>
      <c r="BT100"/>
      <c r="BU100"/>
      <c r="BV100"/>
      <c r="BW100"/>
      <c r="BX100"/>
      <c r="BY100"/>
      <c r="CB100" s="690"/>
    </row>
    <row r="101" spans="1:80">
      <c r="A101" s="92"/>
      <c r="B101" s="92"/>
      <c r="C101" s="366"/>
      <c r="D101" s="89"/>
      <c r="E101" s="316"/>
      <c r="F101" s="312"/>
      <c r="G101" s="312"/>
      <c r="H101" s="317"/>
      <c r="I101" s="488"/>
      <c r="J101" s="316"/>
      <c r="K101" s="312"/>
      <c r="L101" s="312"/>
      <c r="M101" s="317"/>
      <c r="N101" s="488"/>
      <c r="O101" s="316"/>
      <c r="P101" s="312"/>
      <c r="Q101" s="312"/>
      <c r="R101" s="317"/>
      <c r="S101" s="488"/>
      <c r="T101" s="145"/>
      <c r="U101" s="146"/>
      <c r="V101" s="146"/>
      <c r="W101" s="317"/>
      <c r="X101" s="488"/>
      <c r="Y101" s="145"/>
      <c r="Z101" s="146"/>
      <c r="AA101" s="146"/>
      <c r="AB101" s="147"/>
      <c r="AC101" s="94"/>
      <c r="AD101" s="145"/>
      <c r="AE101" s="146"/>
      <c r="AF101" s="146"/>
      <c r="AG101" s="147"/>
      <c r="AH101" s="94"/>
      <c r="AI101" s="145"/>
      <c r="AJ101" s="146"/>
      <c r="AK101" s="146"/>
      <c r="AL101" s="147"/>
      <c r="AM101" s="94"/>
      <c r="AN101" s="145"/>
      <c r="AO101" s="146"/>
      <c r="AP101" s="146"/>
      <c r="AQ101" s="147"/>
      <c r="AR101" s="94"/>
      <c r="AS101" s="145"/>
      <c r="AT101" s="146"/>
      <c r="AU101" s="146"/>
      <c r="AV101" s="147"/>
      <c r="AW101" s="94"/>
      <c r="AX101" s="145"/>
      <c r="AY101" s="146"/>
      <c r="AZ101" s="146"/>
      <c r="BA101" s="147"/>
      <c r="BB101" s="94"/>
      <c r="BC101" s="145"/>
      <c r="BD101" s="146"/>
      <c r="BE101" s="146"/>
      <c r="BF101" s="147"/>
      <c r="BG101" s="94"/>
      <c r="BH101" s="145"/>
      <c r="BI101" s="146"/>
      <c r="BJ101" s="146"/>
      <c r="BK101" s="147"/>
      <c r="BL101" s="94"/>
      <c r="BM101" s="145"/>
      <c r="BN101" s="146"/>
      <c r="BO101" s="146"/>
      <c r="BP101" s="147"/>
      <c r="BQ101" s="2214"/>
      <c r="CB101" s="276"/>
    </row>
    <row r="102" spans="1:80">
      <c r="A102" s="92"/>
      <c r="B102" s="92"/>
      <c r="C102" s="380" t="s">
        <v>397</v>
      </c>
      <c r="D102" s="89"/>
      <c r="E102" s="145"/>
      <c r="F102" s="146"/>
      <c r="G102" s="146"/>
      <c r="H102" s="147"/>
      <c r="I102" s="94"/>
      <c r="J102" s="145"/>
      <c r="K102" s="146"/>
      <c r="L102" s="146"/>
      <c r="M102" s="147"/>
      <c r="N102" s="94"/>
      <c r="O102" s="145"/>
      <c r="P102" s="146"/>
      <c r="Q102" s="146"/>
      <c r="R102" s="147"/>
      <c r="S102" s="94"/>
      <c r="T102" s="145"/>
      <c r="U102" s="146"/>
      <c r="V102" s="146"/>
      <c r="W102" s="147"/>
      <c r="X102" s="94"/>
      <c r="Y102" s="145"/>
      <c r="Z102" s="146"/>
      <c r="AA102" s="146"/>
      <c r="AB102" s="147"/>
      <c r="AC102" s="94"/>
      <c r="AD102" s="145"/>
      <c r="AE102" s="146"/>
      <c r="AF102" s="146"/>
      <c r="AG102" s="147"/>
      <c r="AH102" s="94"/>
      <c r="AI102" s="145"/>
      <c r="AJ102" s="146"/>
      <c r="AK102" s="146"/>
      <c r="AL102" s="147"/>
      <c r="AM102" s="94"/>
      <c r="AN102" s="145"/>
      <c r="AO102" s="146"/>
      <c r="AP102" s="146"/>
      <c r="AQ102" s="147"/>
      <c r="AR102" s="94"/>
      <c r="AS102" s="145"/>
      <c r="AT102" s="146"/>
      <c r="AU102" s="146"/>
      <c r="AV102" s="147"/>
      <c r="AW102" s="94"/>
      <c r="AX102" s="145"/>
      <c r="AY102" s="146"/>
      <c r="AZ102" s="146"/>
      <c r="BA102" s="147"/>
      <c r="BB102" s="94"/>
      <c r="BC102" s="145"/>
      <c r="BD102" s="146"/>
      <c r="BE102" s="146"/>
      <c r="BF102" s="147"/>
      <c r="BG102" s="94"/>
      <c r="BH102" s="145"/>
      <c r="BI102" s="146"/>
      <c r="BJ102" s="146"/>
      <c r="BK102" s="147"/>
      <c r="BL102" s="94"/>
      <c r="BM102" s="145"/>
      <c r="BN102" s="146"/>
      <c r="BO102" s="146"/>
      <c r="BP102" s="147"/>
      <c r="BQ102" s="2214"/>
      <c r="CB102" s="276"/>
    </row>
    <row r="103" spans="1:80" s="720" customFormat="1">
      <c r="A103" s="684"/>
      <c r="B103" s="684"/>
      <c r="C103" s="747" t="s">
        <v>646</v>
      </c>
      <c r="D103" s="719"/>
      <c r="E103" s="685"/>
      <c r="F103" s="686"/>
      <c r="G103" s="686"/>
      <c r="H103" s="687"/>
      <c r="I103" s="749"/>
      <c r="J103" s="685"/>
      <c r="K103" s="686"/>
      <c r="L103" s="686"/>
      <c r="M103" s="687"/>
      <c r="N103" s="749"/>
      <c r="O103" s="685"/>
      <c r="P103" s="686"/>
      <c r="Q103" s="686"/>
      <c r="R103" s="687"/>
      <c r="S103" s="749"/>
      <c r="T103" s="685"/>
      <c r="U103" s="686"/>
      <c r="V103" s="686"/>
      <c r="W103" s="687"/>
      <c r="X103" s="749"/>
      <c r="Y103" s="685"/>
      <c r="Z103" s="686"/>
      <c r="AA103" s="686"/>
      <c r="AB103" s="687"/>
      <c r="AC103" s="749"/>
      <c r="AD103" s="685"/>
      <c r="AE103" s="686"/>
      <c r="AF103" s="686"/>
      <c r="AG103" s="687"/>
      <c r="AH103" s="749"/>
      <c r="AI103" s="685"/>
      <c r="AJ103" s="686"/>
      <c r="AK103" s="686"/>
      <c r="AL103" s="687"/>
      <c r="AM103" s="749"/>
      <c r="AN103" s="685"/>
      <c r="AO103" s="686"/>
      <c r="AP103" s="686"/>
      <c r="AQ103" s="687"/>
      <c r="AR103" s="749"/>
      <c r="AS103" s="685"/>
      <c r="AT103" s="686"/>
      <c r="AU103" s="686"/>
      <c r="AV103" s="687"/>
      <c r="AW103" s="749"/>
      <c r="AX103" s="685">
        <f>BB103</f>
        <v>0.37</v>
      </c>
      <c r="AY103" s="686">
        <f>BB103</f>
        <v>0.37</v>
      </c>
      <c r="AZ103" s="686">
        <f>BB103</f>
        <v>0.37</v>
      </c>
      <c r="BA103" s="687">
        <f>BB103</f>
        <v>0.37</v>
      </c>
      <c r="BB103" s="749">
        <v>0.37</v>
      </c>
      <c r="BC103" s="685">
        <f>BG103</f>
        <v>0.37</v>
      </c>
      <c r="BD103" s="686">
        <f>BG103</f>
        <v>0.37</v>
      </c>
      <c r="BE103" s="686">
        <f>BG103</f>
        <v>0.37</v>
      </c>
      <c r="BF103" s="687">
        <f>BG103</f>
        <v>0.37</v>
      </c>
      <c r="BG103" s="749">
        <v>0.37</v>
      </c>
      <c r="BH103" s="685">
        <f>BL103</f>
        <v>0.37</v>
      </c>
      <c r="BI103" s="686">
        <f>BL103</f>
        <v>0.37</v>
      </c>
      <c r="BJ103" s="686">
        <f>BL103</f>
        <v>0.37</v>
      </c>
      <c r="BK103" s="687">
        <f>BL103</f>
        <v>0.37</v>
      </c>
      <c r="BL103" s="749">
        <v>0.37</v>
      </c>
      <c r="BM103" s="685">
        <f>BQ103</f>
        <v>0.37</v>
      </c>
      <c r="BN103" s="686">
        <f>BQ103</f>
        <v>0.37</v>
      </c>
      <c r="BO103" s="686">
        <f>BQ103</f>
        <v>0.37</v>
      </c>
      <c r="BP103" s="687">
        <f>BQ103</f>
        <v>0.37</v>
      </c>
      <c r="BQ103" s="749">
        <v>0.37</v>
      </c>
      <c r="BT103"/>
      <c r="BU103"/>
      <c r="BV103"/>
      <c r="BW103"/>
      <c r="BX103"/>
      <c r="BY103"/>
      <c r="CB103" s="690"/>
    </row>
    <row r="104" spans="1:80" s="720" customFormat="1">
      <c r="A104" s="684"/>
      <c r="B104" s="684"/>
      <c r="C104" s="747" t="s">
        <v>398</v>
      </c>
      <c r="D104" s="719"/>
      <c r="E104" s="141">
        <f>E36/E34</f>
        <v>0.31952662721893493</v>
      </c>
      <c r="F104" s="84">
        <f t="shared" ref="F104:U104" si="166">F36/F34</f>
        <v>0.37804878048780488</v>
      </c>
      <c r="G104" s="84">
        <f t="shared" si="166"/>
        <v>0.35754189944134079</v>
      </c>
      <c r="H104" s="142">
        <f t="shared" si="166"/>
        <v>1.7202797202797202</v>
      </c>
      <c r="I104" s="498">
        <f t="shared" si="166"/>
        <v>0.17692307692307693</v>
      </c>
      <c r="J104" s="141">
        <f t="shared" si="166"/>
        <v>0.42692307692307691</v>
      </c>
      <c r="K104" s="84">
        <f t="shared" si="166"/>
        <v>0.34358974358974359</v>
      </c>
      <c r="L104" s="84">
        <f t="shared" si="166"/>
        <v>0.40476190476190477</v>
      </c>
      <c r="M104" s="142">
        <f t="shared" si="166"/>
        <v>0.4152542372881356</v>
      </c>
      <c r="N104" s="498">
        <f t="shared" si="166"/>
        <v>0.39152542372881355</v>
      </c>
      <c r="O104" s="141">
        <f t="shared" si="166"/>
        <v>0.70253164556962022</v>
      </c>
      <c r="P104" s="84">
        <f t="shared" si="166"/>
        <v>0.37133550488599348</v>
      </c>
      <c r="Q104" s="84">
        <f t="shared" si="166"/>
        <v>0.38011695906432746</v>
      </c>
      <c r="R104" s="142">
        <f t="shared" si="166"/>
        <v>0.1951219512195122</v>
      </c>
      <c r="S104" s="498">
        <f t="shared" si="166"/>
        <v>0.39778239778239777</v>
      </c>
      <c r="T104" s="141">
        <f t="shared" si="166"/>
        <v>0.42045454545454547</v>
      </c>
      <c r="U104" s="84">
        <f t="shared" si="166"/>
        <v>0.40317460317460319</v>
      </c>
      <c r="V104" s="84">
        <f t="shared" ref="V104:AC104" si="167">V36/V34</f>
        <v>0.42098092643051771</v>
      </c>
      <c r="W104" s="142">
        <f t="shared" si="167"/>
        <v>0.41501976284584979</v>
      </c>
      <c r="X104" s="498">
        <f t="shared" si="167"/>
        <v>0.41767371601208458</v>
      </c>
      <c r="Y104" s="141">
        <f t="shared" si="167"/>
        <v>0.37179487179487181</v>
      </c>
      <c r="Z104" s="84">
        <f t="shared" si="167"/>
        <v>0.26126126126126126</v>
      </c>
      <c r="AA104" s="84">
        <f t="shared" si="167"/>
        <v>0.26923076923076922</v>
      </c>
      <c r="AB104" s="142">
        <f t="shared" si="167"/>
        <v>0.30927835051546393</v>
      </c>
      <c r="AC104" s="498">
        <f t="shared" si="167"/>
        <v>0.34210526315789475</v>
      </c>
      <c r="AD104" s="141">
        <f>AD36/AD34</f>
        <v>0.28235294117647058</v>
      </c>
      <c r="AE104" s="84">
        <f t="shared" ref="AE104:AJ104" si="168">AE36/AE34</f>
        <v>0.28888888888888886</v>
      </c>
      <c r="AF104" s="84">
        <f t="shared" si="168"/>
        <v>0.3134020618556701</v>
      </c>
      <c r="AG104" s="142">
        <f t="shared" si="168"/>
        <v>0.46689895470383275</v>
      </c>
      <c r="AH104" s="498">
        <f t="shared" si="168"/>
        <v>-0.24561403508771928</v>
      </c>
      <c r="AI104" s="141">
        <f t="shared" si="168"/>
        <v>0.39344262295081966</v>
      </c>
      <c r="AJ104" s="84">
        <f t="shared" si="168"/>
        <v>0.38079470198675497</v>
      </c>
      <c r="AK104" s="84">
        <f t="shared" ref="AK104:AO104" si="169">AK36/AK34</f>
        <v>0.3639291465378422</v>
      </c>
      <c r="AL104" s="142">
        <f t="shared" si="169"/>
        <v>0.42929292929292928</v>
      </c>
      <c r="AM104" s="498">
        <f t="shared" si="169"/>
        <v>0.35274356103023519</v>
      </c>
      <c r="AN104" s="141">
        <f t="shared" si="169"/>
        <v>0.39371534195933455</v>
      </c>
      <c r="AO104" s="84">
        <f t="shared" si="169"/>
        <v>0.10664479081214109</v>
      </c>
      <c r="AP104" s="84">
        <f t="shared" ref="AP104:AW104" si="170">AP36/AP34</f>
        <v>0.3977812995245642</v>
      </c>
      <c r="AQ104" s="142">
        <f t="shared" si="170"/>
        <v>0.36897114861186719</v>
      </c>
      <c r="AR104" s="498">
        <f t="shared" si="170"/>
        <v>0.33091421143847488</v>
      </c>
      <c r="AS104" s="141">
        <f t="shared" si="170"/>
        <v>0.38066465256797583</v>
      </c>
      <c r="AT104" s="84">
        <f t="shared" si="170"/>
        <v>0.40206185567010311</v>
      </c>
      <c r="AU104" s="84">
        <f t="shared" si="170"/>
        <v>0.37637795275590552</v>
      </c>
      <c r="AV104" s="142">
        <f t="shared" si="170"/>
        <v>-0.19798657718120805</v>
      </c>
      <c r="AW104" s="498">
        <f t="shared" si="170"/>
        <v>-1.0796139927623642</v>
      </c>
      <c r="AX104" s="141">
        <f t="shared" ref="AX104:BB104" si="171">AX36/AX34</f>
        <v>0.26307945414716044</v>
      </c>
      <c r="AY104" s="84">
        <f t="shared" si="171"/>
        <v>0.24159080481672121</v>
      </c>
      <c r="AZ104" s="84">
        <f t="shared" si="171"/>
        <v>0.24656585674432252</v>
      </c>
      <c r="BA104" s="142">
        <f t="shared" si="171"/>
        <v>0.23650183665809438</v>
      </c>
      <c r="BB104" s="498">
        <f t="shared" si="171"/>
        <v>0.24827362617314611</v>
      </c>
      <c r="BC104" s="141">
        <f t="shared" ref="BC104:BL104" si="172">BC36/BC34</f>
        <v>0.24133326548633205</v>
      </c>
      <c r="BD104" s="84">
        <f t="shared" si="172"/>
        <v>0.22765682663731912</v>
      </c>
      <c r="BE104" s="84">
        <f t="shared" si="172"/>
        <v>0.2389959926264569</v>
      </c>
      <c r="BF104" s="142">
        <f t="shared" si="172"/>
        <v>0.22337985339046854</v>
      </c>
      <c r="BG104" s="498">
        <f t="shared" si="172"/>
        <v>0.2338109491646666</v>
      </c>
      <c r="BH104" s="141">
        <f t="shared" si="172"/>
        <v>0.23472309039151851</v>
      </c>
      <c r="BI104" s="84">
        <f t="shared" si="172"/>
        <v>0.21716953445246942</v>
      </c>
      <c r="BJ104" s="84">
        <f t="shared" si="172"/>
        <v>0.23363711949581581</v>
      </c>
      <c r="BK104" s="142">
        <f t="shared" si="172"/>
        <v>0.21545382008499411</v>
      </c>
      <c r="BL104" s="498">
        <f t="shared" si="172"/>
        <v>0.22664372359814433</v>
      </c>
      <c r="BM104" s="141">
        <f t="shared" ref="BM104:BQ104" si="173">BM36/BM34</f>
        <v>0.24808601598019919</v>
      </c>
      <c r="BN104" s="84">
        <f t="shared" si="173"/>
        <v>0.22883825390596343</v>
      </c>
      <c r="BO104" s="84">
        <f t="shared" si="173"/>
        <v>0.24212689610814428</v>
      </c>
      <c r="BP104" s="142">
        <f t="shared" si="173"/>
        <v>0.24536944231515048</v>
      </c>
      <c r="BQ104" s="498">
        <f t="shared" si="173"/>
        <v>0.24206316930170127</v>
      </c>
      <c r="BT104"/>
      <c r="BU104"/>
      <c r="BV104"/>
      <c r="BW104"/>
      <c r="BX104"/>
      <c r="BY104"/>
      <c r="CB104" s="690"/>
    </row>
    <row r="105" spans="1:80">
      <c r="A105" s="92"/>
      <c r="B105" s="92"/>
      <c r="C105" s="92"/>
      <c r="D105" s="89"/>
      <c r="E105" s="145"/>
      <c r="F105" s="146"/>
      <c r="G105" s="146"/>
      <c r="H105" s="147"/>
      <c r="I105" s="94"/>
      <c r="J105" s="145"/>
      <c r="K105" s="146"/>
      <c r="L105" s="146"/>
      <c r="M105" s="147"/>
      <c r="N105" s="94"/>
      <c r="O105" s="145"/>
      <c r="P105" s="146"/>
      <c r="Q105" s="146"/>
      <c r="R105" s="147"/>
      <c r="S105" s="94"/>
      <c r="T105" s="145"/>
      <c r="U105" s="146"/>
      <c r="V105" s="146"/>
      <c r="W105" s="147"/>
      <c r="X105" s="94"/>
      <c r="Y105" s="145"/>
      <c r="Z105" s="146"/>
      <c r="AA105" s="146"/>
      <c r="AB105" s="147"/>
      <c r="AC105" s="94"/>
      <c r="AD105" s="145"/>
      <c r="AE105" s="146"/>
      <c r="AF105" s="146"/>
      <c r="AG105" s="147"/>
      <c r="AH105" s="94"/>
      <c r="AI105" s="145"/>
      <c r="AJ105" s="146"/>
      <c r="AK105" s="146"/>
      <c r="AL105" s="147"/>
      <c r="AM105" s="94"/>
      <c r="AN105" s="145"/>
      <c r="AO105" s="146"/>
      <c r="AP105" s="146"/>
      <c r="AQ105" s="147"/>
      <c r="AR105" s="94"/>
      <c r="AS105" s="145"/>
      <c r="AT105" s="146"/>
      <c r="AU105" s="146"/>
      <c r="AV105" s="147"/>
      <c r="AW105" s="94"/>
      <c r="AX105" s="145"/>
      <c r="AY105" s="146"/>
      <c r="AZ105" s="146"/>
      <c r="BA105" s="147"/>
      <c r="BB105" s="94"/>
      <c r="BC105" s="145"/>
      <c r="BD105" s="146"/>
      <c r="BE105" s="146"/>
      <c r="BF105" s="147"/>
      <c r="BG105" s="94"/>
      <c r="BH105" s="145"/>
      <c r="BI105" s="146"/>
      <c r="BJ105" s="146"/>
      <c r="BK105" s="147"/>
      <c r="BL105" s="94"/>
      <c r="BM105" s="145"/>
      <c r="BN105" s="146"/>
      <c r="BO105" s="146"/>
      <c r="BP105" s="147"/>
      <c r="BQ105" s="94"/>
      <c r="CB105" s="276"/>
    </row>
    <row r="106" spans="1:80">
      <c r="A106" s="92"/>
      <c r="B106" s="92"/>
      <c r="C106" s="92"/>
      <c r="D106" s="89"/>
      <c r="E106" s="145"/>
      <c r="F106" s="146"/>
      <c r="G106" s="146"/>
      <c r="H106" s="147"/>
      <c r="I106" s="94"/>
      <c r="J106" s="145"/>
      <c r="K106" s="146"/>
      <c r="L106" s="146"/>
      <c r="M106" s="147"/>
      <c r="N106" s="94"/>
      <c r="O106" s="145"/>
      <c r="P106" s="146"/>
      <c r="Q106" s="146"/>
      <c r="R106" s="147"/>
      <c r="S106" s="94"/>
      <c r="T106" s="145"/>
      <c r="U106" s="146"/>
      <c r="V106" s="146"/>
      <c r="W106" s="147"/>
      <c r="X106" s="94"/>
      <c r="Y106" s="145"/>
      <c r="Z106" s="146"/>
      <c r="AA106" s="146"/>
      <c r="AB106" s="147"/>
      <c r="AC106" s="94"/>
      <c r="AD106" s="145"/>
      <c r="AE106" s="146"/>
      <c r="AF106" s="146"/>
      <c r="AG106" s="147"/>
      <c r="AH106" s="94"/>
      <c r="AI106" s="145"/>
      <c r="AJ106" s="146"/>
      <c r="AK106" s="146"/>
      <c r="AL106" s="147"/>
      <c r="AM106" s="94"/>
      <c r="AN106" s="145"/>
      <c r="AO106" s="146"/>
      <c r="AP106" s="146"/>
      <c r="AQ106" s="147"/>
      <c r="AR106" s="94"/>
      <c r="AS106" s="145"/>
      <c r="AT106" s="146"/>
      <c r="AU106" s="146"/>
      <c r="AV106" s="147"/>
      <c r="AW106" s="94"/>
      <c r="AX106" s="145"/>
      <c r="AY106" s="146"/>
      <c r="AZ106" s="146"/>
      <c r="BA106" s="147"/>
      <c r="BB106" s="94"/>
      <c r="BC106" s="145"/>
      <c r="BD106" s="146"/>
      <c r="BE106" s="146"/>
      <c r="BF106" s="147"/>
      <c r="BG106" s="94"/>
      <c r="BH106" s="145"/>
      <c r="BI106" s="146"/>
      <c r="BJ106" s="146"/>
      <c r="BK106" s="147"/>
      <c r="BL106" s="94"/>
      <c r="BM106" s="145"/>
      <c r="BN106" s="146"/>
      <c r="BO106" s="146"/>
      <c r="BP106" s="147"/>
      <c r="BQ106" s="94"/>
      <c r="CB106" s="276"/>
    </row>
    <row r="107" spans="1:80">
      <c r="A107" s="92"/>
      <c r="B107" s="126" t="s">
        <v>645</v>
      </c>
      <c r="C107" s="126"/>
      <c r="D107" s="128"/>
      <c r="E107" s="145"/>
      <c r="F107" s="146"/>
      <c r="G107" s="146"/>
      <c r="H107" s="147"/>
      <c r="I107" s="94"/>
      <c r="J107" s="145"/>
      <c r="K107" s="146"/>
      <c r="L107" s="146"/>
      <c r="M107" s="147"/>
      <c r="N107" s="94"/>
      <c r="O107" s="145"/>
      <c r="P107" s="146"/>
      <c r="Q107" s="146"/>
      <c r="R107" s="147"/>
      <c r="S107" s="94"/>
      <c r="T107" s="145"/>
      <c r="U107" s="146"/>
      <c r="V107" s="146"/>
      <c r="W107" s="147"/>
      <c r="X107" s="94"/>
      <c r="Y107" s="145"/>
      <c r="Z107" s="146"/>
      <c r="AA107" s="146"/>
      <c r="AB107" s="147"/>
      <c r="AC107" s="94"/>
      <c r="AD107" s="145"/>
      <c r="AE107" s="146"/>
      <c r="AF107" s="146"/>
      <c r="AG107" s="147"/>
      <c r="AH107" s="94"/>
      <c r="AI107" s="145"/>
      <c r="AJ107" s="146"/>
      <c r="AK107" s="146"/>
      <c r="AL107" s="147"/>
      <c r="AM107" s="94"/>
      <c r="AN107" s="145"/>
      <c r="AO107" s="146"/>
      <c r="AP107" s="146"/>
      <c r="AQ107" s="147"/>
      <c r="AR107" s="94"/>
      <c r="AS107" s="145"/>
      <c r="AT107" s="146"/>
      <c r="AU107" s="146"/>
      <c r="AV107" s="147"/>
      <c r="AW107" s="94"/>
      <c r="AX107" s="145"/>
      <c r="AY107" s="146"/>
      <c r="AZ107" s="146"/>
      <c r="BA107" s="147"/>
      <c r="BB107" s="94"/>
      <c r="BC107" s="145"/>
      <c r="BD107" s="146"/>
      <c r="BE107" s="146"/>
      <c r="BF107" s="147"/>
      <c r="BG107" s="94"/>
      <c r="BH107" s="145"/>
      <c r="BI107" s="146"/>
      <c r="BJ107" s="146"/>
      <c r="BK107" s="147"/>
      <c r="BL107" s="94"/>
      <c r="BM107" s="145"/>
      <c r="BN107" s="146"/>
      <c r="BO107" s="146"/>
      <c r="BP107" s="147"/>
      <c r="BQ107" s="94"/>
      <c r="CB107" s="276"/>
    </row>
    <row r="108" spans="1:80" s="81" customFormat="1">
      <c r="A108" s="221"/>
      <c r="B108" s="221"/>
      <c r="C108" s="221" t="s">
        <v>337</v>
      </c>
      <c r="D108" s="315"/>
      <c r="E108" s="316"/>
      <c r="F108" s="312"/>
      <c r="G108" s="312"/>
      <c r="H108" s="317"/>
      <c r="I108" s="488"/>
      <c r="J108" s="316"/>
      <c r="K108" s="312"/>
      <c r="L108" s="312"/>
      <c r="M108" s="317"/>
      <c r="N108" s="488"/>
      <c r="O108" s="316"/>
      <c r="P108" s="312"/>
      <c r="Q108" s="312"/>
      <c r="R108" s="317"/>
      <c r="S108" s="488"/>
      <c r="T108" s="316"/>
      <c r="U108" s="312"/>
      <c r="V108" s="312"/>
      <c r="W108" s="317"/>
      <c r="X108" s="488"/>
      <c r="Y108" s="316"/>
      <c r="Z108" s="312"/>
      <c r="AA108" s="312"/>
      <c r="AB108" s="317"/>
      <c r="AC108" s="488"/>
      <c r="AD108" s="316"/>
      <c r="AE108" s="312"/>
      <c r="AF108" s="312"/>
      <c r="AG108" s="317"/>
      <c r="AH108" s="488"/>
      <c r="AI108" s="316">
        <f>Distribution!AI171-Distribution!AI167-AI110</f>
        <v>10912.574999999999</v>
      </c>
      <c r="AJ108" s="312">
        <f>Distribution!AJ171-Distribution!AJ167-AJ110</f>
        <v>11108.848</v>
      </c>
      <c r="AK108" s="312">
        <f>Distribution!AK171-Distribution!AK167-AK110</f>
        <v>10787.335999999999</v>
      </c>
      <c r="AL108" s="317">
        <f>Distribution!AL171-Distribution!AL167-AL110</f>
        <v>10741.181</v>
      </c>
      <c r="AM108" s="488">
        <f>Distribution!AM171-Distribution!AM167-AM110</f>
        <v>10741.181</v>
      </c>
      <c r="AN108" s="316">
        <f>Distribution!AN171-Distribution!AN167-AN110</f>
        <v>10475.582</v>
      </c>
      <c r="AO108" s="312">
        <f>Distribution!AO171-Distribution!AO167-AO110</f>
        <v>10140.737999999999</v>
      </c>
      <c r="AP108" s="312">
        <f>Distribution!AP171-Distribution!AP167-AP110</f>
        <v>9439.2830000000013</v>
      </c>
      <c r="AQ108" s="317">
        <f>Distribution!AQ171-Distribution!AQ167-AQ110</f>
        <v>9919.4349999999995</v>
      </c>
      <c r="AR108" s="488">
        <f>Distribution!AR171-Distribution!AR167-AR110</f>
        <v>9919.4349999999995</v>
      </c>
      <c r="AS108" s="316">
        <f>Distribution!AS171-Distribution!AS167-AS110</f>
        <v>9690.9650000000001</v>
      </c>
      <c r="AT108" s="312">
        <f>Distribution!AT171-Distribution!AT167-AT110</f>
        <v>9382.14</v>
      </c>
      <c r="AU108" s="312">
        <f>Distribution!AU171-Distribution!AU167-AU110</f>
        <v>8723.8279999999995</v>
      </c>
      <c r="AV108" s="317">
        <f>Distribution!AV171-Distribution!AV167-AV110</f>
        <v>8707.8599999999988</v>
      </c>
      <c r="AW108" s="488">
        <f>Distribution!AW171-Distribution!AW167-AW110</f>
        <v>8707.8599999999988</v>
      </c>
      <c r="AX108" s="316">
        <f>Distribution!AX171-Distribution!AX167-AX110</f>
        <v>8850.0190338172652</v>
      </c>
      <c r="AY108" s="312">
        <f>Distribution!AY171-Distribution!AY167-AY110</f>
        <v>9045.1276944839628</v>
      </c>
      <c r="AZ108" s="312">
        <f>Distribution!AZ171-Distribution!AZ167-AZ110</f>
        <v>9145.2750989283013</v>
      </c>
      <c r="BA108" s="317">
        <f>Distribution!BA171-Distribution!BA167-BA110</f>
        <v>9299.099501732373</v>
      </c>
      <c r="BB108" s="488">
        <f>Distribution!BB171-Distribution!BB167-BB110</f>
        <v>9299.099501732373</v>
      </c>
      <c r="BC108" s="316">
        <f>Distribution!BC171-Distribution!BC167-BC110</f>
        <v>9389.9766073429219</v>
      </c>
      <c r="BD108" s="312">
        <f>Distribution!BD171-Distribution!BD167-BD110</f>
        <v>9536.9405607499284</v>
      </c>
      <c r="BE108" s="312">
        <f>Distribution!BE171-Distribution!BE167-BE110</f>
        <v>9589.1576087300655</v>
      </c>
      <c r="BF108" s="317">
        <f>Distribution!BF171-Distribution!BF167-BF110</f>
        <v>9697.4211996437407</v>
      </c>
      <c r="BG108" s="488">
        <f>Distribution!BG171-Distribution!BG167-BG110</f>
        <v>9697.4211996437407</v>
      </c>
      <c r="BH108" s="316">
        <f>Distribution!BH171-Distribution!BH167-BH110</f>
        <v>9774.9746821166445</v>
      </c>
      <c r="BI108" s="312">
        <f>Distribution!BI171-Distribution!BI167-BI110</f>
        <v>9913.178510025482</v>
      </c>
      <c r="BJ108" s="312">
        <f>Distribution!BJ171-Distribution!BJ167-BJ110</f>
        <v>9952.8009146409786</v>
      </c>
      <c r="BK108" s="317">
        <f>Distribution!BK171-Distribution!BK167-BK110</f>
        <v>10048.327478982541</v>
      </c>
      <c r="BL108" s="488">
        <f>Distribution!BL171-Distribution!BL167-BL110</f>
        <v>10048.327478982541</v>
      </c>
      <c r="BM108" s="316">
        <f>Distribution!BM171-Distribution!BM167-BM110</f>
        <v>10103.183874703815</v>
      </c>
      <c r="BN108" s="312">
        <f>Distribution!BN171-Distribution!BN167-BN110</f>
        <v>10223.083062310863</v>
      </c>
      <c r="BO108" s="312">
        <f>Distribution!BO171-Distribution!BO167-BO110</f>
        <v>10238.348719101339</v>
      </c>
      <c r="BP108" s="317">
        <f>Distribution!BP171-Distribution!BP167-BP110</f>
        <v>10309.317601158842</v>
      </c>
      <c r="BQ108" s="488">
        <f>Distribution!BQ171-Distribution!BQ167-BQ110</f>
        <v>10309.317601158842</v>
      </c>
      <c r="BT108"/>
      <c r="BU108"/>
      <c r="BV108"/>
      <c r="BW108"/>
      <c r="BX108"/>
      <c r="BY108"/>
      <c r="CB108" s="489"/>
    </row>
    <row r="109" spans="1:80" s="81" customFormat="1">
      <c r="A109" s="221"/>
      <c r="B109" s="221"/>
      <c r="C109" s="221" t="s">
        <v>338</v>
      </c>
      <c r="D109" s="315"/>
      <c r="E109" s="316"/>
      <c r="F109" s="312"/>
      <c r="G109" s="312"/>
      <c r="H109" s="317"/>
      <c r="I109" s="488"/>
      <c r="J109" s="316"/>
      <c r="K109" s="312"/>
      <c r="L109" s="312"/>
      <c r="M109" s="317"/>
      <c r="N109" s="488"/>
      <c r="O109" s="316"/>
      <c r="P109" s="312"/>
      <c r="Q109" s="312"/>
      <c r="R109" s="317"/>
      <c r="S109" s="488"/>
      <c r="T109" s="316"/>
      <c r="U109" s="312"/>
      <c r="V109" s="312"/>
      <c r="W109" s="317"/>
      <c r="X109" s="488"/>
      <c r="Y109" s="316"/>
      <c r="Z109" s="312"/>
      <c r="AA109" s="312"/>
      <c r="AB109" s="317"/>
      <c r="AC109" s="488"/>
      <c r="AD109" s="316"/>
      <c r="AE109" s="312"/>
      <c r="AF109" s="312"/>
      <c r="AG109" s="317"/>
      <c r="AH109" s="488"/>
      <c r="AI109" s="316">
        <f>Competitive!AI619-Competitive!AI615</f>
        <v>3971</v>
      </c>
      <c r="AJ109" s="312">
        <f>Competitive!AJ619-Competitive!AJ615</f>
        <v>3936</v>
      </c>
      <c r="AK109" s="312">
        <f>Competitive!AK619-Competitive!AK615</f>
        <v>3701</v>
      </c>
      <c r="AL109" s="317">
        <f>Competitive!AL619-Competitive!AL615</f>
        <v>3684</v>
      </c>
      <c r="AM109" s="488">
        <f>Competitive!AM619-Competitive!AM615</f>
        <v>3684</v>
      </c>
      <c r="AN109" s="316">
        <f>Competitive!AN619-Competitive!AN615</f>
        <v>3707</v>
      </c>
      <c r="AO109" s="312">
        <f>Competitive!AO619-Competitive!AO615</f>
        <v>3643</v>
      </c>
      <c r="AP109" s="312">
        <f>Competitive!AP619-Competitive!AP615</f>
        <v>3769</v>
      </c>
      <c r="AQ109" s="317">
        <f>Competitive!AQ619-Competitive!AQ615</f>
        <v>3707</v>
      </c>
      <c r="AR109" s="488">
        <f>Competitive!AR619-Competitive!AR615</f>
        <v>3707</v>
      </c>
      <c r="AS109" s="316">
        <f>Competitive!AS619-Competitive!AS615</f>
        <v>3682</v>
      </c>
      <c r="AT109" s="312">
        <f>Competitive!AT619-Competitive!AT615</f>
        <v>3706</v>
      </c>
      <c r="AU109" s="312">
        <f>Competitive!AU619-Competitive!AU615</f>
        <v>3612</v>
      </c>
      <c r="AV109" s="317">
        <f>Competitive!AV619-Competitive!AV615</f>
        <v>3553</v>
      </c>
      <c r="AW109" s="488">
        <f>Competitive!AW619-Competitive!AW615</f>
        <v>3553</v>
      </c>
      <c r="AX109" s="316">
        <f>Competitive!AX619-Competitive!AX615</f>
        <v>3513.1123317346073</v>
      </c>
      <c r="AY109" s="312">
        <f>Competitive!AY619-Competitive!AY615</f>
        <v>3513.0734721068425</v>
      </c>
      <c r="AZ109" s="312">
        <f>Competitive!AZ619-Competitive!AZ615</f>
        <v>3513.8449552722291</v>
      </c>
      <c r="BA109" s="317">
        <f>Competitive!BA619-Competitive!BA615</f>
        <v>3525.9012157129573</v>
      </c>
      <c r="BB109" s="488">
        <f>Competitive!BB619-Competitive!BB615</f>
        <v>3525.9012157129573</v>
      </c>
      <c r="BC109" s="316">
        <f>Competitive!BC619-Competitive!BC615</f>
        <v>3605.086808317566</v>
      </c>
      <c r="BD109" s="312">
        <f>Competitive!BD619-Competitive!BD615</f>
        <v>3694.1507638932262</v>
      </c>
      <c r="BE109" s="312">
        <f>Competitive!BE619-Competitive!BE615</f>
        <v>3783.3153173952428</v>
      </c>
      <c r="BF109" s="317">
        <f>Competitive!BF619-Competitive!BF615</f>
        <v>3889.1521736019017</v>
      </c>
      <c r="BG109" s="488">
        <f>Competitive!BG619-Competitive!BG615</f>
        <v>3889.1521736019017</v>
      </c>
      <c r="BH109" s="316">
        <f>Competitive!BH619-Competitive!BH615</f>
        <v>3928.435588727536</v>
      </c>
      <c r="BI109" s="312">
        <f>Competitive!BI619-Competitive!BI615</f>
        <v>3975.9180604063922</v>
      </c>
      <c r="BJ109" s="312">
        <f>Competitive!BJ619-Competitive!BJ615</f>
        <v>4019.1647640649521</v>
      </c>
      <c r="BK109" s="317">
        <f>Competitive!BK619-Competitive!BK615</f>
        <v>4077.3938520191832</v>
      </c>
      <c r="BL109" s="488">
        <f>Competitive!BL619-Competitive!BL615</f>
        <v>4077.3938520191832</v>
      </c>
      <c r="BM109" s="316">
        <f>Competitive!BM619-Competitive!BM615</f>
        <v>4086.6514325641292</v>
      </c>
      <c r="BN109" s="312">
        <f>Competitive!BN619-Competitive!BN615</f>
        <v>4118.3095081239198</v>
      </c>
      <c r="BO109" s="312">
        <f>Competitive!BO619-Competitive!BO615</f>
        <v>4142.9555915858673</v>
      </c>
      <c r="BP109" s="317">
        <f>Competitive!BP619-Competitive!BP615</f>
        <v>4152.1767983425034</v>
      </c>
      <c r="BQ109" s="488">
        <f>Competitive!BQ619-Competitive!BQ615</f>
        <v>4152.1767983425034</v>
      </c>
      <c r="BT109"/>
      <c r="BU109"/>
      <c r="BV109"/>
      <c r="BW109"/>
      <c r="BX109"/>
      <c r="BY109"/>
      <c r="CB109" s="489"/>
    </row>
    <row r="110" spans="1:80" s="81" customFormat="1">
      <c r="A110" s="221"/>
      <c r="B110" s="221"/>
      <c r="C110" s="221" t="s">
        <v>339</v>
      </c>
      <c r="D110" s="315"/>
      <c r="E110" s="316"/>
      <c r="F110" s="312"/>
      <c r="G110" s="312"/>
      <c r="H110" s="317"/>
      <c r="I110" s="488"/>
      <c r="J110" s="316"/>
      <c r="K110" s="312"/>
      <c r="L110" s="312"/>
      <c r="M110" s="317"/>
      <c r="N110" s="488"/>
      <c r="O110" s="316"/>
      <c r="P110" s="312"/>
      <c r="Q110" s="312"/>
      <c r="R110" s="317"/>
      <c r="S110" s="488"/>
      <c r="T110" s="316"/>
      <c r="U110" s="312"/>
      <c r="V110" s="312"/>
      <c r="W110" s="317"/>
      <c r="X110" s="488"/>
      <c r="Y110" s="316"/>
      <c r="Z110" s="312"/>
      <c r="AA110" s="312"/>
      <c r="AB110" s="317"/>
      <c r="AC110" s="488"/>
      <c r="AD110" s="316"/>
      <c r="AE110" s="312"/>
      <c r="AF110" s="312"/>
      <c r="AG110" s="317"/>
      <c r="AH110" s="488"/>
      <c r="AI110" s="316">
        <f>+Transmission!AI87</f>
        <v>2095</v>
      </c>
      <c r="AJ110" s="312">
        <f>+Transmission!AJ87</f>
        <v>2224.5</v>
      </c>
      <c r="AK110" s="312">
        <f>+Transmission!AK87</f>
        <v>2278.5</v>
      </c>
      <c r="AL110" s="317">
        <f>+Transmission!AL87</f>
        <v>2384.5</v>
      </c>
      <c r="AM110" s="488">
        <f>+Transmission!AM87</f>
        <v>2384.5</v>
      </c>
      <c r="AN110" s="316">
        <f>+Transmission!AN87</f>
        <v>2492</v>
      </c>
      <c r="AO110" s="312">
        <f>+Transmission!AO87</f>
        <v>2595.5</v>
      </c>
      <c r="AP110" s="312">
        <f>+Transmission!AP87</f>
        <v>2696</v>
      </c>
      <c r="AQ110" s="317">
        <f>+Transmission!AQ87</f>
        <v>2841.5</v>
      </c>
      <c r="AR110" s="488">
        <f>+Transmission!AR87</f>
        <v>2841.5</v>
      </c>
      <c r="AS110" s="316">
        <f>+Transmission!AS87</f>
        <v>2928</v>
      </c>
      <c r="AT110" s="312">
        <f>+Transmission!AT87</f>
        <v>3023.5</v>
      </c>
      <c r="AU110" s="312">
        <f>+Transmission!AU87</f>
        <v>3118</v>
      </c>
      <c r="AV110" s="317">
        <f>+Transmission!AV87</f>
        <v>3244.5</v>
      </c>
      <c r="AW110" s="488">
        <f>+Transmission!AW87</f>
        <v>3244.5</v>
      </c>
      <c r="AX110" s="316">
        <f>+Transmission!AX87</f>
        <v>3353.1177083333332</v>
      </c>
      <c r="AY110" s="312">
        <f>+Transmission!AY87</f>
        <v>3460.8531250000001</v>
      </c>
      <c r="AZ110" s="312">
        <f>+Transmission!AZ87</f>
        <v>3567.7062500000002</v>
      </c>
      <c r="BA110" s="317">
        <f>+Transmission!BA87</f>
        <v>3673.6770833333335</v>
      </c>
      <c r="BB110" s="488">
        <f>+Transmission!BB87</f>
        <v>3673.6770833333335</v>
      </c>
      <c r="BC110" s="316">
        <f>+Transmission!BC87</f>
        <v>3778.765625</v>
      </c>
      <c r="BD110" s="312">
        <f>+Transmission!BD87</f>
        <v>3882.9718750000002</v>
      </c>
      <c r="BE110" s="312">
        <f>+Transmission!BE87</f>
        <v>3986.2958333333336</v>
      </c>
      <c r="BF110" s="317">
        <f>+Transmission!BF87</f>
        <v>4088.7375000000002</v>
      </c>
      <c r="BG110" s="488">
        <f>+Transmission!BG87</f>
        <v>4088.7375000000006</v>
      </c>
      <c r="BH110" s="316">
        <f>+Transmission!BH87</f>
        <v>4190.2968750000009</v>
      </c>
      <c r="BI110" s="312">
        <f>+Transmission!BI87</f>
        <v>4290.9739583333339</v>
      </c>
      <c r="BJ110" s="312">
        <f>+Transmission!BJ87</f>
        <v>4390.7687500000002</v>
      </c>
      <c r="BK110" s="317">
        <f>+Transmission!BK87</f>
        <v>4489.6812500000005</v>
      </c>
      <c r="BL110" s="488">
        <f>+Transmission!BL87</f>
        <v>4489.6812500000015</v>
      </c>
      <c r="BM110" s="316">
        <f>+Transmission!BM87</f>
        <v>4587.711458333335</v>
      </c>
      <c r="BN110" s="312">
        <f>+Transmission!BN87</f>
        <v>4684.8593750000018</v>
      </c>
      <c r="BO110" s="312">
        <f>+Transmission!BO87</f>
        <v>4781.1250000000018</v>
      </c>
      <c r="BP110" s="317">
        <f>+Transmission!BP87</f>
        <v>4876.508333333335</v>
      </c>
      <c r="BQ110" s="488">
        <f>+Transmission!BQ87</f>
        <v>4876.508333333335</v>
      </c>
      <c r="BT110"/>
      <c r="BU110"/>
      <c r="BV110"/>
      <c r="BW110"/>
      <c r="BX110"/>
      <c r="BY110"/>
      <c r="CB110" s="489"/>
    </row>
    <row r="111" spans="1:80" s="81" customFormat="1">
      <c r="A111" s="221"/>
      <c r="B111" s="221"/>
      <c r="C111" s="221" t="s">
        <v>424</v>
      </c>
      <c r="D111" s="315"/>
      <c r="E111" s="316"/>
      <c r="F111" s="312"/>
      <c r="G111" s="312"/>
      <c r="H111" s="317"/>
      <c r="I111" s="488"/>
      <c r="J111" s="316"/>
      <c r="K111" s="312"/>
      <c r="L111" s="312"/>
      <c r="M111" s="317"/>
      <c r="N111" s="488"/>
      <c r="O111" s="316"/>
      <c r="P111" s="312"/>
      <c r="Q111" s="312"/>
      <c r="R111" s="317"/>
      <c r="S111" s="488"/>
      <c r="T111" s="316"/>
      <c r="U111" s="312"/>
      <c r="V111" s="312"/>
      <c r="W111" s="317"/>
      <c r="X111" s="488"/>
      <c r="Y111" s="316"/>
      <c r="Z111" s="312"/>
      <c r="AA111" s="312"/>
      <c r="AB111" s="317"/>
      <c r="AC111" s="488"/>
      <c r="AD111" s="316"/>
      <c r="AE111" s="312"/>
      <c r="AF111" s="312"/>
      <c r="AG111" s="317"/>
      <c r="AH111" s="488"/>
      <c r="AI111" s="316">
        <f t="shared" ref="AI111:AN111" si="174">AI203-AI199-SUM(AI108:AI110)</f>
        <v>5407.4250000000029</v>
      </c>
      <c r="AJ111" s="312">
        <f t="shared" si="174"/>
        <v>5406.6520000000019</v>
      </c>
      <c r="AK111" s="312">
        <f t="shared" si="174"/>
        <v>5321.1640000000007</v>
      </c>
      <c r="AL111" s="317">
        <f t="shared" si="174"/>
        <v>5125.3189999999995</v>
      </c>
      <c r="AM111" s="488">
        <f t="shared" si="174"/>
        <v>5125.3189999999995</v>
      </c>
      <c r="AN111" s="316">
        <f t="shared" si="174"/>
        <v>5537.4179999999978</v>
      </c>
      <c r="AO111" s="312">
        <f t="shared" ref="AO111" si="175">AO203-AO199-SUM(AO108:AO110)</f>
        <v>6021.7620000000006</v>
      </c>
      <c r="AP111" s="312">
        <f t="shared" ref="AP111" si="176">AP203-AP199-SUM(AP108:AP110)</f>
        <v>6267.7169999999987</v>
      </c>
      <c r="AQ111" s="317">
        <f t="shared" ref="AQ111:AR111" si="177">AQ203-AQ199-SUM(AQ108:AQ110)</f>
        <v>5885.0650000000023</v>
      </c>
      <c r="AR111" s="488">
        <f t="shared" si="177"/>
        <v>5885.0650000000023</v>
      </c>
      <c r="AS111" s="316">
        <f t="shared" ref="AS111" si="178">AS203-AS199-SUM(AS108:AS110)</f>
        <v>6194.0349999999999</v>
      </c>
      <c r="AT111" s="312">
        <f t="shared" ref="AT111" si="179">AT203-AT199-SUM(AT108:AT110)</f>
        <v>6596.3600000000006</v>
      </c>
      <c r="AU111" s="312">
        <f t="shared" ref="AU111:AW111" si="180">AU203-AU199-SUM(AU108:AU110)</f>
        <v>6812.1720000000005</v>
      </c>
      <c r="AV111" s="317">
        <f t="shared" si="180"/>
        <v>6402.6400000000012</v>
      </c>
      <c r="AW111" s="488">
        <f t="shared" si="180"/>
        <v>6402.6400000000012</v>
      </c>
      <c r="AX111" s="316">
        <f t="shared" ref="AX111:BL111" si="181">AX203-AX199-SUM(AX108:AX110)</f>
        <v>6792.0717979639139</v>
      </c>
      <c r="AY111" s="312">
        <f t="shared" si="181"/>
        <v>7594.8066493474835</v>
      </c>
      <c r="AZ111" s="312">
        <f t="shared" si="181"/>
        <v>7548.4961929264682</v>
      </c>
      <c r="BA111" s="317">
        <f t="shared" si="181"/>
        <v>7551.3491551464504</v>
      </c>
      <c r="BB111" s="488">
        <f t="shared" si="181"/>
        <v>7551.3491551464504</v>
      </c>
      <c r="BC111" s="316">
        <f t="shared" si="181"/>
        <v>7558.0574421255151</v>
      </c>
      <c r="BD111" s="312">
        <f t="shared" si="181"/>
        <v>7574.2814001453917</v>
      </c>
      <c r="BE111" s="312">
        <f t="shared" si="181"/>
        <v>6014.742727114739</v>
      </c>
      <c r="BF111" s="317">
        <f t="shared" si="181"/>
        <v>5935.1509318960016</v>
      </c>
      <c r="BG111" s="488">
        <f t="shared" si="181"/>
        <v>5935.1509318960016</v>
      </c>
      <c r="BH111" s="316">
        <f t="shared" si="181"/>
        <v>5953.8548662820285</v>
      </c>
      <c r="BI111" s="312">
        <f t="shared" si="181"/>
        <v>5984.1682691890055</v>
      </c>
      <c r="BJ111" s="312">
        <f t="shared" si="181"/>
        <v>6008.5105903378717</v>
      </c>
      <c r="BK111" s="317">
        <f t="shared" si="181"/>
        <v>6035.2785092482045</v>
      </c>
      <c r="BL111" s="488">
        <f t="shared" si="181"/>
        <v>6035.2785092482045</v>
      </c>
      <c r="BM111" s="316">
        <f t="shared" ref="BM111:BQ111" si="182">BM203-BM199-SUM(BM108:BM110)</f>
        <v>6043.4084307569101</v>
      </c>
      <c r="BN111" s="312">
        <f t="shared" si="182"/>
        <v>6063.5480906883131</v>
      </c>
      <c r="BO111" s="312">
        <f t="shared" si="182"/>
        <v>6075.0256697160112</v>
      </c>
      <c r="BP111" s="317">
        <f t="shared" si="182"/>
        <v>6088.8379317163708</v>
      </c>
      <c r="BQ111" s="488">
        <f t="shared" si="182"/>
        <v>6088.8379317163708</v>
      </c>
      <c r="BT111"/>
      <c r="BU111"/>
      <c r="BV111"/>
      <c r="BW111"/>
      <c r="BX111"/>
      <c r="BY111"/>
      <c r="CB111" s="489"/>
    </row>
    <row r="112" spans="1:80" s="60" customFormat="1">
      <c r="A112" s="490"/>
      <c r="B112" s="490"/>
      <c r="C112" s="490" t="s">
        <v>215</v>
      </c>
      <c r="D112" s="308"/>
      <c r="E112" s="305"/>
      <c r="F112" s="306"/>
      <c r="G112" s="306"/>
      <c r="H112" s="307"/>
      <c r="I112" s="200"/>
      <c r="J112" s="305"/>
      <c r="K112" s="306"/>
      <c r="L112" s="306"/>
      <c r="M112" s="307"/>
      <c r="N112" s="200"/>
      <c r="O112" s="305"/>
      <c r="P112" s="306"/>
      <c r="Q112" s="306"/>
      <c r="R112" s="307"/>
      <c r="S112" s="200"/>
      <c r="T112" s="305"/>
      <c r="U112" s="306"/>
      <c r="V112" s="306"/>
      <c r="W112" s="307"/>
      <c r="X112" s="200"/>
      <c r="Y112" s="305"/>
      <c r="Z112" s="306"/>
      <c r="AA112" s="306"/>
      <c r="AB112" s="307"/>
      <c r="AC112" s="200"/>
      <c r="AD112" s="305"/>
      <c r="AE112" s="306"/>
      <c r="AF112" s="306"/>
      <c r="AG112" s="307"/>
      <c r="AH112" s="200"/>
      <c r="AI112" s="305">
        <f t="shared" ref="AI112:AN112" si="183">SUM(AI108:AI111)</f>
        <v>22386</v>
      </c>
      <c r="AJ112" s="306">
        <f t="shared" si="183"/>
        <v>22676</v>
      </c>
      <c r="AK112" s="306">
        <f t="shared" si="183"/>
        <v>22088</v>
      </c>
      <c r="AL112" s="307">
        <f t="shared" si="183"/>
        <v>21935</v>
      </c>
      <c r="AM112" s="200">
        <f t="shared" si="183"/>
        <v>21935</v>
      </c>
      <c r="AN112" s="305">
        <f t="shared" si="183"/>
        <v>22212</v>
      </c>
      <c r="AO112" s="306">
        <f t="shared" ref="AO112" si="184">SUM(AO108:AO111)</f>
        <v>22401</v>
      </c>
      <c r="AP112" s="306">
        <f t="shared" ref="AP112" si="185">SUM(AP108:AP111)</f>
        <v>22172</v>
      </c>
      <c r="AQ112" s="307">
        <f t="shared" ref="AQ112:AR112" si="186">SUM(AQ108:AQ111)</f>
        <v>22353</v>
      </c>
      <c r="AR112" s="200">
        <f t="shared" si="186"/>
        <v>22353</v>
      </c>
      <c r="AS112" s="305">
        <f t="shared" ref="AS112:AT112" si="187">SUM(AS108:AS111)</f>
        <v>22495</v>
      </c>
      <c r="AT112" s="306">
        <f t="shared" si="187"/>
        <v>22708</v>
      </c>
      <c r="AU112" s="306">
        <f t="shared" ref="AU112:AW112" si="188">SUM(AU108:AU111)</f>
        <v>22266</v>
      </c>
      <c r="AV112" s="307">
        <f t="shared" si="188"/>
        <v>21908</v>
      </c>
      <c r="AW112" s="200">
        <f t="shared" si="188"/>
        <v>21908</v>
      </c>
      <c r="AX112" s="305">
        <f t="shared" ref="AX112:BB112" si="189">SUM(AX108:AX111)</f>
        <v>22508.320871849119</v>
      </c>
      <c r="AY112" s="306">
        <f t="shared" si="189"/>
        <v>23613.860940938288</v>
      </c>
      <c r="AZ112" s="306">
        <f t="shared" si="189"/>
        <v>23775.322497126999</v>
      </c>
      <c r="BA112" s="307">
        <f t="shared" si="189"/>
        <v>24050.026955925114</v>
      </c>
      <c r="BB112" s="200">
        <f t="shared" si="189"/>
        <v>24050.026955925114</v>
      </c>
      <c r="BC112" s="305">
        <f t="shared" ref="BC112:BL112" si="190">SUM(BC108:BC111)</f>
        <v>24331.886482786002</v>
      </c>
      <c r="BD112" s="306">
        <f t="shared" si="190"/>
        <v>24688.344599788546</v>
      </c>
      <c r="BE112" s="306">
        <f t="shared" si="190"/>
        <v>23373.511486573381</v>
      </c>
      <c r="BF112" s="307">
        <f t="shared" si="190"/>
        <v>23610.461805141644</v>
      </c>
      <c r="BG112" s="200">
        <f t="shared" si="190"/>
        <v>23610.461805141644</v>
      </c>
      <c r="BH112" s="305">
        <f t="shared" si="190"/>
        <v>23847.562012126211</v>
      </c>
      <c r="BI112" s="306">
        <f t="shared" si="190"/>
        <v>24164.238797954215</v>
      </c>
      <c r="BJ112" s="306">
        <f t="shared" si="190"/>
        <v>24371.245019043803</v>
      </c>
      <c r="BK112" s="307">
        <f t="shared" si="190"/>
        <v>24650.681090249931</v>
      </c>
      <c r="BL112" s="200">
        <f t="shared" si="190"/>
        <v>24650.681090249931</v>
      </c>
      <c r="BM112" s="305">
        <f t="shared" ref="BM112:BQ112" si="191">SUM(BM108:BM111)</f>
        <v>24820.955196358187</v>
      </c>
      <c r="BN112" s="306">
        <f t="shared" si="191"/>
        <v>25089.800036123099</v>
      </c>
      <c r="BO112" s="306">
        <f t="shared" si="191"/>
        <v>25237.454980403218</v>
      </c>
      <c r="BP112" s="307">
        <f t="shared" si="191"/>
        <v>25426.840664551051</v>
      </c>
      <c r="BQ112" s="200">
        <f t="shared" si="191"/>
        <v>25426.840664551051</v>
      </c>
      <c r="BT112"/>
      <c r="BU112"/>
      <c r="BV112"/>
      <c r="BW112"/>
      <c r="BX112"/>
      <c r="BY112"/>
      <c r="CB112" s="489"/>
    </row>
    <row r="113" spans="1:124" s="81" customFormat="1">
      <c r="A113" s="221"/>
      <c r="B113" s="221"/>
      <c r="C113" s="221"/>
      <c r="D113" s="315"/>
      <c r="E113" s="316"/>
      <c r="F113" s="312"/>
      <c r="G113" s="312"/>
      <c r="H113" s="317"/>
      <c r="I113" s="488"/>
      <c r="J113" s="316"/>
      <c r="K113" s="312"/>
      <c r="L113" s="312"/>
      <c r="M113" s="317"/>
      <c r="N113" s="488"/>
      <c r="O113" s="316"/>
      <c r="P113" s="312"/>
      <c r="Q113" s="312"/>
      <c r="R113" s="317"/>
      <c r="S113" s="488"/>
      <c r="T113" s="316"/>
      <c r="U113" s="312"/>
      <c r="V113" s="312"/>
      <c r="W113" s="317"/>
      <c r="X113" s="488"/>
      <c r="Y113" s="316"/>
      <c r="Z113" s="312"/>
      <c r="AA113" s="312"/>
      <c r="AB113" s="317"/>
      <c r="AC113" s="488"/>
      <c r="AD113" s="316"/>
      <c r="AE113" s="312"/>
      <c r="AF113" s="312"/>
      <c r="AG113" s="317"/>
      <c r="AH113" s="488"/>
      <c r="AI113" s="316"/>
      <c r="AJ113" s="312"/>
      <c r="AK113" s="312"/>
      <c r="AL113" s="317"/>
      <c r="AM113" s="488"/>
      <c r="AN113" s="316"/>
      <c r="AO113" s="312"/>
      <c r="AP113" s="312"/>
      <c r="AQ113" s="317"/>
      <c r="AR113" s="488"/>
      <c r="AS113" s="316"/>
      <c r="AT113" s="312"/>
      <c r="AU113" s="312"/>
      <c r="AV113" s="317"/>
      <c r="AW113" s="488"/>
      <c r="AX113" s="316"/>
      <c r="AY113" s="312"/>
      <c r="AZ113" s="312"/>
      <c r="BA113" s="317"/>
      <c r="BB113" s="488"/>
      <c r="BC113" s="316"/>
      <c r="BD113" s="312"/>
      <c r="BE113" s="312"/>
      <c r="BF113" s="317"/>
      <c r="BG113" s="488"/>
      <c r="BH113" s="316"/>
      <c r="BI113" s="312"/>
      <c r="BJ113" s="312"/>
      <c r="BK113" s="317"/>
      <c r="BL113" s="488"/>
      <c r="BM113" s="316"/>
      <c r="BN113" s="312"/>
      <c r="BO113" s="312"/>
      <c r="BP113" s="317"/>
      <c r="BQ113" s="488"/>
      <c r="BT113"/>
      <c r="BU113"/>
      <c r="BV113"/>
      <c r="BW113"/>
      <c r="BX113"/>
      <c r="BY113"/>
      <c r="CB113" s="489"/>
    </row>
    <row r="114" spans="1:124" s="81" customFormat="1">
      <c r="A114" s="221"/>
      <c r="B114" s="221"/>
      <c r="C114" s="221" t="s">
        <v>429</v>
      </c>
      <c r="D114" s="315"/>
      <c r="E114" s="316"/>
      <c r="F114" s="312"/>
      <c r="G114" s="312"/>
      <c r="H114" s="317"/>
      <c r="I114" s="488"/>
      <c r="J114" s="316"/>
      <c r="K114" s="312"/>
      <c r="L114" s="312"/>
      <c r="M114" s="317"/>
      <c r="N114" s="488"/>
      <c r="O114" s="316"/>
      <c r="P114" s="312"/>
      <c r="Q114" s="312"/>
      <c r="R114" s="317"/>
      <c r="S114" s="488"/>
      <c r="T114" s="316"/>
      <c r="U114" s="312"/>
      <c r="V114" s="312"/>
      <c r="W114" s="317"/>
      <c r="X114" s="488"/>
      <c r="Y114" s="316"/>
      <c r="Z114" s="312"/>
      <c r="AA114" s="312"/>
      <c r="AB114" s="317"/>
      <c r="AC114" s="488"/>
      <c r="AD114" s="316"/>
      <c r="AE114" s="312"/>
      <c r="AF114" s="312"/>
      <c r="AG114" s="317"/>
      <c r="AH114" s="488"/>
      <c r="AI114" s="316">
        <f t="shared" ref="AI114:AN114" si="192">AI108+AI110</f>
        <v>13007.574999999999</v>
      </c>
      <c r="AJ114" s="312">
        <f t="shared" si="192"/>
        <v>13333.348</v>
      </c>
      <c r="AK114" s="312">
        <f t="shared" si="192"/>
        <v>13065.835999999999</v>
      </c>
      <c r="AL114" s="317">
        <f t="shared" si="192"/>
        <v>13125.681</v>
      </c>
      <c r="AM114" s="488">
        <f t="shared" si="192"/>
        <v>13125.681</v>
      </c>
      <c r="AN114" s="316">
        <f t="shared" si="192"/>
        <v>12967.582</v>
      </c>
      <c r="AO114" s="312">
        <f t="shared" ref="AO114:AS114" si="193">AO108+AO110</f>
        <v>12736.237999999999</v>
      </c>
      <c r="AP114" s="312">
        <f t="shared" si="193"/>
        <v>12135.283000000001</v>
      </c>
      <c r="AQ114" s="317">
        <f t="shared" si="193"/>
        <v>12760.934999999999</v>
      </c>
      <c r="AR114" s="488">
        <f t="shared" si="193"/>
        <v>12760.934999999999</v>
      </c>
      <c r="AS114" s="316">
        <f t="shared" si="193"/>
        <v>12618.965</v>
      </c>
      <c r="AT114" s="312">
        <f t="shared" ref="AT114" si="194">AT108+AT110</f>
        <v>12405.64</v>
      </c>
      <c r="AU114" s="312">
        <f t="shared" ref="AU114:AW114" si="195">AU108+AU110</f>
        <v>11841.828</v>
      </c>
      <c r="AV114" s="317">
        <f t="shared" si="195"/>
        <v>11952.359999999999</v>
      </c>
      <c r="AW114" s="488">
        <f t="shared" si="195"/>
        <v>11952.359999999999</v>
      </c>
      <c r="AX114" s="316">
        <f t="shared" ref="AX114:BB115" si="196">AX108+AX110</f>
        <v>12203.136742150598</v>
      </c>
      <c r="AY114" s="312">
        <f t="shared" si="196"/>
        <v>12505.980819483962</v>
      </c>
      <c r="AZ114" s="312">
        <f t="shared" si="196"/>
        <v>12712.981348928301</v>
      </c>
      <c r="BA114" s="317">
        <f t="shared" si="196"/>
        <v>12972.776585065707</v>
      </c>
      <c r="BB114" s="488">
        <f t="shared" si="196"/>
        <v>12972.776585065707</v>
      </c>
      <c r="BC114" s="316">
        <f t="shared" ref="BC114:BL114" si="197">BC108+BC110</f>
        <v>13168.742232342922</v>
      </c>
      <c r="BD114" s="312">
        <f t="shared" si="197"/>
        <v>13419.912435749928</v>
      </c>
      <c r="BE114" s="312">
        <f t="shared" si="197"/>
        <v>13575.453442063399</v>
      </c>
      <c r="BF114" s="317">
        <f t="shared" si="197"/>
        <v>13786.15869964374</v>
      </c>
      <c r="BG114" s="488">
        <f t="shared" si="197"/>
        <v>13786.158699643742</v>
      </c>
      <c r="BH114" s="316">
        <f t="shared" si="197"/>
        <v>13965.271557116645</v>
      </c>
      <c r="BI114" s="312">
        <f t="shared" si="197"/>
        <v>14204.152468358816</v>
      </c>
      <c r="BJ114" s="312">
        <f t="shared" si="197"/>
        <v>14343.569664640978</v>
      </c>
      <c r="BK114" s="317">
        <f t="shared" si="197"/>
        <v>14538.008728982542</v>
      </c>
      <c r="BL114" s="488">
        <f t="shared" si="197"/>
        <v>14538.008728982542</v>
      </c>
      <c r="BM114" s="316">
        <f t="shared" ref="BM114:BQ114" si="198">BM108+BM110</f>
        <v>14690.89533303715</v>
      </c>
      <c r="BN114" s="312">
        <f t="shared" si="198"/>
        <v>14907.942437310865</v>
      </c>
      <c r="BO114" s="312">
        <f t="shared" si="198"/>
        <v>15019.473719101341</v>
      </c>
      <c r="BP114" s="317">
        <f t="shared" si="198"/>
        <v>15185.825934492177</v>
      </c>
      <c r="BQ114" s="488">
        <f t="shared" si="198"/>
        <v>15185.825934492177</v>
      </c>
      <c r="BT114"/>
      <c r="BU114"/>
      <c r="BV114"/>
      <c r="BW114"/>
      <c r="BX114"/>
      <c r="BY114"/>
      <c r="CB114" s="489"/>
    </row>
    <row r="115" spans="1:124" s="81" customFormat="1">
      <c r="A115" s="221"/>
      <c r="B115" s="221"/>
      <c r="C115" s="221" t="s">
        <v>430</v>
      </c>
      <c r="D115" s="315"/>
      <c r="E115" s="316"/>
      <c r="F115" s="312"/>
      <c r="G115" s="312"/>
      <c r="H115" s="317"/>
      <c r="I115" s="488"/>
      <c r="J115" s="316"/>
      <c r="K115" s="312"/>
      <c r="L115" s="312"/>
      <c r="M115" s="317"/>
      <c r="N115" s="488"/>
      <c r="O115" s="316"/>
      <c r="P115" s="312"/>
      <c r="Q115" s="312"/>
      <c r="R115" s="317"/>
      <c r="S115" s="488"/>
      <c r="T115" s="316"/>
      <c r="U115" s="312"/>
      <c r="V115" s="312"/>
      <c r="W115" s="317"/>
      <c r="X115" s="488"/>
      <c r="Y115" s="316"/>
      <c r="Z115" s="312"/>
      <c r="AA115" s="312"/>
      <c r="AB115" s="317"/>
      <c r="AC115" s="488"/>
      <c r="AD115" s="316"/>
      <c r="AE115" s="312"/>
      <c r="AF115" s="312"/>
      <c r="AG115" s="317"/>
      <c r="AH115" s="488"/>
      <c r="AI115" s="316">
        <f t="shared" ref="AI115:AN115" si="199">AI109+AI111</f>
        <v>9378.4250000000029</v>
      </c>
      <c r="AJ115" s="312">
        <f t="shared" si="199"/>
        <v>9342.6520000000019</v>
      </c>
      <c r="AK115" s="312">
        <f t="shared" si="199"/>
        <v>9022.1640000000007</v>
      </c>
      <c r="AL115" s="317">
        <f t="shared" si="199"/>
        <v>8809.3189999999995</v>
      </c>
      <c r="AM115" s="488">
        <f t="shared" si="199"/>
        <v>8809.3189999999995</v>
      </c>
      <c r="AN115" s="316">
        <f t="shared" si="199"/>
        <v>9244.4179999999978</v>
      </c>
      <c r="AO115" s="312">
        <f t="shared" ref="AO115:AS115" si="200">AO109+AO111</f>
        <v>9664.7620000000006</v>
      </c>
      <c r="AP115" s="312">
        <f t="shared" si="200"/>
        <v>10036.716999999999</v>
      </c>
      <c r="AQ115" s="317">
        <f t="shared" si="200"/>
        <v>9592.0650000000023</v>
      </c>
      <c r="AR115" s="488">
        <f t="shared" si="200"/>
        <v>9592.0650000000023</v>
      </c>
      <c r="AS115" s="316">
        <f t="shared" si="200"/>
        <v>9876.0349999999999</v>
      </c>
      <c r="AT115" s="312">
        <f t="shared" ref="AT115" si="201">AT109+AT111</f>
        <v>10302.36</v>
      </c>
      <c r="AU115" s="312">
        <f t="shared" ref="AU115:AW115" si="202">AU109+AU111</f>
        <v>10424.172</v>
      </c>
      <c r="AV115" s="317">
        <f t="shared" si="202"/>
        <v>9955.6400000000012</v>
      </c>
      <c r="AW115" s="488">
        <f t="shared" si="202"/>
        <v>9955.6400000000012</v>
      </c>
      <c r="AX115" s="316">
        <f t="shared" si="196"/>
        <v>10305.184129698522</v>
      </c>
      <c r="AY115" s="312">
        <f t="shared" si="196"/>
        <v>11107.880121454325</v>
      </c>
      <c r="AZ115" s="312">
        <f t="shared" si="196"/>
        <v>11062.341148198697</v>
      </c>
      <c r="BA115" s="317">
        <f t="shared" si="196"/>
        <v>11077.250370859409</v>
      </c>
      <c r="BB115" s="488">
        <f t="shared" si="196"/>
        <v>11077.250370859409</v>
      </c>
      <c r="BC115" s="316">
        <f t="shared" ref="BC115:BL115" si="203">BC109+BC111</f>
        <v>11163.144250443082</v>
      </c>
      <c r="BD115" s="312">
        <f t="shared" si="203"/>
        <v>11268.432164038619</v>
      </c>
      <c r="BE115" s="312">
        <f t="shared" si="203"/>
        <v>9798.0580445099822</v>
      </c>
      <c r="BF115" s="317">
        <f t="shared" si="203"/>
        <v>9824.3031054979037</v>
      </c>
      <c r="BG115" s="488">
        <f t="shared" si="203"/>
        <v>9824.3031054979037</v>
      </c>
      <c r="BH115" s="316">
        <f t="shared" si="203"/>
        <v>9882.2904550095645</v>
      </c>
      <c r="BI115" s="312">
        <f t="shared" si="203"/>
        <v>9960.0863295953968</v>
      </c>
      <c r="BJ115" s="312">
        <f t="shared" si="203"/>
        <v>10027.675354402823</v>
      </c>
      <c r="BK115" s="317">
        <f t="shared" si="203"/>
        <v>10112.672361267389</v>
      </c>
      <c r="BL115" s="488">
        <f t="shared" si="203"/>
        <v>10112.672361267389</v>
      </c>
      <c r="BM115" s="316">
        <f t="shared" ref="BM115:BQ115" si="204">BM109+BM111</f>
        <v>10130.059863321039</v>
      </c>
      <c r="BN115" s="312">
        <f t="shared" si="204"/>
        <v>10181.857598812232</v>
      </c>
      <c r="BO115" s="312">
        <f t="shared" si="204"/>
        <v>10217.981261301878</v>
      </c>
      <c r="BP115" s="317">
        <f t="shared" si="204"/>
        <v>10241.014730058874</v>
      </c>
      <c r="BQ115" s="488">
        <f t="shared" si="204"/>
        <v>10241.014730058874</v>
      </c>
      <c r="BT115"/>
      <c r="BU115"/>
      <c r="BV115"/>
      <c r="BW115"/>
      <c r="BX115"/>
      <c r="BY115"/>
      <c r="CB115" s="489"/>
    </row>
    <row r="116" spans="1:124">
      <c r="A116" s="92"/>
      <c r="B116" s="92"/>
      <c r="C116" s="92"/>
      <c r="D116" s="89"/>
      <c r="E116" s="145"/>
      <c r="F116" s="146"/>
      <c r="G116" s="146"/>
      <c r="H116" s="147"/>
      <c r="I116" s="94"/>
      <c r="J116" s="145"/>
      <c r="K116" s="146"/>
      <c r="L116" s="146"/>
      <c r="M116" s="147"/>
      <c r="N116" s="94"/>
      <c r="O116" s="145"/>
      <c r="P116" s="146"/>
      <c r="Q116" s="146"/>
      <c r="R116" s="147"/>
      <c r="S116" s="94"/>
      <c r="T116" s="145"/>
      <c r="U116" s="146"/>
      <c r="V116" s="146"/>
      <c r="W116" s="147"/>
      <c r="X116" s="94"/>
      <c r="Y116" s="145"/>
      <c r="Z116" s="146"/>
      <c r="AA116" s="146"/>
      <c r="AB116" s="147"/>
      <c r="AC116" s="94"/>
      <c r="AD116" s="145"/>
      <c r="AE116" s="146"/>
      <c r="AF116" s="146"/>
      <c r="AG116" s="147"/>
      <c r="AH116" s="94"/>
      <c r="AI116" s="145"/>
      <c r="AJ116" s="146"/>
      <c r="AK116" s="146"/>
      <c r="AL116" s="147"/>
      <c r="AM116" s="94"/>
      <c r="AN116" s="145"/>
      <c r="AO116" s="146"/>
      <c r="AP116" s="146"/>
      <c r="AQ116" s="147"/>
      <c r="AR116" s="94"/>
      <c r="AS116" s="145"/>
      <c r="AT116" s="146"/>
      <c r="AU116" s="146"/>
      <c r="AV116" s="147"/>
      <c r="AW116" s="94"/>
      <c r="AX116" s="145"/>
      <c r="AY116" s="146"/>
      <c r="AZ116" s="146"/>
      <c r="BA116" s="147"/>
      <c r="BB116" s="94"/>
      <c r="BC116" s="145"/>
      <c r="BD116" s="146"/>
      <c r="BE116" s="146"/>
      <c r="BF116" s="147"/>
      <c r="BG116" s="94"/>
      <c r="BH116" s="145"/>
      <c r="BI116" s="146"/>
      <c r="BJ116" s="146"/>
      <c r="BK116" s="147"/>
      <c r="BL116" s="94"/>
      <c r="BM116" s="145"/>
      <c r="BN116" s="146"/>
      <c r="BO116" s="146"/>
      <c r="BP116" s="147"/>
      <c r="BQ116" s="94"/>
      <c r="CB116" s="276"/>
    </row>
    <row r="117" spans="1:124">
      <c r="A117" s="92"/>
      <c r="B117" s="92"/>
      <c r="C117" s="92"/>
      <c r="D117" s="89"/>
      <c r="E117" s="145"/>
      <c r="F117" s="146"/>
      <c r="G117" s="146"/>
      <c r="H117" s="147"/>
      <c r="I117" s="94"/>
      <c r="J117" s="145"/>
      <c r="K117" s="146"/>
      <c r="L117" s="146"/>
      <c r="M117" s="147"/>
      <c r="N117" s="94"/>
      <c r="O117" s="145"/>
      <c r="P117" s="146"/>
      <c r="Q117" s="146"/>
      <c r="R117" s="147"/>
      <c r="S117" s="94"/>
      <c r="T117" s="145"/>
      <c r="U117" s="146"/>
      <c r="V117" s="146"/>
      <c r="W117" s="147"/>
      <c r="X117" s="94"/>
      <c r="Y117" s="145"/>
      <c r="Z117" s="146"/>
      <c r="AA117" s="146"/>
      <c r="AB117" s="147"/>
      <c r="AC117" s="94"/>
      <c r="AD117" s="145"/>
      <c r="AE117" s="146"/>
      <c r="AF117" s="146"/>
      <c r="AG117" s="147"/>
      <c r="AH117" s="94"/>
      <c r="AI117" s="145"/>
      <c r="AJ117" s="146"/>
      <c r="AK117" s="146"/>
      <c r="AL117" s="147"/>
      <c r="AM117" s="94"/>
      <c r="AN117" s="145"/>
      <c r="AO117" s="146"/>
      <c r="AP117" s="146"/>
      <c r="AQ117" s="147"/>
      <c r="AR117" s="94"/>
      <c r="AS117" s="145"/>
      <c r="AT117" s="146"/>
      <c r="AU117" s="146"/>
      <c r="AV117" s="147"/>
      <c r="AW117" s="94"/>
      <c r="AX117" s="145"/>
      <c r="AY117" s="146"/>
      <c r="AZ117" s="146"/>
      <c r="BA117" s="147"/>
      <c r="BB117" s="94"/>
      <c r="BC117" s="145"/>
      <c r="BD117" s="146"/>
      <c r="BE117" s="146"/>
      <c r="BF117" s="147"/>
      <c r="BG117" s="94"/>
      <c r="BH117" s="145"/>
      <c r="BI117" s="146"/>
      <c r="BJ117" s="146"/>
      <c r="BK117" s="147"/>
      <c r="BL117" s="94"/>
      <c r="BM117" s="145"/>
      <c r="BN117" s="146"/>
      <c r="BO117" s="146"/>
      <c r="BP117" s="147"/>
      <c r="BQ117" s="94"/>
      <c r="CB117" s="276"/>
    </row>
    <row r="118" spans="1:124">
      <c r="A118" s="92"/>
      <c r="B118" s="126" t="s">
        <v>431</v>
      </c>
      <c r="C118" s="32"/>
      <c r="D118" s="128"/>
      <c r="E118" s="145"/>
      <c r="F118" s="146"/>
      <c r="G118" s="146"/>
      <c r="H118" s="147"/>
      <c r="I118" s="94"/>
      <c r="J118" s="145"/>
      <c r="K118" s="146"/>
      <c r="L118" s="146"/>
      <c r="M118" s="147"/>
      <c r="N118" s="94"/>
      <c r="O118" s="145"/>
      <c r="P118" s="146"/>
      <c r="Q118" s="146"/>
      <c r="R118" s="147"/>
      <c r="S118" s="94"/>
      <c r="T118" s="145"/>
      <c r="U118" s="146"/>
      <c r="V118" s="146"/>
      <c r="W118" s="147"/>
      <c r="X118" s="94"/>
      <c r="Y118" s="145"/>
      <c r="Z118" s="146"/>
      <c r="AA118" s="146"/>
      <c r="AB118" s="147"/>
      <c r="AC118" s="94"/>
      <c r="AD118" s="145"/>
      <c r="AE118" s="146"/>
      <c r="AF118" s="146"/>
      <c r="AG118" s="147"/>
      <c r="AH118" s="94"/>
      <c r="AI118" s="145"/>
      <c r="AJ118" s="146"/>
      <c r="AK118" s="146"/>
      <c r="AL118" s="147"/>
      <c r="AM118" s="94"/>
      <c r="AN118" s="145"/>
      <c r="AO118" s="146"/>
      <c r="AP118" s="146"/>
      <c r="AQ118" s="147"/>
      <c r="AR118" s="94"/>
      <c r="AS118" s="145"/>
      <c r="AT118" s="146"/>
      <c r="AU118" s="146"/>
      <c r="AV118" s="147"/>
      <c r="AW118" s="94"/>
      <c r="AX118" s="145"/>
      <c r="AY118" s="146"/>
      <c r="AZ118" s="146"/>
      <c r="BA118" s="147"/>
      <c r="BB118" s="94"/>
      <c r="BC118" s="145"/>
      <c r="BD118" s="146"/>
      <c r="BE118" s="146"/>
      <c r="BF118" s="147"/>
      <c r="BG118" s="94"/>
      <c r="BH118" s="145"/>
      <c r="BI118" s="146"/>
      <c r="BJ118" s="146"/>
      <c r="BK118" s="147"/>
      <c r="BL118" s="94"/>
      <c r="BM118" s="145"/>
      <c r="BN118" s="146"/>
      <c r="BO118" s="146"/>
      <c r="BP118" s="147"/>
      <c r="BQ118" s="94"/>
      <c r="CB118" s="276"/>
    </row>
    <row r="119" spans="1:124" s="81" customFormat="1">
      <c r="A119" s="221"/>
      <c r="B119" s="221"/>
      <c r="C119" s="742" t="s">
        <v>399</v>
      </c>
      <c r="D119" s="315"/>
      <c r="E119" s="316"/>
      <c r="F119" s="312"/>
      <c r="G119" s="312"/>
      <c r="H119" s="317"/>
      <c r="I119" s="488"/>
      <c r="J119" s="316"/>
      <c r="K119" s="312"/>
      <c r="L119" s="312"/>
      <c r="M119" s="317"/>
      <c r="N119" s="488"/>
      <c r="O119" s="316"/>
      <c r="P119" s="312"/>
      <c r="Q119" s="312"/>
      <c r="R119" s="317"/>
      <c r="S119" s="488"/>
      <c r="T119" s="316"/>
      <c r="U119" s="312"/>
      <c r="V119" s="312"/>
      <c r="W119" s="317"/>
      <c r="X119" s="488"/>
      <c r="Y119" s="316">
        <f>-Distribution!Y158</f>
        <v>0</v>
      </c>
      <c r="Z119" s="312">
        <f>-Distribution!Z158</f>
        <v>0</v>
      </c>
      <c r="AA119" s="312">
        <f>-Distribution!AA158</f>
        <v>0</v>
      </c>
      <c r="AB119" s="317">
        <f>-Distribution!AB158</f>
        <v>0</v>
      </c>
      <c r="AC119" s="488">
        <f>-Distribution!AC158</f>
        <v>0</v>
      </c>
      <c r="AD119" s="316">
        <f>-Distribution!AD158</f>
        <v>175</v>
      </c>
      <c r="AE119" s="312">
        <f>-Distribution!AE158</f>
        <v>175</v>
      </c>
      <c r="AF119" s="312">
        <f>-Distribution!AF158</f>
        <v>175</v>
      </c>
      <c r="AG119" s="317">
        <f>-Distribution!AG158</f>
        <v>175</v>
      </c>
      <c r="AH119" s="488">
        <f>-Distribution!AH158</f>
        <v>700</v>
      </c>
      <c r="AI119" s="316">
        <f>-Distribution!AI158</f>
        <v>250</v>
      </c>
      <c r="AJ119" s="312">
        <f>-Distribution!AJ158</f>
        <v>250</v>
      </c>
      <c r="AK119" s="312">
        <f>-Distribution!AK158</f>
        <v>250</v>
      </c>
      <c r="AL119" s="317">
        <f>-Distribution!AL158</f>
        <v>250</v>
      </c>
      <c r="AM119" s="488">
        <f>-Distribution!AM158</f>
        <v>1000</v>
      </c>
      <c r="AN119" s="316">
        <f>-Distribution!AN158</f>
        <v>0</v>
      </c>
      <c r="AO119" s="312">
        <f>-Distribution!AO158</f>
        <v>0</v>
      </c>
      <c r="AP119" s="312">
        <f>-Distribution!AP158</f>
        <v>0</v>
      </c>
      <c r="AQ119" s="317">
        <f>-Distribution!AQ158</f>
        <v>0</v>
      </c>
      <c r="AR119" s="488">
        <f>-Distribution!AR158</f>
        <v>0</v>
      </c>
      <c r="AS119" s="316">
        <f>-Distribution!AS158</f>
        <v>250</v>
      </c>
      <c r="AT119" s="312">
        <f>-Distribution!AT158</f>
        <v>250</v>
      </c>
      <c r="AU119" s="312">
        <f>-Distribution!AU158</f>
        <v>250</v>
      </c>
      <c r="AV119" s="317">
        <f>-Distribution!AV158</f>
        <v>250</v>
      </c>
      <c r="AW119" s="488">
        <f>-Distribution!AW158</f>
        <v>1000</v>
      </c>
      <c r="AX119" s="316">
        <f>-Distribution!AX158</f>
        <v>262.5</v>
      </c>
      <c r="AY119" s="312">
        <f>-Distribution!AY158</f>
        <v>262.5</v>
      </c>
      <c r="AZ119" s="312">
        <f>-Distribution!AZ158</f>
        <v>262.5</v>
      </c>
      <c r="BA119" s="317">
        <f>-Distribution!BA158</f>
        <v>262.5</v>
      </c>
      <c r="BB119" s="488">
        <f>-Distribution!BB158</f>
        <v>1050</v>
      </c>
      <c r="BC119" s="316">
        <f>-Distribution!BC158</f>
        <v>225</v>
      </c>
      <c r="BD119" s="312">
        <f>-Distribution!BD158</f>
        <v>225</v>
      </c>
      <c r="BE119" s="312">
        <f>-Distribution!BE158</f>
        <v>225</v>
      </c>
      <c r="BF119" s="317">
        <f>-Distribution!BF158</f>
        <v>225</v>
      </c>
      <c r="BG119" s="488">
        <f>-Distribution!BG158</f>
        <v>900</v>
      </c>
      <c r="BH119" s="316">
        <f>-Distribution!BH158</f>
        <v>187.5</v>
      </c>
      <c r="BI119" s="312">
        <f>-Distribution!BI158</f>
        <v>187.5</v>
      </c>
      <c r="BJ119" s="312">
        <f>-Distribution!BJ158</f>
        <v>187.5</v>
      </c>
      <c r="BK119" s="317">
        <f>-Distribution!BK158</f>
        <v>187.5</v>
      </c>
      <c r="BL119" s="488">
        <f>-Distribution!BL158</f>
        <v>750</v>
      </c>
      <c r="BM119" s="316">
        <f>-Distribution!BM158</f>
        <v>200</v>
      </c>
      <c r="BN119" s="312">
        <f>-Distribution!BN158</f>
        <v>200</v>
      </c>
      <c r="BO119" s="312">
        <f>-Distribution!BO158</f>
        <v>200</v>
      </c>
      <c r="BP119" s="317">
        <f>-Distribution!BP158</f>
        <v>200</v>
      </c>
      <c r="BQ119" s="488">
        <f>-Distribution!BQ158</f>
        <v>800</v>
      </c>
      <c r="BT119"/>
      <c r="BU119"/>
      <c r="BV119"/>
      <c r="BW119"/>
      <c r="BX119"/>
      <c r="BY119"/>
      <c r="CB119" s="489"/>
    </row>
    <row r="120" spans="1:124" s="81" customFormat="1">
      <c r="A120" s="221"/>
      <c r="B120" s="221"/>
      <c r="C120" s="742" t="s">
        <v>434</v>
      </c>
      <c r="D120" s="315"/>
      <c r="E120" s="316"/>
      <c r="F120" s="312"/>
      <c r="G120" s="312"/>
      <c r="H120" s="317"/>
      <c r="I120" s="488"/>
      <c r="J120" s="316"/>
      <c r="K120" s="312"/>
      <c r="L120" s="312"/>
      <c r="M120" s="317"/>
      <c r="N120" s="488"/>
      <c r="O120" s="316"/>
      <c r="P120" s="312"/>
      <c r="Q120" s="312"/>
      <c r="R120" s="317"/>
      <c r="S120" s="488"/>
      <c r="T120" s="316"/>
      <c r="U120" s="312"/>
      <c r="V120" s="312"/>
      <c r="W120" s="317"/>
      <c r="X120" s="488"/>
      <c r="Y120" s="316">
        <f>-Competitive!Y606</f>
        <v>0</v>
      </c>
      <c r="Z120" s="312">
        <f>-Competitive!Z606</f>
        <v>0</v>
      </c>
      <c r="AA120" s="312">
        <f>-Competitive!AA606</f>
        <v>0</v>
      </c>
      <c r="AB120" s="317">
        <f>-Competitive!AB606</f>
        <v>0</v>
      </c>
      <c r="AC120" s="488">
        <f>-Competitive!AC606</f>
        <v>0</v>
      </c>
      <c r="AD120" s="316">
        <f>-Competitive!AD606</f>
        <v>0</v>
      </c>
      <c r="AE120" s="312">
        <f>-Competitive!AE606</f>
        <v>0</v>
      </c>
      <c r="AF120" s="312">
        <f>-Competitive!AF606</f>
        <v>0</v>
      </c>
      <c r="AG120" s="317">
        <f>-Competitive!AG606</f>
        <v>0</v>
      </c>
      <c r="AH120" s="488">
        <f>-Competitive!AH606</f>
        <v>0</v>
      </c>
      <c r="AI120" s="316">
        <f>-Competitive!AI606</f>
        <v>0</v>
      </c>
      <c r="AJ120" s="312">
        <f>-Competitive!AJ606</f>
        <v>0</v>
      </c>
      <c r="AK120" s="312">
        <f>-Competitive!AK606</f>
        <v>0</v>
      </c>
      <c r="AL120" s="317">
        <f>-Competitive!AL606</f>
        <v>0</v>
      </c>
      <c r="AM120" s="488">
        <f>-Competitive!AM606</f>
        <v>0</v>
      </c>
      <c r="AN120" s="316">
        <f>-Competitive!AN606</f>
        <v>0</v>
      </c>
      <c r="AO120" s="312">
        <f>-Competitive!AO606</f>
        <v>0</v>
      </c>
      <c r="AP120" s="312">
        <f>-Competitive!AP606</f>
        <v>0</v>
      </c>
      <c r="AQ120" s="317">
        <f>-Competitive!AQ606</f>
        <v>0</v>
      </c>
      <c r="AR120" s="488">
        <f>-Competitive!AR606</f>
        <v>0</v>
      </c>
      <c r="AS120" s="316">
        <f>-Competitive!AS606</f>
        <v>0</v>
      </c>
      <c r="AT120" s="312">
        <f>-Competitive!AT606</f>
        <v>0</v>
      </c>
      <c r="AU120" s="312">
        <f>-Competitive!AU606</f>
        <v>0</v>
      </c>
      <c r="AV120" s="317">
        <f>-Competitive!AV606</f>
        <v>0</v>
      </c>
      <c r="AW120" s="488">
        <f>-Competitive!AW606</f>
        <v>0</v>
      </c>
      <c r="AX120" s="316">
        <f>-Competitive!AX606</f>
        <v>-50</v>
      </c>
      <c r="AY120" s="312">
        <f>-Competitive!AY606</f>
        <v>-50</v>
      </c>
      <c r="AZ120" s="312">
        <f>-Competitive!AZ606</f>
        <v>-50</v>
      </c>
      <c r="BA120" s="317">
        <f>-Competitive!BA606</f>
        <v>-50</v>
      </c>
      <c r="BB120" s="488">
        <f>-Competitive!BB606</f>
        <v>-200</v>
      </c>
      <c r="BC120" s="316">
        <f>-Competitive!BC606</f>
        <v>-50</v>
      </c>
      <c r="BD120" s="312">
        <f>-Competitive!BD606</f>
        <v>-50</v>
      </c>
      <c r="BE120" s="312">
        <f>-Competitive!BE606</f>
        <v>-50</v>
      </c>
      <c r="BF120" s="317">
        <f>-Competitive!BF606</f>
        <v>-50</v>
      </c>
      <c r="BG120" s="488">
        <f>-Competitive!BG606</f>
        <v>-200</v>
      </c>
      <c r="BH120" s="316">
        <f>-Competitive!BH606</f>
        <v>-100</v>
      </c>
      <c r="BI120" s="312">
        <f>-Competitive!BI606</f>
        <v>-100</v>
      </c>
      <c r="BJ120" s="312">
        <f>-Competitive!BJ606</f>
        <v>-100</v>
      </c>
      <c r="BK120" s="317">
        <f>-Competitive!BK606</f>
        <v>-100</v>
      </c>
      <c r="BL120" s="488">
        <f>-Competitive!BL606</f>
        <v>-400</v>
      </c>
      <c r="BM120" s="316">
        <f>-Competitive!BM606</f>
        <v>-100</v>
      </c>
      <c r="BN120" s="312">
        <f>-Competitive!BN606</f>
        <v>-100</v>
      </c>
      <c r="BO120" s="312">
        <f>-Competitive!BO606</f>
        <v>-100</v>
      </c>
      <c r="BP120" s="317">
        <f>-Competitive!BP606</f>
        <v>-100</v>
      </c>
      <c r="BQ120" s="488">
        <f>-Competitive!BQ606</f>
        <v>-400</v>
      </c>
      <c r="BT120"/>
      <c r="BU120"/>
      <c r="BV120"/>
      <c r="BW120"/>
      <c r="BX120"/>
      <c r="BY120"/>
      <c r="CB120" s="489"/>
    </row>
    <row r="121" spans="1:124" s="81" customFormat="1">
      <c r="A121" s="221"/>
      <c r="B121" s="221"/>
      <c r="C121" s="742" t="s">
        <v>426</v>
      </c>
      <c r="D121" s="315"/>
      <c r="E121" s="316"/>
      <c r="F121" s="312"/>
      <c r="G121" s="312"/>
      <c r="H121" s="317"/>
      <c r="I121" s="488"/>
      <c r="J121" s="316"/>
      <c r="K121" s="312"/>
      <c r="L121" s="312"/>
      <c r="M121" s="317"/>
      <c r="N121" s="488"/>
      <c r="O121" s="316"/>
      <c r="P121" s="312"/>
      <c r="Q121" s="312"/>
      <c r="R121" s="317"/>
      <c r="S121" s="488"/>
      <c r="T121" s="316"/>
      <c r="U121" s="312"/>
      <c r="V121" s="312"/>
      <c r="W121" s="317"/>
      <c r="X121" s="488"/>
      <c r="Y121" s="316">
        <f t="shared" ref="Y121:AN121" si="205">Y144</f>
        <v>0</v>
      </c>
      <c r="Z121" s="312">
        <f>Z144</f>
        <v>0</v>
      </c>
      <c r="AA121" s="312">
        <f>AA144</f>
        <v>0</v>
      </c>
      <c r="AB121" s="317">
        <f t="shared" si="205"/>
        <v>0</v>
      </c>
      <c r="AC121" s="488">
        <f>AC144</f>
        <v>0</v>
      </c>
      <c r="AD121" s="316">
        <f>AD144</f>
        <v>0</v>
      </c>
      <c r="AE121" s="312">
        <f>AE144</f>
        <v>0</v>
      </c>
      <c r="AF121" s="312">
        <f>AF144</f>
        <v>0</v>
      </c>
      <c r="AG121" s="317">
        <f>AG144</f>
        <v>0</v>
      </c>
      <c r="AH121" s="488">
        <f t="shared" si="205"/>
        <v>0</v>
      </c>
      <c r="AI121" s="316">
        <f t="shared" si="205"/>
        <v>0</v>
      </c>
      <c r="AJ121" s="312">
        <f t="shared" si="205"/>
        <v>0</v>
      </c>
      <c r="AK121" s="312">
        <f>AK144</f>
        <v>0</v>
      </c>
      <c r="AL121" s="317">
        <f t="shared" si="205"/>
        <v>0</v>
      </c>
      <c r="AM121" s="488">
        <f t="shared" si="205"/>
        <v>0</v>
      </c>
      <c r="AN121" s="316">
        <f t="shared" si="205"/>
        <v>0</v>
      </c>
      <c r="AO121" s="312">
        <f t="shared" ref="AO121" si="206">AO144</f>
        <v>0</v>
      </c>
      <c r="AP121" s="312">
        <f>AP144</f>
        <v>0</v>
      </c>
      <c r="AQ121" s="317">
        <f t="shared" ref="AQ121:AT121" si="207">AQ144</f>
        <v>0</v>
      </c>
      <c r="AR121" s="488">
        <f t="shared" si="207"/>
        <v>0</v>
      </c>
      <c r="AS121" s="316">
        <f t="shared" si="207"/>
        <v>0</v>
      </c>
      <c r="AT121" s="312">
        <f t="shared" si="207"/>
        <v>0</v>
      </c>
      <c r="AU121" s="312">
        <f t="shared" ref="AU121:AW121" si="208">AU144</f>
        <v>0</v>
      </c>
      <c r="AV121" s="317">
        <f t="shared" si="208"/>
        <v>0</v>
      </c>
      <c r="AW121" s="488">
        <f t="shared" si="208"/>
        <v>0</v>
      </c>
      <c r="AX121" s="316">
        <f t="shared" ref="AX121:BB121" si="209">AX144</f>
        <v>850</v>
      </c>
      <c r="AY121" s="312">
        <f t="shared" si="209"/>
        <v>0</v>
      </c>
      <c r="AZ121" s="312">
        <f t="shared" si="209"/>
        <v>100</v>
      </c>
      <c r="BA121" s="317">
        <f t="shared" si="209"/>
        <v>0</v>
      </c>
      <c r="BB121" s="488">
        <f t="shared" si="209"/>
        <v>950</v>
      </c>
      <c r="BC121" s="316">
        <f t="shared" ref="BC121:BL121" si="210">BC144</f>
        <v>0</v>
      </c>
      <c r="BD121" s="312">
        <f t="shared" si="210"/>
        <v>0</v>
      </c>
      <c r="BE121" s="312">
        <f t="shared" si="210"/>
        <v>1620</v>
      </c>
      <c r="BF121" s="317">
        <f t="shared" si="210"/>
        <v>100</v>
      </c>
      <c r="BG121" s="488">
        <f t="shared" si="210"/>
        <v>1720</v>
      </c>
      <c r="BH121" s="316">
        <f t="shared" si="210"/>
        <v>25</v>
      </c>
      <c r="BI121" s="312">
        <f t="shared" si="210"/>
        <v>25</v>
      </c>
      <c r="BJ121" s="312">
        <f t="shared" si="210"/>
        <v>25</v>
      </c>
      <c r="BK121" s="317">
        <f t="shared" si="210"/>
        <v>25</v>
      </c>
      <c r="BL121" s="488">
        <f t="shared" si="210"/>
        <v>100</v>
      </c>
      <c r="BM121" s="316">
        <f t="shared" ref="BM121:BQ121" si="211">BM144</f>
        <v>21.5625</v>
      </c>
      <c r="BN121" s="312">
        <f t="shared" si="211"/>
        <v>21.5625</v>
      </c>
      <c r="BO121" s="312">
        <f t="shared" si="211"/>
        <v>21.5625</v>
      </c>
      <c r="BP121" s="317">
        <f t="shared" si="211"/>
        <v>21.5625</v>
      </c>
      <c r="BQ121" s="488">
        <f t="shared" si="211"/>
        <v>86.25</v>
      </c>
      <c r="BT121"/>
      <c r="BU121"/>
      <c r="BV121"/>
      <c r="BW121"/>
      <c r="BX121"/>
      <c r="BY121"/>
      <c r="CB121" s="489"/>
    </row>
    <row r="122" spans="1:124" s="81" customFormat="1">
      <c r="A122" s="221"/>
      <c r="B122" s="221"/>
      <c r="C122" s="742" t="s">
        <v>433</v>
      </c>
      <c r="D122" s="315"/>
      <c r="E122" s="316"/>
      <c r="F122" s="312"/>
      <c r="G122" s="312"/>
      <c r="H122" s="317"/>
      <c r="I122" s="488"/>
      <c r="J122" s="316"/>
      <c r="K122" s="312"/>
      <c r="L122" s="312"/>
      <c r="M122" s="317"/>
      <c r="N122" s="488"/>
      <c r="O122" s="316"/>
      <c r="P122" s="312"/>
      <c r="Q122" s="312"/>
      <c r="R122" s="317"/>
      <c r="S122" s="488"/>
      <c r="T122" s="316"/>
      <c r="U122" s="312"/>
      <c r="V122" s="312"/>
      <c r="W122" s="317"/>
      <c r="X122" s="488"/>
      <c r="Y122" s="316">
        <f>Parent!Y37+Parent!Y66</f>
        <v>-27</v>
      </c>
      <c r="Z122" s="312">
        <f>Parent!Z37+Parent!Z66</f>
        <v>-55</v>
      </c>
      <c r="AA122" s="312">
        <f>Parent!AA37+Parent!AA66</f>
        <v>2</v>
      </c>
      <c r="AB122" s="317">
        <f>Parent!AB37+Parent!AB66</f>
        <v>-23</v>
      </c>
      <c r="AC122" s="488">
        <f>Parent!AC37+Parent!AC66</f>
        <v>-181</v>
      </c>
      <c r="AD122" s="316">
        <f>Parent!AD37+Parent!AD66</f>
        <v>-91</v>
      </c>
      <c r="AE122" s="312">
        <f>Parent!AE37+Parent!AE66</f>
        <v>-65</v>
      </c>
      <c r="AF122" s="312">
        <f>Parent!AF37+Parent!AF66</f>
        <v>-72</v>
      </c>
      <c r="AG122" s="317">
        <f>Parent!AG37+Parent!AG66</f>
        <v>-129</v>
      </c>
      <c r="AH122" s="488">
        <f>Parent!AH37+Parent!AH66</f>
        <v>-357</v>
      </c>
      <c r="AI122" s="316">
        <f>Parent!AI37+Parent!AI66</f>
        <v>-117</v>
      </c>
      <c r="AJ122" s="312">
        <f>Parent!AJ37+Parent!AJ66</f>
        <v>-101</v>
      </c>
      <c r="AK122" s="312">
        <f>Parent!AK37+Parent!AK66</f>
        <v>-68</v>
      </c>
      <c r="AL122" s="317">
        <f>Parent!AL37+Parent!AL66</f>
        <v>-387</v>
      </c>
      <c r="AM122" s="488">
        <f>Parent!AM37+Parent!AM66</f>
        <v>-673</v>
      </c>
      <c r="AN122" s="316">
        <f>Parent!AN37+Parent!AN66</f>
        <v>-213</v>
      </c>
      <c r="AO122" s="312">
        <f>Parent!AO37+Parent!AO66</f>
        <v>-103</v>
      </c>
      <c r="AP122" s="312">
        <f>Parent!AP37+Parent!AP66</f>
        <v>-79</v>
      </c>
      <c r="AQ122" s="317">
        <f>Parent!AQ37+Parent!AQ66</f>
        <v>-129</v>
      </c>
      <c r="AR122" s="488">
        <f>Parent!AR37+Parent!AR66</f>
        <v>-524</v>
      </c>
      <c r="AS122" s="316">
        <f>Parent!AS37+Parent!AS66</f>
        <v>-116</v>
      </c>
      <c r="AT122" s="312">
        <f>Parent!AT37+Parent!AT66</f>
        <v>27</v>
      </c>
      <c r="AU122" s="312">
        <f>Parent!AU37+Parent!AU66</f>
        <v>-39</v>
      </c>
      <c r="AV122" s="317">
        <f>Parent!AV37+Parent!AV66</f>
        <v>-510</v>
      </c>
      <c r="AW122" s="488">
        <f>Parent!AW37+Parent!AW66</f>
        <v>-638</v>
      </c>
      <c r="AX122" s="316">
        <f>Parent!AX37+Parent!AX66</f>
        <v>-94.237271157986868</v>
      </c>
      <c r="AY122" s="312">
        <f>Parent!AY37+Parent!AY66</f>
        <v>-106.11863783065694</v>
      </c>
      <c r="AZ122" s="312">
        <f>Parent!AZ37+Parent!AZ66</f>
        <v>-151.55159089563782</v>
      </c>
      <c r="BA122" s="317">
        <f>Parent!BA37+Parent!BA66</f>
        <v>-101.19327040619311</v>
      </c>
      <c r="BB122" s="488">
        <f>Parent!BB37+Parent!BB66</f>
        <v>-400.10077029047471</v>
      </c>
      <c r="BC122" s="316">
        <f>Parent!BC37+Parent!BC66</f>
        <v>-96.970669643843976</v>
      </c>
      <c r="BD122" s="312">
        <f>Parent!BD37+Parent!BD66</f>
        <v>-107.48634068465783</v>
      </c>
      <c r="BE122" s="312">
        <f>Parent!BE37+Parent!BE66</f>
        <v>-139.08913632996808</v>
      </c>
      <c r="BF122" s="317">
        <f>Parent!BF37+Parent!BF66</f>
        <v>-88.879701707292057</v>
      </c>
      <c r="BG122" s="488">
        <f>Parent!BG37+Parent!BG66</f>
        <v>-379.42584836576202</v>
      </c>
      <c r="BH122" s="316">
        <f>Parent!BH37+Parent!BH66</f>
        <v>-83.194420649030846</v>
      </c>
      <c r="BI122" s="312">
        <f>Parent!BI37+Parent!BI66</f>
        <v>-95.543019604762875</v>
      </c>
      <c r="BJ122" s="312">
        <f>Parent!BJ37+Parent!BJ66</f>
        <v>-87.311068281435482</v>
      </c>
      <c r="BK122" s="317">
        <f>Parent!BK37+Parent!BK66</f>
        <v>-90.475796477682792</v>
      </c>
      <c r="BL122" s="488">
        <f>Parent!BL37+Parent!BL66</f>
        <v>-356.52430501291195</v>
      </c>
      <c r="BM122" s="316">
        <f>Parent!BM37+Parent!BM66</f>
        <v>-85.071545763709054</v>
      </c>
      <c r="BN122" s="312">
        <f>Parent!BN37+Parent!BN66</f>
        <v>-97.856284186407308</v>
      </c>
      <c r="BO122" s="312">
        <f>Parent!BO37+Parent!BO66</f>
        <v>-86.969203282697094</v>
      </c>
      <c r="BP122" s="317">
        <f>Parent!BP37+Parent!BP66</f>
        <v>-90.078886255366896</v>
      </c>
      <c r="BQ122" s="488">
        <f>Parent!BQ37+Parent!BQ66</f>
        <v>-359.97591948818035</v>
      </c>
      <c r="BT122"/>
      <c r="BU122"/>
      <c r="BV122"/>
      <c r="BW122"/>
      <c r="BX122"/>
      <c r="BY122"/>
      <c r="CB122" s="489"/>
    </row>
    <row r="123" spans="1:124" s="81" customFormat="1">
      <c r="A123" s="221"/>
      <c r="B123" s="221"/>
      <c r="C123" s="742" t="s">
        <v>427</v>
      </c>
      <c r="D123" s="315"/>
      <c r="E123" s="316"/>
      <c r="F123" s="312"/>
      <c r="G123" s="312"/>
      <c r="H123" s="317"/>
      <c r="I123" s="488"/>
      <c r="J123" s="316"/>
      <c r="K123" s="312"/>
      <c r="L123" s="312"/>
      <c r="M123" s="317"/>
      <c r="N123" s="488"/>
      <c r="O123" s="316"/>
      <c r="P123" s="312"/>
      <c r="Q123" s="312"/>
      <c r="R123" s="317"/>
      <c r="S123" s="488"/>
      <c r="T123" s="316"/>
      <c r="U123" s="312"/>
      <c r="V123" s="312"/>
      <c r="W123" s="317"/>
      <c r="X123" s="488"/>
      <c r="Y123" s="316">
        <f>Parent!Y70+Parent!Y71</f>
        <v>0</v>
      </c>
      <c r="Z123" s="312">
        <f>Parent!Z70+Parent!Z71</f>
        <v>0</v>
      </c>
      <c r="AA123" s="312">
        <f>Parent!AA70+Parent!AA71</f>
        <v>0</v>
      </c>
      <c r="AB123" s="317">
        <f>Parent!AB70+Parent!AB71</f>
        <v>0</v>
      </c>
      <c r="AC123" s="488">
        <f>Parent!AC70+Parent!AC71</f>
        <v>0</v>
      </c>
      <c r="AD123" s="316">
        <f>Parent!AD70+Parent!AD71</f>
        <v>0</v>
      </c>
      <c r="AE123" s="312">
        <f>Parent!AE70+Parent!AE71</f>
        <v>0</v>
      </c>
      <c r="AF123" s="312">
        <f>Parent!AF70+Parent!AF71</f>
        <v>0</v>
      </c>
      <c r="AG123" s="317">
        <f>Parent!AG70+Parent!AG71</f>
        <v>0</v>
      </c>
      <c r="AH123" s="488">
        <f>Parent!AH70+Parent!AH71</f>
        <v>0</v>
      </c>
      <c r="AI123" s="316">
        <f>Parent!AI70+Parent!AI71</f>
        <v>0</v>
      </c>
      <c r="AJ123" s="312">
        <f>Parent!AJ70+Parent!AJ71</f>
        <v>0</v>
      </c>
      <c r="AK123" s="312">
        <f>Parent!AK70+Parent!AK71</f>
        <v>0</v>
      </c>
      <c r="AL123" s="317">
        <f>Parent!AL70+Parent!AL71</f>
        <v>0</v>
      </c>
      <c r="AM123" s="488">
        <f>Parent!AM70+Parent!AM71</f>
        <v>0</v>
      </c>
      <c r="AN123" s="316">
        <f>Parent!AN70+Parent!AN71</f>
        <v>0</v>
      </c>
      <c r="AO123" s="312">
        <f>Parent!AO70+Parent!AO71</f>
        <v>0</v>
      </c>
      <c r="AP123" s="312">
        <f>Parent!AP70+Parent!AP71</f>
        <v>0</v>
      </c>
      <c r="AQ123" s="317">
        <f>Parent!AQ70+Parent!AQ71</f>
        <v>0</v>
      </c>
      <c r="AR123" s="488">
        <f>Parent!AR70+Parent!AR71</f>
        <v>0</v>
      </c>
      <c r="AS123" s="316">
        <f>Parent!AS70+Parent!AS71</f>
        <v>250</v>
      </c>
      <c r="AT123" s="312">
        <f>Parent!AT70+Parent!AT71</f>
        <v>2350</v>
      </c>
      <c r="AU123" s="312">
        <f>Parent!AU70+Parent!AU71</f>
        <v>0</v>
      </c>
      <c r="AV123" s="317">
        <f>Parent!AV70+Parent!AV71</f>
        <v>0</v>
      </c>
      <c r="AW123" s="488">
        <f>Parent!AW70+Parent!AW71</f>
        <v>2600</v>
      </c>
      <c r="AX123" s="316">
        <f>Parent!AX70+Parent!AX71</f>
        <v>170</v>
      </c>
      <c r="AY123" s="312">
        <f>Parent!AY70+Parent!AY71</f>
        <v>0</v>
      </c>
      <c r="AZ123" s="312">
        <f>Parent!AZ70+Parent!AZ71</f>
        <v>0</v>
      </c>
      <c r="BA123" s="317">
        <f>Parent!BA70+Parent!BA71</f>
        <v>0</v>
      </c>
      <c r="BB123" s="488">
        <f>Parent!BB70+Parent!BB71</f>
        <v>170</v>
      </c>
      <c r="BC123" s="316">
        <f>Parent!BC70+Parent!BC71</f>
        <v>0</v>
      </c>
      <c r="BD123" s="312">
        <f>Parent!BD70+Parent!BD71</f>
        <v>500</v>
      </c>
      <c r="BE123" s="312">
        <f>Parent!BE70+Parent!BE71</f>
        <v>-1620</v>
      </c>
      <c r="BF123" s="317">
        <f>Parent!BF70+Parent!BF71</f>
        <v>0</v>
      </c>
      <c r="BG123" s="488">
        <f>Parent!BG70+Parent!BG71</f>
        <v>-1120</v>
      </c>
      <c r="BH123" s="316">
        <f>Parent!BH70+Parent!BH71</f>
        <v>-250</v>
      </c>
      <c r="BI123" s="312">
        <f>Parent!BI70+Parent!BI71</f>
        <v>400</v>
      </c>
      <c r="BJ123" s="312">
        <f>Parent!BJ70+Parent!BJ71</f>
        <v>0</v>
      </c>
      <c r="BK123" s="317">
        <f>Parent!BK70+Parent!BK71</f>
        <v>0</v>
      </c>
      <c r="BL123" s="488">
        <f>Parent!BL70+Parent!BL71</f>
        <v>150</v>
      </c>
      <c r="BM123" s="316">
        <f>Parent!BM70+Parent!BM71</f>
        <v>0</v>
      </c>
      <c r="BN123" s="312">
        <f>Parent!BN70+Parent!BN71</f>
        <v>-100</v>
      </c>
      <c r="BO123" s="312">
        <f>Parent!BO70+Parent!BO71</f>
        <v>0</v>
      </c>
      <c r="BP123" s="317">
        <f>Parent!BP70+Parent!BP71</f>
        <v>0</v>
      </c>
      <c r="BQ123" s="488">
        <f>Parent!BQ70+Parent!BQ71</f>
        <v>-100</v>
      </c>
      <c r="BT123"/>
      <c r="BU123"/>
      <c r="BV123"/>
      <c r="BW123"/>
      <c r="BX123"/>
      <c r="BY123"/>
      <c r="CB123" s="489"/>
    </row>
    <row r="124" spans="1:124" s="81" customFormat="1">
      <c r="A124" s="221"/>
      <c r="B124" s="221"/>
      <c r="C124" s="742" t="s">
        <v>428</v>
      </c>
      <c r="D124" s="315"/>
      <c r="E124" s="316"/>
      <c r="F124" s="312"/>
      <c r="G124" s="312"/>
      <c r="H124" s="317"/>
      <c r="I124" s="488"/>
      <c r="J124" s="316"/>
      <c r="K124" s="312"/>
      <c r="L124" s="312"/>
      <c r="M124" s="317"/>
      <c r="N124" s="488"/>
      <c r="O124" s="316"/>
      <c r="P124" s="312"/>
      <c r="Q124" s="312"/>
      <c r="R124" s="317"/>
      <c r="S124" s="488"/>
      <c r="T124" s="316"/>
      <c r="U124" s="312"/>
      <c r="V124" s="312"/>
      <c r="W124" s="317"/>
      <c r="X124" s="488"/>
      <c r="Y124" s="316">
        <f t="shared" ref="Y124:AN124" si="212">Y145</f>
        <v>-230</v>
      </c>
      <c r="Z124" s="312">
        <f>Z145</f>
        <v>-230</v>
      </c>
      <c r="AA124" s="312">
        <f>AA145</f>
        <v>-230</v>
      </c>
      <c r="AB124" s="317">
        <f t="shared" si="212"/>
        <v>-230</v>
      </c>
      <c r="AC124" s="488">
        <f>AC145</f>
        <v>-920</v>
      </c>
      <c r="AD124" s="316">
        <f>AD145</f>
        <v>-151</v>
      </c>
      <c r="AE124" s="312">
        <f>AE145</f>
        <v>-151</v>
      </c>
      <c r="AF124" s="312">
        <f>AF145</f>
        <v>-150</v>
      </c>
      <c r="AG124" s="317">
        <f t="shared" si="212"/>
        <v>-152</v>
      </c>
      <c r="AH124" s="488">
        <f t="shared" si="212"/>
        <v>-604</v>
      </c>
      <c r="AI124" s="316">
        <f t="shared" si="212"/>
        <v>-152</v>
      </c>
      <c r="AJ124" s="312">
        <f t="shared" si="212"/>
        <v>-151</v>
      </c>
      <c r="AK124" s="312">
        <f>AK145</f>
        <v>-152</v>
      </c>
      <c r="AL124" s="317">
        <f t="shared" si="212"/>
        <v>-152</v>
      </c>
      <c r="AM124" s="488">
        <f t="shared" si="212"/>
        <v>-607</v>
      </c>
      <c r="AN124" s="316">
        <f t="shared" si="212"/>
        <v>-152</v>
      </c>
      <c r="AO124" s="312">
        <f t="shared" ref="AO124" si="213">AO145</f>
        <v>-153</v>
      </c>
      <c r="AP124" s="312">
        <f>AP145</f>
        <v>-153</v>
      </c>
      <c r="AQ124" s="317">
        <f t="shared" ref="AQ124:AT124" si="214">AQ145</f>
        <v>-153</v>
      </c>
      <c r="AR124" s="488">
        <f t="shared" si="214"/>
        <v>-611</v>
      </c>
      <c r="AS124" s="316">
        <f t="shared" si="214"/>
        <v>-159</v>
      </c>
      <c r="AT124" s="312">
        <f t="shared" si="214"/>
        <v>-160</v>
      </c>
      <c r="AU124" s="312">
        <f t="shared" ref="AU124:AW124" si="215">AU145</f>
        <v>-159</v>
      </c>
      <c r="AV124" s="317">
        <f t="shared" si="215"/>
        <v>-161</v>
      </c>
      <c r="AW124" s="488">
        <f t="shared" si="215"/>
        <v>-639</v>
      </c>
      <c r="AX124" s="316">
        <f t="shared" ref="AX124:BB124" si="216">AX145</f>
        <v>-165.74196670698797</v>
      </c>
      <c r="AY124" s="312">
        <f t="shared" si="216"/>
        <v>-171.16365345397591</v>
      </c>
      <c r="AZ124" s="312">
        <f t="shared" si="216"/>
        <v>-171.68539258441066</v>
      </c>
      <c r="BA124" s="317">
        <f t="shared" si="216"/>
        <v>-172.20713171484542</v>
      </c>
      <c r="BB124" s="488">
        <f t="shared" si="216"/>
        <v>-680.79814446021999</v>
      </c>
      <c r="BC124" s="316">
        <f t="shared" ref="BC124:BL124" si="217">BC145</f>
        <v>-172.20713171484547</v>
      </c>
      <c r="BD124" s="312">
        <f t="shared" si="217"/>
        <v>-172.20713171484547</v>
      </c>
      <c r="BE124" s="312">
        <f t="shared" si="217"/>
        <v>-182.841705019003</v>
      </c>
      <c r="BF124" s="317">
        <f t="shared" si="217"/>
        <v>-193.99801745359528</v>
      </c>
      <c r="BG124" s="488">
        <f t="shared" si="217"/>
        <v>-721.25398590228917</v>
      </c>
      <c r="BH124" s="316">
        <f t="shared" si="217"/>
        <v>-194.65019136663881</v>
      </c>
      <c r="BI124" s="312">
        <f t="shared" si="217"/>
        <v>-194.91106093185613</v>
      </c>
      <c r="BJ124" s="312">
        <f t="shared" si="217"/>
        <v>-195.17193049707356</v>
      </c>
      <c r="BK124" s="317">
        <f t="shared" si="217"/>
        <v>-195.43280006229082</v>
      </c>
      <c r="BL124" s="488">
        <f t="shared" si="217"/>
        <v>-780.16598285785926</v>
      </c>
      <c r="BM124" s="316">
        <f t="shared" ref="BM124:BQ124" si="218">BM145</f>
        <v>-195.67573484489961</v>
      </c>
      <c r="BN124" s="312">
        <f t="shared" si="218"/>
        <v>-195.9007348448996</v>
      </c>
      <c r="BO124" s="312">
        <f t="shared" si="218"/>
        <v>-196.1257348448996</v>
      </c>
      <c r="BP124" s="317">
        <f t="shared" si="218"/>
        <v>-196.35073484489953</v>
      </c>
      <c r="BQ124" s="488">
        <f t="shared" si="218"/>
        <v>-784.05293937959834</v>
      </c>
      <c r="BT124"/>
      <c r="BU124"/>
      <c r="BV124"/>
      <c r="BW124"/>
      <c r="BX124"/>
      <c r="BY124"/>
      <c r="CB124" s="489"/>
    </row>
    <row r="125" spans="1:124" s="60" customFormat="1">
      <c r="A125" s="490"/>
      <c r="B125" s="490"/>
      <c r="C125" s="670" t="s">
        <v>215</v>
      </c>
      <c r="D125" s="308"/>
      <c r="E125" s="305"/>
      <c r="F125" s="306"/>
      <c r="G125" s="306"/>
      <c r="H125" s="307"/>
      <c r="I125" s="200"/>
      <c r="J125" s="305"/>
      <c r="K125" s="306"/>
      <c r="L125" s="306"/>
      <c r="M125" s="307"/>
      <c r="N125" s="200"/>
      <c r="O125" s="305"/>
      <c r="P125" s="306"/>
      <c r="Q125" s="306"/>
      <c r="R125" s="307"/>
      <c r="S125" s="200"/>
      <c r="T125" s="305"/>
      <c r="U125" s="306"/>
      <c r="V125" s="306"/>
      <c r="W125" s="307"/>
      <c r="X125" s="200"/>
      <c r="Y125" s="305">
        <f t="shared" ref="Y125:AN125" si="219">SUM(Y119:Y124)</f>
        <v>-257</v>
      </c>
      <c r="Z125" s="306">
        <f>SUM(Z119:Z124)</f>
        <v>-285</v>
      </c>
      <c r="AA125" s="306">
        <f>SUM(AA119:AA124)</f>
        <v>-228</v>
      </c>
      <c r="AB125" s="307">
        <f t="shared" si="219"/>
        <v>-253</v>
      </c>
      <c r="AC125" s="200">
        <f t="shared" si="219"/>
        <v>-1101</v>
      </c>
      <c r="AD125" s="305">
        <f t="shared" si="219"/>
        <v>-67</v>
      </c>
      <c r="AE125" s="306">
        <f>SUM(AE119:AE124)</f>
        <v>-41</v>
      </c>
      <c r="AF125" s="306">
        <f>SUM(AF119:AF124)</f>
        <v>-47</v>
      </c>
      <c r="AG125" s="307">
        <f t="shared" si="219"/>
        <v>-106</v>
      </c>
      <c r="AH125" s="200">
        <f t="shared" si="219"/>
        <v>-261</v>
      </c>
      <c r="AI125" s="305">
        <f t="shared" si="219"/>
        <v>-19</v>
      </c>
      <c r="AJ125" s="306">
        <f t="shared" si="219"/>
        <v>-2</v>
      </c>
      <c r="AK125" s="306">
        <f>SUM(AK119:AK124)</f>
        <v>30</v>
      </c>
      <c r="AL125" s="307">
        <f t="shared" si="219"/>
        <v>-289</v>
      </c>
      <c r="AM125" s="200">
        <f t="shared" si="219"/>
        <v>-280</v>
      </c>
      <c r="AN125" s="305">
        <f t="shared" si="219"/>
        <v>-365</v>
      </c>
      <c r="AO125" s="306">
        <f t="shared" ref="AO125" si="220">SUM(AO119:AO124)</f>
        <v>-256</v>
      </c>
      <c r="AP125" s="306">
        <f>SUM(AP119:AP124)</f>
        <v>-232</v>
      </c>
      <c r="AQ125" s="307">
        <f t="shared" ref="AQ125:AR125" si="221">SUM(AQ119:AQ124)</f>
        <v>-282</v>
      </c>
      <c r="AR125" s="200">
        <f t="shared" si="221"/>
        <v>-1135</v>
      </c>
      <c r="AS125" s="305">
        <f t="shared" ref="AS125:AT125" si="222">SUM(AS119:AS124)</f>
        <v>225</v>
      </c>
      <c r="AT125" s="306">
        <f t="shared" si="222"/>
        <v>2467</v>
      </c>
      <c r="AU125" s="306">
        <f t="shared" ref="AU125:AW125" si="223">SUM(AU119:AU124)</f>
        <v>52</v>
      </c>
      <c r="AV125" s="307">
        <f t="shared" si="223"/>
        <v>-421</v>
      </c>
      <c r="AW125" s="200">
        <f t="shared" si="223"/>
        <v>2323</v>
      </c>
      <c r="AX125" s="305">
        <f t="shared" ref="AX125:BB125" si="224">SUM(AX119:AX124)</f>
        <v>972.52076213502505</v>
      </c>
      <c r="AY125" s="306">
        <f t="shared" si="224"/>
        <v>-64.782291284632848</v>
      </c>
      <c r="AZ125" s="306">
        <f t="shared" si="224"/>
        <v>-10.73698348004848</v>
      </c>
      <c r="BA125" s="307">
        <f t="shared" si="224"/>
        <v>-60.900402121038525</v>
      </c>
      <c r="BB125" s="200">
        <f t="shared" si="224"/>
        <v>889.10108524930536</v>
      </c>
      <c r="BC125" s="305">
        <f t="shared" ref="BC125:BL125" si="225">SUM(BC119:BC124)</f>
        <v>-94.17780135868945</v>
      </c>
      <c r="BD125" s="306">
        <f t="shared" si="225"/>
        <v>395.30652760049668</v>
      </c>
      <c r="BE125" s="306">
        <f t="shared" si="225"/>
        <v>-146.93084134897114</v>
      </c>
      <c r="BF125" s="307">
        <f t="shared" si="225"/>
        <v>-7.8777191608873238</v>
      </c>
      <c r="BG125" s="200">
        <f t="shared" si="225"/>
        <v>199.3201657319488</v>
      </c>
      <c r="BH125" s="305">
        <f t="shared" si="225"/>
        <v>-415.34461201566967</v>
      </c>
      <c r="BI125" s="306">
        <f t="shared" si="225"/>
        <v>222.04591946338098</v>
      </c>
      <c r="BJ125" s="306">
        <f t="shared" si="225"/>
        <v>-169.98299877850906</v>
      </c>
      <c r="BK125" s="307">
        <f t="shared" si="225"/>
        <v>-173.40859653997362</v>
      </c>
      <c r="BL125" s="200">
        <f t="shared" si="225"/>
        <v>-536.69028787077127</v>
      </c>
      <c r="BM125" s="305">
        <f t="shared" ref="BM125:BQ125" si="226">SUM(BM119:BM124)</f>
        <v>-159.18478060860866</v>
      </c>
      <c r="BN125" s="306">
        <f t="shared" si="226"/>
        <v>-272.19451903130692</v>
      </c>
      <c r="BO125" s="306">
        <f t="shared" si="226"/>
        <v>-161.53243812759669</v>
      </c>
      <c r="BP125" s="307">
        <f t="shared" si="226"/>
        <v>-164.86712110026644</v>
      </c>
      <c r="BQ125" s="200">
        <f t="shared" si="226"/>
        <v>-757.77885886777869</v>
      </c>
      <c r="BT125"/>
      <c r="BU125"/>
      <c r="BV125"/>
      <c r="BW125"/>
      <c r="BX125"/>
      <c r="BY125"/>
      <c r="CB125" s="489"/>
    </row>
    <row r="126" spans="1:124">
      <c r="A126" s="92"/>
      <c r="B126" s="92"/>
      <c r="C126" s="92"/>
      <c r="D126" s="89"/>
      <c r="E126" s="145"/>
      <c r="F126" s="146"/>
      <c r="G126" s="146"/>
      <c r="H126" s="147"/>
      <c r="I126" s="94"/>
      <c r="J126" s="145"/>
      <c r="K126" s="146"/>
      <c r="L126" s="146"/>
      <c r="M126" s="147"/>
      <c r="N126" s="94"/>
      <c r="O126" s="145"/>
      <c r="P126" s="146"/>
      <c r="Q126" s="146"/>
      <c r="R126" s="147"/>
      <c r="S126" s="94"/>
      <c r="T126" s="145"/>
      <c r="U126" s="146"/>
      <c r="V126" s="146"/>
      <c r="W126" s="147"/>
      <c r="X126" s="94"/>
      <c r="Y126" s="145"/>
      <c r="Z126" s="146"/>
      <c r="AA126" s="146"/>
      <c r="AB126" s="147"/>
      <c r="AC126" s="94"/>
      <c r="AD126" s="145"/>
      <c r="AE126" s="146"/>
      <c r="AF126" s="146"/>
      <c r="AG126" s="147"/>
      <c r="AH126" s="94"/>
      <c r="AI126" s="145"/>
      <c r="AJ126" s="146"/>
      <c r="AK126" s="146"/>
      <c r="AL126" s="147"/>
      <c r="AM126" s="94"/>
      <c r="AN126" s="145"/>
      <c r="AO126" s="146"/>
      <c r="AP126" s="146"/>
      <c r="AQ126" s="147"/>
      <c r="AR126" s="94"/>
      <c r="AS126" s="145"/>
      <c r="AT126" s="146"/>
      <c r="AU126" s="146"/>
      <c r="AV126" s="147"/>
      <c r="AW126" s="94"/>
      <c r="AX126" s="145"/>
      <c r="AY126" s="146"/>
      <c r="AZ126" s="146"/>
      <c r="BA126" s="147"/>
      <c r="BB126" s="94"/>
      <c r="BC126" s="145"/>
      <c r="BD126" s="146"/>
      <c r="BE126" s="146"/>
      <c r="BF126" s="147"/>
      <c r="BG126" s="94"/>
      <c r="BH126" s="145"/>
      <c r="BI126" s="146"/>
      <c r="BJ126" s="146"/>
      <c r="BK126" s="147"/>
      <c r="BL126" s="94"/>
      <c r="BM126" s="145"/>
      <c r="BN126" s="146"/>
      <c r="BO126" s="146"/>
      <c r="BP126" s="147"/>
      <c r="BQ126" s="94"/>
      <c r="CB126" s="276" t="s">
        <v>274</v>
      </c>
      <c r="DJ126" s="1589"/>
    </row>
    <row r="127" spans="1:124">
      <c r="A127" s="92"/>
      <c r="B127" s="92"/>
      <c r="C127" s="92"/>
      <c r="D127" s="89"/>
      <c r="E127" s="145"/>
      <c r="F127" s="146"/>
      <c r="G127" s="146"/>
      <c r="H127" s="147"/>
      <c r="I127" s="94"/>
      <c r="J127" s="145"/>
      <c r="K127" s="146"/>
      <c r="L127" s="146"/>
      <c r="M127" s="147"/>
      <c r="N127" s="94"/>
      <c r="O127" s="145"/>
      <c r="P127" s="146"/>
      <c r="Q127" s="146"/>
      <c r="R127" s="147"/>
      <c r="S127" s="94"/>
      <c r="T127" s="145"/>
      <c r="U127" s="146"/>
      <c r="V127" s="146"/>
      <c r="W127" s="147"/>
      <c r="X127" s="94"/>
      <c r="Y127" s="145"/>
      <c r="Z127" s="146"/>
      <c r="AA127" s="146"/>
      <c r="AB127" s="147"/>
      <c r="AC127" s="94"/>
      <c r="AD127" s="145"/>
      <c r="AE127" s="146"/>
      <c r="AF127" s="146"/>
      <c r="AG127" s="147"/>
      <c r="AH127" s="94"/>
      <c r="AI127" s="145"/>
      <c r="AJ127" s="146"/>
      <c r="AK127" s="146"/>
      <c r="AL127" s="147"/>
      <c r="AM127" s="94"/>
      <c r="AN127" s="145"/>
      <c r="AO127" s="146"/>
      <c r="AP127" s="146"/>
      <c r="AQ127" s="147"/>
      <c r="AR127" s="94"/>
      <c r="AS127" s="145"/>
      <c r="AT127" s="146"/>
      <c r="AU127" s="146"/>
      <c r="AV127" s="147"/>
      <c r="AW127" s="94"/>
      <c r="AX127" s="145"/>
      <c r="AY127" s="146"/>
      <c r="AZ127" s="146"/>
      <c r="BA127" s="147"/>
      <c r="BB127" s="94"/>
      <c r="BC127" s="145"/>
      <c r="BD127" s="146"/>
      <c r="BE127" s="146"/>
      <c r="BF127" s="147"/>
      <c r="BG127" s="94"/>
      <c r="BH127" s="145"/>
      <c r="BI127" s="146"/>
      <c r="BJ127" s="146"/>
      <c r="BK127" s="147"/>
      <c r="BL127" s="94"/>
      <c r="BM127" s="145"/>
      <c r="BN127" s="146"/>
      <c r="BO127" s="146"/>
      <c r="BP127" s="147"/>
      <c r="BQ127" s="94"/>
      <c r="CB127" s="276"/>
    </row>
    <row r="128" spans="1:124">
      <c r="A128" s="92"/>
      <c r="B128" s="126" t="s">
        <v>41</v>
      </c>
      <c r="C128" s="32"/>
      <c r="D128" s="128"/>
      <c r="E128" s="152"/>
      <c r="F128" s="153"/>
      <c r="G128" s="153"/>
      <c r="H128" s="154"/>
      <c r="I128" s="89"/>
      <c r="J128" s="152"/>
      <c r="K128" s="153"/>
      <c r="L128" s="153"/>
      <c r="M128" s="154"/>
      <c r="N128" s="89"/>
      <c r="O128" s="152"/>
      <c r="P128" s="153"/>
      <c r="Q128" s="153"/>
      <c r="R128" s="154"/>
      <c r="S128" s="89"/>
      <c r="T128" s="152"/>
      <c r="U128" s="153"/>
      <c r="V128" s="153"/>
      <c r="W128" s="154"/>
      <c r="X128" s="89"/>
      <c r="Y128" s="152"/>
      <c r="Z128" s="153"/>
      <c r="AA128" s="153"/>
      <c r="AB128" s="154"/>
      <c r="AC128" s="89"/>
      <c r="AD128" s="152"/>
      <c r="AE128" s="153"/>
      <c r="AF128" s="153"/>
      <c r="AG128" s="154"/>
      <c r="AH128" s="89"/>
      <c r="AI128" s="152"/>
      <c r="AJ128" s="153"/>
      <c r="AK128" s="153"/>
      <c r="AL128" s="154"/>
      <c r="AM128" s="89"/>
      <c r="AN128" s="152"/>
      <c r="AO128" s="153"/>
      <c r="AP128" s="153"/>
      <c r="AQ128" s="154"/>
      <c r="AR128" s="89"/>
      <c r="AS128" s="152"/>
      <c r="AT128" s="153"/>
      <c r="AU128" s="153"/>
      <c r="AV128" s="154"/>
      <c r="AW128" s="89"/>
      <c r="AX128" s="152"/>
      <c r="AY128" s="153"/>
      <c r="AZ128" s="153"/>
      <c r="BA128" s="154"/>
      <c r="BB128" s="89"/>
      <c r="BC128" s="152"/>
      <c r="BD128" s="153"/>
      <c r="BE128" s="153"/>
      <c r="BF128" s="154"/>
      <c r="BG128" s="89"/>
      <c r="BH128" s="152"/>
      <c r="BI128" s="153"/>
      <c r="BJ128" s="153"/>
      <c r="BK128" s="154"/>
      <c r="BL128" s="89"/>
      <c r="BM128" s="152"/>
      <c r="BN128" s="153"/>
      <c r="BO128" s="153"/>
      <c r="BP128" s="154"/>
      <c r="BQ128" s="89"/>
      <c r="CB128" s="129" t="s">
        <v>165</v>
      </c>
      <c r="CC128" s="129" t="s">
        <v>166</v>
      </c>
      <c r="CD128" s="129" t="s">
        <v>170</v>
      </c>
      <c r="CE128" s="129" t="s">
        <v>171</v>
      </c>
      <c r="CF128" s="129" t="s">
        <v>216</v>
      </c>
      <c r="CG128" s="129" t="s">
        <v>172</v>
      </c>
      <c r="CH128" s="129" t="s">
        <v>173</v>
      </c>
      <c r="CI128" s="129" t="s">
        <v>177</v>
      </c>
      <c r="CJ128" s="129" t="s">
        <v>178</v>
      </c>
      <c r="CK128" s="129" t="s">
        <v>217</v>
      </c>
      <c r="CL128" s="129" t="s">
        <v>181</v>
      </c>
      <c r="CM128" s="129" t="s">
        <v>182</v>
      </c>
      <c r="CN128" s="129" t="s">
        <v>771</v>
      </c>
      <c r="CO128" s="129" t="s">
        <v>218</v>
      </c>
      <c r="CP128" s="129" t="s">
        <v>219</v>
      </c>
      <c r="CQ128" s="129" t="s">
        <v>475</v>
      </c>
      <c r="CR128" s="129" t="s">
        <v>929</v>
      </c>
      <c r="CS128" s="129" t="s">
        <v>742</v>
      </c>
      <c r="CT128" s="129" t="s">
        <v>767</v>
      </c>
      <c r="CU128" s="129" t="s">
        <v>770</v>
      </c>
      <c r="CV128" s="129" t="s">
        <v>769</v>
      </c>
      <c r="CW128" s="129" t="s">
        <v>76</v>
      </c>
      <c r="CX128" s="129" t="s">
        <v>77</v>
      </c>
      <c r="CY128" s="129" t="s">
        <v>670</v>
      </c>
      <c r="CZ128" s="129" t="s">
        <v>671</v>
      </c>
      <c r="DA128" s="129" t="s">
        <v>90</v>
      </c>
      <c r="DB128" s="129" t="s">
        <v>91</v>
      </c>
      <c r="DC128" s="129" t="s">
        <v>92</v>
      </c>
      <c r="DD128" s="129" t="s">
        <v>960</v>
      </c>
      <c r="DE128" s="129" t="s">
        <v>961</v>
      </c>
      <c r="DF128" s="129" t="s">
        <v>962</v>
      </c>
      <c r="DG128" s="129" t="s">
        <v>963</v>
      </c>
      <c r="DH128" s="129" t="s">
        <v>1005</v>
      </c>
      <c r="DI128" s="129" t="s">
        <v>1009</v>
      </c>
      <c r="DJ128" s="129" t="s">
        <v>1010</v>
      </c>
      <c r="DK128" s="129" t="s">
        <v>1060</v>
      </c>
      <c r="DL128" s="129" t="s">
        <v>1062</v>
      </c>
      <c r="DM128" s="129" t="s">
        <v>1134</v>
      </c>
      <c r="DN128" s="129" t="s">
        <v>1157</v>
      </c>
      <c r="DO128" s="129" t="s">
        <v>1159</v>
      </c>
      <c r="DP128" s="129" t="s">
        <v>1187</v>
      </c>
      <c r="DQ128" s="129" t="s">
        <v>1200</v>
      </c>
      <c r="DR128" s="129" t="s">
        <v>1207</v>
      </c>
      <c r="DS128" s="129" t="s">
        <v>1218</v>
      </c>
      <c r="DT128" s="129" t="s">
        <v>1219</v>
      </c>
    </row>
    <row r="129" spans="1:124">
      <c r="A129" s="92"/>
      <c r="B129" s="89"/>
      <c r="C129" s="97" t="s">
        <v>220</v>
      </c>
      <c r="D129" s="166"/>
      <c r="E129" s="104">
        <f>+CB129</f>
        <v>115</v>
      </c>
      <c r="F129" s="77">
        <f t="shared" ref="F129:G133" si="227">+CC129-CB129</f>
        <v>408</v>
      </c>
      <c r="G129" s="77">
        <f t="shared" si="227"/>
        <v>231</v>
      </c>
      <c r="H129" s="102">
        <f>+I129-CD129</f>
        <v>236</v>
      </c>
      <c r="I129" s="95">
        <f>CF129</f>
        <v>990</v>
      </c>
      <c r="J129" s="114">
        <f>+CG129</f>
        <v>149</v>
      </c>
      <c r="K129" s="115">
        <f t="shared" ref="K129:L133" si="228">+CH129-CG129</f>
        <v>256</v>
      </c>
      <c r="L129" s="115">
        <f t="shared" si="228"/>
        <v>175</v>
      </c>
      <c r="M129" s="105">
        <f>+N129-CI129</f>
        <v>180</v>
      </c>
      <c r="N129" s="95">
        <f t="shared" ref="N129:N134" si="229">CK129</f>
        <v>760</v>
      </c>
      <c r="O129" s="104">
        <f>+CL129</f>
        <v>47</v>
      </c>
      <c r="P129" s="77">
        <f t="shared" ref="P129:Q133" si="230">+CM129-CL129</f>
        <v>193</v>
      </c>
      <c r="Q129" s="115">
        <f t="shared" si="230"/>
        <v>530</v>
      </c>
      <c r="R129" s="105">
        <f>+S129-CN129</f>
        <v>99</v>
      </c>
      <c r="S129" s="95">
        <f t="shared" ref="S129:S134" si="231">CP129</f>
        <v>869</v>
      </c>
      <c r="T129" s="104">
        <f>+CQ129</f>
        <v>306</v>
      </c>
      <c r="U129" s="77">
        <f t="shared" ref="U129:V133" si="232">+CR129-CQ129</f>
        <v>188</v>
      </c>
      <c r="V129" s="77">
        <f t="shared" si="232"/>
        <v>425</v>
      </c>
      <c r="W129" s="105">
        <f>+X129-CS129</f>
        <v>-148</v>
      </c>
      <c r="X129" s="95">
        <f t="shared" ref="X129:X134" si="233">CU129</f>
        <v>771</v>
      </c>
      <c r="Y129" s="104">
        <f>+CV129</f>
        <v>196</v>
      </c>
      <c r="Z129" s="115">
        <f t="shared" ref="Z129:AA133" si="234">+CW129-CV129</f>
        <v>-164</v>
      </c>
      <c r="AA129" s="115">
        <f t="shared" si="234"/>
        <v>218</v>
      </c>
      <c r="AB129" s="105">
        <f>+AC129-CX129</f>
        <v>142</v>
      </c>
      <c r="AC129" s="95">
        <f t="shared" ref="AC129:AC134" si="235">CZ129</f>
        <v>392</v>
      </c>
      <c r="AD129" s="104">
        <f>+DA129</f>
        <v>208</v>
      </c>
      <c r="AE129" s="115">
        <f t="shared" ref="AE129:AF133" si="236">+DB129-DA129</f>
        <v>64</v>
      </c>
      <c r="AF129" s="115">
        <f t="shared" si="236"/>
        <v>333</v>
      </c>
      <c r="AG129" s="105">
        <f>+AH129-DC129</f>
        <v>-306</v>
      </c>
      <c r="AH129" s="95">
        <f t="shared" ref="AH129:AH134" si="237">DE129</f>
        <v>299</v>
      </c>
      <c r="AI129" s="104">
        <f>+DF129</f>
        <v>222</v>
      </c>
      <c r="AJ129" s="115">
        <f>+DG129-DF129</f>
        <v>187</v>
      </c>
      <c r="AK129" s="115">
        <f t="shared" ref="AK129:AK133" si="238">+DH129-DG129</f>
        <v>395</v>
      </c>
      <c r="AL129" s="105">
        <f>+AM129-DH129</f>
        <v>-226</v>
      </c>
      <c r="AM129" s="95">
        <f t="shared" ref="AM129:AM134" si="239">DJ129</f>
        <v>578</v>
      </c>
      <c r="AN129" s="104">
        <f>+DK129</f>
        <v>328</v>
      </c>
      <c r="AO129" s="115">
        <f>+DL129-DK129</f>
        <v>-1089</v>
      </c>
      <c r="AP129" s="115">
        <f t="shared" ref="AP129:AP133" si="240">+DM129-DL129</f>
        <v>380</v>
      </c>
      <c r="AQ129" s="105">
        <f>+AR129-DM129</f>
        <v>-5796</v>
      </c>
      <c r="AR129" s="95">
        <f t="shared" ref="AR129:AR134" si="241">DO129</f>
        <v>-6177</v>
      </c>
      <c r="AS129" s="104">
        <f>+DP129</f>
        <v>205</v>
      </c>
      <c r="AT129" s="115">
        <f t="shared" ref="AT129:AU133" si="242">+DQ129-DP129</f>
        <v>174</v>
      </c>
      <c r="AU129" s="115">
        <f t="shared" si="242"/>
        <v>396</v>
      </c>
      <c r="AV129" s="105">
        <f>+AW129-DR129</f>
        <v>-2499</v>
      </c>
      <c r="AW129" s="95">
        <f t="shared" ref="AW129:AW134" si="243">DT129</f>
        <v>-1724</v>
      </c>
      <c r="AX129" s="169">
        <f>AX38</f>
        <v>356.76986329013999</v>
      </c>
      <c r="AY129" s="167">
        <f>AY38</f>
        <v>247.56907746374361</v>
      </c>
      <c r="AZ129" s="167">
        <f>AZ38</f>
        <v>344.7958661778049</v>
      </c>
      <c r="BA129" s="168">
        <f>BA38</f>
        <v>272.73032100410126</v>
      </c>
      <c r="BB129" s="21">
        <f>SUM(AX129:BA129)</f>
        <v>1221.8651279357898</v>
      </c>
      <c r="BC129" s="169">
        <f>BC38</f>
        <v>324.02466589037931</v>
      </c>
      <c r="BD129" s="167">
        <f>BD38</f>
        <v>243.13773725519491</v>
      </c>
      <c r="BE129" s="167">
        <f>BE38</f>
        <v>354.80219834746129</v>
      </c>
      <c r="BF129" s="168">
        <f>BF38</f>
        <v>274.9400712293828</v>
      </c>
      <c r="BG129" s="21">
        <f>SUM(BC129:BF129)</f>
        <v>1196.9046727224184</v>
      </c>
      <c r="BH129" s="169">
        <f>BH38</f>
        <v>305.62437516804295</v>
      </c>
      <c r="BI129" s="167">
        <f>BI38</f>
        <v>220.12440765113726</v>
      </c>
      <c r="BJ129" s="167">
        <f>BJ38</f>
        <v>326.89602981376839</v>
      </c>
      <c r="BK129" s="168">
        <f>BK38</f>
        <v>248.59108428973678</v>
      </c>
      <c r="BL129" s="21">
        <f>SUM(BH129:BK129)</f>
        <v>1101.2358969226852</v>
      </c>
      <c r="BM129" s="169">
        <f>BM38</f>
        <v>351.9066006399039</v>
      </c>
      <c r="BN129" s="167">
        <f>BN38</f>
        <v>247.4708578945079</v>
      </c>
      <c r="BO129" s="167">
        <f>BO38</f>
        <v>365.81788128406288</v>
      </c>
      <c r="BP129" s="168">
        <f>BP38</f>
        <v>318.26586395827565</v>
      </c>
      <c r="BQ129" s="21">
        <f>SUM(BM129:BP129)</f>
        <v>1283.4612037767502</v>
      </c>
      <c r="CB129" s="889">
        <v>115</v>
      </c>
      <c r="CC129" s="889">
        <v>523</v>
      </c>
      <c r="CD129" s="889">
        <v>754</v>
      </c>
      <c r="CE129" s="81">
        <f>+CF129-CD129</f>
        <v>236</v>
      </c>
      <c r="CF129" s="889">
        <v>990</v>
      </c>
      <c r="CG129" s="889">
        <v>149</v>
      </c>
      <c r="CH129" s="889">
        <v>405</v>
      </c>
      <c r="CI129" s="889">
        <v>580</v>
      </c>
      <c r="CJ129" s="81">
        <f>+CK129-CI129</f>
        <v>180</v>
      </c>
      <c r="CK129" s="889">
        <v>760</v>
      </c>
      <c r="CL129" s="889">
        <v>47</v>
      </c>
      <c r="CM129" s="889">
        <v>240</v>
      </c>
      <c r="CN129" s="103">
        <v>770</v>
      </c>
      <c r="CO129" s="113">
        <f>CP129-CN129</f>
        <v>99</v>
      </c>
      <c r="CP129" s="103">
        <v>869</v>
      </c>
      <c r="CQ129" s="889">
        <v>306</v>
      </c>
      <c r="CR129" s="889">
        <v>494</v>
      </c>
      <c r="CS129" s="889">
        <v>919</v>
      </c>
      <c r="CT129" s="113">
        <f>CU129-CS129</f>
        <v>-148</v>
      </c>
      <c r="CU129" s="103">
        <v>771</v>
      </c>
      <c r="CV129" s="889">
        <v>196</v>
      </c>
      <c r="CW129" s="889">
        <v>32</v>
      </c>
      <c r="CX129" s="889">
        <v>250</v>
      </c>
      <c r="CY129" s="113">
        <f>CZ129-CX129</f>
        <v>142</v>
      </c>
      <c r="CZ129" s="103">
        <v>392</v>
      </c>
      <c r="DA129" s="889">
        <v>208</v>
      </c>
      <c r="DB129" s="889">
        <v>272</v>
      </c>
      <c r="DC129" s="889">
        <v>605</v>
      </c>
      <c r="DD129" s="113">
        <f>DE129-DC129</f>
        <v>-306</v>
      </c>
      <c r="DE129" s="103">
        <v>299</v>
      </c>
      <c r="DF129" s="889">
        <v>222</v>
      </c>
      <c r="DG129" s="889">
        <v>409</v>
      </c>
      <c r="DH129" s="889">
        <v>804</v>
      </c>
      <c r="DI129" s="113">
        <f>DJ129-DH129</f>
        <v>-226</v>
      </c>
      <c r="DJ129" s="103">
        <v>578</v>
      </c>
      <c r="DK129" s="889">
        <v>328</v>
      </c>
      <c r="DL129" s="889">
        <v>-761</v>
      </c>
      <c r="DM129" s="889">
        <v>-381</v>
      </c>
      <c r="DN129" s="113">
        <f>DO129-DM129</f>
        <v>-5796</v>
      </c>
      <c r="DO129" s="103">
        <v>-6177</v>
      </c>
      <c r="DP129" s="889">
        <v>205</v>
      </c>
      <c r="DQ129" s="889">
        <v>379</v>
      </c>
      <c r="DR129" s="889">
        <v>775</v>
      </c>
      <c r="DS129" s="113">
        <f>DT129-DR129</f>
        <v>-2499</v>
      </c>
      <c r="DT129" s="103">
        <v>-1724</v>
      </c>
    </row>
    <row r="130" spans="1:124">
      <c r="A130" s="92"/>
      <c r="B130" s="89"/>
      <c r="C130" s="87" t="s">
        <v>873</v>
      </c>
      <c r="D130" s="166"/>
      <c r="E130" s="104">
        <f>+CB130</f>
        <v>177</v>
      </c>
      <c r="F130" s="77">
        <f t="shared" si="227"/>
        <v>185</v>
      </c>
      <c r="G130" s="77">
        <f t="shared" si="227"/>
        <v>188</v>
      </c>
      <c r="H130" s="102">
        <f>+I130-CD130</f>
        <v>186</v>
      </c>
      <c r="I130" s="95">
        <f t="shared" ref="I130:I149" si="244">CF130</f>
        <v>736</v>
      </c>
      <c r="J130" s="114">
        <f>+CG130</f>
        <v>193</v>
      </c>
      <c r="K130" s="115">
        <f t="shared" si="228"/>
        <v>190</v>
      </c>
      <c r="L130" s="115">
        <f t="shared" si="228"/>
        <v>182</v>
      </c>
      <c r="M130" s="105">
        <f>+N130-CI130</f>
        <v>181</v>
      </c>
      <c r="N130" s="95">
        <f t="shared" si="229"/>
        <v>746</v>
      </c>
      <c r="O130" s="104">
        <f>+CL130</f>
        <v>225</v>
      </c>
      <c r="P130" s="77">
        <f t="shared" si="230"/>
        <v>287</v>
      </c>
      <c r="Q130" s="115">
        <f t="shared" si="230"/>
        <v>297</v>
      </c>
      <c r="R130" s="105">
        <f>+S130-CN130</f>
        <v>257</v>
      </c>
      <c r="S130" s="95">
        <f t="shared" si="231"/>
        <v>1066</v>
      </c>
      <c r="T130" s="104">
        <f>+CQ130</f>
        <v>279</v>
      </c>
      <c r="U130" s="77">
        <f t="shared" si="232"/>
        <v>285</v>
      </c>
      <c r="V130" s="77">
        <f t="shared" si="232"/>
        <v>270</v>
      </c>
      <c r="W130" s="105">
        <f>+X130-CS130</f>
        <v>290</v>
      </c>
      <c r="X130" s="95">
        <f t="shared" si="233"/>
        <v>1124</v>
      </c>
      <c r="Y130" s="104">
        <f>+CV130</f>
        <v>294</v>
      </c>
      <c r="Z130" s="115">
        <f t="shared" si="234"/>
        <v>302</v>
      </c>
      <c r="AA130" s="115">
        <f t="shared" si="234"/>
        <v>313</v>
      </c>
      <c r="AB130" s="105">
        <f>+AC130-CX130</f>
        <v>293</v>
      </c>
      <c r="AC130" s="95">
        <f t="shared" si="235"/>
        <v>1202</v>
      </c>
      <c r="AD130" s="104">
        <f>+DA130</f>
        <v>294</v>
      </c>
      <c r="AE130" s="115">
        <f t="shared" si="236"/>
        <v>302</v>
      </c>
      <c r="AF130" s="115">
        <f t="shared" si="236"/>
        <v>308</v>
      </c>
      <c r="AG130" s="105">
        <f>+AH130-DC130</f>
        <v>316</v>
      </c>
      <c r="AH130" s="95">
        <f t="shared" si="237"/>
        <v>1220</v>
      </c>
      <c r="AI130" s="104">
        <f>+DF130</f>
        <v>319</v>
      </c>
      <c r="AJ130" s="115">
        <f>+DG130-DF130</f>
        <v>322</v>
      </c>
      <c r="AK130" s="115">
        <f t="shared" si="238"/>
        <v>328</v>
      </c>
      <c r="AL130" s="105">
        <f>+AM130-DH130</f>
        <v>867</v>
      </c>
      <c r="AM130" s="95">
        <f t="shared" si="239"/>
        <v>1836</v>
      </c>
      <c r="AN130" s="104">
        <f>+DK130</f>
        <v>455</v>
      </c>
      <c r="AO130" s="115">
        <f>+DL130-DK130</f>
        <v>467</v>
      </c>
      <c r="AP130" s="115">
        <f t="shared" si="240"/>
        <v>518</v>
      </c>
      <c r="AQ130" s="105">
        <f>+AR130-DM130</f>
        <v>557</v>
      </c>
      <c r="AR130" s="95">
        <f t="shared" si="241"/>
        <v>1997</v>
      </c>
      <c r="AS130" s="104">
        <f>+DP130</f>
        <v>392</v>
      </c>
      <c r="AT130" s="115">
        <f t="shared" si="242"/>
        <v>400</v>
      </c>
      <c r="AU130" s="115">
        <f t="shared" si="242"/>
        <v>456</v>
      </c>
      <c r="AV130" s="105">
        <f>+AW130-DR130</f>
        <v>452</v>
      </c>
      <c r="AW130" s="95">
        <f t="shared" si="243"/>
        <v>1700</v>
      </c>
      <c r="AX130" s="114">
        <f>AX13</f>
        <v>285.02045833333335</v>
      </c>
      <c r="AY130" s="115">
        <f>AY13</f>
        <v>291.42373366666669</v>
      </c>
      <c r="AZ130" s="115">
        <f>AZ13</f>
        <v>294.79719698349999</v>
      </c>
      <c r="BA130" s="105">
        <f>BA13</f>
        <v>301.14157867823758</v>
      </c>
      <c r="BB130" s="21">
        <f>SUM(AX130:BA130)</f>
        <v>1172.3829676617374</v>
      </c>
      <c r="BC130" s="114">
        <f>BC13</f>
        <v>306.45759125062074</v>
      </c>
      <c r="BD130" s="115">
        <f>BD13</f>
        <v>312.74592974414719</v>
      </c>
      <c r="BE130" s="115">
        <f>BE13</f>
        <v>316.00727217374896</v>
      </c>
      <c r="BF130" s="105">
        <f>BF13</f>
        <v>322.24227994299213</v>
      </c>
      <c r="BG130" s="21">
        <f>SUM(BC130:BF130)</f>
        <v>1257.453073111509</v>
      </c>
      <c r="BH130" s="114">
        <f>BH13</f>
        <v>327.45159825105549</v>
      </c>
      <c r="BI130" s="115">
        <f>BI13</f>
        <v>333.63585648973793</v>
      </c>
      <c r="BJ130" s="115">
        <f>BJ13</f>
        <v>336.79566863073933</v>
      </c>
      <c r="BK130" s="105">
        <f>BK13</f>
        <v>342.93163360345289</v>
      </c>
      <c r="BL130" s="21">
        <f>SUM(BH130:BK130)</f>
        <v>1340.8147569749856</v>
      </c>
      <c r="BM130" s="114">
        <f>BM13</f>
        <v>348.04433566350161</v>
      </c>
      <c r="BN130" s="115">
        <f>BN13</f>
        <v>354.13434475224585</v>
      </c>
      <c r="BO130" s="115">
        <f>BO13</f>
        <v>357.20221684748248</v>
      </c>
      <c r="BP130" s="105">
        <f>BP13</f>
        <v>363.24849430555253</v>
      </c>
      <c r="BQ130" s="21">
        <f>SUM(BM130:BP130)</f>
        <v>1422.6293915687825</v>
      </c>
      <c r="CB130" s="889">
        <v>177</v>
      </c>
      <c r="CC130" s="889">
        <v>362</v>
      </c>
      <c r="CD130" s="889">
        <v>550</v>
      </c>
      <c r="CE130" s="81">
        <f>+CF130-CD130</f>
        <v>186</v>
      </c>
      <c r="CF130" s="889">
        <v>736</v>
      </c>
      <c r="CG130" s="889">
        <v>193</v>
      </c>
      <c r="CH130" s="889">
        <v>383</v>
      </c>
      <c r="CI130" s="889">
        <v>565</v>
      </c>
      <c r="CJ130" s="81">
        <f>+CK130-CI130</f>
        <v>181</v>
      </c>
      <c r="CK130" s="889">
        <v>746</v>
      </c>
      <c r="CL130" s="889">
        <v>225</v>
      </c>
      <c r="CM130" s="889">
        <v>512</v>
      </c>
      <c r="CN130" s="103">
        <v>809</v>
      </c>
      <c r="CO130" s="113">
        <f>CP130-CN130</f>
        <v>257</v>
      </c>
      <c r="CP130" s="103">
        <v>1066</v>
      </c>
      <c r="CQ130" s="889">
        <v>279</v>
      </c>
      <c r="CR130" s="889">
        <v>564</v>
      </c>
      <c r="CS130" s="889">
        <v>834</v>
      </c>
      <c r="CT130" s="113">
        <f>CU130-CS130</f>
        <v>290</v>
      </c>
      <c r="CU130" s="103">
        <v>1124</v>
      </c>
      <c r="CV130" s="889">
        <v>294</v>
      </c>
      <c r="CW130" s="889">
        <v>596</v>
      </c>
      <c r="CX130" s="889">
        <v>909</v>
      </c>
      <c r="CY130" s="113">
        <f>CZ130-CX130</f>
        <v>293</v>
      </c>
      <c r="CZ130" s="103">
        <v>1202</v>
      </c>
      <c r="DA130" s="889">
        <v>294</v>
      </c>
      <c r="DB130" s="889">
        <v>596</v>
      </c>
      <c r="DC130" s="889">
        <v>904</v>
      </c>
      <c r="DD130" s="113">
        <f>DE130-DC130</f>
        <v>316</v>
      </c>
      <c r="DE130" s="103">
        <v>1220</v>
      </c>
      <c r="DF130" s="889">
        <v>319</v>
      </c>
      <c r="DG130" s="889">
        <v>641</v>
      </c>
      <c r="DH130" s="889">
        <v>969</v>
      </c>
      <c r="DI130" s="113">
        <f>DJ130-DH130</f>
        <v>867</v>
      </c>
      <c r="DJ130" s="103">
        <v>1836</v>
      </c>
      <c r="DK130" s="889">
        <v>455</v>
      </c>
      <c r="DL130" s="889">
        <v>922</v>
      </c>
      <c r="DM130" s="889">
        <v>1440</v>
      </c>
      <c r="DN130" s="113">
        <f>DO130-DM130</f>
        <v>557</v>
      </c>
      <c r="DO130" s="103">
        <v>1997</v>
      </c>
      <c r="DP130" s="889">
        <v>392</v>
      </c>
      <c r="DQ130" s="889">
        <v>792</v>
      </c>
      <c r="DR130" s="889">
        <v>1248</v>
      </c>
      <c r="DS130" s="113">
        <f>DT130-DR130</f>
        <v>452</v>
      </c>
      <c r="DT130" s="103">
        <v>1700</v>
      </c>
    </row>
    <row r="131" spans="1:124">
      <c r="A131" s="92"/>
      <c r="B131" s="89"/>
      <c r="C131" s="97" t="s">
        <v>222</v>
      </c>
      <c r="D131" s="166"/>
      <c r="E131" s="104">
        <f>+CB131</f>
        <v>-28</v>
      </c>
      <c r="F131" s="77">
        <f t="shared" si="227"/>
        <v>97</v>
      </c>
      <c r="G131" s="77">
        <f t="shared" si="227"/>
        <v>352</v>
      </c>
      <c r="H131" s="102">
        <f>+I131-CD131</f>
        <v>-37</v>
      </c>
      <c r="I131" s="95">
        <f t="shared" si="244"/>
        <v>384</v>
      </c>
      <c r="J131" s="114">
        <f>+CG131</f>
        <v>59</v>
      </c>
      <c r="K131" s="115">
        <f t="shared" si="228"/>
        <v>100</v>
      </c>
      <c r="L131" s="115">
        <f t="shared" si="228"/>
        <v>100</v>
      </c>
      <c r="M131" s="105">
        <f>+N131-CI131</f>
        <v>211</v>
      </c>
      <c r="N131" s="95">
        <f t="shared" si="229"/>
        <v>470</v>
      </c>
      <c r="O131" s="104">
        <f>+CL131</f>
        <v>204</v>
      </c>
      <c r="P131" s="77">
        <f t="shared" si="230"/>
        <v>394</v>
      </c>
      <c r="Q131" s="115">
        <f t="shared" si="230"/>
        <v>98</v>
      </c>
      <c r="R131" s="105">
        <f>+S131-CN131</f>
        <v>102</v>
      </c>
      <c r="S131" s="95">
        <f t="shared" si="231"/>
        <v>798</v>
      </c>
      <c r="T131" s="104">
        <f>+CQ131</f>
        <v>265</v>
      </c>
      <c r="U131" s="77">
        <f t="shared" si="232"/>
        <v>158</v>
      </c>
      <c r="V131" s="77">
        <f t="shared" si="232"/>
        <v>289</v>
      </c>
      <c r="W131" s="105">
        <f>+X131-CS131</f>
        <v>-65</v>
      </c>
      <c r="X131" s="95">
        <f t="shared" si="233"/>
        <v>647</v>
      </c>
      <c r="Y131" s="104">
        <f>+CV131</f>
        <v>134</v>
      </c>
      <c r="Z131" s="115">
        <f t="shared" si="234"/>
        <v>-15</v>
      </c>
      <c r="AA131" s="115">
        <f t="shared" si="234"/>
        <v>-5</v>
      </c>
      <c r="AB131" s="105">
        <f>+AC131-CX131</f>
        <v>129</v>
      </c>
      <c r="AC131" s="95">
        <f t="shared" si="235"/>
        <v>243</v>
      </c>
      <c r="AD131" s="104">
        <f>+DA131</f>
        <v>181</v>
      </c>
      <c r="AE131" s="115">
        <f t="shared" si="236"/>
        <v>-22</v>
      </c>
      <c r="AF131" s="115">
        <f t="shared" si="236"/>
        <v>168</v>
      </c>
      <c r="AG131" s="105">
        <f>+AH131-DC131</f>
        <v>-165</v>
      </c>
      <c r="AH131" s="95">
        <f t="shared" si="237"/>
        <v>162</v>
      </c>
      <c r="AI131" s="104">
        <f>+DF131</f>
        <v>127</v>
      </c>
      <c r="AJ131" s="115">
        <f>+DG131-DF131</f>
        <v>92</v>
      </c>
      <c r="AK131" s="115">
        <f t="shared" si="238"/>
        <v>209</v>
      </c>
      <c r="AL131" s="105">
        <f>+AM131-DH131</f>
        <v>-144</v>
      </c>
      <c r="AM131" s="95">
        <f t="shared" si="239"/>
        <v>284</v>
      </c>
      <c r="AN131" s="104">
        <f>+DK131</f>
        <v>206</v>
      </c>
      <c r="AO131" s="115">
        <f>+DL131-DK131</f>
        <v>-134</v>
      </c>
      <c r="AP131" s="115">
        <f t="shared" si="240"/>
        <v>246</v>
      </c>
      <c r="AQ131" s="105">
        <f>+AR131-DM131</f>
        <v>-3381</v>
      </c>
      <c r="AR131" s="95">
        <f t="shared" si="241"/>
        <v>-3063</v>
      </c>
      <c r="AS131" s="104">
        <f>+DP131</f>
        <v>114</v>
      </c>
      <c r="AT131" s="115">
        <f t="shared" si="242"/>
        <v>110</v>
      </c>
      <c r="AU131" s="115">
        <f t="shared" si="242"/>
        <v>229</v>
      </c>
      <c r="AV131" s="105">
        <f>+AW131-DR131</f>
        <v>386</v>
      </c>
      <c r="AW131" s="95">
        <f t="shared" si="243"/>
        <v>839</v>
      </c>
      <c r="AX131" s="169">
        <f>BB131/4</f>
        <v>132.7974399010613</v>
      </c>
      <c r="AY131" s="167">
        <f>BB131/4</f>
        <v>132.7974399010613</v>
      </c>
      <c r="AZ131" s="167">
        <f>BB131/4</f>
        <v>132.7974399010613</v>
      </c>
      <c r="BA131" s="168">
        <f>BB131/4</f>
        <v>132.7974399010613</v>
      </c>
      <c r="BB131" s="21">
        <f>Valuation!DR19</f>
        <v>531.18975960424518</v>
      </c>
      <c r="BC131" s="169">
        <f>BG131/4</f>
        <v>139.03201437962494</v>
      </c>
      <c r="BD131" s="167">
        <f>BG131/4</f>
        <v>139.03201437962494</v>
      </c>
      <c r="BE131" s="167">
        <f>BG131/4</f>
        <v>139.03201437962494</v>
      </c>
      <c r="BF131" s="168">
        <f>BG131/4</f>
        <v>139.03201437962494</v>
      </c>
      <c r="BG131" s="21">
        <f>Valuation!DS19</f>
        <v>556.12805751849976</v>
      </c>
      <c r="BH131" s="169">
        <f>BL131/4</f>
        <v>128.6406776296426</v>
      </c>
      <c r="BI131" s="167">
        <f>BL131/4</f>
        <v>128.6406776296426</v>
      </c>
      <c r="BJ131" s="167">
        <f>BL131/4</f>
        <v>128.6406776296426</v>
      </c>
      <c r="BK131" s="168">
        <f>BL131/4</f>
        <v>128.6406776296426</v>
      </c>
      <c r="BL131" s="21">
        <f>Valuation!DT19</f>
        <v>514.56271051857038</v>
      </c>
      <c r="BM131" s="169">
        <f>BQ131/4</f>
        <v>133.05485909990261</v>
      </c>
      <c r="BN131" s="167">
        <f>BQ131/4</f>
        <v>133.05485909990261</v>
      </c>
      <c r="BO131" s="167">
        <f>BQ131/4</f>
        <v>133.05485909990261</v>
      </c>
      <c r="BP131" s="168">
        <f>BQ131/4</f>
        <v>133.05485909990261</v>
      </c>
      <c r="BQ131" s="21">
        <f>Valuation!DU19</f>
        <v>532.21943639961046</v>
      </c>
      <c r="CB131" s="889">
        <v>-28</v>
      </c>
      <c r="CC131" s="889">
        <v>69</v>
      </c>
      <c r="CD131" s="889">
        <v>421</v>
      </c>
      <c r="CE131" s="81">
        <f>+CF131-CD131</f>
        <v>-37</v>
      </c>
      <c r="CF131" s="889">
        <v>384</v>
      </c>
      <c r="CG131" s="889">
        <v>59</v>
      </c>
      <c r="CH131" s="889">
        <v>159</v>
      </c>
      <c r="CI131" s="889">
        <v>259</v>
      </c>
      <c r="CJ131" s="81">
        <f>+CK131-CI131</f>
        <v>211</v>
      </c>
      <c r="CK131" s="889">
        <v>470</v>
      </c>
      <c r="CL131" s="889">
        <v>204</v>
      </c>
      <c r="CM131" s="889">
        <v>598</v>
      </c>
      <c r="CN131" s="103">
        <v>696</v>
      </c>
      <c r="CO131" s="113">
        <f>CP131-CN131</f>
        <v>102</v>
      </c>
      <c r="CP131" s="103">
        <v>798</v>
      </c>
      <c r="CQ131" s="889">
        <v>265</v>
      </c>
      <c r="CR131" s="889">
        <v>423</v>
      </c>
      <c r="CS131" s="889">
        <v>712</v>
      </c>
      <c r="CT131" s="113">
        <f>CU131-CS131</f>
        <v>-65</v>
      </c>
      <c r="CU131" s="103">
        <v>647</v>
      </c>
      <c r="CV131" s="889">
        <v>134</v>
      </c>
      <c r="CW131" s="889">
        <v>119</v>
      </c>
      <c r="CX131" s="889">
        <v>114</v>
      </c>
      <c r="CY131" s="113">
        <f>CZ131-CX131</f>
        <v>129</v>
      </c>
      <c r="CZ131" s="103">
        <v>243</v>
      </c>
      <c r="DA131" s="889">
        <v>181</v>
      </c>
      <c r="DB131" s="889">
        <v>159</v>
      </c>
      <c r="DC131" s="889">
        <v>327</v>
      </c>
      <c r="DD131" s="113">
        <f>DE131-DC131</f>
        <v>-165</v>
      </c>
      <c r="DE131" s="103">
        <v>162</v>
      </c>
      <c r="DF131" s="889">
        <v>127</v>
      </c>
      <c r="DG131" s="889">
        <v>219</v>
      </c>
      <c r="DH131" s="889">
        <v>428</v>
      </c>
      <c r="DI131" s="113">
        <f>DJ131-DH131</f>
        <v>-144</v>
      </c>
      <c r="DJ131" s="103">
        <v>284</v>
      </c>
      <c r="DK131" s="889">
        <v>206</v>
      </c>
      <c r="DL131" s="889">
        <v>72</v>
      </c>
      <c r="DM131" s="889">
        <v>318</v>
      </c>
      <c r="DN131" s="113">
        <f>DO131-DM131</f>
        <v>-3381</v>
      </c>
      <c r="DO131" s="103">
        <v>-3063</v>
      </c>
      <c r="DP131" s="889">
        <v>114</v>
      </c>
      <c r="DQ131" s="889">
        <v>224</v>
      </c>
      <c r="DR131" s="889">
        <v>453</v>
      </c>
      <c r="DS131" s="113">
        <f>DT131-DR131</f>
        <v>386</v>
      </c>
      <c r="DT131" s="103">
        <v>839</v>
      </c>
    </row>
    <row r="132" spans="1:124">
      <c r="A132" s="92"/>
      <c r="B132" s="89"/>
      <c r="C132" s="97" t="s">
        <v>647</v>
      </c>
      <c r="D132" s="166"/>
      <c r="E132" s="104">
        <f>+CB132</f>
        <v>227</v>
      </c>
      <c r="F132" s="77">
        <f t="shared" si="227"/>
        <v>147</v>
      </c>
      <c r="G132" s="77">
        <f>+CD132-CC132</f>
        <v>-300</v>
      </c>
      <c r="H132" s="102">
        <f>+I132-CD132</f>
        <v>182</v>
      </c>
      <c r="I132" s="95">
        <f>CF132</f>
        <v>256</v>
      </c>
      <c r="J132" s="114">
        <f>+CG132</f>
        <v>77</v>
      </c>
      <c r="K132" s="115">
        <f>+CH132-CG132</f>
        <v>109</v>
      </c>
      <c r="L132" s="115">
        <f>+CI132-CH132</f>
        <v>632</v>
      </c>
      <c r="M132" s="105">
        <f>+N132-CI132</f>
        <v>205</v>
      </c>
      <c r="N132" s="95">
        <f t="shared" si="229"/>
        <v>1023</v>
      </c>
      <c r="O132" s="104">
        <f>+CL132</f>
        <v>-135</v>
      </c>
      <c r="P132" s="77">
        <f t="shared" si="230"/>
        <v>-88</v>
      </c>
      <c r="Q132" s="115">
        <f>+CN132-CM132</f>
        <v>51</v>
      </c>
      <c r="R132" s="105">
        <f>+S132-CN132</f>
        <v>136</v>
      </c>
      <c r="S132" s="95">
        <f t="shared" si="231"/>
        <v>-36</v>
      </c>
      <c r="T132" s="104">
        <f>+CQ132</f>
        <v>-724</v>
      </c>
      <c r="U132" s="77">
        <f t="shared" si="232"/>
        <v>-27</v>
      </c>
      <c r="V132" s="77">
        <f t="shared" si="232"/>
        <v>31</v>
      </c>
      <c r="W132" s="105">
        <f>+X132-CS132</f>
        <v>465</v>
      </c>
      <c r="X132" s="95">
        <f t="shared" si="233"/>
        <v>-255</v>
      </c>
      <c r="Y132" s="104">
        <f>+CV132</f>
        <v>189</v>
      </c>
      <c r="Z132" s="115">
        <f t="shared" si="234"/>
        <v>401</v>
      </c>
      <c r="AA132" s="115">
        <f t="shared" si="234"/>
        <v>210</v>
      </c>
      <c r="AB132" s="105">
        <f>+AC132-CX132</f>
        <v>112</v>
      </c>
      <c r="AC132" s="95">
        <f t="shared" si="235"/>
        <v>912</v>
      </c>
      <c r="AD132" s="104">
        <f>+DA132</f>
        <v>-97</v>
      </c>
      <c r="AE132" s="115">
        <f t="shared" si="236"/>
        <v>-16</v>
      </c>
      <c r="AF132" s="115">
        <f t="shared" si="236"/>
        <v>87</v>
      </c>
      <c r="AG132" s="105">
        <f>+AH132-DC132</f>
        <v>883</v>
      </c>
      <c r="AH132" s="95">
        <f t="shared" si="237"/>
        <v>857</v>
      </c>
      <c r="AI132" s="104">
        <f>+DF132</f>
        <v>-68</v>
      </c>
      <c r="AJ132" s="115">
        <f>+DG132-DF132</f>
        <v>47</v>
      </c>
      <c r="AK132" s="115">
        <f t="shared" si="238"/>
        <v>173</v>
      </c>
      <c r="AL132" s="105">
        <f>+AM132-DH132</f>
        <v>204</v>
      </c>
      <c r="AM132" s="95">
        <f t="shared" si="239"/>
        <v>356</v>
      </c>
      <c r="AN132" s="104">
        <f>+DK132</f>
        <v>-206</v>
      </c>
      <c r="AO132" s="115">
        <f>+DL132-DK132</f>
        <v>1436</v>
      </c>
      <c r="AP132" s="115">
        <f t="shared" si="240"/>
        <v>-124</v>
      </c>
      <c r="AQ132" s="105">
        <f>+AR132-DM132</f>
        <v>9321</v>
      </c>
      <c r="AR132" s="95">
        <f t="shared" si="241"/>
        <v>10427</v>
      </c>
      <c r="AS132" s="104">
        <f>+DP132</f>
        <v>92</v>
      </c>
      <c r="AT132" s="115">
        <f t="shared" si="242"/>
        <v>127</v>
      </c>
      <c r="AU132" s="115">
        <f t="shared" si="242"/>
        <v>90</v>
      </c>
      <c r="AV132" s="105">
        <f>+AW132-DR132</f>
        <v>2296</v>
      </c>
      <c r="AW132" s="95">
        <f t="shared" si="243"/>
        <v>2605</v>
      </c>
      <c r="AX132" s="104">
        <f>Distribution!AX148+Competitive!AX596</f>
        <v>-49.166666666666671</v>
      </c>
      <c r="AY132" s="77">
        <f>Distribution!AY148+Competitive!AY596</f>
        <v>-49.166666666666671</v>
      </c>
      <c r="AZ132" s="77">
        <f>Distribution!AZ148+Competitive!AZ596</f>
        <v>-49.166666666666671</v>
      </c>
      <c r="BA132" s="102">
        <f>Distribution!BA148+Competitive!BA596</f>
        <v>-49.166666666666686</v>
      </c>
      <c r="BB132" s="21">
        <f>SUM(AX132:BA132)</f>
        <v>-196.66666666666669</v>
      </c>
      <c r="BC132" s="104">
        <f>Distribution!BC148+Competitive!BC596</f>
        <v>-119.16666666666667</v>
      </c>
      <c r="BD132" s="77">
        <f>Distribution!BD148+Competitive!BD596</f>
        <v>-119.16666666666667</v>
      </c>
      <c r="BE132" s="77">
        <f>Distribution!BE148+Competitive!BE596</f>
        <v>-119.16666666666667</v>
      </c>
      <c r="BF132" s="102">
        <f>Distribution!BF148+Competitive!BF596</f>
        <v>-119.16666666666669</v>
      </c>
      <c r="BG132" s="21">
        <f>SUM(BC132:BF132)</f>
        <v>-476.66666666666669</v>
      </c>
      <c r="BH132" s="104">
        <f>Distribution!BH148+Competitive!BH596</f>
        <v>-69.166666666666671</v>
      </c>
      <c r="BI132" s="77">
        <f>Distribution!BI148+Competitive!BI596</f>
        <v>-69.166666666666671</v>
      </c>
      <c r="BJ132" s="77">
        <f>Distribution!BJ148+Competitive!BJ596</f>
        <v>-69.166666666666671</v>
      </c>
      <c r="BK132" s="102">
        <f>Distribution!BK148+Competitive!BK596</f>
        <v>-69.166666666666671</v>
      </c>
      <c r="BL132" s="21">
        <f>SUM(BH132:BK132)</f>
        <v>-276.66666666666669</v>
      </c>
      <c r="BM132" s="104">
        <f>Distribution!BM148+Competitive!BM596</f>
        <v>-69.166666666666671</v>
      </c>
      <c r="BN132" s="77">
        <f>Distribution!BN148+Competitive!BN596</f>
        <v>-69.166666666666671</v>
      </c>
      <c r="BO132" s="77">
        <f>Distribution!BO148+Competitive!BO596</f>
        <v>-69.166666666666671</v>
      </c>
      <c r="BP132" s="102">
        <f>Distribution!BP148+Competitive!BP596</f>
        <v>-69.166666666666671</v>
      </c>
      <c r="BQ132" s="21">
        <f>SUM(BM132:BP132)</f>
        <v>-276.66666666666669</v>
      </c>
      <c r="CB132" s="889">
        <f>411-93+27-62+36-14-13-66+16-15</f>
        <v>227</v>
      </c>
      <c r="CC132" s="889">
        <f>642-136+52-135+39-59-2-93+18+48</f>
        <v>374</v>
      </c>
      <c r="CD132" s="889">
        <f>903-136+92-235+39-172+142-20+20+26-85-500</f>
        <v>74</v>
      </c>
      <c r="CE132" s="81">
        <f>+CF132-CD132</f>
        <v>182</v>
      </c>
      <c r="CF132" s="889">
        <f>1155-136+128-338+6+62-52+20+22-27-10+30-176+146+229-500-210-93</f>
        <v>256</v>
      </c>
      <c r="CG132" s="889">
        <f>212+41-77-17-81+33+12-46</f>
        <v>77</v>
      </c>
      <c r="CH132" s="889">
        <f>373+76-146-62-27-29+21-63+43</f>
        <v>186</v>
      </c>
      <c r="CI132" s="889">
        <f>549+123-192+294+21-39-21+48+129-40-54</f>
        <v>818</v>
      </c>
      <c r="CJ132" s="81">
        <f>+CK132-CI132</f>
        <v>205</v>
      </c>
      <c r="CK132" s="889">
        <f>722+168-254+384+33-54-1+89-2-26-55+5+129-81-34</f>
        <v>1023</v>
      </c>
      <c r="CL132" s="889">
        <f>132+47-58-15-9-53-25-157+31-28</f>
        <v>-135</v>
      </c>
      <c r="CM132" s="889">
        <f>222+92-168-61-4-31-21-262+41-31</f>
        <v>-223</v>
      </c>
      <c r="CN132" s="103">
        <f>344+152-222-17-25-22-375+59-66</f>
        <v>-172</v>
      </c>
      <c r="CO132" s="113">
        <f>CP132-CN132</f>
        <v>136</v>
      </c>
      <c r="CP132" s="103">
        <f>55+474-145+201-278+413+19-49+507-151-545-27-372-79-59</f>
        <v>-36</v>
      </c>
      <c r="CQ132" s="889">
        <f>75+58-107+4-23-39-64-600-28</f>
        <v>-724</v>
      </c>
      <c r="CR132" s="889">
        <f>137+106-149+7-106-18-64-86-600+22</f>
        <v>-751</v>
      </c>
      <c r="CS132" s="889">
        <f>198+156-214+10-62-97-17-80-600-3-11</f>
        <v>-720</v>
      </c>
      <c r="CT132" s="113">
        <f>CU132-CS132</f>
        <v>465</v>
      </c>
      <c r="CU132" s="103">
        <f>203+307-375+210-238+27-104+609-127-17-95-600+16-71</f>
        <v>-255</v>
      </c>
      <c r="CV132" s="889">
        <f>59+53-25+7+37-64+4-1+119</f>
        <v>189</v>
      </c>
      <c r="CW132" s="889">
        <f>131+98-39+473+53-59-22-104+21-42+141-61</f>
        <v>590</v>
      </c>
      <c r="CX132" s="889">
        <f>443+156-61+473+74-22-133-21+24-67+132-181-17</f>
        <v>800</v>
      </c>
      <c r="CY132" s="113">
        <f>CZ132-CX132</f>
        <v>112</v>
      </c>
      <c r="CZ132" s="103">
        <f>20+539+209-76+795+90-54-256-168-21+4-42-56+132-187-17</f>
        <v>912</v>
      </c>
      <c r="DA132" s="889">
        <f>-28+48-34+33-20-17+7-86</f>
        <v>-97</v>
      </c>
      <c r="DB132" s="889">
        <f>+-8+98-47+3-79-42+40+8-86</f>
        <v>-113</v>
      </c>
      <c r="DC132" s="889">
        <f>-86+27+160-89+10-56-60+60+8</f>
        <v>-26</v>
      </c>
      <c r="DD132" s="113">
        <f>DE132-DC132</f>
        <v>883</v>
      </c>
      <c r="DE132" s="103">
        <f>28+12+220+48+60-115+37+835-53+64-64+8-137-86</f>
        <v>857</v>
      </c>
      <c r="DF132" s="889">
        <f>32+57-31+12+7-4-143+2</f>
        <v>-68</v>
      </c>
      <c r="DG132" s="889">
        <f>91+106+20-45+24+24+11-16-143-7-102+16</f>
        <v>-21</v>
      </c>
      <c r="DH132" s="889">
        <f>201+166+31-73+70+37+16-18-143-64-102+31</f>
        <v>152</v>
      </c>
      <c r="DI132" s="113">
        <f>DJ132-DH132</f>
        <v>204</v>
      </c>
      <c r="DJ132" s="103">
        <f>42+464+242+48-105+55-20-73-143-23-131</f>
        <v>356</v>
      </c>
      <c r="DK132" s="889">
        <f>-10+12+16-160-64</f>
        <v>-206</v>
      </c>
      <c r="DL132" s="889">
        <f>-33+1447+10+24+31-160+5-94</f>
        <v>1230</v>
      </c>
      <c r="DM132" s="889">
        <f>-34+1447+13+36+45-297-10-94</f>
        <v>1106</v>
      </c>
      <c r="DN132" s="113">
        <f>DO132-DM132</f>
        <v>9321</v>
      </c>
      <c r="DO132" s="103">
        <f>21+147+49-30+54+64+9-382-50-120+10665</f>
        <v>10427</v>
      </c>
      <c r="DP132" s="889">
        <f>23+12+10+47</f>
        <v>92</v>
      </c>
      <c r="DQ132" s="889">
        <f>34+131+7+24+17+53-47</f>
        <v>219</v>
      </c>
      <c r="DR132" s="889">
        <f>55+162+10+37+28+64-47</f>
        <v>309</v>
      </c>
      <c r="DS132" s="113">
        <f>DT132-DR132</f>
        <v>2296</v>
      </c>
      <c r="DT132" s="103">
        <f>2406+13+141+49+22+29+81-63-73</f>
        <v>2605</v>
      </c>
    </row>
    <row r="133" spans="1:124">
      <c r="A133" s="92"/>
      <c r="B133" s="89"/>
      <c r="C133" s="97" t="s">
        <v>223</v>
      </c>
      <c r="D133" s="166"/>
      <c r="E133" s="104">
        <f>+CB133</f>
        <v>-29</v>
      </c>
      <c r="F133" s="77">
        <f t="shared" si="227"/>
        <v>-197</v>
      </c>
      <c r="G133" s="77">
        <f t="shared" si="227"/>
        <v>-109</v>
      </c>
      <c r="H133" s="102">
        <f>+I133-CD133</f>
        <v>434</v>
      </c>
      <c r="I133" s="95">
        <f t="shared" si="244"/>
        <v>99</v>
      </c>
      <c r="J133" s="114">
        <f>+CG133</f>
        <v>28</v>
      </c>
      <c r="K133" s="115">
        <f t="shared" si="228"/>
        <v>-303</v>
      </c>
      <c r="L133" s="115">
        <f t="shared" si="228"/>
        <v>126</v>
      </c>
      <c r="M133" s="105">
        <f>+N133-CI133</f>
        <v>226</v>
      </c>
      <c r="N133" s="95">
        <f t="shared" si="229"/>
        <v>77</v>
      </c>
      <c r="O133" s="104">
        <f>+CL133</f>
        <v>150</v>
      </c>
      <c r="P133" s="77">
        <f t="shared" si="230"/>
        <v>-246</v>
      </c>
      <c r="Q133" s="115">
        <f t="shared" si="230"/>
        <v>222</v>
      </c>
      <c r="R133" s="105">
        <f>+S133-CN133</f>
        <v>240</v>
      </c>
      <c r="S133" s="95">
        <f t="shared" si="231"/>
        <v>366</v>
      </c>
      <c r="T133" s="104">
        <f>+CQ133</f>
        <v>-539</v>
      </c>
      <c r="U133" s="77">
        <f t="shared" si="232"/>
        <v>-129</v>
      </c>
      <c r="V133" s="77">
        <f t="shared" si="232"/>
        <v>199</v>
      </c>
      <c r="W133" s="105">
        <f>+X133-CS133</f>
        <v>502</v>
      </c>
      <c r="X133" s="95">
        <f t="shared" si="233"/>
        <v>33</v>
      </c>
      <c r="Y133" s="104">
        <f>+CV133</f>
        <v>-763</v>
      </c>
      <c r="Z133" s="115">
        <f t="shared" si="234"/>
        <v>-81</v>
      </c>
      <c r="AA133" s="115">
        <f t="shared" si="234"/>
        <v>442</v>
      </c>
      <c r="AB133" s="105">
        <f>+AC133-CX133</f>
        <v>315</v>
      </c>
      <c r="AC133" s="95">
        <f t="shared" si="235"/>
        <v>-87</v>
      </c>
      <c r="AD133" s="104">
        <f>+DA133</f>
        <v>-678</v>
      </c>
      <c r="AE133" s="115">
        <f t="shared" si="236"/>
        <v>386</v>
      </c>
      <c r="AF133" s="115">
        <f t="shared" si="236"/>
        <v>219</v>
      </c>
      <c r="AG133" s="105">
        <f>+AH133-DC133</f>
        <v>248</v>
      </c>
      <c r="AH133" s="95">
        <f t="shared" si="237"/>
        <v>175</v>
      </c>
      <c r="AI133" s="104">
        <f>+DF133</f>
        <v>-407</v>
      </c>
      <c r="AJ133" s="115">
        <f>+DG133-DF133</f>
        <v>149</v>
      </c>
      <c r="AK133" s="115">
        <f t="shared" si="238"/>
        <v>222</v>
      </c>
      <c r="AL133" s="105">
        <f>+AM133-DH133</f>
        <v>429</v>
      </c>
      <c r="AM133" s="95">
        <f t="shared" si="239"/>
        <v>393</v>
      </c>
      <c r="AN133" s="104">
        <f>+DK133</f>
        <v>-145</v>
      </c>
      <c r="AO133" s="115">
        <f>+DL133-DK133</f>
        <v>142</v>
      </c>
      <c r="AP133" s="115">
        <f t="shared" si="240"/>
        <v>100</v>
      </c>
      <c r="AQ133" s="105">
        <f>+AR133-DM133</f>
        <v>90</v>
      </c>
      <c r="AR133" s="95">
        <f t="shared" si="241"/>
        <v>187</v>
      </c>
      <c r="AS133" s="104">
        <f>+DP133</f>
        <v>-18</v>
      </c>
      <c r="AT133" s="115">
        <f t="shared" si="242"/>
        <v>-114</v>
      </c>
      <c r="AU133" s="115">
        <f t="shared" si="242"/>
        <v>109</v>
      </c>
      <c r="AV133" s="105">
        <f>+AW133-DR133</f>
        <v>411</v>
      </c>
      <c r="AW133" s="95">
        <f t="shared" si="243"/>
        <v>388</v>
      </c>
      <c r="AX133" s="112">
        <f>-750-500</f>
        <v>-1250</v>
      </c>
      <c r="AY133" s="78">
        <v>0</v>
      </c>
      <c r="AZ133" s="78">
        <v>0</v>
      </c>
      <c r="BA133" s="111">
        <v>0</v>
      </c>
      <c r="BB133" s="21">
        <f>SUM(AX133:BA133)</f>
        <v>-1250</v>
      </c>
      <c r="BC133" s="112">
        <v>0</v>
      </c>
      <c r="BD133" s="78">
        <v>0</v>
      </c>
      <c r="BE133" s="78">
        <v>0</v>
      </c>
      <c r="BF133" s="111">
        <v>0</v>
      </c>
      <c r="BG133" s="21">
        <f>SUM(BC133:BF133)</f>
        <v>0</v>
      </c>
      <c r="BH133" s="112">
        <v>0</v>
      </c>
      <c r="BI133" s="78">
        <v>0</v>
      </c>
      <c r="BJ133" s="78">
        <v>0</v>
      </c>
      <c r="BK133" s="111">
        <v>0</v>
      </c>
      <c r="BL133" s="21">
        <f>SUM(BH133:BK133)</f>
        <v>0</v>
      </c>
      <c r="BM133" s="112">
        <v>0</v>
      </c>
      <c r="BN133" s="78">
        <v>0</v>
      </c>
      <c r="BO133" s="78">
        <v>0</v>
      </c>
      <c r="BP133" s="111">
        <v>0</v>
      </c>
      <c r="BQ133" s="21">
        <f>SUM(BM133:BP133)</f>
        <v>0</v>
      </c>
      <c r="CB133" s="889">
        <f>46-7-71-90-51+118+26</f>
        <v>-29</v>
      </c>
      <c r="CC133" s="889">
        <f>32+6-179-11-101+27</f>
        <v>-226</v>
      </c>
      <c r="CD133" s="889">
        <f>78+30-349-103-97+121-15</f>
        <v>-335</v>
      </c>
      <c r="CE133" s="81">
        <f>+CF133-CD133</f>
        <v>434</v>
      </c>
      <c r="CF133" s="889">
        <f>75-11-19+50-103+67+40</f>
        <v>99</v>
      </c>
      <c r="CG133" s="889">
        <f>2-42+33-57+7+66+19</f>
        <v>28</v>
      </c>
      <c r="CH133" s="889">
        <f>-156-17-81+18-58+10+9</f>
        <v>-275</v>
      </c>
      <c r="CI133" s="889">
        <f>-172-6-4-16-18+63+4</f>
        <v>-149</v>
      </c>
      <c r="CJ133" s="81">
        <f>+CK133-CI133</f>
        <v>226</v>
      </c>
      <c r="CK133" s="889">
        <f>-177+2+100+43+57+7+45</f>
        <v>77</v>
      </c>
      <c r="CL133" s="889">
        <f>164+40+118-90-182+76+24</f>
        <v>150</v>
      </c>
      <c r="CM133" s="889">
        <f>199+24-268-28-66-4+47</f>
        <v>-96</v>
      </c>
      <c r="CN133" s="103">
        <f>139+62-1-154+20+67-7</f>
        <v>126</v>
      </c>
      <c r="CO133" s="113">
        <f>CP133-CN133</f>
        <v>240</v>
      </c>
      <c r="CP133" s="103">
        <f>147+14+101+35+91-12+69-79</f>
        <v>366</v>
      </c>
      <c r="CQ133" s="889">
        <f>59-118-19-256-116+70-123-36</f>
        <v>-539</v>
      </c>
      <c r="CR133" s="889">
        <f>-105-109-117-122-192-5+78-96</f>
        <v>-668</v>
      </c>
      <c r="CS133" s="889">
        <f>-41-63-151-227-58+50-71+92</f>
        <v>-469</v>
      </c>
      <c r="CT133" s="113">
        <f>CU133-CS133</f>
        <v>502</v>
      </c>
      <c r="CU133" s="103">
        <f>-13-50-12+71+6-12-55+98</f>
        <v>33</v>
      </c>
      <c r="CV133" s="889">
        <f>-34+26-159-385-126+53-91-47</f>
        <v>-763</v>
      </c>
      <c r="CW133" s="889">
        <f>-125+42-185-329-199+2-34-16</f>
        <v>-844</v>
      </c>
      <c r="CX133" s="889">
        <f>-7+117-59-279-146+29-43-14</f>
        <v>-402</v>
      </c>
      <c r="CY133" s="113">
        <f>CZ133-CX133</f>
        <v>315</v>
      </c>
      <c r="CZ133" s="103">
        <f>-114+96-126-25+85-10+19-12</f>
        <v>-87</v>
      </c>
      <c r="DA133" s="889">
        <f>-168+12-29+200-242+46-118-461+82</f>
        <v>-678</v>
      </c>
      <c r="DB133" s="889">
        <f>+-44-50-20+103-159-70-127+75</f>
        <v>-292</v>
      </c>
      <c r="DC133" s="889">
        <f>90-19+42-47-145+66-74-71+85</f>
        <v>-73</v>
      </c>
      <c r="DD133" s="113">
        <f>DE133-DC133</f>
        <v>248</v>
      </c>
      <c r="DE133" s="103">
        <f>139-65+126+42-165+31-22-54+143</f>
        <v>175</v>
      </c>
      <c r="DF133" s="889">
        <f>30-97-116-177-80+44-80+11-15+73</f>
        <v>-407</v>
      </c>
      <c r="DG133" s="889">
        <f>8-116-245-23+12+2+38+66</f>
        <v>-258</v>
      </c>
      <c r="DH133" s="889">
        <f>7+32-43-285-68+37+16+26+59+183</f>
        <v>-36</v>
      </c>
      <c r="DI133" s="113">
        <f>DJ133-DH133</f>
        <v>429</v>
      </c>
      <c r="DJ133" s="103">
        <f>184-15-10-243+29-6+5+75+140+234</f>
        <v>393</v>
      </c>
      <c r="DK133" s="889">
        <f>1+4-82+25-110+47-102+19-6+59</f>
        <v>-145</v>
      </c>
      <c r="DL133" s="889">
        <f>101-91-22-80-50+17+21+101</f>
        <v>-3</v>
      </c>
      <c r="DM133" s="889">
        <f>-34+45-28-17-81+36+2+17+25+132</f>
        <v>97</v>
      </c>
      <c r="DN133" s="113">
        <f>DO133-DM133</f>
        <v>90</v>
      </c>
      <c r="DO133" s="103">
        <f>-11+41+27-37+61+29+56-116+137</f>
        <v>187</v>
      </c>
      <c r="DP133" s="889">
        <f>68+11-111+45-131-137+20+58+159</f>
        <v>-18</v>
      </c>
      <c r="DQ133" s="889">
        <f>83-10-127-62-125-55+32+132</f>
        <v>-132</v>
      </c>
      <c r="DR133" s="889">
        <f>73-6-41-22-161-54+13+19+156</f>
        <v>-23</v>
      </c>
      <c r="DS133" s="113">
        <f>DT133-DR133</f>
        <v>411</v>
      </c>
      <c r="DT133" s="103">
        <f>-39-6+30+72-9-27+20+27+320</f>
        <v>388</v>
      </c>
    </row>
    <row r="134" spans="1:124">
      <c r="A134" s="92"/>
      <c r="B134" s="89"/>
      <c r="C134" s="88" t="s">
        <v>224</v>
      </c>
      <c r="D134" s="96"/>
      <c r="E134" s="106">
        <f>SUM(E129:E133)</f>
        <v>462</v>
      </c>
      <c r="F134" s="76">
        <f>SUM(F129:F133)</f>
        <v>640</v>
      </c>
      <c r="G134" s="76">
        <f>SUM(G129:G133)</f>
        <v>362</v>
      </c>
      <c r="H134" s="107">
        <f>SUM(H129:H133)</f>
        <v>1001</v>
      </c>
      <c r="I134" s="51">
        <f t="shared" si="244"/>
        <v>2465</v>
      </c>
      <c r="J134" s="106">
        <f>SUM(J129:J133)</f>
        <v>506</v>
      </c>
      <c r="K134" s="76">
        <f>SUM(K129:K133)</f>
        <v>352</v>
      </c>
      <c r="L134" s="76">
        <f>SUM(L129:L133)</f>
        <v>1215</v>
      </c>
      <c r="M134" s="107">
        <f>SUM(M129:M133)</f>
        <v>1003</v>
      </c>
      <c r="N134" s="51">
        <f t="shared" si="229"/>
        <v>3076</v>
      </c>
      <c r="O134" s="106">
        <f>SUM(O129:O133)</f>
        <v>491</v>
      </c>
      <c r="P134" s="76">
        <f>SUM(P129:P133)</f>
        <v>540</v>
      </c>
      <c r="Q134" s="76">
        <f>SUM(Q129:Q133)</f>
        <v>1198</v>
      </c>
      <c r="R134" s="107">
        <f>SUM(R129:R133)</f>
        <v>834</v>
      </c>
      <c r="S134" s="51">
        <f t="shared" si="231"/>
        <v>3063</v>
      </c>
      <c r="T134" s="106">
        <f>SUM(T129:T133)</f>
        <v>-413</v>
      </c>
      <c r="U134" s="76">
        <f>SUM(U129:U133)</f>
        <v>475</v>
      </c>
      <c r="V134" s="76">
        <f>SUM(V129:V133)</f>
        <v>1214</v>
      </c>
      <c r="W134" s="107">
        <f>SUM(W129:W133)</f>
        <v>1044</v>
      </c>
      <c r="X134" s="51">
        <f t="shared" si="233"/>
        <v>2320</v>
      </c>
      <c r="Y134" s="106">
        <f>SUM(Y129:Y133)</f>
        <v>50</v>
      </c>
      <c r="Z134" s="76">
        <f>SUM(Z129:Z133)</f>
        <v>443</v>
      </c>
      <c r="AA134" s="76">
        <f>SUM(AA129:AA133)</f>
        <v>1178</v>
      </c>
      <c r="AB134" s="107">
        <f>SUM(AB129:AB133)</f>
        <v>991</v>
      </c>
      <c r="AC134" s="51">
        <f t="shared" si="235"/>
        <v>2662</v>
      </c>
      <c r="AD134" s="106">
        <f>SUM(AD129:AD133)</f>
        <v>-92</v>
      </c>
      <c r="AE134" s="76">
        <f>SUM(AE129:AE133)</f>
        <v>714</v>
      </c>
      <c r="AF134" s="76">
        <f>SUM(AF129:AF133)</f>
        <v>1115</v>
      </c>
      <c r="AG134" s="107">
        <f>SUM(AG129:AG133)</f>
        <v>976</v>
      </c>
      <c r="AH134" s="51">
        <f t="shared" si="237"/>
        <v>2713</v>
      </c>
      <c r="AI134" s="106">
        <f>SUM(AI129:AI133)</f>
        <v>193</v>
      </c>
      <c r="AJ134" s="76">
        <f>SUM(AJ129:AJ133)</f>
        <v>797</v>
      </c>
      <c r="AK134" s="76">
        <f>SUM(AK129:AK133)</f>
        <v>1327</v>
      </c>
      <c r="AL134" s="107">
        <f>SUM(AL129:AL133)</f>
        <v>1130</v>
      </c>
      <c r="AM134" s="51">
        <f t="shared" si="239"/>
        <v>3447</v>
      </c>
      <c r="AN134" s="106">
        <f>SUM(AN129:AN133)</f>
        <v>638</v>
      </c>
      <c r="AO134" s="76">
        <f>SUM(AO129:AO133)</f>
        <v>822</v>
      </c>
      <c r="AP134" s="76">
        <f>SUM(AP129:AP133)</f>
        <v>1120</v>
      </c>
      <c r="AQ134" s="107">
        <f>SUM(AQ129:AQ133)</f>
        <v>791</v>
      </c>
      <c r="AR134" s="51">
        <f t="shared" si="241"/>
        <v>3371</v>
      </c>
      <c r="AS134" s="106">
        <f>SUM(AS129:AS133)</f>
        <v>785</v>
      </c>
      <c r="AT134" s="76">
        <f>SUM(AT129:AT133)</f>
        <v>697</v>
      </c>
      <c r="AU134" s="76">
        <f>SUM(AU129:AU133)</f>
        <v>1280</v>
      </c>
      <c r="AV134" s="107">
        <f>SUM(AV129:AV133)</f>
        <v>1046</v>
      </c>
      <c r="AW134" s="51">
        <f t="shared" si="243"/>
        <v>3808</v>
      </c>
      <c r="AX134" s="106">
        <f t="shared" ref="AX134:BB134" si="245">SUM(AX129:AX133)</f>
        <v>-524.57890514213193</v>
      </c>
      <c r="AY134" s="76">
        <f t="shared" si="245"/>
        <v>622.62358436480497</v>
      </c>
      <c r="AZ134" s="76">
        <f t="shared" si="245"/>
        <v>723.22383639569955</v>
      </c>
      <c r="BA134" s="107">
        <f t="shared" si="245"/>
        <v>657.50267291673345</v>
      </c>
      <c r="BB134" s="51">
        <f t="shared" si="245"/>
        <v>1478.7711885351059</v>
      </c>
      <c r="BC134" s="106">
        <f t="shared" ref="BC134:BL134" si="246">SUM(BC129:BC133)</f>
        <v>650.34760485395827</v>
      </c>
      <c r="BD134" s="76">
        <f t="shared" si="246"/>
        <v>575.74901471230032</v>
      </c>
      <c r="BE134" s="76">
        <f t="shared" si="246"/>
        <v>690.67481823416847</v>
      </c>
      <c r="BF134" s="107">
        <f t="shared" si="246"/>
        <v>617.04769888533315</v>
      </c>
      <c r="BG134" s="51">
        <f t="shared" si="246"/>
        <v>2533.8191366857604</v>
      </c>
      <c r="BH134" s="106">
        <f t="shared" si="246"/>
        <v>692.5499843820744</v>
      </c>
      <c r="BI134" s="76">
        <f t="shared" si="246"/>
        <v>613.23427510385113</v>
      </c>
      <c r="BJ134" s="76">
        <f t="shared" si="246"/>
        <v>723.16570940748363</v>
      </c>
      <c r="BK134" s="107">
        <f t="shared" si="246"/>
        <v>650.99672885616565</v>
      </c>
      <c r="BL134" s="51">
        <f t="shared" si="246"/>
        <v>2679.9466977495745</v>
      </c>
      <c r="BM134" s="106">
        <f t="shared" ref="BM134:BQ134" si="247">SUM(BM129:BM133)</f>
        <v>763.83912873664156</v>
      </c>
      <c r="BN134" s="76">
        <f t="shared" si="247"/>
        <v>665.49339507998968</v>
      </c>
      <c r="BO134" s="76">
        <f t="shared" si="247"/>
        <v>786.9082905647814</v>
      </c>
      <c r="BP134" s="107">
        <f t="shared" si="247"/>
        <v>745.40255069706416</v>
      </c>
      <c r="BQ134" s="51">
        <f t="shared" si="247"/>
        <v>2961.6433650784766</v>
      </c>
      <c r="CB134" s="81">
        <f t="shared" ref="CB134:CL134" si="248">+SUM(CB129:CB133)</f>
        <v>462</v>
      </c>
      <c r="CC134" s="81">
        <f t="shared" si="248"/>
        <v>1102</v>
      </c>
      <c r="CD134" s="81">
        <f t="shared" si="248"/>
        <v>1464</v>
      </c>
      <c r="CE134" s="81">
        <f t="shared" si="248"/>
        <v>1001</v>
      </c>
      <c r="CF134" s="81">
        <f t="shared" si="248"/>
        <v>2465</v>
      </c>
      <c r="CG134" s="81">
        <f t="shared" si="248"/>
        <v>506</v>
      </c>
      <c r="CH134" s="81">
        <f t="shared" si="248"/>
        <v>858</v>
      </c>
      <c r="CI134" s="81">
        <f t="shared" si="248"/>
        <v>2073</v>
      </c>
      <c r="CJ134" s="81">
        <f t="shared" si="248"/>
        <v>1003</v>
      </c>
      <c r="CK134" s="81">
        <f t="shared" si="248"/>
        <v>3076</v>
      </c>
      <c r="CL134" s="60">
        <f t="shared" si="248"/>
        <v>491</v>
      </c>
      <c r="CM134" s="60">
        <f>+SUM(CM129:CM133)</f>
        <v>1031</v>
      </c>
      <c r="CN134" s="60">
        <f>+SUM(CN129:CN133)</f>
        <v>2229</v>
      </c>
      <c r="CO134" s="93">
        <f>SUM(CO129:CO133)</f>
        <v>834</v>
      </c>
      <c r="CP134" s="93">
        <f>SUM(CP129:CP133)</f>
        <v>3063</v>
      </c>
      <c r="CQ134" s="60">
        <f>+SUM(CQ129:CQ133)</f>
        <v>-413</v>
      </c>
      <c r="CR134" s="60">
        <f>+SUM(CR129:CR133)</f>
        <v>62</v>
      </c>
      <c r="CS134" s="60">
        <f>+SUM(CS129:CS133)</f>
        <v>1276</v>
      </c>
      <c r="CT134" s="93">
        <f>SUM(CT129:CT133)</f>
        <v>1044</v>
      </c>
      <c r="CU134" s="93">
        <f>+SUM(CU129:CU133)</f>
        <v>2320</v>
      </c>
      <c r="CV134" s="60">
        <f>+SUM(CV129:CV133)</f>
        <v>50</v>
      </c>
      <c r="CW134" s="60">
        <f>+SUM(CW129:CW133)</f>
        <v>493</v>
      </c>
      <c r="CX134" s="60">
        <f>+SUM(CX129:CX133)</f>
        <v>1671</v>
      </c>
      <c r="CY134" s="93">
        <f>SUM(CY129:CY133)</f>
        <v>991</v>
      </c>
      <c r="CZ134" s="93">
        <f>+SUM(CZ129:CZ133)</f>
        <v>2662</v>
      </c>
      <c r="DA134" s="60">
        <f>+SUM(DA129:DA133)</f>
        <v>-92</v>
      </c>
      <c r="DB134" s="60">
        <f>+SUM(DB129:DB133)</f>
        <v>622</v>
      </c>
      <c r="DC134" s="60">
        <f>+SUM(DC129:DC133)</f>
        <v>1737</v>
      </c>
      <c r="DD134" s="93">
        <f>SUM(DD129:DD133)</f>
        <v>976</v>
      </c>
      <c r="DE134" s="93">
        <f>+SUM(DE129:DE133)</f>
        <v>2713</v>
      </c>
      <c r="DF134" s="60">
        <f>+SUM(DF129:DF133)</f>
        <v>193</v>
      </c>
      <c r="DG134" s="60">
        <f>+SUM(DG129:DG133)</f>
        <v>990</v>
      </c>
      <c r="DH134" s="60">
        <f>+SUM(DH129:DH133)</f>
        <v>2317</v>
      </c>
      <c r="DI134" s="93">
        <f>SUM(DI129:DI133)</f>
        <v>1130</v>
      </c>
      <c r="DJ134" s="93">
        <f>+SUM(DJ129:DJ133)</f>
        <v>3447</v>
      </c>
      <c r="DK134" s="60">
        <f>+SUM(DK129:DK133)</f>
        <v>638</v>
      </c>
      <c r="DL134" s="60">
        <f>+SUM(DL129:DL133)</f>
        <v>1460</v>
      </c>
      <c r="DM134" s="60">
        <f>+SUM(DM129:DM133)</f>
        <v>2580</v>
      </c>
      <c r="DN134" s="93">
        <f>SUM(DN129:DN133)</f>
        <v>791</v>
      </c>
      <c r="DO134" s="93">
        <f>+SUM(DO129:DO133)</f>
        <v>3371</v>
      </c>
      <c r="DP134" s="60">
        <f>+SUM(DP129:DP133)</f>
        <v>785</v>
      </c>
      <c r="DQ134" s="60">
        <f>+SUM(DQ129:DQ133)</f>
        <v>1482</v>
      </c>
      <c r="DR134" s="60">
        <f>+SUM(DR129:DR133)</f>
        <v>2762</v>
      </c>
      <c r="DS134" s="93">
        <f>SUM(DS129:DS133)</f>
        <v>1046</v>
      </c>
      <c r="DT134" s="93">
        <f>+SUM(DT129:DT133)</f>
        <v>3808</v>
      </c>
    </row>
    <row r="135" spans="1:124">
      <c r="A135" s="92"/>
      <c r="B135" s="89"/>
      <c r="C135" s="89"/>
      <c r="D135" s="166"/>
      <c r="E135" s="169"/>
      <c r="F135" s="167"/>
      <c r="G135" s="167"/>
      <c r="H135" s="168"/>
      <c r="I135" s="21"/>
      <c r="J135" s="169"/>
      <c r="K135" s="167"/>
      <c r="L135" s="167"/>
      <c r="M135" s="168"/>
      <c r="N135" s="21"/>
      <c r="O135" s="169"/>
      <c r="P135" s="167"/>
      <c r="Q135" s="167"/>
      <c r="R135" s="168"/>
      <c r="S135" s="21"/>
      <c r="T135" s="169"/>
      <c r="U135" s="167"/>
      <c r="V135" s="167"/>
      <c r="W135" s="168"/>
      <c r="X135" s="21"/>
      <c r="Y135" s="169"/>
      <c r="Z135" s="167"/>
      <c r="AA135" s="167"/>
      <c r="AB135" s="168"/>
      <c r="AC135" s="21"/>
      <c r="AD135" s="169"/>
      <c r="AE135" s="167"/>
      <c r="AF135" s="167"/>
      <c r="AG135" s="168"/>
      <c r="AH135" s="21"/>
      <c r="AI135" s="169"/>
      <c r="AJ135" s="167"/>
      <c r="AK135" s="167"/>
      <c r="AL135" s="168"/>
      <c r="AM135" s="21"/>
      <c r="AN135" s="169"/>
      <c r="AO135" s="167"/>
      <c r="AP135" s="167"/>
      <c r="AQ135" s="168"/>
      <c r="AR135" s="21"/>
      <c r="AS135" s="169"/>
      <c r="AT135" s="167"/>
      <c r="AU135" s="167"/>
      <c r="AV135" s="168"/>
      <c r="AW135" s="21"/>
      <c r="AX135" s="169"/>
      <c r="AY135" s="167"/>
      <c r="AZ135" s="167"/>
      <c r="BA135" s="168"/>
      <c r="BB135" s="21"/>
      <c r="BC135" s="169"/>
      <c r="BD135" s="167"/>
      <c r="BE135" s="167"/>
      <c r="BF135" s="168"/>
      <c r="BG135" s="21"/>
      <c r="BH135" s="169"/>
      <c r="BI135" s="167"/>
      <c r="BJ135" s="167"/>
      <c r="BK135" s="168"/>
      <c r="BL135" s="21"/>
      <c r="BM135" s="169"/>
      <c r="BN135" s="167"/>
      <c r="BO135" s="167"/>
      <c r="BP135" s="168"/>
      <c r="BQ135" s="21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03"/>
      <c r="CO135" s="113"/>
      <c r="CP135" s="103"/>
      <c r="CQ135" s="113"/>
      <c r="CR135" s="113"/>
      <c r="CS135" s="113"/>
      <c r="CT135" s="113"/>
      <c r="CU135" s="103"/>
      <c r="CV135" s="113"/>
      <c r="CW135" s="113"/>
      <c r="CX135" s="113"/>
      <c r="CY135" s="113"/>
      <c r="CZ135" s="103"/>
      <c r="DA135" s="113"/>
      <c r="DB135" s="113"/>
      <c r="DC135" s="113"/>
      <c r="DD135" s="113"/>
      <c r="DE135" s="103"/>
      <c r="DF135" s="113"/>
      <c r="DG135" s="113"/>
      <c r="DH135" s="113"/>
      <c r="DI135" s="113"/>
      <c r="DJ135" s="103"/>
      <c r="DK135" s="113"/>
      <c r="DL135" s="113"/>
      <c r="DM135" s="113"/>
      <c r="DN135" s="113"/>
      <c r="DO135" s="103"/>
      <c r="DP135" s="113"/>
      <c r="DQ135" s="113"/>
      <c r="DR135" s="113"/>
      <c r="DS135" s="113"/>
      <c r="DT135" s="103"/>
    </row>
    <row r="136" spans="1:124">
      <c r="A136" s="92"/>
      <c r="B136" s="89"/>
      <c r="C136" s="159" t="s">
        <v>256</v>
      </c>
      <c r="D136" s="166"/>
      <c r="E136" s="104">
        <f>+CB136</f>
        <v>-654</v>
      </c>
      <c r="F136" s="77">
        <f t="shared" ref="F136:G138" si="249">+CC136-CB136</f>
        <v>-489</v>
      </c>
      <c r="G136" s="77">
        <f t="shared" si="249"/>
        <v>-432</v>
      </c>
      <c r="H136" s="102">
        <f>+I136-CD136</f>
        <v>-628</v>
      </c>
      <c r="I136" s="113">
        <f t="shared" si="244"/>
        <v>-2203</v>
      </c>
      <c r="J136" s="114">
        <f>+CG136</f>
        <v>-508</v>
      </c>
      <c r="K136" s="115">
        <f t="shared" ref="K136:L138" si="250">+CH136-CG136</f>
        <v>-489</v>
      </c>
      <c r="L136" s="115">
        <f t="shared" si="250"/>
        <v>-470</v>
      </c>
      <c r="M136" s="105">
        <f>+N136-CI136</f>
        <v>-496</v>
      </c>
      <c r="N136" s="113">
        <f t="shared" ref="N136:N149" si="251">CK136</f>
        <v>-1963</v>
      </c>
      <c r="O136" s="104">
        <f>+CL136</f>
        <v>-449</v>
      </c>
      <c r="P136" s="77">
        <f t="shared" ref="P136:Q138" si="252">+CM136-CL136</f>
        <v>-569</v>
      </c>
      <c r="Q136" s="115">
        <f t="shared" si="252"/>
        <v>-511</v>
      </c>
      <c r="R136" s="105">
        <f>+S136-CN136</f>
        <v>-749</v>
      </c>
      <c r="S136" s="113">
        <f>CP136</f>
        <v>-2278</v>
      </c>
      <c r="T136" s="104">
        <f>+CQ136</f>
        <v>-589</v>
      </c>
      <c r="U136" s="77">
        <f t="shared" ref="U136:V138" si="253">+CR136-CQ136</f>
        <v>-412</v>
      </c>
      <c r="V136" s="77">
        <f t="shared" si="253"/>
        <v>-892</v>
      </c>
      <c r="W136" s="105">
        <f>+X136-CS136</f>
        <v>-1071</v>
      </c>
      <c r="X136" s="113">
        <f>CU136</f>
        <v>-2964</v>
      </c>
      <c r="Y136" s="104">
        <f>+CV136</f>
        <v>-853</v>
      </c>
      <c r="Z136" s="115">
        <f t="shared" ref="Z136:AA138" si="254">+CW136-CV136</f>
        <v>-609</v>
      </c>
      <c r="AA136" s="115">
        <f t="shared" si="254"/>
        <v>-657</v>
      </c>
      <c r="AB136" s="105">
        <f>+AC136-CX136</f>
        <v>-769</v>
      </c>
      <c r="AC136" s="113">
        <f>CZ136</f>
        <v>-2888</v>
      </c>
      <c r="AD136" s="104">
        <f>+DA136</f>
        <v>-876</v>
      </c>
      <c r="AE136" s="115">
        <f t="shared" ref="AE136:AF138" si="255">+DB136-DA136</f>
        <v>-991</v>
      </c>
      <c r="AF136" s="115">
        <f t="shared" si="255"/>
        <v>-704</v>
      </c>
      <c r="AG136" s="105">
        <f>+AH136-DC136</f>
        <v>-974</v>
      </c>
      <c r="AH136" s="113">
        <f>DE136</f>
        <v>-3545</v>
      </c>
      <c r="AI136" s="104">
        <f>+DF136</f>
        <v>-728</v>
      </c>
      <c r="AJ136" s="115">
        <f>+DG136-DF136</f>
        <v>-855</v>
      </c>
      <c r="AK136" s="115">
        <f t="shared" ref="AK136:AK138" si="256">+DH136-DG136</f>
        <v>-543</v>
      </c>
      <c r="AL136" s="105">
        <f>+AM136-DH136</f>
        <v>-768</v>
      </c>
      <c r="AM136" s="113">
        <f>DJ136</f>
        <v>-2894</v>
      </c>
      <c r="AN136" s="104">
        <f>+DK136</f>
        <v>-847</v>
      </c>
      <c r="AO136" s="115">
        <f>+DL136-DK136</f>
        <v>-833</v>
      </c>
      <c r="AP136" s="115">
        <f t="shared" ref="AP136:AP138" si="257">+DM136-DL136</f>
        <v>-671</v>
      </c>
      <c r="AQ136" s="105">
        <f>+AR136-DM136</f>
        <v>-716</v>
      </c>
      <c r="AR136" s="113">
        <f>DO136</f>
        <v>-3067</v>
      </c>
      <c r="AS136" s="104">
        <f>+DP136</f>
        <v>-720</v>
      </c>
      <c r="AT136" s="115">
        <f t="shared" ref="AT136:AU138" si="258">+DQ136-DP136</f>
        <v>-668</v>
      </c>
      <c r="AU136" s="115">
        <f t="shared" si="258"/>
        <v>-615</v>
      </c>
      <c r="AV136" s="105">
        <f>+AW136-DR136</f>
        <v>-838</v>
      </c>
      <c r="AW136" s="113">
        <f>DT136</f>
        <v>-2841</v>
      </c>
      <c r="AX136" s="104">
        <f>-AX86</f>
        <v>-760</v>
      </c>
      <c r="AY136" s="77">
        <f>-AY86</f>
        <v>-760</v>
      </c>
      <c r="AZ136" s="77">
        <f>-AZ86</f>
        <v>-813</v>
      </c>
      <c r="BA136" s="102">
        <f>-BA86</f>
        <v>-760</v>
      </c>
      <c r="BB136" s="21">
        <f>SUM(AX136:BA136)</f>
        <v>-3093</v>
      </c>
      <c r="BC136" s="104">
        <f>-BC86</f>
        <v>-760</v>
      </c>
      <c r="BD136" s="77">
        <f>-BD86</f>
        <v>-760</v>
      </c>
      <c r="BE136" s="77">
        <f>-BE86</f>
        <v>-813</v>
      </c>
      <c r="BF136" s="102">
        <f>-BF86</f>
        <v>-760</v>
      </c>
      <c r="BG136" s="21">
        <f>SUM(BC136:BF136)</f>
        <v>-3093</v>
      </c>
      <c r="BH136" s="104">
        <f>-BH86</f>
        <v>-760</v>
      </c>
      <c r="BI136" s="77">
        <f>-BI86</f>
        <v>-760</v>
      </c>
      <c r="BJ136" s="77">
        <f>-BJ86</f>
        <v>-760</v>
      </c>
      <c r="BK136" s="102">
        <f>-BK86</f>
        <v>-760</v>
      </c>
      <c r="BL136" s="21">
        <f>SUM(BH136:BK136)</f>
        <v>-3040</v>
      </c>
      <c r="BM136" s="104">
        <f>-BM86</f>
        <v>-760</v>
      </c>
      <c r="BN136" s="77">
        <f>-BN86</f>
        <v>-760</v>
      </c>
      <c r="BO136" s="77">
        <f>-BO86</f>
        <v>-760</v>
      </c>
      <c r="BP136" s="102">
        <f>-BP86</f>
        <v>-760</v>
      </c>
      <c r="BQ136" s="21">
        <f>SUM(BM136:BP136)</f>
        <v>-3040</v>
      </c>
      <c r="CB136" s="889">
        <v>-654</v>
      </c>
      <c r="CC136" s="889">
        <v>-1143</v>
      </c>
      <c r="CD136" s="889">
        <v>-1575</v>
      </c>
      <c r="CE136" s="81">
        <f>+CF136-CD136</f>
        <v>-628</v>
      </c>
      <c r="CF136" s="889">
        <v>-2203</v>
      </c>
      <c r="CG136" s="889">
        <v>-508</v>
      </c>
      <c r="CH136" s="889">
        <v>-997</v>
      </c>
      <c r="CI136" s="889">
        <v>-1467</v>
      </c>
      <c r="CJ136" s="81">
        <f>+CK136-CI136</f>
        <v>-496</v>
      </c>
      <c r="CK136" s="889">
        <v>-1963</v>
      </c>
      <c r="CL136" s="889">
        <v>-449</v>
      </c>
      <c r="CM136" s="889">
        <v>-1018</v>
      </c>
      <c r="CN136" s="103">
        <f>-1464-65</f>
        <v>-1529</v>
      </c>
      <c r="CO136" s="113">
        <f>CP136-CN136</f>
        <v>-749</v>
      </c>
      <c r="CP136" s="103">
        <f>-2129-149</f>
        <v>-2278</v>
      </c>
      <c r="CQ136" s="889">
        <f>-517-72</f>
        <v>-589</v>
      </c>
      <c r="CR136" s="889">
        <f>-911-90</f>
        <v>-1001</v>
      </c>
      <c r="CS136" s="889">
        <f>-1686-207</f>
        <v>-1893</v>
      </c>
      <c r="CT136" s="113">
        <f>CU136-CS136</f>
        <v>-1071</v>
      </c>
      <c r="CU136" s="103">
        <f>-2678-286</f>
        <v>-2964</v>
      </c>
      <c r="CV136" s="889">
        <f>-826-27</f>
        <v>-853</v>
      </c>
      <c r="CW136" s="889">
        <f>-1412-50</f>
        <v>-1462</v>
      </c>
      <c r="CX136" s="889">
        <f>-1960-159</f>
        <v>-2119</v>
      </c>
      <c r="CY136" s="113">
        <f>CZ136-CX136</f>
        <v>-769</v>
      </c>
      <c r="CZ136" s="103">
        <f>-2638-250</f>
        <v>-2888</v>
      </c>
      <c r="DA136" s="889">
        <f>-821-55</f>
        <v>-876</v>
      </c>
      <c r="DB136" s="889">
        <f>-1809-58</f>
        <v>-1867</v>
      </c>
      <c r="DC136" s="889">
        <f>-2473-98</f>
        <v>-2571</v>
      </c>
      <c r="DD136" s="113">
        <f>DE136-DC136</f>
        <v>-974</v>
      </c>
      <c r="DE136" s="103">
        <f>-3312-233</f>
        <v>-3545</v>
      </c>
      <c r="DF136" s="889">
        <f>-668-60</f>
        <v>-728</v>
      </c>
      <c r="DG136" s="889">
        <f>-1486-97</f>
        <v>-1583</v>
      </c>
      <c r="DH136" s="889">
        <f>-2025-101</f>
        <v>-2126</v>
      </c>
      <c r="DI136" s="113">
        <f>DJ136-DH136</f>
        <v>-768</v>
      </c>
      <c r="DJ136" s="103">
        <f>-2704-190</f>
        <v>-2894</v>
      </c>
      <c r="DK136" s="889">
        <f>-698-149</f>
        <v>-847</v>
      </c>
      <c r="DL136" s="889">
        <f>-1492-188</f>
        <v>-1680</v>
      </c>
      <c r="DM136" s="889">
        <f>-2156-195</f>
        <v>-2351</v>
      </c>
      <c r="DN136" s="113">
        <f>DO136-DM136</f>
        <v>-716</v>
      </c>
      <c r="DO136" s="103">
        <f>-2835-232</f>
        <v>-3067</v>
      </c>
      <c r="DP136" s="889">
        <f>-588-132</f>
        <v>-720</v>
      </c>
      <c r="DQ136" s="889">
        <f>-1254-134</f>
        <v>-1388</v>
      </c>
      <c r="DR136" s="889">
        <f>-1847-156</f>
        <v>-2003</v>
      </c>
      <c r="DS136" s="113">
        <f>DT136-DR136</f>
        <v>-838</v>
      </c>
      <c r="DT136" s="103">
        <f>-2587-254</f>
        <v>-2841</v>
      </c>
    </row>
    <row r="137" spans="1:124">
      <c r="A137" s="96"/>
      <c r="B137" s="96"/>
      <c r="C137" s="159" t="s">
        <v>924</v>
      </c>
      <c r="D137" s="96"/>
      <c r="E137" s="104">
        <f>+CB137</f>
        <v>8</v>
      </c>
      <c r="F137" s="77">
        <f t="shared" si="249"/>
        <v>11</v>
      </c>
      <c r="G137" s="77">
        <f t="shared" si="249"/>
        <v>-216</v>
      </c>
      <c r="H137" s="102">
        <f>+CF137-CD137</f>
        <v>201</v>
      </c>
      <c r="I137" s="109">
        <f t="shared" si="244"/>
        <v>4</v>
      </c>
      <c r="J137" s="104">
        <f>+CG137</f>
        <v>40</v>
      </c>
      <c r="K137" s="77">
        <f t="shared" si="250"/>
        <v>11</v>
      </c>
      <c r="L137" s="77">
        <f t="shared" si="250"/>
        <v>-21</v>
      </c>
      <c r="M137" s="102">
        <f>+CK137-CI137</f>
        <v>-7</v>
      </c>
      <c r="N137" s="109">
        <f t="shared" si="251"/>
        <v>23</v>
      </c>
      <c r="O137" s="104">
        <f>+CL137</f>
        <v>613</v>
      </c>
      <c r="P137" s="77">
        <f t="shared" si="252"/>
        <v>-77</v>
      </c>
      <c r="Q137" s="77">
        <f t="shared" si="252"/>
        <v>501</v>
      </c>
      <c r="R137" s="102">
        <f>+CP137-CN137</f>
        <v>351</v>
      </c>
      <c r="S137" s="109">
        <f>CP137</f>
        <v>1388</v>
      </c>
      <c r="T137" s="104">
        <f>+CQ137</f>
        <v>-15</v>
      </c>
      <c r="U137" s="77">
        <f t="shared" si="253"/>
        <v>-23</v>
      </c>
      <c r="V137" s="77">
        <f t="shared" si="253"/>
        <v>100</v>
      </c>
      <c r="W137" s="102">
        <f>+CU137-CS137</f>
        <v>17</v>
      </c>
      <c r="X137" s="109">
        <f>CU137</f>
        <v>79</v>
      </c>
      <c r="Y137" s="104">
        <f>+CV137</f>
        <v>-26</v>
      </c>
      <c r="Z137" s="115">
        <f t="shared" si="254"/>
        <v>30</v>
      </c>
      <c r="AA137" s="115">
        <f t="shared" si="254"/>
        <v>-38</v>
      </c>
      <c r="AB137" s="102">
        <f>+CZ137-CX137</f>
        <v>-34</v>
      </c>
      <c r="AC137" s="109">
        <f>CZ137</f>
        <v>-68</v>
      </c>
      <c r="AD137" s="104">
        <f>+DA137</f>
        <v>-25</v>
      </c>
      <c r="AE137" s="115">
        <f t="shared" si="255"/>
        <v>-32</v>
      </c>
      <c r="AF137" s="115">
        <f t="shared" si="255"/>
        <v>17</v>
      </c>
      <c r="AG137" s="102">
        <f>+DE137-DC137</f>
        <v>366</v>
      </c>
      <c r="AH137" s="109">
        <f>DE137</f>
        <v>326</v>
      </c>
      <c r="AI137" s="104">
        <f>+DF137</f>
        <v>8</v>
      </c>
      <c r="AJ137" s="115">
        <f>+DG137-DF137</f>
        <v>-127</v>
      </c>
      <c r="AK137" s="115">
        <f t="shared" si="256"/>
        <v>51</v>
      </c>
      <c r="AL137" s="102">
        <f>+DJ137-DH137</f>
        <v>-19</v>
      </c>
      <c r="AM137" s="109">
        <f>DJ137</f>
        <v>-87</v>
      </c>
      <c r="AN137" s="104">
        <f>+DK137</f>
        <v>7</v>
      </c>
      <c r="AO137" s="115">
        <f>+DL137-DK137</f>
        <v>-119</v>
      </c>
      <c r="AP137" s="115">
        <f t="shared" si="257"/>
        <v>-65</v>
      </c>
      <c r="AQ137" s="102">
        <f>+DO137-DM137</f>
        <v>81</v>
      </c>
      <c r="AR137" s="109">
        <f>DO137</f>
        <v>-96</v>
      </c>
      <c r="AS137" s="104">
        <f>+DP137</f>
        <v>-23</v>
      </c>
      <c r="AT137" s="115">
        <f t="shared" si="258"/>
        <v>-25</v>
      </c>
      <c r="AU137" s="115">
        <f t="shared" si="258"/>
        <v>-154</v>
      </c>
      <c r="AV137" s="102">
        <f>+DT137-DR137</f>
        <v>492</v>
      </c>
      <c r="AW137" s="109">
        <f>DT137</f>
        <v>290</v>
      </c>
      <c r="AX137" s="112">
        <v>0</v>
      </c>
      <c r="AY137" s="78">
        <v>0</v>
      </c>
      <c r="AZ137" s="78">
        <v>0</v>
      </c>
      <c r="BA137" s="111">
        <v>0</v>
      </c>
      <c r="BB137" s="21">
        <f>SUM(AX137:BA137)</f>
        <v>0</v>
      </c>
      <c r="BC137" s="112">
        <v>0</v>
      </c>
      <c r="BD137" s="78">
        <v>0</v>
      </c>
      <c r="BE137" s="78">
        <v>0</v>
      </c>
      <c r="BF137" s="111">
        <v>0</v>
      </c>
      <c r="BG137" s="21">
        <f>SUM(BC137:BF137)</f>
        <v>0</v>
      </c>
      <c r="BH137" s="112">
        <v>0</v>
      </c>
      <c r="BI137" s="78">
        <v>0</v>
      </c>
      <c r="BJ137" s="78">
        <v>0</v>
      </c>
      <c r="BK137" s="111">
        <v>0</v>
      </c>
      <c r="BL137" s="21">
        <f>SUM(BH137:BK137)</f>
        <v>0</v>
      </c>
      <c r="BM137" s="112">
        <v>0</v>
      </c>
      <c r="BN137" s="78">
        <v>0</v>
      </c>
      <c r="BO137" s="78">
        <v>0</v>
      </c>
      <c r="BP137" s="111">
        <v>0</v>
      </c>
      <c r="BQ137" s="21">
        <f>SUM(BM137:BP137)</f>
        <v>0</v>
      </c>
      <c r="BR137" s="96"/>
      <c r="BS137" s="96"/>
      <c r="BZ137" s="96"/>
      <c r="CA137" s="96"/>
      <c r="CB137" s="889">
        <f>8+567-584+17</f>
        <v>8</v>
      </c>
      <c r="CC137" s="889">
        <f>19+1001-1041+40</f>
        <v>19</v>
      </c>
      <c r="CD137" s="889">
        <f>19+3039-3101-4-150</f>
        <v>-197</v>
      </c>
      <c r="CE137" s="81">
        <f>+CF137-CD137</f>
        <v>201</v>
      </c>
      <c r="CF137" s="889">
        <f>21+2229-2306+60</f>
        <v>4</v>
      </c>
      <c r="CG137" s="889">
        <f>114+733-755-101+49</f>
        <v>40</v>
      </c>
      <c r="CH137" s="889">
        <f>116+1915-1934-105+59</f>
        <v>51</v>
      </c>
      <c r="CI137" s="889">
        <f>117+2577-2610-110+56</f>
        <v>30</v>
      </c>
      <c r="CJ137" s="81">
        <f>+CK137-CI137</f>
        <v>-7</v>
      </c>
      <c r="CK137" s="889">
        <f>117+3172-3219-113+66</f>
        <v>23</v>
      </c>
      <c r="CL137" s="889">
        <f>969-993+47+590</f>
        <v>613</v>
      </c>
      <c r="CM137" s="889">
        <f>1703-1807+50+590</f>
        <v>536</v>
      </c>
      <c r="CN137" s="103">
        <f>519+3678-3801+51+590</f>
        <v>1037</v>
      </c>
      <c r="CO137" s="113">
        <f>CP137-CN137</f>
        <v>351</v>
      </c>
      <c r="CP137" s="103">
        <f>840+4207-4309+60+590</f>
        <v>1388</v>
      </c>
      <c r="CQ137" s="889">
        <f>251-266</f>
        <v>-15</v>
      </c>
      <c r="CR137" s="889">
        <f>382-420</f>
        <v>-38</v>
      </c>
      <c r="CS137" s="889">
        <f>17+2133-2188+100</f>
        <v>62</v>
      </c>
      <c r="CT137" s="113">
        <f>CU137-CS137</f>
        <v>17</v>
      </c>
      <c r="CU137" s="103">
        <f>17+2980-3020+102</f>
        <v>79</v>
      </c>
      <c r="CV137" s="889">
        <f>539-565</f>
        <v>-26</v>
      </c>
      <c r="CW137" s="889">
        <f>1177-1173</f>
        <v>4</v>
      </c>
      <c r="CX137" s="889">
        <f>1545-1567-12</f>
        <v>-34</v>
      </c>
      <c r="CY137" s="113">
        <f>CZ137-CX137</f>
        <v>-34</v>
      </c>
      <c r="CZ137" s="103">
        <f>4+2047-2096-23</f>
        <v>-68</v>
      </c>
      <c r="DA137" s="889">
        <f>621-646</f>
        <v>-25</v>
      </c>
      <c r="DB137" s="889">
        <f>-1221+1164</f>
        <v>-57</v>
      </c>
      <c r="DC137" s="889">
        <f>1511-1593+42</f>
        <v>-40</v>
      </c>
      <c r="DD137" s="113">
        <f>DE137-DC137</f>
        <v>366</v>
      </c>
      <c r="DE137" s="103">
        <f>394+2133-2236+35</f>
        <v>326</v>
      </c>
      <c r="DF137" s="889">
        <f>10+371-394+21</f>
        <v>8</v>
      </c>
      <c r="DG137" s="889">
        <f>10+819-881-67</f>
        <v>-119</v>
      </c>
      <c r="DH137" s="889">
        <f>1126-1213+19</f>
        <v>-68</v>
      </c>
      <c r="DI137" s="113">
        <f>DJ137-DH137</f>
        <v>-19</v>
      </c>
      <c r="DJ137" s="103">
        <f>20+1534-1648+7</f>
        <v>-87</v>
      </c>
      <c r="DK137" s="889">
        <f>465-488+30</f>
        <v>7</v>
      </c>
      <c r="DL137" s="889">
        <f>1024-1073-63</f>
        <v>-112</v>
      </c>
      <c r="DM137" s="889">
        <f>1361-1437-101</f>
        <v>-177</v>
      </c>
      <c r="DN137" s="113">
        <f>DO137-DM137</f>
        <v>81</v>
      </c>
      <c r="DO137" s="103">
        <f>15+1678-1789</f>
        <v>-96</v>
      </c>
      <c r="DP137" s="889">
        <f>738-761</f>
        <v>-23</v>
      </c>
      <c r="DQ137" s="889">
        <f>1257-1305</f>
        <v>-48</v>
      </c>
      <c r="DR137" s="889">
        <f>1923-1995-130</f>
        <v>-202</v>
      </c>
      <c r="DS137" s="113">
        <f>DT137-DR137</f>
        <v>492</v>
      </c>
      <c r="DT137" s="103">
        <f>388+2170-2268</f>
        <v>290</v>
      </c>
    </row>
    <row r="138" spans="1:124">
      <c r="A138" s="92"/>
      <c r="B138" s="89"/>
      <c r="C138" s="89" t="s">
        <v>257</v>
      </c>
      <c r="D138" s="166"/>
      <c r="E138" s="104">
        <f>+CB138</f>
        <v>-32</v>
      </c>
      <c r="F138" s="77">
        <f t="shared" si="249"/>
        <v>-17</v>
      </c>
      <c r="G138" s="77">
        <f t="shared" si="249"/>
        <v>33</v>
      </c>
      <c r="H138" s="102">
        <f>+I138-CD138</f>
        <v>30</v>
      </c>
      <c r="I138" s="96">
        <f t="shared" si="244"/>
        <v>14</v>
      </c>
      <c r="J138" s="104">
        <f>+CG138</f>
        <v>-8</v>
      </c>
      <c r="K138" s="77">
        <f t="shared" si="250"/>
        <v>-13</v>
      </c>
      <c r="L138" s="77">
        <f t="shared" si="250"/>
        <v>13</v>
      </c>
      <c r="M138" s="102">
        <f>+N138-CI138</f>
        <v>0</v>
      </c>
      <c r="N138" s="96">
        <f t="shared" si="251"/>
        <v>-8</v>
      </c>
      <c r="O138" s="104">
        <f>+CL138</f>
        <v>-23</v>
      </c>
      <c r="P138" s="77">
        <f t="shared" si="252"/>
        <v>-30</v>
      </c>
      <c r="Q138" s="77">
        <f t="shared" si="252"/>
        <v>-10</v>
      </c>
      <c r="R138" s="102">
        <f>+S138-CN138</f>
        <v>-3</v>
      </c>
      <c r="S138" s="96">
        <f>CP138</f>
        <v>-66</v>
      </c>
      <c r="T138" s="104">
        <f>+CQ138</f>
        <v>70</v>
      </c>
      <c r="U138" s="77">
        <f t="shared" si="253"/>
        <v>-32</v>
      </c>
      <c r="V138" s="77">
        <f t="shared" si="253"/>
        <v>-197</v>
      </c>
      <c r="W138" s="102">
        <f>+X138-CS138</f>
        <v>-113</v>
      </c>
      <c r="X138" s="96">
        <f>CU138</f>
        <v>-272</v>
      </c>
      <c r="Y138" s="104">
        <f>+CV138</f>
        <v>-48</v>
      </c>
      <c r="Z138" s="115">
        <f t="shared" si="254"/>
        <v>-64</v>
      </c>
      <c r="AA138" s="115">
        <f t="shared" si="254"/>
        <v>-10</v>
      </c>
      <c r="AB138" s="102">
        <f>+AC138-CX138</f>
        <v>-15</v>
      </c>
      <c r="AC138" s="96">
        <f>CZ138</f>
        <v>-137</v>
      </c>
      <c r="AD138" s="104">
        <f>+DA138</f>
        <v>386</v>
      </c>
      <c r="AE138" s="115">
        <f t="shared" si="255"/>
        <v>-31</v>
      </c>
      <c r="AF138" s="115">
        <f t="shared" si="255"/>
        <v>-34</v>
      </c>
      <c r="AG138" s="102">
        <f>+AH138-DC138</f>
        <v>-461</v>
      </c>
      <c r="AH138" s="96">
        <f>DE138</f>
        <v>-140</v>
      </c>
      <c r="AI138" s="104">
        <f>+DF138</f>
        <v>-28</v>
      </c>
      <c r="AJ138" s="115">
        <f>+DG138-DF138</f>
        <v>37</v>
      </c>
      <c r="AK138" s="115">
        <f t="shared" si="256"/>
        <v>-102</v>
      </c>
      <c r="AL138" s="102">
        <f>+AM138-DH138</f>
        <v>-48</v>
      </c>
      <c r="AM138" s="96">
        <f>DJ138</f>
        <v>-141</v>
      </c>
      <c r="AN138" s="104">
        <f>+DK138</f>
        <v>-25</v>
      </c>
      <c r="AO138" s="115">
        <f>+DL138-DK138</f>
        <v>50</v>
      </c>
      <c r="AP138" s="115">
        <f t="shared" si="257"/>
        <v>27</v>
      </c>
      <c r="AQ138" s="102">
        <f>+AR138-DM138</f>
        <v>-170</v>
      </c>
      <c r="AR138" s="96">
        <f>DO138</f>
        <v>-118</v>
      </c>
      <c r="AS138" s="104">
        <f>+DP138</f>
        <v>-19</v>
      </c>
      <c r="AT138" s="115">
        <f t="shared" si="258"/>
        <v>-56</v>
      </c>
      <c r="AU138" s="115">
        <f t="shared" si="258"/>
        <v>99</v>
      </c>
      <c r="AV138" s="102">
        <f>+AW138-DR138</f>
        <v>-189</v>
      </c>
      <c r="AW138" s="96">
        <f>DT138</f>
        <v>-165</v>
      </c>
      <c r="AX138" s="104">
        <f>Distribution!AX152+Competitive!AX600</f>
        <v>0</v>
      </c>
      <c r="AY138" s="77">
        <f>Distribution!AY152+Competitive!AY600</f>
        <v>0</v>
      </c>
      <c r="AZ138" s="77">
        <f>Distribution!AZ152+Competitive!AZ600</f>
        <v>0</v>
      </c>
      <c r="BA138" s="102">
        <f>Distribution!BA152+Competitive!BA600</f>
        <v>0</v>
      </c>
      <c r="BB138" s="96">
        <f>SUM(AX138:BA138)</f>
        <v>0</v>
      </c>
      <c r="BC138" s="104">
        <f>Distribution!BC152+Competitive!BC600</f>
        <v>0</v>
      </c>
      <c r="BD138" s="77">
        <f>Distribution!BD152+Competitive!BD600</f>
        <v>0</v>
      </c>
      <c r="BE138" s="77">
        <f>Distribution!BE152+Competitive!BE600</f>
        <v>0</v>
      </c>
      <c r="BF138" s="102">
        <f>Distribution!BF152+Competitive!BF600</f>
        <v>0</v>
      </c>
      <c r="BG138" s="96">
        <f>SUM(BC138:BF138)</f>
        <v>0</v>
      </c>
      <c r="BH138" s="104">
        <f>Distribution!BH152+Competitive!BH600</f>
        <v>0</v>
      </c>
      <c r="BI138" s="77">
        <f>Distribution!BI152+Competitive!BI600</f>
        <v>0</v>
      </c>
      <c r="BJ138" s="77">
        <f>Distribution!BJ152+Competitive!BJ600</f>
        <v>0</v>
      </c>
      <c r="BK138" s="102">
        <f>Distribution!BK152+Competitive!BK600</f>
        <v>0</v>
      </c>
      <c r="BL138" s="96">
        <f>SUM(BH138:BK138)</f>
        <v>0</v>
      </c>
      <c r="BM138" s="104">
        <f>Distribution!BM152+Competitive!BM600</f>
        <v>0</v>
      </c>
      <c r="BN138" s="77">
        <f>Distribution!BN152+Competitive!BN600</f>
        <v>0</v>
      </c>
      <c r="BO138" s="77">
        <f>Distribution!BO152+Competitive!BO600</f>
        <v>0</v>
      </c>
      <c r="BP138" s="102">
        <f>Distribution!BP152+Competitive!BP600</f>
        <v>0</v>
      </c>
      <c r="BQ138" s="96">
        <f>SUM(BM138:BP138)</f>
        <v>0</v>
      </c>
      <c r="CB138" s="1355">
        <v>-32</v>
      </c>
      <c r="CC138" s="1355">
        <v>-49</v>
      </c>
      <c r="CD138" s="1355">
        <v>-16</v>
      </c>
      <c r="CE138" s="81">
        <f>+CF138-CD138</f>
        <v>30</v>
      </c>
      <c r="CF138" s="889">
        <f>14</f>
        <v>14</v>
      </c>
      <c r="CG138" s="889">
        <v>-8</v>
      </c>
      <c r="CH138" s="889">
        <f>-21</f>
        <v>-21</v>
      </c>
      <c r="CI138" s="889">
        <v>-8</v>
      </c>
      <c r="CJ138" s="81">
        <f>+CK138-CI138</f>
        <v>0</v>
      </c>
      <c r="CK138" s="1355">
        <f>-35+27</f>
        <v>-8</v>
      </c>
      <c r="CL138" s="889">
        <f>-23</f>
        <v>-23</v>
      </c>
      <c r="CM138" s="889">
        <f>-53</f>
        <v>-53</v>
      </c>
      <c r="CN138" s="103">
        <f>-6-57</f>
        <v>-63</v>
      </c>
      <c r="CO138" s="113">
        <f>CP138-CN138</f>
        <v>-3</v>
      </c>
      <c r="CP138" s="103">
        <f>51-114-3</f>
        <v>-66</v>
      </c>
      <c r="CQ138" s="889">
        <f>78-8</f>
        <v>70</v>
      </c>
      <c r="CR138" s="889">
        <f>87-36-13</f>
        <v>38</v>
      </c>
      <c r="CS138" s="889">
        <f>-119-40</f>
        <v>-159</v>
      </c>
      <c r="CT138" s="113">
        <f>CU138-CS138</f>
        <v>-113</v>
      </c>
      <c r="CU138" s="103">
        <f>-41-229-2</f>
        <v>-272</v>
      </c>
      <c r="CV138" s="889">
        <f>6-54</f>
        <v>-48</v>
      </c>
      <c r="CW138" s="889">
        <f>-3-111+2</f>
        <v>-112</v>
      </c>
      <c r="CX138" s="889">
        <f>-125+3</f>
        <v>-122</v>
      </c>
      <c r="CY138" s="113">
        <f>CZ138-CX138</f>
        <v>-15</v>
      </c>
      <c r="CZ138" s="103">
        <f>-146+9</f>
        <v>-137</v>
      </c>
      <c r="DA138" s="889">
        <f>394+28-39+3</f>
        <v>386</v>
      </c>
      <c r="DB138" s="889">
        <f>-47+8+394</f>
        <v>355</v>
      </c>
      <c r="DC138" s="889">
        <f>394-80+7</f>
        <v>321</v>
      </c>
      <c r="DD138" s="113">
        <f>DE138-DC138</f>
        <v>-461</v>
      </c>
      <c r="DE138" s="103">
        <f>-153+13</f>
        <v>-140</v>
      </c>
      <c r="DF138" s="889">
        <v>-28</v>
      </c>
      <c r="DG138" s="889">
        <v>9</v>
      </c>
      <c r="DH138" s="889">
        <f>20-111-2</f>
        <v>-93</v>
      </c>
      <c r="DI138" s="113">
        <f>DJ138-DH138</f>
        <v>-48</v>
      </c>
      <c r="DJ138" s="103">
        <f>-142+1</f>
        <v>-141</v>
      </c>
      <c r="DK138" s="889">
        <f>-34+9</f>
        <v>-25</v>
      </c>
      <c r="DL138" s="889">
        <v>25</v>
      </c>
      <c r="DM138" s="889">
        <v>52</v>
      </c>
      <c r="DN138" s="113">
        <f>DO138-DM138</f>
        <v>-170</v>
      </c>
      <c r="DO138" s="103">
        <f>27-145</f>
        <v>-118</v>
      </c>
      <c r="DP138" s="889">
        <f>-35+16</f>
        <v>-19</v>
      </c>
      <c r="DQ138" s="889">
        <f>4-79</f>
        <v>-75</v>
      </c>
      <c r="DR138" s="889">
        <v>24</v>
      </c>
      <c r="DS138" s="113">
        <f>DT138-DR138</f>
        <v>-189</v>
      </c>
      <c r="DT138" s="103">
        <f>7-172</f>
        <v>-165</v>
      </c>
    </row>
    <row r="139" spans="1:124">
      <c r="A139" s="92"/>
      <c r="B139" s="89"/>
      <c r="C139" s="88" t="s">
        <v>225</v>
      </c>
      <c r="D139" s="166"/>
      <c r="E139" s="106">
        <f>SUM(E136:E138)</f>
        <v>-678</v>
      </c>
      <c r="F139" s="76">
        <f>SUM(F136:F138)</f>
        <v>-495</v>
      </c>
      <c r="G139" s="76">
        <f>SUM(G136:G138)</f>
        <v>-615</v>
      </c>
      <c r="H139" s="107">
        <f>SUM(H136:H138)</f>
        <v>-397</v>
      </c>
      <c r="I139" s="93">
        <f t="shared" si="244"/>
        <v>-2185</v>
      </c>
      <c r="J139" s="106">
        <f>SUM(J136:J138)</f>
        <v>-476</v>
      </c>
      <c r="K139" s="76">
        <f>SUM(K136:K138)</f>
        <v>-491</v>
      </c>
      <c r="L139" s="76">
        <f>SUM(L136:L138)</f>
        <v>-478</v>
      </c>
      <c r="M139" s="107">
        <f>SUM(M136:M138)</f>
        <v>-503</v>
      </c>
      <c r="N139" s="93">
        <f t="shared" si="251"/>
        <v>-1948</v>
      </c>
      <c r="O139" s="106">
        <f>SUM(O136:O138)</f>
        <v>141</v>
      </c>
      <c r="P139" s="76">
        <f>SUM(P136:P138)</f>
        <v>-676</v>
      </c>
      <c r="Q139" s="76">
        <f>SUM(Q136:Q138)</f>
        <v>-20</v>
      </c>
      <c r="R139" s="107">
        <f>SUM(R136:R138)</f>
        <v>-401</v>
      </c>
      <c r="S139" s="93">
        <f>CP139</f>
        <v>-956</v>
      </c>
      <c r="T139" s="106">
        <f>SUM(T136:T138)</f>
        <v>-534</v>
      </c>
      <c r="U139" s="76">
        <f>SUM(U136:U138)</f>
        <v>-467</v>
      </c>
      <c r="V139" s="76">
        <f>SUM(V136:V138)</f>
        <v>-989</v>
      </c>
      <c r="W139" s="107">
        <f>SUM(W136:W138)</f>
        <v>-1167</v>
      </c>
      <c r="X139" s="93">
        <f>CU139</f>
        <v>-3157</v>
      </c>
      <c r="Y139" s="106">
        <f>SUM(Y136:Y138)</f>
        <v>-927</v>
      </c>
      <c r="Z139" s="76">
        <f>SUM(Z136:Z138)</f>
        <v>-643</v>
      </c>
      <c r="AA139" s="76">
        <f>SUM(AA136:AA138)</f>
        <v>-705</v>
      </c>
      <c r="AB139" s="107">
        <f>SUM(AB136:AB138)</f>
        <v>-818</v>
      </c>
      <c r="AC139" s="93">
        <f>CZ139</f>
        <v>-3093</v>
      </c>
      <c r="AD139" s="106">
        <f>SUM(AD136:AD138)</f>
        <v>-515</v>
      </c>
      <c r="AE139" s="76">
        <f>SUM(AE136:AE138)</f>
        <v>-1054</v>
      </c>
      <c r="AF139" s="76">
        <f>SUM(AF136:AF138)</f>
        <v>-721</v>
      </c>
      <c r="AG139" s="107">
        <f>SUM(AG136:AG138)</f>
        <v>-1069</v>
      </c>
      <c r="AH139" s="93">
        <f>DE139</f>
        <v>-3359</v>
      </c>
      <c r="AI139" s="106">
        <f>SUM(AI136:AI138)</f>
        <v>-748</v>
      </c>
      <c r="AJ139" s="76">
        <f>SUM(AJ136:AJ138)</f>
        <v>-945</v>
      </c>
      <c r="AK139" s="76">
        <f>SUM(AK136:AK138)</f>
        <v>-594</v>
      </c>
      <c r="AL139" s="107">
        <f>SUM(AL136:AL138)</f>
        <v>-835</v>
      </c>
      <c r="AM139" s="93">
        <f>DJ139</f>
        <v>-3122</v>
      </c>
      <c r="AN139" s="106">
        <f>SUM(AN136:AN138)</f>
        <v>-865</v>
      </c>
      <c r="AO139" s="76">
        <f>SUM(AO136:AO138)</f>
        <v>-902</v>
      </c>
      <c r="AP139" s="76">
        <f>SUM(AP136:AP138)</f>
        <v>-709</v>
      </c>
      <c r="AQ139" s="107">
        <f>SUM(AQ136:AQ138)</f>
        <v>-805</v>
      </c>
      <c r="AR139" s="93">
        <f>DO139</f>
        <v>-3281</v>
      </c>
      <c r="AS139" s="106">
        <f>SUM(AS136:AS138)</f>
        <v>-762</v>
      </c>
      <c r="AT139" s="76">
        <f>SUM(AT136:AT138)</f>
        <v>-749</v>
      </c>
      <c r="AU139" s="76">
        <f>SUM(AU136:AU138)</f>
        <v>-670</v>
      </c>
      <c r="AV139" s="107">
        <f>SUM(AV136:AV138)</f>
        <v>-535</v>
      </c>
      <c r="AW139" s="93">
        <f>DT139</f>
        <v>-2716</v>
      </c>
      <c r="AX139" s="106">
        <f t="shared" ref="AX139:BB139" si="259">SUM(AX136:AX138)</f>
        <v>-760</v>
      </c>
      <c r="AY139" s="76">
        <f t="shared" si="259"/>
        <v>-760</v>
      </c>
      <c r="AZ139" s="76">
        <f t="shared" si="259"/>
        <v>-813</v>
      </c>
      <c r="BA139" s="107">
        <f t="shared" si="259"/>
        <v>-760</v>
      </c>
      <c r="BB139" s="93">
        <f t="shared" si="259"/>
        <v>-3093</v>
      </c>
      <c r="BC139" s="106">
        <f t="shared" ref="BC139:BL139" si="260">SUM(BC136:BC138)</f>
        <v>-760</v>
      </c>
      <c r="BD139" s="76">
        <f t="shared" si="260"/>
        <v>-760</v>
      </c>
      <c r="BE139" s="76">
        <f t="shared" si="260"/>
        <v>-813</v>
      </c>
      <c r="BF139" s="107">
        <f t="shared" si="260"/>
        <v>-760</v>
      </c>
      <c r="BG139" s="93">
        <f t="shared" si="260"/>
        <v>-3093</v>
      </c>
      <c r="BH139" s="106">
        <f t="shared" si="260"/>
        <v>-760</v>
      </c>
      <c r="BI139" s="76">
        <f t="shared" si="260"/>
        <v>-760</v>
      </c>
      <c r="BJ139" s="76">
        <f t="shared" si="260"/>
        <v>-760</v>
      </c>
      <c r="BK139" s="107">
        <f t="shared" si="260"/>
        <v>-760</v>
      </c>
      <c r="BL139" s="93">
        <f t="shared" si="260"/>
        <v>-3040</v>
      </c>
      <c r="BM139" s="106">
        <f t="shared" ref="BM139:BQ139" si="261">SUM(BM136:BM138)</f>
        <v>-760</v>
      </c>
      <c r="BN139" s="76">
        <f t="shared" si="261"/>
        <v>-760</v>
      </c>
      <c r="BO139" s="76">
        <f t="shared" si="261"/>
        <v>-760</v>
      </c>
      <c r="BP139" s="107">
        <f t="shared" si="261"/>
        <v>-760</v>
      </c>
      <c r="BQ139" s="93">
        <f t="shared" si="261"/>
        <v>-3040</v>
      </c>
      <c r="CB139" s="81">
        <f t="shared" ref="CB139:CL139" si="262">+SUM(CB136:CB138)</f>
        <v>-678</v>
      </c>
      <c r="CC139" s="81">
        <f t="shared" si="262"/>
        <v>-1173</v>
      </c>
      <c r="CD139" s="81">
        <f t="shared" si="262"/>
        <v>-1788</v>
      </c>
      <c r="CE139" s="81">
        <f t="shared" si="262"/>
        <v>-397</v>
      </c>
      <c r="CF139" s="81">
        <f t="shared" si="262"/>
        <v>-2185</v>
      </c>
      <c r="CG139" s="81">
        <f t="shared" si="262"/>
        <v>-476</v>
      </c>
      <c r="CH139" s="81">
        <f t="shared" si="262"/>
        <v>-967</v>
      </c>
      <c r="CI139" s="81">
        <f t="shared" si="262"/>
        <v>-1445</v>
      </c>
      <c r="CJ139" s="81">
        <f t="shared" si="262"/>
        <v>-503</v>
      </c>
      <c r="CK139" s="81">
        <f t="shared" si="262"/>
        <v>-1948</v>
      </c>
      <c r="CL139" s="60">
        <f t="shared" si="262"/>
        <v>141</v>
      </c>
      <c r="CM139" s="60">
        <f>+SUM(CM136:CM138)</f>
        <v>-535</v>
      </c>
      <c r="CN139" s="93">
        <f>SUM(CN136:CN138)</f>
        <v>-555</v>
      </c>
      <c r="CO139" s="93">
        <f>SUM(CO136:CO138)</f>
        <v>-401</v>
      </c>
      <c r="CP139" s="93">
        <f>SUM(CP136:CP138)</f>
        <v>-956</v>
      </c>
      <c r="CQ139" s="60">
        <f>+SUM(CQ136:CQ138)</f>
        <v>-534</v>
      </c>
      <c r="CR139" s="60">
        <f>+SUM(CR136:CR138)</f>
        <v>-1001</v>
      </c>
      <c r="CS139" s="60">
        <f>+SUM(CS136:CS138)</f>
        <v>-1990</v>
      </c>
      <c r="CT139" s="93">
        <f>SUM(CT136:CT138)</f>
        <v>-1167</v>
      </c>
      <c r="CU139" s="93">
        <f>+SUM(CU136:CU138)</f>
        <v>-3157</v>
      </c>
      <c r="CV139" s="60">
        <f>+SUM(CV136:CV138)</f>
        <v>-927</v>
      </c>
      <c r="CW139" s="60">
        <f>+SUM(CW136:CW138)</f>
        <v>-1570</v>
      </c>
      <c r="CX139" s="60">
        <f>+SUM(CX136:CX138)</f>
        <v>-2275</v>
      </c>
      <c r="CY139" s="93">
        <f>SUM(CY136:CY138)</f>
        <v>-818</v>
      </c>
      <c r="CZ139" s="93">
        <f>+SUM(CZ136:CZ138)</f>
        <v>-3093</v>
      </c>
      <c r="DA139" s="60">
        <f>+SUM(DA136:DA138)</f>
        <v>-515</v>
      </c>
      <c r="DB139" s="60">
        <f>+SUM(DB136:DB138)</f>
        <v>-1569</v>
      </c>
      <c r="DC139" s="60">
        <f>+SUM(DC136:DC138)</f>
        <v>-2290</v>
      </c>
      <c r="DD139" s="93">
        <f>SUM(DD136:DD138)</f>
        <v>-1069</v>
      </c>
      <c r="DE139" s="93">
        <f>+SUM(DE136:DE138)</f>
        <v>-3359</v>
      </c>
      <c r="DF139" s="60">
        <f>+SUM(DF136:DF138)</f>
        <v>-748</v>
      </c>
      <c r="DG139" s="60">
        <f>+SUM(DG136:DG138)</f>
        <v>-1693</v>
      </c>
      <c r="DH139" s="60">
        <f>+SUM(DH136:DH138)</f>
        <v>-2287</v>
      </c>
      <c r="DI139" s="93">
        <f>SUM(DI136:DI138)</f>
        <v>-835</v>
      </c>
      <c r="DJ139" s="93">
        <f>+SUM(DJ136:DJ138)</f>
        <v>-3122</v>
      </c>
      <c r="DK139" s="60">
        <f>+SUM(DK136:DK138)</f>
        <v>-865</v>
      </c>
      <c r="DL139" s="60">
        <f>+SUM(DL136:DL138)</f>
        <v>-1767</v>
      </c>
      <c r="DM139" s="60">
        <f>+SUM(DM136:DM138)</f>
        <v>-2476</v>
      </c>
      <c r="DN139" s="93">
        <f>SUM(DN136:DN138)</f>
        <v>-805</v>
      </c>
      <c r="DO139" s="93">
        <f>+SUM(DO136:DO138)</f>
        <v>-3281</v>
      </c>
      <c r="DP139" s="60">
        <f>+SUM(DP136:DP138)</f>
        <v>-762</v>
      </c>
      <c r="DQ139" s="60">
        <f>+SUM(DQ136:DQ138)</f>
        <v>-1511</v>
      </c>
      <c r="DR139" s="60">
        <f>+SUM(DR136:DR138)</f>
        <v>-2181</v>
      </c>
      <c r="DS139" s="93">
        <f>SUM(DS136:DS138)</f>
        <v>-535</v>
      </c>
      <c r="DT139" s="93">
        <f>+SUM(DT136:DT138)</f>
        <v>-2716</v>
      </c>
    </row>
    <row r="140" spans="1:124">
      <c r="A140" s="92"/>
      <c r="B140" s="89"/>
      <c r="C140" s="89"/>
      <c r="D140" s="166"/>
      <c r="E140" s="169"/>
      <c r="F140" s="167"/>
      <c r="G140" s="167"/>
      <c r="H140" s="168"/>
      <c r="I140" s="21"/>
      <c r="J140" s="169"/>
      <c r="K140" s="167"/>
      <c r="L140" s="167"/>
      <c r="M140" s="168"/>
      <c r="N140" s="21"/>
      <c r="O140" s="169"/>
      <c r="P140" s="167"/>
      <c r="Q140" s="167"/>
      <c r="R140" s="168"/>
      <c r="S140" s="21"/>
      <c r="T140" s="169"/>
      <c r="U140" s="167"/>
      <c r="V140" s="167"/>
      <c r="W140" s="168"/>
      <c r="X140" s="21"/>
      <c r="Y140" s="169"/>
      <c r="Z140" s="167"/>
      <c r="AA140" s="167"/>
      <c r="AB140" s="168"/>
      <c r="AC140" s="21"/>
      <c r="AD140" s="169"/>
      <c r="AE140" s="167"/>
      <c r="AF140" s="167"/>
      <c r="AG140" s="168"/>
      <c r="AH140" s="21"/>
      <c r="AI140" s="169"/>
      <c r="AJ140" s="167"/>
      <c r="AK140" s="167"/>
      <c r="AL140" s="168"/>
      <c r="AM140" s="21"/>
      <c r="AN140" s="169"/>
      <c r="AO140" s="167"/>
      <c r="AP140" s="167"/>
      <c r="AQ140" s="168"/>
      <c r="AR140" s="21"/>
      <c r="AS140" s="169"/>
      <c r="AT140" s="167"/>
      <c r="AU140" s="167"/>
      <c r="AV140" s="168"/>
      <c r="AW140" s="21"/>
      <c r="AX140" s="104"/>
      <c r="AY140" s="77"/>
      <c r="AZ140" s="77"/>
      <c r="BA140" s="102"/>
      <c r="BB140" s="96"/>
      <c r="BC140" s="104"/>
      <c r="BD140" s="77"/>
      <c r="BE140" s="77"/>
      <c r="BF140" s="102"/>
      <c r="BG140" s="96"/>
      <c r="BH140" s="104"/>
      <c r="BI140" s="77"/>
      <c r="BJ140" s="77"/>
      <c r="BK140" s="102"/>
      <c r="BL140" s="96"/>
      <c r="BM140" s="104"/>
      <c r="BN140" s="77"/>
      <c r="BO140" s="77"/>
      <c r="BP140" s="102"/>
      <c r="BQ140" s="96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03"/>
      <c r="CM140" s="103"/>
      <c r="CN140" s="103"/>
      <c r="CO140" s="113"/>
      <c r="CP140" s="113"/>
      <c r="CQ140" s="103"/>
      <c r="CR140" s="103"/>
      <c r="CS140" s="103"/>
      <c r="CT140" s="113"/>
      <c r="CU140" s="113"/>
      <c r="CV140" s="103"/>
      <c r="CW140" s="103"/>
      <c r="CX140" s="103"/>
      <c r="CY140" s="113"/>
      <c r="CZ140" s="113"/>
      <c r="DA140" s="103"/>
      <c r="DB140" s="103"/>
      <c r="DC140" s="103"/>
      <c r="DD140" s="113"/>
      <c r="DE140" s="113"/>
      <c r="DF140" s="103"/>
      <c r="DG140" s="103"/>
      <c r="DH140" s="103"/>
      <c r="DI140" s="113"/>
      <c r="DJ140" s="113"/>
      <c r="DK140" s="103"/>
      <c r="DL140" s="103"/>
      <c r="DM140" s="103"/>
      <c r="DN140" s="113"/>
      <c r="DO140" s="113"/>
      <c r="DP140" s="103"/>
      <c r="DQ140" s="103"/>
      <c r="DR140" s="103"/>
      <c r="DS140" s="113"/>
      <c r="DT140" s="113"/>
    </row>
    <row r="141" spans="1:124">
      <c r="A141" s="92"/>
      <c r="B141" s="89"/>
      <c r="C141" s="89" t="s">
        <v>226</v>
      </c>
      <c r="D141" s="166"/>
      <c r="E141" s="104">
        <f t="shared" ref="E141:E146" si="263">+CB141</f>
        <v>700</v>
      </c>
      <c r="F141" s="77">
        <f t="shared" ref="F141:G146" si="264">+CC141-CB141</f>
        <v>979</v>
      </c>
      <c r="G141" s="77">
        <f t="shared" si="264"/>
        <v>2472</v>
      </c>
      <c r="H141" s="102">
        <f t="shared" ref="H141:H146" si="265">+I141-CD141</f>
        <v>481</v>
      </c>
      <c r="I141" s="113">
        <f t="shared" si="244"/>
        <v>4632</v>
      </c>
      <c r="J141" s="114">
        <f t="shared" ref="J141:J146" si="266">+CG141</f>
        <v>0</v>
      </c>
      <c r="K141" s="115">
        <f t="shared" ref="K141:L146" si="267">+CH141-CG141</f>
        <v>0</v>
      </c>
      <c r="L141" s="115">
        <f t="shared" si="267"/>
        <v>251</v>
      </c>
      <c r="M141" s="105">
        <f t="shared" ref="M141:M146" si="268">+N141-CI141</f>
        <v>848</v>
      </c>
      <c r="N141" s="113">
        <f t="shared" si="251"/>
        <v>1099</v>
      </c>
      <c r="O141" s="104">
        <f t="shared" ref="O141:O146" si="269">+CL141</f>
        <v>217</v>
      </c>
      <c r="P141" s="77">
        <f t="shared" ref="P141:Q146" si="270">+CM141-CL141</f>
        <v>286</v>
      </c>
      <c r="Q141" s="115">
        <f t="shared" si="270"/>
        <v>100</v>
      </c>
      <c r="R141" s="105">
        <f t="shared" ref="R141:R146" si="271">+S141-CN141</f>
        <v>1</v>
      </c>
      <c r="S141" s="113">
        <f t="shared" ref="S141:S147" si="272">CP141</f>
        <v>604</v>
      </c>
      <c r="T141" s="104">
        <f t="shared" ref="T141:T146" si="273">+CQ141</f>
        <v>0</v>
      </c>
      <c r="U141" s="77">
        <f t="shared" ref="U141:V146" si="274">+CR141-CQ141</f>
        <v>182</v>
      </c>
      <c r="V141" s="77">
        <f t="shared" si="274"/>
        <v>478</v>
      </c>
      <c r="W141" s="105">
        <f t="shared" ref="W141:W146" si="275">+X141-CS141</f>
        <v>90</v>
      </c>
      <c r="X141" s="113">
        <f t="shared" ref="X141:X147" si="276">CU141</f>
        <v>750</v>
      </c>
      <c r="Y141" s="104">
        <f t="shared" ref="Y141:Y146" si="277">+CV141</f>
        <v>1800</v>
      </c>
      <c r="Z141" s="115">
        <f t="shared" ref="Z141:AA146" si="278">+CW141-CV141</f>
        <v>445</v>
      </c>
      <c r="AA141" s="115">
        <f t="shared" si="278"/>
        <v>500</v>
      </c>
      <c r="AB141" s="105">
        <f t="shared" ref="AB141:AB146" si="279">+AC141-CX141</f>
        <v>1000</v>
      </c>
      <c r="AC141" s="113">
        <f t="shared" ref="AC141:AC147" si="280">CZ141</f>
        <v>3745</v>
      </c>
      <c r="AD141" s="104">
        <f t="shared" ref="AD141:AD146" si="281">+DA141</f>
        <v>1467</v>
      </c>
      <c r="AE141" s="115">
        <f t="shared" ref="AE141:AE146" si="282">+DB141-DA141</f>
        <v>1670</v>
      </c>
      <c r="AF141" s="115">
        <f t="shared" ref="AF141:AF146" si="283">+DC141-DB141</f>
        <v>641</v>
      </c>
      <c r="AG141" s="105">
        <f t="shared" ref="AG141:AG146" si="284">+AH141-DC141</f>
        <v>750</v>
      </c>
      <c r="AH141" s="113">
        <f t="shared" ref="AH141:AH147" si="285">DE141</f>
        <v>4528</v>
      </c>
      <c r="AI141" s="104">
        <f t="shared" ref="AI141:AI146" si="286">+DF141</f>
        <v>0</v>
      </c>
      <c r="AJ141" s="115">
        <f t="shared" ref="AJ141:AK146" si="287">+DG141-DF141</f>
        <v>200</v>
      </c>
      <c r="AK141" s="115">
        <f t="shared" si="287"/>
        <v>884</v>
      </c>
      <c r="AL141" s="105">
        <f t="shared" ref="AL141:AL146" si="288">+AM141-DH141</f>
        <v>227</v>
      </c>
      <c r="AM141" s="113">
        <f t="shared" ref="AM141:AM147" si="289">DJ141</f>
        <v>1311</v>
      </c>
      <c r="AN141" s="104">
        <f t="shared" ref="AN141:AN146" si="290">+DK141</f>
        <v>0</v>
      </c>
      <c r="AO141" s="115">
        <f t="shared" ref="AO141:AP146" si="291">+DL141-DK141</f>
        <v>0</v>
      </c>
      <c r="AP141" s="115">
        <f t="shared" si="291"/>
        <v>521</v>
      </c>
      <c r="AQ141" s="105">
        <f t="shared" ref="AQ141:AQ146" si="292">+AR141-DM141</f>
        <v>1455</v>
      </c>
      <c r="AR141" s="113">
        <f t="shared" ref="AR141:AR147" si="293">DO141</f>
        <v>1976</v>
      </c>
      <c r="AS141" s="104">
        <f t="shared" ref="AS141:AS146" si="294">+DP141</f>
        <v>250</v>
      </c>
      <c r="AT141" s="115">
        <f t="shared" ref="AT141:AU146" si="295">+DQ141-DP141</f>
        <v>3250</v>
      </c>
      <c r="AU141" s="115">
        <f t="shared" si="295"/>
        <v>550</v>
      </c>
      <c r="AV141" s="105">
        <f t="shared" ref="AV141:AV146" si="296">+AW141-DR141</f>
        <v>625</v>
      </c>
      <c r="AW141" s="113">
        <f t="shared" ref="AW141:AW147" si="297">DT141</f>
        <v>4675</v>
      </c>
      <c r="AX141" s="104">
        <f t="shared" ref="AX141:BA142" si="298">AX91</f>
        <v>1620</v>
      </c>
      <c r="AY141" s="77">
        <f t="shared" si="298"/>
        <v>0</v>
      </c>
      <c r="AZ141" s="77">
        <f t="shared" si="298"/>
        <v>800</v>
      </c>
      <c r="BA141" s="102">
        <f t="shared" si="298"/>
        <v>0</v>
      </c>
      <c r="BB141" s="96">
        <f t="shared" ref="BB141:BB146" si="299">SUM(AX141:BA141)</f>
        <v>2420</v>
      </c>
      <c r="BC141" s="104">
        <f t="shared" ref="BC141:BF142" si="300">BC91</f>
        <v>0</v>
      </c>
      <c r="BD141" s="77">
        <f t="shared" si="300"/>
        <v>1900</v>
      </c>
      <c r="BE141" s="77">
        <f t="shared" si="300"/>
        <v>0</v>
      </c>
      <c r="BF141" s="102">
        <f t="shared" si="300"/>
        <v>0</v>
      </c>
      <c r="BG141" s="96">
        <f t="shared" ref="BG141:BG146" si="301">SUM(BC141:BF141)</f>
        <v>1900</v>
      </c>
      <c r="BH141" s="104">
        <f t="shared" ref="BH141:BK142" si="302">BH91</f>
        <v>0</v>
      </c>
      <c r="BI141" s="77">
        <f t="shared" si="302"/>
        <v>1700</v>
      </c>
      <c r="BJ141" s="77">
        <f t="shared" si="302"/>
        <v>250</v>
      </c>
      <c r="BK141" s="102">
        <f t="shared" si="302"/>
        <v>0</v>
      </c>
      <c r="BL141" s="96">
        <f t="shared" ref="BL141:BL146" si="303">SUM(BH141:BK141)</f>
        <v>1950</v>
      </c>
      <c r="BM141" s="104">
        <f t="shared" ref="BM141:BP141" si="304">BM91</f>
        <v>0</v>
      </c>
      <c r="BN141" s="77">
        <f t="shared" si="304"/>
        <v>1800</v>
      </c>
      <c r="BO141" s="77">
        <f t="shared" si="304"/>
        <v>500</v>
      </c>
      <c r="BP141" s="102">
        <f t="shared" si="304"/>
        <v>0</v>
      </c>
      <c r="BQ141" s="96">
        <f t="shared" ref="BQ141:BQ146" si="305">SUM(BM141:BP141)</f>
        <v>2300</v>
      </c>
      <c r="CB141" s="889">
        <v>700</v>
      </c>
      <c r="CC141" s="889">
        <v>1679</v>
      </c>
      <c r="CD141" s="889">
        <v>4151</v>
      </c>
      <c r="CE141" s="81">
        <f t="shared" ref="CE141:CE146" si="306">+CF141-CD141</f>
        <v>481</v>
      </c>
      <c r="CF141" s="889">
        <v>4632</v>
      </c>
      <c r="CG141" s="889">
        <v>0</v>
      </c>
      <c r="CH141" s="889">
        <v>0</v>
      </c>
      <c r="CI141" s="889">
        <v>251</v>
      </c>
      <c r="CJ141" s="81">
        <f t="shared" ref="CJ141:CJ146" si="307">+CK141-CI141</f>
        <v>848</v>
      </c>
      <c r="CK141" s="889">
        <v>1099</v>
      </c>
      <c r="CL141" s="889">
        <v>217</v>
      </c>
      <c r="CM141" s="889">
        <v>503</v>
      </c>
      <c r="CN141" s="103">
        <v>603</v>
      </c>
      <c r="CO141" s="113">
        <f t="shared" ref="CO141:CO146" si="308">CP141-CN141</f>
        <v>1</v>
      </c>
      <c r="CP141" s="103">
        <v>604</v>
      </c>
      <c r="CQ141" s="889">
        <v>0</v>
      </c>
      <c r="CR141" s="889">
        <v>182</v>
      </c>
      <c r="CS141" s="889">
        <v>660</v>
      </c>
      <c r="CT141" s="113">
        <f t="shared" ref="CT141:CT146" si="309">CU141-CS141</f>
        <v>90</v>
      </c>
      <c r="CU141" s="103">
        <v>750</v>
      </c>
      <c r="CV141" s="889">
        <v>1800</v>
      </c>
      <c r="CW141" s="889">
        <v>2245</v>
      </c>
      <c r="CX141" s="889">
        <v>2745</v>
      </c>
      <c r="CY141" s="113">
        <f t="shared" ref="CY141:CY146" si="310">CZ141-CX141</f>
        <v>1000</v>
      </c>
      <c r="CZ141" s="103">
        <v>3745</v>
      </c>
      <c r="DA141" s="889">
        <v>1467</v>
      </c>
      <c r="DB141" s="889">
        <v>3137</v>
      </c>
      <c r="DC141" s="889">
        <v>3778</v>
      </c>
      <c r="DD141" s="113">
        <f t="shared" ref="DD141:DD146" si="311">DE141-DC141</f>
        <v>750</v>
      </c>
      <c r="DE141" s="103">
        <v>4528</v>
      </c>
      <c r="DF141" s="889">
        <v>0</v>
      </c>
      <c r="DG141" s="889">
        <v>200</v>
      </c>
      <c r="DH141" s="889">
        <v>1084</v>
      </c>
      <c r="DI141" s="113">
        <f t="shared" ref="DI141:DI146" si="312">DJ141-DH141</f>
        <v>227</v>
      </c>
      <c r="DJ141" s="103">
        <v>1311</v>
      </c>
      <c r="DK141" s="889">
        <v>0</v>
      </c>
      <c r="DL141" s="889">
        <v>0</v>
      </c>
      <c r="DM141" s="889">
        <v>521</v>
      </c>
      <c r="DN141" s="113">
        <f t="shared" ref="DN141:DN146" si="313">DO141-DM141</f>
        <v>1455</v>
      </c>
      <c r="DO141" s="103">
        <f>1976</f>
        <v>1976</v>
      </c>
      <c r="DP141" s="889">
        <v>250</v>
      </c>
      <c r="DQ141" s="889">
        <v>3500</v>
      </c>
      <c r="DR141" s="889">
        <v>4050</v>
      </c>
      <c r="DS141" s="113">
        <f t="shared" ref="DS141:DS146" si="314">DT141-DR141</f>
        <v>625</v>
      </c>
      <c r="DT141" s="103">
        <v>4675</v>
      </c>
    </row>
    <row r="142" spans="1:124">
      <c r="A142" s="92"/>
      <c r="B142" s="89"/>
      <c r="C142" s="89" t="s">
        <v>288</v>
      </c>
      <c r="D142" s="166"/>
      <c r="E142" s="104">
        <f t="shared" si="263"/>
        <v>-444</v>
      </c>
      <c r="F142" s="77">
        <f t="shared" si="264"/>
        <v>-437</v>
      </c>
      <c r="G142" s="77">
        <f t="shared" si="264"/>
        <v>-1332</v>
      </c>
      <c r="H142" s="102">
        <f t="shared" si="265"/>
        <v>-397</v>
      </c>
      <c r="I142" s="113">
        <f t="shared" si="244"/>
        <v>-2610</v>
      </c>
      <c r="J142" s="114">
        <f t="shared" si="266"/>
        <v>-109</v>
      </c>
      <c r="K142" s="115">
        <f t="shared" si="267"/>
        <v>-298</v>
      </c>
      <c r="L142" s="115">
        <f t="shared" si="267"/>
        <v>-15</v>
      </c>
      <c r="M142" s="105">
        <f t="shared" si="268"/>
        <v>-593</v>
      </c>
      <c r="N142" s="113">
        <f t="shared" si="251"/>
        <v>-1015</v>
      </c>
      <c r="O142" s="104">
        <f t="shared" si="269"/>
        <v>-359</v>
      </c>
      <c r="P142" s="77">
        <f t="shared" si="270"/>
        <v>-643</v>
      </c>
      <c r="Q142" s="115">
        <f t="shared" si="270"/>
        <v>-579</v>
      </c>
      <c r="R142" s="105">
        <f t="shared" si="271"/>
        <v>-328</v>
      </c>
      <c r="S142" s="113">
        <f t="shared" si="272"/>
        <v>-1909</v>
      </c>
      <c r="T142" s="104">
        <f t="shared" si="273"/>
        <v>-16</v>
      </c>
      <c r="U142" s="77">
        <f t="shared" si="274"/>
        <v>-730</v>
      </c>
      <c r="V142" s="77">
        <f t="shared" si="274"/>
        <v>-124</v>
      </c>
      <c r="W142" s="105">
        <f t="shared" si="275"/>
        <v>-70</v>
      </c>
      <c r="X142" s="113">
        <f t="shared" si="276"/>
        <v>-940</v>
      </c>
      <c r="Y142" s="104">
        <f t="shared" si="277"/>
        <v>-956</v>
      </c>
      <c r="Z142" s="115">
        <f t="shared" si="278"/>
        <v>-1012</v>
      </c>
      <c r="AA142" s="115">
        <f t="shared" si="278"/>
        <v>-694</v>
      </c>
      <c r="AB142" s="105">
        <f t="shared" si="279"/>
        <v>-938</v>
      </c>
      <c r="AC142" s="113">
        <f t="shared" si="280"/>
        <v>-3600</v>
      </c>
      <c r="AD142" s="104">
        <f t="shared" si="281"/>
        <v>-489</v>
      </c>
      <c r="AE142" s="115">
        <f t="shared" si="282"/>
        <v>-436</v>
      </c>
      <c r="AF142" s="115">
        <f t="shared" si="283"/>
        <v>-137</v>
      </c>
      <c r="AG142" s="105">
        <f t="shared" si="284"/>
        <v>-697</v>
      </c>
      <c r="AH142" s="113">
        <f t="shared" si="285"/>
        <v>-1759</v>
      </c>
      <c r="AI142" s="104">
        <f t="shared" si="286"/>
        <v>-48</v>
      </c>
      <c r="AJ142" s="115">
        <f t="shared" si="287"/>
        <v>-244</v>
      </c>
      <c r="AK142" s="115">
        <f t="shared" si="287"/>
        <v>-489</v>
      </c>
      <c r="AL142" s="105">
        <f t="shared" si="288"/>
        <v>-98</v>
      </c>
      <c r="AM142" s="113">
        <f t="shared" si="289"/>
        <v>-879</v>
      </c>
      <c r="AN142" s="104">
        <f t="shared" si="290"/>
        <v>-31</v>
      </c>
      <c r="AO142" s="115">
        <f t="shared" si="291"/>
        <v>-550</v>
      </c>
      <c r="AP142" s="115">
        <f t="shared" si="291"/>
        <v>-436</v>
      </c>
      <c r="AQ142" s="105">
        <f t="shared" si="292"/>
        <v>-1314</v>
      </c>
      <c r="AR142" s="113">
        <f t="shared" si="293"/>
        <v>-2331</v>
      </c>
      <c r="AS142" s="104">
        <f t="shared" si="294"/>
        <v>-211</v>
      </c>
      <c r="AT142" s="115">
        <f t="shared" si="295"/>
        <v>-524</v>
      </c>
      <c r="AU142" s="115">
        <f t="shared" si="295"/>
        <v>-976</v>
      </c>
      <c r="AV142" s="105">
        <f t="shared" si="296"/>
        <v>-580</v>
      </c>
      <c r="AW142" s="113">
        <f t="shared" si="297"/>
        <v>-2291</v>
      </c>
      <c r="AX142" s="104">
        <f t="shared" si="298"/>
        <v>-1450</v>
      </c>
      <c r="AY142" s="77">
        <f t="shared" si="298"/>
        <v>-295.86229200000002</v>
      </c>
      <c r="AZ142" s="77">
        <f t="shared" si="298"/>
        <v>-43</v>
      </c>
      <c r="BA142" s="102">
        <f t="shared" si="298"/>
        <v>-325</v>
      </c>
      <c r="BB142" s="96">
        <f t="shared" si="299"/>
        <v>-2113.8622919999998</v>
      </c>
      <c r="BC142" s="104">
        <f t="shared" si="300"/>
        <v>-600</v>
      </c>
      <c r="BD142" s="77">
        <f t="shared" si="300"/>
        <v>-215.14</v>
      </c>
      <c r="BE142" s="77">
        <f t="shared" si="300"/>
        <v>-1660.9622159999999</v>
      </c>
      <c r="BF142" s="102">
        <f t="shared" si="300"/>
        <v>-157.49300000000002</v>
      </c>
      <c r="BG142" s="96">
        <f t="shared" si="301"/>
        <v>-2633.5952159999997</v>
      </c>
      <c r="BH142" s="104">
        <f t="shared" si="302"/>
        <v>-352.95805300000001</v>
      </c>
      <c r="BI142" s="77">
        <f t="shared" si="302"/>
        <v>-250</v>
      </c>
      <c r="BJ142" s="77">
        <f t="shared" si="302"/>
        <v>-177</v>
      </c>
      <c r="BK142" s="102">
        <f t="shared" si="302"/>
        <v>0</v>
      </c>
      <c r="BL142" s="96">
        <f t="shared" si="303"/>
        <v>-779.95805300000006</v>
      </c>
      <c r="BM142" s="104">
        <f t="shared" ref="BM142:BP142" si="315">BM92</f>
        <v>0</v>
      </c>
      <c r="BN142" s="77">
        <f t="shared" si="315"/>
        <v>-1251.1389999999999</v>
      </c>
      <c r="BO142" s="77">
        <f t="shared" si="315"/>
        <v>-332.30500000000001</v>
      </c>
      <c r="BP142" s="102">
        <f t="shared" si="315"/>
        <v>0</v>
      </c>
      <c r="BQ142" s="96">
        <f t="shared" si="305"/>
        <v>-1583.444</v>
      </c>
      <c r="CB142" s="889">
        <v>-444</v>
      </c>
      <c r="CC142" s="889">
        <v>-881</v>
      </c>
      <c r="CD142" s="889">
        <v>-2213</v>
      </c>
      <c r="CE142" s="81">
        <f t="shared" si="306"/>
        <v>-397</v>
      </c>
      <c r="CF142" s="889">
        <v>-2610</v>
      </c>
      <c r="CG142" s="889">
        <v>-109</v>
      </c>
      <c r="CH142" s="889">
        <v>-407</v>
      </c>
      <c r="CI142" s="889">
        <v>-422</v>
      </c>
      <c r="CJ142" s="81">
        <f t="shared" si="307"/>
        <v>-593</v>
      </c>
      <c r="CK142" s="889">
        <v>-1015</v>
      </c>
      <c r="CL142" s="889">
        <v>-359</v>
      </c>
      <c r="CM142" s="889">
        <v>-1002</v>
      </c>
      <c r="CN142" s="103">
        <v>-1581</v>
      </c>
      <c r="CO142" s="113">
        <f t="shared" si="308"/>
        <v>-328</v>
      </c>
      <c r="CP142" s="103">
        <v>-1909</v>
      </c>
      <c r="CQ142" s="889">
        <v>-16</v>
      </c>
      <c r="CR142" s="889">
        <v>-746</v>
      </c>
      <c r="CS142" s="889">
        <v>-870</v>
      </c>
      <c r="CT142" s="113">
        <f t="shared" si="309"/>
        <v>-70</v>
      </c>
      <c r="CU142" s="103">
        <v>-940</v>
      </c>
      <c r="CV142" s="889">
        <v>-956</v>
      </c>
      <c r="CW142" s="889">
        <v>-1968</v>
      </c>
      <c r="CX142" s="889">
        <v>-2662</v>
      </c>
      <c r="CY142" s="113">
        <f t="shared" si="310"/>
        <v>-938</v>
      </c>
      <c r="CZ142" s="103">
        <v>-3600</v>
      </c>
      <c r="DA142" s="889">
        <v>-489</v>
      </c>
      <c r="DB142" s="889">
        <v>-925</v>
      </c>
      <c r="DC142" s="889">
        <v>-1062</v>
      </c>
      <c r="DD142" s="113">
        <f t="shared" si="311"/>
        <v>-697</v>
      </c>
      <c r="DE142" s="103">
        <v>-1759</v>
      </c>
      <c r="DF142" s="889">
        <v>-48</v>
      </c>
      <c r="DG142" s="889">
        <v>-292</v>
      </c>
      <c r="DH142" s="889">
        <v>-781</v>
      </c>
      <c r="DI142" s="113">
        <f t="shared" si="312"/>
        <v>-98</v>
      </c>
      <c r="DJ142" s="103">
        <v>-879</v>
      </c>
      <c r="DK142" s="889">
        <v>-31</v>
      </c>
      <c r="DL142" s="889">
        <v>-581</v>
      </c>
      <c r="DM142" s="889">
        <v>-1017</v>
      </c>
      <c r="DN142" s="113">
        <f t="shared" si="313"/>
        <v>-1314</v>
      </c>
      <c r="DO142" s="103">
        <v>-2331</v>
      </c>
      <c r="DP142" s="889">
        <v>-211</v>
      </c>
      <c r="DQ142" s="889">
        <v>-735</v>
      </c>
      <c r="DR142" s="889">
        <v>-1711</v>
      </c>
      <c r="DS142" s="113">
        <f t="shared" si="314"/>
        <v>-580</v>
      </c>
      <c r="DT142" s="103">
        <v>-2291</v>
      </c>
    </row>
    <row r="143" spans="1:124">
      <c r="A143" s="92"/>
      <c r="B143" s="89"/>
      <c r="C143" s="89" t="s">
        <v>265</v>
      </c>
      <c r="D143" s="166"/>
      <c r="E143" s="104">
        <f t="shared" si="263"/>
        <v>0</v>
      </c>
      <c r="F143" s="77">
        <f t="shared" si="264"/>
        <v>0</v>
      </c>
      <c r="G143" s="77">
        <f t="shared" si="264"/>
        <v>-764</v>
      </c>
      <c r="H143" s="102">
        <f t="shared" si="265"/>
        <v>-482</v>
      </c>
      <c r="I143" s="113">
        <f t="shared" si="244"/>
        <v>-1246</v>
      </c>
      <c r="J143" s="114">
        <f t="shared" si="266"/>
        <v>-295</v>
      </c>
      <c r="K143" s="115">
        <f t="shared" si="267"/>
        <v>576</v>
      </c>
      <c r="L143" s="115">
        <f t="shared" si="267"/>
        <v>-452</v>
      </c>
      <c r="M143" s="105">
        <f t="shared" si="268"/>
        <v>-207</v>
      </c>
      <c r="N143" s="113">
        <f t="shared" si="251"/>
        <v>-378</v>
      </c>
      <c r="O143" s="104">
        <f t="shared" si="269"/>
        <v>-214</v>
      </c>
      <c r="P143" s="77">
        <f t="shared" si="270"/>
        <v>170</v>
      </c>
      <c r="Q143" s="115">
        <f t="shared" si="270"/>
        <v>-656</v>
      </c>
      <c r="R143" s="105">
        <f t="shared" si="271"/>
        <v>0</v>
      </c>
      <c r="S143" s="113">
        <f t="shared" si="272"/>
        <v>-700</v>
      </c>
      <c r="T143" s="104">
        <f t="shared" si="273"/>
        <v>1075</v>
      </c>
      <c r="U143" s="77">
        <f t="shared" si="274"/>
        <v>815</v>
      </c>
      <c r="V143" s="77">
        <f t="shared" si="274"/>
        <v>-286</v>
      </c>
      <c r="W143" s="105">
        <f t="shared" si="275"/>
        <v>365</v>
      </c>
      <c r="X143" s="113">
        <f t="shared" si="276"/>
        <v>1969</v>
      </c>
      <c r="Y143" s="104">
        <f t="shared" si="277"/>
        <v>181</v>
      </c>
      <c r="Z143" s="115">
        <f t="shared" si="278"/>
        <v>1104</v>
      </c>
      <c r="AA143" s="115">
        <f t="shared" si="278"/>
        <v>150</v>
      </c>
      <c r="AB143" s="105">
        <f t="shared" si="279"/>
        <v>0</v>
      </c>
      <c r="AC143" s="113">
        <f t="shared" si="280"/>
        <v>1435</v>
      </c>
      <c r="AD143" s="104">
        <f t="shared" si="281"/>
        <v>-319</v>
      </c>
      <c r="AE143" s="115">
        <f t="shared" si="282"/>
        <v>-762</v>
      </c>
      <c r="AF143" s="115">
        <f t="shared" si="283"/>
        <v>-702</v>
      </c>
      <c r="AG143" s="105">
        <f t="shared" si="284"/>
        <v>178</v>
      </c>
      <c r="AH143" s="113">
        <f t="shared" si="285"/>
        <v>-1605</v>
      </c>
      <c r="AI143" s="104">
        <f t="shared" si="286"/>
        <v>760</v>
      </c>
      <c r="AJ143" s="115">
        <f t="shared" si="287"/>
        <v>349</v>
      </c>
      <c r="AK143" s="115">
        <f t="shared" si="287"/>
        <v>-975</v>
      </c>
      <c r="AL143" s="105">
        <f t="shared" si="288"/>
        <v>-225</v>
      </c>
      <c r="AM143" s="113">
        <f t="shared" si="289"/>
        <v>-91</v>
      </c>
      <c r="AN143" s="104">
        <f t="shared" si="290"/>
        <v>425</v>
      </c>
      <c r="AO143" s="115">
        <f t="shared" si="291"/>
        <v>800</v>
      </c>
      <c r="AP143" s="115">
        <f t="shared" si="291"/>
        <v>50</v>
      </c>
      <c r="AQ143" s="105">
        <f t="shared" si="292"/>
        <v>-300</v>
      </c>
      <c r="AR143" s="113">
        <f t="shared" si="293"/>
        <v>975</v>
      </c>
      <c r="AS143" s="104">
        <f t="shared" si="294"/>
        <v>75</v>
      </c>
      <c r="AT143" s="115">
        <f t="shared" si="295"/>
        <v>-2525</v>
      </c>
      <c r="AU143" s="115">
        <f t="shared" si="295"/>
        <v>275</v>
      </c>
      <c r="AV143" s="105">
        <f t="shared" si="296"/>
        <v>-200</v>
      </c>
      <c r="AW143" s="113">
        <f t="shared" si="297"/>
        <v>-2375</v>
      </c>
      <c r="AX143" s="112">
        <v>0</v>
      </c>
      <c r="AY143" s="78">
        <v>0</v>
      </c>
      <c r="AZ143" s="78">
        <v>0</v>
      </c>
      <c r="BA143" s="111">
        <v>0</v>
      </c>
      <c r="BB143" s="96">
        <f t="shared" si="299"/>
        <v>0</v>
      </c>
      <c r="BC143" s="112">
        <v>0</v>
      </c>
      <c r="BD143" s="78">
        <v>0</v>
      </c>
      <c r="BE143" s="78">
        <v>0</v>
      </c>
      <c r="BF143" s="111">
        <v>0</v>
      </c>
      <c r="BG143" s="96">
        <f t="shared" si="301"/>
        <v>0</v>
      </c>
      <c r="BH143" s="112">
        <v>0</v>
      </c>
      <c r="BI143" s="78">
        <v>0</v>
      </c>
      <c r="BJ143" s="78">
        <v>0</v>
      </c>
      <c r="BK143" s="111">
        <v>0</v>
      </c>
      <c r="BL143" s="96">
        <f t="shared" si="303"/>
        <v>0</v>
      </c>
      <c r="BM143" s="112">
        <v>0</v>
      </c>
      <c r="BN143" s="78">
        <v>0</v>
      </c>
      <c r="BO143" s="78">
        <v>0</v>
      </c>
      <c r="BP143" s="111">
        <v>0</v>
      </c>
      <c r="BQ143" s="96">
        <f t="shared" si="305"/>
        <v>0</v>
      </c>
      <c r="CB143" s="889">
        <v>0</v>
      </c>
      <c r="CC143" s="889">
        <v>0</v>
      </c>
      <c r="CD143" s="889">
        <v>-764</v>
      </c>
      <c r="CE143" s="81">
        <f t="shared" si="306"/>
        <v>-482</v>
      </c>
      <c r="CF143" s="889">
        <v>-1246</v>
      </c>
      <c r="CG143" s="889">
        <v>-295</v>
      </c>
      <c r="CH143" s="889">
        <v>281</v>
      </c>
      <c r="CI143" s="889">
        <v>-171</v>
      </c>
      <c r="CJ143" s="81">
        <f t="shared" si="307"/>
        <v>-207</v>
      </c>
      <c r="CK143" s="889">
        <v>-378</v>
      </c>
      <c r="CL143" s="889">
        <v>-214</v>
      </c>
      <c r="CM143" s="889">
        <v>-44</v>
      </c>
      <c r="CN143" s="103">
        <v>-700</v>
      </c>
      <c r="CO143" s="113">
        <f t="shared" si="308"/>
        <v>0</v>
      </c>
      <c r="CP143" s="103">
        <v>-700</v>
      </c>
      <c r="CQ143" s="889">
        <v>1075</v>
      </c>
      <c r="CR143" s="889">
        <v>1890</v>
      </c>
      <c r="CS143" s="889">
        <f>1604</f>
        <v>1604</v>
      </c>
      <c r="CT143" s="113">
        <f t="shared" si="309"/>
        <v>365</v>
      </c>
      <c r="CU143" s="103">
        <v>1969</v>
      </c>
      <c r="CV143" s="889">
        <v>181</v>
      </c>
      <c r="CW143" s="889">
        <v>1285</v>
      </c>
      <c r="CX143" s="889">
        <v>1435</v>
      </c>
      <c r="CY143" s="113">
        <f t="shared" si="310"/>
        <v>0</v>
      </c>
      <c r="CZ143" s="103">
        <v>1435</v>
      </c>
      <c r="DA143" s="889">
        <v>-319</v>
      </c>
      <c r="DB143" s="889">
        <v>-1081</v>
      </c>
      <c r="DC143" s="889">
        <v>-1783</v>
      </c>
      <c r="DD143" s="113">
        <f t="shared" si="311"/>
        <v>178</v>
      </c>
      <c r="DE143" s="103">
        <f>+-1605</f>
        <v>-1605</v>
      </c>
      <c r="DF143" s="889">
        <v>760</v>
      </c>
      <c r="DG143" s="889">
        <v>1109</v>
      </c>
      <c r="DH143" s="889">
        <v>134</v>
      </c>
      <c r="DI143" s="113">
        <f t="shared" si="312"/>
        <v>-225</v>
      </c>
      <c r="DJ143" s="103">
        <v>-91</v>
      </c>
      <c r="DK143" s="889">
        <v>425</v>
      </c>
      <c r="DL143" s="889">
        <v>1225</v>
      </c>
      <c r="DM143" s="889">
        <v>1275</v>
      </c>
      <c r="DN143" s="113">
        <f t="shared" si="313"/>
        <v>-300</v>
      </c>
      <c r="DO143" s="103">
        <v>975</v>
      </c>
      <c r="DP143" s="889">
        <v>75</v>
      </c>
      <c r="DQ143" s="889">
        <v>-2450</v>
      </c>
      <c r="DR143" s="889">
        <f>-2175</f>
        <v>-2175</v>
      </c>
      <c r="DS143" s="113">
        <f t="shared" si="314"/>
        <v>-200</v>
      </c>
      <c r="DT143" s="103">
        <f>-2375</f>
        <v>-2375</v>
      </c>
    </row>
    <row r="144" spans="1:124">
      <c r="A144" s="92"/>
      <c r="B144" s="89"/>
      <c r="C144" s="89" t="s">
        <v>289</v>
      </c>
      <c r="D144" s="166"/>
      <c r="E144" s="104">
        <f>+CB144</f>
        <v>0</v>
      </c>
      <c r="F144" s="77">
        <f>+CC144-CB144</f>
        <v>0</v>
      </c>
      <c r="G144" s="77">
        <f>+CD144-CC144</f>
        <v>0</v>
      </c>
      <c r="H144" s="102">
        <f t="shared" si="265"/>
        <v>0</v>
      </c>
      <c r="I144" s="113">
        <f>CF144</f>
        <v>0</v>
      </c>
      <c r="J144" s="114">
        <f>+CG144</f>
        <v>0</v>
      </c>
      <c r="K144" s="115">
        <f>+CH144-CG144</f>
        <v>0</v>
      </c>
      <c r="L144" s="115">
        <f>+CI144-CH144</f>
        <v>0</v>
      </c>
      <c r="M144" s="105">
        <f t="shared" si="268"/>
        <v>0</v>
      </c>
      <c r="N144" s="113">
        <f>CK144</f>
        <v>0</v>
      </c>
      <c r="O144" s="104">
        <f>+CL144</f>
        <v>0</v>
      </c>
      <c r="P144" s="77">
        <f>+CM144-CL144</f>
        <v>0</v>
      </c>
      <c r="Q144" s="115">
        <f>+CN144-CM144</f>
        <v>0</v>
      </c>
      <c r="R144" s="105">
        <f t="shared" si="271"/>
        <v>0</v>
      </c>
      <c r="S144" s="113">
        <f>CP144</f>
        <v>0</v>
      </c>
      <c r="T144" s="104">
        <f>+CQ144</f>
        <v>0</v>
      </c>
      <c r="U144" s="77">
        <f>+CR144-CQ144</f>
        <v>0</v>
      </c>
      <c r="V144" s="77">
        <f>+CS144-CR144</f>
        <v>0</v>
      </c>
      <c r="W144" s="105">
        <f t="shared" si="275"/>
        <v>0</v>
      </c>
      <c r="X144" s="113">
        <f t="shared" si="276"/>
        <v>0</v>
      </c>
      <c r="Y144" s="104">
        <f>+CV144</f>
        <v>0</v>
      </c>
      <c r="Z144" s="115">
        <f>+CW144-CV144</f>
        <v>0</v>
      </c>
      <c r="AA144" s="115">
        <f>+CX144-CW144</f>
        <v>0</v>
      </c>
      <c r="AB144" s="105">
        <f t="shared" si="279"/>
        <v>0</v>
      </c>
      <c r="AC144" s="113">
        <f t="shared" si="280"/>
        <v>0</v>
      </c>
      <c r="AD144" s="104">
        <f>+DA144</f>
        <v>0</v>
      </c>
      <c r="AE144" s="115">
        <f>+DB144-DA144</f>
        <v>0</v>
      </c>
      <c r="AF144" s="115">
        <f>+DC144-DB144</f>
        <v>0</v>
      </c>
      <c r="AG144" s="105">
        <f t="shared" si="284"/>
        <v>0</v>
      </c>
      <c r="AH144" s="113">
        <f t="shared" si="285"/>
        <v>0</v>
      </c>
      <c r="AI144" s="104">
        <f t="shared" si="286"/>
        <v>0</v>
      </c>
      <c r="AJ144" s="115">
        <f t="shared" si="287"/>
        <v>0</v>
      </c>
      <c r="AK144" s="115">
        <f>+DH144-DG144</f>
        <v>0</v>
      </c>
      <c r="AL144" s="105">
        <f t="shared" si="288"/>
        <v>0</v>
      </c>
      <c r="AM144" s="113">
        <f t="shared" si="289"/>
        <v>0</v>
      </c>
      <c r="AN144" s="104">
        <f t="shared" si="290"/>
        <v>0</v>
      </c>
      <c r="AO144" s="115">
        <f t="shared" si="291"/>
        <v>0</v>
      </c>
      <c r="AP144" s="115">
        <f>+DM144-DL144</f>
        <v>0</v>
      </c>
      <c r="AQ144" s="105">
        <f t="shared" si="292"/>
        <v>0</v>
      </c>
      <c r="AR144" s="113">
        <f t="shared" si="293"/>
        <v>0</v>
      </c>
      <c r="AS144" s="104">
        <f t="shared" si="294"/>
        <v>0</v>
      </c>
      <c r="AT144" s="115">
        <f t="shared" si="295"/>
        <v>0</v>
      </c>
      <c r="AU144" s="115">
        <f t="shared" si="295"/>
        <v>0</v>
      </c>
      <c r="AV144" s="105">
        <f t="shared" si="296"/>
        <v>0</v>
      </c>
      <c r="AW144" s="113">
        <f t="shared" si="297"/>
        <v>0</v>
      </c>
      <c r="AX144" s="169">
        <f>AX70</f>
        <v>850</v>
      </c>
      <c r="AY144" s="167">
        <f>AY70</f>
        <v>0</v>
      </c>
      <c r="AZ144" s="167">
        <f>AZ70</f>
        <v>100</v>
      </c>
      <c r="BA144" s="168">
        <f>BA70</f>
        <v>0</v>
      </c>
      <c r="BB144" s="166">
        <f t="shared" si="299"/>
        <v>950</v>
      </c>
      <c r="BC144" s="169">
        <f>BC70</f>
        <v>0</v>
      </c>
      <c r="BD144" s="167">
        <f>BD70</f>
        <v>0</v>
      </c>
      <c r="BE144" s="167">
        <f>BE70</f>
        <v>1620</v>
      </c>
      <c r="BF144" s="168">
        <f>BF70</f>
        <v>100</v>
      </c>
      <c r="BG144" s="166">
        <f t="shared" si="301"/>
        <v>1720</v>
      </c>
      <c r="BH144" s="169">
        <f>BH70</f>
        <v>25</v>
      </c>
      <c r="BI144" s="167">
        <f>BI70</f>
        <v>25</v>
      </c>
      <c r="BJ144" s="167">
        <f>BJ70</f>
        <v>25</v>
      </c>
      <c r="BK144" s="168">
        <f>BK70</f>
        <v>25</v>
      </c>
      <c r="BL144" s="166">
        <f t="shared" si="303"/>
        <v>100</v>
      </c>
      <c r="BM144" s="169">
        <f>BM70</f>
        <v>21.5625</v>
      </c>
      <c r="BN144" s="167">
        <f>BN70</f>
        <v>21.5625</v>
      </c>
      <c r="BO144" s="167">
        <f>BO70</f>
        <v>21.5625</v>
      </c>
      <c r="BP144" s="168">
        <f>BP70</f>
        <v>21.5625</v>
      </c>
      <c r="BQ144" s="166">
        <f t="shared" si="305"/>
        <v>86.25</v>
      </c>
      <c r="CB144" s="889">
        <v>0</v>
      </c>
      <c r="CC144" s="889">
        <v>0</v>
      </c>
      <c r="CD144" s="889">
        <v>0</v>
      </c>
      <c r="CE144" s="81">
        <f t="shared" si="306"/>
        <v>0</v>
      </c>
      <c r="CF144" s="889">
        <v>0</v>
      </c>
      <c r="CG144" s="889">
        <v>0</v>
      </c>
      <c r="CH144" s="889">
        <v>0</v>
      </c>
      <c r="CI144" s="889">
        <v>0</v>
      </c>
      <c r="CJ144" s="81">
        <f t="shared" si="307"/>
        <v>0</v>
      </c>
      <c r="CK144" s="889">
        <v>0</v>
      </c>
      <c r="CL144" s="889">
        <v>0</v>
      </c>
      <c r="CM144" s="889">
        <v>0</v>
      </c>
      <c r="CN144" s="103">
        <v>0</v>
      </c>
      <c r="CO144" s="113">
        <f>CP144-CN144</f>
        <v>0</v>
      </c>
      <c r="CP144" s="103">
        <v>0</v>
      </c>
      <c r="CQ144" s="889">
        <v>0</v>
      </c>
      <c r="CR144" s="889">
        <v>0</v>
      </c>
      <c r="CS144" s="889">
        <v>0</v>
      </c>
      <c r="CT144" s="113">
        <f>CU144-CS144</f>
        <v>0</v>
      </c>
      <c r="CU144" s="103">
        <v>0</v>
      </c>
      <c r="CV144" s="889">
        <v>0</v>
      </c>
      <c r="CW144" s="889">
        <v>0</v>
      </c>
      <c r="CX144" s="889">
        <v>0</v>
      </c>
      <c r="CY144" s="113">
        <f t="shared" si="310"/>
        <v>0</v>
      </c>
      <c r="CZ144" s="103">
        <v>0</v>
      </c>
      <c r="DA144" s="889">
        <v>0</v>
      </c>
      <c r="DB144" s="889">
        <v>0</v>
      </c>
      <c r="DC144" s="889">
        <v>0</v>
      </c>
      <c r="DD144" s="113">
        <f t="shared" si="311"/>
        <v>0</v>
      </c>
      <c r="DE144" s="103">
        <v>0</v>
      </c>
      <c r="DF144" s="889">
        <v>0</v>
      </c>
      <c r="DG144" s="889">
        <v>0</v>
      </c>
      <c r="DH144" s="889">
        <v>0</v>
      </c>
      <c r="DI144" s="113">
        <f t="shared" si="312"/>
        <v>0</v>
      </c>
      <c r="DJ144" s="103">
        <v>0</v>
      </c>
      <c r="DK144" s="889">
        <v>0</v>
      </c>
      <c r="DL144" s="889">
        <v>0</v>
      </c>
      <c r="DM144" s="889">
        <v>0</v>
      </c>
      <c r="DN144" s="113">
        <f t="shared" si="313"/>
        <v>0</v>
      </c>
      <c r="DO144" s="103">
        <v>0</v>
      </c>
      <c r="DP144" s="889">
        <v>0</v>
      </c>
      <c r="DQ144" s="889">
        <v>0</v>
      </c>
      <c r="DR144" s="889">
        <v>0</v>
      </c>
      <c r="DS144" s="113">
        <f t="shared" si="314"/>
        <v>0</v>
      </c>
      <c r="DT144" s="103">
        <v>0</v>
      </c>
    </row>
    <row r="145" spans="1:124">
      <c r="A145" s="92"/>
      <c r="B145" s="89"/>
      <c r="C145" s="89" t="s">
        <v>925</v>
      </c>
      <c r="D145" s="166"/>
      <c r="E145" s="104">
        <f t="shared" si="263"/>
        <v>-168</v>
      </c>
      <c r="F145" s="77">
        <f t="shared" si="264"/>
        <v>-167</v>
      </c>
      <c r="G145" s="77">
        <f t="shared" si="264"/>
        <v>-168</v>
      </c>
      <c r="H145" s="102">
        <f t="shared" si="265"/>
        <v>-167</v>
      </c>
      <c r="I145" s="113">
        <f t="shared" si="244"/>
        <v>-670</v>
      </c>
      <c r="J145" s="114">
        <f t="shared" si="266"/>
        <v>-168</v>
      </c>
      <c r="K145" s="115">
        <f t="shared" si="267"/>
        <v>-167</v>
      </c>
      <c r="L145" s="115">
        <f t="shared" si="267"/>
        <v>-168</v>
      </c>
      <c r="M145" s="105">
        <f t="shared" si="268"/>
        <v>-167</v>
      </c>
      <c r="N145" s="113">
        <f t="shared" si="251"/>
        <v>-670</v>
      </c>
      <c r="O145" s="104">
        <f t="shared" si="269"/>
        <v>-190</v>
      </c>
      <c r="P145" s="77">
        <f t="shared" si="270"/>
        <v>-230</v>
      </c>
      <c r="Q145" s="115">
        <f t="shared" si="270"/>
        <v>-231</v>
      </c>
      <c r="R145" s="105">
        <f t="shared" si="271"/>
        <v>-230</v>
      </c>
      <c r="S145" s="113">
        <f t="shared" si="272"/>
        <v>-881</v>
      </c>
      <c r="T145" s="104">
        <f t="shared" si="273"/>
        <v>-230</v>
      </c>
      <c r="U145" s="77">
        <f t="shared" si="274"/>
        <v>-230</v>
      </c>
      <c r="V145" s="77">
        <f t="shared" si="274"/>
        <v>-230</v>
      </c>
      <c r="W145" s="105">
        <f t="shared" si="275"/>
        <v>-230</v>
      </c>
      <c r="X145" s="113">
        <f t="shared" si="276"/>
        <v>-920</v>
      </c>
      <c r="Y145" s="104">
        <f t="shared" si="277"/>
        <v>-230</v>
      </c>
      <c r="Z145" s="115">
        <f t="shared" si="278"/>
        <v>-230</v>
      </c>
      <c r="AA145" s="115">
        <f t="shared" si="278"/>
        <v>-230</v>
      </c>
      <c r="AB145" s="105">
        <f t="shared" si="279"/>
        <v>-230</v>
      </c>
      <c r="AC145" s="113">
        <f t="shared" si="280"/>
        <v>-920</v>
      </c>
      <c r="AD145" s="104">
        <f t="shared" si="281"/>
        <v>-151</v>
      </c>
      <c r="AE145" s="115">
        <f t="shared" si="282"/>
        <v>-151</v>
      </c>
      <c r="AF145" s="115">
        <f t="shared" si="283"/>
        <v>-150</v>
      </c>
      <c r="AG145" s="105">
        <f t="shared" si="284"/>
        <v>-152</v>
      </c>
      <c r="AH145" s="113">
        <f t="shared" si="285"/>
        <v>-604</v>
      </c>
      <c r="AI145" s="104">
        <f t="shared" si="286"/>
        <v>-152</v>
      </c>
      <c r="AJ145" s="115">
        <f t="shared" si="287"/>
        <v>-151</v>
      </c>
      <c r="AK145" s="115">
        <f t="shared" si="287"/>
        <v>-152</v>
      </c>
      <c r="AL145" s="105">
        <f t="shared" si="288"/>
        <v>-152</v>
      </c>
      <c r="AM145" s="113">
        <f t="shared" si="289"/>
        <v>-607</v>
      </c>
      <c r="AN145" s="104">
        <f t="shared" si="290"/>
        <v>-152</v>
      </c>
      <c r="AO145" s="115">
        <f t="shared" si="291"/>
        <v>-153</v>
      </c>
      <c r="AP145" s="115">
        <f t="shared" si="291"/>
        <v>-153</v>
      </c>
      <c r="AQ145" s="105">
        <f t="shared" si="292"/>
        <v>-153</v>
      </c>
      <c r="AR145" s="113">
        <f t="shared" si="293"/>
        <v>-611</v>
      </c>
      <c r="AS145" s="104">
        <f t="shared" si="294"/>
        <v>-159</v>
      </c>
      <c r="AT145" s="115">
        <f t="shared" si="295"/>
        <v>-160</v>
      </c>
      <c r="AU145" s="115">
        <f t="shared" si="295"/>
        <v>-159</v>
      </c>
      <c r="AV145" s="105">
        <f t="shared" si="296"/>
        <v>-161</v>
      </c>
      <c r="AW145" s="113">
        <f t="shared" si="297"/>
        <v>-639</v>
      </c>
      <c r="AX145" s="169">
        <f>-AX64</f>
        <v>-165.74196670698797</v>
      </c>
      <c r="AY145" s="167">
        <f>-AY64</f>
        <v>-171.16365345397591</v>
      </c>
      <c r="AZ145" s="167">
        <f>-AZ64</f>
        <v>-171.68539258441066</v>
      </c>
      <c r="BA145" s="168">
        <f>-BA64</f>
        <v>-172.20713171484542</v>
      </c>
      <c r="BB145" s="166">
        <f t="shared" si="299"/>
        <v>-680.79814446021999</v>
      </c>
      <c r="BC145" s="169">
        <f>-BC64</f>
        <v>-172.20713171484547</v>
      </c>
      <c r="BD145" s="167">
        <f>-BD64</f>
        <v>-172.20713171484547</v>
      </c>
      <c r="BE145" s="167">
        <f>-BE64</f>
        <v>-182.841705019003</v>
      </c>
      <c r="BF145" s="168">
        <f>-BF64</f>
        <v>-193.99801745359528</v>
      </c>
      <c r="BG145" s="166">
        <f t="shared" si="301"/>
        <v>-721.25398590228917</v>
      </c>
      <c r="BH145" s="169">
        <f>-BH64</f>
        <v>-194.65019136663881</v>
      </c>
      <c r="BI145" s="167">
        <f>-BI64</f>
        <v>-194.91106093185613</v>
      </c>
      <c r="BJ145" s="167">
        <f>-BJ64</f>
        <v>-195.17193049707356</v>
      </c>
      <c r="BK145" s="168">
        <f>-BK64</f>
        <v>-195.43280006229082</v>
      </c>
      <c r="BL145" s="166">
        <f t="shared" si="303"/>
        <v>-780.16598285785926</v>
      </c>
      <c r="BM145" s="169">
        <f>-BM64</f>
        <v>-195.67573484489961</v>
      </c>
      <c r="BN145" s="167">
        <f>-BN64</f>
        <v>-195.9007348448996</v>
      </c>
      <c r="BO145" s="167">
        <f>-BO64</f>
        <v>-196.1257348448996</v>
      </c>
      <c r="BP145" s="168">
        <f>-BP64</f>
        <v>-196.35073484489953</v>
      </c>
      <c r="BQ145" s="166">
        <f t="shared" si="305"/>
        <v>-784.05293937959834</v>
      </c>
      <c r="CB145" s="889">
        <v>-168</v>
      </c>
      <c r="CC145" s="889">
        <v>-335</v>
      </c>
      <c r="CD145" s="889">
        <v>-503</v>
      </c>
      <c r="CE145" s="81">
        <f t="shared" si="306"/>
        <v>-167</v>
      </c>
      <c r="CF145" s="889">
        <v>-670</v>
      </c>
      <c r="CG145" s="889">
        <v>-168</v>
      </c>
      <c r="CH145" s="889">
        <v>-335</v>
      </c>
      <c r="CI145" s="889">
        <v>-503</v>
      </c>
      <c r="CJ145" s="81">
        <f t="shared" si="307"/>
        <v>-167</v>
      </c>
      <c r="CK145" s="889">
        <v>-670</v>
      </c>
      <c r="CL145" s="889">
        <v>-190</v>
      </c>
      <c r="CM145" s="889">
        <v>-420</v>
      </c>
      <c r="CN145" s="103">
        <v>-651</v>
      </c>
      <c r="CO145" s="113">
        <f t="shared" si="308"/>
        <v>-230</v>
      </c>
      <c r="CP145" s="103">
        <v>-881</v>
      </c>
      <c r="CQ145" s="889">
        <v>-230</v>
      </c>
      <c r="CR145" s="889">
        <v>-460</v>
      </c>
      <c r="CS145" s="889">
        <v>-690</v>
      </c>
      <c r="CT145" s="113">
        <f t="shared" si="309"/>
        <v>-230</v>
      </c>
      <c r="CU145" s="103">
        <v>-920</v>
      </c>
      <c r="CV145" s="889">
        <v>-230</v>
      </c>
      <c r="CW145" s="889">
        <v>-460</v>
      </c>
      <c r="CX145" s="889">
        <v>-690</v>
      </c>
      <c r="CY145" s="113">
        <f t="shared" si="310"/>
        <v>-230</v>
      </c>
      <c r="CZ145" s="103">
        <v>-920</v>
      </c>
      <c r="DA145" s="889">
        <v>-151</v>
      </c>
      <c r="DB145" s="889">
        <v>-302</v>
      </c>
      <c r="DC145" s="889">
        <v>-452</v>
      </c>
      <c r="DD145" s="113">
        <f t="shared" si="311"/>
        <v>-152</v>
      </c>
      <c r="DE145" s="103">
        <v>-604</v>
      </c>
      <c r="DF145" s="889">
        <v>-152</v>
      </c>
      <c r="DG145" s="889">
        <v>-303</v>
      </c>
      <c r="DH145" s="889">
        <v>-455</v>
      </c>
      <c r="DI145" s="113">
        <f t="shared" si="312"/>
        <v>-152</v>
      </c>
      <c r="DJ145" s="103">
        <v>-607</v>
      </c>
      <c r="DK145" s="889">
        <v>-152</v>
      </c>
      <c r="DL145" s="889">
        <v>-305</v>
      </c>
      <c r="DM145" s="889">
        <v>-458</v>
      </c>
      <c r="DN145" s="113">
        <f t="shared" si="313"/>
        <v>-153</v>
      </c>
      <c r="DO145" s="103">
        <v>-611</v>
      </c>
      <c r="DP145" s="889">
        <v>-159</v>
      </c>
      <c r="DQ145" s="889">
        <v>-319</v>
      </c>
      <c r="DR145" s="889">
        <v>-478</v>
      </c>
      <c r="DS145" s="113">
        <f t="shared" si="314"/>
        <v>-161</v>
      </c>
      <c r="DT145" s="103">
        <v>-639</v>
      </c>
    </row>
    <row r="146" spans="1:124">
      <c r="A146" s="92"/>
      <c r="B146" s="89"/>
      <c r="C146" s="89" t="s">
        <v>267</v>
      </c>
      <c r="D146" s="166"/>
      <c r="E146" s="104">
        <f t="shared" si="263"/>
        <v>-18</v>
      </c>
      <c r="F146" s="77">
        <f t="shared" si="264"/>
        <v>-19</v>
      </c>
      <c r="G146" s="77">
        <f t="shared" si="264"/>
        <v>-17</v>
      </c>
      <c r="H146" s="102">
        <f t="shared" si="265"/>
        <v>-3</v>
      </c>
      <c r="I146" s="95">
        <f>CF146</f>
        <v>-57</v>
      </c>
      <c r="J146" s="114">
        <f t="shared" si="266"/>
        <v>-22</v>
      </c>
      <c r="K146" s="115">
        <f t="shared" si="267"/>
        <v>-1</v>
      </c>
      <c r="L146" s="115">
        <f t="shared" si="267"/>
        <v>-2</v>
      </c>
      <c r="M146" s="105">
        <f t="shared" si="268"/>
        <v>6</v>
      </c>
      <c r="N146" s="95">
        <f>CK146</f>
        <v>-19</v>
      </c>
      <c r="O146" s="104">
        <f t="shared" si="269"/>
        <v>-4</v>
      </c>
      <c r="P146" s="77">
        <f t="shared" si="270"/>
        <v>-72</v>
      </c>
      <c r="Q146" s="115">
        <f t="shared" si="270"/>
        <v>3</v>
      </c>
      <c r="R146" s="105">
        <f t="shared" si="271"/>
        <v>35</v>
      </c>
      <c r="S146" s="95">
        <f t="shared" si="272"/>
        <v>-38</v>
      </c>
      <c r="T146" s="104">
        <f t="shared" si="273"/>
        <v>-10</v>
      </c>
      <c r="U146" s="77">
        <f t="shared" si="274"/>
        <v>-25</v>
      </c>
      <c r="V146" s="77">
        <f t="shared" si="274"/>
        <v>-7</v>
      </c>
      <c r="W146" s="105">
        <f t="shared" si="275"/>
        <v>-10</v>
      </c>
      <c r="X146" s="95">
        <f t="shared" si="276"/>
        <v>-52</v>
      </c>
      <c r="Y146" s="104">
        <f t="shared" si="277"/>
        <v>-23</v>
      </c>
      <c r="Z146" s="115">
        <f t="shared" si="278"/>
        <v>-103</v>
      </c>
      <c r="AA146" s="115">
        <f t="shared" si="278"/>
        <v>-48</v>
      </c>
      <c r="AB146" s="105">
        <f t="shared" si="279"/>
        <v>-9</v>
      </c>
      <c r="AC146" s="95">
        <f t="shared" si="280"/>
        <v>-183</v>
      </c>
      <c r="AD146" s="104">
        <f t="shared" si="281"/>
        <v>-10</v>
      </c>
      <c r="AE146" s="115">
        <f t="shared" si="282"/>
        <v>-14</v>
      </c>
      <c r="AF146" s="115">
        <f t="shared" si="283"/>
        <v>-13</v>
      </c>
      <c r="AG146" s="105">
        <f t="shared" si="284"/>
        <v>-10</v>
      </c>
      <c r="AH146" s="95">
        <f t="shared" si="285"/>
        <v>-47</v>
      </c>
      <c r="AI146" s="104">
        <f t="shared" si="286"/>
        <v>0</v>
      </c>
      <c r="AJ146" s="115">
        <f t="shared" si="287"/>
        <v>-2</v>
      </c>
      <c r="AK146" s="115">
        <f t="shared" si="287"/>
        <v>-9</v>
      </c>
      <c r="AL146" s="105">
        <f t="shared" si="288"/>
        <v>-2</v>
      </c>
      <c r="AM146" s="95">
        <f t="shared" si="289"/>
        <v>-13</v>
      </c>
      <c r="AN146" s="104">
        <f t="shared" si="290"/>
        <v>0</v>
      </c>
      <c r="AO146" s="115">
        <f t="shared" si="291"/>
        <v>36</v>
      </c>
      <c r="AP146" s="115">
        <f t="shared" si="291"/>
        <v>-41</v>
      </c>
      <c r="AQ146" s="105">
        <f t="shared" si="292"/>
        <v>-26</v>
      </c>
      <c r="AR146" s="95">
        <f t="shared" si="293"/>
        <v>-31</v>
      </c>
      <c r="AS146" s="104">
        <f t="shared" si="294"/>
        <v>-13</v>
      </c>
      <c r="AT146" s="115">
        <f t="shared" si="295"/>
        <v>-39</v>
      </c>
      <c r="AU146" s="115">
        <f t="shared" si="295"/>
        <v>-15</v>
      </c>
      <c r="AV146" s="105">
        <f t="shared" si="296"/>
        <v>-5</v>
      </c>
      <c r="AW146" s="95">
        <f t="shared" si="297"/>
        <v>-72</v>
      </c>
      <c r="AX146" s="112">
        <v>0</v>
      </c>
      <c r="AY146" s="78">
        <f>-500-72-225</f>
        <v>-797</v>
      </c>
      <c r="AZ146" s="78">
        <v>0</v>
      </c>
      <c r="BA146" s="111">
        <v>0</v>
      </c>
      <c r="BB146" s="96">
        <f t="shared" si="299"/>
        <v>-797</v>
      </c>
      <c r="BC146" s="112">
        <v>0</v>
      </c>
      <c r="BD146" s="78">
        <v>0</v>
      </c>
      <c r="BE146" s="78">
        <v>0</v>
      </c>
      <c r="BF146" s="111">
        <v>0</v>
      </c>
      <c r="BG146" s="96">
        <f t="shared" si="301"/>
        <v>0</v>
      </c>
      <c r="BH146" s="112">
        <v>0</v>
      </c>
      <c r="BI146" s="78">
        <v>0</v>
      </c>
      <c r="BJ146" s="78">
        <v>0</v>
      </c>
      <c r="BK146" s="111">
        <v>0</v>
      </c>
      <c r="BL146" s="96">
        <f t="shared" si="303"/>
        <v>0</v>
      </c>
      <c r="BM146" s="112">
        <v>0</v>
      </c>
      <c r="BN146" s="78">
        <v>0</v>
      </c>
      <c r="BO146" s="78">
        <v>0</v>
      </c>
      <c r="BP146" s="111">
        <v>0</v>
      </c>
      <c r="BQ146" s="96">
        <f t="shared" si="305"/>
        <v>0</v>
      </c>
      <c r="CB146" s="889">
        <v>-18</v>
      </c>
      <c r="CC146" s="889">
        <v>-37</v>
      </c>
      <c r="CD146" s="889">
        <v>-54</v>
      </c>
      <c r="CE146" s="81">
        <f t="shared" si="306"/>
        <v>-3</v>
      </c>
      <c r="CF146" s="889">
        <v>-57</v>
      </c>
      <c r="CG146" s="889">
        <v>-22</v>
      </c>
      <c r="CH146" s="889">
        <v>-23</v>
      </c>
      <c r="CI146" s="889">
        <v>-25</v>
      </c>
      <c r="CJ146" s="81">
        <f t="shared" si="307"/>
        <v>6</v>
      </c>
      <c r="CK146" s="889">
        <v>-19</v>
      </c>
      <c r="CL146" s="889">
        <v>-4</v>
      </c>
      <c r="CM146" s="889">
        <v>-76</v>
      </c>
      <c r="CN146" s="103">
        <v>-73</v>
      </c>
      <c r="CO146" s="113">
        <f t="shared" si="308"/>
        <v>35</v>
      </c>
      <c r="CP146" s="103">
        <v>-38</v>
      </c>
      <c r="CQ146" s="889">
        <v>-10</v>
      </c>
      <c r="CR146" s="889">
        <v>-35</v>
      </c>
      <c r="CS146" s="889">
        <v>-42</v>
      </c>
      <c r="CT146" s="113">
        <f t="shared" si="309"/>
        <v>-10</v>
      </c>
      <c r="CU146" s="103">
        <v>-52</v>
      </c>
      <c r="CV146" s="889">
        <v>-23</v>
      </c>
      <c r="CW146" s="889">
        <f>-16-110</f>
        <v>-126</v>
      </c>
      <c r="CX146" s="889">
        <f>-110-64</f>
        <v>-174</v>
      </c>
      <c r="CY146" s="113">
        <f t="shared" si="310"/>
        <v>-9</v>
      </c>
      <c r="CZ146" s="103">
        <f>-110-73</f>
        <v>-183</v>
      </c>
      <c r="DA146" s="889">
        <v>-10</v>
      </c>
      <c r="DB146" s="889">
        <v>-24</v>
      </c>
      <c r="DC146" s="889">
        <v>-37</v>
      </c>
      <c r="DD146" s="113">
        <f t="shared" si="311"/>
        <v>-10</v>
      </c>
      <c r="DE146" s="103">
        <v>-47</v>
      </c>
      <c r="DF146" s="889">
        <v>0</v>
      </c>
      <c r="DG146" s="889">
        <v>-2</v>
      </c>
      <c r="DH146" s="889">
        <v>-11</v>
      </c>
      <c r="DI146" s="113">
        <f t="shared" si="312"/>
        <v>-2</v>
      </c>
      <c r="DJ146" s="103">
        <v>-13</v>
      </c>
      <c r="DK146" s="889">
        <v>0</v>
      </c>
      <c r="DL146" s="889">
        <v>36</v>
      </c>
      <c r="DM146" s="889">
        <v>-5</v>
      </c>
      <c r="DN146" s="113">
        <f t="shared" si="313"/>
        <v>-26</v>
      </c>
      <c r="DO146" s="103">
        <v>-31</v>
      </c>
      <c r="DP146" s="889">
        <v>-13</v>
      </c>
      <c r="DQ146" s="889">
        <v>-52</v>
      </c>
      <c r="DR146" s="889">
        <v>-67</v>
      </c>
      <c r="DS146" s="113">
        <f t="shared" si="314"/>
        <v>-5</v>
      </c>
      <c r="DT146" s="103">
        <v>-72</v>
      </c>
    </row>
    <row r="147" spans="1:124">
      <c r="A147" s="92"/>
      <c r="B147" s="89"/>
      <c r="C147" s="88" t="s">
        <v>228</v>
      </c>
      <c r="D147" s="166"/>
      <c r="E147" s="106">
        <f>SUM(E141:E146)</f>
        <v>70</v>
      </c>
      <c r="F147" s="76">
        <f>SUM(F141:F146)</f>
        <v>356</v>
      </c>
      <c r="G147" s="76">
        <f>SUM(G141:G146)</f>
        <v>191</v>
      </c>
      <c r="H147" s="107">
        <f>SUM(H141:H146)</f>
        <v>-568</v>
      </c>
      <c r="I147" s="93">
        <f>CF147</f>
        <v>49</v>
      </c>
      <c r="J147" s="106">
        <f>SUM(J141:J146)</f>
        <v>-594</v>
      </c>
      <c r="K147" s="76">
        <f>SUM(K141:K146)</f>
        <v>110</v>
      </c>
      <c r="L147" s="76">
        <f>SUM(L141:L146)</f>
        <v>-386</v>
      </c>
      <c r="M147" s="107">
        <f>SUM(M141:M146)</f>
        <v>-113</v>
      </c>
      <c r="N147" s="93">
        <f>CK147</f>
        <v>-983</v>
      </c>
      <c r="O147" s="106">
        <f>SUM(O141:O146)</f>
        <v>-550</v>
      </c>
      <c r="P147" s="76">
        <f>SUM(P141:P146)</f>
        <v>-489</v>
      </c>
      <c r="Q147" s="76">
        <f>SUM(Q141:Q146)</f>
        <v>-1363</v>
      </c>
      <c r="R147" s="107">
        <f>SUM(R141:R146)</f>
        <v>-522</v>
      </c>
      <c r="S147" s="93">
        <f t="shared" si="272"/>
        <v>-2924</v>
      </c>
      <c r="T147" s="106">
        <f>SUM(T141:T146)</f>
        <v>819</v>
      </c>
      <c r="U147" s="76">
        <f>SUM(U141:U146)</f>
        <v>12</v>
      </c>
      <c r="V147" s="76">
        <f>SUM(V141:V146)</f>
        <v>-169</v>
      </c>
      <c r="W147" s="107">
        <f>SUM(W141:W146)</f>
        <v>145</v>
      </c>
      <c r="X147" s="93">
        <f t="shared" si="276"/>
        <v>807</v>
      </c>
      <c r="Y147" s="106">
        <f>SUM(Y141:Y146)</f>
        <v>772</v>
      </c>
      <c r="Z147" s="76">
        <f>SUM(Z141:Z146)</f>
        <v>204</v>
      </c>
      <c r="AA147" s="76">
        <f>SUM(AA141:AA146)</f>
        <v>-322</v>
      </c>
      <c r="AB147" s="107">
        <f>SUM(AB141:AB146)</f>
        <v>-177</v>
      </c>
      <c r="AC147" s="93">
        <f t="shared" si="280"/>
        <v>477</v>
      </c>
      <c r="AD147" s="106">
        <f>SUM(AD141:AD146)</f>
        <v>498</v>
      </c>
      <c r="AE147" s="76">
        <f>SUM(AE141:AE146)</f>
        <v>307</v>
      </c>
      <c r="AF147" s="76">
        <f>SUM(AF141:AF146)</f>
        <v>-361</v>
      </c>
      <c r="AG147" s="107">
        <f>SUM(AG141:AG146)</f>
        <v>69</v>
      </c>
      <c r="AH147" s="93">
        <f t="shared" si="285"/>
        <v>513</v>
      </c>
      <c r="AI147" s="106">
        <f>SUM(AI141:AI146)</f>
        <v>560</v>
      </c>
      <c r="AJ147" s="76">
        <f>SUM(AJ141:AJ146)</f>
        <v>152</v>
      </c>
      <c r="AK147" s="76">
        <f>SUM(AK141:AK146)</f>
        <v>-741</v>
      </c>
      <c r="AL147" s="107">
        <f>SUM(AL141:AL146)</f>
        <v>-250</v>
      </c>
      <c r="AM147" s="93">
        <f t="shared" si="289"/>
        <v>-279</v>
      </c>
      <c r="AN147" s="106">
        <f>SUM(AN141:AN146)</f>
        <v>242</v>
      </c>
      <c r="AO147" s="76">
        <f>SUM(AO141:AO146)</f>
        <v>133</v>
      </c>
      <c r="AP147" s="76">
        <f>SUM(AP141:AP146)</f>
        <v>-59</v>
      </c>
      <c r="AQ147" s="107">
        <f>SUM(AQ141:AQ146)</f>
        <v>-338</v>
      </c>
      <c r="AR147" s="93">
        <f t="shared" si="293"/>
        <v>-22</v>
      </c>
      <c r="AS147" s="106">
        <f>SUM(AS141:AS146)</f>
        <v>-58</v>
      </c>
      <c r="AT147" s="76">
        <f>SUM(AT141:AT146)</f>
        <v>2</v>
      </c>
      <c r="AU147" s="76">
        <f>SUM(AU141:AU146)</f>
        <v>-325</v>
      </c>
      <c r="AV147" s="107">
        <f>SUM(AV141:AV146)</f>
        <v>-321</v>
      </c>
      <c r="AW147" s="93">
        <f t="shared" si="297"/>
        <v>-702</v>
      </c>
      <c r="AX147" s="106">
        <f t="shared" ref="AX147:BB147" si="316">SUM(AX141:AX146)</f>
        <v>854.25803329301198</v>
      </c>
      <c r="AY147" s="76">
        <f t="shared" si="316"/>
        <v>-1264.025945453976</v>
      </c>
      <c r="AZ147" s="76">
        <f t="shared" si="316"/>
        <v>685.31460741558931</v>
      </c>
      <c r="BA147" s="107">
        <f t="shared" si="316"/>
        <v>-497.20713171484545</v>
      </c>
      <c r="BB147" s="93">
        <f t="shared" si="316"/>
        <v>-221.66043646021978</v>
      </c>
      <c r="BC147" s="106">
        <f t="shared" ref="BC147:BL147" si="317">SUM(BC141:BC146)</f>
        <v>-772.20713171484545</v>
      </c>
      <c r="BD147" s="76">
        <f t="shared" si="317"/>
        <v>1512.6528682851547</v>
      </c>
      <c r="BE147" s="76">
        <f t="shared" si="317"/>
        <v>-223.8039210190029</v>
      </c>
      <c r="BF147" s="107">
        <f t="shared" si="317"/>
        <v>-251.4910174535953</v>
      </c>
      <c r="BG147" s="93">
        <f t="shared" si="317"/>
        <v>265.15079809771112</v>
      </c>
      <c r="BH147" s="106">
        <f t="shared" si="317"/>
        <v>-522.60824436663881</v>
      </c>
      <c r="BI147" s="76">
        <f t="shared" si="317"/>
        <v>1280.0889390681439</v>
      </c>
      <c r="BJ147" s="76">
        <f t="shared" si="317"/>
        <v>-97.171930497073561</v>
      </c>
      <c r="BK147" s="107">
        <f t="shared" si="317"/>
        <v>-170.43280006229082</v>
      </c>
      <c r="BL147" s="93">
        <f t="shared" si="317"/>
        <v>489.87596414214067</v>
      </c>
      <c r="BM147" s="106">
        <f t="shared" ref="BM147:BQ147" si="318">SUM(BM141:BM146)</f>
        <v>-174.11323484489961</v>
      </c>
      <c r="BN147" s="76">
        <f t="shared" si="318"/>
        <v>374.5227651551005</v>
      </c>
      <c r="BO147" s="76">
        <f t="shared" si="318"/>
        <v>-6.8682348448996038</v>
      </c>
      <c r="BP147" s="107">
        <f t="shared" si="318"/>
        <v>-174.78823484489953</v>
      </c>
      <c r="BQ147" s="93">
        <f t="shared" si="318"/>
        <v>18.753060620401698</v>
      </c>
      <c r="CB147" s="81">
        <f t="shared" ref="CB147:CL147" si="319">+SUM(CB141:CB146)</f>
        <v>70</v>
      </c>
      <c r="CC147" s="81">
        <f t="shared" si="319"/>
        <v>426</v>
      </c>
      <c r="CD147" s="81">
        <f t="shared" si="319"/>
        <v>617</v>
      </c>
      <c r="CE147" s="81">
        <f t="shared" si="319"/>
        <v>-568</v>
      </c>
      <c r="CF147" s="81">
        <f t="shared" si="319"/>
        <v>49</v>
      </c>
      <c r="CG147" s="81">
        <f t="shared" si="319"/>
        <v>-594</v>
      </c>
      <c r="CH147" s="81">
        <f t="shared" si="319"/>
        <v>-484</v>
      </c>
      <c r="CI147" s="81">
        <f t="shared" si="319"/>
        <v>-870</v>
      </c>
      <c r="CJ147" s="81">
        <f t="shared" si="319"/>
        <v>-113</v>
      </c>
      <c r="CK147" s="81">
        <f t="shared" si="319"/>
        <v>-983</v>
      </c>
      <c r="CL147" s="60">
        <f t="shared" si="319"/>
        <v>-550</v>
      </c>
      <c r="CM147" s="60">
        <f>+SUM(CM141:CM146)</f>
        <v>-1039</v>
      </c>
      <c r="CN147" s="93">
        <f>SUM(CN141:CN146)</f>
        <v>-2402</v>
      </c>
      <c r="CO147" s="93">
        <f>SUM(CO141:CO146)</f>
        <v>-522</v>
      </c>
      <c r="CP147" s="93">
        <f>SUM(CP141:CP146)</f>
        <v>-2924</v>
      </c>
      <c r="CQ147" s="60">
        <f>+SUM(CQ141:CQ146)</f>
        <v>819</v>
      </c>
      <c r="CR147" s="60">
        <f>+SUM(CR141:CR146)</f>
        <v>831</v>
      </c>
      <c r="CS147" s="60">
        <f>+SUM(CS141:CS146)</f>
        <v>662</v>
      </c>
      <c r="CT147" s="93">
        <f>SUM(CT141:CT146)</f>
        <v>145</v>
      </c>
      <c r="CU147" s="93">
        <f>SUM(CU141:CU146)</f>
        <v>807</v>
      </c>
      <c r="CV147" s="60">
        <f>+SUM(CV141:CV146)</f>
        <v>772</v>
      </c>
      <c r="CW147" s="60">
        <f>+SUM(CW141:CW146)</f>
        <v>976</v>
      </c>
      <c r="CX147" s="60">
        <f>+SUM(CX141:CX146)</f>
        <v>654</v>
      </c>
      <c r="CY147" s="93">
        <f>SUM(CY141:CY146)</f>
        <v>-177</v>
      </c>
      <c r="CZ147" s="93">
        <f>SUM(CZ141:CZ146)</f>
        <v>477</v>
      </c>
      <c r="DA147" s="60">
        <f>+SUM(DA141:DA146)</f>
        <v>498</v>
      </c>
      <c r="DB147" s="60">
        <f>+SUM(DB141:DB146)</f>
        <v>805</v>
      </c>
      <c r="DC147" s="60">
        <f>+SUM(DC141:DC146)</f>
        <v>444</v>
      </c>
      <c r="DD147" s="93">
        <f>SUM(DD141:DD146)</f>
        <v>69</v>
      </c>
      <c r="DE147" s="93">
        <f>SUM(DE141:DE146)</f>
        <v>513</v>
      </c>
      <c r="DF147" s="60">
        <f>+SUM(DF141:DF146)</f>
        <v>560</v>
      </c>
      <c r="DG147" s="60">
        <f>+SUM(DG141:DG146)</f>
        <v>712</v>
      </c>
      <c r="DH147" s="60">
        <f>+SUM(DH141:DH146)</f>
        <v>-29</v>
      </c>
      <c r="DI147" s="93">
        <f>SUM(DI141:DI146)</f>
        <v>-250</v>
      </c>
      <c r="DJ147" s="93">
        <f>SUM(DJ141:DJ146)</f>
        <v>-279</v>
      </c>
      <c r="DK147" s="60">
        <f>+SUM(DK141:DK146)</f>
        <v>242</v>
      </c>
      <c r="DL147" s="60">
        <f>+SUM(DL141:DL146)</f>
        <v>375</v>
      </c>
      <c r="DM147" s="60">
        <f>+SUM(DM141:DM146)</f>
        <v>316</v>
      </c>
      <c r="DN147" s="93">
        <f>SUM(DN141:DN146)</f>
        <v>-338</v>
      </c>
      <c r="DO147" s="93">
        <f>SUM(DO141:DO146)</f>
        <v>-22</v>
      </c>
      <c r="DP147" s="60">
        <f>+SUM(DP141:DP146)</f>
        <v>-58</v>
      </c>
      <c r="DQ147" s="60">
        <f>+SUM(DQ141:DQ146)</f>
        <v>-56</v>
      </c>
      <c r="DR147" s="60">
        <f>+SUM(DR141:DR146)</f>
        <v>-381</v>
      </c>
      <c r="DS147" s="93">
        <f>SUM(DS141:DS146)</f>
        <v>-321</v>
      </c>
      <c r="DT147" s="93">
        <f>SUM(DT141:DT146)</f>
        <v>-702</v>
      </c>
    </row>
    <row r="148" spans="1:124">
      <c r="A148" s="92"/>
      <c r="B148" s="89"/>
      <c r="C148" s="89"/>
      <c r="D148" s="166"/>
      <c r="E148" s="169"/>
      <c r="F148" s="167"/>
      <c r="G148" s="167"/>
      <c r="H148" s="168"/>
      <c r="I148" s="166"/>
      <c r="J148" s="169"/>
      <c r="K148" s="167"/>
      <c r="L148" s="167"/>
      <c r="M148" s="168"/>
      <c r="N148" s="166"/>
      <c r="O148" s="169"/>
      <c r="P148" s="167"/>
      <c r="Q148" s="167"/>
      <c r="R148" s="168"/>
      <c r="S148" s="166"/>
      <c r="T148" s="169"/>
      <c r="U148" s="167"/>
      <c r="V148" s="167"/>
      <c r="W148" s="168"/>
      <c r="X148" s="166"/>
      <c r="Y148" s="169"/>
      <c r="Z148" s="167"/>
      <c r="AA148" s="167"/>
      <c r="AB148" s="168"/>
      <c r="AC148" s="166"/>
      <c r="AD148" s="169"/>
      <c r="AE148" s="167"/>
      <c r="AF148" s="167"/>
      <c r="AG148" s="168"/>
      <c r="AH148" s="166"/>
      <c r="AI148" s="169"/>
      <c r="AJ148" s="167"/>
      <c r="AK148" s="167"/>
      <c r="AL148" s="168"/>
      <c r="AM148" s="166"/>
      <c r="AN148" s="169"/>
      <c r="AO148" s="167"/>
      <c r="AP148" s="167"/>
      <c r="AQ148" s="168"/>
      <c r="AR148" s="166"/>
      <c r="AS148" s="169"/>
      <c r="AT148" s="167"/>
      <c r="AU148" s="167"/>
      <c r="AV148" s="168"/>
      <c r="AW148" s="166"/>
      <c r="AX148" s="169"/>
      <c r="AY148" s="167"/>
      <c r="AZ148" s="167"/>
      <c r="BA148" s="168"/>
      <c r="BB148" s="166"/>
      <c r="BC148" s="169"/>
      <c r="BD148" s="167"/>
      <c r="BE148" s="167"/>
      <c r="BF148" s="168"/>
      <c r="BG148" s="166"/>
      <c r="BH148" s="169"/>
      <c r="BI148" s="167"/>
      <c r="BJ148" s="167"/>
      <c r="BK148" s="168"/>
      <c r="BL148" s="166"/>
      <c r="BM148" s="169"/>
      <c r="BN148" s="167"/>
      <c r="BO148" s="167"/>
      <c r="BP148" s="168"/>
      <c r="BQ148" s="166"/>
      <c r="CB148" s="93"/>
      <c r="CC148" s="93"/>
      <c r="CD148" s="93"/>
      <c r="CE148" s="93"/>
      <c r="CF148" s="93"/>
      <c r="CG148" s="93"/>
      <c r="CH148" s="93"/>
      <c r="CI148" s="93"/>
      <c r="CJ148" s="93"/>
      <c r="CK148" s="93"/>
      <c r="CL148" s="93"/>
      <c r="CM148" s="93"/>
      <c r="CN148" s="93"/>
      <c r="CO148" s="93"/>
      <c r="CP148" s="93"/>
      <c r="CQ148" s="93"/>
      <c r="CR148" s="93"/>
      <c r="CS148" s="93"/>
      <c r="CT148" s="93"/>
      <c r="CU148" s="93"/>
      <c r="CV148" s="93"/>
      <c r="CW148" s="93"/>
      <c r="CX148" s="93"/>
      <c r="CY148" s="93"/>
      <c r="CZ148" s="93"/>
      <c r="DA148" s="93"/>
      <c r="DB148" s="93"/>
      <c r="DC148" s="93"/>
      <c r="DD148" s="93"/>
      <c r="DE148" s="93"/>
      <c r="DF148" s="93"/>
      <c r="DG148" s="93"/>
      <c r="DH148" s="93"/>
      <c r="DI148" s="93"/>
      <c r="DJ148" s="93"/>
      <c r="DK148" s="93"/>
      <c r="DL148" s="93"/>
      <c r="DM148" s="93"/>
      <c r="DN148" s="93"/>
      <c r="DO148" s="93"/>
      <c r="DP148" s="93"/>
      <c r="DQ148" s="93"/>
      <c r="DR148" s="93"/>
      <c r="DS148" s="93"/>
      <c r="DT148" s="93"/>
    </row>
    <row r="149" spans="1:124">
      <c r="A149" s="92"/>
      <c r="B149" s="89"/>
      <c r="C149" s="88" t="s">
        <v>229</v>
      </c>
      <c r="D149" s="166"/>
      <c r="E149" s="106">
        <f>E134+E139+E147</f>
        <v>-146</v>
      </c>
      <c r="F149" s="76">
        <f>F134+F139+F147</f>
        <v>501</v>
      </c>
      <c r="G149" s="76">
        <f>G134+G139+G147</f>
        <v>-62</v>
      </c>
      <c r="H149" s="107">
        <f>H134+H139+H147</f>
        <v>36</v>
      </c>
      <c r="I149" s="93">
        <f t="shared" si="244"/>
        <v>329</v>
      </c>
      <c r="J149" s="106">
        <f>J134+J139+J147</f>
        <v>-564</v>
      </c>
      <c r="K149" s="76">
        <f>K134+K139+K147</f>
        <v>-29</v>
      </c>
      <c r="L149" s="76">
        <f>L134+L139+L147</f>
        <v>351</v>
      </c>
      <c r="M149" s="107">
        <f>M134+M139+M147</f>
        <v>387</v>
      </c>
      <c r="N149" s="93">
        <f t="shared" si="251"/>
        <v>145</v>
      </c>
      <c r="O149" s="106">
        <f>O134+O139+O147</f>
        <v>82</v>
      </c>
      <c r="P149" s="76">
        <f>P134+P139+P147</f>
        <v>-625</v>
      </c>
      <c r="Q149" s="76">
        <f>Q134+Q139+Q147</f>
        <v>-185</v>
      </c>
      <c r="R149" s="107">
        <f>R134+R139+R147</f>
        <v>-89</v>
      </c>
      <c r="S149" s="93">
        <f>CP149</f>
        <v>-817</v>
      </c>
      <c r="T149" s="106">
        <f>T134+T139+T147</f>
        <v>-128</v>
      </c>
      <c r="U149" s="76">
        <f>U134+U139+U147</f>
        <v>20</v>
      </c>
      <c r="V149" s="76">
        <f>V134+V139+V147</f>
        <v>56</v>
      </c>
      <c r="W149" s="107">
        <f>W134+W139+W147</f>
        <v>22</v>
      </c>
      <c r="X149" s="93">
        <f>CU149</f>
        <v>-30</v>
      </c>
      <c r="Y149" s="106">
        <f>Y134+Y139+Y147</f>
        <v>-105</v>
      </c>
      <c r="Z149" s="76">
        <f>Z134+Z139+Z147</f>
        <v>4</v>
      </c>
      <c r="AA149" s="76">
        <f>AA134+AA139+AA147</f>
        <v>151</v>
      </c>
      <c r="AB149" s="107">
        <f>AB134+AB139+AB147</f>
        <v>-4</v>
      </c>
      <c r="AC149" s="93">
        <f>CZ149</f>
        <v>46</v>
      </c>
      <c r="AD149" s="106">
        <f>AD134+AD139+AD147</f>
        <v>-109</v>
      </c>
      <c r="AE149" s="76">
        <f>AE134+AE139+AE147</f>
        <v>-33</v>
      </c>
      <c r="AF149" s="76">
        <f>AF134+AF139+AF147</f>
        <v>33</v>
      </c>
      <c r="AG149" s="107">
        <f>AG134+AG139+AG147</f>
        <v>-24</v>
      </c>
      <c r="AH149" s="93">
        <f>DE149</f>
        <v>-133</v>
      </c>
      <c r="AI149" s="106">
        <f>AI134+AI139+AI147</f>
        <v>5</v>
      </c>
      <c r="AJ149" s="76">
        <f>AJ134+AJ139+AJ147</f>
        <v>4</v>
      </c>
      <c r="AK149" s="76">
        <f>AK134+AK139+AK147</f>
        <v>-8</v>
      </c>
      <c r="AL149" s="107">
        <f>AL134+AL139+AL147</f>
        <v>45</v>
      </c>
      <c r="AM149" s="93">
        <f>DJ149</f>
        <v>46</v>
      </c>
      <c r="AN149" s="106">
        <f>AN134+AN139+AN147</f>
        <v>15</v>
      </c>
      <c r="AO149" s="76">
        <f>AO134+AO139+AO147</f>
        <v>53</v>
      </c>
      <c r="AP149" s="76">
        <f>AP134+AP139+AP147</f>
        <v>352</v>
      </c>
      <c r="AQ149" s="107">
        <f>AQ134+AQ139+AQ147</f>
        <v>-352</v>
      </c>
      <c r="AR149" s="93">
        <f>DO149</f>
        <v>68</v>
      </c>
      <c r="AS149" s="106">
        <f>AS134+AS139+AS147</f>
        <v>-35</v>
      </c>
      <c r="AT149" s="76">
        <f>AT134+AT139+AT147</f>
        <v>-50</v>
      </c>
      <c r="AU149" s="76">
        <f>AU134+AU139+AU147</f>
        <v>285</v>
      </c>
      <c r="AV149" s="107">
        <f>AV134+AV139+AV147</f>
        <v>190</v>
      </c>
      <c r="AW149" s="93">
        <f>DT149</f>
        <v>390</v>
      </c>
      <c r="AX149" s="106">
        <f t="shared" ref="AX149:BB149" si="320">AX134+AX139+AX147</f>
        <v>-430.32087184912007</v>
      </c>
      <c r="AY149" s="76">
        <f t="shared" si="320"/>
        <v>-1401.4023610891709</v>
      </c>
      <c r="AZ149" s="76">
        <f t="shared" si="320"/>
        <v>595.53844381128886</v>
      </c>
      <c r="BA149" s="107">
        <f t="shared" si="320"/>
        <v>-599.704458798112</v>
      </c>
      <c r="BB149" s="93">
        <f t="shared" si="320"/>
        <v>-1835.889247925114</v>
      </c>
      <c r="BC149" s="106">
        <f t="shared" ref="BC149:BL149" si="321">BC134+BC139+BC147</f>
        <v>-881.85952686088717</v>
      </c>
      <c r="BD149" s="76">
        <f t="shared" si="321"/>
        <v>1328.401882997455</v>
      </c>
      <c r="BE149" s="76">
        <f t="shared" si="321"/>
        <v>-346.12910278483446</v>
      </c>
      <c r="BF149" s="107">
        <f t="shared" si="321"/>
        <v>-394.44331856826216</v>
      </c>
      <c r="BG149" s="93">
        <f t="shared" si="321"/>
        <v>-294.03006521652844</v>
      </c>
      <c r="BH149" s="106">
        <f t="shared" si="321"/>
        <v>-590.05825998456442</v>
      </c>
      <c r="BI149" s="76">
        <f t="shared" si="321"/>
        <v>1133.323214171995</v>
      </c>
      <c r="BJ149" s="76">
        <f t="shared" si="321"/>
        <v>-134.00622108958993</v>
      </c>
      <c r="BK149" s="107">
        <f t="shared" si="321"/>
        <v>-279.43607120612518</v>
      </c>
      <c r="BL149" s="93">
        <f t="shared" si="321"/>
        <v>129.82266189171514</v>
      </c>
      <c r="BM149" s="106">
        <f t="shared" ref="BM149:BQ149" si="322">BM134+BM139+BM147</f>
        <v>-170.27410610825805</v>
      </c>
      <c r="BN149" s="76">
        <f t="shared" si="322"/>
        <v>280.01616023509018</v>
      </c>
      <c r="BO149" s="76">
        <f t="shared" si="322"/>
        <v>20.040055719881792</v>
      </c>
      <c r="BP149" s="107">
        <f t="shared" si="322"/>
        <v>-189.38568414783538</v>
      </c>
      <c r="BQ149" s="93">
        <f t="shared" si="322"/>
        <v>-59.603574301121739</v>
      </c>
      <c r="CB149" s="93">
        <f t="shared" ref="CB149:CV149" si="323">CB134+CB139+CB147</f>
        <v>-146</v>
      </c>
      <c r="CC149" s="93">
        <f t="shared" si="323"/>
        <v>355</v>
      </c>
      <c r="CD149" s="93">
        <f t="shared" si="323"/>
        <v>293</v>
      </c>
      <c r="CE149" s="93">
        <f t="shared" si="323"/>
        <v>36</v>
      </c>
      <c r="CF149" s="93">
        <f t="shared" si="323"/>
        <v>329</v>
      </c>
      <c r="CG149" s="93">
        <f t="shared" si="323"/>
        <v>-564</v>
      </c>
      <c r="CH149" s="93">
        <f t="shared" si="323"/>
        <v>-593</v>
      </c>
      <c r="CI149" s="93">
        <f t="shared" si="323"/>
        <v>-242</v>
      </c>
      <c r="CJ149" s="93">
        <f t="shared" si="323"/>
        <v>387</v>
      </c>
      <c r="CK149" s="93">
        <f t="shared" si="323"/>
        <v>145</v>
      </c>
      <c r="CL149" s="93">
        <f t="shared" si="323"/>
        <v>82</v>
      </c>
      <c r="CM149" s="93">
        <f t="shared" si="323"/>
        <v>-543</v>
      </c>
      <c r="CN149" s="93">
        <f t="shared" si="323"/>
        <v>-728</v>
      </c>
      <c r="CO149" s="93">
        <f t="shared" si="323"/>
        <v>-89</v>
      </c>
      <c r="CP149" s="93">
        <f t="shared" si="323"/>
        <v>-817</v>
      </c>
      <c r="CQ149" s="93">
        <f t="shared" si="323"/>
        <v>-128</v>
      </c>
      <c r="CR149" s="93">
        <f t="shared" si="323"/>
        <v>-108</v>
      </c>
      <c r="CS149" s="93">
        <f t="shared" si="323"/>
        <v>-52</v>
      </c>
      <c r="CT149" s="93">
        <f t="shared" si="323"/>
        <v>22</v>
      </c>
      <c r="CU149" s="93">
        <f t="shared" si="323"/>
        <v>-30</v>
      </c>
      <c r="CV149" s="93">
        <f t="shared" si="323"/>
        <v>-105</v>
      </c>
      <c r="CW149" s="93">
        <f t="shared" ref="CW149:DC149" si="324">CW134+CW139+CW147</f>
        <v>-101</v>
      </c>
      <c r="CX149" s="93">
        <f t="shared" si="324"/>
        <v>50</v>
      </c>
      <c r="CY149" s="93">
        <f t="shared" si="324"/>
        <v>-4</v>
      </c>
      <c r="CZ149" s="93">
        <f t="shared" si="324"/>
        <v>46</v>
      </c>
      <c r="DA149" s="93">
        <f t="shared" si="324"/>
        <v>-109</v>
      </c>
      <c r="DB149" s="93">
        <f t="shared" si="324"/>
        <v>-142</v>
      </c>
      <c r="DC149" s="93">
        <f t="shared" si="324"/>
        <v>-109</v>
      </c>
      <c r="DD149" s="93">
        <f>DD134+DD139+DD147</f>
        <v>-24</v>
      </c>
      <c r="DE149" s="93">
        <f>DE134+DE139+DE147</f>
        <v>-133</v>
      </c>
      <c r="DF149" s="93">
        <f>DF134+DF139+DF147</f>
        <v>5</v>
      </c>
      <c r="DG149" s="93">
        <f>DG134+DG139+DG147</f>
        <v>9</v>
      </c>
      <c r="DH149" s="93">
        <f t="shared" ref="DH149" si="325">DH134+DH139+DH147</f>
        <v>1</v>
      </c>
      <c r="DI149" s="93">
        <f t="shared" ref="DI149:DO149" si="326">DI134+DI139+DI147</f>
        <v>45</v>
      </c>
      <c r="DJ149" s="93">
        <f t="shared" si="326"/>
        <v>46</v>
      </c>
      <c r="DK149" s="93">
        <f t="shared" si="326"/>
        <v>15</v>
      </c>
      <c r="DL149" s="93">
        <f t="shared" si="326"/>
        <v>68</v>
      </c>
      <c r="DM149" s="93">
        <f t="shared" si="326"/>
        <v>420</v>
      </c>
      <c r="DN149" s="93">
        <f t="shared" si="326"/>
        <v>-352</v>
      </c>
      <c r="DO149" s="93">
        <f t="shared" si="326"/>
        <v>68</v>
      </c>
      <c r="DP149" s="93">
        <f t="shared" ref="DP149:DQ149" si="327">DP134+DP139+DP147</f>
        <v>-35</v>
      </c>
      <c r="DQ149" s="93">
        <f t="shared" si="327"/>
        <v>-85</v>
      </c>
      <c r="DR149" s="93">
        <f t="shared" ref="DR149:DT149" si="328">DR134+DR139+DR147</f>
        <v>200</v>
      </c>
      <c r="DS149" s="93">
        <f t="shared" si="328"/>
        <v>190</v>
      </c>
      <c r="DT149" s="93">
        <f t="shared" si="328"/>
        <v>390</v>
      </c>
    </row>
    <row r="150" spans="1:124">
      <c r="A150" s="92"/>
      <c r="B150" s="89"/>
      <c r="C150" s="87" t="s">
        <v>232</v>
      </c>
      <c r="D150" s="166"/>
      <c r="E150" s="110">
        <f>CB150</f>
        <v>545</v>
      </c>
      <c r="F150" s="115">
        <f>E152</f>
        <v>399</v>
      </c>
      <c r="G150" s="115">
        <f>F152</f>
        <v>900</v>
      </c>
      <c r="H150" s="105">
        <f>G152</f>
        <v>838</v>
      </c>
      <c r="I150" s="109">
        <f>E150</f>
        <v>545</v>
      </c>
      <c r="J150" s="114">
        <f>I152</f>
        <v>874</v>
      </c>
      <c r="K150" s="115">
        <f>J152</f>
        <v>310</v>
      </c>
      <c r="L150" s="115">
        <f>K152</f>
        <v>281</v>
      </c>
      <c r="M150" s="105">
        <f>L152</f>
        <v>632</v>
      </c>
      <c r="N150" s="109">
        <f>+J150</f>
        <v>874</v>
      </c>
      <c r="O150" s="114">
        <f>N152</f>
        <v>1019</v>
      </c>
      <c r="P150" s="115">
        <f>O152</f>
        <v>1101</v>
      </c>
      <c r="Q150" s="115">
        <f>P152</f>
        <v>476</v>
      </c>
      <c r="R150" s="105">
        <f>Q152</f>
        <v>291</v>
      </c>
      <c r="S150" s="109">
        <f>+O150</f>
        <v>1019</v>
      </c>
      <c r="T150" s="114">
        <f>S152</f>
        <v>202</v>
      </c>
      <c r="U150" s="115">
        <f>T152</f>
        <v>74</v>
      </c>
      <c r="V150" s="115">
        <f>U152</f>
        <v>94</v>
      </c>
      <c r="W150" s="105">
        <f>V152</f>
        <v>150</v>
      </c>
      <c r="X150" s="109">
        <f>+T150</f>
        <v>202</v>
      </c>
      <c r="Y150" s="114">
        <f>X152</f>
        <v>172</v>
      </c>
      <c r="Z150" s="115">
        <f>Y152</f>
        <v>67</v>
      </c>
      <c r="AA150" s="115">
        <f>Z152</f>
        <v>71</v>
      </c>
      <c r="AB150" s="105">
        <f>AA152</f>
        <v>222</v>
      </c>
      <c r="AC150" s="109">
        <f>+Y150</f>
        <v>172</v>
      </c>
      <c r="AD150" s="114">
        <f>AC152</f>
        <v>218</v>
      </c>
      <c r="AE150" s="115">
        <f>AD152</f>
        <v>109</v>
      </c>
      <c r="AF150" s="115">
        <f>AE152</f>
        <v>76</v>
      </c>
      <c r="AG150" s="105">
        <f>AF152</f>
        <v>109</v>
      </c>
      <c r="AH150" s="109">
        <f>+AD150</f>
        <v>218</v>
      </c>
      <c r="AI150" s="114">
        <f>AH152</f>
        <v>85</v>
      </c>
      <c r="AJ150" s="115">
        <f>AI152</f>
        <v>90</v>
      </c>
      <c r="AK150" s="115">
        <f>AJ152</f>
        <v>94</v>
      </c>
      <c r="AL150" s="105">
        <f>AK152</f>
        <v>86</v>
      </c>
      <c r="AM150" s="109">
        <f>+AI150</f>
        <v>85</v>
      </c>
      <c r="AN150" s="114">
        <f>AM152</f>
        <v>131</v>
      </c>
      <c r="AO150" s="115">
        <f>AN152</f>
        <v>146</v>
      </c>
      <c r="AP150" s="115">
        <f>AO152</f>
        <v>199</v>
      </c>
      <c r="AQ150" s="105">
        <f>AP152</f>
        <v>551</v>
      </c>
      <c r="AR150" s="109">
        <f>+AN150</f>
        <v>131</v>
      </c>
      <c r="AS150" s="114">
        <f>AR152</f>
        <v>199</v>
      </c>
      <c r="AT150" s="115">
        <f>AS152</f>
        <v>164</v>
      </c>
      <c r="AU150" s="115">
        <f>AT152</f>
        <v>114</v>
      </c>
      <c r="AV150" s="105">
        <f>AU152</f>
        <v>399</v>
      </c>
      <c r="AW150" s="109">
        <f>+AS150</f>
        <v>199</v>
      </c>
      <c r="AX150" s="114">
        <f>AW152</f>
        <v>589</v>
      </c>
      <c r="AY150" s="115">
        <f>AX152</f>
        <v>0</v>
      </c>
      <c r="AZ150" s="115">
        <f>AY152</f>
        <v>0</v>
      </c>
      <c r="BA150" s="105">
        <f>AZ152</f>
        <v>0</v>
      </c>
      <c r="BB150" s="166">
        <f>AX150</f>
        <v>589</v>
      </c>
      <c r="BC150" s="114">
        <f>BB152</f>
        <v>0</v>
      </c>
      <c r="BD150" s="115">
        <f>BC152</f>
        <v>0</v>
      </c>
      <c r="BE150" s="115">
        <f>BD152</f>
        <v>0</v>
      </c>
      <c r="BF150" s="105">
        <f>BE152</f>
        <v>0</v>
      </c>
      <c r="BG150" s="166">
        <f>BC150</f>
        <v>0</v>
      </c>
      <c r="BH150" s="114">
        <f>BG152</f>
        <v>0</v>
      </c>
      <c r="BI150" s="115">
        <f>BH152</f>
        <v>0</v>
      </c>
      <c r="BJ150" s="115">
        <f>BI152</f>
        <v>0</v>
      </c>
      <c r="BK150" s="105">
        <f>BJ152</f>
        <v>0</v>
      </c>
      <c r="BL150" s="166">
        <f>BH150</f>
        <v>0</v>
      </c>
      <c r="BM150" s="114">
        <f>BL152</f>
        <v>-3.4106051316484809E-13</v>
      </c>
      <c r="BN150" s="115">
        <f>BM152</f>
        <v>0</v>
      </c>
      <c r="BO150" s="115">
        <f>BN152</f>
        <v>0</v>
      </c>
      <c r="BP150" s="105">
        <f>BO152</f>
        <v>0</v>
      </c>
      <c r="BQ150" s="166">
        <f>BM150</f>
        <v>-3.4106051316484809E-13</v>
      </c>
      <c r="CB150" s="81">
        <v>545</v>
      </c>
      <c r="CC150" s="81">
        <f>+CB150</f>
        <v>545</v>
      </c>
      <c r="CD150" s="81">
        <f>+CC150</f>
        <v>545</v>
      </c>
      <c r="CE150" s="81">
        <f>+CD152</f>
        <v>838</v>
      </c>
      <c r="CF150" s="81">
        <f>+CB150</f>
        <v>545</v>
      </c>
      <c r="CG150" s="81">
        <f>+CF152</f>
        <v>874</v>
      </c>
      <c r="CH150" s="81">
        <f>+CG150</f>
        <v>874</v>
      </c>
      <c r="CI150" s="81">
        <f>+CH150</f>
        <v>874</v>
      </c>
      <c r="CJ150" s="81">
        <f>+CI152</f>
        <v>632</v>
      </c>
      <c r="CK150" s="81">
        <f>+CG150</f>
        <v>874</v>
      </c>
      <c r="CL150" s="81">
        <f>+CK152</f>
        <v>1019</v>
      </c>
      <c r="CM150" s="81">
        <f>+CL150</f>
        <v>1019</v>
      </c>
      <c r="CN150" s="113">
        <f>CM150</f>
        <v>1019</v>
      </c>
      <c r="CO150" s="113">
        <f>+CN152</f>
        <v>291</v>
      </c>
      <c r="CP150" s="113">
        <f>+CL150</f>
        <v>1019</v>
      </c>
      <c r="CQ150" s="81">
        <f>+CP152</f>
        <v>202</v>
      </c>
      <c r="CR150" s="81">
        <f>+CQ150</f>
        <v>202</v>
      </c>
      <c r="CS150" s="81">
        <f>+CR150</f>
        <v>202</v>
      </c>
      <c r="CT150" s="113">
        <f>+CS152</f>
        <v>150</v>
      </c>
      <c r="CU150" s="113">
        <f>+CQ150</f>
        <v>202</v>
      </c>
      <c r="CV150" s="81">
        <f>+CU152</f>
        <v>172</v>
      </c>
      <c r="CW150" s="81">
        <f>+CV150</f>
        <v>172</v>
      </c>
      <c r="CX150" s="81">
        <f>+CW150</f>
        <v>172</v>
      </c>
      <c r="CY150" s="113">
        <f>+CX152</f>
        <v>222</v>
      </c>
      <c r="CZ150" s="113">
        <f>+CV150</f>
        <v>172</v>
      </c>
      <c r="DA150" s="81">
        <f>+CZ152</f>
        <v>218</v>
      </c>
      <c r="DB150" s="81">
        <f>+DA150</f>
        <v>218</v>
      </c>
      <c r="DC150" s="81">
        <f>+DB150</f>
        <v>218</v>
      </c>
      <c r="DD150" s="113">
        <f>+DC152</f>
        <v>109</v>
      </c>
      <c r="DE150" s="113">
        <f>+DA150</f>
        <v>218</v>
      </c>
      <c r="DF150" s="81">
        <f>+DE152</f>
        <v>85</v>
      </c>
      <c r="DG150" s="81">
        <f>+DF150</f>
        <v>85</v>
      </c>
      <c r="DH150" s="81">
        <f>+DG150</f>
        <v>85</v>
      </c>
      <c r="DI150" s="113">
        <f>+DH152</f>
        <v>86</v>
      </c>
      <c r="DJ150" s="113">
        <f>+DF150</f>
        <v>85</v>
      </c>
      <c r="DK150" s="81">
        <f>+DJ152</f>
        <v>131</v>
      </c>
      <c r="DL150" s="81">
        <f>+DK150</f>
        <v>131</v>
      </c>
      <c r="DM150" s="81">
        <f>+DL150</f>
        <v>131</v>
      </c>
      <c r="DN150" s="113">
        <f>+DM152</f>
        <v>551</v>
      </c>
      <c r="DO150" s="113">
        <f>+DK150</f>
        <v>131</v>
      </c>
      <c r="DP150" s="81">
        <f>+DO152</f>
        <v>199</v>
      </c>
      <c r="DQ150" s="81">
        <f>+DP150</f>
        <v>199</v>
      </c>
      <c r="DR150" s="81">
        <f>+DQ150</f>
        <v>199</v>
      </c>
      <c r="DS150" s="113">
        <f>+DR152</f>
        <v>399</v>
      </c>
      <c r="DT150" s="113">
        <f>+DP150</f>
        <v>199</v>
      </c>
    </row>
    <row r="151" spans="1:124">
      <c r="A151" s="92"/>
      <c r="B151" s="89"/>
      <c r="C151" s="87" t="s">
        <v>348</v>
      </c>
      <c r="D151" s="166"/>
      <c r="E151" s="110"/>
      <c r="F151" s="115"/>
      <c r="G151" s="115"/>
      <c r="H151" s="105"/>
      <c r="I151" s="109"/>
      <c r="J151" s="114"/>
      <c r="K151" s="115"/>
      <c r="L151" s="115"/>
      <c r="M151" s="105"/>
      <c r="N151" s="109"/>
      <c r="O151" s="114"/>
      <c r="P151" s="115"/>
      <c r="Q151" s="115"/>
      <c r="R151" s="105"/>
      <c r="S151" s="109"/>
      <c r="T151" s="114"/>
      <c r="U151" s="115"/>
      <c r="V151" s="115"/>
      <c r="W151" s="105"/>
      <c r="X151" s="109"/>
      <c r="Y151" s="114"/>
      <c r="Z151" s="115"/>
      <c r="AA151" s="115"/>
      <c r="AB151" s="105"/>
      <c r="AC151" s="109"/>
      <c r="AD151" s="114"/>
      <c r="AE151" s="115"/>
      <c r="AF151" s="115"/>
      <c r="AG151" s="105"/>
      <c r="AH151" s="109"/>
      <c r="AI151" s="114"/>
      <c r="AJ151" s="115"/>
      <c r="AK151" s="115"/>
      <c r="AL151" s="105"/>
      <c r="AM151" s="109"/>
      <c r="AN151" s="114"/>
      <c r="AO151" s="115"/>
      <c r="AP151" s="115"/>
      <c r="AQ151" s="105"/>
      <c r="AR151" s="109"/>
      <c r="AS151" s="114"/>
      <c r="AT151" s="115"/>
      <c r="AU151" s="115"/>
      <c r="AV151" s="105"/>
      <c r="AW151" s="109"/>
      <c r="AX151" s="114">
        <f>IF((AX149+AX150)&gt;=AW201,-AW201,-(AX149+AX150))</f>
        <v>-158.67912815087993</v>
      </c>
      <c r="AY151" s="115">
        <f>IF((AY149+AY150)&gt;=AX201,-AX201,-(AY149+AY150))</f>
        <v>1401.4023610891709</v>
      </c>
      <c r="AZ151" s="115">
        <f>IF((AZ149+AZ150)&gt;=AY201,-AY201,-(AZ149+AZ150))</f>
        <v>-595.53844381128886</v>
      </c>
      <c r="BA151" s="105">
        <f>IF((BA149+BA150)&gt;=AZ201,-AZ201,-(BA149+BA150))</f>
        <v>599.704458798112</v>
      </c>
      <c r="BB151" s="166">
        <f>SUM(AX151:BA151)</f>
        <v>1246.889247925114</v>
      </c>
      <c r="BC151" s="114">
        <f>IF((BC149+BC150)&gt;=BB201,-BB201,-(BC149+BC150))</f>
        <v>881.85952686088717</v>
      </c>
      <c r="BD151" s="115">
        <f>IF((BD149+BD150)&gt;=BC201,-BC201,-(BD149+BD150))</f>
        <v>-1328.401882997455</v>
      </c>
      <c r="BE151" s="115">
        <f>IF((BE149+BE150)&gt;=BD201,-BD201,-(BE149+BE150))</f>
        <v>346.12910278483446</v>
      </c>
      <c r="BF151" s="105">
        <f>IF((BF149+BF150)&gt;=BE201,-BE201,-(BF149+BF150))</f>
        <v>394.44331856826216</v>
      </c>
      <c r="BG151" s="166">
        <f>SUM(BC151:BF151)</f>
        <v>294.03006521652878</v>
      </c>
      <c r="BH151" s="114">
        <f>IF((BH149+BH150)&gt;=BG201,-BG201,-(BH149+BH150))</f>
        <v>590.05825998456442</v>
      </c>
      <c r="BI151" s="115">
        <f>IF((BI149+BI150)&gt;=BH201,-BH201,-(BI149+BI150))</f>
        <v>-1133.323214171995</v>
      </c>
      <c r="BJ151" s="115">
        <f>IF((BJ149+BJ150)&gt;=BI201,-BI201,-(BJ149+BJ150))</f>
        <v>134.00622108958993</v>
      </c>
      <c r="BK151" s="105">
        <f>IF((BK149+BK150)&gt;=BJ201,-BJ201,-(BK149+BK150))</f>
        <v>279.43607120612518</v>
      </c>
      <c r="BL151" s="166">
        <f>SUM(BH151:BK151)</f>
        <v>-129.82266189171548</v>
      </c>
      <c r="BM151" s="114">
        <f>IF((BM149+BM150)&gt;=BL201,-BL201,-(BM149+BM150))</f>
        <v>170.27410610825839</v>
      </c>
      <c r="BN151" s="115">
        <f>IF((BN149+BN150)&gt;=BM201,-BM201,-(BN149+BN150))</f>
        <v>-280.01616023509018</v>
      </c>
      <c r="BO151" s="115">
        <f>IF((BO149+BO150)&gt;=BN201,-BN201,-(BO149+BO150))</f>
        <v>-20.040055719881792</v>
      </c>
      <c r="BP151" s="105">
        <f>IF((BP149+BP150)&gt;=BO201,-BO201,-(BP149+BP150))</f>
        <v>189.38568414783538</v>
      </c>
      <c r="BQ151" s="166">
        <f>SUM(BM151:BP151)</f>
        <v>59.603574301121796</v>
      </c>
      <c r="CB151" s="81"/>
      <c r="CC151" s="81"/>
      <c r="CD151" s="81"/>
      <c r="CE151" s="81"/>
      <c r="CF151" s="81"/>
      <c r="CG151" s="81"/>
      <c r="CH151" s="81"/>
      <c r="CI151" s="81"/>
      <c r="CJ151" s="81"/>
      <c r="CK151" s="81"/>
      <c r="CL151" s="81"/>
      <c r="CM151" s="81"/>
      <c r="CN151" s="113"/>
      <c r="CO151" s="113"/>
      <c r="CP151" s="113"/>
      <c r="CQ151" s="81"/>
      <c r="CR151" s="81"/>
      <c r="CS151" s="81"/>
      <c r="CT151" s="113"/>
      <c r="CU151" s="113"/>
      <c r="CV151" s="81"/>
      <c r="CW151" s="81"/>
      <c r="CX151" s="81"/>
      <c r="CY151" s="113"/>
      <c r="CZ151" s="113"/>
      <c r="DA151" s="81"/>
      <c r="DB151" s="81"/>
      <c r="DC151" s="81"/>
      <c r="DD151" s="113"/>
      <c r="DE151" s="113"/>
      <c r="DF151" s="81"/>
      <c r="DG151" s="81"/>
      <c r="DH151" s="81"/>
      <c r="DI151" s="113"/>
      <c r="DJ151" s="113"/>
      <c r="DK151" s="81"/>
      <c r="DL151" s="81"/>
      <c r="DM151" s="81"/>
      <c r="DN151" s="113"/>
      <c r="DO151" s="113"/>
      <c r="DP151" s="81"/>
      <c r="DQ151" s="81"/>
      <c r="DR151" s="81"/>
      <c r="DS151" s="113"/>
      <c r="DT151" s="113"/>
    </row>
    <row r="152" spans="1:124">
      <c r="A152" s="92"/>
      <c r="B152" s="89"/>
      <c r="C152" s="88" t="s">
        <v>233</v>
      </c>
      <c r="D152" s="166"/>
      <c r="E152" s="106">
        <f t="shared" ref="E152:U152" si="329">+E150+E149+E151</f>
        <v>399</v>
      </c>
      <c r="F152" s="76">
        <f t="shared" si="329"/>
        <v>900</v>
      </c>
      <c r="G152" s="76">
        <f t="shared" si="329"/>
        <v>838</v>
      </c>
      <c r="H152" s="107">
        <f t="shared" si="329"/>
        <v>874</v>
      </c>
      <c r="I152" s="93">
        <f t="shared" si="329"/>
        <v>874</v>
      </c>
      <c r="J152" s="106">
        <f t="shared" si="329"/>
        <v>310</v>
      </c>
      <c r="K152" s="76">
        <f t="shared" si="329"/>
        <v>281</v>
      </c>
      <c r="L152" s="76">
        <f t="shared" si="329"/>
        <v>632</v>
      </c>
      <c r="M152" s="107">
        <f t="shared" si="329"/>
        <v>1019</v>
      </c>
      <c r="N152" s="93">
        <f t="shared" si="329"/>
        <v>1019</v>
      </c>
      <c r="O152" s="106">
        <f t="shared" si="329"/>
        <v>1101</v>
      </c>
      <c r="P152" s="76">
        <f t="shared" si="329"/>
        <v>476</v>
      </c>
      <c r="Q152" s="76">
        <f t="shared" si="329"/>
        <v>291</v>
      </c>
      <c r="R152" s="107">
        <f t="shared" si="329"/>
        <v>202</v>
      </c>
      <c r="S152" s="93">
        <f t="shared" si="329"/>
        <v>202</v>
      </c>
      <c r="T152" s="106">
        <f t="shared" si="329"/>
        <v>74</v>
      </c>
      <c r="U152" s="76">
        <f t="shared" si="329"/>
        <v>94</v>
      </c>
      <c r="V152" s="76">
        <f t="shared" ref="V152:AA152" si="330">+V150+V149+V151</f>
        <v>150</v>
      </c>
      <c r="W152" s="107">
        <f t="shared" si="330"/>
        <v>172</v>
      </c>
      <c r="X152" s="93">
        <f t="shared" si="330"/>
        <v>172</v>
      </c>
      <c r="Y152" s="106">
        <f t="shared" si="330"/>
        <v>67</v>
      </c>
      <c r="Z152" s="76">
        <f t="shared" si="330"/>
        <v>71</v>
      </c>
      <c r="AA152" s="76">
        <f t="shared" si="330"/>
        <v>222</v>
      </c>
      <c r="AB152" s="107">
        <f>+AB150+AB149+AB151</f>
        <v>218</v>
      </c>
      <c r="AC152" s="93">
        <f>+AC150+AC149+AC151</f>
        <v>218</v>
      </c>
      <c r="AD152" s="106">
        <f>+AD150+AD149+AD151</f>
        <v>109</v>
      </c>
      <c r="AE152" s="76">
        <f>+AE150+AE149+AE151</f>
        <v>76</v>
      </c>
      <c r="AF152" s="76">
        <f t="shared" ref="AF152" si="331">+AF150+AF149+AF151</f>
        <v>109</v>
      </c>
      <c r="AG152" s="107">
        <f>+AG150+AG149+AG151</f>
        <v>85</v>
      </c>
      <c r="AH152" s="93">
        <f>+AH150+AH149+AH151</f>
        <v>85</v>
      </c>
      <c r="AI152" s="106">
        <f>+AI150+AI149+AI151</f>
        <v>90</v>
      </c>
      <c r="AJ152" s="76">
        <f>+AJ150+AJ149+AJ151</f>
        <v>94</v>
      </c>
      <c r="AK152" s="76">
        <f t="shared" ref="AK152" si="332">+AK150+AK149+AK151</f>
        <v>86</v>
      </c>
      <c r="AL152" s="107">
        <f>+AL150+AL149+AL151</f>
        <v>131</v>
      </c>
      <c r="AM152" s="93">
        <f>+AM150+AM149+AM151</f>
        <v>131</v>
      </c>
      <c r="AN152" s="106">
        <f>+AN150+AN149+AN151</f>
        <v>146</v>
      </c>
      <c r="AO152" s="76">
        <f>+AO150+AO149+AO151</f>
        <v>199</v>
      </c>
      <c r="AP152" s="76">
        <f t="shared" ref="AP152" si="333">+AP150+AP149+AP151</f>
        <v>551</v>
      </c>
      <c r="AQ152" s="107">
        <f t="shared" ref="AQ152:AW152" si="334">+AQ150+AQ149+AQ151</f>
        <v>199</v>
      </c>
      <c r="AR152" s="93">
        <f t="shared" si="334"/>
        <v>199</v>
      </c>
      <c r="AS152" s="106">
        <f t="shared" si="334"/>
        <v>164</v>
      </c>
      <c r="AT152" s="76">
        <f t="shared" si="334"/>
        <v>114</v>
      </c>
      <c r="AU152" s="76">
        <f t="shared" si="334"/>
        <v>399</v>
      </c>
      <c r="AV152" s="107">
        <f t="shared" si="334"/>
        <v>589</v>
      </c>
      <c r="AW152" s="93">
        <f t="shared" si="334"/>
        <v>589</v>
      </c>
      <c r="AX152" s="106">
        <f t="shared" ref="AX152:BL152" si="335">+AX150+AX149+AX151</f>
        <v>0</v>
      </c>
      <c r="AY152" s="76">
        <f t="shared" si="335"/>
        <v>0</v>
      </c>
      <c r="AZ152" s="76">
        <f t="shared" si="335"/>
        <v>0</v>
      </c>
      <c r="BA152" s="107">
        <f t="shared" si="335"/>
        <v>0</v>
      </c>
      <c r="BB152" s="93">
        <f t="shared" si="335"/>
        <v>0</v>
      </c>
      <c r="BC152" s="106">
        <f t="shared" si="335"/>
        <v>0</v>
      </c>
      <c r="BD152" s="76">
        <f t="shared" si="335"/>
        <v>0</v>
      </c>
      <c r="BE152" s="76">
        <f t="shared" si="335"/>
        <v>0</v>
      </c>
      <c r="BF152" s="107">
        <f t="shared" si="335"/>
        <v>0</v>
      </c>
      <c r="BG152" s="93">
        <f t="shared" si="335"/>
        <v>0</v>
      </c>
      <c r="BH152" s="106">
        <f t="shared" si="335"/>
        <v>0</v>
      </c>
      <c r="BI152" s="76">
        <f t="shared" si="335"/>
        <v>0</v>
      </c>
      <c r="BJ152" s="76">
        <f t="shared" si="335"/>
        <v>0</v>
      </c>
      <c r="BK152" s="107">
        <f t="shared" si="335"/>
        <v>0</v>
      </c>
      <c r="BL152" s="93">
        <f t="shared" si="335"/>
        <v>-3.4106051316484809E-13</v>
      </c>
      <c r="BM152" s="106">
        <f t="shared" ref="BM152:BQ152" si="336">+BM150+BM149+BM151</f>
        <v>0</v>
      </c>
      <c r="BN152" s="76">
        <f t="shared" si="336"/>
        <v>0</v>
      </c>
      <c r="BO152" s="76">
        <f t="shared" si="336"/>
        <v>0</v>
      </c>
      <c r="BP152" s="107">
        <f t="shared" si="336"/>
        <v>0</v>
      </c>
      <c r="BQ152" s="93">
        <f t="shared" si="336"/>
        <v>-2.8421709430404007E-13</v>
      </c>
      <c r="CB152" s="93">
        <f>+CB150+CB149+CB151</f>
        <v>399</v>
      </c>
      <c r="CC152" s="93">
        <f t="shared" ref="CC152:CT152" si="337">+CC150+CC149+CC151</f>
        <v>900</v>
      </c>
      <c r="CD152" s="93">
        <f t="shared" si="337"/>
        <v>838</v>
      </c>
      <c r="CE152" s="93">
        <f t="shared" si="337"/>
        <v>874</v>
      </c>
      <c r="CF152" s="93">
        <f t="shared" si="337"/>
        <v>874</v>
      </c>
      <c r="CG152" s="93">
        <f t="shared" si="337"/>
        <v>310</v>
      </c>
      <c r="CH152" s="93">
        <f t="shared" si="337"/>
        <v>281</v>
      </c>
      <c r="CI152" s="93">
        <f t="shared" si="337"/>
        <v>632</v>
      </c>
      <c r="CJ152" s="93">
        <f t="shared" si="337"/>
        <v>1019</v>
      </c>
      <c r="CK152" s="93">
        <f t="shared" si="337"/>
        <v>1019</v>
      </c>
      <c r="CL152" s="93">
        <f t="shared" si="337"/>
        <v>1101</v>
      </c>
      <c r="CM152" s="93">
        <f t="shared" si="337"/>
        <v>476</v>
      </c>
      <c r="CN152" s="93">
        <f t="shared" si="337"/>
        <v>291</v>
      </c>
      <c r="CO152" s="93">
        <f t="shared" si="337"/>
        <v>202</v>
      </c>
      <c r="CP152" s="93">
        <f t="shared" si="337"/>
        <v>202</v>
      </c>
      <c r="CQ152" s="93">
        <f t="shared" si="337"/>
        <v>74</v>
      </c>
      <c r="CR152" s="93">
        <f t="shared" si="337"/>
        <v>94</v>
      </c>
      <c r="CS152" s="93">
        <f t="shared" si="337"/>
        <v>150</v>
      </c>
      <c r="CT152" s="93">
        <f t="shared" si="337"/>
        <v>172</v>
      </c>
      <c r="CU152" s="93">
        <f t="shared" ref="CU152:CZ152" si="338">+CU150+CU149+CU151</f>
        <v>172</v>
      </c>
      <c r="CV152" s="93">
        <f t="shared" si="338"/>
        <v>67</v>
      </c>
      <c r="CW152" s="93">
        <f t="shared" si="338"/>
        <v>71</v>
      </c>
      <c r="CX152" s="93">
        <f t="shared" si="338"/>
        <v>222</v>
      </c>
      <c r="CY152" s="93">
        <f t="shared" si="338"/>
        <v>218</v>
      </c>
      <c r="CZ152" s="93">
        <f t="shared" si="338"/>
        <v>218</v>
      </c>
      <c r="DA152" s="93">
        <f t="shared" ref="DA152:DG152" si="339">+DA150+DA149+DA151</f>
        <v>109</v>
      </c>
      <c r="DB152" s="93">
        <f t="shared" si="339"/>
        <v>76</v>
      </c>
      <c r="DC152" s="93">
        <f t="shared" si="339"/>
        <v>109</v>
      </c>
      <c r="DD152" s="93">
        <f t="shared" si="339"/>
        <v>85</v>
      </c>
      <c r="DE152" s="93">
        <f t="shared" si="339"/>
        <v>85</v>
      </c>
      <c r="DF152" s="93">
        <f t="shared" si="339"/>
        <v>90</v>
      </c>
      <c r="DG152" s="93">
        <f t="shared" si="339"/>
        <v>94</v>
      </c>
      <c r="DH152" s="93">
        <f t="shared" ref="DH152:DL152" si="340">+DH150+DH149+DH151</f>
        <v>86</v>
      </c>
      <c r="DI152" s="93">
        <f t="shared" si="340"/>
        <v>131</v>
      </c>
      <c r="DJ152" s="93">
        <f t="shared" si="340"/>
        <v>131</v>
      </c>
      <c r="DK152" s="93">
        <f t="shared" si="340"/>
        <v>146</v>
      </c>
      <c r="DL152" s="93">
        <f t="shared" si="340"/>
        <v>199</v>
      </c>
      <c r="DM152" s="93">
        <f t="shared" ref="DM152:DQ152" si="341">+DM150+DM149+DM151</f>
        <v>551</v>
      </c>
      <c r="DN152" s="93">
        <f t="shared" si="341"/>
        <v>199</v>
      </c>
      <c r="DO152" s="93">
        <f t="shared" si="341"/>
        <v>199</v>
      </c>
      <c r="DP152" s="93">
        <f t="shared" si="341"/>
        <v>164</v>
      </c>
      <c r="DQ152" s="93">
        <f t="shared" si="341"/>
        <v>114</v>
      </c>
      <c r="DR152" s="93">
        <f t="shared" ref="DR152:DT152" si="342">+DR150+DR149+DR151</f>
        <v>399</v>
      </c>
      <c r="DS152" s="93">
        <f t="shared" si="342"/>
        <v>589</v>
      </c>
      <c r="DT152" s="93">
        <f t="shared" si="342"/>
        <v>589</v>
      </c>
    </row>
    <row r="153" spans="1:124">
      <c r="A153" s="92"/>
      <c r="B153" s="89"/>
      <c r="C153" s="89"/>
      <c r="D153" s="166"/>
      <c r="E153" s="169"/>
      <c r="F153" s="167"/>
      <c r="G153" s="167"/>
      <c r="H153" s="168"/>
      <c r="I153" s="21"/>
      <c r="J153" s="169"/>
      <c r="K153" s="167"/>
      <c r="L153" s="167"/>
      <c r="M153" s="168"/>
      <c r="N153" s="21"/>
      <c r="O153" s="169"/>
      <c r="P153" s="167"/>
      <c r="Q153" s="167"/>
      <c r="R153" s="168"/>
      <c r="S153" s="21"/>
      <c r="T153" s="169"/>
      <c r="U153" s="167"/>
      <c r="V153" s="167"/>
      <c r="W153" s="168"/>
      <c r="X153" s="21"/>
      <c r="Y153" s="169"/>
      <c r="Z153" s="167"/>
      <c r="AA153" s="167"/>
      <c r="AB153" s="168"/>
      <c r="AC153" s="21"/>
      <c r="AD153" s="169"/>
      <c r="AE153" s="167"/>
      <c r="AF153" s="167"/>
      <c r="AG153" s="168"/>
      <c r="AH153" s="21"/>
      <c r="AI153" s="169"/>
      <c r="AJ153" s="167"/>
      <c r="AK153" s="167"/>
      <c r="AL153" s="168"/>
      <c r="AM153" s="21"/>
      <c r="AN153" s="169"/>
      <c r="AO153" s="167"/>
      <c r="AP153" s="167"/>
      <c r="AQ153" s="168"/>
      <c r="AR153" s="21"/>
      <c r="AS153" s="169"/>
      <c r="AT153" s="167"/>
      <c r="AU153" s="167"/>
      <c r="AV153" s="168"/>
      <c r="AW153" s="21"/>
      <c r="AX153" s="169"/>
      <c r="AY153" s="167"/>
      <c r="AZ153" s="167"/>
      <c r="BA153" s="168"/>
      <c r="BB153" s="21"/>
      <c r="BC153" s="169"/>
      <c r="BD153" s="167"/>
      <c r="BE153" s="167"/>
      <c r="BF153" s="168"/>
      <c r="BG153" s="21"/>
      <c r="BH153" s="169"/>
      <c r="BI153" s="167"/>
      <c r="BJ153" s="167"/>
      <c r="BK153" s="168"/>
      <c r="BL153" s="21"/>
      <c r="BM153" s="169"/>
      <c r="BN153" s="167"/>
      <c r="BO153" s="167"/>
      <c r="BP153" s="168"/>
      <c r="BQ153" s="21"/>
      <c r="CB153" s="103"/>
      <c r="CC153" s="103"/>
      <c r="CD153" s="103"/>
      <c r="CE153" s="96"/>
      <c r="CF153" s="103"/>
      <c r="CG153" s="103"/>
      <c r="CH153" s="103"/>
      <c r="CI153" s="103"/>
      <c r="CJ153" s="96"/>
      <c r="CK153" s="103"/>
      <c r="CL153" s="103"/>
      <c r="CM153" s="103"/>
    </row>
    <row r="154" spans="1:124">
      <c r="A154" s="92"/>
      <c r="B154" s="89"/>
      <c r="C154" s="89"/>
      <c r="D154" s="166"/>
      <c r="E154" s="169"/>
      <c r="F154" s="167"/>
      <c r="G154" s="167"/>
      <c r="H154" s="168"/>
      <c r="I154" s="21"/>
      <c r="J154" s="169"/>
      <c r="K154" s="167"/>
      <c r="L154" s="167"/>
      <c r="M154" s="168"/>
      <c r="N154" s="21"/>
      <c r="O154" s="169"/>
      <c r="P154" s="167"/>
      <c r="Q154" s="167"/>
      <c r="R154" s="168"/>
      <c r="S154" s="21"/>
      <c r="T154" s="169"/>
      <c r="U154" s="167"/>
      <c r="V154" s="167"/>
      <c r="W154" s="168"/>
      <c r="X154" s="21"/>
      <c r="Y154" s="169"/>
      <c r="Z154" s="167"/>
      <c r="AA154" s="167"/>
      <c r="AB154" s="168"/>
      <c r="AC154" s="21"/>
      <c r="AD154" s="169"/>
      <c r="AE154" s="167"/>
      <c r="AF154" s="167"/>
      <c r="AG154" s="168"/>
      <c r="AH154" s="21"/>
      <c r="AI154" s="169"/>
      <c r="AJ154" s="167"/>
      <c r="AK154" s="167"/>
      <c r="AL154" s="168"/>
      <c r="AM154" s="21"/>
      <c r="AN154" s="169"/>
      <c r="AO154" s="167"/>
      <c r="AP154" s="167"/>
      <c r="AQ154" s="168"/>
      <c r="AR154" s="21"/>
      <c r="AS154" s="169"/>
      <c r="AT154" s="167"/>
      <c r="AU154" s="167"/>
      <c r="AV154" s="168"/>
      <c r="AW154" s="21"/>
      <c r="AX154" s="169"/>
      <c r="AY154" s="167"/>
      <c r="AZ154" s="167"/>
      <c r="BA154" s="168"/>
      <c r="BB154" s="21"/>
      <c r="BC154" s="169"/>
      <c r="BD154" s="167"/>
      <c r="BE154" s="167"/>
      <c r="BF154" s="168"/>
      <c r="BG154" s="21"/>
      <c r="BH154" s="169"/>
      <c r="BI154" s="167"/>
      <c r="BJ154" s="167"/>
      <c r="BK154" s="168"/>
      <c r="BL154" s="21"/>
      <c r="BM154" s="169"/>
      <c r="BN154" s="167"/>
      <c r="BO154" s="167"/>
      <c r="BP154" s="168"/>
      <c r="BQ154" s="21"/>
      <c r="CB154" s="103"/>
      <c r="CC154" s="103"/>
      <c r="CD154" s="103"/>
      <c r="CE154" s="96"/>
      <c r="CF154" s="103"/>
      <c r="CG154" s="103"/>
      <c r="CH154" s="103"/>
      <c r="CI154" s="103"/>
      <c r="CJ154" s="96"/>
      <c r="CK154" s="103"/>
      <c r="CL154" s="103"/>
      <c r="CM154" s="103"/>
      <c r="CN154" s="81"/>
      <c r="CP154" s="81"/>
      <c r="CS154" s="81"/>
    </row>
    <row r="155" spans="1:124">
      <c r="A155" s="92"/>
      <c r="B155" s="126" t="s">
        <v>234</v>
      </c>
      <c r="C155" s="127"/>
      <c r="D155" s="170"/>
      <c r="E155" s="156"/>
      <c r="F155" s="82"/>
      <c r="G155" s="82"/>
      <c r="H155" s="157"/>
      <c r="I155" s="166"/>
      <c r="J155" s="156"/>
      <c r="K155" s="82"/>
      <c r="L155" s="82"/>
      <c r="M155" s="157"/>
      <c r="N155" s="166"/>
      <c r="O155" s="156"/>
      <c r="P155" s="82"/>
      <c r="Q155" s="82"/>
      <c r="R155" s="157"/>
      <c r="S155" s="166"/>
      <c r="T155" s="156"/>
      <c r="U155" s="82"/>
      <c r="V155" s="82"/>
      <c r="W155" s="157"/>
      <c r="X155" s="166"/>
      <c r="Y155" s="156"/>
      <c r="Z155" s="82"/>
      <c r="AA155" s="82"/>
      <c r="AB155" s="157"/>
      <c r="AC155" s="166"/>
      <c r="AD155" s="156"/>
      <c r="AE155" s="82"/>
      <c r="AF155" s="82"/>
      <c r="AG155" s="157"/>
      <c r="AH155" s="166"/>
      <c r="AI155" s="156"/>
      <c r="AJ155" s="82"/>
      <c r="AK155" s="82"/>
      <c r="AL155" s="157"/>
      <c r="AM155" s="166"/>
      <c r="AN155" s="156"/>
      <c r="AO155" s="82"/>
      <c r="AP155" s="82"/>
      <c r="AQ155" s="157"/>
      <c r="AR155" s="166"/>
      <c r="AS155" s="156"/>
      <c r="AT155" s="82"/>
      <c r="AU155" s="82"/>
      <c r="AV155" s="157"/>
      <c r="AW155" s="166"/>
      <c r="AX155" s="156"/>
      <c r="AY155" s="82"/>
      <c r="AZ155" s="82"/>
      <c r="BA155" s="157"/>
      <c r="BB155" s="166"/>
      <c r="BC155" s="156"/>
      <c r="BD155" s="82"/>
      <c r="BE155" s="82"/>
      <c r="BF155" s="157"/>
      <c r="BG155" s="166"/>
      <c r="BH155" s="156"/>
      <c r="BI155" s="82"/>
      <c r="BJ155" s="82"/>
      <c r="BK155" s="157"/>
      <c r="BL155" s="166"/>
      <c r="BM155" s="156"/>
      <c r="BN155" s="82"/>
      <c r="BO155" s="82"/>
      <c r="BP155" s="157"/>
      <c r="BQ155" s="16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Q155" s="81"/>
    </row>
    <row r="156" spans="1:124">
      <c r="A156" s="92"/>
      <c r="B156" s="89"/>
      <c r="C156" s="89"/>
      <c r="D156" s="166"/>
      <c r="E156" s="158"/>
      <c r="F156" s="167"/>
      <c r="G156" s="167"/>
      <c r="H156" s="168"/>
      <c r="I156" s="21"/>
      <c r="J156" s="169"/>
      <c r="K156" s="167"/>
      <c r="L156" s="167"/>
      <c r="M156" s="168"/>
      <c r="N156" s="21"/>
      <c r="O156" s="169"/>
      <c r="P156" s="167"/>
      <c r="Q156" s="167"/>
      <c r="R156" s="168"/>
      <c r="S156" s="21"/>
      <c r="T156" s="169"/>
      <c r="U156" s="167"/>
      <c r="V156" s="167"/>
      <c r="W156" s="168"/>
      <c r="X156" s="21"/>
      <c r="Y156" s="169"/>
      <c r="Z156" s="167"/>
      <c r="AA156" s="167"/>
      <c r="AB156" s="168"/>
      <c r="AC156" s="21"/>
      <c r="AD156" s="169"/>
      <c r="AE156" s="167"/>
      <c r="AF156" s="167"/>
      <c r="AG156" s="168"/>
      <c r="AH156" s="21"/>
      <c r="AI156" s="169"/>
      <c r="AJ156" s="167"/>
      <c r="AK156" s="167"/>
      <c r="AL156" s="168"/>
      <c r="AM156" s="21"/>
      <c r="AN156" s="169"/>
      <c r="AO156" s="167"/>
      <c r="AP156" s="167"/>
      <c r="AQ156" s="168"/>
      <c r="AR156" s="21"/>
      <c r="AS156" s="169"/>
      <c r="AT156" s="167"/>
      <c r="AU156" s="167"/>
      <c r="AV156" s="168"/>
      <c r="AW156" s="21"/>
      <c r="AX156" s="169"/>
      <c r="AY156" s="167"/>
      <c r="AZ156" s="167"/>
      <c r="BA156" s="168"/>
      <c r="BB156" s="21"/>
      <c r="BC156" s="169"/>
      <c r="BD156" s="167"/>
      <c r="BE156" s="167"/>
      <c r="BF156" s="168"/>
      <c r="BG156" s="21"/>
      <c r="BH156" s="169"/>
      <c r="BI156" s="167"/>
      <c r="BJ156" s="167"/>
      <c r="BK156" s="168"/>
      <c r="BL156" s="21"/>
      <c r="BM156" s="169"/>
      <c r="BN156" s="167"/>
      <c r="BO156" s="167"/>
      <c r="BP156" s="168"/>
      <c r="BQ156" s="21"/>
      <c r="CB156" s="93"/>
      <c r="CC156" s="93"/>
      <c r="CD156" s="93"/>
      <c r="CE156" s="93"/>
      <c r="CF156" s="93"/>
      <c r="CG156" s="93"/>
      <c r="CH156" s="93"/>
      <c r="CI156" s="93"/>
      <c r="CJ156" s="93"/>
      <c r="CK156" s="93"/>
      <c r="CL156" s="93"/>
      <c r="CM156" s="93"/>
    </row>
    <row r="157" spans="1:124">
      <c r="A157" s="92"/>
      <c r="B157" s="89"/>
      <c r="C157" s="87" t="s">
        <v>926</v>
      </c>
      <c r="D157" s="166"/>
      <c r="E157" s="301">
        <v>399</v>
      </c>
      <c r="F157" s="302">
        <v>900</v>
      </c>
      <c r="G157" s="302">
        <v>838</v>
      </c>
      <c r="H157" s="303">
        <v>874</v>
      </c>
      <c r="I157" s="285">
        <f>H157</f>
        <v>874</v>
      </c>
      <c r="J157" s="301">
        <v>310</v>
      </c>
      <c r="K157" s="302">
        <v>281</v>
      </c>
      <c r="L157" s="302">
        <v>632</v>
      </c>
      <c r="M157" s="303">
        <v>1019</v>
      </c>
      <c r="N157" s="285">
        <f>M157</f>
        <v>1019</v>
      </c>
      <c r="O157" s="301">
        <v>1101</v>
      </c>
      <c r="P157" s="302">
        <v>476</v>
      </c>
      <c r="Q157" s="304">
        <v>291</v>
      </c>
      <c r="R157" s="303">
        <v>202</v>
      </c>
      <c r="S157" s="285">
        <f>R157</f>
        <v>202</v>
      </c>
      <c r="T157" s="301">
        <f>T152</f>
        <v>74</v>
      </c>
      <c r="U157" s="302">
        <v>94</v>
      </c>
      <c r="V157" s="302">
        <v>150</v>
      </c>
      <c r="W157" s="303">
        <v>172</v>
      </c>
      <c r="X157" s="285">
        <f>W157</f>
        <v>172</v>
      </c>
      <c r="Y157" s="301">
        <v>67</v>
      </c>
      <c r="Z157" s="302">
        <v>71</v>
      </c>
      <c r="AA157" s="302">
        <v>222</v>
      </c>
      <c r="AB157" s="303">
        <v>218</v>
      </c>
      <c r="AC157" s="285">
        <f>AB157</f>
        <v>218</v>
      </c>
      <c r="AD157" s="301">
        <v>109</v>
      </c>
      <c r="AE157" s="302">
        <v>76</v>
      </c>
      <c r="AF157" s="302">
        <v>109</v>
      </c>
      <c r="AG157" s="303">
        <v>85</v>
      </c>
      <c r="AH157" s="285">
        <f>AG157</f>
        <v>85</v>
      </c>
      <c r="AI157" s="301">
        <v>90</v>
      </c>
      <c r="AJ157" s="302">
        <v>94</v>
      </c>
      <c r="AK157" s="302">
        <v>86</v>
      </c>
      <c r="AL157" s="303">
        <v>131</v>
      </c>
      <c r="AM157" s="285">
        <f>AL157</f>
        <v>131</v>
      </c>
      <c r="AN157" s="301">
        <v>146</v>
      </c>
      <c r="AO157" s="302">
        <v>199</v>
      </c>
      <c r="AP157" s="302">
        <v>551</v>
      </c>
      <c r="AQ157" s="303">
        <v>199</v>
      </c>
      <c r="AR157" s="285">
        <f>AQ157</f>
        <v>199</v>
      </c>
      <c r="AS157" s="301">
        <v>164</v>
      </c>
      <c r="AT157" s="302">
        <v>114</v>
      </c>
      <c r="AU157" s="302">
        <v>399</v>
      </c>
      <c r="AV157" s="303">
        <v>589</v>
      </c>
      <c r="AW157" s="285">
        <f>AV157</f>
        <v>589</v>
      </c>
      <c r="AX157" s="114">
        <f>AX152</f>
        <v>0</v>
      </c>
      <c r="AY157" s="115">
        <f>AY152</f>
        <v>0</v>
      </c>
      <c r="AZ157" s="115">
        <f>AZ152</f>
        <v>0</v>
      </c>
      <c r="BA157" s="105">
        <f>BA152</f>
        <v>0</v>
      </c>
      <c r="BB157" s="285">
        <f>BA157</f>
        <v>0</v>
      </c>
      <c r="BC157" s="114">
        <f>BC152</f>
        <v>0</v>
      </c>
      <c r="BD157" s="115">
        <f>BD152</f>
        <v>0</v>
      </c>
      <c r="BE157" s="115">
        <f>BE152</f>
        <v>0</v>
      </c>
      <c r="BF157" s="105">
        <f>BF152</f>
        <v>0</v>
      </c>
      <c r="BG157" s="285">
        <f>BF157</f>
        <v>0</v>
      </c>
      <c r="BH157" s="114">
        <f>BH152</f>
        <v>0</v>
      </c>
      <c r="BI157" s="115">
        <f>BI152</f>
        <v>0</v>
      </c>
      <c r="BJ157" s="115">
        <f>BJ152</f>
        <v>0</v>
      </c>
      <c r="BK157" s="105">
        <f>BK152</f>
        <v>0</v>
      </c>
      <c r="BL157" s="285">
        <f>BK157</f>
        <v>0</v>
      </c>
      <c r="BM157" s="114">
        <f>BM152</f>
        <v>0</v>
      </c>
      <c r="BN157" s="115">
        <f>BN152</f>
        <v>0</v>
      </c>
      <c r="BO157" s="115">
        <f>BO152</f>
        <v>0</v>
      </c>
      <c r="BP157" s="105">
        <f>BP152</f>
        <v>0</v>
      </c>
      <c r="BQ157" s="285">
        <f>BP157</f>
        <v>0</v>
      </c>
    </row>
    <row r="158" spans="1:124">
      <c r="A158" s="92"/>
      <c r="B158" s="89"/>
      <c r="C158" s="89" t="s">
        <v>235</v>
      </c>
      <c r="D158" s="166"/>
      <c r="E158" s="301">
        <f>1266+159</f>
        <v>1425</v>
      </c>
      <c r="F158" s="302">
        <f>1313+127</f>
        <v>1440</v>
      </c>
      <c r="G158" s="302">
        <f>1260+132</f>
        <v>1392</v>
      </c>
      <c r="H158" s="303">
        <f>1244+153</f>
        <v>1397</v>
      </c>
      <c r="I158" s="285">
        <f>H158</f>
        <v>1397</v>
      </c>
      <c r="J158" s="301">
        <f>1255+140</f>
        <v>1395</v>
      </c>
      <c r="K158" s="302">
        <f>1409+146</f>
        <v>1555</v>
      </c>
      <c r="L158" s="302">
        <f>1414+150</f>
        <v>1564</v>
      </c>
      <c r="M158" s="303">
        <f>1392+176</f>
        <v>1568</v>
      </c>
      <c r="N158" s="285">
        <f>M158</f>
        <v>1568</v>
      </c>
      <c r="O158" s="301">
        <f>1636+229</f>
        <v>1865</v>
      </c>
      <c r="P158" s="302">
        <f>1578+256</f>
        <v>1834</v>
      </c>
      <c r="Q158" s="304">
        <f>1633+247</f>
        <v>1880</v>
      </c>
      <c r="R158" s="303">
        <f>1525+269</f>
        <v>1794</v>
      </c>
      <c r="S158" s="285">
        <f>R158</f>
        <v>1794</v>
      </c>
      <c r="T158" s="301">
        <f>1449+286</f>
        <v>1735</v>
      </c>
      <c r="U158" s="302">
        <f>1635+263</f>
        <v>1898</v>
      </c>
      <c r="V158" s="302">
        <f>1604+227</f>
        <v>1831</v>
      </c>
      <c r="W158" s="303">
        <f>1614+315</f>
        <v>1929</v>
      </c>
      <c r="X158" s="285">
        <f>W158</f>
        <v>1929</v>
      </c>
      <c r="Y158" s="301">
        <f>1631+227</f>
        <v>1858</v>
      </c>
      <c r="Z158" s="302">
        <f>1646+277</f>
        <v>1923</v>
      </c>
      <c r="AA158" s="302">
        <f>1579+231</f>
        <v>1810</v>
      </c>
      <c r="AB158" s="303">
        <f>1720+198</f>
        <v>1918</v>
      </c>
      <c r="AC158" s="285">
        <f>AB158</f>
        <v>1918</v>
      </c>
      <c r="AD158" s="301">
        <f>1869+218</f>
        <v>2087</v>
      </c>
      <c r="AE158" s="302">
        <f>1731+231</f>
        <v>1962</v>
      </c>
      <c r="AF158" s="302">
        <f>1605+214</f>
        <v>1819</v>
      </c>
      <c r="AG158" s="303">
        <f>1554+225</f>
        <v>1779</v>
      </c>
      <c r="AH158" s="285">
        <f>AG158</f>
        <v>1779</v>
      </c>
      <c r="AI158" s="301">
        <f>1675+201</f>
        <v>1876</v>
      </c>
      <c r="AJ158" s="302">
        <f>1590+181</f>
        <v>1771</v>
      </c>
      <c r="AK158" s="302">
        <f>1592+180</f>
        <v>1772</v>
      </c>
      <c r="AL158" s="303">
        <f>1415+180</f>
        <v>1595</v>
      </c>
      <c r="AM158" s="285">
        <f>AL158</f>
        <v>1595</v>
      </c>
      <c r="AN158" s="301">
        <f>1432+162</f>
        <v>1594</v>
      </c>
      <c r="AO158" s="302">
        <f>1341+153</f>
        <v>1494</v>
      </c>
      <c r="AP158" s="302">
        <f>1470+159</f>
        <v>1629</v>
      </c>
      <c r="AQ158" s="303">
        <f>1440+175</f>
        <v>1615</v>
      </c>
      <c r="AR158" s="285">
        <f>AQ158</f>
        <v>1615</v>
      </c>
      <c r="AS158" s="301">
        <f>1396+155</f>
        <v>1551</v>
      </c>
      <c r="AT158" s="302">
        <f>1375+161</f>
        <v>1536</v>
      </c>
      <c r="AU158" s="302">
        <f>1370+172</f>
        <v>1542</v>
      </c>
      <c r="AV158" s="303">
        <f>1463+191</f>
        <v>1654</v>
      </c>
      <c r="AW158" s="285">
        <f>AV158</f>
        <v>1654</v>
      </c>
      <c r="AX158" s="114">
        <f t="shared" ref="AX158:BA160" si="343">AW158</f>
        <v>1654</v>
      </c>
      <c r="AY158" s="115">
        <f t="shared" si="343"/>
        <v>1654</v>
      </c>
      <c r="AZ158" s="115">
        <f t="shared" si="343"/>
        <v>1654</v>
      </c>
      <c r="BA158" s="105">
        <f t="shared" si="343"/>
        <v>1654</v>
      </c>
      <c r="BB158" s="285">
        <f>BA158</f>
        <v>1654</v>
      </c>
      <c r="BC158" s="114">
        <f t="shared" ref="BC158:BF160" si="344">BB158</f>
        <v>1654</v>
      </c>
      <c r="BD158" s="115">
        <f t="shared" si="344"/>
        <v>1654</v>
      </c>
      <c r="BE158" s="115">
        <f t="shared" si="344"/>
        <v>1654</v>
      </c>
      <c r="BF158" s="105">
        <f t="shared" si="344"/>
        <v>1654</v>
      </c>
      <c r="BG158" s="285">
        <f>BF158</f>
        <v>1654</v>
      </c>
      <c r="BH158" s="114">
        <f t="shared" ref="BH158:BK160" si="345">BG158</f>
        <v>1654</v>
      </c>
      <c r="BI158" s="115">
        <f t="shared" si="345"/>
        <v>1654</v>
      </c>
      <c r="BJ158" s="115">
        <f t="shared" si="345"/>
        <v>1654</v>
      </c>
      <c r="BK158" s="105">
        <f t="shared" si="345"/>
        <v>1654</v>
      </c>
      <c r="BL158" s="285">
        <f>BK158</f>
        <v>1654</v>
      </c>
      <c r="BM158" s="114">
        <f t="shared" ref="BM158:BM160" si="346">BL158</f>
        <v>1654</v>
      </c>
      <c r="BN158" s="115">
        <f t="shared" ref="BN158:BN160" si="347">BM158</f>
        <v>1654</v>
      </c>
      <c r="BO158" s="115">
        <f t="shared" ref="BO158:BO160" si="348">BN158</f>
        <v>1654</v>
      </c>
      <c r="BP158" s="105">
        <f t="shared" ref="BP158:BP160" si="349">BO158</f>
        <v>1654</v>
      </c>
      <c r="BQ158" s="285">
        <f>BP158</f>
        <v>1654</v>
      </c>
    </row>
    <row r="159" spans="1:124">
      <c r="A159" s="92"/>
      <c r="B159" s="89"/>
      <c r="C159" s="89" t="s">
        <v>927</v>
      </c>
      <c r="D159" s="166"/>
      <c r="E159" s="301">
        <v>657</v>
      </c>
      <c r="F159" s="302">
        <v>644</v>
      </c>
      <c r="G159" s="302">
        <v>621</v>
      </c>
      <c r="H159" s="303">
        <v>647</v>
      </c>
      <c r="I159" s="285">
        <f>H159</f>
        <v>647</v>
      </c>
      <c r="J159" s="301">
        <v>699</v>
      </c>
      <c r="K159" s="302">
        <v>675</v>
      </c>
      <c r="L159" s="302">
        <v>652</v>
      </c>
      <c r="M159" s="303">
        <v>638</v>
      </c>
      <c r="N159" s="285">
        <f>M159</f>
        <v>638</v>
      </c>
      <c r="O159" s="301">
        <v>852</v>
      </c>
      <c r="P159" s="302">
        <v>866</v>
      </c>
      <c r="Q159" s="304">
        <v>822</v>
      </c>
      <c r="R159" s="303">
        <v>811</v>
      </c>
      <c r="S159" s="285">
        <f>R159</f>
        <v>811</v>
      </c>
      <c r="T159" s="301">
        <v>927</v>
      </c>
      <c r="U159" s="302">
        <v>921</v>
      </c>
      <c r="V159" s="302">
        <v>875</v>
      </c>
      <c r="W159" s="303">
        <v>861</v>
      </c>
      <c r="X159" s="285">
        <f>W159</f>
        <v>861</v>
      </c>
      <c r="Y159" s="301">
        <v>835</v>
      </c>
      <c r="Z159" s="302">
        <v>806</v>
      </c>
      <c r="AA159" s="302">
        <v>731</v>
      </c>
      <c r="AB159" s="303">
        <v>752</v>
      </c>
      <c r="AC159" s="285">
        <f>AB159</f>
        <v>752</v>
      </c>
      <c r="AD159" s="301">
        <v>740</v>
      </c>
      <c r="AE159" s="302">
        <v>802</v>
      </c>
      <c r="AF159" s="302">
        <v>771</v>
      </c>
      <c r="AG159" s="303">
        <v>817</v>
      </c>
      <c r="AH159" s="285">
        <f>AG159</f>
        <v>817</v>
      </c>
      <c r="AI159" s="301">
        <v>762</v>
      </c>
      <c r="AJ159" s="302">
        <v>792</v>
      </c>
      <c r="AK159" s="302">
        <v>738</v>
      </c>
      <c r="AL159" s="303">
        <v>785</v>
      </c>
      <c r="AM159" s="285">
        <f>AL159</f>
        <v>785</v>
      </c>
      <c r="AN159" s="301">
        <v>781</v>
      </c>
      <c r="AO159" s="302">
        <v>759</v>
      </c>
      <c r="AP159" s="302">
        <v>699</v>
      </c>
      <c r="AQ159" s="303">
        <v>564</v>
      </c>
      <c r="AR159" s="285">
        <f>AQ159</f>
        <v>564</v>
      </c>
      <c r="AS159" s="301">
        <v>531</v>
      </c>
      <c r="AT159" s="302">
        <v>553</v>
      </c>
      <c r="AU159" s="302">
        <v>543</v>
      </c>
      <c r="AV159" s="303">
        <v>463</v>
      </c>
      <c r="AW159" s="285">
        <f>AV159</f>
        <v>463</v>
      </c>
      <c r="AX159" s="114">
        <f t="shared" si="343"/>
        <v>463</v>
      </c>
      <c r="AY159" s="115">
        <f t="shared" si="343"/>
        <v>463</v>
      </c>
      <c r="AZ159" s="115">
        <f t="shared" si="343"/>
        <v>463</v>
      </c>
      <c r="BA159" s="105">
        <f t="shared" si="343"/>
        <v>463</v>
      </c>
      <c r="BB159" s="285">
        <f>BA159</f>
        <v>463</v>
      </c>
      <c r="BC159" s="114">
        <f t="shared" si="344"/>
        <v>463</v>
      </c>
      <c r="BD159" s="115">
        <f t="shared" si="344"/>
        <v>463</v>
      </c>
      <c r="BE159" s="115">
        <f t="shared" si="344"/>
        <v>463</v>
      </c>
      <c r="BF159" s="105">
        <f t="shared" si="344"/>
        <v>463</v>
      </c>
      <c r="BG159" s="285">
        <f>BF159</f>
        <v>463</v>
      </c>
      <c r="BH159" s="114">
        <f t="shared" si="345"/>
        <v>463</v>
      </c>
      <c r="BI159" s="115">
        <f t="shared" si="345"/>
        <v>463</v>
      </c>
      <c r="BJ159" s="115">
        <f t="shared" si="345"/>
        <v>463</v>
      </c>
      <c r="BK159" s="105">
        <f t="shared" si="345"/>
        <v>463</v>
      </c>
      <c r="BL159" s="285">
        <f>BK159</f>
        <v>463</v>
      </c>
      <c r="BM159" s="114">
        <f t="shared" si="346"/>
        <v>463</v>
      </c>
      <c r="BN159" s="115">
        <f t="shared" si="347"/>
        <v>463</v>
      </c>
      <c r="BO159" s="115">
        <f t="shared" si="348"/>
        <v>463</v>
      </c>
      <c r="BP159" s="105">
        <f t="shared" si="349"/>
        <v>463</v>
      </c>
      <c r="BQ159" s="285">
        <f>BP159</f>
        <v>463</v>
      </c>
    </row>
    <row r="160" spans="1:124">
      <c r="A160" s="92"/>
      <c r="B160" s="89"/>
      <c r="C160" s="89" t="s">
        <v>236</v>
      </c>
      <c r="D160" s="166"/>
      <c r="E160" s="301">
        <f>318+205</f>
        <v>523</v>
      </c>
      <c r="F160" s="302">
        <f>457+209</f>
        <v>666</v>
      </c>
      <c r="G160" s="302">
        <f>585+334</f>
        <v>919</v>
      </c>
      <c r="H160" s="303">
        <f>248+154</f>
        <v>402</v>
      </c>
      <c r="I160" s="285">
        <f>H160</f>
        <v>402</v>
      </c>
      <c r="J160" s="301">
        <f>236+214</f>
        <v>450</v>
      </c>
      <c r="K160" s="302">
        <f>397+206</f>
        <v>603</v>
      </c>
      <c r="L160" s="302">
        <f>291+252</f>
        <v>543</v>
      </c>
      <c r="M160" s="303">
        <f>199+274</f>
        <v>473</v>
      </c>
      <c r="N160" s="285">
        <f>M160</f>
        <v>473</v>
      </c>
      <c r="O160" s="301">
        <f>241+377+210</f>
        <v>828</v>
      </c>
      <c r="P160" s="302">
        <f>474+265+203</f>
        <v>942</v>
      </c>
      <c r="Q160" s="304">
        <f>214+195+189</f>
        <v>598</v>
      </c>
      <c r="R160" s="303">
        <f>191+235+122</f>
        <v>548</v>
      </c>
      <c r="S160" s="285">
        <f>R160</f>
        <v>548</v>
      </c>
      <c r="T160" s="301">
        <f>213+346+182</f>
        <v>741</v>
      </c>
      <c r="U160" s="302">
        <f>248+276+171</f>
        <v>695</v>
      </c>
      <c r="V160" s="302">
        <f>227+212+224+190</f>
        <v>853</v>
      </c>
      <c r="W160" s="303">
        <f>119+192+319+176</f>
        <v>806</v>
      </c>
      <c r="X160" s="285">
        <f>W160</f>
        <v>806</v>
      </c>
      <c r="Y160" s="301">
        <f>252+183+90+214</f>
        <v>739</v>
      </c>
      <c r="Z160" s="302">
        <f>288+173+51+248</f>
        <v>760</v>
      </c>
      <c r="AA160" s="302">
        <f>104+140+290+262</f>
        <v>796</v>
      </c>
      <c r="AB160" s="303">
        <f>226+166+366+241</f>
        <v>999</v>
      </c>
      <c r="AC160" s="285">
        <f>AB160</f>
        <v>999</v>
      </c>
      <c r="AD160" s="301">
        <f>240+247+375+580+199</f>
        <v>1641</v>
      </c>
      <c r="AE160" s="302">
        <f>246+249+377+266+205</f>
        <v>1343</v>
      </c>
      <c r="AF160" s="302">
        <f>185+180+327+221+173</f>
        <v>1086</v>
      </c>
      <c r="AG160" s="303">
        <f>128+159+518+230+160</f>
        <v>1195</v>
      </c>
      <c r="AH160" s="285">
        <f>AG160</f>
        <v>1195</v>
      </c>
      <c r="AI160" s="301">
        <f>225+133+548+220+157</f>
        <v>1283</v>
      </c>
      <c r="AJ160" s="302">
        <f>235+171+743+141+166</f>
        <v>1456</v>
      </c>
      <c r="AK160" s="302">
        <f>148+156+639+123+171</f>
        <v>1237</v>
      </c>
      <c r="AL160" s="303">
        <f>135+157+70+167</f>
        <v>529</v>
      </c>
      <c r="AM160" s="285">
        <f>AL160</f>
        <v>529</v>
      </c>
      <c r="AN160" s="301">
        <f>267+207+80+155</f>
        <v>709</v>
      </c>
      <c r="AO160" s="302">
        <f>280+161+20+163</f>
        <v>624</v>
      </c>
      <c r="AP160" s="302">
        <f>204+152+89+156</f>
        <v>601</v>
      </c>
      <c r="AQ160" s="303">
        <f>98+140+176+158</f>
        <v>572</v>
      </c>
      <c r="AR160" s="285">
        <f>AQ160</f>
        <v>572</v>
      </c>
      <c r="AS160" s="301">
        <f>202+43+122+147</f>
        <v>514</v>
      </c>
      <c r="AT160" s="302">
        <f>227+45+129+151</f>
        <v>552</v>
      </c>
      <c r="AU160" s="302">
        <f>123+35+146+143</f>
        <v>447</v>
      </c>
      <c r="AV160" s="303">
        <f>37+146+219</f>
        <v>402</v>
      </c>
      <c r="AW160" s="285">
        <f>AV160</f>
        <v>402</v>
      </c>
      <c r="AX160" s="114">
        <f t="shared" si="343"/>
        <v>402</v>
      </c>
      <c r="AY160" s="115">
        <f t="shared" si="343"/>
        <v>402</v>
      </c>
      <c r="AZ160" s="115">
        <f t="shared" si="343"/>
        <v>402</v>
      </c>
      <c r="BA160" s="105">
        <f t="shared" si="343"/>
        <v>402</v>
      </c>
      <c r="BB160" s="285">
        <f>BA160</f>
        <v>402</v>
      </c>
      <c r="BC160" s="114">
        <f t="shared" si="344"/>
        <v>402</v>
      </c>
      <c r="BD160" s="115">
        <f t="shared" si="344"/>
        <v>402</v>
      </c>
      <c r="BE160" s="115">
        <f t="shared" si="344"/>
        <v>402</v>
      </c>
      <c r="BF160" s="105">
        <f t="shared" si="344"/>
        <v>402</v>
      </c>
      <c r="BG160" s="285">
        <f>BF160</f>
        <v>402</v>
      </c>
      <c r="BH160" s="114">
        <f t="shared" si="345"/>
        <v>402</v>
      </c>
      <c r="BI160" s="115">
        <f t="shared" si="345"/>
        <v>402</v>
      </c>
      <c r="BJ160" s="115">
        <f t="shared" si="345"/>
        <v>402</v>
      </c>
      <c r="BK160" s="105">
        <f t="shared" si="345"/>
        <v>402</v>
      </c>
      <c r="BL160" s="285">
        <f>BK160</f>
        <v>402</v>
      </c>
      <c r="BM160" s="114">
        <f t="shared" si="346"/>
        <v>402</v>
      </c>
      <c r="BN160" s="115">
        <f t="shared" si="347"/>
        <v>402</v>
      </c>
      <c r="BO160" s="115">
        <f t="shared" si="348"/>
        <v>402</v>
      </c>
      <c r="BP160" s="105">
        <f t="shared" si="349"/>
        <v>402</v>
      </c>
      <c r="BQ160" s="285">
        <f>BP160</f>
        <v>402</v>
      </c>
    </row>
    <row r="161" spans="1:69">
      <c r="A161" s="92"/>
      <c r="B161" s="89"/>
      <c r="C161" s="88" t="s">
        <v>237</v>
      </c>
      <c r="D161" s="166"/>
      <c r="E161" s="305">
        <f t="shared" ref="E161:P161" si="350">SUM(E157:E160)</f>
        <v>3004</v>
      </c>
      <c r="F161" s="306">
        <f t="shared" si="350"/>
        <v>3650</v>
      </c>
      <c r="G161" s="306">
        <f t="shared" si="350"/>
        <v>3770</v>
      </c>
      <c r="H161" s="307">
        <f t="shared" si="350"/>
        <v>3320</v>
      </c>
      <c r="I161" s="308">
        <f t="shared" si="350"/>
        <v>3320</v>
      </c>
      <c r="J161" s="305">
        <f t="shared" si="350"/>
        <v>2854</v>
      </c>
      <c r="K161" s="306">
        <f t="shared" si="350"/>
        <v>3114</v>
      </c>
      <c r="L161" s="306">
        <f t="shared" si="350"/>
        <v>3391</v>
      </c>
      <c r="M161" s="307">
        <f t="shared" si="350"/>
        <v>3698</v>
      </c>
      <c r="N161" s="308">
        <f t="shared" si="350"/>
        <v>3698</v>
      </c>
      <c r="O161" s="305">
        <f t="shared" si="350"/>
        <v>4646</v>
      </c>
      <c r="P161" s="306">
        <f t="shared" si="350"/>
        <v>4118</v>
      </c>
      <c r="Q161" s="306">
        <f t="shared" ref="Q161:AR161" si="351">SUM(Q157:Q160)</f>
        <v>3591</v>
      </c>
      <c r="R161" s="307">
        <f t="shared" si="351"/>
        <v>3355</v>
      </c>
      <c r="S161" s="308">
        <f t="shared" si="351"/>
        <v>3355</v>
      </c>
      <c r="T161" s="305">
        <f t="shared" si="351"/>
        <v>3477</v>
      </c>
      <c r="U161" s="306">
        <f t="shared" si="351"/>
        <v>3608</v>
      </c>
      <c r="V161" s="306">
        <f t="shared" si="351"/>
        <v>3709</v>
      </c>
      <c r="W161" s="307">
        <f t="shared" si="351"/>
        <v>3768</v>
      </c>
      <c r="X161" s="308">
        <f t="shared" si="351"/>
        <v>3768</v>
      </c>
      <c r="Y161" s="305">
        <f t="shared" si="351"/>
        <v>3499</v>
      </c>
      <c r="Z161" s="306">
        <f t="shared" si="351"/>
        <v>3560</v>
      </c>
      <c r="AA161" s="306">
        <f t="shared" si="351"/>
        <v>3559</v>
      </c>
      <c r="AB161" s="307">
        <f t="shared" ref="AB161:AJ161" si="352">SUM(AB157:AB160)</f>
        <v>3887</v>
      </c>
      <c r="AC161" s="308">
        <f t="shared" si="352"/>
        <v>3887</v>
      </c>
      <c r="AD161" s="305">
        <f t="shared" si="352"/>
        <v>4577</v>
      </c>
      <c r="AE161" s="306">
        <f t="shared" si="352"/>
        <v>4183</v>
      </c>
      <c r="AF161" s="306">
        <f t="shared" si="352"/>
        <v>3785</v>
      </c>
      <c r="AG161" s="307">
        <f t="shared" si="352"/>
        <v>3876</v>
      </c>
      <c r="AH161" s="308">
        <f t="shared" si="352"/>
        <v>3876</v>
      </c>
      <c r="AI161" s="305">
        <f t="shared" si="352"/>
        <v>4011</v>
      </c>
      <c r="AJ161" s="306">
        <f t="shared" si="352"/>
        <v>4113</v>
      </c>
      <c r="AK161" s="306">
        <f t="shared" ref="AK161:AM161" si="353">SUM(AK157:AK160)</f>
        <v>3833</v>
      </c>
      <c r="AL161" s="307">
        <f t="shared" si="353"/>
        <v>3040</v>
      </c>
      <c r="AM161" s="308">
        <f t="shared" si="353"/>
        <v>3040</v>
      </c>
      <c r="AN161" s="305">
        <f t="shared" ref="AN161:AO161" si="354">SUM(AN157:AN160)</f>
        <v>3230</v>
      </c>
      <c r="AO161" s="306">
        <f t="shared" si="354"/>
        <v>3076</v>
      </c>
      <c r="AP161" s="306">
        <f t="shared" si="351"/>
        <v>3480</v>
      </c>
      <c r="AQ161" s="307">
        <f t="shared" si="351"/>
        <v>2950</v>
      </c>
      <c r="AR161" s="308">
        <f t="shared" si="351"/>
        <v>2950</v>
      </c>
      <c r="AS161" s="305">
        <f t="shared" ref="AS161:BB161" si="355">SUM(AS157:AS160)</f>
        <v>2760</v>
      </c>
      <c r="AT161" s="306">
        <f t="shared" si="355"/>
        <v>2755</v>
      </c>
      <c r="AU161" s="306">
        <f t="shared" si="355"/>
        <v>2931</v>
      </c>
      <c r="AV161" s="307">
        <f t="shared" si="355"/>
        <v>3108</v>
      </c>
      <c r="AW161" s="308">
        <f t="shared" si="355"/>
        <v>3108</v>
      </c>
      <c r="AX161" s="106">
        <f t="shared" si="355"/>
        <v>2519</v>
      </c>
      <c r="AY161" s="76">
        <f t="shared" si="355"/>
        <v>2519</v>
      </c>
      <c r="AZ161" s="76">
        <f t="shared" si="355"/>
        <v>2519</v>
      </c>
      <c r="BA161" s="107">
        <f t="shared" si="355"/>
        <v>2519</v>
      </c>
      <c r="BB161" s="308">
        <f t="shared" si="355"/>
        <v>2519</v>
      </c>
      <c r="BC161" s="106">
        <f t="shared" ref="BC161:BL161" si="356">SUM(BC157:BC160)</f>
        <v>2519</v>
      </c>
      <c r="BD161" s="76">
        <f t="shared" si="356"/>
        <v>2519</v>
      </c>
      <c r="BE161" s="76">
        <f t="shared" si="356"/>
        <v>2519</v>
      </c>
      <c r="BF161" s="107">
        <f t="shared" si="356"/>
        <v>2519</v>
      </c>
      <c r="BG161" s="308">
        <f t="shared" si="356"/>
        <v>2519</v>
      </c>
      <c r="BH161" s="106">
        <f t="shared" si="356"/>
        <v>2519</v>
      </c>
      <c r="BI161" s="76">
        <f t="shared" si="356"/>
        <v>2519</v>
      </c>
      <c r="BJ161" s="76">
        <f t="shared" si="356"/>
        <v>2519</v>
      </c>
      <c r="BK161" s="107">
        <f t="shared" si="356"/>
        <v>2519</v>
      </c>
      <c r="BL161" s="308">
        <f t="shared" si="356"/>
        <v>2519</v>
      </c>
      <c r="BM161" s="106">
        <f t="shared" ref="BM161:BQ161" si="357">SUM(BM157:BM160)</f>
        <v>2519</v>
      </c>
      <c r="BN161" s="76">
        <f t="shared" si="357"/>
        <v>2519</v>
      </c>
      <c r="BO161" s="76">
        <f t="shared" si="357"/>
        <v>2519</v>
      </c>
      <c r="BP161" s="107">
        <f t="shared" si="357"/>
        <v>2519</v>
      </c>
      <c r="BQ161" s="308">
        <f t="shared" si="357"/>
        <v>2519</v>
      </c>
    </row>
    <row r="162" spans="1:69">
      <c r="A162" s="92"/>
      <c r="B162" s="89"/>
      <c r="C162" s="89"/>
      <c r="D162" s="166"/>
      <c r="E162" s="309"/>
      <c r="F162" s="310"/>
      <c r="G162" s="310"/>
      <c r="H162" s="311"/>
      <c r="I162" s="285"/>
      <c r="J162" s="309"/>
      <c r="K162" s="310"/>
      <c r="L162" s="310"/>
      <c r="M162" s="311"/>
      <c r="N162" s="285"/>
      <c r="O162" s="309"/>
      <c r="P162" s="310"/>
      <c r="Q162" s="312"/>
      <c r="R162" s="311"/>
      <c r="S162" s="285"/>
      <c r="T162" s="309"/>
      <c r="U162" s="310"/>
      <c r="V162" s="310"/>
      <c r="W162" s="311"/>
      <c r="X162" s="285"/>
      <c r="Y162" s="309"/>
      <c r="Z162" s="297"/>
      <c r="AA162" s="297"/>
      <c r="AB162" s="311"/>
      <c r="AC162" s="285"/>
      <c r="AD162" s="309"/>
      <c r="AE162" s="297"/>
      <c r="AF162" s="297"/>
      <c r="AG162" s="311"/>
      <c r="AH162" s="285"/>
      <c r="AI162" s="309"/>
      <c r="AJ162" s="297"/>
      <c r="AK162" s="297"/>
      <c r="AL162" s="311"/>
      <c r="AM162" s="285"/>
      <c r="AN162" s="309"/>
      <c r="AO162" s="297"/>
      <c r="AP162" s="297"/>
      <c r="AQ162" s="311"/>
      <c r="AR162" s="285"/>
      <c r="AS162" s="309"/>
      <c r="AT162" s="310"/>
      <c r="AU162" s="167"/>
      <c r="AV162" s="311"/>
      <c r="AW162" s="285"/>
      <c r="AX162" s="169"/>
      <c r="AY162" s="167"/>
      <c r="AZ162" s="167"/>
      <c r="BA162" s="168"/>
      <c r="BB162" s="285"/>
      <c r="BC162" s="169"/>
      <c r="BD162" s="167"/>
      <c r="BE162" s="167"/>
      <c r="BF162" s="168"/>
      <c r="BG162" s="285"/>
      <c r="BH162" s="169"/>
      <c r="BI162" s="167"/>
      <c r="BJ162" s="167"/>
      <c r="BK162" s="168"/>
      <c r="BL162" s="285"/>
      <c r="BM162" s="169"/>
      <c r="BN162" s="167"/>
      <c r="BO162" s="167"/>
      <c r="BP162" s="168"/>
      <c r="BQ162" s="285"/>
    </row>
    <row r="163" spans="1:69">
      <c r="A163" s="92"/>
      <c r="B163" s="87"/>
      <c r="C163" s="89" t="s">
        <v>928</v>
      </c>
      <c r="D163" s="166"/>
      <c r="E163" s="301">
        <v>26757</v>
      </c>
      <c r="F163" s="302">
        <v>27315</v>
      </c>
      <c r="G163" s="302">
        <v>27526</v>
      </c>
      <c r="H163" s="303">
        <v>27826</v>
      </c>
      <c r="I163" s="285">
        <f>H163</f>
        <v>27826</v>
      </c>
      <c r="J163" s="301">
        <v>27980</v>
      </c>
      <c r="K163" s="302">
        <v>28274</v>
      </c>
      <c r="L163" s="302">
        <v>27590</v>
      </c>
      <c r="M163" s="303">
        <v>30276</v>
      </c>
      <c r="N163" s="285">
        <f>M163</f>
        <v>30276</v>
      </c>
      <c r="O163" s="301">
        <v>38168</v>
      </c>
      <c r="P163" s="302">
        <v>39568</v>
      </c>
      <c r="Q163" s="289">
        <v>39350</v>
      </c>
      <c r="R163" s="303">
        <v>40122</v>
      </c>
      <c r="S163" s="285">
        <f>R163</f>
        <v>40122</v>
      </c>
      <c r="T163" s="301">
        <v>40587</v>
      </c>
      <c r="U163" s="302">
        <v>41167</v>
      </c>
      <c r="V163" s="302">
        <v>41756</v>
      </c>
      <c r="W163" s="303">
        <v>43210</v>
      </c>
      <c r="X163" s="285">
        <f>W163</f>
        <v>43210</v>
      </c>
      <c r="Y163" s="301">
        <v>43748</v>
      </c>
      <c r="Z163" s="302">
        <v>43888</v>
      </c>
      <c r="AA163" s="302">
        <v>44089</v>
      </c>
      <c r="AB163" s="303">
        <v>44228</v>
      </c>
      <c r="AC163" s="285">
        <f>AB163</f>
        <v>44228</v>
      </c>
      <c r="AD163" s="301">
        <v>44782</v>
      </c>
      <c r="AE163" s="302">
        <v>46133</v>
      </c>
      <c r="AF163" s="302">
        <v>46664</v>
      </c>
      <c r="AG163" s="303">
        <v>47484</v>
      </c>
      <c r="AH163" s="285">
        <f>AG163</f>
        <v>47484</v>
      </c>
      <c r="AI163" s="301">
        <v>47992</v>
      </c>
      <c r="AJ163" s="302">
        <v>48862</v>
      </c>
      <c r="AK163" s="302">
        <v>49200</v>
      </c>
      <c r="AL163" s="303">
        <v>49952</v>
      </c>
      <c r="AM163" s="285">
        <f>AL163</f>
        <v>49952</v>
      </c>
      <c r="AN163" s="301">
        <v>50371</v>
      </c>
      <c r="AO163" s="302">
        <v>50367</v>
      </c>
      <c r="AP163" s="302">
        <v>50889</v>
      </c>
      <c r="AQ163" s="303">
        <v>43767</v>
      </c>
      <c r="AR163" s="285">
        <f>AQ163</f>
        <v>43767</v>
      </c>
      <c r="AS163" s="301">
        <f>42976</f>
        <v>42976</v>
      </c>
      <c r="AT163" s="302">
        <v>43929</v>
      </c>
      <c r="AU163" s="302">
        <v>44229</v>
      </c>
      <c r="AV163" s="303">
        <v>39778</v>
      </c>
      <c r="AW163" s="285">
        <f>AV163</f>
        <v>39778</v>
      </c>
      <c r="AX163" s="114">
        <f>AW163-AX136-AX137-AX138</f>
        <v>40538</v>
      </c>
      <c r="AY163" s="115">
        <f>AX163-AY136-AY137-AY138</f>
        <v>41298</v>
      </c>
      <c r="AZ163" s="115">
        <f>AY163-AZ136-AZ137-AZ138</f>
        <v>42111</v>
      </c>
      <c r="BA163" s="105">
        <f>AZ163-BA136-BA137-BA138</f>
        <v>42871</v>
      </c>
      <c r="BB163" s="285">
        <f>BA163</f>
        <v>42871</v>
      </c>
      <c r="BC163" s="114">
        <f>BB163-BC136-BC137-BC138</f>
        <v>43631</v>
      </c>
      <c r="BD163" s="115">
        <f>BC163-BD136-BD137-BD138</f>
        <v>44391</v>
      </c>
      <c r="BE163" s="115">
        <f>BD163-BE136-BE137-BE138</f>
        <v>45204</v>
      </c>
      <c r="BF163" s="105">
        <f>BE163-BF136-BF137-BF138</f>
        <v>45964</v>
      </c>
      <c r="BG163" s="285">
        <f>BF163</f>
        <v>45964</v>
      </c>
      <c r="BH163" s="114">
        <f>BG163-BH136-BH137-BH138</f>
        <v>46724</v>
      </c>
      <c r="BI163" s="115">
        <f>BH163-BI136-BI137-BI138</f>
        <v>47484</v>
      </c>
      <c r="BJ163" s="115">
        <f>BI163-BJ136-BJ137-BJ138</f>
        <v>48244</v>
      </c>
      <c r="BK163" s="105">
        <f>BJ163-BK136-BK137-BK138</f>
        <v>49004</v>
      </c>
      <c r="BL163" s="285">
        <f>BK163</f>
        <v>49004</v>
      </c>
      <c r="BM163" s="114">
        <f>BL163-BM136-BM137-BM138</f>
        <v>49764</v>
      </c>
      <c r="BN163" s="115">
        <f>BM163-BN136-BN137-BN138</f>
        <v>50524</v>
      </c>
      <c r="BO163" s="115">
        <f>BN163-BO136-BO137-BO138</f>
        <v>51284</v>
      </c>
      <c r="BP163" s="105">
        <f>BO163-BP136-BP137-BP138</f>
        <v>52044</v>
      </c>
      <c r="BQ163" s="285">
        <f>BP163</f>
        <v>52044</v>
      </c>
    </row>
    <row r="164" spans="1:69">
      <c r="A164" s="92"/>
      <c r="B164" s="87"/>
      <c r="C164" s="89" t="s">
        <v>239</v>
      </c>
      <c r="D164" s="166"/>
      <c r="E164" s="301">
        <v>2397</v>
      </c>
      <c r="F164" s="302">
        <v>2307</v>
      </c>
      <c r="G164" s="302">
        <v>2490</v>
      </c>
      <c r="H164" s="303">
        <v>2735</v>
      </c>
      <c r="I164" s="285">
        <f>H164</f>
        <v>2735</v>
      </c>
      <c r="J164" s="301">
        <v>2931</v>
      </c>
      <c r="K164" s="302">
        <v>3000</v>
      </c>
      <c r="L164" s="302">
        <v>3154</v>
      </c>
      <c r="M164" s="303">
        <v>1517</v>
      </c>
      <c r="N164" s="285">
        <f>M164</f>
        <v>1517</v>
      </c>
      <c r="O164" s="301">
        <f>2322+490</f>
        <v>2812</v>
      </c>
      <c r="P164" s="302">
        <f>1465+502</f>
        <v>1967</v>
      </c>
      <c r="Q164" s="289">
        <v>1720</v>
      </c>
      <c r="R164" s="303">
        <v>2054</v>
      </c>
      <c r="S164" s="285">
        <f>R164</f>
        <v>2054</v>
      </c>
      <c r="T164" s="301">
        <v>2065</v>
      </c>
      <c r="U164" s="302">
        <v>1937</v>
      </c>
      <c r="V164" s="302">
        <v>2119</v>
      </c>
      <c r="W164" s="303">
        <v>2293</v>
      </c>
      <c r="X164" s="285">
        <f>W164</f>
        <v>2293</v>
      </c>
      <c r="Y164" s="301">
        <v>2361</v>
      </c>
      <c r="Z164" s="302">
        <v>2230</v>
      </c>
      <c r="AA164" s="302">
        <v>2301</v>
      </c>
      <c r="AB164" s="303">
        <v>2304</v>
      </c>
      <c r="AC164" s="285">
        <f>AB164</f>
        <v>2304</v>
      </c>
      <c r="AD164" s="301">
        <v>2661</v>
      </c>
      <c r="AE164" s="302">
        <v>2180</v>
      </c>
      <c r="AF164" s="302">
        <v>2301</v>
      </c>
      <c r="AG164" s="303">
        <v>2449</v>
      </c>
      <c r="AH164" s="285">
        <f>AG164</f>
        <v>2449</v>
      </c>
      <c r="AI164" s="301">
        <v>2633</v>
      </c>
      <c r="AJ164" s="302">
        <v>2282</v>
      </c>
      <c r="AK164" s="302">
        <v>2327</v>
      </c>
      <c r="AL164" s="303">
        <v>2422</v>
      </c>
      <c r="AM164" s="285">
        <f>AL164</f>
        <v>2422</v>
      </c>
      <c r="AN164" s="301">
        <v>2694</v>
      </c>
      <c r="AO164" s="302">
        <v>2389</v>
      </c>
      <c r="AP164" s="302">
        <v>2394</v>
      </c>
      <c r="AQ164" s="303">
        <v>1351</v>
      </c>
      <c r="AR164" s="285">
        <f>AQ164</f>
        <v>1351</v>
      </c>
      <c r="AS164" s="301">
        <v>1588</v>
      </c>
      <c r="AT164" s="302">
        <v>1249</v>
      </c>
      <c r="AU164" s="302">
        <v>1355</v>
      </c>
      <c r="AV164" s="303">
        <v>1026</v>
      </c>
      <c r="AW164" s="285">
        <f>AV164</f>
        <v>1026</v>
      </c>
      <c r="AX164" s="114">
        <f>AW164</f>
        <v>1026</v>
      </c>
      <c r="AY164" s="115">
        <f>AX164</f>
        <v>1026</v>
      </c>
      <c r="AZ164" s="115">
        <f>AY164</f>
        <v>1026</v>
      </c>
      <c r="BA164" s="105">
        <f>AZ164</f>
        <v>1026</v>
      </c>
      <c r="BB164" s="285">
        <f>BA164</f>
        <v>1026</v>
      </c>
      <c r="BC164" s="114">
        <f>BB164</f>
        <v>1026</v>
      </c>
      <c r="BD164" s="115">
        <f>BC164</f>
        <v>1026</v>
      </c>
      <c r="BE164" s="115">
        <f>BD164</f>
        <v>1026</v>
      </c>
      <c r="BF164" s="105">
        <f>BE164</f>
        <v>1026</v>
      </c>
      <c r="BG164" s="285">
        <f>BF164</f>
        <v>1026</v>
      </c>
      <c r="BH164" s="114">
        <f>BG164</f>
        <v>1026</v>
      </c>
      <c r="BI164" s="115">
        <f>BH164</f>
        <v>1026</v>
      </c>
      <c r="BJ164" s="115">
        <f>BI164</f>
        <v>1026</v>
      </c>
      <c r="BK164" s="105">
        <f>BJ164</f>
        <v>1026</v>
      </c>
      <c r="BL164" s="285">
        <f>BK164</f>
        <v>1026</v>
      </c>
      <c r="BM164" s="114">
        <f>BL164</f>
        <v>1026</v>
      </c>
      <c r="BN164" s="115">
        <f>BM164</f>
        <v>1026</v>
      </c>
      <c r="BO164" s="115">
        <f>BN164</f>
        <v>1026</v>
      </c>
      <c r="BP164" s="105">
        <f>BO164</f>
        <v>1026</v>
      </c>
      <c r="BQ164" s="285">
        <f>BP164</f>
        <v>1026</v>
      </c>
    </row>
    <row r="165" spans="1:69">
      <c r="A165" s="92"/>
      <c r="B165" s="87"/>
      <c r="C165" s="89" t="s">
        <v>238</v>
      </c>
      <c r="D165" s="166"/>
      <c r="E165" s="301">
        <v>10947</v>
      </c>
      <c r="F165" s="302">
        <v>11113</v>
      </c>
      <c r="G165" s="302">
        <v>11267</v>
      </c>
      <c r="H165" s="303">
        <v>11397</v>
      </c>
      <c r="I165" s="285">
        <f>H165</f>
        <v>11397</v>
      </c>
      <c r="J165" s="301">
        <v>11554</v>
      </c>
      <c r="K165" s="302">
        <v>11724</v>
      </c>
      <c r="L165" s="302">
        <v>11206</v>
      </c>
      <c r="M165" s="303">
        <v>11283</v>
      </c>
      <c r="N165" s="285">
        <f>M165</f>
        <v>11283</v>
      </c>
      <c r="O165" s="301">
        <v>11345</v>
      </c>
      <c r="P165" s="302">
        <v>11593</v>
      </c>
      <c r="Q165" s="289">
        <v>11803</v>
      </c>
      <c r="R165" s="303">
        <v>11839</v>
      </c>
      <c r="S165" s="285">
        <f>R165</f>
        <v>11839</v>
      </c>
      <c r="T165" s="301">
        <v>12086</v>
      </c>
      <c r="U165" s="302">
        <v>12336</v>
      </c>
      <c r="V165" s="302">
        <v>12434</v>
      </c>
      <c r="W165" s="303">
        <v>12600</v>
      </c>
      <c r="X165" s="285">
        <f>W165</f>
        <v>12600</v>
      </c>
      <c r="Y165" s="301">
        <v>12823</v>
      </c>
      <c r="Z165" s="302">
        <v>13027</v>
      </c>
      <c r="AA165" s="302">
        <v>13167</v>
      </c>
      <c r="AB165" s="303">
        <v>13280</v>
      </c>
      <c r="AC165" s="285">
        <f>AB165</f>
        <v>13280</v>
      </c>
      <c r="AD165" s="301">
        <v>13555</v>
      </c>
      <c r="AE165" s="302">
        <v>13797</v>
      </c>
      <c r="AF165" s="302">
        <v>14040</v>
      </c>
      <c r="AG165" s="303">
        <v>14150</v>
      </c>
      <c r="AH165" s="285">
        <f>AG165</f>
        <v>14150</v>
      </c>
      <c r="AI165" s="301">
        <v>14508</v>
      </c>
      <c r="AJ165" s="302">
        <v>14728</v>
      </c>
      <c r="AK165" s="302">
        <v>14917</v>
      </c>
      <c r="AL165" s="303">
        <v>15160</v>
      </c>
      <c r="AM165" s="285">
        <f>AL165</f>
        <v>15160</v>
      </c>
      <c r="AN165" s="301">
        <v>15421</v>
      </c>
      <c r="AO165" s="302">
        <v>15295</v>
      </c>
      <c r="AP165" s="302">
        <v>15450</v>
      </c>
      <c r="AQ165" s="303">
        <v>15731</v>
      </c>
      <c r="AR165" s="285">
        <f>AQ165</f>
        <v>15731</v>
      </c>
      <c r="AS165" s="301">
        <v>15769</v>
      </c>
      <c r="AT165" s="302">
        <v>15999</v>
      </c>
      <c r="AU165" s="302">
        <v>16086</v>
      </c>
      <c r="AV165" s="303">
        <v>11925</v>
      </c>
      <c r="AW165" s="285">
        <f>AV165</f>
        <v>11925</v>
      </c>
      <c r="AX165" s="114">
        <f>AW165+AX130</f>
        <v>12210.020458333332</v>
      </c>
      <c r="AY165" s="115">
        <f>AX165+AY130</f>
        <v>12501.444191999999</v>
      </c>
      <c r="AZ165" s="115">
        <f>AY165+AZ130</f>
        <v>12796.241388983499</v>
      </c>
      <c r="BA165" s="105">
        <f>AZ165+BA130</f>
        <v>13097.382967661737</v>
      </c>
      <c r="BB165" s="285">
        <f>BA165</f>
        <v>13097.382967661737</v>
      </c>
      <c r="BC165" s="114">
        <f>BB165+BC130</f>
        <v>13403.840558912358</v>
      </c>
      <c r="BD165" s="115">
        <f>BC165+BD130</f>
        <v>13716.586488656505</v>
      </c>
      <c r="BE165" s="115">
        <f>BD165+BE130</f>
        <v>14032.593760830254</v>
      </c>
      <c r="BF165" s="105">
        <f>BE165+BF130</f>
        <v>14354.836040773245</v>
      </c>
      <c r="BG165" s="285">
        <f>BF165</f>
        <v>14354.836040773245</v>
      </c>
      <c r="BH165" s="114">
        <f>BG165+BH130</f>
        <v>14682.2876390243</v>
      </c>
      <c r="BI165" s="115">
        <f>BH165+BI130</f>
        <v>15015.923495514038</v>
      </c>
      <c r="BJ165" s="115">
        <f>BI165+BJ130</f>
        <v>15352.719164144777</v>
      </c>
      <c r="BK165" s="105">
        <f>BJ165+BK130</f>
        <v>15695.650797748231</v>
      </c>
      <c r="BL165" s="285">
        <f>BK165</f>
        <v>15695.650797748231</v>
      </c>
      <c r="BM165" s="114">
        <f>BL165+BM130</f>
        <v>16043.695133411733</v>
      </c>
      <c r="BN165" s="115">
        <f>BM165+BN130</f>
        <v>16397.829478163978</v>
      </c>
      <c r="BO165" s="115">
        <f>BN165+BO130</f>
        <v>16755.031695011461</v>
      </c>
      <c r="BP165" s="105">
        <f>BO165+BP130</f>
        <v>17118.280189317014</v>
      </c>
      <c r="BQ165" s="285">
        <f>BP165</f>
        <v>17118.280189317014</v>
      </c>
    </row>
    <row r="166" spans="1:69">
      <c r="A166" s="92"/>
      <c r="B166" s="87"/>
      <c r="C166" s="88" t="s">
        <v>271</v>
      </c>
      <c r="D166" s="96"/>
      <c r="E166" s="305">
        <f>SUM(E163:E164)-E165</f>
        <v>18207</v>
      </c>
      <c r="F166" s="306">
        <f t="shared" ref="F166:T166" si="358">SUM(F163:F164)-F165</f>
        <v>18509</v>
      </c>
      <c r="G166" s="306">
        <f t="shared" si="358"/>
        <v>18749</v>
      </c>
      <c r="H166" s="307">
        <f t="shared" si="358"/>
        <v>19164</v>
      </c>
      <c r="I166" s="308">
        <f t="shared" si="358"/>
        <v>19164</v>
      </c>
      <c r="J166" s="305">
        <f t="shared" si="358"/>
        <v>19357</v>
      </c>
      <c r="K166" s="306">
        <f t="shared" si="358"/>
        <v>19550</v>
      </c>
      <c r="L166" s="306">
        <f t="shared" si="358"/>
        <v>19538</v>
      </c>
      <c r="M166" s="307">
        <f t="shared" si="358"/>
        <v>20510</v>
      </c>
      <c r="N166" s="308">
        <f t="shared" si="358"/>
        <v>20510</v>
      </c>
      <c r="O166" s="305">
        <f t="shared" si="358"/>
        <v>29635</v>
      </c>
      <c r="P166" s="306">
        <f t="shared" si="358"/>
        <v>29942</v>
      </c>
      <c r="Q166" s="306">
        <f t="shared" si="358"/>
        <v>29267</v>
      </c>
      <c r="R166" s="307">
        <f t="shared" si="358"/>
        <v>30337</v>
      </c>
      <c r="S166" s="308">
        <f t="shared" si="358"/>
        <v>30337</v>
      </c>
      <c r="T166" s="305">
        <f t="shared" si="358"/>
        <v>30566</v>
      </c>
      <c r="U166" s="306">
        <f t="shared" ref="U166:AP166" si="359">SUM(U163:U164)-U165</f>
        <v>30768</v>
      </c>
      <c r="V166" s="306">
        <f t="shared" si="359"/>
        <v>31441</v>
      </c>
      <c r="W166" s="307">
        <f t="shared" si="359"/>
        <v>32903</v>
      </c>
      <c r="X166" s="308">
        <f t="shared" si="359"/>
        <v>32903</v>
      </c>
      <c r="Y166" s="305">
        <f t="shared" si="359"/>
        <v>33286</v>
      </c>
      <c r="Z166" s="306">
        <f t="shared" si="359"/>
        <v>33091</v>
      </c>
      <c r="AA166" s="306">
        <f t="shared" si="359"/>
        <v>33223</v>
      </c>
      <c r="AB166" s="307">
        <f>SUM(AB163:AB164)-AB165</f>
        <v>33252</v>
      </c>
      <c r="AC166" s="308">
        <f>SUM(AC163:AC164)-AC165</f>
        <v>33252</v>
      </c>
      <c r="AD166" s="305">
        <f t="shared" si="359"/>
        <v>33888</v>
      </c>
      <c r="AE166" s="306">
        <f t="shared" si="359"/>
        <v>34516</v>
      </c>
      <c r="AF166" s="306">
        <f t="shared" si="359"/>
        <v>34925</v>
      </c>
      <c r="AG166" s="307">
        <f t="shared" ref="AG166:AM166" si="360">SUM(AG163:AG164)-AG165</f>
        <v>35783</v>
      </c>
      <c r="AH166" s="308">
        <f t="shared" si="360"/>
        <v>35783</v>
      </c>
      <c r="AI166" s="305">
        <f t="shared" si="360"/>
        <v>36117</v>
      </c>
      <c r="AJ166" s="306">
        <f t="shared" si="360"/>
        <v>36416</v>
      </c>
      <c r="AK166" s="306">
        <f t="shared" si="360"/>
        <v>36610</v>
      </c>
      <c r="AL166" s="307">
        <f t="shared" si="360"/>
        <v>37214</v>
      </c>
      <c r="AM166" s="308">
        <f t="shared" si="360"/>
        <v>37214</v>
      </c>
      <c r="AN166" s="305">
        <f t="shared" ref="AN166" si="361">SUM(AN163:AN164)-AN165</f>
        <v>37644</v>
      </c>
      <c r="AO166" s="306">
        <f t="shared" ref="AO166" si="362">SUM(AO163:AO164)-AO165</f>
        <v>37461</v>
      </c>
      <c r="AP166" s="306">
        <f t="shared" si="359"/>
        <v>37833</v>
      </c>
      <c r="AQ166" s="307">
        <f t="shared" ref="AQ166:AR166" si="363">SUM(AQ163:AQ164)-AQ165</f>
        <v>29387</v>
      </c>
      <c r="AR166" s="308">
        <f t="shared" si="363"/>
        <v>29387</v>
      </c>
      <c r="AS166" s="305">
        <f t="shared" ref="AS166:BB166" si="364">SUM(AS163:AS164)-AS165</f>
        <v>28795</v>
      </c>
      <c r="AT166" s="306">
        <f t="shared" si="364"/>
        <v>29179</v>
      </c>
      <c r="AU166" s="306">
        <f t="shared" si="364"/>
        <v>29498</v>
      </c>
      <c r="AV166" s="307">
        <f t="shared" si="364"/>
        <v>28879</v>
      </c>
      <c r="AW166" s="308">
        <f t="shared" si="364"/>
        <v>28879</v>
      </c>
      <c r="AX166" s="106">
        <f t="shared" si="364"/>
        <v>29353.979541666668</v>
      </c>
      <c r="AY166" s="76">
        <f t="shared" si="364"/>
        <v>29822.555808000001</v>
      </c>
      <c r="AZ166" s="76">
        <f t="shared" si="364"/>
        <v>30340.758611016499</v>
      </c>
      <c r="BA166" s="107">
        <f t="shared" si="364"/>
        <v>30799.617032338261</v>
      </c>
      <c r="BB166" s="308">
        <f t="shared" si="364"/>
        <v>30799.617032338261</v>
      </c>
      <c r="BC166" s="106">
        <f t="shared" ref="BC166:BL166" si="365">SUM(BC163:BC164)-BC165</f>
        <v>31253.159441087642</v>
      </c>
      <c r="BD166" s="76">
        <f t="shared" si="365"/>
        <v>31700.413511343497</v>
      </c>
      <c r="BE166" s="76">
        <f t="shared" si="365"/>
        <v>32197.406239169744</v>
      </c>
      <c r="BF166" s="107">
        <f t="shared" si="365"/>
        <v>32635.163959226753</v>
      </c>
      <c r="BG166" s="308">
        <f t="shared" si="365"/>
        <v>32635.163959226753</v>
      </c>
      <c r="BH166" s="106">
        <f t="shared" si="365"/>
        <v>33067.712360975696</v>
      </c>
      <c r="BI166" s="76">
        <f t="shared" si="365"/>
        <v>33494.076504485958</v>
      </c>
      <c r="BJ166" s="76">
        <f t="shared" si="365"/>
        <v>33917.280835855221</v>
      </c>
      <c r="BK166" s="107">
        <f t="shared" si="365"/>
        <v>34334.349202251768</v>
      </c>
      <c r="BL166" s="308">
        <f t="shared" si="365"/>
        <v>34334.349202251768</v>
      </c>
      <c r="BM166" s="106">
        <f t="shared" ref="BM166:BQ166" si="366">SUM(BM163:BM164)-BM165</f>
        <v>34746.304866588267</v>
      </c>
      <c r="BN166" s="76">
        <f t="shared" si="366"/>
        <v>35152.170521836022</v>
      </c>
      <c r="BO166" s="76">
        <f t="shared" si="366"/>
        <v>35554.968304988535</v>
      </c>
      <c r="BP166" s="107">
        <f t="shared" si="366"/>
        <v>35951.719810682989</v>
      </c>
      <c r="BQ166" s="308">
        <f t="shared" si="366"/>
        <v>35951.719810682989</v>
      </c>
    </row>
    <row r="167" spans="1:69">
      <c r="A167" s="92"/>
      <c r="B167" s="87"/>
      <c r="C167" s="100"/>
      <c r="D167" s="166"/>
      <c r="E167" s="106"/>
      <c r="F167" s="76"/>
      <c r="G167" s="76"/>
      <c r="H167" s="107"/>
      <c r="I167" s="51"/>
      <c r="J167" s="106"/>
      <c r="K167" s="76"/>
      <c r="L167" s="76"/>
      <c r="M167" s="107"/>
      <c r="N167" s="51"/>
      <c r="O167" s="106"/>
      <c r="P167" s="76"/>
      <c r="Q167" s="76"/>
      <c r="R167" s="107"/>
      <c r="S167" s="51"/>
      <c r="T167" s="106"/>
      <c r="U167" s="76"/>
      <c r="V167" s="76"/>
      <c r="W167" s="107"/>
      <c r="X167" s="51"/>
      <c r="Y167" s="106"/>
      <c r="Z167" s="76"/>
      <c r="AA167" s="76"/>
      <c r="AB167" s="107"/>
      <c r="AC167" s="51"/>
      <c r="AD167" s="106"/>
      <c r="AE167" s="76"/>
      <c r="AF167" s="76"/>
      <c r="AG167" s="107"/>
      <c r="AH167" s="51"/>
      <c r="AI167" s="106"/>
      <c r="AJ167" s="76"/>
      <c r="AK167" s="76"/>
      <c r="AL167" s="107"/>
      <c r="AM167" s="51"/>
      <c r="AN167" s="106"/>
      <c r="AO167" s="76"/>
      <c r="AP167" s="76"/>
      <c r="AQ167" s="107"/>
      <c r="AR167" s="51"/>
      <c r="AS167" s="106"/>
      <c r="AT167" s="76"/>
      <c r="AU167" s="76"/>
      <c r="AV167" s="107"/>
      <c r="AW167" s="51"/>
      <c r="AX167" s="106"/>
      <c r="AY167" s="76"/>
      <c r="AZ167" s="76"/>
      <c r="BA167" s="107"/>
      <c r="BB167" s="51"/>
      <c r="BC167" s="106"/>
      <c r="BD167" s="76"/>
      <c r="BE167" s="76"/>
      <c r="BF167" s="107"/>
      <c r="BG167" s="51"/>
      <c r="BH167" s="106"/>
      <c r="BI167" s="76"/>
      <c r="BJ167" s="76"/>
      <c r="BK167" s="107"/>
      <c r="BL167" s="51"/>
      <c r="BM167" s="106"/>
      <c r="BN167" s="76"/>
      <c r="BO167" s="76"/>
      <c r="BP167" s="107"/>
      <c r="BQ167" s="51"/>
    </row>
    <row r="168" spans="1:69">
      <c r="A168" s="92"/>
      <c r="B168" s="89"/>
      <c r="C168" s="89" t="s">
        <v>240</v>
      </c>
      <c r="D168" s="166"/>
      <c r="E168" s="301">
        <f>1649+561+689</f>
        <v>2899</v>
      </c>
      <c r="F168" s="302">
        <f>1733+553+696</f>
        <v>2982</v>
      </c>
      <c r="G168" s="302">
        <f>1856+553+698</f>
        <v>3107</v>
      </c>
      <c r="H168" s="303">
        <f>1859+543+621</f>
        <v>3023</v>
      </c>
      <c r="I168" s="285">
        <f>H168</f>
        <v>3023</v>
      </c>
      <c r="J168" s="301">
        <f>1882+495+609</f>
        <v>2986</v>
      </c>
      <c r="K168" s="302">
        <f>1880+486+589</f>
        <v>2955</v>
      </c>
      <c r="L168" s="302">
        <f>1965+486+564</f>
        <v>3015</v>
      </c>
      <c r="M168" s="303">
        <f>1973+476+553</f>
        <v>3002</v>
      </c>
      <c r="N168" s="285">
        <f>M168</f>
        <v>3002</v>
      </c>
      <c r="O168" s="301">
        <f>2018+422+207+434</f>
        <v>3081</v>
      </c>
      <c r="P168" s="302">
        <f>2051+414+212+479</f>
        <v>3156</v>
      </c>
      <c r="Q168" s="289">
        <v>3132</v>
      </c>
      <c r="R168" s="303">
        <v>3522</v>
      </c>
      <c r="S168" s="285">
        <f>R168</f>
        <v>3522</v>
      </c>
      <c r="T168" s="301">
        <v>3482</v>
      </c>
      <c r="U168" s="302">
        <v>3518</v>
      </c>
      <c r="V168" s="302">
        <v>3451</v>
      </c>
      <c r="W168" s="303">
        <v>3194</v>
      </c>
      <c r="X168" s="285">
        <f>W168</f>
        <v>3194</v>
      </c>
      <c r="Y168" s="301">
        <v>3215</v>
      </c>
      <c r="Z168" s="302">
        <v>3100</v>
      </c>
      <c r="AA168" s="302">
        <v>3105</v>
      </c>
      <c r="AB168" s="303">
        <v>3104</v>
      </c>
      <c r="AC168" s="285">
        <f>AB168</f>
        <v>3104</v>
      </c>
      <c r="AD168" s="301">
        <v>3161</v>
      </c>
      <c r="AE168" s="302">
        <v>3260</v>
      </c>
      <c r="AF168" s="302">
        <v>3259</v>
      </c>
      <c r="AG168" s="303">
        <v>3222</v>
      </c>
      <c r="AH168" s="285">
        <f>AG168</f>
        <v>3222</v>
      </c>
      <c r="AI168" s="301">
        <v>3258</v>
      </c>
      <c r="AJ168" s="302">
        <v>3234</v>
      </c>
      <c r="AK168" s="302">
        <v>3154</v>
      </c>
      <c r="AL168" s="303">
        <v>2788</v>
      </c>
      <c r="AM168" s="285">
        <f>AL168</f>
        <v>2788</v>
      </c>
      <c r="AN168" s="301">
        <v>2886</v>
      </c>
      <c r="AO168" s="302">
        <v>2983</v>
      </c>
      <c r="AP168" s="302">
        <f>2502+533</f>
        <v>3035</v>
      </c>
      <c r="AQ168" s="303">
        <v>3026</v>
      </c>
      <c r="AR168" s="285">
        <f>AQ168</f>
        <v>3026</v>
      </c>
      <c r="AS168" s="301">
        <v>3090</v>
      </c>
      <c r="AT168" s="302">
        <v>3095</v>
      </c>
      <c r="AU168" s="302">
        <v>3143</v>
      </c>
      <c r="AV168" s="303">
        <v>3184</v>
      </c>
      <c r="AW168" s="285">
        <f>AV168</f>
        <v>3184</v>
      </c>
      <c r="AX168" s="114">
        <f t="shared" ref="AX168:BB171" si="367">AW168</f>
        <v>3184</v>
      </c>
      <c r="AY168" s="115">
        <f t="shared" si="367"/>
        <v>3184</v>
      </c>
      <c r="AZ168" s="115">
        <f t="shared" si="367"/>
        <v>3184</v>
      </c>
      <c r="BA168" s="105">
        <f t="shared" si="367"/>
        <v>3184</v>
      </c>
      <c r="BB168" s="285">
        <f t="shared" si="367"/>
        <v>3184</v>
      </c>
      <c r="BC168" s="114">
        <f t="shared" ref="BC168:BL168" si="368">BB168</f>
        <v>3184</v>
      </c>
      <c r="BD168" s="115">
        <f t="shared" si="368"/>
        <v>3184</v>
      </c>
      <c r="BE168" s="115">
        <f t="shared" si="368"/>
        <v>3184</v>
      </c>
      <c r="BF168" s="105">
        <f t="shared" si="368"/>
        <v>3184</v>
      </c>
      <c r="BG168" s="285">
        <f t="shared" si="368"/>
        <v>3184</v>
      </c>
      <c r="BH168" s="114">
        <f t="shared" si="368"/>
        <v>3184</v>
      </c>
      <c r="BI168" s="115">
        <f t="shared" si="368"/>
        <v>3184</v>
      </c>
      <c r="BJ168" s="115">
        <f t="shared" si="368"/>
        <v>3184</v>
      </c>
      <c r="BK168" s="105">
        <f t="shared" si="368"/>
        <v>3184</v>
      </c>
      <c r="BL168" s="285">
        <f t="shared" si="368"/>
        <v>3184</v>
      </c>
      <c r="BM168" s="114">
        <f t="shared" ref="BM168:BM171" si="369">BL168</f>
        <v>3184</v>
      </c>
      <c r="BN168" s="115">
        <f t="shared" ref="BN168:BN171" si="370">BM168</f>
        <v>3184</v>
      </c>
      <c r="BO168" s="115">
        <f t="shared" ref="BO168:BO171" si="371">BN168</f>
        <v>3184</v>
      </c>
      <c r="BP168" s="105">
        <f t="shared" ref="BP168:BP171" si="372">BO168</f>
        <v>3184</v>
      </c>
      <c r="BQ168" s="285">
        <f t="shared" ref="BQ168:BQ171" si="373">BP168</f>
        <v>3184</v>
      </c>
    </row>
    <row r="169" spans="1:69">
      <c r="A169" s="92"/>
      <c r="B169" s="89"/>
      <c r="C169" s="89" t="s">
        <v>933</v>
      </c>
      <c r="D169" s="166"/>
      <c r="E169" s="301">
        <v>5575</v>
      </c>
      <c r="F169" s="302">
        <v>5575</v>
      </c>
      <c r="G169" s="302">
        <v>5575</v>
      </c>
      <c r="H169" s="303">
        <v>5575</v>
      </c>
      <c r="I169" s="285">
        <f>H169</f>
        <v>5575</v>
      </c>
      <c r="J169" s="301">
        <v>5575</v>
      </c>
      <c r="K169" s="302">
        <v>5575</v>
      </c>
      <c r="L169" s="302">
        <v>5575</v>
      </c>
      <c r="M169" s="303">
        <v>5575</v>
      </c>
      <c r="N169" s="285">
        <f>M169</f>
        <v>5575</v>
      </c>
      <c r="O169" s="301">
        <v>6527</v>
      </c>
      <c r="P169" s="302">
        <v>6456</v>
      </c>
      <c r="Q169" s="289">
        <v>6448</v>
      </c>
      <c r="R169" s="303">
        <v>6441</v>
      </c>
      <c r="S169" s="285">
        <f>R169</f>
        <v>6441</v>
      </c>
      <c r="T169" s="301">
        <v>6444</v>
      </c>
      <c r="U169" s="302">
        <v>6444</v>
      </c>
      <c r="V169" s="302">
        <v>6444</v>
      </c>
      <c r="W169" s="303">
        <v>6447</v>
      </c>
      <c r="X169" s="285">
        <f>W169</f>
        <v>6447</v>
      </c>
      <c r="Y169" s="301">
        <v>6447</v>
      </c>
      <c r="Z169" s="302">
        <v>6447</v>
      </c>
      <c r="AA169" s="302">
        <v>6418</v>
      </c>
      <c r="AB169" s="303">
        <v>6418</v>
      </c>
      <c r="AC169" s="285">
        <f>AB169</f>
        <v>6418</v>
      </c>
      <c r="AD169" s="301">
        <v>6418</v>
      </c>
      <c r="AE169" s="302">
        <v>6418</v>
      </c>
      <c r="AF169" s="302">
        <v>6418</v>
      </c>
      <c r="AG169" s="303">
        <v>6418</v>
      </c>
      <c r="AH169" s="285">
        <f>AG169</f>
        <v>6418</v>
      </c>
      <c r="AI169" s="301">
        <v>6418</v>
      </c>
      <c r="AJ169" s="302">
        <v>6418</v>
      </c>
      <c r="AK169" s="302">
        <v>6418</v>
      </c>
      <c r="AL169" s="303">
        <v>6418</v>
      </c>
      <c r="AM169" s="285">
        <f>AL169</f>
        <v>6418</v>
      </c>
      <c r="AN169" s="301">
        <v>6418</v>
      </c>
      <c r="AO169" s="302">
        <v>5618</v>
      </c>
      <c r="AP169" s="302">
        <v>5618</v>
      </c>
      <c r="AQ169" s="303">
        <v>5618</v>
      </c>
      <c r="AR169" s="285">
        <f>AQ169</f>
        <v>5618</v>
      </c>
      <c r="AS169" s="301">
        <v>5618</v>
      </c>
      <c r="AT169" s="302">
        <v>5618</v>
      </c>
      <c r="AU169" s="302">
        <v>5618</v>
      </c>
      <c r="AV169" s="303">
        <v>5618</v>
      </c>
      <c r="AW169" s="285">
        <f>AV169</f>
        <v>5618</v>
      </c>
      <c r="AX169" s="114">
        <f t="shared" si="367"/>
        <v>5618</v>
      </c>
      <c r="AY169" s="115">
        <f t="shared" si="367"/>
        <v>5618</v>
      </c>
      <c r="AZ169" s="115">
        <f t="shared" si="367"/>
        <v>5618</v>
      </c>
      <c r="BA169" s="105">
        <f t="shared" si="367"/>
        <v>5618</v>
      </c>
      <c r="BB169" s="285">
        <f t="shared" si="367"/>
        <v>5618</v>
      </c>
      <c r="BC169" s="114">
        <f t="shared" ref="BC169:BL169" si="374">BB169</f>
        <v>5618</v>
      </c>
      <c r="BD169" s="115">
        <f t="shared" si="374"/>
        <v>5618</v>
      </c>
      <c r="BE169" s="115">
        <f t="shared" si="374"/>
        <v>5618</v>
      </c>
      <c r="BF169" s="105">
        <f t="shared" si="374"/>
        <v>5618</v>
      </c>
      <c r="BG169" s="285">
        <f t="shared" si="374"/>
        <v>5618</v>
      </c>
      <c r="BH169" s="114">
        <f t="shared" si="374"/>
        <v>5618</v>
      </c>
      <c r="BI169" s="115">
        <f t="shared" si="374"/>
        <v>5618</v>
      </c>
      <c r="BJ169" s="115">
        <f t="shared" si="374"/>
        <v>5618</v>
      </c>
      <c r="BK169" s="105">
        <f t="shared" si="374"/>
        <v>5618</v>
      </c>
      <c r="BL169" s="285">
        <f t="shared" si="374"/>
        <v>5618</v>
      </c>
      <c r="BM169" s="114">
        <f t="shared" si="369"/>
        <v>5618</v>
      </c>
      <c r="BN169" s="115">
        <f t="shared" si="370"/>
        <v>5618</v>
      </c>
      <c r="BO169" s="115">
        <f t="shared" si="371"/>
        <v>5618</v>
      </c>
      <c r="BP169" s="105">
        <f t="shared" si="372"/>
        <v>5618</v>
      </c>
      <c r="BQ169" s="285">
        <f t="shared" si="373"/>
        <v>5618</v>
      </c>
    </row>
    <row r="170" spans="1:69">
      <c r="A170" s="92"/>
      <c r="B170" s="89"/>
      <c r="C170" s="89" t="s">
        <v>270</v>
      </c>
      <c r="D170" s="166"/>
      <c r="E170" s="301">
        <v>2938</v>
      </c>
      <c r="F170" s="302">
        <v>2819</v>
      </c>
      <c r="G170" s="302">
        <v>2543</v>
      </c>
      <c r="H170" s="303">
        <v>2356</v>
      </c>
      <c r="I170" s="285">
        <f>H170</f>
        <v>2356</v>
      </c>
      <c r="J170" s="301">
        <v>2398</v>
      </c>
      <c r="K170" s="302">
        <v>2313</v>
      </c>
      <c r="L170" s="302">
        <v>2246</v>
      </c>
      <c r="M170" s="303">
        <v>1830</v>
      </c>
      <c r="N170" s="285">
        <f>M170</f>
        <v>1830</v>
      </c>
      <c r="O170" s="301">
        <v>2084</v>
      </c>
      <c r="P170" s="302">
        <v>2182</v>
      </c>
      <c r="Q170" s="289">
        <v>2160</v>
      </c>
      <c r="R170" s="303">
        <v>2030</v>
      </c>
      <c r="S170" s="285">
        <f>R170</f>
        <v>2030</v>
      </c>
      <c r="T170" s="301">
        <v>2006</v>
      </c>
      <c r="U170" s="302">
        <v>2122</v>
      </c>
      <c r="V170" s="302">
        <v>2113</v>
      </c>
      <c r="W170" s="303">
        <v>2375</v>
      </c>
      <c r="X170" s="285">
        <f>W170</f>
        <v>2375</v>
      </c>
      <c r="Y170" s="301">
        <v>2312</v>
      </c>
      <c r="Z170" s="302">
        <v>2321</v>
      </c>
      <c r="AA170" s="302">
        <v>2146</v>
      </c>
      <c r="AB170" s="303">
        <v>1854</v>
      </c>
      <c r="AC170" s="285">
        <f>AB170</f>
        <v>1854</v>
      </c>
      <c r="AD170" s="301">
        <v>1798</v>
      </c>
      <c r="AE170" s="302">
        <v>1732</v>
      </c>
      <c r="AF170" s="302">
        <v>1668</v>
      </c>
      <c r="AG170" s="303">
        <v>1411</v>
      </c>
      <c r="AH170" s="285">
        <f>AG170</f>
        <v>1411</v>
      </c>
      <c r="AI170" s="301">
        <v>1372</v>
      </c>
      <c r="AJ170" s="302">
        <v>1523</v>
      </c>
      <c r="AK170" s="302">
        <v>1430</v>
      </c>
      <c r="AL170" s="303">
        <v>1348</v>
      </c>
      <c r="AM170" s="285">
        <f>AL170</f>
        <v>1348</v>
      </c>
      <c r="AN170" s="301">
        <v>1279</v>
      </c>
      <c r="AO170" s="302">
        <v>1187</v>
      </c>
      <c r="AP170" s="302">
        <v>1088</v>
      </c>
      <c r="AQ170" s="303">
        <v>1014</v>
      </c>
      <c r="AR170" s="285">
        <f>AQ170</f>
        <v>1014</v>
      </c>
      <c r="AS170" s="301">
        <v>1000</v>
      </c>
      <c r="AT170" s="302">
        <v>994</v>
      </c>
      <c r="AU170" s="302">
        <v>929</v>
      </c>
      <c r="AV170" s="303">
        <v>40</v>
      </c>
      <c r="AW170" s="285">
        <f>AV170</f>
        <v>40</v>
      </c>
      <c r="AX170" s="114">
        <f t="shared" si="367"/>
        <v>40</v>
      </c>
      <c r="AY170" s="115">
        <f t="shared" si="367"/>
        <v>40</v>
      </c>
      <c r="AZ170" s="115">
        <f t="shared" si="367"/>
        <v>40</v>
      </c>
      <c r="BA170" s="105">
        <f t="shared" si="367"/>
        <v>40</v>
      </c>
      <c r="BB170" s="285">
        <f t="shared" si="367"/>
        <v>40</v>
      </c>
      <c r="BC170" s="114">
        <f t="shared" ref="BC170:BL170" si="375">BB170</f>
        <v>40</v>
      </c>
      <c r="BD170" s="115">
        <f t="shared" si="375"/>
        <v>40</v>
      </c>
      <c r="BE170" s="115">
        <f t="shared" si="375"/>
        <v>40</v>
      </c>
      <c r="BF170" s="105">
        <f t="shared" si="375"/>
        <v>40</v>
      </c>
      <c r="BG170" s="285">
        <f t="shared" si="375"/>
        <v>40</v>
      </c>
      <c r="BH170" s="114">
        <f t="shared" si="375"/>
        <v>40</v>
      </c>
      <c r="BI170" s="115">
        <f t="shared" si="375"/>
        <v>40</v>
      </c>
      <c r="BJ170" s="115">
        <f t="shared" si="375"/>
        <v>40</v>
      </c>
      <c r="BK170" s="105">
        <f t="shared" si="375"/>
        <v>40</v>
      </c>
      <c r="BL170" s="285">
        <f t="shared" si="375"/>
        <v>40</v>
      </c>
      <c r="BM170" s="114">
        <f t="shared" si="369"/>
        <v>40</v>
      </c>
      <c r="BN170" s="115">
        <f t="shared" si="370"/>
        <v>40</v>
      </c>
      <c r="BO170" s="115">
        <f t="shared" si="371"/>
        <v>40</v>
      </c>
      <c r="BP170" s="105">
        <f t="shared" si="372"/>
        <v>40</v>
      </c>
      <c r="BQ170" s="285">
        <f t="shared" si="373"/>
        <v>40</v>
      </c>
    </row>
    <row r="171" spans="1:69">
      <c r="A171" s="92"/>
      <c r="B171" s="89"/>
      <c r="C171" s="89" t="s">
        <v>241</v>
      </c>
      <c r="D171" s="166"/>
      <c r="E171" s="301">
        <f>340+594</f>
        <v>934</v>
      </c>
      <c r="F171" s="302">
        <f>214+557</f>
        <v>771</v>
      </c>
      <c r="G171" s="302">
        <f>220+710</f>
        <v>930</v>
      </c>
      <c r="H171" s="303">
        <f>200+666</f>
        <v>866</v>
      </c>
      <c r="I171" s="285">
        <f>H171</f>
        <v>866</v>
      </c>
      <c r="J171" s="301">
        <f>148+760</f>
        <v>908</v>
      </c>
      <c r="K171" s="302">
        <f>134+825</f>
        <v>959</v>
      </c>
      <c r="L171" s="302">
        <f>116+826</f>
        <v>942</v>
      </c>
      <c r="M171" s="303">
        <v>916</v>
      </c>
      <c r="N171" s="285">
        <f>M171</f>
        <v>916</v>
      </c>
      <c r="O171" s="301">
        <f>1075+818</f>
        <v>1893</v>
      </c>
      <c r="P171" s="302">
        <f>973+769</f>
        <v>1742</v>
      </c>
      <c r="Q171" s="289">
        <f>910+751+402</f>
        <v>2063</v>
      </c>
      <c r="R171" s="303">
        <v>1641</v>
      </c>
      <c r="S171" s="285">
        <f>R171</f>
        <v>1641</v>
      </c>
      <c r="T171" s="301">
        <v>1716</v>
      </c>
      <c r="U171" s="302">
        <v>1588</v>
      </c>
      <c r="V171" s="302">
        <v>1580</v>
      </c>
      <c r="W171" s="303">
        <v>1719</v>
      </c>
      <c r="X171" s="285">
        <f>W171</f>
        <v>1719</v>
      </c>
      <c r="Y171" s="301">
        <v>1665</v>
      </c>
      <c r="Z171" s="302">
        <v>1638</v>
      </c>
      <c r="AA171" s="302">
        <f>1698+234</f>
        <v>1932</v>
      </c>
      <c r="AB171" s="303">
        <f>1674+235</f>
        <v>1909</v>
      </c>
      <c r="AC171" s="285">
        <f>AB171</f>
        <v>1909</v>
      </c>
      <c r="AD171" s="301">
        <v>1386</v>
      </c>
      <c r="AE171" s="302">
        <v>1279</v>
      </c>
      <c r="AF171" s="302">
        <v>1169</v>
      </c>
      <c r="AG171" s="303">
        <v>1456</v>
      </c>
      <c r="AH171" s="285">
        <f>AG171</f>
        <v>1456</v>
      </c>
      <c r="AI171" s="301">
        <v>1345</v>
      </c>
      <c r="AJ171" s="302">
        <v>1301</v>
      </c>
      <c r="AK171" s="302">
        <v>1218</v>
      </c>
      <c r="AL171" s="303">
        <v>1379</v>
      </c>
      <c r="AM171" s="285">
        <f>AL171</f>
        <v>1379</v>
      </c>
      <c r="AN171" s="301">
        <v>1238</v>
      </c>
      <c r="AO171" s="302">
        <v>1076</v>
      </c>
      <c r="AP171" s="302">
        <v>907</v>
      </c>
      <c r="AQ171" s="303">
        <v>1153</v>
      </c>
      <c r="AR171" s="285">
        <f>AQ171</f>
        <v>1153</v>
      </c>
      <c r="AS171" s="301">
        <f>1028+921</f>
        <v>1949</v>
      </c>
      <c r="AT171" s="302">
        <f>871+815</f>
        <v>1686</v>
      </c>
      <c r="AU171" s="302">
        <f>788+742</f>
        <v>1530</v>
      </c>
      <c r="AV171" s="303">
        <f>1053+375</f>
        <v>1428</v>
      </c>
      <c r="AW171" s="285">
        <f>AV171</f>
        <v>1428</v>
      </c>
      <c r="AX171" s="114">
        <f t="shared" si="367"/>
        <v>1428</v>
      </c>
      <c r="AY171" s="115">
        <f t="shared" si="367"/>
        <v>1428</v>
      </c>
      <c r="AZ171" s="115">
        <f t="shared" si="367"/>
        <v>1428</v>
      </c>
      <c r="BA171" s="105">
        <f t="shared" si="367"/>
        <v>1428</v>
      </c>
      <c r="BB171" s="285">
        <f t="shared" si="367"/>
        <v>1428</v>
      </c>
      <c r="BC171" s="114">
        <f t="shared" ref="BC171:BL171" si="376">BB171</f>
        <v>1428</v>
      </c>
      <c r="BD171" s="115">
        <f t="shared" si="376"/>
        <v>1428</v>
      </c>
      <c r="BE171" s="115">
        <f t="shared" si="376"/>
        <v>1428</v>
      </c>
      <c r="BF171" s="105">
        <f t="shared" si="376"/>
        <v>1428</v>
      </c>
      <c r="BG171" s="285">
        <f t="shared" si="376"/>
        <v>1428</v>
      </c>
      <c r="BH171" s="114">
        <f t="shared" si="376"/>
        <v>1428</v>
      </c>
      <c r="BI171" s="115">
        <f t="shared" si="376"/>
        <v>1428</v>
      </c>
      <c r="BJ171" s="115">
        <f t="shared" si="376"/>
        <v>1428</v>
      </c>
      <c r="BK171" s="105">
        <f t="shared" si="376"/>
        <v>1428</v>
      </c>
      <c r="BL171" s="285">
        <f t="shared" si="376"/>
        <v>1428</v>
      </c>
      <c r="BM171" s="114">
        <f t="shared" si="369"/>
        <v>1428</v>
      </c>
      <c r="BN171" s="115">
        <f t="shared" si="370"/>
        <v>1428</v>
      </c>
      <c r="BO171" s="115">
        <f t="shared" si="371"/>
        <v>1428</v>
      </c>
      <c r="BP171" s="105">
        <f t="shared" si="372"/>
        <v>1428</v>
      </c>
      <c r="BQ171" s="285">
        <f t="shared" si="373"/>
        <v>1428</v>
      </c>
    </row>
    <row r="172" spans="1:69">
      <c r="A172" s="92"/>
      <c r="B172" s="89"/>
      <c r="C172" s="88" t="s">
        <v>242</v>
      </c>
      <c r="D172" s="166"/>
      <c r="E172" s="305">
        <f t="shared" ref="E172:T172" si="377">E161+E166+SUM(E167:E171)</f>
        <v>33557</v>
      </c>
      <c r="F172" s="306">
        <f t="shared" si="377"/>
        <v>34306</v>
      </c>
      <c r="G172" s="306">
        <f t="shared" si="377"/>
        <v>34674</v>
      </c>
      <c r="H172" s="307">
        <f t="shared" si="377"/>
        <v>34304</v>
      </c>
      <c r="I172" s="308">
        <f t="shared" si="377"/>
        <v>34304</v>
      </c>
      <c r="J172" s="305">
        <f t="shared" si="377"/>
        <v>34078</v>
      </c>
      <c r="K172" s="306">
        <f t="shared" si="377"/>
        <v>34466</v>
      </c>
      <c r="L172" s="306">
        <f t="shared" si="377"/>
        <v>34707</v>
      </c>
      <c r="M172" s="307">
        <f t="shared" si="377"/>
        <v>35531</v>
      </c>
      <c r="N172" s="308">
        <f t="shared" si="377"/>
        <v>35531</v>
      </c>
      <c r="O172" s="305">
        <f t="shared" si="377"/>
        <v>47866</v>
      </c>
      <c r="P172" s="306">
        <f t="shared" si="377"/>
        <v>47596</v>
      </c>
      <c r="Q172" s="306">
        <f t="shared" si="377"/>
        <v>46661</v>
      </c>
      <c r="R172" s="307">
        <f t="shared" si="377"/>
        <v>47326</v>
      </c>
      <c r="S172" s="308">
        <f t="shared" si="377"/>
        <v>47326</v>
      </c>
      <c r="T172" s="305">
        <f t="shared" si="377"/>
        <v>47691</v>
      </c>
      <c r="U172" s="306">
        <f t="shared" ref="U172:AP172" si="378">U161+U166+SUM(U167:U171)</f>
        <v>48048</v>
      </c>
      <c r="V172" s="306">
        <f t="shared" si="378"/>
        <v>48738</v>
      </c>
      <c r="W172" s="307">
        <f t="shared" si="378"/>
        <v>50406</v>
      </c>
      <c r="X172" s="308">
        <f t="shared" si="378"/>
        <v>50406</v>
      </c>
      <c r="Y172" s="305">
        <f t="shared" si="378"/>
        <v>50424</v>
      </c>
      <c r="Z172" s="306">
        <f t="shared" si="378"/>
        <v>50157</v>
      </c>
      <c r="AA172" s="306">
        <f t="shared" si="378"/>
        <v>50383</v>
      </c>
      <c r="AB172" s="307">
        <f>AB161+AB166+SUM(AB167:AB171)</f>
        <v>50424</v>
      </c>
      <c r="AC172" s="308">
        <f>AC161+AC166+SUM(AC167:AC171)</f>
        <v>50424</v>
      </c>
      <c r="AD172" s="305">
        <f t="shared" si="378"/>
        <v>51228</v>
      </c>
      <c r="AE172" s="306">
        <f t="shared" si="378"/>
        <v>51388</v>
      </c>
      <c r="AF172" s="306">
        <f t="shared" si="378"/>
        <v>51224</v>
      </c>
      <c r="AG172" s="307">
        <f t="shared" ref="AG172:AM172" si="379">AG161+AG166+SUM(AG167:AG171)</f>
        <v>52166</v>
      </c>
      <c r="AH172" s="308">
        <f t="shared" si="379"/>
        <v>52166</v>
      </c>
      <c r="AI172" s="305">
        <f t="shared" si="379"/>
        <v>52521</v>
      </c>
      <c r="AJ172" s="306">
        <f t="shared" si="379"/>
        <v>53005</v>
      </c>
      <c r="AK172" s="306">
        <f t="shared" si="379"/>
        <v>52663</v>
      </c>
      <c r="AL172" s="307">
        <f t="shared" si="379"/>
        <v>52187</v>
      </c>
      <c r="AM172" s="308">
        <f t="shared" si="379"/>
        <v>52187</v>
      </c>
      <c r="AN172" s="305">
        <f t="shared" ref="AN172:AO172" si="380">AN161+AN166+SUM(AN167:AN171)</f>
        <v>52695</v>
      </c>
      <c r="AO172" s="306">
        <f t="shared" si="380"/>
        <v>51401</v>
      </c>
      <c r="AP172" s="306">
        <f t="shared" si="378"/>
        <v>51961</v>
      </c>
      <c r="AQ172" s="307">
        <f t="shared" ref="AQ172:AR172" si="381">AQ161+AQ166+SUM(AQ167:AQ171)</f>
        <v>43148</v>
      </c>
      <c r="AR172" s="308">
        <f t="shared" si="381"/>
        <v>43148</v>
      </c>
      <c r="AS172" s="305">
        <f t="shared" ref="AS172:BB172" si="382">AS161+AS166+SUM(AS167:AS171)</f>
        <v>43212</v>
      </c>
      <c r="AT172" s="306">
        <f t="shared" si="382"/>
        <v>43327</v>
      </c>
      <c r="AU172" s="306">
        <f t="shared" si="382"/>
        <v>43649</v>
      </c>
      <c r="AV172" s="307">
        <f t="shared" si="382"/>
        <v>42257</v>
      </c>
      <c r="AW172" s="308">
        <f t="shared" si="382"/>
        <v>42257</v>
      </c>
      <c r="AX172" s="106">
        <f t="shared" si="382"/>
        <v>42142.979541666668</v>
      </c>
      <c r="AY172" s="76">
        <f t="shared" si="382"/>
        <v>42611.555808000005</v>
      </c>
      <c r="AZ172" s="76">
        <f t="shared" si="382"/>
        <v>43129.758611016499</v>
      </c>
      <c r="BA172" s="107">
        <f t="shared" si="382"/>
        <v>43588.617032338261</v>
      </c>
      <c r="BB172" s="308">
        <f t="shared" si="382"/>
        <v>43588.617032338261</v>
      </c>
      <c r="BC172" s="106">
        <f t="shared" ref="BC172:BL172" si="383">BC161+BC166+SUM(BC167:BC171)</f>
        <v>44042.159441087642</v>
      </c>
      <c r="BD172" s="76">
        <f t="shared" si="383"/>
        <v>44489.413511343497</v>
      </c>
      <c r="BE172" s="76">
        <f t="shared" si="383"/>
        <v>44986.406239169744</v>
      </c>
      <c r="BF172" s="107">
        <f t="shared" si="383"/>
        <v>45424.163959226753</v>
      </c>
      <c r="BG172" s="308">
        <f t="shared" si="383"/>
        <v>45424.163959226753</v>
      </c>
      <c r="BH172" s="106">
        <f t="shared" si="383"/>
        <v>45856.712360975696</v>
      </c>
      <c r="BI172" s="76">
        <f t="shared" si="383"/>
        <v>46283.076504485958</v>
      </c>
      <c r="BJ172" s="76">
        <f t="shared" si="383"/>
        <v>46706.280835855221</v>
      </c>
      <c r="BK172" s="107">
        <f t="shared" si="383"/>
        <v>47123.349202251768</v>
      </c>
      <c r="BL172" s="308">
        <f t="shared" si="383"/>
        <v>47123.349202251768</v>
      </c>
      <c r="BM172" s="106">
        <f t="shared" ref="BM172:BQ172" si="384">BM161+BM166+SUM(BM167:BM171)</f>
        <v>47535.304866588267</v>
      </c>
      <c r="BN172" s="76">
        <f t="shared" si="384"/>
        <v>47941.170521836022</v>
      </c>
      <c r="BO172" s="76">
        <f t="shared" si="384"/>
        <v>48343.968304988535</v>
      </c>
      <c r="BP172" s="107">
        <f t="shared" si="384"/>
        <v>48740.719810682989</v>
      </c>
      <c r="BQ172" s="308">
        <f t="shared" si="384"/>
        <v>48740.719810682989</v>
      </c>
    </row>
    <row r="173" spans="1:69">
      <c r="A173" s="92"/>
      <c r="B173" s="89"/>
      <c r="C173" s="89"/>
      <c r="D173" s="166"/>
      <c r="E173" s="160"/>
      <c r="F173" s="83"/>
      <c r="G173" s="83"/>
      <c r="H173" s="161"/>
      <c r="I173" s="21"/>
      <c r="J173" s="160"/>
      <c r="K173" s="83"/>
      <c r="L173" s="83"/>
      <c r="M173" s="161"/>
      <c r="N173" s="21"/>
      <c r="O173" s="160"/>
      <c r="P173" s="83"/>
      <c r="Q173" s="83"/>
      <c r="R173" s="161"/>
      <c r="S173" s="21"/>
      <c r="T173" s="160"/>
      <c r="U173" s="83"/>
      <c r="V173" s="83"/>
      <c r="W173" s="161"/>
      <c r="X173" s="21"/>
      <c r="Y173" s="160"/>
      <c r="Z173" s="83"/>
      <c r="AA173" s="83"/>
      <c r="AB173" s="161"/>
      <c r="AC173" s="21"/>
      <c r="AD173" s="160"/>
      <c r="AE173" s="83"/>
      <c r="AF173" s="83"/>
      <c r="AG173" s="161"/>
      <c r="AH173" s="21"/>
      <c r="AI173" s="160"/>
      <c r="AJ173" s="83"/>
      <c r="AK173" s="83"/>
      <c r="AL173" s="161"/>
      <c r="AM173" s="21"/>
      <c r="AN173" s="160"/>
      <c r="AO173" s="83"/>
      <c r="AP173" s="83"/>
      <c r="AQ173" s="161"/>
      <c r="AR173" s="21"/>
      <c r="AS173" s="160"/>
      <c r="AT173" s="83"/>
      <c r="AU173" s="83"/>
      <c r="AV173" s="161"/>
      <c r="AW173" s="21"/>
      <c r="AX173" s="160"/>
      <c r="AY173" s="83"/>
      <c r="AZ173" s="83"/>
      <c r="BA173" s="161"/>
      <c r="BB173" s="21"/>
      <c r="BC173" s="160"/>
      <c r="BD173" s="83"/>
      <c r="BE173" s="83"/>
      <c r="BF173" s="161"/>
      <c r="BG173" s="21"/>
      <c r="BH173" s="160"/>
      <c r="BI173" s="83"/>
      <c r="BJ173" s="83"/>
      <c r="BK173" s="161"/>
      <c r="BL173" s="21"/>
      <c r="BM173" s="160"/>
      <c r="BN173" s="83"/>
      <c r="BO173" s="83"/>
      <c r="BP173" s="161"/>
      <c r="BQ173" s="21"/>
    </row>
    <row r="174" spans="1:69">
      <c r="A174" s="92"/>
      <c r="B174" s="89"/>
      <c r="C174" s="89" t="s">
        <v>30</v>
      </c>
      <c r="D174" s="166"/>
      <c r="E174" s="301">
        <v>2397</v>
      </c>
      <c r="F174" s="302">
        <v>2397</v>
      </c>
      <c r="G174" s="302">
        <v>1653</v>
      </c>
      <c r="H174" s="303">
        <v>1081</v>
      </c>
      <c r="I174" s="285">
        <f>H174</f>
        <v>1081</v>
      </c>
      <c r="J174" s="301">
        <v>886</v>
      </c>
      <c r="K174" s="302">
        <v>1463</v>
      </c>
      <c r="L174" s="302">
        <v>1000</v>
      </c>
      <c r="M174" s="303">
        <v>700</v>
      </c>
      <c r="N174" s="285">
        <f>M174</f>
        <v>700</v>
      </c>
      <c r="O174" s="301">
        <v>486</v>
      </c>
      <c r="P174" s="302">
        <v>656</v>
      </c>
      <c r="Q174" s="289">
        <v>0</v>
      </c>
      <c r="R174" s="303">
        <v>0</v>
      </c>
      <c r="S174" s="285">
        <f>R174</f>
        <v>0</v>
      </c>
      <c r="T174" s="301">
        <v>1075</v>
      </c>
      <c r="U174" s="302">
        <v>1890</v>
      </c>
      <c r="V174" s="302">
        <v>1604</v>
      </c>
      <c r="W174" s="303">
        <v>1969</v>
      </c>
      <c r="X174" s="285">
        <f>W174</f>
        <v>1969</v>
      </c>
      <c r="Y174" s="301">
        <v>2150</v>
      </c>
      <c r="Z174" s="302">
        <v>3254</v>
      </c>
      <c r="AA174" s="302">
        <v>3404</v>
      </c>
      <c r="AB174" s="303">
        <v>3404</v>
      </c>
      <c r="AC174" s="285">
        <f>AB174</f>
        <v>3404</v>
      </c>
      <c r="AD174" s="301">
        <v>3085</v>
      </c>
      <c r="AE174" s="302">
        <v>2323</v>
      </c>
      <c r="AF174" s="302">
        <v>1621</v>
      </c>
      <c r="AG174" s="303">
        <v>1799</v>
      </c>
      <c r="AH174" s="285">
        <f>AG174</f>
        <v>1799</v>
      </c>
      <c r="AI174" s="301">
        <v>2559</v>
      </c>
      <c r="AJ174" s="302">
        <v>2908</v>
      </c>
      <c r="AK174" s="302">
        <v>1933</v>
      </c>
      <c r="AL174" s="303">
        <v>1708</v>
      </c>
      <c r="AM174" s="285">
        <f>AL174</f>
        <v>1708</v>
      </c>
      <c r="AN174" s="301">
        <v>2125</v>
      </c>
      <c r="AO174" s="302">
        <v>2925</v>
      </c>
      <c r="AP174" s="302">
        <v>2975</v>
      </c>
      <c r="AQ174" s="303">
        <v>2675</v>
      </c>
      <c r="AR174" s="285">
        <f>AQ174</f>
        <v>2675</v>
      </c>
      <c r="AS174" s="301">
        <v>2750</v>
      </c>
      <c r="AT174" s="302">
        <v>225</v>
      </c>
      <c r="AU174" s="302">
        <v>500</v>
      </c>
      <c r="AV174" s="303">
        <v>300</v>
      </c>
      <c r="AW174" s="285">
        <f>AV174</f>
        <v>300</v>
      </c>
      <c r="AX174" s="114">
        <f>AW174+AX151</f>
        <v>141.32087184912007</v>
      </c>
      <c r="AY174" s="115">
        <f>AX174+AY151</f>
        <v>1542.7232329382909</v>
      </c>
      <c r="AZ174" s="115">
        <f>AY174+AZ151</f>
        <v>947.18478912700209</v>
      </c>
      <c r="BA174" s="105">
        <f>AZ174+BA151</f>
        <v>1546.889247925114</v>
      </c>
      <c r="BB174" s="285">
        <f>BA174</f>
        <v>1546.889247925114</v>
      </c>
      <c r="BC174" s="114">
        <f>BB174+BC151</f>
        <v>2428.7487747860014</v>
      </c>
      <c r="BD174" s="115">
        <f>BC174+BD151</f>
        <v>1100.3468917885464</v>
      </c>
      <c r="BE174" s="115">
        <f>BD174+BE151</f>
        <v>1446.4759945733808</v>
      </c>
      <c r="BF174" s="105">
        <f>BE174+BF151</f>
        <v>1840.919313141643</v>
      </c>
      <c r="BG174" s="285">
        <f>BF174</f>
        <v>1840.919313141643</v>
      </c>
      <c r="BH174" s="114">
        <f>BG174+BH151</f>
        <v>2430.9775731262075</v>
      </c>
      <c r="BI174" s="115">
        <f>BH174+BI151</f>
        <v>1297.6543589542125</v>
      </c>
      <c r="BJ174" s="115">
        <f>BI174+BJ151</f>
        <v>1431.6605800438024</v>
      </c>
      <c r="BK174" s="105">
        <f>BJ174+BK151</f>
        <v>1711.0966512499276</v>
      </c>
      <c r="BL174" s="285">
        <f>BK174</f>
        <v>1711.0966512499276</v>
      </c>
      <c r="BM174" s="114">
        <f>BL174+BM151</f>
        <v>1881.370757358186</v>
      </c>
      <c r="BN174" s="115">
        <f>BM174+BN151</f>
        <v>1601.3545971230958</v>
      </c>
      <c r="BO174" s="115">
        <f>BN174+BO151</f>
        <v>1581.314541403214</v>
      </c>
      <c r="BP174" s="105">
        <f>BO174+BP151</f>
        <v>1770.7002255510492</v>
      </c>
      <c r="BQ174" s="285">
        <f>BP174</f>
        <v>1770.7002255510492</v>
      </c>
    </row>
    <row r="175" spans="1:69">
      <c r="A175" s="92"/>
      <c r="B175" s="89"/>
      <c r="C175" s="89" t="s">
        <v>934</v>
      </c>
      <c r="D175" s="166"/>
      <c r="E175" s="301">
        <v>2144</v>
      </c>
      <c r="F175" s="302">
        <v>1984</v>
      </c>
      <c r="G175" s="302">
        <v>2020</v>
      </c>
      <c r="H175" s="303">
        <v>1834</v>
      </c>
      <c r="I175" s="285">
        <f>H175</f>
        <v>1834</v>
      </c>
      <c r="J175" s="301">
        <v>1783</v>
      </c>
      <c r="K175" s="302">
        <v>1571</v>
      </c>
      <c r="L175" s="302">
        <v>1590</v>
      </c>
      <c r="M175" s="303">
        <v>1486</v>
      </c>
      <c r="N175" s="285">
        <f>M175</f>
        <v>1486</v>
      </c>
      <c r="O175" s="301">
        <v>1385</v>
      </c>
      <c r="P175" s="302">
        <v>2058</v>
      </c>
      <c r="Q175" s="289">
        <v>1840</v>
      </c>
      <c r="R175" s="303">
        <v>1621</v>
      </c>
      <c r="S175" s="285">
        <f>R175</f>
        <v>1621</v>
      </c>
      <c r="T175" s="301">
        <v>1772</v>
      </c>
      <c r="U175" s="302">
        <v>1577</v>
      </c>
      <c r="V175" s="302">
        <v>1473</v>
      </c>
      <c r="W175" s="303">
        <v>1999</v>
      </c>
      <c r="X175" s="285">
        <f>W175</f>
        <v>1999</v>
      </c>
      <c r="Y175" s="301">
        <v>2296</v>
      </c>
      <c r="Z175" s="302">
        <v>1952</v>
      </c>
      <c r="AA175" s="302">
        <v>1889</v>
      </c>
      <c r="AB175" s="303">
        <v>1415</v>
      </c>
      <c r="AC175" s="285">
        <f>AB175</f>
        <v>1415</v>
      </c>
      <c r="AD175" s="301">
        <v>1416</v>
      </c>
      <c r="AE175" s="302">
        <v>1016</v>
      </c>
      <c r="AF175" s="302">
        <v>1386</v>
      </c>
      <c r="AG175" s="303">
        <v>804</v>
      </c>
      <c r="AH175" s="285">
        <f>AG175</f>
        <v>804</v>
      </c>
      <c r="AI175" s="301">
        <v>787</v>
      </c>
      <c r="AJ175" s="302">
        <v>1292</v>
      </c>
      <c r="AK175" s="302">
        <v>1148</v>
      </c>
      <c r="AL175" s="303">
        <v>1166</v>
      </c>
      <c r="AM175" s="285">
        <f>AL175</f>
        <v>1166</v>
      </c>
      <c r="AN175" s="301">
        <v>1355</v>
      </c>
      <c r="AO175" s="302">
        <v>1327</v>
      </c>
      <c r="AP175" s="302">
        <v>1216</v>
      </c>
      <c r="AQ175" s="303">
        <v>1685</v>
      </c>
      <c r="AR175" s="285">
        <f>AQ175</f>
        <v>1685</v>
      </c>
      <c r="AS175" s="301">
        <v>2147</v>
      </c>
      <c r="AT175" s="302">
        <v>2015</v>
      </c>
      <c r="AU175" s="302">
        <v>1076</v>
      </c>
      <c r="AV175" s="303">
        <v>1082</v>
      </c>
      <c r="AW175" s="285">
        <f>AV175</f>
        <v>1082</v>
      </c>
      <c r="AX175" s="114">
        <f>-SUM(AY142:BA142,BC142)</f>
        <v>1263.862292</v>
      </c>
      <c r="AY175" s="115">
        <f>-SUM(AZ142:BA142,BC142:BD142)</f>
        <v>1183.1399999999999</v>
      </c>
      <c r="AZ175" s="115">
        <f>-SUM(BA142,BC142:BE142)</f>
        <v>2801.1022159999998</v>
      </c>
      <c r="BA175" s="105">
        <f>-SUM(BC142:BF142)</f>
        <v>2633.5952159999997</v>
      </c>
      <c r="BB175" s="298">
        <f>BA175</f>
        <v>2633.5952159999997</v>
      </c>
      <c r="BC175" s="114">
        <f>-SUM(BD142:BF142,BH142)</f>
        <v>2386.5532689999995</v>
      </c>
      <c r="BD175" s="115">
        <f>-SUM(BE142:BF142,BH142:BI142)</f>
        <v>2421.4132689999997</v>
      </c>
      <c r="BE175" s="115">
        <f>-SUM(BF142,BH142:BJ142)</f>
        <v>937.451053</v>
      </c>
      <c r="BF175" s="105">
        <f>-SUM(BH142:BK142)</f>
        <v>779.95805300000006</v>
      </c>
      <c r="BG175" s="298">
        <f>BF175</f>
        <v>779.95805300000006</v>
      </c>
      <c r="BH175" s="114">
        <f>-SUM(BI142:BK142)</f>
        <v>427</v>
      </c>
      <c r="BI175" s="115">
        <f>-SUM(BJ142:BK142)</f>
        <v>177</v>
      </c>
      <c r="BJ175" s="115">
        <f>-BK142</f>
        <v>0</v>
      </c>
      <c r="BK175" s="111">
        <v>0</v>
      </c>
      <c r="BL175" s="285">
        <f>BK175</f>
        <v>0</v>
      </c>
      <c r="BM175" s="114">
        <f>-SUM(BN142:BP142)</f>
        <v>1583.444</v>
      </c>
      <c r="BN175" s="115">
        <f>-SUM(BO142:BP142)</f>
        <v>332.30500000000001</v>
      </c>
      <c r="BO175" s="115">
        <f>-BP142</f>
        <v>0</v>
      </c>
      <c r="BP175" s="111">
        <v>0</v>
      </c>
      <c r="BQ175" s="285">
        <f>BP175</f>
        <v>0</v>
      </c>
    </row>
    <row r="176" spans="1:69">
      <c r="A176" s="92"/>
      <c r="B176" s="89"/>
      <c r="C176" s="89" t="s">
        <v>243</v>
      </c>
      <c r="D176" s="166"/>
      <c r="E176" s="301">
        <v>704</v>
      </c>
      <c r="F176" s="302">
        <v>806</v>
      </c>
      <c r="G176" s="302">
        <v>692</v>
      </c>
      <c r="H176" s="303">
        <v>829</v>
      </c>
      <c r="I176" s="285">
        <f>H176</f>
        <v>829</v>
      </c>
      <c r="J176" s="301">
        <v>772</v>
      </c>
      <c r="K176" s="302">
        <v>848</v>
      </c>
      <c r="L176" s="302">
        <v>813</v>
      </c>
      <c r="M176" s="303">
        <v>872</v>
      </c>
      <c r="N176" s="285">
        <f>M176</f>
        <v>872</v>
      </c>
      <c r="O176" s="301">
        <v>1080</v>
      </c>
      <c r="P176" s="302">
        <v>1122</v>
      </c>
      <c r="Q176" s="289">
        <v>1009</v>
      </c>
      <c r="R176" s="303">
        <v>1174</v>
      </c>
      <c r="S176" s="285">
        <f>R176</f>
        <v>1174</v>
      </c>
      <c r="T176" s="301">
        <v>918</v>
      </c>
      <c r="U176" s="302">
        <v>1052</v>
      </c>
      <c r="V176" s="302">
        <v>925</v>
      </c>
      <c r="W176" s="303">
        <v>1599</v>
      </c>
      <c r="X176" s="285">
        <f>W176</f>
        <v>1599</v>
      </c>
      <c r="Y176" s="301">
        <v>982</v>
      </c>
      <c r="Z176" s="302">
        <v>950</v>
      </c>
      <c r="AA176" s="302">
        <v>995</v>
      </c>
      <c r="AB176" s="303">
        <v>1250</v>
      </c>
      <c r="AC176" s="285">
        <f>AB176</f>
        <v>1250</v>
      </c>
      <c r="AD176" s="301">
        <v>1455</v>
      </c>
      <c r="AE176" s="302">
        <v>1341</v>
      </c>
      <c r="AF176" s="302">
        <v>1190</v>
      </c>
      <c r="AG176" s="303">
        <v>1279</v>
      </c>
      <c r="AH176" s="285">
        <f>AG176</f>
        <v>1279</v>
      </c>
      <c r="AI176" s="301">
        <v>1102</v>
      </c>
      <c r="AJ176" s="302">
        <v>1034</v>
      </c>
      <c r="AK176" s="302">
        <v>994</v>
      </c>
      <c r="AL176" s="303">
        <v>1075</v>
      </c>
      <c r="AM176" s="285">
        <f>AL176</f>
        <v>1075</v>
      </c>
      <c r="AN176" s="301">
        <v>1000</v>
      </c>
      <c r="AO176" s="302">
        <v>938</v>
      </c>
      <c r="AP176" s="302">
        <v>944</v>
      </c>
      <c r="AQ176" s="303">
        <v>1043</v>
      </c>
      <c r="AR176" s="285">
        <f>AQ176</f>
        <v>1043</v>
      </c>
      <c r="AS176" s="301">
        <v>977</v>
      </c>
      <c r="AT176" s="302">
        <v>932</v>
      </c>
      <c r="AU176" s="302">
        <v>924</v>
      </c>
      <c r="AV176" s="303">
        <v>1027</v>
      </c>
      <c r="AW176" s="285">
        <f>AV176</f>
        <v>1027</v>
      </c>
      <c r="AX176" s="114">
        <f t="shared" ref="AX176:BA177" si="385">AW176</f>
        <v>1027</v>
      </c>
      <c r="AY176" s="115">
        <f t="shared" si="385"/>
        <v>1027</v>
      </c>
      <c r="AZ176" s="115">
        <f t="shared" si="385"/>
        <v>1027</v>
      </c>
      <c r="BA176" s="105">
        <f t="shared" si="385"/>
        <v>1027</v>
      </c>
      <c r="BB176" s="285">
        <f>BA176</f>
        <v>1027</v>
      </c>
      <c r="BC176" s="114">
        <f t="shared" ref="BC176:BF177" si="386">BB176</f>
        <v>1027</v>
      </c>
      <c r="BD176" s="115">
        <f t="shared" si="386"/>
        <v>1027</v>
      </c>
      <c r="BE176" s="115">
        <f t="shared" si="386"/>
        <v>1027</v>
      </c>
      <c r="BF176" s="105">
        <f t="shared" si="386"/>
        <v>1027</v>
      </c>
      <c r="BG176" s="285">
        <f>BF176</f>
        <v>1027</v>
      </c>
      <c r="BH176" s="114">
        <f t="shared" ref="BH176:BK177" si="387">BG176</f>
        <v>1027</v>
      </c>
      <c r="BI176" s="115">
        <f t="shared" si="387"/>
        <v>1027</v>
      </c>
      <c r="BJ176" s="115">
        <f t="shared" si="387"/>
        <v>1027</v>
      </c>
      <c r="BK176" s="105">
        <f t="shared" si="387"/>
        <v>1027</v>
      </c>
      <c r="BL176" s="285">
        <f>BK176</f>
        <v>1027</v>
      </c>
      <c r="BM176" s="114">
        <f t="shared" ref="BM176:BM177" si="388">BL176</f>
        <v>1027</v>
      </c>
      <c r="BN176" s="115">
        <f t="shared" ref="BN176:BN177" si="389">BM176</f>
        <v>1027</v>
      </c>
      <c r="BO176" s="115">
        <f t="shared" ref="BO176:BO177" si="390">BN176</f>
        <v>1027</v>
      </c>
      <c r="BP176" s="105">
        <f t="shared" ref="BP176:BP177" si="391">BO176</f>
        <v>1027</v>
      </c>
      <c r="BQ176" s="285">
        <f>BP176</f>
        <v>1027</v>
      </c>
    </row>
    <row r="177" spans="1:77">
      <c r="A177" s="92"/>
      <c r="B177" s="89"/>
      <c r="C177" s="89" t="s">
        <v>244</v>
      </c>
      <c r="D177" s="166"/>
      <c r="E177" s="301">
        <f>281+1169</f>
        <v>1450</v>
      </c>
      <c r="F177" s="302">
        <f>259+782</f>
        <v>1041</v>
      </c>
      <c r="G177" s="302">
        <f>257+1114</f>
        <v>1371</v>
      </c>
      <c r="H177" s="303">
        <f>314+293+126+711</f>
        <v>1444</v>
      </c>
      <c r="I177" s="285">
        <f>H177</f>
        <v>1444</v>
      </c>
      <c r="J177" s="301">
        <f>266+1179</f>
        <v>1445</v>
      </c>
      <c r="K177" s="302">
        <f>256+907</f>
        <v>1163</v>
      </c>
      <c r="L177" s="302">
        <f>230+1339</f>
        <v>1569</v>
      </c>
      <c r="M177" s="303">
        <f>332+315+266+733</f>
        <v>1646</v>
      </c>
      <c r="N177" s="285">
        <f>M177</f>
        <v>1646</v>
      </c>
      <c r="O177" s="301">
        <f>412+312+425+1062</f>
        <v>2211</v>
      </c>
      <c r="P177" s="302">
        <f>399+331+287+691</f>
        <v>1708</v>
      </c>
      <c r="Q177" s="289">
        <f>482+350+202+980</f>
        <v>2014</v>
      </c>
      <c r="R177" s="303">
        <f>558+384+218+900</f>
        <v>2060</v>
      </c>
      <c r="S177" s="285">
        <f>R177</f>
        <v>2060</v>
      </c>
      <c r="T177" s="301">
        <f>442+258+299+1009</f>
        <v>2008</v>
      </c>
      <c r="U177" s="302">
        <f>436+288+222+617</f>
        <v>1563</v>
      </c>
      <c r="V177" s="302">
        <f>508+313+155+942</f>
        <v>1918</v>
      </c>
      <c r="W177" s="303">
        <f>543+331+126+1038</f>
        <v>2038</v>
      </c>
      <c r="X177" s="285">
        <f>W177</f>
        <v>2038</v>
      </c>
      <c r="Y177" s="301">
        <f>392+240+126+946</f>
        <v>1704</v>
      </c>
      <c r="Z177" s="302">
        <f>338+298+142+599</f>
        <v>1377</v>
      </c>
      <c r="AA177" s="302">
        <f>401+289+105+872</f>
        <v>1667</v>
      </c>
      <c r="AB177" s="303">
        <f>485+351+111+621</f>
        <v>1568</v>
      </c>
      <c r="AC177" s="285">
        <f>AB177</f>
        <v>1568</v>
      </c>
      <c r="AD177" s="301">
        <f>527+232+159+863</f>
        <v>1781</v>
      </c>
      <c r="AE177" s="302">
        <f>397+283+201+612</f>
        <v>1493</v>
      </c>
      <c r="AF177" s="302">
        <f>489+277+166+850</f>
        <v>1782</v>
      </c>
      <c r="AG177" s="303">
        <f>490+329+167+693</f>
        <v>1679</v>
      </c>
      <c r="AH177" s="285">
        <f>AG177</f>
        <v>1679</v>
      </c>
      <c r="AI177" s="301">
        <f>503+249+154+908</f>
        <v>1814</v>
      </c>
      <c r="AJ177" s="302">
        <f>467+323+160+605</f>
        <v>1555</v>
      </c>
      <c r="AK177" s="302">
        <f>508+345+124+824</f>
        <v>1801</v>
      </c>
      <c r="AL177" s="303">
        <f>519+334+106+694</f>
        <v>1653</v>
      </c>
      <c r="AM177" s="285">
        <f>AL177</f>
        <v>1653</v>
      </c>
      <c r="AN177" s="301">
        <f>513+309+117+970</f>
        <v>1909</v>
      </c>
      <c r="AO177" s="302">
        <f>439+341+102+687</f>
        <v>1569</v>
      </c>
      <c r="AP177" s="302">
        <f>537+365+91+915</f>
        <v>1908</v>
      </c>
      <c r="AQ177" s="303">
        <f>580+363+78+42+660</f>
        <v>1723</v>
      </c>
      <c r="AR177" s="285">
        <f>AQ177</f>
        <v>1723</v>
      </c>
      <c r="AS177" s="301">
        <f>555+307+27+46+848</f>
        <v>1783</v>
      </c>
      <c r="AT177" s="302">
        <f>518+293+18+27+619</f>
        <v>1475</v>
      </c>
      <c r="AU177" s="302">
        <f>520+337+31+867</f>
        <v>1755</v>
      </c>
      <c r="AV177" s="303">
        <f>571+336+39+722</f>
        <v>1668</v>
      </c>
      <c r="AW177" s="285">
        <f>AV177</f>
        <v>1668</v>
      </c>
      <c r="AX177" s="114">
        <f t="shared" si="385"/>
        <v>1668</v>
      </c>
      <c r="AY177" s="115">
        <f t="shared" si="385"/>
        <v>1668</v>
      </c>
      <c r="AZ177" s="115">
        <f t="shared" si="385"/>
        <v>1668</v>
      </c>
      <c r="BA177" s="105">
        <f t="shared" si="385"/>
        <v>1668</v>
      </c>
      <c r="BB177" s="285">
        <f>BA177</f>
        <v>1668</v>
      </c>
      <c r="BC177" s="114">
        <f t="shared" si="386"/>
        <v>1668</v>
      </c>
      <c r="BD177" s="115">
        <f t="shared" si="386"/>
        <v>1668</v>
      </c>
      <c r="BE177" s="115">
        <f t="shared" si="386"/>
        <v>1668</v>
      </c>
      <c r="BF177" s="105">
        <f t="shared" si="386"/>
        <v>1668</v>
      </c>
      <c r="BG177" s="285">
        <f>BF177</f>
        <v>1668</v>
      </c>
      <c r="BH177" s="114">
        <f t="shared" si="387"/>
        <v>1668</v>
      </c>
      <c r="BI177" s="115">
        <f t="shared" si="387"/>
        <v>1668</v>
      </c>
      <c r="BJ177" s="115">
        <f t="shared" si="387"/>
        <v>1668</v>
      </c>
      <c r="BK177" s="105">
        <f t="shared" si="387"/>
        <v>1668</v>
      </c>
      <c r="BL177" s="285">
        <f>BK177</f>
        <v>1668</v>
      </c>
      <c r="BM177" s="114">
        <f t="shared" si="388"/>
        <v>1668</v>
      </c>
      <c r="BN177" s="115">
        <f t="shared" si="389"/>
        <v>1668</v>
      </c>
      <c r="BO177" s="115">
        <f t="shared" si="390"/>
        <v>1668</v>
      </c>
      <c r="BP177" s="105">
        <f t="shared" si="391"/>
        <v>1668</v>
      </c>
      <c r="BQ177" s="285">
        <f>BP177</f>
        <v>1668</v>
      </c>
    </row>
    <row r="178" spans="1:77">
      <c r="A178" s="92"/>
      <c r="B178" s="89"/>
      <c r="C178" s="88" t="s">
        <v>245</v>
      </c>
      <c r="D178" s="166"/>
      <c r="E178" s="305">
        <f>SUM(E174:E177)</f>
        <v>6695</v>
      </c>
      <c r="F178" s="306">
        <f t="shared" ref="F178:T178" si="392">SUM(F174:F177)</f>
        <v>6228</v>
      </c>
      <c r="G178" s="306">
        <f t="shared" si="392"/>
        <v>5736</v>
      </c>
      <c r="H178" s="307">
        <f t="shared" si="392"/>
        <v>5188</v>
      </c>
      <c r="I178" s="308">
        <f t="shared" si="392"/>
        <v>5188</v>
      </c>
      <c r="J178" s="305">
        <f t="shared" si="392"/>
        <v>4886</v>
      </c>
      <c r="K178" s="306">
        <f t="shared" si="392"/>
        <v>5045</v>
      </c>
      <c r="L178" s="306">
        <f t="shared" si="392"/>
        <v>4972</v>
      </c>
      <c r="M178" s="307">
        <f t="shared" si="392"/>
        <v>4704</v>
      </c>
      <c r="N178" s="308">
        <f t="shared" si="392"/>
        <v>4704</v>
      </c>
      <c r="O178" s="305">
        <f t="shared" si="392"/>
        <v>5162</v>
      </c>
      <c r="P178" s="306">
        <f t="shared" si="392"/>
        <v>5544</v>
      </c>
      <c r="Q178" s="306">
        <f t="shared" si="392"/>
        <v>4863</v>
      </c>
      <c r="R178" s="307">
        <f t="shared" si="392"/>
        <v>4855</v>
      </c>
      <c r="S178" s="308">
        <f t="shared" si="392"/>
        <v>4855</v>
      </c>
      <c r="T178" s="305">
        <f t="shared" si="392"/>
        <v>5773</v>
      </c>
      <c r="U178" s="306">
        <f>SUM(U174:U177)</f>
        <v>6082</v>
      </c>
      <c r="V178" s="306">
        <f>SUM(V174:V177)</f>
        <v>5920</v>
      </c>
      <c r="W178" s="307">
        <f>SUM(W174:W177)</f>
        <v>7605</v>
      </c>
      <c r="X178" s="308">
        <f>SUM(X174:X177)</f>
        <v>7605</v>
      </c>
      <c r="Y178" s="305">
        <f>SUM(Y174:Y177)</f>
        <v>7132</v>
      </c>
      <c r="Z178" s="306">
        <f t="shared" ref="Z178:AF178" si="393">SUM(Z174:Z177)</f>
        <v>7533</v>
      </c>
      <c r="AA178" s="306">
        <f t="shared" si="393"/>
        <v>7955</v>
      </c>
      <c r="AB178" s="307">
        <f t="shared" si="393"/>
        <v>7637</v>
      </c>
      <c r="AC178" s="308">
        <f t="shared" si="393"/>
        <v>7637</v>
      </c>
      <c r="AD178" s="305">
        <f t="shared" si="393"/>
        <v>7737</v>
      </c>
      <c r="AE178" s="306">
        <f t="shared" si="393"/>
        <v>6173</v>
      </c>
      <c r="AF178" s="306">
        <f t="shared" si="393"/>
        <v>5979</v>
      </c>
      <c r="AG178" s="307">
        <f t="shared" ref="AG178:AR178" si="394">SUM(AG174:AG177)</f>
        <v>5561</v>
      </c>
      <c r="AH178" s="308">
        <f t="shared" si="394"/>
        <v>5561</v>
      </c>
      <c r="AI178" s="305">
        <f t="shared" si="394"/>
        <v>6262</v>
      </c>
      <c r="AJ178" s="306">
        <f t="shared" si="394"/>
        <v>6789</v>
      </c>
      <c r="AK178" s="306">
        <f t="shared" ref="AK178:AM178" si="395">SUM(AK174:AK177)</f>
        <v>5876</v>
      </c>
      <c r="AL178" s="307">
        <f t="shared" si="395"/>
        <v>5602</v>
      </c>
      <c r="AM178" s="308">
        <f t="shared" si="395"/>
        <v>5602</v>
      </c>
      <c r="AN178" s="305">
        <f t="shared" ref="AN178:AO178" si="396">SUM(AN174:AN177)</f>
        <v>6389</v>
      </c>
      <c r="AO178" s="306">
        <f t="shared" si="396"/>
        <v>6759</v>
      </c>
      <c r="AP178" s="306">
        <f t="shared" si="394"/>
        <v>7043</v>
      </c>
      <c r="AQ178" s="307">
        <f t="shared" si="394"/>
        <v>7126</v>
      </c>
      <c r="AR178" s="308">
        <f t="shared" si="394"/>
        <v>7126</v>
      </c>
      <c r="AS178" s="305">
        <f t="shared" ref="AS178:BB178" si="397">SUM(AS174:AS177)</f>
        <v>7657</v>
      </c>
      <c r="AT178" s="306">
        <f t="shared" si="397"/>
        <v>4647</v>
      </c>
      <c r="AU178" s="306">
        <f t="shared" si="397"/>
        <v>4255</v>
      </c>
      <c r="AV178" s="307">
        <f t="shared" si="397"/>
        <v>4077</v>
      </c>
      <c r="AW178" s="308">
        <f t="shared" si="397"/>
        <v>4077</v>
      </c>
      <c r="AX178" s="106">
        <f t="shared" si="397"/>
        <v>4100.1831638491203</v>
      </c>
      <c r="AY178" s="76">
        <f t="shared" si="397"/>
        <v>5420.8632329382908</v>
      </c>
      <c r="AZ178" s="76">
        <f t="shared" si="397"/>
        <v>6443.287005127002</v>
      </c>
      <c r="BA178" s="107">
        <f t="shared" si="397"/>
        <v>6875.4844639251132</v>
      </c>
      <c r="BB178" s="308">
        <f t="shared" si="397"/>
        <v>6875.4844639251132</v>
      </c>
      <c r="BC178" s="106">
        <f t="shared" ref="BC178:BL178" si="398">SUM(BC174:BC177)</f>
        <v>7510.3020437860014</v>
      </c>
      <c r="BD178" s="76">
        <f t="shared" si="398"/>
        <v>6216.7601607885463</v>
      </c>
      <c r="BE178" s="76">
        <f t="shared" si="398"/>
        <v>5078.9270475733811</v>
      </c>
      <c r="BF178" s="107">
        <f t="shared" si="398"/>
        <v>5315.8773661416435</v>
      </c>
      <c r="BG178" s="308">
        <f t="shared" si="398"/>
        <v>5315.8773661416435</v>
      </c>
      <c r="BH178" s="106">
        <f t="shared" si="398"/>
        <v>5552.9775731262071</v>
      </c>
      <c r="BI178" s="76">
        <f t="shared" si="398"/>
        <v>4169.6543589542125</v>
      </c>
      <c r="BJ178" s="76">
        <f t="shared" si="398"/>
        <v>4126.6605800438028</v>
      </c>
      <c r="BK178" s="107">
        <f t="shared" si="398"/>
        <v>4406.0966512499272</v>
      </c>
      <c r="BL178" s="308">
        <f t="shared" si="398"/>
        <v>4406.0966512499272</v>
      </c>
      <c r="BM178" s="106">
        <f t="shared" ref="BM178:BQ178" si="399">SUM(BM174:BM177)</f>
        <v>6159.8147573581864</v>
      </c>
      <c r="BN178" s="76">
        <f t="shared" si="399"/>
        <v>4628.6595971230963</v>
      </c>
      <c r="BO178" s="76">
        <f t="shared" si="399"/>
        <v>4276.3145414032142</v>
      </c>
      <c r="BP178" s="107">
        <f t="shared" si="399"/>
        <v>4465.7002255510488</v>
      </c>
      <c r="BQ178" s="308">
        <f t="shared" si="399"/>
        <v>4465.7002255510488</v>
      </c>
    </row>
    <row r="179" spans="1:77">
      <c r="A179" s="92"/>
      <c r="B179" s="89"/>
      <c r="C179" s="89"/>
      <c r="D179" s="166"/>
      <c r="E179" s="169"/>
      <c r="F179" s="167"/>
      <c r="G179" s="167"/>
      <c r="H179" s="168"/>
      <c r="I179" s="21"/>
      <c r="J179" s="169"/>
      <c r="K179" s="167"/>
      <c r="L179" s="167"/>
      <c r="M179" s="168"/>
      <c r="N179" s="21"/>
      <c r="O179" s="169"/>
      <c r="P179" s="167"/>
      <c r="Q179" s="167"/>
      <c r="R179" s="168"/>
      <c r="S179" s="21"/>
      <c r="T179" s="169"/>
      <c r="U179" s="167"/>
      <c r="V179" s="167"/>
      <c r="W179" s="168"/>
      <c r="X179" s="21"/>
      <c r="Y179" s="169"/>
      <c r="Z179" s="167"/>
      <c r="AA179" s="167"/>
      <c r="AB179" s="168"/>
      <c r="AC179" s="21"/>
      <c r="AD179" s="169"/>
      <c r="AE179" s="167"/>
      <c r="AF179" s="167"/>
      <c r="AG179" s="168"/>
      <c r="AH179" s="21"/>
      <c r="AI179" s="169"/>
      <c r="AJ179" s="167"/>
      <c r="AK179" s="167"/>
      <c r="AL179" s="168"/>
      <c r="AM179" s="21"/>
      <c r="AN179" s="169"/>
      <c r="AO179" s="167"/>
      <c r="AP179" s="167"/>
      <c r="AQ179" s="168"/>
      <c r="AR179" s="21"/>
      <c r="AS179" s="169"/>
      <c r="AT179" s="167"/>
      <c r="AU179" s="167"/>
      <c r="AV179" s="168"/>
      <c r="AW179" s="21"/>
      <c r="AX179" s="169"/>
      <c r="AY179" s="167"/>
      <c r="AZ179" s="167"/>
      <c r="BA179" s="168"/>
      <c r="BB179" s="21"/>
      <c r="BC179" s="169"/>
      <c r="BD179" s="167"/>
      <c r="BE179" s="167"/>
      <c r="BF179" s="168"/>
      <c r="BG179" s="21"/>
      <c r="BH179" s="169"/>
      <c r="BI179" s="167"/>
      <c r="BJ179" s="167"/>
      <c r="BK179" s="168"/>
      <c r="BL179" s="21"/>
      <c r="BM179" s="169"/>
      <c r="BN179" s="167"/>
      <c r="BO179" s="167"/>
      <c r="BP179" s="168"/>
      <c r="BQ179" s="21"/>
    </row>
    <row r="180" spans="1:77">
      <c r="A180" s="92"/>
      <c r="B180" s="89"/>
      <c r="C180" s="89" t="s">
        <v>31</v>
      </c>
      <c r="D180" s="166"/>
      <c r="E180" s="301">
        <v>9697</v>
      </c>
      <c r="F180" s="302">
        <v>10399</v>
      </c>
      <c r="G180" s="302">
        <v>11647</v>
      </c>
      <c r="H180" s="303">
        <v>12008</v>
      </c>
      <c r="I180" s="285">
        <f>H180</f>
        <v>12008</v>
      </c>
      <c r="J180" s="301">
        <v>11847</v>
      </c>
      <c r="K180" s="302">
        <v>11861</v>
      </c>
      <c r="L180" s="302">
        <v>12104</v>
      </c>
      <c r="M180" s="303">
        <v>12579</v>
      </c>
      <c r="N180" s="285">
        <f>M180</f>
        <v>12579</v>
      </c>
      <c r="O180" s="301">
        <v>17535</v>
      </c>
      <c r="P180" s="302">
        <v>16491</v>
      </c>
      <c r="Q180" s="289">
        <v>15823</v>
      </c>
      <c r="R180" s="303">
        <v>15716</v>
      </c>
      <c r="S180" s="285">
        <f>R180</f>
        <v>15716</v>
      </c>
      <c r="T180" s="301">
        <v>15527</v>
      </c>
      <c r="U180" s="302">
        <v>15159</v>
      </c>
      <c r="V180" s="302">
        <v>15627</v>
      </c>
      <c r="W180" s="303">
        <v>15179</v>
      </c>
      <c r="X180" s="285">
        <f>W180</f>
        <v>15179</v>
      </c>
      <c r="Y180" s="301">
        <v>15814</v>
      </c>
      <c r="Z180" s="302">
        <v>15449</v>
      </c>
      <c r="AA180" s="302">
        <v>15291</v>
      </c>
      <c r="AB180" s="303">
        <v>15831</v>
      </c>
      <c r="AC180" s="285">
        <f>AB180</f>
        <v>15831</v>
      </c>
      <c r="AD180" s="301">
        <v>16804</v>
      </c>
      <c r="AE180" s="302">
        <v>18415</v>
      </c>
      <c r="AF180" s="302">
        <v>18531</v>
      </c>
      <c r="AG180" s="303">
        <v>19176</v>
      </c>
      <c r="AH180" s="285">
        <f>AG180</f>
        <v>19176</v>
      </c>
      <c r="AI180" s="301">
        <v>19130</v>
      </c>
      <c r="AJ180" s="302">
        <v>18570</v>
      </c>
      <c r="AK180" s="302">
        <v>19093</v>
      </c>
      <c r="AL180" s="303">
        <v>19192</v>
      </c>
      <c r="AM180" s="285">
        <f>AL180</f>
        <v>19192</v>
      </c>
      <c r="AN180" s="301">
        <v>18878</v>
      </c>
      <c r="AO180" s="302">
        <v>18348</v>
      </c>
      <c r="AP180" s="302">
        <v>18532</v>
      </c>
      <c r="AQ180" s="303">
        <v>18192</v>
      </c>
      <c r="AR180" s="285">
        <f>AQ180</f>
        <v>18192</v>
      </c>
      <c r="AS180" s="301">
        <v>17762</v>
      </c>
      <c r="AT180" s="302">
        <v>20582</v>
      </c>
      <c r="AU180" s="302">
        <v>21089</v>
      </c>
      <c r="AV180" s="303">
        <v>21115</v>
      </c>
      <c r="AW180" s="285">
        <f>AV180</f>
        <v>21115</v>
      </c>
      <c r="AX180" s="114">
        <f>AX202-AX175</f>
        <v>21103.137707999998</v>
      </c>
      <c r="AY180" s="115">
        <f>AY202-AY175</f>
        <v>20887.997707999999</v>
      </c>
      <c r="AZ180" s="115">
        <f>AZ202-AZ175</f>
        <v>20027.035491999999</v>
      </c>
      <c r="BA180" s="105">
        <f>BA202-BA175</f>
        <v>19869.542492</v>
      </c>
      <c r="BB180" s="285">
        <f>BA180</f>
        <v>19869.542492</v>
      </c>
      <c r="BC180" s="114">
        <f>BC202-BC175</f>
        <v>19516.584438999998</v>
      </c>
      <c r="BD180" s="115">
        <f>BD202-BD175</f>
        <v>21166.584438999998</v>
      </c>
      <c r="BE180" s="115">
        <f>BE202-BE175</f>
        <v>20989.584438999998</v>
      </c>
      <c r="BF180" s="105">
        <f>BF202-BF175</f>
        <v>20989.584439000002</v>
      </c>
      <c r="BG180" s="285">
        <f>BF180</f>
        <v>20989.584439000002</v>
      </c>
      <c r="BH180" s="114">
        <f>BH202-BH175</f>
        <v>20989.584439000002</v>
      </c>
      <c r="BI180" s="115">
        <f>BI202-BI175</f>
        <v>22689.584439000002</v>
      </c>
      <c r="BJ180" s="115">
        <f>BJ202-BJ175</f>
        <v>22939.584439000002</v>
      </c>
      <c r="BK180" s="105">
        <f>BK202-BK175</f>
        <v>22939.584439000002</v>
      </c>
      <c r="BL180" s="285">
        <f>BK180</f>
        <v>22939.584439000002</v>
      </c>
      <c r="BM180" s="114">
        <f>BM202-BM175</f>
        <v>21356.140439000003</v>
      </c>
      <c r="BN180" s="115">
        <f>BN202-BN175</f>
        <v>23156.140439000003</v>
      </c>
      <c r="BO180" s="115">
        <f>BO202-BO175</f>
        <v>23656.140439000003</v>
      </c>
      <c r="BP180" s="105">
        <f>BP202-BP175</f>
        <v>23656.140439000003</v>
      </c>
      <c r="BQ180" s="285">
        <f>BP180</f>
        <v>23656.140439000003</v>
      </c>
    </row>
    <row r="181" spans="1:77">
      <c r="A181" s="92"/>
      <c r="B181" s="89"/>
      <c r="C181" s="89" t="s">
        <v>0</v>
      </c>
      <c r="D181" s="166"/>
      <c r="E181" s="301">
        <v>2130</v>
      </c>
      <c r="F181" s="302">
        <v>2447</v>
      </c>
      <c r="G181" s="302">
        <v>2562</v>
      </c>
      <c r="H181" s="303">
        <v>2468</v>
      </c>
      <c r="I181" s="285">
        <f>H181</f>
        <v>2468</v>
      </c>
      <c r="J181" s="301">
        <v>2602</v>
      </c>
      <c r="K181" s="302">
        <v>2710</v>
      </c>
      <c r="L181" s="302">
        <v>2824</v>
      </c>
      <c r="M181" s="303">
        <v>3160</v>
      </c>
      <c r="N181" s="285">
        <f>M181</f>
        <v>3160</v>
      </c>
      <c r="O181" s="301">
        <v>4832</v>
      </c>
      <c r="P181" s="302">
        <v>5219</v>
      </c>
      <c r="Q181" s="289">
        <v>5315</v>
      </c>
      <c r="R181" s="303">
        <v>5670</v>
      </c>
      <c r="S181" s="285">
        <f>R181</f>
        <v>5670</v>
      </c>
      <c r="T181" s="301">
        <v>5904</v>
      </c>
      <c r="U181" s="302">
        <v>6042</v>
      </c>
      <c r="V181" s="302">
        <v>6543</v>
      </c>
      <c r="W181" s="303">
        <v>6616</v>
      </c>
      <c r="X181" s="285">
        <f>W181</f>
        <v>6616</v>
      </c>
      <c r="Y181" s="301">
        <v>6542</v>
      </c>
      <c r="Z181" s="302">
        <v>6427</v>
      </c>
      <c r="AA181" s="302">
        <v>6603</v>
      </c>
      <c r="AB181" s="303">
        <v>6968</v>
      </c>
      <c r="AC181" s="285">
        <f>AB181</f>
        <v>6968</v>
      </c>
      <c r="AD181" s="301">
        <v>7028</v>
      </c>
      <c r="AE181" s="302">
        <v>7081</v>
      </c>
      <c r="AF181" s="302">
        <v>7188</v>
      </c>
      <c r="AG181" s="303">
        <v>7057</v>
      </c>
      <c r="AH181" s="285">
        <f>AG181</f>
        <v>7057</v>
      </c>
      <c r="AI181" s="301">
        <v>7211</v>
      </c>
      <c r="AJ181" s="302">
        <v>7485</v>
      </c>
      <c r="AK181" s="302">
        <v>7581</v>
      </c>
      <c r="AL181" s="303">
        <v>6773</v>
      </c>
      <c r="AM181" s="285">
        <f>AL181</f>
        <v>6773</v>
      </c>
      <c r="AN181" s="301">
        <v>6996</v>
      </c>
      <c r="AO181" s="302">
        <v>6888</v>
      </c>
      <c r="AP181" s="302">
        <v>7136</v>
      </c>
      <c r="AQ181" s="303">
        <v>3765</v>
      </c>
      <c r="AR181" s="285">
        <f>AQ181</f>
        <v>3765</v>
      </c>
      <c r="AS181" s="301">
        <v>3882</v>
      </c>
      <c r="AT181" s="302">
        <v>3992</v>
      </c>
      <c r="AU181" s="302">
        <v>4225</v>
      </c>
      <c r="AV181" s="303">
        <v>1359</v>
      </c>
      <c r="AW181" s="285">
        <f>AV181</f>
        <v>1359</v>
      </c>
      <c r="AX181" s="114">
        <f>AW181+AX131</f>
        <v>1491.7974399010614</v>
      </c>
      <c r="AY181" s="115">
        <f>AX181+AY131</f>
        <v>1624.5948798021227</v>
      </c>
      <c r="AZ181" s="115">
        <f>AY181+AZ131</f>
        <v>1757.3923197031841</v>
      </c>
      <c r="BA181" s="105">
        <f>AZ181+BA131</f>
        <v>1890.1897596042454</v>
      </c>
      <c r="BB181" s="285">
        <f>BA181</f>
        <v>1890.1897596042454</v>
      </c>
      <c r="BC181" s="114">
        <f>BB181+BC131</f>
        <v>2029.2217739838704</v>
      </c>
      <c r="BD181" s="115">
        <f>BC181+BD131</f>
        <v>2168.2537883634955</v>
      </c>
      <c r="BE181" s="115">
        <f>BD181+BE131</f>
        <v>2307.2858027431203</v>
      </c>
      <c r="BF181" s="105">
        <f>BE181+BF131</f>
        <v>2446.3178171227451</v>
      </c>
      <c r="BG181" s="285">
        <f>BF181</f>
        <v>2446.3178171227451</v>
      </c>
      <c r="BH181" s="114">
        <f>BG181+BH131</f>
        <v>2574.9584947523877</v>
      </c>
      <c r="BI181" s="115">
        <f>BH181+BI131</f>
        <v>2703.5991723820302</v>
      </c>
      <c r="BJ181" s="115">
        <f>BI181+BJ131</f>
        <v>2832.2398500116728</v>
      </c>
      <c r="BK181" s="105">
        <f>BJ181+BK131</f>
        <v>2960.8805276413154</v>
      </c>
      <c r="BL181" s="285">
        <f>BK181</f>
        <v>2960.8805276413154</v>
      </c>
      <c r="BM181" s="114">
        <f>BL181+BM131</f>
        <v>3093.9353867412183</v>
      </c>
      <c r="BN181" s="115">
        <f>BM181+BN131</f>
        <v>3226.9902458411207</v>
      </c>
      <c r="BO181" s="115">
        <f>BN181+BO131</f>
        <v>3360.0451049410231</v>
      </c>
      <c r="BP181" s="105">
        <f>BO181+BP131</f>
        <v>3493.0999640409254</v>
      </c>
      <c r="BQ181" s="285">
        <f>BP181</f>
        <v>3493.0999640409254</v>
      </c>
    </row>
    <row r="182" spans="1:77">
      <c r="A182" s="92"/>
      <c r="B182" s="89"/>
      <c r="C182" s="89" t="s">
        <v>246</v>
      </c>
      <c r="D182" s="166"/>
      <c r="E182" s="301">
        <f>1356+1018+816+1896+296+1369</f>
        <v>6751</v>
      </c>
      <c r="F182" s="302">
        <f>1379+1010+750+1473+285+1334</f>
        <v>6231</v>
      </c>
      <c r="G182" s="302">
        <f>1401+1001+685+1500+274+1375</f>
        <v>6236</v>
      </c>
      <c r="H182" s="303">
        <f>1534+1425+993+643+262+1226</f>
        <v>6083</v>
      </c>
      <c r="I182" s="285">
        <f>H182</f>
        <v>6083</v>
      </c>
      <c r="J182" s="301">
        <f>1449+984+738+1527+251+1259</f>
        <v>6208</v>
      </c>
      <c r="K182" s="302">
        <f>1531+1372+976+691+239+1222</f>
        <v>6031</v>
      </c>
      <c r="L182" s="302">
        <f>1541+1394+968+756+228+1229</f>
        <v>6116</v>
      </c>
      <c r="M182" s="303">
        <f>1868+1407+959+466+1436</f>
        <v>6136</v>
      </c>
      <c r="N182" s="285">
        <f>M182</f>
        <v>6136</v>
      </c>
      <c r="O182" s="301">
        <f>2313+1443+951+606+2335</f>
        <v>7648</v>
      </c>
      <c r="P182" s="302">
        <f>2134+1459+942+649+2208</f>
        <v>7392</v>
      </c>
      <c r="Q182" s="289">
        <f>401+2045+1473+934+665+2127</f>
        <v>7645</v>
      </c>
      <c r="R182" s="303">
        <f>2823+1497+925+469+2072</f>
        <v>7786</v>
      </c>
      <c r="S182" s="285">
        <f>R182</f>
        <v>7786</v>
      </c>
      <c r="T182" s="301">
        <f>2240+1522+917+458+2011</f>
        <v>7148</v>
      </c>
      <c r="U182" s="302">
        <f>2257+1548+909+559+1980</f>
        <v>7253</v>
      </c>
      <c r="V182" s="302">
        <f>2271+1574+900+550+1904</f>
        <v>7199</v>
      </c>
      <c r="W182" s="303">
        <f>3080+1599+892+506+1836</f>
        <v>7913</v>
      </c>
      <c r="X182" s="285">
        <f>W182</f>
        <v>7913</v>
      </c>
      <c r="Y182" s="301">
        <f>3070+1767+883+465+1751</f>
        <v>7936</v>
      </c>
      <c r="Z182" s="302">
        <f>3088+1795+875+484+1703</f>
        <v>7945</v>
      </c>
      <c r="AA182" s="302">
        <f>3104+1834+866+467+1716</f>
        <v>7987</v>
      </c>
      <c r="AB182" s="303">
        <f>2689+1678+858+290+1778</f>
        <v>7293</v>
      </c>
      <c r="AC182" s="285">
        <f>AB182</f>
        <v>7293</v>
      </c>
      <c r="AD182" s="301">
        <f>2713+1704+850+255+1532</f>
        <v>7054</v>
      </c>
      <c r="AE182" s="302">
        <f>2732+1730+841+237+1494</f>
        <v>7034</v>
      </c>
      <c r="AF182" s="302">
        <f>2754+1755+833+222+1258</f>
        <v>6822</v>
      </c>
      <c r="AG182" s="303">
        <f>3932+1387+824+217+1590</f>
        <v>7950</v>
      </c>
      <c r="AH182" s="285">
        <f>AG182</f>
        <v>7950</v>
      </c>
      <c r="AI182" s="301">
        <f>3817+1390+816+213+1332</f>
        <v>7568</v>
      </c>
      <c r="AJ182" s="302">
        <f>3836+1411+807+203+1373</f>
        <v>7630</v>
      </c>
      <c r="AK182" s="302">
        <f>3861+1429+799+205+1191</f>
        <v>7485</v>
      </c>
      <c r="AL182" s="303">
        <f>4245+1410+791+197+1555</f>
        <v>8198</v>
      </c>
      <c r="AM182" s="285">
        <f>AL182</f>
        <v>8198</v>
      </c>
      <c r="AN182" s="301">
        <f>4135+1427+782+194+1430</f>
        <v>7968</v>
      </c>
      <c r="AO182" s="302">
        <f>4177+1448+774+181+1419</f>
        <v>7999</v>
      </c>
      <c r="AP182" s="302">
        <f>4080+1459+765+174+1269</f>
        <v>7747</v>
      </c>
      <c r="AQ182" s="303">
        <f>3719+1482+757+162+1704</f>
        <v>7824</v>
      </c>
      <c r="AR182" s="285">
        <f>AQ182</f>
        <v>7824</v>
      </c>
      <c r="AS182" s="301">
        <f>3756+1505+748+157+1606</f>
        <v>7772</v>
      </c>
      <c r="AT182" s="302">
        <f>3784+1526+740+152+1584</f>
        <v>7786</v>
      </c>
      <c r="AU182" s="302">
        <f>3814+1550+732+143+1435</f>
        <v>7674</v>
      </c>
      <c r="AV182" s="303">
        <f>3975+2720+2515+723+130+1718</f>
        <v>11781</v>
      </c>
      <c r="AW182" s="285">
        <f>AV182</f>
        <v>11781</v>
      </c>
      <c r="AX182" s="114">
        <f>AW182+AX132+AX133+AX146</f>
        <v>10481.833333333334</v>
      </c>
      <c r="AY182" s="115">
        <f>AX182+AY132+AY133+AY146</f>
        <v>9635.6666666666679</v>
      </c>
      <c r="AZ182" s="115">
        <f>AY182+AZ132+AZ133+AZ146</f>
        <v>9586.5000000000018</v>
      </c>
      <c r="BA182" s="105">
        <f>AZ182+BA132+BA133+BA146</f>
        <v>9537.3333333333358</v>
      </c>
      <c r="BB182" s="285">
        <f>BA182</f>
        <v>9537.3333333333358</v>
      </c>
      <c r="BC182" s="114">
        <f>BB182+BC132+BC133+BC146</f>
        <v>9418.1666666666697</v>
      </c>
      <c r="BD182" s="115">
        <f>BC182+BD132+BD133+BD146</f>
        <v>9299.0000000000036</v>
      </c>
      <c r="BE182" s="115">
        <f>BD182+BE132+BE133+BE146</f>
        <v>9179.8333333333376</v>
      </c>
      <c r="BF182" s="105">
        <f>BE182+BF132+BF133+BF146</f>
        <v>9060.6666666666715</v>
      </c>
      <c r="BG182" s="285">
        <f>BF182</f>
        <v>9060.6666666666715</v>
      </c>
      <c r="BH182" s="114">
        <f>BG182+BH132+BH133+BH146</f>
        <v>8991.5000000000055</v>
      </c>
      <c r="BI182" s="115">
        <f>BH182+BI132+BI133+BI146</f>
        <v>8922.3333333333394</v>
      </c>
      <c r="BJ182" s="115">
        <f>BI182+BJ132+BJ133+BJ146</f>
        <v>8853.1666666666733</v>
      </c>
      <c r="BK182" s="105">
        <f>BJ182+BK132+BK133+BK146</f>
        <v>8784.0000000000073</v>
      </c>
      <c r="BL182" s="285">
        <f>BK182</f>
        <v>8784.0000000000073</v>
      </c>
      <c r="BM182" s="114">
        <f>BL182+BM132+BM133+BM146</f>
        <v>8714.8333333333412</v>
      </c>
      <c r="BN182" s="115">
        <f>BM182+BN132+BN133+BN146</f>
        <v>8645.6666666666752</v>
      </c>
      <c r="BO182" s="115">
        <f>BN182+BO132+BO133+BO146</f>
        <v>8576.5000000000091</v>
      </c>
      <c r="BP182" s="105">
        <f>BO182+BP132+BP133+BP146</f>
        <v>8507.333333333343</v>
      </c>
      <c r="BQ182" s="285">
        <f>BP182</f>
        <v>8507.333333333343</v>
      </c>
    </row>
    <row r="183" spans="1:77">
      <c r="A183" s="92"/>
      <c r="B183" s="89"/>
      <c r="C183" s="88" t="s">
        <v>774</v>
      </c>
      <c r="D183" s="166"/>
      <c r="E183" s="305">
        <f t="shared" ref="E183:T183" si="400">SUM(E178:E182)</f>
        <v>25273</v>
      </c>
      <c r="F183" s="306">
        <f t="shared" si="400"/>
        <v>25305</v>
      </c>
      <c r="G183" s="306">
        <f t="shared" si="400"/>
        <v>26181</v>
      </c>
      <c r="H183" s="307">
        <f t="shared" si="400"/>
        <v>25747</v>
      </c>
      <c r="I183" s="308">
        <f t="shared" si="400"/>
        <v>25747</v>
      </c>
      <c r="J183" s="305">
        <f t="shared" si="400"/>
        <v>25543</v>
      </c>
      <c r="K183" s="306">
        <f t="shared" si="400"/>
        <v>25647</v>
      </c>
      <c r="L183" s="306">
        <f t="shared" si="400"/>
        <v>26016</v>
      </c>
      <c r="M183" s="307">
        <f t="shared" si="400"/>
        <v>26579</v>
      </c>
      <c r="N183" s="308">
        <f t="shared" si="400"/>
        <v>26579</v>
      </c>
      <c r="O183" s="305">
        <f t="shared" si="400"/>
        <v>35177</v>
      </c>
      <c r="P183" s="306">
        <f t="shared" si="400"/>
        <v>34646</v>
      </c>
      <c r="Q183" s="306">
        <f t="shared" si="400"/>
        <v>33646</v>
      </c>
      <c r="R183" s="307">
        <f t="shared" si="400"/>
        <v>34027</v>
      </c>
      <c r="S183" s="308">
        <f t="shared" si="400"/>
        <v>34027</v>
      </c>
      <c r="T183" s="305">
        <f t="shared" si="400"/>
        <v>34352</v>
      </c>
      <c r="U183" s="306">
        <f t="shared" ref="U183:AR183" si="401">SUM(U178:U182)</f>
        <v>34536</v>
      </c>
      <c r="V183" s="306">
        <f t="shared" si="401"/>
        <v>35289</v>
      </c>
      <c r="W183" s="307">
        <f>SUM(W178:W182)</f>
        <v>37313</v>
      </c>
      <c r="X183" s="308">
        <f>SUM(X178:X182)</f>
        <v>37313</v>
      </c>
      <c r="Y183" s="305">
        <f t="shared" si="401"/>
        <v>37424</v>
      </c>
      <c r="Z183" s="306">
        <f>SUM(Z178:Z182)</f>
        <v>37354</v>
      </c>
      <c r="AA183" s="306">
        <f>SUM(AA178:AA182)</f>
        <v>37836</v>
      </c>
      <c r="AB183" s="307">
        <f>SUM(AB178:AB182)</f>
        <v>37729</v>
      </c>
      <c r="AC183" s="308">
        <f>SUM(AC178:AC182)</f>
        <v>37729</v>
      </c>
      <c r="AD183" s="305">
        <f t="shared" si="401"/>
        <v>38623</v>
      </c>
      <c r="AE183" s="306">
        <f t="shared" si="401"/>
        <v>38703</v>
      </c>
      <c r="AF183" s="306">
        <f t="shared" si="401"/>
        <v>38520</v>
      </c>
      <c r="AG183" s="307">
        <f t="shared" ref="AG183:AM183" si="402">SUM(AG178:AG182)</f>
        <v>39744</v>
      </c>
      <c r="AH183" s="308">
        <f t="shared" si="402"/>
        <v>39744</v>
      </c>
      <c r="AI183" s="305">
        <f t="shared" si="402"/>
        <v>40171</v>
      </c>
      <c r="AJ183" s="306">
        <f t="shared" si="402"/>
        <v>40474</v>
      </c>
      <c r="AK183" s="306">
        <f t="shared" si="402"/>
        <v>40035</v>
      </c>
      <c r="AL183" s="307">
        <f t="shared" si="402"/>
        <v>39765</v>
      </c>
      <c r="AM183" s="308">
        <f t="shared" si="402"/>
        <v>39765</v>
      </c>
      <c r="AN183" s="305">
        <f t="shared" ref="AN183:AO183" si="403">SUM(AN178:AN182)</f>
        <v>40231</v>
      </c>
      <c r="AO183" s="306">
        <f t="shared" si="403"/>
        <v>39994</v>
      </c>
      <c r="AP183" s="306">
        <f t="shared" si="401"/>
        <v>40458</v>
      </c>
      <c r="AQ183" s="307">
        <f t="shared" si="401"/>
        <v>36907</v>
      </c>
      <c r="AR183" s="308">
        <f t="shared" si="401"/>
        <v>36907</v>
      </c>
      <c r="AS183" s="305">
        <f t="shared" ref="AS183:BB183" si="404">SUM(AS178:AS182)</f>
        <v>37073</v>
      </c>
      <c r="AT183" s="306">
        <f t="shared" si="404"/>
        <v>37007</v>
      </c>
      <c r="AU183" s="306">
        <f t="shared" si="404"/>
        <v>37243</v>
      </c>
      <c r="AV183" s="307">
        <f t="shared" si="404"/>
        <v>38332</v>
      </c>
      <c r="AW183" s="308">
        <f t="shared" si="404"/>
        <v>38332</v>
      </c>
      <c r="AX183" s="106">
        <f t="shared" si="404"/>
        <v>37176.951645083514</v>
      </c>
      <c r="AY183" s="76">
        <f t="shared" si="404"/>
        <v>37569.122487407083</v>
      </c>
      <c r="AZ183" s="76">
        <f t="shared" si="404"/>
        <v>37814.214816830186</v>
      </c>
      <c r="BA183" s="107">
        <f t="shared" si="404"/>
        <v>38172.550048862693</v>
      </c>
      <c r="BB183" s="308">
        <f t="shared" si="404"/>
        <v>38172.550048862693</v>
      </c>
      <c r="BC183" s="106">
        <f t="shared" ref="BC183:BL183" si="405">SUM(BC178:BC182)</f>
        <v>38474.27492343654</v>
      </c>
      <c r="BD183" s="76">
        <f t="shared" si="405"/>
        <v>38850.598388152037</v>
      </c>
      <c r="BE183" s="76">
        <f t="shared" si="405"/>
        <v>37555.630622649835</v>
      </c>
      <c r="BF183" s="107">
        <f t="shared" si="405"/>
        <v>37812.446288931067</v>
      </c>
      <c r="BG183" s="308">
        <f t="shared" si="405"/>
        <v>37812.446288931067</v>
      </c>
      <c r="BH183" s="106">
        <f t="shared" si="405"/>
        <v>38109.020506878602</v>
      </c>
      <c r="BI183" s="76">
        <f t="shared" si="405"/>
        <v>38485.171303669587</v>
      </c>
      <c r="BJ183" s="76">
        <f t="shared" si="405"/>
        <v>38751.651535722151</v>
      </c>
      <c r="BK183" s="107">
        <f t="shared" si="405"/>
        <v>39090.561617891246</v>
      </c>
      <c r="BL183" s="308">
        <f t="shared" si="405"/>
        <v>39090.561617891246</v>
      </c>
      <c r="BM183" s="106">
        <f t="shared" ref="BM183:BQ183" si="406">SUM(BM178:BM182)</f>
        <v>39324.723916432748</v>
      </c>
      <c r="BN183" s="76">
        <f t="shared" si="406"/>
        <v>39657.45694863089</v>
      </c>
      <c r="BO183" s="76">
        <f t="shared" si="406"/>
        <v>39869.000085344247</v>
      </c>
      <c r="BP183" s="107">
        <f t="shared" si="406"/>
        <v>40122.273961925319</v>
      </c>
      <c r="BQ183" s="308">
        <f t="shared" si="406"/>
        <v>40122.273961925319</v>
      </c>
    </row>
    <row r="184" spans="1:77">
      <c r="A184" s="92"/>
      <c r="B184" s="89"/>
      <c r="C184" s="87"/>
      <c r="D184" s="166"/>
      <c r="E184" s="101"/>
      <c r="F184" s="75"/>
      <c r="G184" s="75"/>
      <c r="H184" s="105"/>
      <c r="I184" s="80"/>
      <c r="J184" s="101"/>
      <c r="K184" s="75"/>
      <c r="L184" s="75"/>
      <c r="M184" s="105"/>
      <c r="N184" s="80"/>
      <c r="O184" s="101"/>
      <c r="P184" s="75"/>
      <c r="Q184" s="75"/>
      <c r="R184" s="105"/>
      <c r="S184" s="80"/>
      <c r="T184" s="101"/>
      <c r="U184" s="75"/>
      <c r="V184" s="75"/>
      <c r="W184" s="105"/>
      <c r="X184" s="80"/>
      <c r="Y184" s="101"/>
      <c r="Z184" s="75"/>
      <c r="AA184" s="75"/>
      <c r="AB184" s="105"/>
      <c r="AC184" s="80"/>
      <c r="AD184" s="101"/>
      <c r="AE184" s="75"/>
      <c r="AF184" s="75"/>
      <c r="AG184" s="105"/>
      <c r="AH184" s="80"/>
      <c r="AI184" s="101"/>
      <c r="AJ184" s="75"/>
      <c r="AK184" s="75"/>
      <c r="AL184" s="105"/>
      <c r="AM184" s="80"/>
      <c r="AN184" s="101"/>
      <c r="AO184" s="75"/>
      <c r="AP184" s="115"/>
      <c r="AQ184" s="105"/>
      <c r="AR184" s="80"/>
      <c r="AS184" s="101"/>
      <c r="AT184" s="115"/>
      <c r="AU184" s="115"/>
      <c r="AV184" s="105"/>
      <c r="AW184" s="80"/>
      <c r="AX184" s="114"/>
      <c r="AY184" s="115"/>
      <c r="AZ184" s="115"/>
      <c r="BA184" s="105"/>
      <c r="BB184" s="80"/>
      <c r="BC184" s="114"/>
      <c r="BD184" s="115"/>
      <c r="BE184" s="115"/>
      <c r="BF184" s="105"/>
      <c r="BG184" s="80"/>
      <c r="BH184" s="114"/>
      <c r="BI184" s="115"/>
      <c r="BJ184" s="115"/>
      <c r="BK184" s="105"/>
      <c r="BL184" s="80"/>
      <c r="BM184" s="114"/>
      <c r="BN184" s="115"/>
      <c r="BO184" s="115"/>
      <c r="BP184" s="105"/>
      <c r="BQ184" s="80"/>
    </row>
    <row r="185" spans="1:77">
      <c r="A185" s="92"/>
      <c r="B185" s="89"/>
      <c r="C185" s="87" t="s">
        <v>930</v>
      </c>
      <c r="D185" s="166"/>
      <c r="E185" s="301">
        <v>34</v>
      </c>
      <c r="F185" s="302">
        <v>28</v>
      </c>
      <c r="G185" s="302">
        <v>1</v>
      </c>
      <c r="H185" s="303">
        <v>-2</v>
      </c>
      <c r="I185" s="285">
        <f>H185</f>
        <v>-2</v>
      </c>
      <c r="J185" s="301">
        <v>-11</v>
      </c>
      <c r="K185" s="302">
        <v>-20</v>
      </c>
      <c r="L185" s="302">
        <v>-26</v>
      </c>
      <c r="M185" s="303">
        <v>-32</v>
      </c>
      <c r="N185" s="285">
        <f>M185</f>
        <v>-32</v>
      </c>
      <c r="O185" s="301">
        <v>-40</v>
      </c>
      <c r="P185" s="302">
        <v>-48</v>
      </c>
      <c r="Q185" s="289">
        <v>-31</v>
      </c>
      <c r="R185" s="303">
        <v>19</v>
      </c>
      <c r="S185" s="285">
        <f>R185</f>
        <v>19</v>
      </c>
      <c r="T185" s="301">
        <v>16</v>
      </c>
      <c r="U185" s="302">
        <v>15</v>
      </c>
      <c r="V185" s="302">
        <v>16</v>
      </c>
      <c r="W185" s="303">
        <v>9</v>
      </c>
      <c r="X185" s="285">
        <f>W185</f>
        <v>9</v>
      </c>
      <c r="Y185" s="301">
        <v>4</v>
      </c>
      <c r="Z185" s="302">
        <v>4</v>
      </c>
      <c r="AA185" s="302">
        <v>3</v>
      </c>
      <c r="AB185" s="303">
        <v>3</v>
      </c>
      <c r="AC185" s="285">
        <f>AB185</f>
        <v>3</v>
      </c>
      <c r="AD185" s="301">
        <v>3</v>
      </c>
      <c r="AE185" s="302">
        <v>2</v>
      </c>
      <c r="AF185" s="302">
        <v>2</v>
      </c>
      <c r="AG185" s="303">
        <v>2</v>
      </c>
      <c r="AH185" s="285">
        <f>AG185</f>
        <v>2</v>
      </c>
      <c r="AI185" s="301">
        <v>2</v>
      </c>
      <c r="AJ185" s="302">
        <v>1</v>
      </c>
      <c r="AK185" s="302">
        <v>1</v>
      </c>
      <c r="AL185" s="303">
        <v>1</v>
      </c>
      <c r="AM185" s="285">
        <f>AL185</f>
        <v>1</v>
      </c>
      <c r="AN185" s="301">
        <v>1</v>
      </c>
      <c r="AO185" s="302">
        <v>0</v>
      </c>
      <c r="AP185" s="302">
        <v>0</v>
      </c>
      <c r="AQ185" s="303">
        <v>0</v>
      </c>
      <c r="AR185" s="285">
        <f>AQ185</f>
        <v>0</v>
      </c>
      <c r="AS185" s="301">
        <v>0</v>
      </c>
      <c r="AT185" s="302">
        <v>0</v>
      </c>
      <c r="AU185" s="302">
        <v>0</v>
      </c>
      <c r="AV185" s="303">
        <v>0</v>
      </c>
      <c r="AW185" s="285">
        <f>AV185</f>
        <v>0</v>
      </c>
      <c r="AX185" s="114">
        <f>AW185-AX39</f>
        <v>0</v>
      </c>
      <c r="AY185" s="115">
        <f>AX185-AY39</f>
        <v>0</v>
      </c>
      <c r="AZ185" s="115">
        <f>AY185-AZ39</f>
        <v>0</v>
      </c>
      <c r="BA185" s="105">
        <f>AZ185-BA39</f>
        <v>0</v>
      </c>
      <c r="BB185" s="285">
        <f>BA185</f>
        <v>0</v>
      </c>
      <c r="BC185" s="114">
        <f>BB185-BC39</f>
        <v>0</v>
      </c>
      <c r="BD185" s="115">
        <f>BC185-BD39</f>
        <v>0</v>
      </c>
      <c r="BE185" s="115">
        <f>BD185-BE39</f>
        <v>0</v>
      </c>
      <c r="BF185" s="105">
        <f>BE185-BF39</f>
        <v>0</v>
      </c>
      <c r="BG185" s="285">
        <f>BF185</f>
        <v>0</v>
      </c>
      <c r="BH185" s="114">
        <f>BG185-BH39</f>
        <v>0</v>
      </c>
      <c r="BI185" s="115">
        <f>BH185-BI39</f>
        <v>0</v>
      </c>
      <c r="BJ185" s="115">
        <f>BI185-BJ39</f>
        <v>0</v>
      </c>
      <c r="BK185" s="105">
        <f>BJ185-BK39</f>
        <v>0</v>
      </c>
      <c r="BL185" s="285">
        <f>BK185</f>
        <v>0</v>
      </c>
      <c r="BM185" s="114">
        <f>BL185-BM39</f>
        <v>0</v>
      </c>
      <c r="BN185" s="115">
        <f>BM185-BN39</f>
        <v>0</v>
      </c>
      <c r="BO185" s="115">
        <f>BN185-BO39</f>
        <v>0</v>
      </c>
      <c r="BP185" s="105">
        <f>BO185-BP39</f>
        <v>0</v>
      </c>
      <c r="BQ185" s="285">
        <f>BP185</f>
        <v>0</v>
      </c>
    </row>
    <row r="186" spans="1:77">
      <c r="A186" s="92"/>
      <c r="B186" s="89"/>
      <c r="C186" s="87"/>
      <c r="D186" s="166"/>
      <c r="E186" s="301"/>
      <c r="F186" s="302"/>
      <c r="G186" s="302"/>
      <c r="H186" s="303"/>
      <c r="I186" s="285"/>
      <c r="J186" s="301"/>
      <c r="K186" s="302"/>
      <c r="L186" s="302"/>
      <c r="M186" s="303"/>
      <c r="N186" s="285"/>
      <c r="O186" s="301"/>
      <c r="P186" s="302"/>
      <c r="Q186" s="289"/>
      <c r="R186" s="303"/>
      <c r="S186" s="285"/>
      <c r="T186" s="301"/>
      <c r="U186" s="302"/>
      <c r="V186" s="302"/>
      <c r="W186" s="303"/>
      <c r="X186" s="285"/>
      <c r="Y186" s="301"/>
      <c r="Z186" s="302"/>
      <c r="AA186" s="302"/>
      <c r="AB186" s="303"/>
      <c r="AC186" s="285"/>
      <c r="AD186" s="301"/>
      <c r="AE186" s="302"/>
      <c r="AF186" s="302"/>
      <c r="AG186" s="303"/>
      <c r="AH186" s="285"/>
      <c r="AI186" s="301"/>
      <c r="AJ186" s="302"/>
      <c r="AK186" s="302"/>
      <c r="AL186" s="303"/>
      <c r="AM186" s="285"/>
      <c r="AN186" s="301"/>
      <c r="AO186" s="302"/>
      <c r="AP186" s="302"/>
      <c r="AQ186" s="303"/>
      <c r="AR186" s="285"/>
      <c r="AS186" s="301"/>
      <c r="AT186" s="302"/>
      <c r="AU186" s="115"/>
      <c r="AV186" s="303"/>
      <c r="AW186" s="285"/>
      <c r="AX186" s="114"/>
      <c r="AY186" s="115"/>
      <c r="AZ186" s="115"/>
      <c r="BA186" s="105"/>
      <c r="BB186" s="285"/>
      <c r="BC186" s="114"/>
      <c r="BD186" s="115"/>
      <c r="BE186" s="115"/>
      <c r="BF186" s="105"/>
      <c r="BG186" s="285"/>
      <c r="BH186" s="114"/>
      <c r="BI186" s="115"/>
      <c r="BJ186" s="115"/>
      <c r="BK186" s="105"/>
      <c r="BL186" s="285"/>
      <c r="BM186" s="114"/>
      <c r="BN186" s="115"/>
      <c r="BO186" s="115"/>
      <c r="BP186" s="105"/>
      <c r="BQ186" s="285"/>
    </row>
    <row r="187" spans="1:77">
      <c r="A187" s="92"/>
      <c r="B187" s="89"/>
      <c r="C187" s="87" t="s">
        <v>931</v>
      </c>
      <c r="D187" s="166"/>
      <c r="E187" s="301">
        <v>31</v>
      </c>
      <c r="F187" s="302">
        <v>31</v>
      </c>
      <c r="G187" s="302">
        <v>31</v>
      </c>
      <c r="H187" s="303">
        <v>31</v>
      </c>
      <c r="I187" s="285">
        <f>+H187</f>
        <v>31</v>
      </c>
      <c r="J187" s="301">
        <v>31</v>
      </c>
      <c r="K187" s="302">
        <v>31</v>
      </c>
      <c r="L187" s="302">
        <v>31</v>
      </c>
      <c r="M187" s="303">
        <v>31</v>
      </c>
      <c r="N187" s="285">
        <f>+M187</f>
        <v>31</v>
      </c>
      <c r="O187" s="301">
        <v>42</v>
      </c>
      <c r="P187" s="302">
        <v>42</v>
      </c>
      <c r="Q187" s="289">
        <v>42</v>
      </c>
      <c r="R187" s="303">
        <v>42</v>
      </c>
      <c r="S187" s="285">
        <f>+R187</f>
        <v>42</v>
      </c>
      <c r="T187" s="301">
        <v>42</v>
      </c>
      <c r="U187" s="302">
        <v>42</v>
      </c>
      <c r="V187" s="302">
        <v>42</v>
      </c>
      <c r="W187" s="303">
        <v>42</v>
      </c>
      <c r="X187" s="285">
        <f>+W187</f>
        <v>42</v>
      </c>
      <c r="Y187" s="301">
        <v>42</v>
      </c>
      <c r="Z187" s="302">
        <v>42</v>
      </c>
      <c r="AA187" s="302">
        <v>42</v>
      </c>
      <c r="AB187" s="303">
        <v>42</v>
      </c>
      <c r="AC187" s="285">
        <f>+AB187</f>
        <v>42</v>
      </c>
      <c r="AD187" s="301">
        <v>42</v>
      </c>
      <c r="AE187" s="302">
        <v>42</v>
      </c>
      <c r="AF187" s="302">
        <v>42</v>
      </c>
      <c r="AG187" s="303">
        <v>42</v>
      </c>
      <c r="AH187" s="285">
        <f>+AG187</f>
        <v>42</v>
      </c>
      <c r="AI187" s="301">
        <v>42</v>
      </c>
      <c r="AJ187" s="302">
        <v>42</v>
      </c>
      <c r="AK187" s="302">
        <v>42</v>
      </c>
      <c r="AL187" s="303">
        <v>42</v>
      </c>
      <c r="AM187" s="285">
        <f>+AL187</f>
        <v>42</v>
      </c>
      <c r="AN187" s="301">
        <v>42</v>
      </c>
      <c r="AO187" s="302">
        <v>42</v>
      </c>
      <c r="AP187" s="302">
        <v>43</v>
      </c>
      <c r="AQ187" s="303">
        <v>44</v>
      </c>
      <c r="AR187" s="285">
        <f>+AQ187</f>
        <v>44</v>
      </c>
      <c r="AS187" s="301">
        <v>44</v>
      </c>
      <c r="AT187" s="302">
        <v>44</v>
      </c>
      <c r="AU187" s="302">
        <v>44</v>
      </c>
      <c r="AV187" s="303">
        <v>44</v>
      </c>
      <c r="AW187" s="285">
        <f>+AV187</f>
        <v>44</v>
      </c>
      <c r="AX187" s="114">
        <f>AW187</f>
        <v>44</v>
      </c>
      <c r="AY187" s="115">
        <f>AX187</f>
        <v>44</v>
      </c>
      <c r="AZ187" s="115">
        <f>AY187</f>
        <v>44</v>
      </c>
      <c r="BA187" s="105">
        <f>AZ187</f>
        <v>44</v>
      </c>
      <c r="BB187" s="285">
        <f>+BA187</f>
        <v>44</v>
      </c>
      <c r="BC187" s="114">
        <f>BB187</f>
        <v>44</v>
      </c>
      <c r="BD187" s="115">
        <f>BC187</f>
        <v>44</v>
      </c>
      <c r="BE187" s="115">
        <f>BD187</f>
        <v>44</v>
      </c>
      <c r="BF187" s="105">
        <f>BE187</f>
        <v>44</v>
      </c>
      <c r="BG187" s="285">
        <f>+BF187</f>
        <v>44</v>
      </c>
      <c r="BH187" s="114">
        <f>BG187</f>
        <v>44</v>
      </c>
      <c r="BI187" s="115">
        <f>BH187</f>
        <v>44</v>
      </c>
      <c r="BJ187" s="115">
        <f>BI187</f>
        <v>44</v>
      </c>
      <c r="BK187" s="105">
        <f>BJ187</f>
        <v>44</v>
      </c>
      <c r="BL187" s="285">
        <f>+BK187</f>
        <v>44</v>
      </c>
      <c r="BM187" s="114">
        <f>BL187</f>
        <v>44</v>
      </c>
      <c r="BN187" s="115">
        <f>BM187</f>
        <v>44</v>
      </c>
      <c r="BO187" s="115">
        <f>BN187</f>
        <v>44</v>
      </c>
      <c r="BP187" s="105">
        <f>BO187</f>
        <v>44</v>
      </c>
      <c r="BQ187" s="285">
        <f>+BP187</f>
        <v>44</v>
      </c>
    </row>
    <row r="188" spans="1:77">
      <c r="A188" s="92"/>
      <c r="B188" s="89"/>
      <c r="C188" s="87" t="s">
        <v>247</v>
      </c>
      <c r="D188" s="166"/>
      <c r="E188" s="301">
        <v>4110</v>
      </c>
      <c r="F188" s="302">
        <v>4525</v>
      </c>
      <c r="G188" s="302">
        <v>4424</v>
      </c>
      <c r="H188" s="303">
        <v>4495</v>
      </c>
      <c r="I188" s="285">
        <f>+H188</f>
        <v>4495</v>
      </c>
      <c r="J188" s="301">
        <v>4482</v>
      </c>
      <c r="K188" s="302">
        <v>4747</v>
      </c>
      <c r="L188" s="302">
        <v>4591</v>
      </c>
      <c r="M188" s="303">
        <v>3084</v>
      </c>
      <c r="N188" s="285">
        <f>+M188</f>
        <v>3084</v>
      </c>
      <c r="O188" s="301">
        <v>4426</v>
      </c>
      <c r="P188" s="302">
        <v>4607</v>
      </c>
      <c r="Q188" s="289">
        <v>4658</v>
      </c>
      <c r="R188" s="303">
        <v>3047</v>
      </c>
      <c r="S188" s="285">
        <f>+R188</f>
        <v>3047</v>
      </c>
      <c r="T188" s="301">
        <v>3122</v>
      </c>
      <c r="U188" s="302">
        <v>3310</v>
      </c>
      <c r="V188" s="302">
        <v>3266</v>
      </c>
      <c r="W188" s="303">
        <v>2888</v>
      </c>
      <c r="X188" s="285">
        <f>+W188</f>
        <v>2888</v>
      </c>
      <c r="Y188" s="301">
        <v>2854</v>
      </c>
      <c r="Z188" s="302">
        <v>2690</v>
      </c>
      <c r="AA188" s="302">
        <v>2448</v>
      </c>
      <c r="AB188" s="303">
        <v>2590</v>
      </c>
      <c r="AC188" s="285">
        <f>+AB188</f>
        <v>2590</v>
      </c>
      <c r="AD188" s="301">
        <v>2496</v>
      </c>
      <c r="AE188" s="302">
        <v>2560</v>
      </c>
      <c r="AF188" s="302">
        <v>2592</v>
      </c>
      <c r="AG188" s="303">
        <v>2285</v>
      </c>
      <c r="AH188" s="285">
        <f>+AG188</f>
        <v>2285</v>
      </c>
      <c r="AI188" s="301">
        <v>2205</v>
      </c>
      <c r="AJ188" s="302">
        <v>2391</v>
      </c>
      <c r="AK188" s="302">
        <v>2482</v>
      </c>
      <c r="AL188" s="303">
        <v>2256</v>
      </c>
      <c r="AM188" s="285">
        <f>+AL188</f>
        <v>2256</v>
      </c>
      <c r="AN188" s="301">
        <v>2279</v>
      </c>
      <c r="AO188" s="302">
        <v>1190</v>
      </c>
      <c r="AP188" s="302">
        <v>1264</v>
      </c>
      <c r="AQ188" s="303">
        <v>-4532</v>
      </c>
      <c r="AR188" s="285">
        <f>+AQ188</f>
        <v>-4532</v>
      </c>
      <c r="AS188" s="301">
        <v>-4333</v>
      </c>
      <c r="AT188" s="302">
        <v>-4159</v>
      </c>
      <c r="AU188" s="302">
        <v>-3763</v>
      </c>
      <c r="AV188" s="303">
        <v>-6262</v>
      </c>
      <c r="AW188" s="285">
        <f>+AV188</f>
        <v>-6262</v>
      </c>
      <c r="AX188" s="114">
        <f>AW188+AX42+AX145</f>
        <v>-6070.9721034168479</v>
      </c>
      <c r="AY188" s="115">
        <f>AX188+AY42+AY145</f>
        <v>-5994.5666794070803</v>
      </c>
      <c r="AZ188" s="115">
        <f>AY188+AZ42+AZ145</f>
        <v>-5821.4562058136862</v>
      </c>
      <c r="BA188" s="105">
        <f>AZ188+BA42+BA145</f>
        <v>-5720.933016524431</v>
      </c>
      <c r="BB188" s="285">
        <f>+BA188</f>
        <v>-5720.933016524431</v>
      </c>
      <c r="BC188" s="114">
        <f>BB188+BC42+BC145</f>
        <v>-5569.1154823488978</v>
      </c>
      <c r="BD188" s="115">
        <f>BC188+BD42+BD145</f>
        <v>-5498.1848768085483</v>
      </c>
      <c r="BE188" s="115">
        <f>BD188+BE42+BE145</f>
        <v>-5326.2243834800902</v>
      </c>
      <c r="BF188" s="105">
        <f>BE188+BF42+BF145</f>
        <v>-5245.2823297043024</v>
      </c>
      <c r="BG188" s="285">
        <f>+BF188</f>
        <v>-5245.2823297043024</v>
      </c>
      <c r="BH188" s="114">
        <f>BG188+BH42+BH145</f>
        <v>-5134.3081459028981</v>
      </c>
      <c r="BI188" s="115">
        <f>BH188+BI42+BI145</f>
        <v>-5109.0947991836165</v>
      </c>
      <c r="BJ188" s="115">
        <f>BI188+BJ42+BJ145</f>
        <v>-4977.3706998669222</v>
      </c>
      <c r="BK188" s="105">
        <f>BJ188+BK42+BK145</f>
        <v>-4924.2124156394766</v>
      </c>
      <c r="BL188" s="285">
        <f>+BK188</f>
        <v>-4924.2124156394766</v>
      </c>
      <c r="BM188" s="114">
        <f>BL188+BM42+BM145</f>
        <v>-4767.9815498444723</v>
      </c>
      <c r="BN188" s="115">
        <f>BM188+BN42+BN145</f>
        <v>-4716.4114267948635</v>
      </c>
      <c r="BO188" s="115">
        <f>BN188+BO42+BO145</f>
        <v>-4546.7192803557009</v>
      </c>
      <c r="BP188" s="105">
        <f>BO188+BP42+BP145</f>
        <v>-4424.8041512423242</v>
      </c>
      <c r="BQ188" s="285">
        <f>+BP188</f>
        <v>-4424.8041512423242</v>
      </c>
    </row>
    <row r="189" spans="1:77">
      <c r="A189" s="92"/>
      <c r="B189" s="89"/>
      <c r="C189" s="87" t="s">
        <v>932</v>
      </c>
      <c r="D189" s="166"/>
      <c r="E189" s="301">
        <v>5459</v>
      </c>
      <c r="F189" s="302">
        <v>5465</v>
      </c>
      <c r="G189" s="302">
        <v>5438</v>
      </c>
      <c r="H189" s="303">
        <v>5448</v>
      </c>
      <c r="I189" s="285">
        <f>+H189</f>
        <v>5448</v>
      </c>
      <c r="J189" s="301">
        <v>5432</v>
      </c>
      <c r="K189" s="302">
        <v>5440</v>
      </c>
      <c r="L189" s="302">
        <v>5445</v>
      </c>
      <c r="M189" s="303">
        <v>5444</v>
      </c>
      <c r="N189" s="285">
        <f>+M189</f>
        <v>5444</v>
      </c>
      <c r="O189" s="301">
        <v>9779</v>
      </c>
      <c r="P189" s="302">
        <v>9782</v>
      </c>
      <c r="Q189" s="289">
        <v>9782</v>
      </c>
      <c r="R189" s="303">
        <v>9765</v>
      </c>
      <c r="S189" s="285">
        <f>+R189</f>
        <v>9765</v>
      </c>
      <c r="T189" s="301">
        <v>9754</v>
      </c>
      <c r="U189" s="302">
        <v>9756</v>
      </c>
      <c r="V189" s="302">
        <v>9758</v>
      </c>
      <c r="W189" s="303">
        <v>9769</v>
      </c>
      <c r="X189" s="285">
        <f>+W189</f>
        <v>9769</v>
      </c>
      <c r="Y189" s="301">
        <v>9739</v>
      </c>
      <c r="Z189" s="302">
        <v>9744</v>
      </c>
      <c r="AA189" s="302">
        <v>9755</v>
      </c>
      <c r="AB189" s="303">
        <v>9776</v>
      </c>
      <c r="AC189" s="285">
        <f>+AB189</f>
        <v>9776</v>
      </c>
      <c r="AD189" s="301">
        <v>9793</v>
      </c>
      <c r="AE189" s="302">
        <v>9817</v>
      </c>
      <c r="AF189" s="302">
        <v>9836</v>
      </c>
      <c r="AG189" s="303">
        <v>9847</v>
      </c>
      <c r="AH189" s="285">
        <f>+AG189</f>
        <v>9847</v>
      </c>
      <c r="AI189" s="301">
        <v>9871</v>
      </c>
      <c r="AJ189" s="302">
        <v>9895</v>
      </c>
      <c r="AK189" s="302">
        <v>9926</v>
      </c>
      <c r="AL189" s="303">
        <v>9952</v>
      </c>
      <c r="AM189" s="285">
        <f>+AL189</f>
        <v>9952</v>
      </c>
      <c r="AN189" s="301">
        <v>9963</v>
      </c>
      <c r="AO189" s="302">
        <v>9984</v>
      </c>
      <c r="AP189" s="302">
        <v>10012</v>
      </c>
      <c r="AQ189" s="303">
        <v>10555</v>
      </c>
      <c r="AR189" s="285">
        <f>+AQ189</f>
        <v>10555</v>
      </c>
      <c r="AS189" s="301">
        <v>10253</v>
      </c>
      <c r="AT189" s="302">
        <v>10272</v>
      </c>
      <c r="AU189" s="302">
        <v>9974</v>
      </c>
      <c r="AV189" s="303">
        <v>10001</v>
      </c>
      <c r="AW189" s="285">
        <f>+AV189</f>
        <v>10001</v>
      </c>
      <c r="AX189" s="114">
        <f>AW189+AX144</f>
        <v>10851</v>
      </c>
      <c r="AY189" s="115">
        <f>AX189+AY144</f>
        <v>10851</v>
      </c>
      <c r="AZ189" s="115">
        <f>AY189+AZ144</f>
        <v>10951</v>
      </c>
      <c r="BA189" s="105">
        <f>AZ189+BA144</f>
        <v>10951</v>
      </c>
      <c r="BB189" s="285">
        <f>+BA189</f>
        <v>10951</v>
      </c>
      <c r="BC189" s="114">
        <f>BB189+BC144</f>
        <v>10951</v>
      </c>
      <c r="BD189" s="115">
        <f>BC189+BD144</f>
        <v>10951</v>
      </c>
      <c r="BE189" s="115">
        <f>BD189+BE144</f>
        <v>12571</v>
      </c>
      <c r="BF189" s="105">
        <f>BE189+BF144</f>
        <v>12671</v>
      </c>
      <c r="BG189" s="285">
        <f>+BF189</f>
        <v>12671</v>
      </c>
      <c r="BH189" s="114">
        <f>BG189+BH144</f>
        <v>12696</v>
      </c>
      <c r="BI189" s="115">
        <f>BH189+BI144</f>
        <v>12721</v>
      </c>
      <c r="BJ189" s="115">
        <f>BI189+BJ144</f>
        <v>12746</v>
      </c>
      <c r="BK189" s="105">
        <f>BJ189+BK144</f>
        <v>12771</v>
      </c>
      <c r="BL189" s="285">
        <f>+BK189</f>
        <v>12771</v>
      </c>
      <c r="BM189" s="114">
        <f>BL189+BM144</f>
        <v>12792.5625</v>
      </c>
      <c r="BN189" s="115">
        <f>BM189+BN144</f>
        <v>12814.125</v>
      </c>
      <c r="BO189" s="115">
        <f>BN189+BO144</f>
        <v>12835.6875</v>
      </c>
      <c r="BP189" s="105">
        <f>BO189+BP144</f>
        <v>12857.25</v>
      </c>
      <c r="BQ189" s="285">
        <f>+BP189</f>
        <v>12857.25</v>
      </c>
    </row>
    <row r="190" spans="1:77">
      <c r="A190" s="92"/>
      <c r="B190" s="89"/>
      <c r="C190" s="87" t="s">
        <v>161</v>
      </c>
      <c r="D190" s="166"/>
      <c r="E190" s="301">
        <v>-1350</v>
      </c>
      <c r="F190" s="302">
        <v>-1048</v>
      </c>
      <c r="G190" s="302">
        <v>-1401</v>
      </c>
      <c r="H190" s="303">
        <v>-1415</v>
      </c>
      <c r="I190" s="285">
        <f>H190</f>
        <v>-1415</v>
      </c>
      <c r="J190" s="301">
        <v>-1399</v>
      </c>
      <c r="K190" s="302">
        <v>-1379</v>
      </c>
      <c r="L190" s="302">
        <v>-1350</v>
      </c>
      <c r="M190" s="303">
        <v>425</v>
      </c>
      <c r="N190" s="285">
        <f>M190</f>
        <v>425</v>
      </c>
      <c r="O190" s="301">
        <v>-1518</v>
      </c>
      <c r="P190" s="302">
        <v>-1433</v>
      </c>
      <c r="Q190" s="289">
        <v>-1436</v>
      </c>
      <c r="R190" s="303">
        <v>426</v>
      </c>
      <c r="S190" s="285">
        <f>R190</f>
        <v>426</v>
      </c>
      <c r="T190" s="301">
        <v>405</v>
      </c>
      <c r="U190" s="302">
        <v>389</v>
      </c>
      <c r="V190" s="302">
        <v>367</v>
      </c>
      <c r="W190" s="303">
        <v>385</v>
      </c>
      <c r="X190" s="285">
        <f>W190</f>
        <v>385</v>
      </c>
      <c r="Y190" s="301">
        <v>361</v>
      </c>
      <c r="Z190" s="302">
        <v>323</v>
      </c>
      <c r="AA190" s="302">
        <v>299</v>
      </c>
      <c r="AB190" s="303">
        <v>284</v>
      </c>
      <c r="AC190" s="285">
        <f>AB190</f>
        <v>284</v>
      </c>
      <c r="AD190" s="301">
        <v>271</v>
      </c>
      <c r="AE190" s="302">
        <v>264</v>
      </c>
      <c r="AF190" s="302">
        <v>232</v>
      </c>
      <c r="AG190" s="303">
        <v>246</v>
      </c>
      <c r="AH190" s="285">
        <f>AG190</f>
        <v>246</v>
      </c>
      <c r="AI190" s="301">
        <v>230</v>
      </c>
      <c r="AJ190" s="302">
        <v>202</v>
      </c>
      <c r="AK190" s="302">
        <v>177</v>
      </c>
      <c r="AL190" s="303">
        <v>171</v>
      </c>
      <c r="AM190" s="285">
        <f>AL190</f>
        <v>171</v>
      </c>
      <c r="AN190" s="301">
        <v>179</v>
      </c>
      <c r="AO190" s="302">
        <v>191</v>
      </c>
      <c r="AP190" s="302">
        <v>184</v>
      </c>
      <c r="AQ190" s="303">
        <v>174</v>
      </c>
      <c r="AR190" s="285">
        <f>AQ190</f>
        <v>174</v>
      </c>
      <c r="AS190" s="301">
        <v>175</v>
      </c>
      <c r="AT190" s="302">
        <v>163</v>
      </c>
      <c r="AU190" s="302">
        <v>151</v>
      </c>
      <c r="AV190" s="303">
        <v>142</v>
      </c>
      <c r="AW190" s="285">
        <f>AV190</f>
        <v>142</v>
      </c>
      <c r="AX190" s="114">
        <f t="shared" ref="AX190:BB190" si="407">AW190</f>
        <v>142</v>
      </c>
      <c r="AY190" s="115">
        <f t="shared" si="407"/>
        <v>142</v>
      </c>
      <c r="AZ190" s="115">
        <f t="shared" si="407"/>
        <v>142</v>
      </c>
      <c r="BA190" s="105">
        <f t="shared" si="407"/>
        <v>142</v>
      </c>
      <c r="BB190" s="285">
        <f t="shared" si="407"/>
        <v>142</v>
      </c>
      <c r="BC190" s="114">
        <f t="shared" ref="BC190:BL190" si="408">BB190</f>
        <v>142</v>
      </c>
      <c r="BD190" s="115">
        <f t="shared" si="408"/>
        <v>142</v>
      </c>
      <c r="BE190" s="115">
        <f t="shared" si="408"/>
        <v>142</v>
      </c>
      <c r="BF190" s="105">
        <f t="shared" si="408"/>
        <v>142</v>
      </c>
      <c r="BG190" s="285">
        <f t="shared" si="408"/>
        <v>142</v>
      </c>
      <c r="BH190" s="114">
        <f t="shared" si="408"/>
        <v>142</v>
      </c>
      <c r="BI190" s="115">
        <f t="shared" si="408"/>
        <v>142</v>
      </c>
      <c r="BJ190" s="115">
        <f t="shared" si="408"/>
        <v>142</v>
      </c>
      <c r="BK190" s="105">
        <f t="shared" si="408"/>
        <v>142</v>
      </c>
      <c r="BL190" s="285">
        <f t="shared" si="408"/>
        <v>142</v>
      </c>
      <c r="BM190" s="114">
        <f t="shared" ref="BM190" si="409">BL190</f>
        <v>142</v>
      </c>
      <c r="BN190" s="115">
        <f t="shared" ref="BN190" si="410">BM190</f>
        <v>142</v>
      </c>
      <c r="BO190" s="115">
        <f t="shared" ref="BO190" si="411">BN190</f>
        <v>142</v>
      </c>
      <c r="BP190" s="105">
        <f t="shared" ref="BP190" si="412">BO190</f>
        <v>142</v>
      </c>
      <c r="BQ190" s="285">
        <f t="shared" ref="BQ190" si="413">BP190</f>
        <v>142</v>
      </c>
    </row>
    <row r="191" spans="1:77" s="13" customFormat="1">
      <c r="A191" s="136"/>
      <c r="B191" s="88"/>
      <c r="C191" s="88" t="s">
        <v>35</v>
      </c>
      <c r="D191" s="93"/>
      <c r="E191" s="305">
        <f>SUM(E187:E190)</f>
        <v>8250</v>
      </c>
      <c r="F191" s="306">
        <f t="shared" ref="F191:AR191" si="414">SUM(F187:F190)</f>
        <v>8973</v>
      </c>
      <c r="G191" s="306">
        <f t="shared" si="414"/>
        <v>8492</v>
      </c>
      <c r="H191" s="307">
        <f t="shared" si="414"/>
        <v>8559</v>
      </c>
      <c r="I191" s="308">
        <f t="shared" si="414"/>
        <v>8559</v>
      </c>
      <c r="J191" s="305">
        <f t="shared" si="414"/>
        <v>8546</v>
      </c>
      <c r="K191" s="306">
        <f t="shared" si="414"/>
        <v>8839</v>
      </c>
      <c r="L191" s="306">
        <f t="shared" si="414"/>
        <v>8717</v>
      </c>
      <c r="M191" s="307">
        <f t="shared" si="414"/>
        <v>8984</v>
      </c>
      <c r="N191" s="308">
        <f t="shared" si="414"/>
        <v>8984</v>
      </c>
      <c r="O191" s="305">
        <f t="shared" si="414"/>
        <v>12729</v>
      </c>
      <c r="P191" s="306">
        <f t="shared" si="414"/>
        <v>12998</v>
      </c>
      <c r="Q191" s="306">
        <f t="shared" si="414"/>
        <v>13046</v>
      </c>
      <c r="R191" s="307">
        <f t="shared" si="414"/>
        <v>13280</v>
      </c>
      <c r="S191" s="308">
        <f t="shared" si="414"/>
        <v>13280</v>
      </c>
      <c r="T191" s="305">
        <f t="shared" si="414"/>
        <v>13323</v>
      </c>
      <c r="U191" s="306">
        <f t="shared" si="414"/>
        <v>13497</v>
      </c>
      <c r="V191" s="306">
        <f t="shared" si="414"/>
        <v>13433</v>
      </c>
      <c r="W191" s="307">
        <f t="shared" si="414"/>
        <v>13084</v>
      </c>
      <c r="X191" s="308">
        <f>SUM(X187:X190)</f>
        <v>13084</v>
      </c>
      <c r="Y191" s="305">
        <f t="shared" si="414"/>
        <v>12996</v>
      </c>
      <c r="Z191" s="306">
        <f t="shared" si="414"/>
        <v>12799</v>
      </c>
      <c r="AA191" s="306">
        <f t="shared" si="414"/>
        <v>12544</v>
      </c>
      <c r="AB191" s="307">
        <f>SUM(AB187:AB190)</f>
        <v>12692</v>
      </c>
      <c r="AC191" s="308">
        <f>SUM(AC187:AC190)</f>
        <v>12692</v>
      </c>
      <c r="AD191" s="305">
        <f t="shared" si="414"/>
        <v>12602</v>
      </c>
      <c r="AE191" s="306">
        <f t="shared" si="414"/>
        <v>12683</v>
      </c>
      <c r="AF191" s="306">
        <f t="shared" si="414"/>
        <v>12702</v>
      </c>
      <c r="AG191" s="307">
        <f t="shared" ref="AG191:AM191" si="415">SUM(AG187:AG190)</f>
        <v>12420</v>
      </c>
      <c r="AH191" s="308">
        <f t="shared" si="415"/>
        <v>12420</v>
      </c>
      <c r="AI191" s="305">
        <f t="shared" si="415"/>
        <v>12348</v>
      </c>
      <c r="AJ191" s="306">
        <f t="shared" si="415"/>
        <v>12530</v>
      </c>
      <c r="AK191" s="306">
        <f t="shared" si="415"/>
        <v>12627</v>
      </c>
      <c r="AL191" s="307">
        <f t="shared" si="415"/>
        <v>12421</v>
      </c>
      <c r="AM191" s="308">
        <f t="shared" si="415"/>
        <v>12421</v>
      </c>
      <c r="AN191" s="305">
        <f t="shared" ref="AN191:AO191" si="416">SUM(AN187:AN190)</f>
        <v>12463</v>
      </c>
      <c r="AO191" s="306">
        <f t="shared" si="416"/>
        <v>11407</v>
      </c>
      <c r="AP191" s="306">
        <f t="shared" si="414"/>
        <v>11503</v>
      </c>
      <c r="AQ191" s="307">
        <f t="shared" si="414"/>
        <v>6241</v>
      </c>
      <c r="AR191" s="308">
        <f t="shared" si="414"/>
        <v>6241</v>
      </c>
      <c r="AS191" s="305">
        <f t="shared" ref="AS191:BB191" si="417">SUM(AS187:AS190)</f>
        <v>6139</v>
      </c>
      <c r="AT191" s="306">
        <f t="shared" si="417"/>
        <v>6320</v>
      </c>
      <c r="AU191" s="306">
        <f t="shared" si="417"/>
        <v>6406</v>
      </c>
      <c r="AV191" s="307">
        <f t="shared" si="417"/>
        <v>3925</v>
      </c>
      <c r="AW191" s="308">
        <f t="shared" si="417"/>
        <v>3925</v>
      </c>
      <c r="AX191" s="106">
        <f t="shared" si="417"/>
        <v>4966.0278965831521</v>
      </c>
      <c r="AY191" s="76">
        <f t="shared" si="417"/>
        <v>5042.4333205929197</v>
      </c>
      <c r="AZ191" s="76">
        <f t="shared" si="417"/>
        <v>5315.5437941863138</v>
      </c>
      <c r="BA191" s="107">
        <f t="shared" si="417"/>
        <v>5416.066983475569</v>
      </c>
      <c r="BB191" s="308">
        <f t="shared" si="417"/>
        <v>5416.066983475569</v>
      </c>
      <c r="BC191" s="106">
        <f t="shared" ref="BC191:BL191" si="418">SUM(BC187:BC190)</f>
        <v>5567.8845176511022</v>
      </c>
      <c r="BD191" s="76">
        <f t="shared" si="418"/>
        <v>5638.8151231914517</v>
      </c>
      <c r="BE191" s="76">
        <f t="shared" si="418"/>
        <v>7430.7756165199098</v>
      </c>
      <c r="BF191" s="107">
        <f t="shared" si="418"/>
        <v>7611.7176702956976</v>
      </c>
      <c r="BG191" s="308">
        <f t="shared" si="418"/>
        <v>7611.7176702956976</v>
      </c>
      <c r="BH191" s="106">
        <f t="shared" si="418"/>
        <v>7747.6918540971019</v>
      </c>
      <c r="BI191" s="76">
        <f t="shared" si="418"/>
        <v>7797.9052008163835</v>
      </c>
      <c r="BJ191" s="76">
        <f t="shared" si="418"/>
        <v>7954.6293001330778</v>
      </c>
      <c r="BK191" s="107">
        <f t="shared" si="418"/>
        <v>8032.7875843605234</v>
      </c>
      <c r="BL191" s="308">
        <f t="shared" si="418"/>
        <v>8032.7875843605234</v>
      </c>
      <c r="BM191" s="106">
        <f t="shared" ref="BM191:BQ191" si="419">SUM(BM187:BM190)</f>
        <v>8210.5809501555268</v>
      </c>
      <c r="BN191" s="76">
        <f t="shared" si="419"/>
        <v>8283.7135732051356</v>
      </c>
      <c r="BO191" s="76">
        <f t="shared" si="419"/>
        <v>8474.9682196442991</v>
      </c>
      <c r="BP191" s="107">
        <f t="shared" si="419"/>
        <v>8618.4458487576758</v>
      </c>
      <c r="BQ191" s="308">
        <f t="shared" si="419"/>
        <v>8618.4458487576758</v>
      </c>
      <c r="BT191"/>
      <c r="BU191"/>
      <c r="BV191"/>
      <c r="BW191"/>
      <c r="BX191"/>
      <c r="BY191"/>
    </row>
    <row r="192" spans="1:77">
      <c r="A192" s="92"/>
      <c r="B192" s="89"/>
      <c r="C192" s="88"/>
      <c r="D192" s="166"/>
      <c r="E192" s="106"/>
      <c r="F192" s="76"/>
      <c r="G192" s="76"/>
      <c r="H192" s="107"/>
      <c r="I192" s="51"/>
      <c r="J192" s="106"/>
      <c r="K192" s="76"/>
      <c r="L192" s="76"/>
      <c r="M192" s="107"/>
      <c r="N192" s="51"/>
      <c r="O192" s="106"/>
      <c r="P192" s="76"/>
      <c r="Q192" s="76"/>
      <c r="R192" s="107"/>
      <c r="S192" s="51"/>
      <c r="T192" s="106"/>
      <c r="U192" s="76"/>
      <c r="V192" s="76"/>
      <c r="W192" s="107"/>
      <c r="X192" s="51"/>
      <c r="Y192" s="106"/>
      <c r="Z192" s="76"/>
      <c r="AA192" s="76"/>
      <c r="AB192" s="107"/>
      <c r="AC192" s="51"/>
      <c r="AD192" s="106"/>
      <c r="AE192" s="76"/>
      <c r="AF192" s="76"/>
      <c r="AG192" s="107"/>
      <c r="AH192" s="51"/>
      <c r="AI192" s="106"/>
      <c r="AJ192" s="76"/>
      <c r="AK192" s="76"/>
      <c r="AL192" s="107"/>
      <c r="AM192" s="51"/>
      <c r="AN192" s="106"/>
      <c r="AO192" s="76"/>
      <c r="AP192" s="76"/>
      <c r="AQ192" s="107"/>
      <c r="AR192" s="51"/>
      <c r="AS192" s="106"/>
      <c r="AT192" s="76"/>
      <c r="AU192" s="76"/>
      <c r="AV192" s="107"/>
      <c r="AW192" s="51"/>
      <c r="AX192" s="106"/>
      <c r="AY192" s="76"/>
      <c r="AZ192" s="76"/>
      <c r="BA192" s="107"/>
      <c r="BB192" s="51"/>
      <c r="BC192" s="106"/>
      <c r="BD192" s="76"/>
      <c r="BE192" s="76"/>
      <c r="BF192" s="107"/>
      <c r="BG192" s="51"/>
      <c r="BH192" s="106"/>
      <c r="BI192" s="76"/>
      <c r="BJ192" s="76"/>
      <c r="BK192" s="107"/>
      <c r="BL192" s="51"/>
      <c r="BM192" s="106"/>
      <c r="BN192" s="76"/>
      <c r="BO192" s="76"/>
      <c r="BP192" s="107"/>
      <c r="BQ192" s="51"/>
    </row>
    <row r="193" spans="1:77">
      <c r="A193" s="92"/>
      <c r="B193" s="89"/>
      <c r="C193" s="88" t="s">
        <v>248</v>
      </c>
      <c r="D193" s="166"/>
      <c r="E193" s="305">
        <f>E183+E191+E185</f>
        <v>33557</v>
      </c>
      <c r="F193" s="76">
        <f t="shared" ref="F193:AR193" si="420">F183+F191+F185</f>
        <v>34306</v>
      </c>
      <c r="G193" s="76">
        <f t="shared" si="420"/>
        <v>34674</v>
      </c>
      <c r="H193" s="107">
        <f t="shared" si="420"/>
        <v>34304</v>
      </c>
      <c r="I193" s="51">
        <f t="shared" si="420"/>
        <v>34304</v>
      </c>
      <c r="J193" s="106">
        <f t="shared" si="420"/>
        <v>34078</v>
      </c>
      <c r="K193" s="76">
        <f t="shared" si="420"/>
        <v>34466</v>
      </c>
      <c r="L193" s="76">
        <f t="shared" si="420"/>
        <v>34707</v>
      </c>
      <c r="M193" s="107">
        <f t="shared" si="420"/>
        <v>35531</v>
      </c>
      <c r="N193" s="51">
        <f t="shared" si="420"/>
        <v>35531</v>
      </c>
      <c r="O193" s="106">
        <f t="shared" si="420"/>
        <v>47866</v>
      </c>
      <c r="P193" s="76">
        <f t="shared" si="420"/>
        <v>47596</v>
      </c>
      <c r="Q193" s="76">
        <f t="shared" si="420"/>
        <v>46661</v>
      </c>
      <c r="R193" s="107">
        <f t="shared" si="420"/>
        <v>47326</v>
      </c>
      <c r="S193" s="51">
        <f t="shared" si="420"/>
        <v>47326</v>
      </c>
      <c r="T193" s="106">
        <f t="shared" si="420"/>
        <v>47691</v>
      </c>
      <c r="U193" s="76">
        <f t="shared" si="420"/>
        <v>48048</v>
      </c>
      <c r="V193" s="76">
        <f>V183+V191+V185</f>
        <v>48738</v>
      </c>
      <c r="W193" s="107">
        <f t="shared" si="420"/>
        <v>50406</v>
      </c>
      <c r="X193" s="51">
        <f t="shared" si="420"/>
        <v>50406</v>
      </c>
      <c r="Y193" s="106">
        <f t="shared" si="420"/>
        <v>50424</v>
      </c>
      <c r="Z193" s="76">
        <f t="shared" ref="Z193:AF193" si="421">Z183+Z191+Z185</f>
        <v>50157</v>
      </c>
      <c r="AA193" s="76">
        <f t="shared" si="421"/>
        <v>50383</v>
      </c>
      <c r="AB193" s="107">
        <f t="shared" si="421"/>
        <v>50424</v>
      </c>
      <c r="AC193" s="51">
        <f t="shared" si="421"/>
        <v>50424</v>
      </c>
      <c r="AD193" s="106">
        <f t="shared" si="421"/>
        <v>51228</v>
      </c>
      <c r="AE193" s="76">
        <f t="shared" si="421"/>
        <v>51388</v>
      </c>
      <c r="AF193" s="76">
        <f t="shared" si="421"/>
        <v>51224</v>
      </c>
      <c r="AG193" s="107">
        <f t="shared" ref="AG193:AM193" si="422">AG183+AG191+AG185</f>
        <v>52166</v>
      </c>
      <c r="AH193" s="51">
        <f t="shared" si="422"/>
        <v>52166</v>
      </c>
      <c r="AI193" s="106">
        <f t="shared" si="422"/>
        <v>52521</v>
      </c>
      <c r="AJ193" s="76">
        <f t="shared" si="422"/>
        <v>53005</v>
      </c>
      <c r="AK193" s="76">
        <f t="shared" si="422"/>
        <v>52663</v>
      </c>
      <c r="AL193" s="107">
        <f t="shared" si="422"/>
        <v>52187</v>
      </c>
      <c r="AM193" s="51">
        <f t="shared" si="422"/>
        <v>52187</v>
      </c>
      <c r="AN193" s="106">
        <f t="shared" ref="AN193:AO193" si="423">AN183+AN191+AN185</f>
        <v>52695</v>
      </c>
      <c r="AO193" s="76">
        <f t="shared" si="423"/>
        <v>51401</v>
      </c>
      <c r="AP193" s="76">
        <f t="shared" si="420"/>
        <v>51961</v>
      </c>
      <c r="AQ193" s="107">
        <f t="shared" si="420"/>
        <v>43148</v>
      </c>
      <c r="AR193" s="51">
        <f t="shared" si="420"/>
        <v>43148</v>
      </c>
      <c r="AS193" s="106">
        <f t="shared" ref="AS193:BB193" si="424">AS183+AS191+AS185</f>
        <v>43212</v>
      </c>
      <c r="AT193" s="76">
        <f t="shared" si="424"/>
        <v>43327</v>
      </c>
      <c r="AU193" s="76">
        <f t="shared" si="424"/>
        <v>43649</v>
      </c>
      <c r="AV193" s="107">
        <f t="shared" si="424"/>
        <v>42257</v>
      </c>
      <c r="AW193" s="51">
        <f t="shared" si="424"/>
        <v>42257</v>
      </c>
      <c r="AX193" s="106">
        <f t="shared" si="424"/>
        <v>42142.979541666668</v>
      </c>
      <c r="AY193" s="76">
        <f t="shared" si="424"/>
        <v>42611.555808000005</v>
      </c>
      <c r="AZ193" s="76">
        <f t="shared" si="424"/>
        <v>43129.758611016499</v>
      </c>
      <c r="BA193" s="107">
        <f t="shared" si="424"/>
        <v>43588.617032338261</v>
      </c>
      <c r="BB193" s="51">
        <f t="shared" si="424"/>
        <v>43588.617032338261</v>
      </c>
      <c r="BC193" s="106">
        <f t="shared" ref="BC193:BL193" si="425">BC183+BC191+BC185</f>
        <v>44042.159441087642</v>
      </c>
      <c r="BD193" s="76">
        <f t="shared" si="425"/>
        <v>44489.41351134349</v>
      </c>
      <c r="BE193" s="76">
        <f t="shared" si="425"/>
        <v>44986.406239169744</v>
      </c>
      <c r="BF193" s="107">
        <f t="shared" si="425"/>
        <v>45424.163959226767</v>
      </c>
      <c r="BG193" s="51">
        <f t="shared" si="425"/>
        <v>45424.163959226767</v>
      </c>
      <c r="BH193" s="106">
        <f t="shared" si="425"/>
        <v>45856.712360975704</v>
      </c>
      <c r="BI193" s="76">
        <f t="shared" si="425"/>
        <v>46283.076504485973</v>
      </c>
      <c r="BJ193" s="76">
        <f t="shared" si="425"/>
        <v>46706.280835855228</v>
      </c>
      <c r="BK193" s="107">
        <f t="shared" si="425"/>
        <v>47123.349202251768</v>
      </c>
      <c r="BL193" s="51">
        <f t="shared" si="425"/>
        <v>47123.349202251768</v>
      </c>
      <c r="BM193" s="106">
        <f t="shared" ref="BM193:BQ193" si="426">BM183+BM191+BM185</f>
        <v>47535.304866588274</v>
      </c>
      <c r="BN193" s="76">
        <f t="shared" si="426"/>
        <v>47941.170521836029</v>
      </c>
      <c r="BO193" s="76">
        <f t="shared" si="426"/>
        <v>48343.96830498855</v>
      </c>
      <c r="BP193" s="107">
        <f t="shared" si="426"/>
        <v>48740.719810682996</v>
      </c>
      <c r="BQ193" s="51">
        <f t="shared" si="426"/>
        <v>48740.719810682996</v>
      </c>
    </row>
    <row r="194" spans="1:77">
      <c r="A194" s="92"/>
      <c r="B194" s="89"/>
      <c r="C194" s="89"/>
      <c r="D194" s="166"/>
      <c r="E194" s="169"/>
      <c r="F194" s="167"/>
      <c r="G194" s="167"/>
      <c r="H194" s="168"/>
      <c r="I194" s="21"/>
      <c r="J194" s="169"/>
      <c r="K194" s="167"/>
      <c r="L194" s="167"/>
      <c r="M194" s="168"/>
      <c r="N194" s="21"/>
      <c r="O194" s="169"/>
      <c r="P194" s="167"/>
      <c r="Q194" s="167"/>
      <c r="R194" s="168"/>
      <c r="S194" s="21"/>
      <c r="T194" s="169"/>
      <c r="U194" s="167"/>
      <c r="V194" s="167"/>
      <c r="W194" s="168"/>
      <c r="X194" s="21"/>
      <c r="Y194" s="169"/>
      <c r="Z194" s="167"/>
      <c r="AA194" s="167"/>
      <c r="AB194" s="168"/>
      <c r="AC194" s="21"/>
      <c r="AD194" s="169"/>
      <c r="AE194" s="167"/>
      <c r="AF194" s="167"/>
      <c r="AG194" s="168"/>
      <c r="AH194" s="21"/>
      <c r="AI194" s="169"/>
      <c r="AJ194" s="167"/>
      <c r="AK194" s="167"/>
      <c r="AL194" s="168"/>
      <c r="AM194" s="21"/>
      <c r="AN194" s="169"/>
      <c r="AO194" s="167"/>
      <c r="AP194" s="167"/>
      <c r="AQ194" s="168"/>
      <c r="AR194" s="21"/>
      <c r="AS194" s="169"/>
      <c r="AT194" s="167"/>
      <c r="AU194" s="167"/>
      <c r="AV194" s="168"/>
      <c r="AW194" s="21"/>
      <c r="AX194" s="169"/>
      <c r="AY194" s="167"/>
      <c r="AZ194" s="167"/>
      <c r="BA194" s="168"/>
      <c r="BB194" s="21"/>
      <c r="BC194" s="169"/>
      <c r="BD194" s="167"/>
      <c r="BE194" s="167"/>
      <c r="BF194" s="168"/>
      <c r="BG194" s="21"/>
      <c r="BH194" s="169"/>
      <c r="BI194" s="167"/>
      <c r="BJ194" s="167"/>
      <c r="BK194" s="168"/>
      <c r="BL194" s="21"/>
      <c r="BM194" s="169"/>
      <c r="BN194" s="167"/>
      <c r="BO194" s="167"/>
      <c r="BP194" s="168"/>
      <c r="BQ194" s="21"/>
    </row>
    <row r="195" spans="1:77">
      <c r="A195" s="92"/>
      <c r="B195" s="89"/>
      <c r="C195" s="89" t="s">
        <v>249</v>
      </c>
      <c r="D195" s="166"/>
      <c r="E195" s="167">
        <f t="shared" ref="E195:T195" si="427">E172-E193</f>
        <v>0</v>
      </c>
      <c r="F195" s="167">
        <f t="shared" si="427"/>
        <v>0</v>
      </c>
      <c r="G195" s="167">
        <f t="shared" si="427"/>
        <v>0</v>
      </c>
      <c r="H195" s="168">
        <f t="shared" si="427"/>
        <v>0</v>
      </c>
      <c r="I195" s="21">
        <f t="shared" si="427"/>
        <v>0</v>
      </c>
      <c r="J195" s="169">
        <f t="shared" si="427"/>
        <v>0</v>
      </c>
      <c r="K195" s="167">
        <f t="shared" si="427"/>
        <v>0</v>
      </c>
      <c r="L195" s="167">
        <f t="shared" si="427"/>
        <v>0</v>
      </c>
      <c r="M195" s="168">
        <f t="shared" si="427"/>
        <v>0</v>
      </c>
      <c r="N195" s="21">
        <f t="shared" si="427"/>
        <v>0</v>
      </c>
      <c r="O195" s="169">
        <f t="shared" si="427"/>
        <v>0</v>
      </c>
      <c r="P195" s="167">
        <f t="shared" si="427"/>
        <v>0</v>
      </c>
      <c r="Q195" s="167">
        <f t="shared" si="427"/>
        <v>0</v>
      </c>
      <c r="R195" s="168">
        <f t="shared" si="427"/>
        <v>0</v>
      </c>
      <c r="S195" s="21">
        <f t="shared" si="427"/>
        <v>0</v>
      </c>
      <c r="T195" s="169">
        <f t="shared" si="427"/>
        <v>0</v>
      </c>
      <c r="U195" s="167">
        <f>U172-U193</f>
        <v>0</v>
      </c>
      <c r="V195" s="167">
        <f>V172-V193</f>
        <v>0</v>
      </c>
      <c r="W195" s="168">
        <f>W172-W193</f>
        <v>0</v>
      </c>
      <c r="X195" s="21">
        <f>X172-X193</f>
        <v>0</v>
      </c>
      <c r="Y195" s="169">
        <f>Y172-Y193</f>
        <v>0</v>
      </c>
      <c r="Z195" s="167">
        <f t="shared" ref="Z195:AF195" si="428">Z172-Z193</f>
        <v>0</v>
      </c>
      <c r="AA195" s="167">
        <f t="shared" si="428"/>
        <v>0</v>
      </c>
      <c r="AB195" s="168">
        <f t="shared" si="428"/>
        <v>0</v>
      </c>
      <c r="AC195" s="21">
        <f t="shared" si="428"/>
        <v>0</v>
      </c>
      <c r="AD195" s="169">
        <f t="shared" si="428"/>
        <v>0</v>
      </c>
      <c r="AE195" s="167">
        <f t="shared" si="428"/>
        <v>0</v>
      </c>
      <c r="AF195" s="167">
        <f t="shared" si="428"/>
        <v>0</v>
      </c>
      <c r="AG195" s="168">
        <f t="shared" ref="AG195:AR195" si="429">AG172-AG193</f>
        <v>0</v>
      </c>
      <c r="AH195" s="21">
        <f t="shared" si="429"/>
        <v>0</v>
      </c>
      <c r="AI195" s="169">
        <f t="shared" si="429"/>
        <v>0</v>
      </c>
      <c r="AJ195" s="167">
        <f t="shared" si="429"/>
        <v>0</v>
      </c>
      <c r="AK195" s="167">
        <f t="shared" ref="AK195:AM195" si="430">AK172-AK193</f>
        <v>0</v>
      </c>
      <c r="AL195" s="168">
        <f t="shared" si="430"/>
        <v>0</v>
      </c>
      <c r="AM195" s="21">
        <f t="shared" si="430"/>
        <v>0</v>
      </c>
      <c r="AN195" s="169">
        <f t="shared" ref="AN195:AO195" si="431">AN172-AN193</f>
        <v>0</v>
      </c>
      <c r="AO195" s="167">
        <f t="shared" si="431"/>
        <v>0</v>
      </c>
      <c r="AP195" s="167">
        <f t="shared" si="429"/>
        <v>0</v>
      </c>
      <c r="AQ195" s="168">
        <f t="shared" si="429"/>
        <v>0</v>
      </c>
      <c r="AR195" s="21">
        <f t="shared" si="429"/>
        <v>0</v>
      </c>
      <c r="AS195" s="169">
        <f t="shared" ref="AS195:BB195" si="432">AS172-AS193</f>
        <v>0</v>
      </c>
      <c r="AT195" s="167">
        <f t="shared" si="432"/>
        <v>0</v>
      </c>
      <c r="AU195" s="167">
        <f t="shared" si="432"/>
        <v>0</v>
      </c>
      <c r="AV195" s="168">
        <f t="shared" si="432"/>
        <v>0</v>
      </c>
      <c r="AW195" s="21">
        <f t="shared" si="432"/>
        <v>0</v>
      </c>
      <c r="AX195" s="169">
        <f t="shared" si="432"/>
        <v>0</v>
      </c>
      <c r="AY195" s="167">
        <f t="shared" si="432"/>
        <v>0</v>
      </c>
      <c r="AZ195" s="167">
        <f t="shared" si="432"/>
        <v>0</v>
      </c>
      <c r="BA195" s="168">
        <f t="shared" si="432"/>
        <v>0</v>
      </c>
      <c r="BB195" s="21">
        <f t="shared" si="432"/>
        <v>0</v>
      </c>
      <c r="BC195" s="169">
        <f t="shared" ref="BC195:BL195" si="433">BC172-BC193</f>
        <v>0</v>
      </c>
      <c r="BD195" s="167">
        <f t="shared" si="433"/>
        <v>0</v>
      </c>
      <c r="BE195" s="167">
        <f t="shared" si="433"/>
        <v>0</v>
      </c>
      <c r="BF195" s="168">
        <f t="shared" si="433"/>
        <v>0</v>
      </c>
      <c r="BG195" s="21">
        <f t="shared" si="433"/>
        <v>0</v>
      </c>
      <c r="BH195" s="169">
        <f t="shared" si="433"/>
        <v>0</v>
      </c>
      <c r="BI195" s="167">
        <f t="shared" si="433"/>
        <v>0</v>
      </c>
      <c r="BJ195" s="167">
        <f t="shared" si="433"/>
        <v>0</v>
      </c>
      <c r="BK195" s="168">
        <f t="shared" si="433"/>
        <v>0</v>
      </c>
      <c r="BL195" s="21">
        <f t="shared" si="433"/>
        <v>0</v>
      </c>
      <c r="BM195" s="169">
        <f t="shared" ref="BM195:BQ195" si="434">BM172-BM193</f>
        <v>0</v>
      </c>
      <c r="BN195" s="167">
        <f t="shared" si="434"/>
        <v>0</v>
      </c>
      <c r="BO195" s="167">
        <f t="shared" si="434"/>
        <v>0</v>
      </c>
      <c r="BP195" s="168">
        <f t="shared" si="434"/>
        <v>0</v>
      </c>
      <c r="BQ195" s="21">
        <f t="shared" si="434"/>
        <v>0</v>
      </c>
    </row>
    <row r="196" spans="1:77">
      <c r="A196" s="92"/>
      <c r="B196" s="89"/>
      <c r="C196" s="89"/>
      <c r="D196" s="166"/>
      <c r="E196" s="167"/>
      <c r="F196" s="167"/>
      <c r="G196" s="167"/>
      <c r="H196" s="168"/>
      <c r="I196" s="21"/>
      <c r="J196" s="169"/>
      <c r="K196" s="167"/>
      <c r="L196" s="167"/>
      <c r="M196" s="168"/>
      <c r="N196" s="21"/>
      <c r="O196" s="169"/>
      <c r="P196" s="167"/>
      <c r="Q196" s="167"/>
      <c r="R196" s="168"/>
      <c r="S196" s="21"/>
      <c r="T196" s="169"/>
      <c r="U196" s="167"/>
      <c r="V196" s="167"/>
      <c r="W196" s="168"/>
      <c r="X196" s="166"/>
      <c r="Y196" s="169"/>
      <c r="Z196" s="167"/>
      <c r="AA196" s="167"/>
      <c r="AB196" s="168"/>
      <c r="AC196" s="166"/>
      <c r="AD196" s="169"/>
      <c r="AE196" s="167"/>
      <c r="AF196" s="167"/>
      <c r="AG196" s="168"/>
      <c r="AH196" s="166"/>
      <c r="AI196" s="169"/>
      <c r="AJ196" s="167"/>
      <c r="AK196" s="167"/>
      <c r="AL196" s="168"/>
      <c r="AM196" s="166"/>
      <c r="AN196" s="169"/>
      <c r="AO196" s="167"/>
      <c r="AP196" s="167"/>
      <c r="AQ196" s="168"/>
      <c r="AR196" s="166"/>
      <c r="AS196" s="169"/>
      <c r="AT196" s="167"/>
      <c r="AU196" s="167"/>
      <c r="AV196" s="168"/>
      <c r="AW196" s="166"/>
      <c r="AX196" s="169"/>
      <c r="AY196" s="167"/>
      <c r="AZ196" s="167"/>
      <c r="BA196" s="168"/>
      <c r="BB196" s="166"/>
      <c r="BC196" s="169"/>
      <c r="BD196" s="167"/>
      <c r="BE196" s="167"/>
      <c r="BF196" s="168"/>
      <c r="BG196" s="166"/>
      <c r="BH196" s="169"/>
      <c r="BI196" s="167"/>
      <c r="BJ196" s="167"/>
      <c r="BK196" s="168"/>
      <c r="BL196" s="166"/>
      <c r="BM196" s="169"/>
      <c r="BN196" s="167"/>
      <c r="BO196" s="167"/>
      <c r="BP196" s="168"/>
      <c r="BQ196" s="166"/>
    </row>
    <row r="197" spans="1:77">
      <c r="A197" s="92"/>
      <c r="B197" s="89"/>
      <c r="C197" s="89"/>
      <c r="D197" s="166"/>
      <c r="E197" s="167"/>
      <c r="F197" s="167"/>
      <c r="G197" s="167"/>
      <c r="H197" s="168"/>
      <c r="I197" s="21"/>
      <c r="J197" s="169"/>
      <c r="K197" s="167"/>
      <c r="L197" s="167"/>
      <c r="M197" s="168"/>
      <c r="N197" s="21"/>
      <c r="O197" s="169"/>
      <c r="P197" s="167"/>
      <c r="Q197" s="167"/>
      <c r="R197" s="168"/>
      <c r="S197" s="21"/>
      <c r="T197" s="169"/>
      <c r="U197" s="167"/>
      <c r="V197" s="167"/>
      <c r="W197" s="168"/>
      <c r="X197" s="166"/>
      <c r="Y197" s="169"/>
      <c r="Z197" s="167"/>
      <c r="AA197" s="167"/>
      <c r="AB197" s="168"/>
      <c r="AC197" s="166"/>
      <c r="AD197" s="169"/>
      <c r="AE197" s="167"/>
      <c r="AF197" s="167"/>
      <c r="AG197" s="168"/>
      <c r="AH197" s="166"/>
      <c r="AI197" s="169"/>
      <c r="AJ197" s="167"/>
      <c r="AK197" s="167"/>
      <c r="AL197" s="168"/>
      <c r="AM197" s="166"/>
      <c r="AN197" s="169"/>
      <c r="AO197" s="167"/>
      <c r="AP197" s="167"/>
      <c r="AQ197" s="168"/>
      <c r="AR197" s="166"/>
      <c r="AS197" s="169"/>
      <c r="AT197" s="167"/>
      <c r="AU197" s="167"/>
      <c r="AV197" s="168"/>
      <c r="AW197" s="166"/>
      <c r="AX197" s="169"/>
      <c r="AY197" s="167"/>
      <c r="AZ197" s="167"/>
      <c r="BA197" s="168"/>
      <c r="BB197" s="166"/>
      <c r="BC197" s="169"/>
      <c r="BD197" s="167"/>
      <c r="BE197" s="167"/>
      <c r="BF197" s="168"/>
      <c r="BG197" s="166"/>
      <c r="BH197" s="169"/>
      <c r="BI197" s="167"/>
      <c r="BJ197" s="167"/>
      <c r="BK197" s="168"/>
      <c r="BL197" s="166"/>
      <c r="BM197" s="169"/>
      <c r="BN197" s="167"/>
      <c r="BO197" s="167"/>
      <c r="BP197" s="168"/>
      <c r="BQ197" s="166"/>
    </row>
    <row r="198" spans="1:77">
      <c r="A198" s="92"/>
      <c r="B198" s="126" t="s">
        <v>404</v>
      </c>
      <c r="C198" s="127"/>
      <c r="D198" s="128"/>
      <c r="E198" s="309"/>
      <c r="F198" s="310"/>
      <c r="G198" s="310"/>
      <c r="H198" s="311"/>
      <c r="I198" s="285"/>
      <c r="J198" s="309"/>
      <c r="K198" s="310"/>
      <c r="L198" s="310"/>
      <c r="M198" s="311"/>
      <c r="N198" s="285"/>
      <c r="O198" s="309"/>
      <c r="P198" s="310"/>
      <c r="Q198" s="310"/>
      <c r="R198" s="311"/>
      <c r="S198" s="285"/>
      <c r="T198" s="169"/>
      <c r="U198" s="167"/>
      <c r="V198" s="167"/>
      <c r="W198" s="168"/>
      <c r="X198" s="166"/>
      <c r="Y198" s="169"/>
      <c r="Z198" s="167"/>
      <c r="AA198" s="167"/>
      <c r="AB198" s="168"/>
      <c r="AC198" s="166"/>
      <c r="AD198" s="169"/>
      <c r="AE198" s="167"/>
      <c r="AF198" s="167"/>
      <c r="AG198" s="168"/>
      <c r="AH198" s="166"/>
      <c r="AI198" s="169"/>
      <c r="AJ198" s="167"/>
      <c r="AK198" s="167"/>
      <c r="AL198" s="168"/>
      <c r="AM198" s="166"/>
      <c r="AN198" s="169"/>
      <c r="AO198" s="167"/>
      <c r="AP198" s="167"/>
      <c r="AQ198" s="168"/>
      <c r="AR198" s="166"/>
      <c r="AS198" s="169"/>
      <c r="AT198" s="167"/>
      <c r="AU198" s="167"/>
      <c r="AV198" s="168"/>
      <c r="AW198" s="166"/>
      <c r="AX198" s="169"/>
      <c r="AY198" s="167"/>
      <c r="AZ198" s="167"/>
      <c r="BA198" s="168"/>
      <c r="BB198" s="166"/>
      <c r="BC198" s="169"/>
      <c r="BD198" s="167"/>
      <c r="BE198" s="167"/>
      <c r="BF198" s="168"/>
      <c r="BG198" s="166"/>
      <c r="BH198" s="169"/>
      <c r="BI198" s="167"/>
      <c r="BJ198" s="167"/>
      <c r="BK198" s="168"/>
      <c r="BL198" s="166"/>
      <c r="BM198" s="169"/>
      <c r="BN198" s="167"/>
      <c r="BO198" s="167"/>
      <c r="BP198" s="168"/>
      <c r="BQ198" s="166"/>
    </row>
    <row r="199" spans="1:77">
      <c r="A199" s="92"/>
      <c r="B199" s="87"/>
      <c r="C199" s="97" t="s">
        <v>405</v>
      </c>
      <c r="D199" s="87"/>
      <c r="E199" s="104">
        <f>E157</f>
        <v>399</v>
      </c>
      <c r="F199" s="77">
        <f t="shared" ref="F199:X199" si="435">F157</f>
        <v>900</v>
      </c>
      <c r="G199" s="77">
        <f t="shared" si="435"/>
        <v>838</v>
      </c>
      <c r="H199" s="102">
        <f t="shared" si="435"/>
        <v>874</v>
      </c>
      <c r="I199" s="96">
        <f t="shared" si="435"/>
        <v>874</v>
      </c>
      <c r="J199" s="104">
        <f t="shared" si="435"/>
        <v>310</v>
      </c>
      <c r="K199" s="77">
        <f t="shared" si="435"/>
        <v>281</v>
      </c>
      <c r="L199" s="77">
        <f t="shared" si="435"/>
        <v>632</v>
      </c>
      <c r="M199" s="102">
        <f t="shared" si="435"/>
        <v>1019</v>
      </c>
      <c r="N199" s="96">
        <f t="shared" si="435"/>
        <v>1019</v>
      </c>
      <c r="O199" s="104">
        <f t="shared" si="435"/>
        <v>1101</v>
      </c>
      <c r="P199" s="77">
        <f t="shared" si="435"/>
        <v>476</v>
      </c>
      <c r="Q199" s="77">
        <f t="shared" si="435"/>
        <v>291</v>
      </c>
      <c r="R199" s="102">
        <f t="shared" si="435"/>
        <v>202</v>
      </c>
      <c r="S199" s="96">
        <f t="shared" si="435"/>
        <v>202</v>
      </c>
      <c r="T199" s="104">
        <f>T157</f>
        <v>74</v>
      </c>
      <c r="U199" s="77">
        <f>U157</f>
        <v>94</v>
      </c>
      <c r="V199" s="77">
        <f>V157</f>
        <v>150</v>
      </c>
      <c r="W199" s="168">
        <f>W157</f>
        <v>172</v>
      </c>
      <c r="X199" s="166">
        <f t="shared" si="435"/>
        <v>172</v>
      </c>
      <c r="Y199" s="104">
        <f t="shared" ref="Y199:AF199" si="436">Y157</f>
        <v>67</v>
      </c>
      <c r="Z199" s="115">
        <f t="shared" si="436"/>
        <v>71</v>
      </c>
      <c r="AA199" s="115">
        <f t="shared" si="436"/>
        <v>222</v>
      </c>
      <c r="AB199" s="168">
        <f t="shared" si="436"/>
        <v>218</v>
      </c>
      <c r="AC199" s="166">
        <f t="shared" si="436"/>
        <v>218</v>
      </c>
      <c r="AD199" s="104">
        <f t="shared" si="436"/>
        <v>109</v>
      </c>
      <c r="AE199" s="115">
        <f t="shared" si="436"/>
        <v>76</v>
      </c>
      <c r="AF199" s="115">
        <f t="shared" si="436"/>
        <v>109</v>
      </c>
      <c r="AG199" s="168">
        <f>AG157</f>
        <v>85</v>
      </c>
      <c r="AH199" s="166">
        <f>AH157</f>
        <v>85</v>
      </c>
      <c r="AI199" s="104">
        <f>AI157</f>
        <v>90</v>
      </c>
      <c r="AJ199" s="115">
        <f>AJ157</f>
        <v>94</v>
      </c>
      <c r="AK199" s="115">
        <f t="shared" ref="AK199" si="437">AK157</f>
        <v>86</v>
      </c>
      <c r="AL199" s="168">
        <f>AL157</f>
        <v>131</v>
      </c>
      <c r="AM199" s="166">
        <f>AM157</f>
        <v>131</v>
      </c>
      <c r="AN199" s="104">
        <f>AN157</f>
        <v>146</v>
      </c>
      <c r="AO199" s="115">
        <f>AO157</f>
        <v>199</v>
      </c>
      <c r="AP199" s="115">
        <f t="shared" ref="AP199" si="438">AP157</f>
        <v>551</v>
      </c>
      <c r="AQ199" s="168">
        <f t="shared" ref="AQ199:AU199" si="439">AQ157</f>
        <v>199</v>
      </c>
      <c r="AR199" s="166">
        <f t="shared" si="439"/>
        <v>199</v>
      </c>
      <c r="AS199" s="104">
        <f t="shared" si="439"/>
        <v>164</v>
      </c>
      <c r="AT199" s="115">
        <f t="shared" si="439"/>
        <v>114</v>
      </c>
      <c r="AU199" s="115">
        <f t="shared" si="439"/>
        <v>399</v>
      </c>
      <c r="AV199" s="168">
        <f t="shared" ref="AV199:AW199" si="440">AV157</f>
        <v>589</v>
      </c>
      <c r="AW199" s="166">
        <f t="shared" si="440"/>
        <v>589</v>
      </c>
      <c r="AX199" s="169">
        <f t="shared" ref="AX199:BB199" si="441">AX157</f>
        <v>0</v>
      </c>
      <c r="AY199" s="167">
        <f t="shared" si="441"/>
        <v>0</v>
      </c>
      <c r="AZ199" s="167">
        <f t="shared" si="441"/>
        <v>0</v>
      </c>
      <c r="BA199" s="168">
        <f t="shared" si="441"/>
        <v>0</v>
      </c>
      <c r="BB199" s="166">
        <f t="shared" si="441"/>
        <v>0</v>
      </c>
      <c r="BC199" s="169">
        <f t="shared" ref="BC199:BL199" si="442">BC157</f>
        <v>0</v>
      </c>
      <c r="BD199" s="167">
        <f t="shared" si="442"/>
        <v>0</v>
      </c>
      <c r="BE199" s="167">
        <f t="shared" si="442"/>
        <v>0</v>
      </c>
      <c r="BF199" s="168">
        <f t="shared" si="442"/>
        <v>0</v>
      </c>
      <c r="BG199" s="166">
        <f t="shared" si="442"/>
        <v>0</v>
      </c>
      <c r="BH199" s="169">
        <f t="shared" si="442"/>
        <v>0</v>
      </c>
      <c r="BI199" s="167">
        <f t="shared" si="442"/>
        <v>0</v>
      </c>
      <c r="BJ199" s="167">
        <f t="shared" si="442"/>
        <v>0</v>
      </c>
      <c r="BK199" s="168">
        <f t="shared" si="442"/>
        <v>0</v>
      </c>
      <c r="BL199" s="166">
        <f t="shared" si="442"/>
        <v>0</v>
      </c>
      <c r="BM199" s="169">
        <f t="shared" ref="BM199:BQ199" si="443">BM157</f>
        <v>0</v>
      </c>
      <c r="BN199" s="167">
        <f t="shared" si="443"/>
        <v>0</v>
      </c>
      <c r="BO199" s="167">
        <f t="shared" si="443"/>
        <v>0</v>
      </c>
      <c r="BP199" s="168">
        <f t="shared" si="443"/>
        <v>0</v>
      </c>
      <c r="BQ199" s="166">
        <f t="shared" si="443"/>
        <v>0</v>
      </c>
    </row>
    <row r="200" spans="1:77">
      <c r="A200" s="92"/>
      <c r="B200" s="87"/>
      <c r="C200" s="97"/>
      <c r="D200" s="87"/>
      <c r="E200" s="353"/>
      <c r="F200" s="354"/>
      <c r="G200" s="354"/>
      <c r="H200" s="355"/>
      <c r="I200" s="356"/>
      <c r="J200" s="353"/>
      <c r="K200" s="354"/>
      <c r="L200" s="354"/>
      <c r="M200" s="355"/>
      <c r="N200" s="356"/>
      <c r="O200" s="104"/>
      <c r="P200" s="77"/>
      <c r="Q200" s="77"/>
      <c r="R200" s="355"/>
      <c r="S200" s="356"/>
      <c r="T200" s="104"/>
      <c r="U200" s="77"/>
      <c r="V200" s="77"/>
      <c r="W200" s="168"/>
      <c r="X200" s="166"/>
      <c r="Y200" s="104"/>
      <c r="Z200" s="115"/>
      <c r="AA200" s="115"/>
      <c r="AB200" s="168"/>
      <c r="AC200" s="166"/>
      <c r="AD200" s="104"/>
      <c r="AE200" s="115"/>
      <c r="AF200" s="115"/>
      <c r="AG200" s="168"/>
      <c r="AH200" s="166"/>
      <c r="AI200" s="104"/>
      <c r="AJ200" s="115"/>
      <c r="AK200" s="115"/>
      <c r="AL200" s="168"/>
      <c r="AM200" s="166"/>
      <c r="AN200" s="104"/>
      <c r="AO200" s="115"/>
      <c r="AP200" s="115"/>
      <c r="AQ200" s="168"/>
      <c r="AR200" s="166"/>
      <c r="AS200" s="104"/>
      <c r="AT200" s="115"/>
      <c r="AU200" s="167"/>
      <c r="AV200" s="168"/>
      <c r="AW200" s="166"/>
      <c r="AX200" s="169"/>
      <c r="AY200" s="167"/>
      <c r="AZ200" s="167"/>
      <c r="BA200" s="168"/>
      <c r="BB200" s="166"/>
      <c r="BC200" s="169"/>
      <c r="BD200" s="167"/>
      <c r="BE200" s="167"/>
      <c r="BF200" s="168"/>
      <c r="BG200" s="166"/>
      <c r="BH200" s="169"/>
      <c r="BI200" s="167"/>
      <c r="BJ200" s="167"/>
      <c r="BK200" s="168"/>
      <c r="BL200" s="166"/>
      <c r="BM200" s="169"/>
      <c r="BN200" s="167"/>
      <c r="BO200" s="167"/>
      <c r="BP200" s="168"/>
      <c r="BQ200" s="166"/>
    </row>
    <row r="201" spans="1:77">
      <c r="A201" s="92"/>
      <c r="B201" s="87"/>
      <c r="C201" s="97" t="s">
        <v>406</v>
      </c>
      <c r="D201" s="87"/>
      <c r="E201" s="104">
        <f>E174</f>
        <v>2397</v>
      </c>
      <c r="F201" s="77">
        <f t="shared" ref="F201:S201" si="444">F174</f>
        <v>2397</v>
      </c>
      <c r="G201" s="77">
        <f t="shared" si="444"/>
        <v>1653</v>
      </c>
      <c r="H201" s="102">
        <f t="shared" si="444"/>
        <v>1081</v>
      </c>
      <c r="I201" s="96">
        <f t="shared" si="444"/>
        <v>1081</v>
      </c>
      <c r="J201" s="104">
        <f t="shared" si="444"/>
        <v>886</v>
      </c>
      <c r="K201" s="77">
        <f t="shared" si="444"/>
        <v>1463</v>
      </c>
      <c r="L201" s="77">
        <f t="shared" si="444"/>
        <v>1000</v>
      </c>
      <c r="M201" s="102">
        <f t="shared" si="444"/>
        <v>700</v>
      </c>
      <c r="N201" s="96">
        <f t="shared" si="444"/>
        <v>700</v>
      </c>
      <c r="O201" s="104">
        <f t="shared" si="444"/>
        <v>486</v>
      </c>
      <c r="P201" s="77">
        <f t="shared" si="444"/>
        <v>656</v>
      </c>
      <c r="Q201" s="77">
        <f t="shared" si="444"/>
        <v>0</v>
      </c>
      <c r="R201" s="102">
        <f t="shared" si="444"/>
        <v>0</v>
      </c>
      <c r="S201" s="96">
        <f t="shared" si="444"/>
        <v>0</v>
      </c>
      <c r="T201" s="104">
        <f>T174</f>
        <v>1075</v>
      </c>
      <c r="U201" s="77">
        <f>U174</f>
        <v>1890</v>
      </c>
      <c r="V201" s="77">
        <f>V174</f>
        <v>1604</v>
      </c>
      <c r="W201" s="168">
        <f>W174</f>
        <v>1969</v>
      </c>
      <c r="X201" s="166">
        <f>W201</f>
        <v>1969</v>
      </c>
      <c r="Y201" s="104">
        <f>Y174</f>
        <v>2150</v>
      </c>
      <c r="Z201" s="115">
        <f>Z174</f>
        <v>3254</v>
      </c>
      <c r="AA201" s="115">
        <f>AA174</f>
        <v>3404</v>
      </c>
      <c r="AB201" s="168">
        <f>AB174</f>
        <v>3404</v>
      </c>
      <c r="AC201" s="166">
        <f>AB201</f>
        <v>3404</v>
      </c>
      <c r="AD201" s="104">
        <f>AD174</f>
        <v>3085</v>
      </c>
      <c r="AE201" s="115">
        <f>AE174</f>
        <v>2323</v>
      </c>
      <c r="AF201" s="115">
        <f>AF174</f>
        <v>1621</v>
      </c>
      <c r="AG201" s="168">
        <f>AG174</f>
        <v>1799</v>
      </c>
      <c r="AH201" s="166">
        <f>AG201</f>
        <v>1799</v>
      </c>
      <c r="AI201" s="104">
        <f>AI174</f>
        <v>2559</v>
      </c>
      <c r="AJ201" s="115">
        <f>AJ174</f>
        <v>2908</v>
      </c>
      <c r="AK201" s="115">
        <f>AK174</f>
        <v>1933</v>
      </c>
      <c r="AL201" s="168">
        <f>AL174</f>
        <v>1708</v>
      </c>
      <c r="AM201" s="166">
        <f>AL201</f>
        <v>1708</v>
      </c>
      <c r="AN201" s="104">
        <f>AN174</f>
        <v>2125</v>
      </c>
      <c r="AO201" s="115">
        <f>AO174</f>
        <v>2925</v>
      </c>
      <c r="AP201" s="115">
        <f>AP174</f>
        <v>2975</v>
      </c>
      <c r="AQ201" s="168">
        <f>AQ174</f>
        <v>2675</v>
      </c>
      <c r="AR201" s="166">
        <f>AQ201</f>
        <v>2675</v>
      </c>
      <c r="AS201" s="104">
        <f>AS174</f>
        <v>2750</v>
      </c>
      <c r="AT201" s="115">
        <f>AT174</f>
        <v>225</v>
      </c>
      <c r="AU201" s="115">
        <f>AU174</f>
        <v>500</v>
      </c>
      <c r="AV201" s="168">
        <f>AV174</f>
        <v>300</v>
      </c>
      <c r="AW201" s="166">
        <f>AV201</f>
        <v>300</v>
      </c>
      <c r="AX201" s="169">
        <f>AX174</f>
        <v>141.32087184912007</v>
      </c>
      <c r="AY201" s="167">
        <f>AY174</f>
        <v>1542.7232329382909</v>
      </c>
      <c r="AZ201" s="167">
        <f>AZ174</f>
        <v>947.18478912700209</v>
      </c>
      <c r="BA201" s="168">
        <f>BA174</f>
        <v>1546.889247925114</v>
      </c>
      <c r="BB201" s="166">
        <f>BA201</f>
        <v>1546.889247925114</v>
      </c>
      <c r="BC201" s="169">
        <f>BC174</f>
        <v>2428.7487747860014</v>
      </c>
      <c r="BD201" s="167">
        <f>BD174</f>
        <v>1100.3468917885464</v>
      </c>
      <c r="BE201" s="167">
        <f>BE174</f>
        <v>1446.4759945733808</v>
      </c>
      <c r="BF201" s="168">
        <f>BF174</f>
        <v>1840.919313141643</v>
      </c>
      <c r="BG201" s="166">
        <f>BF201</f>
        <v>1840.919313141643</v>
      </c>
      <c r="BH201" s="169">
        <f>BH174</f>
        <v>2430.9775731262075</v>
      </c>
      <c r="BI201" s="167">
        <f>BI174</f>
        <v>1297.6543589542125</v>
      </c>
      <c r="BJ201" s="167">
        <f>BJ174</f>
        <v>1431.6605800438024</v>
      </c>
      <c r="BK201" s="168">
        <f>BK174</f>
        <v>1711.0966512499276</v>
      </c>
      <c r="BL201" s="166">
        <f>BK201</f>
        <v>1711.0966512499276</v>
      </c>
      <c r="BM201" s="169">
        <f>BM174</f>
        <v>1881.370757358186</v>
      </c>
      <c r="BN201" s="167">
        <f>BN174</f>
        <v>1601.3545971230958</v>
      </c>
      <c r="BO201" s="167">
        <f>BO174</f>
        <v>1581.314541403214</v>
      </c>
      <c r="BP201" s="168">
        <f>BP174</f>
        <v>1770.7002255510492</v>
      </c>
      <c r="BQ201" s="166">
        <f>BP201</f>
        <v>1770.7002255510492</v>
      </c>
    </row>
    <row r="202" spans="1:77">
      <c r="A202" s="92"/>
      <c r="B202" s="87"/>
      <c r="C202" s="357" t="s">
        <v>407</v>
      </c>
      <c r="D202" s="87"/>
      <c r="E202" s="104">
        <f>E175+E180</f>
        <v>11841</v>
      </c>
      <c r="F202" s="77">
        <f t="shared" ref="F202:S202" si="445">F175+F180</f>
        <v>12383</v>
      </c>
      <c r="G202" s="77">
        <f t="shared" si="445"/>
        <v>13667</v>
      </c>
      <c r="H202" s="102">
        <f t="shared" si="445"/>
        <v>13842</v>
      </c>
      <c r="I202" s="96">
        <f t="shared" si="445"/>
        <v>13842</v>
      </c>
      <c r="J202" s="104">
        <f t="shared" si="445"/>
        <v>13630</v>
      </c>
      <c r="K202" s="77">
        <f t="shared" si="445"/>
        <v>13432</v>
      </c>
      <c r="L202" s="77">
        <f t="shared" si="445"/>
        <v>13694</v>
      </c>
      <c r="M202" s="102">
        <f t="shared" si="445"/>
        <v>14065</v>
      </c>
      <c r="N202" s="96">
        <f t="shared" si="445"/>
        <v>14065</v>
      </c>
      <c r="O202" s="104">
        <f t="shared" si="445"/>
        <v>18920</v>
      </c>
      <c r="P202" s="77">
        <f t="shared" si="445"/>
        <v>18549</v>
      </c>
      <c r="Q202" s="77">
        <f t="shared" si="445"/>
        <v>17663</v>
      </c>
      <c r="R202" s="102">
        <f t="shared" si="445"/>
        <v>17337</v>
      </c>
      <c r="S202" s="96">
        <f t="shared" si="445"/>
        <v>17337</v>
      </c>
      <c r="T202" s="104">
        <f>T175+T180</f>
        <v>17299</v>
      </c>
      <c r="U202" s="77">
        <f>U175+U180</f>
        <v>16736</v>
      </c>
      <c r="V202" s="77">
        <f>V175+V180</f>
        <v>17100</v>
      </c>
      <c r="W202" s="168">
        <f>W175+W180</f>
        <v>17178</v>
      </c>
      <c r="X202" s="166">
        <f>W202</f>
        <v>17178</v>
      </c>
      <c r="Y202" s="104">
        <f>Y175+Y180</f>
        <v>18110</v>
      </c>
      <c r="Z202" s="115">
        <f>Z175+Z180</f>
        <v>17401</v>
      </c>
      <c r="AA202" s="115">
        <f>AA175+AA180</f>
        <v>17180</v>
      </c>
      <c r="AB202" s="168">
        <f>AB175+AB180</f>
        <v>17246</v>
      </c>
      <c r="AC202" s="166">
        <f>AB202</f>
        <v>17246</v>
      </c>
      <c r="AD202" s="104">
        <f>AD175+AD180</f>
        <v>18220</v>
      </c>
      <c r="AE202" s="115">
        <f>AE175+AE180</f>
        <v>19431</v>
      </c>
      <c r="AF202" s="115">
        <f>AF175+AF180</f>
        <v>19917</v>
      </c>
      <c r="AG202" s="168">
        <f>AG175+AG180</f>
        <v>19980</v>
      </c>
      <c r="AH202" s="166">
        <f>AG202</f>
        <v>19980</v>
      </c>
      <c r="AI202" s="104">
        <f>AI175+AI180</f>
        <v>19917</v>
      </c>
      <c r="AJ202" s="115">
        <f>AJ175+AJ180</f>
        <v>19862</v>
      </c>
      <c r="AK202" s="115">
        <f>AK175+AK180</f>
        <v>20241</v>
      </c>
      <c r="AL202" s="168">
        <f>AL175+AL180</f>
        <v>20358</v>
      </c>
      <c r="AM202" s="166">
        <f>AL202</f>
        <v>20358</v>
      </c>
      <c r="AN202" s="104">
        <f>AN175+AN180</f>
        <v>20233</v>
      </c>
      <c r="AO202" s="115">
        <f>AO175+AO180</f>
        <v>19675</v>
      </c>
      <c r="AP202" s="115">
        <f>AP175+AP180</f>
        <v>19748</v>
      </c>
      <c r="AQ202" s="168">
        <f>AQ175+AQ180</f>
        <v>19877</v>
      </c>
      <c r="AR202" s="166">
        <f>AQ202</f>
        <v>19877</v>
      </c>
      <c r="AS202" s="104">
        <f>AS175+AS180</f>
        <v>19909</v>
      </c>
      <c r="AT202" s="115">
        <f>AT175+AT180</f>
        <v>22597</v>
      </c>
      <c r="AU202" s="115">
        <f>AU175+AU180</f>
        <v>22165</v>
      </c>
      <c r="AV202" s="168">
        <f>AV175+AV180</f>
        <v>22197</v>
      </c>
      <c r="AW202" s="166">
        <f>AV202</f>
        <v>22197</v>
      </c>
      <c r="AX202" s="169">
        <f>AW202+AX141+AX142</f>
        <v>22367</v>
      </c>
      <c r="AY202" s="167">
        <f>AX202+AY141+AY142</f>
        <v>22071.137707999998</v>
      </c>
      <c r="AZ202" s="167">
        <f>AY202+AZ141+AZ142</f>
        <v>22828.137707999998</v>
      </c>
      <c r="BA202" s="168">
        <f>AZ202+BA141+BA142</f>
        <v>22503.137707999998</v>
      </c>
      <c r="BB202" s="166">
        <f>BA202</f>
        <v>22503.137707999998</v>
      </c>
      <c r="BC202" s="169">
        <f>BB202+BC141+BC142</f>
        <v>21903.137707999998</v>
      </c>
      <c r="BD202" s="167">
        <f>BC202+BD141+BD142</f>
        <v>23587.997707999999</v>
      </c>
      <c r="BE202" s="167">
        <f>BD202+BE141+BE142</f>
        <v>21927.035491999999</v>
      </c>
      <c r="BF202" s="168">
        <f>BE202+BF141+BF142</f>
        <v>21769.542492</v>
      </c>
      <c r="BG202" s="166">
        <f>BF202</f>
        <v>21769.542492</v>
      </c>
      <c r="BH202" s="169">
        <f>BG202+BH141+BH142</f>
        <v>21416.584439000002</v>
      </c>
      <c r="BI202" s="167">
        <f>BH202+BI141+BI142</f>
        <v>22866.584439000002</v>
      </c>
      <c r="BJ202" s="167">
        <f>BI202+BJ141+BJ142</f>
        <v>22939.584439000002</v>
      </c>
      <c r="BK202" s="168">
        <f>BJ202+BK141+BK142</f>
        <v>22939.584439000002</v>
      </c>
      <c r="BL202" s="166">
        <f>BK202</f>
        <v>22939.584439000002</v>
      </c>
      <c r="BM202" s="169">
        <f>BL202+BM141+BM142</f>
        <v>22939.584439000002</v>
      </c>
      <c r="BN202" s="167">
        <f>BM202+BN141+BN142</f>
        <v>23488.445439000003</v>
      </c>
      <c r="BO202" s="167">
        <f>BN202+BO141+BO142</f>
        <v>23656.140439000003</v>
      </c>
      <c r="BP202" s="168">
        <f>BO202+BP141+BP142</f>
        <v>23656.140439000003</v>
      </c>
      <c r="BQ202" s="166">
        <f>BP202</f>
        <v>23656.140439000003</v>
      </c>
    </row>
    <row r="203" spans="1:77" s="13" customFormat="1">
      <c r="A203" s="136"/>
      <c r="B203" s="88"/>
      <c r="C203" s="358" t="s">
        <v>32</v>
      </c>
      <c r="D203" s="88"/>
      <c r="E203" s="106">
        <f>SUM(E201:E202)</f>
        <v>14238</v>
      </c>
      <c r="F203" s="76">
        <f t="shared" ref="F203:AA203" si="446">SUM(F201:F202)</f>
        <v>14780</v>
      </c>
      <c r="G203" s="76">
        <f t="shared" si="446"/>
        <v>15320</v>
      </c>
      <c r="H203" s="107">
        <f t="shared" si="446"/>
        <v>14923</v>
      </c>
      <c r="I203" s="93">
        <f t="shared" si="446"/>
        <v>14923</v>
      </c>
      <c r="J203" s="106">
        <f t="shared" si="446"/>
        <v>14516</v>
      </c>
      <c r="K203" s="76">
        <f t="shared" si="446"/>
        <v>14895</v>
      </c>
      <c r="L203" s="76">
        <f t="shared" si="446"/>
        <v>14694</v>
      </c>
      <c r="M203" s="107">
        <f t="shared" si="446"/>
        <v>14765</v>
      </c>
      <c r="N203" s="93">
        <f t="shared" si="446"/>
        <v>14765</v>
      </c>
      <c r="O203" s="106">
        <f t="shared" si="446"/>
        <v>19406</v>
      </c>
      <c r="P203" s="76">
        <f t="shared" si="446"/>
        <v>19205</v>
      </c>
      <c r="Q203" s="76">
        <f t="shared" si="446"/>
        <v>17663</v>
      </c>
      <c r="R203" s="107">
        <f t="shared" si="446"/>
        <v>17337</v>
      </c>
      <c r="S203" s="93">
        <f t="shared" si="446"/>
        <v>17337</v>
      </c>
      <c r="T203" s="106">
        <f t="shared" si="446"/>
        <v>18374</v>
      </c>
      <c r="U203" s="76">
        <f t="shared" si="446"/>
        <v>18626</v>
      </c>
      <c r="V203" s="76">
        <f t="shared" si="446"/>
        <v>18704</v>
      </c>
      <c r="W203" s="107">
        <f t="shared" si="446"/>
        <v>19147</v>
      </c>
      <c r="X203" s="93">
        <f>SUM(X201:X202)</f>
        <v>19147</v>
      </c>
      <c r="Y203" s="106">
        <f t="shared" si="446"/>
        <v>20260</v>
      </c>
      <c r="Z203" s="76">
        <f t="shared" si="446"/>
        <v>20655</v>
      </c>
      <c r="AA203" s="76">
        <f t="shared" si="446"/>
        <v>20584</v>
      </c>
      <c r="AB203" s="107">
        <f t="shared" ref="AB203:AJ203" si="447">SUM(AB201:AB202)</f>
        <v>20650</v>
      </c>
      <c r="AC203" s="93">
        <f t="shared" si="447"/>
        <v>20650</v>
      </c>
      <c r="AD203" s="106">
        <f t="shared" si="447"/>
        <v>21305</v>
      </c>
      <c r="AE203" s="76">
        <f t="shared" si="447"/>
        <v>21754</v>
      </c>
      <c r="AF203" s="76">
        <f t="shared" si="447"/>
        <v>21538</v>
      </c>
      <c r="AG203" s="107">
        <f t="shared" si="447"/>
        <v>21779</v>
      </c>
      <c r="AH203" s="93">
        <f t="shared" si="447"/>
        <v>21779</v>
      </c>
      <c r="AI203" s="106">
        <f t="shared" si="447"/>
        <v>22476</v>
      </c>
      <c r="AJ203" s="76">
        <f t="shared" si="447"/>
        <v>22770</v>
      </c>
      <c r="AK203" s="76">
        <f t="shared" ref="AK203:AO203" si="448">SUM(AK201:AK202)</f>
        <v>22174</v>
      </c>
      <c r="AL203" s="107">
        <f t="shared" si="448"/>
        <v>22066</v>
      </c>
      <c r="AM203" s="93">
        <f>SUM(AM201:AM202)</f>
        <v>22066</v>
      </c>
      <c r="AN203" s="106">
        <f t="shared" si="448"/>
        <v>22358</v>
      </c>
      <c r="AO203" s="76">
        <f t="shared" si="448"/>
        <v>22600</v>
      </c>
      <c r="AP203" s="76">
        <f t="shared" ref="AP203:AQ203" si="449">SUM(AP201:AP202)</f>
        <v>22723</v>
      </c>
      <c r="AQ203" s="107">
        <f t="shared" si="449"/>
        <v>22552</v>
      </c>
      <c r="AR203" s="93">
        <f>SUM(AR201:AR202)</f>
        <v>22552</v>
      </c>
      <c r="AS203" s="106">
        <f t="shared" ref="AS203:AT203" si="450">SUM(AS201:AS202)</f>
        <v>22659</v>
      </c>
      <c r="AT203" s="76">
        <f t="shared" si="450"/>
        <v>22822</v>
      </c>
      <c r="AU203" s="76">
        <f t="shared" ref="AU203:AV203" si="451">SUM(AU201:AU202)</f>
        <v>22665</v>
      </c>
      <c r="AV203" s="107">
        <f t="shared" si="451"/>
        <v>22497</v>
      </c>
      <c r="AW203" s="93">
        <f>SUM(AW201:AW202)</f>
        <v>22497</v>
      </c>
      <c r="AX203" s="106">
        <f t="shared" ref="AX203:BA203" si="452">SUM(AX201:AX202)</f>
        <v>22508.320871849119</v>
      </c>
      <c r="AY203" s="76">
        <f t="shared" si="452"/>
        <v>23613.860940938288</v>
      </c>
      <c r="AZ203" s="76">
        <f t="shared" si="452"/>
        <v>23775.322497126999</v>
      </c>
      <c r="BA203" s="107">
        <f t="shared" si="452"/>
        <v>24050.026955925114</v>
      </c>
      <c r="BB203" s="93">
        <f>SUM(BB201:BB202)</f>
        <v>24050.026955925114</v>
      </c>
      <c r="BC203" s="106">
        <f t="shared" ref="BC203:BL203" si="453">SUM(BC201:BC202)</f>
        <v>24331.886482786002</v>
      </c>
      <c r="BD203" s="76">
        <f t="shared" si="453"/>
        <v>24688.344599788546</v>
      </c>
      <c r="BE203" s="76">
        <f t="shared" si="453"/>
        <v>23373.511486573381</v>
      </c>
      <c r="BF203" s="107">
        <f t="shared" si="453"/>
        <v>23610.461805141644</v>
      </c>
      <c r="BG203" s="93">
        <f t="shared" si="453"/>
        <v>23610.461805141644</v>
      </c>
      <c r="BH203" s="106">
        <f t="shared" si="453"/>
        <v>23847.562012126211</v>
      </c>
      <c r="BI203" s="76">
        <f t="shared" si="453"/>
        <v>24164.238797954215</v>
      </c>
      <c r="BJ203" s="76">
        <f t="shared" si="453"/>
        <v>24371.245019043803</v>
      </c>
      <c r="BK203" s="107">
        <f t="shared" si="453"/>
        <v>24650.681090249931</v>
      </c>
      <c r="BL203" s="93">
        <f t="shared" si="453"/>
        <v>24650.681090249931</v>
      </c>
      <c r="BM203" s="106">
        <f t="shared" ref="BM203:BQ203" si="454">SUM(BM201:BM202)</f>
        <v>24820.955196358187</v>
      </c>
      <c r="BN203" s="76">
        <f t="shared" si="454"/>
        <v>25089.800036123099</v>
      </c>
      <c r="BO203" s="76">
        <f t="shared" si="454"/>
        <v>25237.454980403218</v>
      </c>
      <c r="BP203" s="107">
        <f t="shared" si="454"/>
        <v>25426.840664551051</v>
      </c>
      <c r="BQ203" s="93">
        <f t="shared" si="454"/>
        <v>25426.840664551051</v>
      </c>
      <c r="BT203"/>
      <c r="BU203"/>
      <c r="BV203"/>
      <c r="BW203"/>
      <c r="BX203"/>
      <c r="BY203"/>
    </row>
    <row r="204" spans="1:77" s="359" customFormat="1">
      <c r="A204" s="726"/>
      <c r="B204" s="672"/>
      <c r="C204" s="359" t="s">
        <v>408</v>
      </c>
      <c r="D204" s="672"/>
      <c r="E204" s="723">
        <f>E203/E212</f>
        <v>0.63313767342582716</v>
      </c>
      <c r="F204" s="724">
        <f t="shared" ref="F204:AA204" si="455">F203/F212</f>
        <v>0.62223719109165154</v>
      </c>
      <c r="G204" s="724">
        <f t="shared" si="455"/>
        <v>0.64337308919872338</v>
      </c>
      <c r="H204" s="725">
        <f t="shared" si="455"/>
        <v>0.63550804871816713</v>
      </c>
      <c r="I204" s="672">
        <f t="shared" si="455"/>
        <v>0.63550804871816713</v>
      </c>
      <c r="J204" s="723">
        <f t="shared" si="455"/>
        <v>0.62943370045963054</v>
      </c>
      <c r="K204" s="724">
        <f t="shared" si="455"/>
        <v>0.62758068593578831</v>
      </c>
      <c r="L204" s="724">
        <f t="shared" si="455"/>
        <v>0.62765366707957793</v>
      </c>
      <c r="M204" s="725">
        <f t="shared" si="455"/>
        <v>0.62171038780580234</v>
      </c>
      <c r="N204" s="672">
        <f t="shared" si="455"/>
        <v>0.62171038780580234</v>
      </c>
      <c r="O204" s="723">
        <f t="shared" si="455"/>
        <v>0.60388983973860277</v>
      </c>
      <c r="P204" s="724">
        <f t="shared" si="455"/>
        <v>0.59637300872589505</v>
      </c>
      <c r="Q204" s="724">
        <f t="shared" si="455"/>
        <v>0.57517340193428634</v>
      </c>
      <c r="R204" s="725">
        <f t="shared" si="455"/>
        <v>0.56625404187216255</v>
      </c>
      <c r="S204" s="672">
        <f t="shared" si="455"/>
        <v>0.56625404187216255</v>
      </c>
      <c r="T204" s="723">
        <f t="shared" si="455"/>
        <v>0.57967631006088904</v>
      </c>
      <c r="U204" s="724">
        <f t="shared" si="455"/>
        <v>0.57983376396974129</v>
      </c>
      <c r="V204" s="724">
        <f t="shared" si="455"/>
        <v>0.58200827706382052</v>
      </c>
      <c r="W204" s="725">
        <f t="shared" si="455"/>
        <v>0.59405541249108007</v>
      </c>
      <c r="X204" s="672">
        <f>X203/X212</f>
        <v>0.59405541249108007</v>
      </c>
      <c r="Y204" s="723">
        <f t="shared" si="455"/>
        <v>0.60921337503006978</v>
      </c>
      <c r="Z204" s="724">
        <f t="shared" si="455"/>
        <v>0.61741495785257372</v>
      </c>
      <c r="AA204" s="724">
        <f t="shared" si="455"/>
        <v>0.62134750060371891</v>
      </c>
      <c r="AB204" s="725">
        <f t="shared" ref="AB204:AJ204" si="456">AB203/AB212</f>
        <v>0.61933897186731446</v>
      </c>
      <c r="AC204" s="672">
        <f t="shared" si="456"/>
        <v>0.61933897186731446</v>
      </c>
      <c r="AD204" s="723">
        <f t="shared" si="456"/>
        <v>0.62833633173091097</v>
      </c>
      <c r="AE204" s="724">
        <f t="shared" si="456"/>
        <v>0.63170427156837128</v>
      </c>
      <c r="AF204" s="724">
        <f t="shared" si="456"/>
        <v>0.62903037383177574</v>
      </c>
      <c r="AG204" s="725">
        <f t="shared" si="456"/>
        <v>0.63683148630076902</v>
      </c>
      <c r="AH204" s="672">
        <f t="shared" si="456"/>
        <v>0.63683148630076902</v>
      </c>
      <c r="AI204" s="723">
        <f t="shared" si="456"/>
        <v>0.64541695382494835</v>
      </c>
      <c r="AJ204" s="724">
        <f t="shared" si="456"/>
        <v>0.64504249291784699</v>
      </c>
      <c r="AK204" s="724">
        <f t="shared" ref="AK204:AO204" si="457">AK203/AK212</f>
        <v>0.6371655986896928</v>
      </c>
      <c r="AL204" s="725">
        <f t="shared" si="457"/>
        <v>0.63983530025806823</v>
      </c>
      <c r="AM204" s="672">
        <f t="shared" si="457"/>
        <v>0.63983530025806823</v>
      </c>
      <c r="AN204" s="723">
        <f t="shared" si="457"/>
        <v>0.64208380000574361</v>
      </c>
      <c r="AO204" s="724">
        <f t="shared" si="457"/>
        <v>0.66456905931131827</v>
      </c>
      <c r="AP204" s="724">
        <f t="shared" ref="AP204:AT204" si="458">AP203/AP212</f>
        <v>0.66391047741483078</v>
      </c>
      <c r="AQ204" s="725">
        <f t="shared" si="458"/>
        <v>0.78324592782968083</v>
      </c>
      <c r="AR204" s="672">
        <f t="shared" si="458"/>
        <v>0.78324592782968083</v>
      </c>
      <c r="AS204" s="723">
        <f t="shared" si="458"/>
        <v>0.78682547399124936</v>
      </c>
      <c r="AT204" s="724">
        <f t="shared" si="458"/>
        <v>0.78313087639832546</v>
      </c>
      <c r="AU204" s="724">
        <f t="shared" ref="AU204:AW204" si="459">AU203/AU212</f>
        <v>0.7796429431392109</v>
      </c>
      <c r="AV204" s="725">
        <f t="shared" si="459"/>
        <v>0.85144954961774277</v>
      </c>
      <c r="AW204" s="672">
        <f t="shared" si="459"/>
        <v>0.85144954961774277</v>
      </c>
      <c r="AX204" s="723">
        <f t="shared" ref="AX204:BB204" si="460">AX203/AX212</f>
        <v>0.81924856751148678</v>
      </c>
      <c r="AY204" s="724">
        <f t="shared" si="460"/>
        <v>0.82403749505873891</v>
      </c>
      <c r="AZ204" s="724">
        <f t="shared" si="460"/>
        <v>0.81727791324751431</v>
      </c>
      <c r="BA204" s="725">
        <f t="shared" si="460"/>
        <v>0.81619324927782655</v>
      </c>
      <c r="BB204" s="672">
        <f t="shared" si="460"/>
        <v>0.81619324927782655</v>
      </c>
      <c r="BC204" s="723">
        <f t="shared" ref="BC204:BL204" si="461">BC203/BC212</f>
        <v>0.81378170028226282</v>
      </c>
      <c r="BD204" s="724">
        <f t="shared" si="461"/>
        <v>0.81406715384168615</v>
      </c>
      <c r="BE204" s="724">
        <f t="shared" si="461"/>
        <v>0.75877462797138617</v>
      </c>
      <c r="BF204" s="725">
        <f t="shared" si="461"/>
        <v>0.75620799706555153</v>
      </c>
      <c r="BG204" s="672">
        <f t="shared" si="461"/>
        <v>0.75620799706555153</v>
      </c>
      <c r="BH204" s="723">
        <f t="shared" si="461"/>
        <v>0.75478304789379402</v>
      </c>
      <c r="BI204" s="724">
        <f t="shared" si="461"/>
        <v>0.75602684221946048</v>
      </c>
      <c r="BJ204" s="724">
        <f t="shared" si="461"/>
        <v>0.75392376949835183</v>
      </c>
      <c r="BK204" s="725">
        <f t="shared" si="461"/>
        <v>0.75422475305992698</v>
      </c>
      <c r="BL204" s="672">
        <f t="shared" si="461"/>
        <v>0.75422475305992698</v>
      </c>
      <c r="BM204" s="723">
        <f t="shared" ref="BM204:BQ204" si="462">BM203/BM212</f>
        <v>0.7514320583294426</v>
      </c>
      <c r="BN204" s="724">
        <f t="shared" si="462"/>
        <v>0.75178778985711125</v>
      </c>
      <c r="BO204" s="724">
        <f t="shared" si="462"/>
        <v>0.74860993618422678</v>
      </c>
      <c r="BP204" s="725">
        <f t="shared" si="462"/>
        <v>0.74685347866323237</v>
      </c>
      <c r="BQ204" s="672">
        <f t="shared" si="462"/>
        <v>0.74685347866323237</v>
      </c>
      <c r="BT204"/>
      <c r="BU204"/>
      <c r="BV204"/>
      <c r="BW204"/>
      <c r="BX204"/>
      <c r="BY204"/>
    </row>
    <row r="205" spans="1:77">
      <c r="A205" s="92"/>
      <c r="B205" s="98"/>
      <c r="C205" s="359"/>
      <c r="D205" s="98"/>
      <c r="E205" s="360"/>
      <c r="F205" s="361"/>
      <c r="G205" s="361"/>
      <c r="H205" s="362"/>
      <c r="I205" s="363"/>
      <c r="J205" s="360"/>
      <c r="K205" s="361"/>
      <c r="L205" s="361"/>
      <c r="M205" s="1124"/>
      <c r="N205" s="1125"/>
      <c r="O205" s="1126"/>
      <c r="P205" s="1127"/>
      <c r="Q205" s="1127"/>
      <c r="R205" s="1124"/>
      <c r="S205" s="1125"/>
      <c r="T205" s="1126"/>
      <c r="U205" s="1127"/>
      <c r="V205" s="1127"/>
      <c r="W205" s="168"/>
      <c r="X205" s="166"/>
      <c r="Y205" s="1126"/>
      <c r="Z205" s="1127"/>
      <c r="AA205" s="1127"/>
      <c r="AB205" s="168"/>
      <c r="AC205" s="166"/>
      <c r="AD205" s="1126"/>
      <c r="AE205" s="1127"/>
      <c r="AF205" s="1127"/>
      <c r="AG205" s="168"/>
      <c r="AH205" s="166"/>
      <c r="AI205" s="1126"/>
      <c r="AJ205" s="1127"/>
      <c r="AK205" s="1127"/>
      <c r="AL205" s="168"/>
      <c r="AM205" s="166"/>
      <c r="AN205" s="1126"/>
      <c r="AO205" s="1127"/>
      <c r="AP205" s="1127"/>
      <c r="AQ205" s="168"/>
      <c r="AR205" s="166"/>
      <c r="AS205" s="1126"/>
      <c r="AT205" s="1127"/>
      <c r="AU205" s="167"/>
      <c r="AV205" s="168"/>
      <c r="AW205" s="166"/>
      <c r="AX205" s="169"/>
      <c r="AY205" s="167"/>
      <c r="AZ205" s="167"/>
      <c r="BA205" s="168"/>
      <c r="BB205" s="166"/>
      <c r="BC205" s="169"/>
      <c r="BD205" s="167"/>
      <c r="BE205" s="167"/>
      <c r="BF205" s="168"/>
      <c r="BG205" s="166"/>
      <c r="BH205" s="169"/>
      <c r="BI205" s="167"/>
      <c r="BJ205" s="167"/>
      <c r="BK205" s="168"/>
      <c r="BL205" s="166"/>
      <c r="BM205" s="169"/>
      <c r="BN205" s="167"/>
      <c r="BO205" s="167"/>
      <c r="BP205" s="168"/>
      <c r="BQ205" s="166"/>
    </row>
    <row r="206" spans="1:77">
      <c r="A206" s="92"/>
      <c r="B206" s="87"/>
      <c r="C206" s="338" t="s">
        <v>349</v>
      </c>
      <c r="D206" s="364"/>
      <c r="E206" s="106">
        <v>0</v>
      </c>
      <c r="F206" s="76">
        <v>0</v>
      </c>
      <c r="G206" s="76">
        <v>0</v>
      </c>
      <c r="H206" s="107">
        <v>0</v>
      </c>
      <c r="I206" s="93">
        <v>0</v>
      </c>
      <c r="J206" s="106">
        <v>0</v>
      </c>
      <c r="K206" s="76">
        <v>0</v>
      </c>
      <c r="L206" s="76">
        <v>0</v>
      </c>
      <c r="M206" s="107">
        <v>0</v>
      </c>
      <c r="N206" s="93">
        <v>0</v>
      </c>
      <c r="O206" s="106">
        <v>0</v>
      </c>
      <c r="P206" s="76">
        <v>0</v>
      </c>
      <c r="Q206" s="76">
        <v>0</v>
      </c>
      <c r="R206" s="107">
        <v>0</v>
      </c>
      <c r="S206" s="93">
        <v>0</v>
      </c>
      <c r="T206" s="106">
        <v>0</v>
      </c>
      <c r="U206" s="76">
        <v>0</v>
      </c>
      <c r="V206" s="76">
        <v>0</v>
      </c>
      <c r="W206" s="168">
        <v>0</v>
      </c>
      <c r="X206" s="166">
        <v>0</v>
      </c>
      <c r="Y206" s="106">
        <v>0</v>
      </c>
      <c r="Z206" s="76">
        <v>0</v>
      </c>
      <c r="AA206" s="76">
        <v>0</v>
      </c>
      <c r="AB206" s="168">
        <v>0</v>
      </c>
      <c r="AC206" s="166">
        <v>0</v>
      </c>
      <c r="AD206" s="106">
        <v>0</v>
      </c>
      <c r="AE206" s="76">
        <v>0</v>
      </c>
      <c r="AF206" s="76">
        <v>0</v>
      </c>
      <c r="AG206" s="168">
        <v>0</v>
      </c>
      <c r="AH206" s="166">
        <v>0</v>
      </c>
      <c r="AI206" s="106">
        <v>0</v>
      </c>
      <c r="AJ206" s="76">
        <v>0</v>
      </c>
      <c r="AK206" s="76">
        <v>0</v>
      </c>
      <c r="AL206" s="168">
        <v>0</v>
      </c>
      <c r="AM206" s="166">
        <v>0</v>
      </c>
      <c r="AN206" s="106">
        <v>0</v>
      </c>
      <c r="AO206" s="76">
        <v>0</v>
      </c>
      <c r="AP206" s="76">
        <v>0</v>
      </c>
      <c r="AQ206" s="168">
        <v>0</v>
      </c>
      <c r="AR206" s="166">
        <v>0</v>
      </c>
      <c r="AS206" s="106">
        <v>0</v>
      </c>
      <c r="AT206" s="76">
        <v>0</v>
      </c>
      <c r="AU206" s="76">
        <v>0</v>
      </c>
      <c r="AV206" s="168">
        <v>0</v>
      </c>
      <c r="AW206" s="166">
        <v>0</v>
      </c>
      <c r="AX206" s="169">
        <v>0</v>
      </c>
      <c r="AY206" s="167">
        <v>0</v>
      </c>
      <c r="AZ206" s="167">
        <v>0</v>
      </c>
      <c r="BA206" s="168">
        <v>0</v>
      </c>
      <c r="BB206" s="166">
        <v>0</v>
      </c>
      <c r="BC206" s="169">
        <v>0</v>
      </c>
      <c r="BD206" s="167">
        <v>0</v>
      </c>
      <c r="BE206" s="167">
        <v>0</v>
      </c>
      <c r="BF206" s="168">
        <v>0</v>
      </c>
      <c r="BG206" s="166">
        <v>0</v>
      </c>
      <c r="BH206" s="169">
        <v>0</v>
      </c>
      <c r="BI206" s="167">
        <v>0</v>
      </c>
      <c r="BJ206" s="167">
        <v>0</v>
      </c>
      <c r="BK206" s="168">
        <v>0</v>
      </c>
      <c r="BL206" s="166">
        <v>0</v>
      </c>
      <c r="BM206" s="169">
        <v>0</v>
      </c>
      <c r="BN206" s="167">
        <v>0</v>
      </c>
      <c r="BO206" s="167">
        <v>0</v>
      </c>
      <c r="BP206" s="168">
        <v>0</v>
      </c>
      <c r="BQ206" s="166">
        <v>0</v>
      </c>
    </row>
    <row r="207" spans="1:77" s="359" customFormat="1">
      <c r="A207" s="726"/>
      <c r="B207" s="672"/>
      <c r="C207" s="365" t="s">
        <v>408</v>
      </c>
      <c r="D207" s="672"/>
      <c r="E207" s="723">
        <f>E206/E212</f>
        <v>0</v>
      </c>
      <c r="F207" s="724">
        <f t="shared" ref="F207:AA207" si="463">F206/F212</f>
        <v>0</v>
      </c>
      <c r="G207" s="724">
        <f t="shared" si="463"/>
        <v>0</v>
      </c>
      <c r="H207" s="725">
        <f t="shared" si="463"/>
        <v>0</v>
      </c>
      <c r="I207" s="672">
        <f t="shared" si="463"/>
        <v>0</v>
      </c>
      <c r="J207" s="723">
        <f t="shared" si="463"/>
        <v>0</v>
      </c>
      <c r="K207" s="724">
        <f t="shared" si="463"/>
        <v>0</v>
      </c>
      <c r="L207" s="724">
        <f t="shared" si="463"/>
        <v>0</v>
      </c>
      <c r="M207" s="725">
        <f t="shared" si="463"/>
        <v>0</v>
      </c>
      <c r="N207" s="672">
        <f t="shared" si="463"/>
        <v>0</v>
      </c>
      <c r="O207" s="723">
        <f t="shared" si="463"/>
        <v>0</v>
      </c>
      <c r="P207" s="724">
        <f t="shared" si="463"/>
        <v>0</v>
      </c>
      <c r="Q207" s="724">
        <f t="shared" si="463"/>
        <v>0</v>
      </c>
      <c r="R207" s="725">
        <f t="shared" si="463"/>
        <v>0</v>
      </c>
      <c r="S207" s="672">
        <f t="shared" si="463"/>
        <v>0</v>
      </c>
      <c r="T207" s="723">
        <f t="shared" si="463"/>
        <v>0</v>
      </c>
      <c r="U207" s="724">
        <f t="shared" si="463"/>
        <v>0</v>
      </c>
      <c r="V207" s="724">
        <f t="shared" si="463"/>
        <v>0</v>
      </c>
      <c r="W207" s="725">
        <f t="shared" si="463"/>
        <v>0</v>
      </c>
      <c r="X207" s="672">
        <f>X206/X212</f>
        <v>0</v>
      </c>
      <c r="Y207" s="723">
        <f t="shared" si="463"/>
        <v>0</v>
      </c>
      <c r="Z207" s="724">
        <f t="shared" si="463"/>
        <v>0</v>
      </c>
      <c r="AA207" s="724">
        <f t="shared" si="463"/>
        <v>0</v>
      </c>
      <c r="AB207" s="725">
        <f t="shared" ref="AB207:AJ207" si="464">AB206/AB212</f>
        <v>0</v>
      </c>
      <c r="AC207" s="672">
        <f t="shared" si="464"/>
        <v>0</v>
      </c>
      <c r="AD207" s="723">
        <f t="shared" si="464"/>
        <v>0</v>
      </c>
      <c r="AE207" s="724">
        <f t="shared" si="464"/>
        <v>0</v>
      </c>
      <c r="AF207" s="724">
        <f t="shared" si="464"/>
        <v>0</v>
      </c>
      <c r="AG207" s="725">
        <f t="shared" si="464"/>
        <v>0</v>
      </c>
      <c r="AH207" s="672">
        <f t="shared" si="464"/>
        <v>0</v>
      </c>
      <c r="AI207" s="723">
        <f t="shared" si="464"/>
        <v>0</v>
      </c>
      <c r="AJ207" s="724">
        <f t="shared" si="464"/>
        <v>0</v>
      </c>
      <c r="AK207" s="724">
        <f t="shared" ref="AK207:AO207" si="465">AK206/AK212</f>
        <v>0</v>
      </c>
      <c r="AL207" s="725">
        <f t="shared" si="465"/>
        <v>0</v>
      </c>
      <c r="AM207" s="672">
        <f t="shared" si="465"/>
        <v>0</v>
      </c>
      <c r="AN207" s="723">
        <f t="shared" si="465"/>
        <v>0</v>
      </c>
      <c r="AO207" s="724">
        <f t="shared" si="465"/>
        <v>0</v>
      </c>
      <c r="AP207" s="724">
        <f t="shared" ref="AP207:AT207" si="466">AP206/AP212</f>
        <v>0</v>
      </c>
      <c r="AQ207" s="725">
        <f t="shared" si="466"/>
        <v>0</v>
      </c>
      <c r="AR207" s="672">
        <f t="shared" si="466"/>
        <v>0</v>
      </c>
      <c r="AS207" s="723">
        <f t="shared" si="466"/>
        <v>0</v>
      </c>
      <c r="AT207" s="724">
        <f t="shared" si="466"/>
        <v>0</v>
      </c>
      <c r="AU207" s="724">
        <f t="shared" ref="AU207:AW207" si="467">AU206/AU212</f>
        <v>0</v>
      </c>
      <c r="AV207" s="725">
        <f t="shared" si="467"/>
        <v>0</v>
      </c>
      <c r="AW207" s="672">
        <f t="shared" si="467"/>
        <v>0</v>
      </c>
      <c r="AX207" s="723">
        <f t="shared" ref="AX207:BB207" si="468">AX206/AX212</f>
        <v>0</v>
      </c>
      <c r="AY207" s="724">
        <f t="shared" si="468"/>
        <v>0</v>
      </c>
      <c r="AZ207" s="724">
        <f t="shared" si="468"/>
        <v>0</v>
      </c>
      <c r="BA207" s="725">
        <f t="shared" si="468"/>
        <v>0</v>
      </c>
      <c r="BB207" s="672">
        <f t="shared" si="468"/>
        <v>0</v>
      </c>
      <c r="BC207" s="723">
        <f t="shared" ref="BC207:BL207" si="469">BC206/BC212</f>
        <v>0</v>
      </c>
      <c r="BD207" s="724">
        <f t="shared" si="469"/>
        <v>0</v>
      </c>
      <c r="BE207" s="724">
        <f t="shared" si="469"/>
        <v>0</v>
      </c>
      <c r="BF207" s="725">
        <f t="shared" si="469"/>
        <v>0</v>
      </c>
      <c r="BG207" s="672">
        <f t="shared" si="469"/>
        <v>0</v>
      </c>
      <c r="BH207" s="723">
        <f t="shared" si="469"/>
        <v>0</v>
      </c>
      <c r="BI207" s="724">
        <f t="shared" si="469"/>
        <v>0</v>
      </c>
      <c r="BJ207" s="724">
        <f t="shared" si="469"/>
        <v>0</v>
      </c>
      <c r="BK207" s="725">
        <f t="shared" si="469"/>
        <v>0</v>
      </c>
      <c r="BL207" s="672">
        <f t="shared" si="469"/>
        <v>0</v>
      </c>
      <c r="BM207" s="723">
        <f t="shared" ref="BM207:BQ207" si="470">BM206/BM212</f>
        <v>0</v>
      </c>
      <c r="BN207" s="724">
        <f t="shared" si="470"/>
        <v>0</v>
      </c>
      <c r="BO207" s="724">
        <f t="shared" si="470"/>
        <v>0</v>
      </c>
      <c r="BP207" s="725">
        <f t="shared" si="470"/>
        <v>0</v>
      </c>
      <c r="BQ207" s="672">
        <f t="shared" si="470"/>
        <v>0</v>
      </c>
      <c r="BT207"/>
      <c r="BU207"/>
      <c r="BV207"/>
      <c r="BW207"/>
      <c r="BX207"/>
      <c r="BY207"/>
    </row>
    <row r="208" spans="1:77">
      <c r="A208" s="92"/>
      <c r="B208" s="87"/>
      <c r="C208" s="97"/>
      <c r="D208" s="87"/>
      <c r="E208" s="350"/>
      <c r="F208" s="99"/>
      <c r="G208" s="99"/>
      <c r="H208" s="351"/>
      <c r="I208" s="352"/>
      <c r="J208" s="350"/>
      <c r="K208" s="99"/>
      <c r="L208" s="99"/>
      <c r="M208" s="351"/>
      <c r="N208" s="352"/>
      <c r="O208" s="350"/>
      <c r="P208" s="99"/>
      <c r="Q208" s="99"/>
      <c r="R208" s="351"/>
      <c r="S208" s="352"/>
      <c r="T208" s="350"/>
      <c r="U208" s="99"/>
      <c r="V208" s="99"/>
      <c r="W208" s="168"/>
      <c r="X208" s="166"/>
      <c r="Y208" s="350"/>
      <c r="Z208" s="1585"/>
      <c r="AA208" s="1585"/>
      <c r="AB208" s="168"/>
      <c r="AC208" s="166"/>
      <c r="AD208" s="350"/>
      <c r="AE208" s="1585"/>
      <c r="AF208" s="1585"/>
      <c r="AG208" s="168"/>
      <c r="AH208" s="166"/>
      <c r="AI208" s="350"/>
      <c r="AJ208" s="1585"/>
      <c r="AK208" s="1585"/>
      <c r="AL208" s="168"/>
      <c r="AM208" s="166"/>
      <c r="AN208" s="350"/>
      <c r="AO208" s="1585"/>
      <c r="AP208" s="1585"/>
      <c r="AQ208" s="168"/>
      <c r="AR208" s="166"/>
      <c r="AS208" s="350"/>
      <c r="AT208" s="1585"/>
      <c r="AU208" s="1585"/>
      <c r="AV208" s="168"/>
      <c r="AW208" s="166"/>
      <c r="AX208" s="169"/>
      <c r="AY208" s="167"/>
      <c r="AZ208" s="167"/>
      <c r="BA208" s="168"/>
      <c r="BB208" s="166"/>
      <c r="BC208" s="169"/>
      <c r="BD208" s="167"/>
      <c r="BE208" s="167"/>
      <c r="BF208" s="168"/>
      <c r="BG208" s="166"/>
      <c r="BH208" s="169"/>
      <c r="BI208" s="167"/>
      <c r="BJ208" s="167"/>
      <c r="BK208" s="168"/>
      <c r="BL208" s="166"/>
      <c r="BM208" s="169"/>
      <c r="BN208" s="167"/>
      <c r="BO208" s="167"/>
      <c r="BP208" s="168"/>
      <c r="BQ208" s="166"/>
    </row>
    <row r="209" spans="1:77" s="13" customFormat="1">
      <c r="A209" s="136"/>
      <c r="B209" s="88"/>
      <c r="C209" s="340" t="s">
        <v>35</v>
      </c>
      <c r="D209" s="764"/>
      <c r="E209" s="106">
        <f>E191</f>
        <v>8250</v>
      </c>
      <c r="F209" s="76">
        <f t="shared" ref="F209:S209" si="471">F191</f>
        <v>8973</v>
      </c>
      <c r="G209" s="76">
        <f t="shared" si="471"/>
        <v>8492</v>
      </c>
      <c r="H209" s="107">
        <f t="shared" si="471"/>
        <v>8559</v>
      </c>
      <c r="I209" s="93">
        <f t="shared" si="471"/>
        <v>8559</v>
      </c>
      <c r="J209" s="106">
        <f t="shared" si="471"/>
        <v>8546</v>
      </c>
      <c r="K209" s="76">
        <f t="shared" si="471"/>
        <v>8839</v>
      </c>
      <c r="L209" s="76">
        <f t="shared" si="471"/>
        <v>8717</v>
      </c>
      <c r="M209" s="107">
        <f t="shared" si="471"/>
        <v>8984</v>
      </c>
      <c r="N209" s="93">
        <f t="shared" si="471"/>
        <v>8984</v>
      </c>
      <c r="O209" s="106">
        <f t="shared" si="471"/>
        <v>12729</v>
      </c>
      <c r="P209" s="76">
        <f t="shared" si="471"/>
        <v>12998</v>
      </c>
      <c r="Q209" s="76">
        <f t="shared" si="471"/>
        <v>13046</v>
      </c>
      <c r="R209" s="107">
        <f t="shared" si="471"/>
        <v>13280</v>
      </c>
      <c r="S209" s="93">
        <f t="shared" si="471"/>
        <v>13280</v>
      </c>
      <c r="T209" s="106">
        <f>T191</f>
        <v>13323</v>
      </c>
      <c r="U209" s="76">
        <f>U191</f>
        <v>13497</v>
      </c>
      <c r="V209" s="76">
        <f>V191</f>
        <v>13433</v>
      </c>
      <c r="W209" s="107">
        <f>W191</f>
        <v>13084</v>
      </c>
      <c r="X209" s="93">
        <f>W209</f>
        <v>13084</v>
      </c>
      <c r="Y209" s="106">
        <f>Y191</f>
        <v>12996</v>
      </c>
      <c r="Z209" s="76">
        <f>Z191</f>
        <v>12799</v>
      </c>
      <c r="AA209" s="76">
        <f>AA191</f>
        <v>12544</v>
      </c>
      <c r="AB209" s="107">
        <f>AB191</f>
        <v>12692</v>
      </c>
      <c r="AC209" s="93">
        <f>AB209</f>
        <v>12692</v>
      </c>
      <c r="AD209" s="106">
        <f>AD191</f>
        <v>12602</v>
      </c>
      <c r="AE209" s="76">
        <f>AE191</f>
        <v>12683</v>
      </c>
      <c r="AF209" s="76">
        <f>AF191</f>
        <v>12702</v>
      </c>
      <c r="AG209" s="107">
        <f>AG191</f>
        <v>12420</v>
      </c>
      <c r="AH209" s="93">
        <f>AG209</f>
        <v>12420</v>
      </c>
      <c r="AI209" s="106">
        <f>AI191</f>
        <v>12348</v>
      </c>
      <c r="AJ209" s="76">
        <f>AJ191</f>
        <v>12530</v>
      </c>
      <c r="AK209" s="76">
        <f>AK191</f>
        <v>12627</v>
      </c>
      <c r="AL209" s="107">
        <f>AL191</f>
        <v>12421</v>
      </c>
      <c r="AM209" s="93">
        <f>AL209</f>
        <v>12421</v>
      </c>
      <c r="AN209" s="106">
        <f>AN191</f>
        <v>12463</v>
      </c>
      <c r="AO209" s="76">
        <f>AO191</f>
        <v>11407</v>
      </c>
      <c r="AP209" s="76">
        <f>AP191</f>
        <v>11503</v>
      </c>
      <c r="AQ209" s="107">
        <f>AQ191</f>
        <v>6241</v>
      </c>
      <c r="AR209" s="93">
        <f>AQ209</f>
        <v>6241</v>
      </c>
      <c r="AS209" s="106">
        <f>AS191</f>
        <v>6139</v>
      </c>
      <c r="AT209" s="76">
        <f>AT191</f>
        <v>6320</v>
      </c>
      <c r="AU209" s="76">
        <f>AU191</f>
        <v>6406</v>
      </c>
      <c r="AV209" s="107">
        <f>AV191</f>
        <v>3925</v>
      </c>
      <c r="AW209" s="93">
        <f>AV209</f>
        <v>3925</v>
      </c>
      <c r="AX209" s="106">
        <f>AW209+AX42+AX144+AX145</f>
        <v>4966.0278965831521</v>
      </c>
      <c r="AY209" s="76">
        <f>AX209+AY42+AY144+AY145</f>
        <v>5042.4333205929197</v>
      </c>
      <c r="AZ209" s="76">
        <f>AY209+AZ42+AZ144+AZ145</f>
        <v>5315.5437941863138</v>
      </c>
      <c r="BA209" s="107">
        <f>AZ209+BA42+BA144+BA145</f>
        <v>5416.066983475569</v>
      </c>
      <c r="BB209" s="93">
        <f>BA209</f>
        <v>5416.066983475569</v>
      </c>
      <c r="BC209" s="106">
        <f>BB209+BC42+BC144+BC145</f>
        <v>5567.8845176511022</v>
      </c>
      <c r="BD209" s="76">
        <f>BC209+BD42+BD144+BD145</f>
        <v>5638.8151231914517</v>
      </c>
      <c r="BE209" s="76">
        <f>BD209+BE42+BE144+BE145</f>
        <v>7430.7756165199098</v>
      </c>
      <c r="BF209" s="107">
        <f>BE209+BF42+BF144+BF145</f>
        <v>7611.7176702956976</v>
      </c>
      <c r="BG209" s="93">
        <f>BF209</f>
        <v>7611.7176702956976</v>
      </c>
      <c r="BH209" s="106">
        <f>BG209+BH42+BH144+BH145</f>
        <v>7747.6918540971019</v>
      </c>
      <c r="BI209" s="76">
        <f>BH209+BI42+BI144+BI145</f>
        <v>7797.9052008163835</v>
      </c>
      <c r="BJ209" s="76">
        <f>BI209+BJ42+BJ144+BJ145</f>
        <v>7954.6293001330778</v>
      </c>
      <c r="BK209" s="107">
        <f>BJ209+BK42+BK144+BK145</f>
        <v>8032.7875843605243</v>
      </c>
      <c r="BL209" s="93">
        <f>BK209</f>
        <v>8032.7875843605243</v>
      </c>
      <c r="BM209" s="106">
        <f>BL209+BM42+BM144+BM145</f>
        <v>8210.5809501555286</v>
      </c>
      <c r="BN209" s="76">
        <f>BM209+BN42+BN144+BN145</f>
        <v>8283.7135732051374</v>
      </c>
      <c r="BO209" s="76">
        <f>BN209+BO42+BO144+BO145</f>
        <v>8474.9682196443009</v>
      </c>
      <c r="BP209" s="107">
        <f>BO209+BP42+BP144+BP145</f>
        <v>8618.4458487576758</v>
      </c>
      <c r="BQ209" s="93">
        <f>BP209</f>
        <v>8618.4458487576758</v>
      </c>
      <c r="BT209"/>
      <c r="BU209"/>
      <c r="BV209"/>
      <c r="BW209"/>
      <c r="BX209"/>
      <c r="BY209"/>
    </row>
    <row r="210" spans="1:77" s="359" customFormat="1">
      <c r="A210" s="726"/>
      <c r="B210" s="672"/>
      <c r="C210" s="365" t="s">
        <v>408</v>
      </c>
      <c r="D210" s="672"/>
      <c r="E210" s="723">
        <f>E209/E212</f>
        <v>0.36686232657417289</v>
      </c>
      <c r="F210" s="724">
        <f t="shared" ref="F210:AA210" si="472">F209/F212</f>
        <v>0.3777628089083484</v>
      </c>
      <c r="G210" s="724">
        <f t="shared" si="472"/>
        <v>0.35662691080127668</v>
      </c>
      <c r="H210" s="725">
        <f t="shared" si="472"/>
        <v>0.36449195128183287</v>
      </c>
      <c r="I210" s="672">
        <f t="shared" si="472"/>
        <v>0.36449195128183287</v>
      </c>
      <c r="J210" s="723">
        <f t="shared" si="472"/>
        <v>0.37056629954036946</v>
      </c>
      <c r="K210" s="724">
        <f t="shared" si="472"/>
        <v>0.37241931406421169</v>
      </c>
      <c r="L210" s="724">
        <f t="shared" si="472"/>
        <v>0.37234633292042202</v>
      </c>
      <c r="M210" s="725">
        <f t="shared" si="472"/>
        <v>0.37828961219419766</v>
      </c>
      <c r="N210" s="672">
        <f t="shared" si="472"/>
        <v>0.37828961219419766</v>
      </c>
      <c r="O210" s="723">
        <f t="shared" si="472"/>
        <v>0.39611016026139723</v>
      </c>
      <c r="P210" s="724">
        <f t="shared" si="472"/>
        <v>0.4036269912741049</v>
      </c>
      <c r="Q210" s="724">
        <f t="shared" si="472"/>
        <v>0.42482659806571366</v>
      </c>
      <c r="R210" s="725">
        <f t="shared" si="472"/>
        <v>0.43374595812783745</v>
      </c>
      <c r="S210" s="672">
        <f t="shared" si="472"/>
        <v>0.43374595812783745</v>
      </c>
      <c r="T210" s="723">
        <f t="shared" si="472"/>
        <v>0.42032368993911096</v>
      </c>
      <c r="U210" s="724">
        <f t="shared" si="472"/>
        <v>0.42016623603025871</v>
      </c>
      <c r="V210" s="724">
        <f t="shared" si="472"/>
        <v>0.41799172293617948</v>
      </c>
      <c r="W210" s="725">
        <f t="shared" si="472"/>
        <v>0.40594458750891999</v>
      </c>
      <c r="X210" s="672">
        <f>X209/X212</f>
        <v>0.40594458750891999</v>
      </c>
      <c r="Y210" s="723">
        <f t="shared" si="472"/>
        <v>0.39078662496993022</v>
      </c>
      <c r="Z210" s="724">
        <f t="shared" si="472"/>
        <v>0.38258504214742634</v>
      </c>
      <c r="AA210" s="724">
        <f t="shared" si="472"/>
        <v>0.37865249939628109</v>
      </c>
      <c r="AB210" s="725">
        <f t="shared" ref="AB210:AJ210" si="473">AB209/AB212</f>
        <v>0.38066102813268549</v>
      </c>
      <c r="AC210" s="672">
        <f t="shared" si="473"/>
        <v>0.38066102813268549</v>
      </c>
      <c r="AD210" s="723">
        <f t="shared" si="473"/>
        <v>0.37166366826908898</v>
      </c>
      <c r="AE210" s="724">
        <f t="shared" si="473"/>
        <v>0.36829572843162878</v>
      </c>
      <c r="AF210" s="724">
        <f t="shared" si="473"/>
        <v>0.37096962616822432</v>
      </c>
      <c r="AG210" s="725">
        <f t="shared" si="473"/>
        <v>0.36316851369923098</v>
      </c>
      <c r="AH210" s="672">
        <f t="shared" si="473"/>
        <v>0.36316851369923098</v>
      </c>
      <c r="AI210" s="723">
        <f t="shared" si="473"/>
        <v>0.35458304617505171</v>
      </c>
      <c r="AJ210" s="724">
        <f t="shared" si="473"/>
        <v>0.35495750708215296</v>
      </c>
      <c r="AK210" s="724">
        <f t="shared" ref="AK210:AO210" si="474">AK209/AK212</f>
        <v>0.3628344013103072</v>
      </c>
      <c r="AL210" s="725">
        <f t="shared" si="474"/>
        <v>0.36016469974193172</v>
      </c>
      <c r="AM210" s="672">
        <f t="shared" si="474"/>
        <v>0.36016469974193172</v>
      </c>
      <c r="AN210" s="723">
        <f t="shared" si="474"/>
        <v>0.35791619999425633</v>
      </c>
      <c r="AO210" s="724">
        <f t="shared" si="474"/>
        <v>0.33543094068868173</v>
      </c>
      <c r="AP210" s="724">
        <f t="shared" ref="AP210:AT210" si="475">AP209/AP212</f>
        <v>0.33608952258516916</v>
      </c>
      <c r="AQ210" s="725">
        <f t="shared" si="475"/>
        <v>0.21675407217031917</v>
      </c>
      <c r="AR210" s="672">
        <f t="shared" si="475"/>
        <v>0.21675407217031917</v>
      </c>
      <c r="AS210" s="723">
        <f t="shared" si="475"/>
        <v>0.21317452600875061</v>
      </c>
      <c r="AT210" s="724">
        <f t="shared" si="475"/>
        <v>0.21686912360167457</v>
      </c>
      <c r="AU210" s="724">
        <f t="shared" ref="AU210:AW210" si="476">AU209/AU212</f>
        <v>0.2203570568607891</v>
      </c>
      <c r="AV210" s="725">
        <f t="shared" si="476"/>
        <v>0.1485504503822572</v>
      </c>
      <c r="AW210" s="672">
        <f t="shared" si="476"/>
        <v>0.1485504503822572</v>
      </c>
      <c r="AX210" s="723">
        <f t="shared" ref="AX210:BB210" si="477">AX209/AX212</f>
        <v>0.18075143248851322</v>
      </c>
      <c r="AY210" s="724">
        <f t="shared" si="477"/>
        <v>0.1759625049412612</v>
      </c>
      <c r="AZ210" s="724">
        <f t="shared" si="477"/>
        <v>0.18272208675248572</v>
      </c>
      <c r="BA210" s="725">
        <f t="shared" si="477"/>
        <v>0.18380675072217351</v>
      </c>
      <c r="BB210" s="672">
        <f t="shared" si="477"/>
        <v>0.18380675072217351</v>
      </c>
      <c r="BC210" s="723">
        <f t="shared" ref="BC210:BL210" si="478">BC209/BC212</f>
        <v>0.18621829971773715</v>
      </c>
      <c r="BD210" s="724">
        <f t="shared" si="478"/>
        <v>0.18593284615831382</v>
      </c>
      <c r="BE210" s="724">
        <f t="shared" si="478"/>
        <v>0.24122537202861383</v>
      </c>
      <c r="BF210" s="725">
        <f t="shared" si="478"/>
        <v>0.2437920029344485</v>
      </c>
      <c r="BG210" s="672">
        <f t="shared" si="478"/>
        <v>0.2437920029344485</v>
      </c>
      <c r="BH210" s="723">
        <f t="shared" si="478"/>
        <v>0.245216952106206</v>
      </c>
      <c r="BI210" s="724">
        <f t="shared" si="478"/>
        <v>0.24397315778053955</v>
      </c>
      <c r="BJ210" s="724">
        <f t="shared" si="478"/>
        <v>0.24607623050164812</v>
      </c>
      <c r="BK210" s="725">
        <f t="shared" si="478"/>
        <v>0.24577524694007297</v>
      </c>
      <c r="BL210" s="672">
        <f t="shared" si="478"/>
        <v>0.24577524694007297</v>
      </c>
      <c r="BM210" s="723">
        <f t="shared" ref="BM210:BQ210" si="479">BM209/BM212</f>
        <v>0.24856794167055735</v>
      </c>
      <c r="BN210" s="724">
        <f t="shared" si="479"/>
        <v>0.24821221014288875</v>
      </c>
      <c r="BO210" s="724">
        <f t="shared" si="479"/>
        <v>0.25139006381577328</v>
      </c>
      <c r="BP210" s="725">
        <f t="shared" si="479"/>
        <v>0.25314652133676768</v>
      </c>
      <c r="BQ210" s="672">
        <f t="shared" si="479"/>
        <v>0.25314652133676768</v>
      </c>
      <c r="BT210"/>
      <c r="BU210"/>
      <c r="BV210"/>
      <c r="BW210"/>
      <c r="BX210"/>
      <c r="BY210"/>
    </row>
    <row r="211" spans="1:77">
      <c r="A211" s="92"/>
      <c r="B211" s="87"/>
      <c r="C211" s="366"/>
      <c r="D211" s="87"/>
      <c r="E211" s="350"/>
      <c r="F211" s="99"/>
      <c r="G211" s="99"/>
      <c r="H211" s="351"/>
      <c r="I211" s="352"/>
      <c r="J211" s="350"/>
      <c r="K211" s="99"/>
      <c r="L211" s="99"/>
      <c r="M211" s="351"/>
      <c r="N211" s="352"/>
      <c r="O211" s="350"/>
      <c r="P211" s="99"/>
      <c r="Q211" s="99"/>
      <c r="R211" s="351"/>
      <c r="S211" s="352"/>
      <c r="T211" s="350"/>
      <c r="U211" s="99"/>
      <c r="V211" s="99"/>
      <c r="W211" s="168"/>
      <c r="X211" s="166"/>
      <c r="Y211" s="350"/>
      <c r="Z211" s="1585"/>
      <c r="AA211" s="1585"/>
      <c r="AB211" s="168"/>
      <c r="AC211" s="166"/>
      <c r="AD211" s="350"/>
      <c r="AE211" s="1585"/>
      <c r="AF211" s="1585"/>
      <c r="AG211" s="168"/>
      <c r="AH211" s="166"/>
      <c r="AI211" s="350"/>
      <c r="AJ211" s="1585"/>
      <c r="AK211" s="1585"/>
      <c r="AL211" s="168"/>
      <c r="AM211" s="166"/>
      <c r="AN211" s="350"/>
      <c r="AO211" s="1585"/>
      <c r="AP211" s="1585"/>
      <c r="AQ211" s="168"/>
      <c r="AR211" s="166"/>
      <c r="AS211" s="350"/>
      <c r="AT211" s="1585"/>
      <c r="AU211" s="1585"/>
      <c r="AV211" s="168"/>
      <c r="AW211" s="166"/>
      <c r="AX211" s="169"/>
      <c r="AY211" s="167"/>
      <c r="AZ211" s="167"/>
      <c r="BA211" s="168"/>
      <c r="BB211" s="166"/>
      <c r="BC211" s="169"/>
      <c r="BD211" s="167"/>
      <c r="BE211" s="167"/>
      <c r="BF211" s="168"/>
      <c r="BG211" s="166"/>
      <c r="BH211" s="169"/>
      <c r="BI211" s="167"/>
      <c r="BJ211" s="167"/>
      <c r="BK211" s="168"/>
      <c r="BL211" s="166"/>
      <c r="BM211" s="169"/>
      <c r="BN211" s="167"/>
      <c r="BO211" s="167"/>
      <c r="BP211" s="168"/>
      <c r="BQ211" s="166"/>
    </row>
    <row r="212" spans="1:77" s="13" customFormat="1">
      <c r="A212" s="136"/>
      <c r="B212" s="88"/>
      <c r="C212" s="367" t="s">
        <v>38</v>
      </c>
      <c r="D212" s="88"/>
      <c r="E212" s="106">
        <f>E209+E203+E206</f>
        <v>22488</v>
      </c>
      <c r="F212" s="76">
        <f t="shared" ref="F212:S212" si="480">F209+F203+F206</f>
        <v>23753</v>
      </c>
      <c r="G212" s="76">
        <f t="shared" si="480"/>
        <v>23812</v>
      </c>
      <c r="H212" s="107">
        <f t="shared" si="480"/>
        <v>23482</v>
      </c>
      <c r="I212" s="93">
        <f t="shared" si="480"/>
        <v>23482</v>
      </c>
      <c r="J212" s="106">
        <f t="shared" si="480"/>
        <v>23062</v>
      </c>
      <c r="K212" s="76">
        <f t="shared" si="480"/>
        <v>23734</v>
      </c>
      <c r="L212" s="76">
        <f t="shared" si="480"/>
        <v>23411</v>
      </c>
      <c r="M212" s="107">
        <f t="shared" si="480"/>
        <v>23749</v>
      </c>
      <c r="N212" s="93">
        <f t="shared" si="480"/>
        <v>23749</v>
      </c>
      <c r="O212" s="106">
        <f t="shared" si="480"/>
        <v>32135</v>
      </c>
      <c r="P212" s="76">
        <f t="shared" si="480"/>
        <v>32203</v>
      </c>
      <c r="Q212" s="76">
        <f t="shared" si="480"/>
        <v>30709</v>
      </c>
      <c r="R212" s="107">
        <f t="shared" si="480"/>
        <v>30617</v>
      </c>
      <c r="S212" s="93">
        <f t="shared" si="480"/>
        <v>30617</v>
      </c>
      <c r="T212" s="106">
        <f t="shared" ref="T212:Y212" si="481">T209+T203+T206</f>
        <v>31697</v>
      </c>
      <c r="U212" s="76">
        <f t="shared" si="481"/>
        <v>32123</v>
      </c>
      <c r="V212" s="76">
        <f t="shared" si="481"/>
        <v>32137</v>
      </c>
      <c r="W212" s="107">
        <f t="shared" si="481"/>
        <v>32231</v>
      </c>
      <c r="X212" s="93">
        <f t="shared" si="481"/>
        <v>32231</v>
      </c>
      <c r="Y212" s="106">
        <f t="shared" si="481"/>
        <v>33256</v>
      </c>
      <c r="Z212" s="76">
        <f t="shared" ref="Z212:AF212" si="482">Z209+Z203+Z206</f>
        <v>33454</v>
      </c>
      <c r="AA212" s="76">
        <f t="shared" si="482"/>
        <v>33128</v>
      </c>
      <c r="AB212" s="107">
        <f t="shared" si="482"/>
        <v>33342</v>
      </c>
      <c r="AC212" s="93">
        <f t="shared" si="482"/>
        <v>33342</v>
      </c>
      <c r="AD212" s="106">
        <f t="shared" si="482"/>
        <v>33907</v>
      </c>
      <c r="AE212" s="76">
        <f t="shared" si="482"/>
        <v>34437</v>
      </c>
      <c r="AF212" s="76">
        <f t="shared" si="482"/>
        <v>34240</v>
      </c>
      <c r="AG212" s="107">
        <f>AG209+AG203+AG206</f>
        <v>34199</v>
      </c>
      <c r="AH212" s="93">
        <f>AH209+AH203+AH206</f>
        <v>34199</v>
      </c>
      <c r="AI212" s="106">
        <f>AI209+AI203+AI206</f>
        <v>34824</v>
      </c>
      <c r="AJ212" s="76">
        <f>AJ209+AJ203+AJ206</f>
        <v>35300</v>
      </c>
      <c r="AK212" s="76">
        <f t="shared" ref="AK212" si="483">AK209+AK203+AK206</f>
        <v>34801</v>
      </c>
      <c r="AL212" s="107">
        <f>AL209+AL203+AL206</f>
        <v>34487</v>
      </c>
      <c r="AM212" s="93">
        <f>AM209+AM203+AM206</f>
        <v>34487</v>
      </c>
      <c r="AN212" s="106">
        <f>AN209+AN203+AN206</f>
        <v>34821</v>
      </c>
      <c r="AO212" s="76">
        <f>AO209+AO203+AO206</f>
        <v>34007</v>
      </c>
      <c r="AP212" s="76">
        <f t="shared" ref="AP212" si="484">AP209+AP203+AP206</f>
        <v>34226</v>
      </c>
      <c r="AQ212" s="107">
        <f t="shared" ref="AQ212:AU212" si="485">AQ209+AQ203+AQ206</f>
        <v>28793</v>
      </c>
      <c r="AR212" s="93">
        <f t="shared" si="485"/>
        <v>28793</v>
      </c>
      <c r="AS212" s="106">
        <f t="shared" si="485"/>
        <v>28798</v>
      </c>
      <c r="AT212" s="76">
        <f t="shared" si="485"/>
        <v>29142</v>
      </c>
      <c r="AU212" s="76">
        <f t="shared" si="485"/>
        <v>29071</v>
      </c>
      <c r="AV212" s="107">
        <f t="shared" ref="AV212:AW212" si="486">AV209+AV203+AV206</f>
        <v>26422</v>
      </c>
      <c r="AW212" s="93">
        <f t="shared" si="486"/>
        <v>26422</v>
      </c>
      <c r="AX212" s="106">
        <f t="shared" ref="AX212:BB212" si="487">AX209+AX203+AX206</f>
        <v>27474.348768432272</v>
      </c>
      <c r="AY212" s="76">
        <f t="shared" si="487"/>
        <v>28656.294261531206</v>
      </c>
      <c r="AZ212" s="76">
        <f t="shared" si="487"/>
        <v>29090.866291313312</v>
      </c>
      <c r="BA212" s="107">
        <f t="shared" si="487"/>
        <v>29466.093939400682</v>
      </c>
      <c r="BB212" s="93">
        <f t="shared" si="487"/>
        <v>29466.093939400682</v>
      </c>
      <c r="BC212" s="106">
        <f t="shared" ref="BC212:BL212" si="488">BC209+BC203+BC206</f>
        <v>29899.771000437104</v>
      </c>
      <c r="BD212" s="76">
        <f t="shared" si="488"/>
        <v>30327.159722979999</v>
      </c>
      <c r="BE212" s="76">
        <f t="shared" si="488"/>
        <v>30804.287103093291</v>
      </c>
      <c r="BF212" s="107">
        <f t="shared" si="488"/>
        <v>31222.17947543734</v>
      </c>
      <c r="BG212" s="93">
        <f t="shared" si="488"/>
        <v>31222.17947543734</v>
      </c>
      <c r="BH212" s="106">
        <f t="shared" si="488"/>
        <v>31595.253866223313</v>
      </c>
      <c r="BI212" s="76">
        <f t="shared" si="488"/>
        <v>31962.143998770596</v>
      </c>
      <c r="BJ212" s="76">
        <f t="shared" si="488"/>
        <v>32325.874319176881</v>
      </c>
      <c r="BK212" s="107">
        <f t="shared" si="488"/>
        <v>32683.468674610456</v>
      </c>
      <c r="BL212" s="93">
        <f t="shared" si="488"/>
        <v>32683.468674610456</v>
      </c>
      <c r="BM212" s="106">
        <f t="shared" ref="BM212:BQ212" si="489">BM209+BM203+BM206</f>
        <v>33031.536146513718</v>
      </c>
      <c r="BN212" s="76">
        <f t="shared" si="489"/>
        <v>33373.513609328234</v>
      </c>
      <c r="BO212" s="76">
        <f t="shared" si="489"/>
        <v>33712.423200047517</v>
      </c>
      <c r="BP212" s="107">
        <f t="shared" si="489"/>
        <v>34045.286513308725</v>
      </c>
      <c r="BQ212" s="93">
        <f t="shared" si="489"/>
        <v>34045.286513308725</v>
      </c>
      <c r="BT212"/>
      <c r="BU212"/>
      <c r="BV212"/>
      <c r="BW212"/>
      <c r="BX212"/>
      <c r="BY212"/>
    </row>
    <row r="213" spans="1:77" s="359" customFormat="1">
      <c r="A213" s="726"/>
      <c r="B213" s="672"/>
      <c r="C213" s="365" t="s">
        <v>408</v>
      </c>
      <c r="D213" s="672"/>
      <c r="E213" s="723">
        <f>(E203+E209+E206)/E212</f>
        <v>1</v>
      </c>
      <c r="F213" s="724">
        <f t="shared" ref="F213:AA213" si="490">(F203+F209+F206)/F212</f>
        <v>1</v>
      </c>
      <c r="G213" s="724">
        <f t="shared" si="490"/>
        <v>1</v>
      </c>
      <c r="H213" s="725">
        <f t="shared" si="490"/>
        <v>1</v>
      </c>
      <c r="I213" s="672">
        <f t="shared" si="490"/>
        <v>1</v>
      </c>
      <c r="J213" s="723">
        <f t="shared" si="490"/>
        <v>1</v>
      </c>
      <c r="K213" s="724">
        <f t="shared" si="490"/>
        <v>1</v>
      </c>
      <c r="L213" s="724">
        <f t="shared" si="490"/>
        <v>1</v>
      </c>
      <c r="M213" s="725">
        <f t="shared" si="490"/>
        <v>1</v>
      </c>
      <c r="N213" s="672">
        <f t="shared" si="490"/>
        <v>1</v>
      </c>
      <c r="O213" s="723">
        <f t="shared" si="490"/>
        <v>1</v>
      </c>
      <c r="P213" s="724">
        <f t="shared" si="490"/>
        <v>1</v>
      </c>
      <c r="Q213" s="724">
        <f t="shared" si="490"/>
        <v>1</v>
      </c>
      <c r="R213" s="725">
        <f t="shared" si="490"/>
        <v>1</v>
      </c>
      <c r="S213" s="672">
        <f t="shared" si="490"/>
        <v>1</v>
      </c>
      <c r="T213" s="723">
        <f t="shared" si="490"/>
        <v>1</v>
      </c>
      <c r="U213" s="724">
        <f t="shared" si="490"/>
        <v>1</v>
      </c>
      <c r="V213" s="724">
        <f t="shared" si="490"/>
        <v>1</v>
      </c>
      <c r="W213" s="725">
        <f t="shared" si="490"/>
        <v>1</v>
      </c>
      <c r="X213" s="672">
        <f>(X203+X209+X206)/X212</f>
        <v>1</v>
      </c>
      <c r="Y213" s="723">
        <f t="shared" si="490"/>
        <v>1</v>
      </c>
      <c r="Z213" s="724">
        <f t="shared" si="490"/>
        <v>1</v>
      </c>
      <c r="AA213" s="724">
        <f t="shared" si="490"/>
        <v>1</v>
      </c>
      <c r="AB213" s="725">
        <f t="shared" ref="AB213:AJ213" si="491">(AB203+AB209+AB206)/AB212</f>
        <v>1</v>
      </c>
      <c r="AC213" s="672">
        <f t="shared" si="491"/>
        <v>1</v>
      </c>
      <c r="AD213" s="723">
        <f t="shared" si="491"/>
        <v>1</v>
      </c>
      <c r="AE213" s="724">
        <f t="shared" si="491"/>
        <v>1</v>
      </c>
      <c r="AF213" s="724">
        <f t="shared" si="491"/>
        <v>1</v>
      </c>
      <c r="AG213" s="725">
        <f t="shared" si="491"/>
        <v>1</v>
      </c>
      <c r="AH213" s="672">
        <f t="shared" si="491"/>
        <v>1</v>
      </c>
      <c r="AI213" s="723">
        <f t="shared" si="491"/>
        <v>1</v>
      </c>
      <c r="AJ213" s="724">
        <f t="shared" si="491"/>
        <v>1</v>
      </c>
      <c r="AK213" s="724">
        <f t="shared" ref="AK213:AO213" si="492">(AK203+AK209+AK206)/AK212</f>
        <v>1</v>
      </c>
      <c r="AL213" s="725">
        <f t="shared" si="492"/>
        <v>1</v>
      </c>
      <c r="AM213" s="672">
        <f t="shared" si="492"/>
        <v>1</v>
      </c>
      <c r="AN213" s="723">
        <f t="shared" si="492"/>
        <v>1</v>
      </c>
      <c r="AO213" s="724">
        <f t="shared" si="492"/>
        <v>1</v>
      </c>
      <c r="AP213" s="724">
        <f t="shared" ref="AP213:AT213" si="493">(AP203+AP209+AP206)/AP212</f>
        <v>1</v>
      </c>
      <c r="AQ213" s="725">
        <f t="shared" si="493"/>
        <v>1</v>
      </c>
      <c r="AR213" s="672">
        <f t="shared" si="493"/>
        <v>1</v>
      </c>
      <c r="AS213" s="723">
        <f t="shared" si="493"/>
        <v>1</v>
      </c>
      <c r="AT213" s="724">
        <f t="shared" si="493"/>
        <v>1</v>
      </c>
      <c r="AU213" s="724">
        <f t="shared" ref="AU213:AW213" si="494">(AU203+AU209+AU206)/AU212</f>
        <v>1</v>
      </c>
      <c r="AV213" s="725">
        <f t="shared" si="494"/>
        <v>1</v>
      </c>
      <c r="AW213" s="672">
        <f t="shared" si="494"/>
        <v>1</v>
      </c>
      <c r="AX213" s="723">
        <f t="shared" ref="AX213:BB213" si="495">(AX203+AX209+AX206)/AX212</f>
        <v>1</v>
      </c>
      <c r="AY213" s="724">
        <f t="shared" si="495"/>
        <v>1</v>
      </c>
      <c r="AZ213" s="724">
        <f t="shared" si="495"/>
        <v>1</v>
      </c>
      <c r="BA213" s="725">
        <f t="shared" si="495"/>
        <v>1</v>
      </c>
      <c r="BB213" s="672">
        <f t="shared" si="495"/>
        <v>1</v>
      </c>
      <c r="BC213" s="723">
        <f t="shared" ref="BC213:BL213" si="496">(BC203+BC209+BC206)/BC212</f>
        <v>1</v>
      </c>
      <c r="BD213" s="724">
        <f t="shared" si="496"/>
        <v>1</v>
      </c>
      <c r="BE213" s="724">
        <f t="shared" si="496"/>
        <v>1</v>
      </c>
      <c r="BF213" s="725">
        <f t="shared" si="496"/>
        <v>1</v>
      </c>
      <c r="BG213" s="672">
        <f t="shared" si="496"/>
        <v>1</v>
      </c>
      <c r="BH213" s="723">
        <f t="shared" si="496"/>
        <v>1</v>
      </c>
      <c r="BI213" s="724">
        <f t="shared" si="496"/>
        <v>1</v>
      </c>
      <c r="BJ213" s="724">
        <f t="shared" si="496"/>
        <v>1</v>
      </c>
      <c r="BK213" s="725">
        <f t="shared" si="496"/>
        <v>1</v>
      </c>
      <c r="BL213" s="672">
        <f t="shared" si="496"/>
        <v>1</v>
      </c>
      <c r="BM213" s="723">
        <f t="shared" ref="BM213:BQ213" si="497">(BM203+BM209+BM206)/BM212</f>
        <v>1</v>
      </c>
      <c r="BN213" s="724">
        <f t="shared" si="497"/>
        <v>1</v>
      </c>
      <c r="BO213" s="724">
        <f t="shared" si="497"/>
        <v>1</v>
      </c>
      <c r="BP213" s="725">
        <f t="shared" si="497"/>
        <v>1</v>
      </c>
      <c r="BQ213" s="672">
        <f t="shared" si="497"/>
        <v>1</v>
      </c>
      <c r="BT213"/>
      <c r="BU213"/>
      <c r="BV213"/>
      <c r="BW213"/>
      <c r="BX213"/>
      <c r="BY213"/>
    </row>
    <row r="214" spans="1:77">
      <c r="A214" s="92"/>
      <c r="B214" s="87"/>
      <c r="C214" s="87"/>
      <c r="D214" s="87"/>
      <c r="E214" s="350"/>
      <c r="F214" s="99"/>
      <c r="G214" s="99"/>
      <c r="H214" s="351"/>
      <c r="I214" s="352"/>
      <c r="J214" s="350"/>
      <c r="K214" s="99"/>
      <c r="L214" s="99"/>
      <c r="M214" s="351"/>
      <c r="N214" s="352"/>
      <c r="O214" s="350"/>
      <c r="P214" s="99"/>
      <c r="Q214" s="99"/>
      <c r="R214" s="351"/>
      <c r="S214" s="352"/>
      <c r="T214" s="169"/>
      <c r="U214" s="167"/>
      <c r="V214" s="167"/>
      <c r="W214" s="168"/>
      <c r="X214" s="166"/>
      <c r="Y214" s="169"/>
      <c r="Z214" s="167"/>
      <c r="AA214" s="167"/>
      <c r="AB214" s="168"/>
      <c r="AC214" s="166"/>
      <c r="AD214" s="169"/>
      <c r="AE214" s="167"/>
      <c r="AF214" s="167"/>
      <c r="AG214" s="168"/>
      <c r="AH214" s="166"/>
      <c r="AI214" s="169"/>
      <c r="AJ214" s="167"/>
      <c r="AK214" s="167"/>
      <c r="AL214" s="168"/>
      <c r="AM214" s="166"/>
      <c r="AN214" s="169"/>
      <c r="AO214" s="167"/>
      <c r="AP214" s="167"/>
      <c r="AQ214" s="168"/>
      <c r="AR214" s="166"/>
      <c r="AS214" s="169"/>
      <c r="AT214" s="167"/>
      <c r="AU214" s="167"/>
      <c r="AV214" s="168"/>
      <c r="AW214" s="166"/>
      <c r="AX214" s="169"/>
      <c r="AY214" s="167"/>
      <c r="AZ214" s="167"/>
      <c r="BA214" s="168"/>
      <c r="BB214" s="166"/>
      <c r="BC214" s="169"/>
      <c r="BD214" s="167"/>
      <c r="BE214" s="167"/>
      <c r="BF214" s="168"/>
      <c r="BG214" s="166"/>
      <c r="BH214" s="169"/>
      <c r="BI214" s="167"/>
      <c r="BJ214" s="167"/>
      <c r="BK214" s="168"/>
      <c r="BL214" s="166"/>
      <c r="BM214" s="169"/>
      <c r="BN214" s="167"/>
      <c r="BO214" s="167"/>
      <c r="BP214" s="168"/>
      <c r="BQ214" s="166"/>
    </row>
    <row r="215" spans="1:77">
      <c r="A215" s="92"/>
      <c r="B215" s="87"/>
      <c r="C215" s="87"/>
      <c r="D215" s="87"/>
      <c r="E215" s="350"/>
      <c r="F215" s="99"/>
      <c r="G215" s="99"/>
      <c r="H215" s="351"/>
      <c r="I215" s="352"/>
      <c r="J215" s="350"/>
      <c r="K215" s="99"/>
      <c r="L215" s="99"/>
      <c r="M215" s="351"/>
      <c r="N215" s="352"/>
      <c r="O215" s="350"/>
      <c r="P215" s="99"/>
      <c r="Q215" s="99"/>
      <c r="R215" s="351"/>
      <c r="S215" s="352"/>
      <c r="T215" s="169"/>
      <c r="U215" s="167"/>
      <c r="V215" s="167"/>
      <c r="W215" s="168"/>
      <c r="X215" s="166"/>
      <c r="Y215" s="169"/>
      <c r="Z215" s="167"/>
      <c r="AA215" s="167"/>
      <c r="AB215" s="168"/>
      <c r="AC215" s="166"/>
      <c r="AD215" s="169"/>
      <c r="AE215" s="167"/>
      <c r="AF215" s="167"/>
      <c r="AG215" s="168"/>
      <c r="AH215" s="166"/>
      <c r="AI215" s="169"/>
      <c r="AJ215" s="167"/>
      <c r="AK215" s="167"/>
      <c r="AL215" s="168"/>
      <c r="AM215" s="166"/>
      <c r="AN215" s="169"/>
      <c r="AO215" s="167"/>
      <c r="AP215" s="167"/>
      <c r="AQ215" s="168"/>
      <c r="AR215" s="166"/>
      <c r="AS215" s="169"/>
      <c r="AT215" s="167"/>
      <c r="AU215" s="167"/>
      <c r="AV215" s="168"/>
      <c r="AW215" s="166"/>
      <c r="AX215" s="169"/>
      <c r="AY215" s="167"/>
      <c r="AZ215" s="167"/>
      <c r="BA215" s="168"/>
      <c r="BB215" s="166"/>
      <c r="BC215" s="169"/>
      <c r="BD215" s="167"/>
      <c r="BE215" s="167"/>
      <c r="BF215" s="168"/>
      <c r="BG215" s="166"/>
      <c r="BH215" s="169"/>
      <c r="BI215" s="167"/>
      <c r="BJ215" s="167"/>
      <c r="BK215" s="168"/>
      <c r="BL215" s="166"/>
      <c r="BM215" s="169"/>
      <c r="BN215" s="167"/>
      <c r="BO215" s="167"/>
      <c r="BP215" s="168"/>
      <c r="BQ215" s="166"/>
    </row>
    <row r="216" spans="1:77">
      <c r="A216" s="92"/>
      <c r="B216" s="126" t="s">
        <v>409</v>
      </c>
      <c r="C216" s="127"/>
      <c r="D216" s="128"/>
      <c r="E216" s="350"/>
      <c r="F216" s="99"/>
      <c r="G216" s="99"/>
      <c r="H216" s="351"/>
      <c r="I216" s="352"/>
      <c r="J216" s="350"/>
      <c r="K216" s="99"/>
      <c r="L216" s="99"/>
      <c r="M216" s="351"/>
      <c r="N216" s="352"/>
      <c r="O216" s="350"/>
      <c r="P216" s="99"/>
      <c r="Q216" s="99"/>
      <c r="R216" s="351"/>
      <c r="S216" s="352"/>
      <c r="T216" s="350"/>
      <c r="U216" s="99"/>
      <c r="V216" s="99"/>
      <c r="W216" s="351"/>
      <c r="X216" s="166"/>
      <c r="Y216" s="350"/>
      <c r="Z216" s="99"/>
      <c r="AA216" s="99"/>
      <c r="AB216" s="351"/>
      <c r="AC216" s="166"/>
      <c r="AD216" s="350"/>
      <c r="AE216" s="99"/>
      <c r="AF216" s="99"/>
      <c r="AG216" s="351"/>
      <c r="AH216" s="166"/>
      <c r="AI216" s="350"/>
      <c r="AJ216" s="99"/>
      <c r="AK216" s="99"/>
      <c r="AL216" s="351"/>
      <c r="AM216" s="166"/>
      <c r="AN216" s="350"/>
      <c r="AO216" s="99"/>
      <c r="AP216" s="99"/>
      <c r="AQ216" s="351"/>
      <c r="AR216" s="166"/>
      <c r="AS216" s="350"/>
      <c r="AT216" s="99"/>
      <c r="AU216" s="99"/>
      <c r="AV216" s="351"/>
      <c r="AW216" s="166"/>
      <c r="AX216" s="350"/>
      <c r="AY216" s="99"/>
      <c r="AZ216" s="99"/>
      <c r="BA216" s="351"/>
      <c r="BB216" s="166"/>
      <c r="BC216" s="350"/>
      <c r="BD216" s="99"/>
      <c r="BE216" s="99"/>
      <c r="BF216" s="351"/>
      <c r="BG216" s="166"/>
      <c r="BH216" s="350"/>
      <c r="BI216" s="99"/>
      <c r="BJ216" s="99"/>
      <c r="BK216" s="351"/>
      <c r="BL216" s="166"/>
      <c r="BM216" s="350"/>
      <c r="BN216" s="99"/>
      <c r="BO216" s="99"/>
      <c r="BP216" s="351"/>
      <c r="BQ216" s="166"/>
    </row>
    <row r="217" spans="1:77">
      <c r="A217" s="92"/>
      <c r="B217" s="87"/>
      <c r="C217" s="89" t="s">
        <v>1213</v>
      </c>
      <c r="D217" s="96"/>
      <c r="E217" s="350"/>
      <c r="F217" s="99"/>
      <c r="G217" s="76"/>
      <c r="H217" s="102"/>
      <c r="I217" s="96">
        <f>I44+I13+Competitive!I261</f>
        <v>1981.6399999999999</v>
      </c>
      <c r="J217" s="350"/>
      <c r="K217" s="99"/>
      <c r="L217" s="76"/>
      <c r="M217" s="102"/>
      <c r="N217" s="96">
        <f>N44+N13+Competitive!N261</f>
        <v>1953.84</v>
      </c>
      <c r="O217" s="350"/>
      <c r="P217" s="99"/>
      <c r="Q217" s="76"/>
      <c r="R217" s="102"/>
      <c r="S217" s="96">
        <f>S44+S13+Competitive!S261</f>
        <v>2517.58</v>
      </c>
      <c r="T217" s="350"/>
      <c r="U217" s="99"/>
      <c r="V217" s="76"/>
      <c r="W217" s="102"/>
      <c r="X217" s="96">
        <f>X44+X13+Competitive!X261</f>
        <v>2516</v>
      </c>
      <c r="Y217" s="350"/>
      <c r="Z217" s="99"/>
      <c r="AA217" s="76"/>
      <c r="AB217" s="102"/>
      <c r="AC217" s="96">
        <f>AC44+AC13+Competitive!AC261</f>
        <v>2716.6773119999998</v>
      </c>
      <c r="AD217" s="350"/>
      <c r="AE217" s="99"/>
      <c r="AF217" s="76"/>
      <c r="AG217" s="102"/>
      <c r="AH217" s="96">
        <f>AH44+AH13+Competitive!AH261</f>
        <v>2511.085548</v>
      </c>
      <c r="AI217" s="350"/>
      <c r="AJ217" s="99"/>
      <c r="AK217" s="76"/>
      <c r="AL217" s="102"/>
      <c r="AM217" s="96">
        <f>AM44+AM13+Competitive!AM261</f>
        <v>2642.1507742592003</v>
      </c>
      <c r="AN217" s="350"/>
      <c r="AO217" s="99"/>
      <c r="AP217" s="76"/>
      <c r="AQ217" s="102"/>
      <c r="AR217" s="96">
        <f>AR44+AR13+Competitive!AR261</f>
        <v>2665.7550837363842</v>
      </c>
      <c r="AS217" s="350"/>
      <c r="AT217" s="99"/>
      <c r="AU217" s="76"/>
      <c r="AV217" s="102"/>
      <c r="AW217" s="96">
        <f>AW44+AW13+Competitive!AW261</f>
        <v>2743.7377362484758</v>
      </c>
      <c r="AX217" s="350"/>
      <c r="AY217" s="99"/>
      <c r="AZ217" s="76"/>
      <c r="BA217" s="102"/>
      <c r="BB217" s="96">
        <f>BB44+BB13+Competitive!BB261</f>
        <v>2622.3898217774631</v>
      </c>
      <c r="BC217" s="350"/>
      <c r="BD217" s="99"/>
      <c r="BE217" s="76"/>
      <c r="BF217" s="102"/>
      <c r="BG217" s="96">
        <f>BG44+BG13+Competitive!BG261</f>
        <v>2708.6955102199336</v>
      </c>
      <c r="BH217" s="350"/>
      <c r="BI217" s="99"/>
      <c r="BJ217" s="76"/>
      <c r="BK217" s="102"/>
      <c r="BL217" s="96">
        <f>BL44+BL13+Competitive!BL261</f>
        <v>2704.0185512152611</v>
      </c>
      <c r="BM217" s="350"/>
      <c r="BN217" s="99"/>
      <c r="BO217" s="76"/>
      <c r="BP217" s="102"/>
      <c r="BQ217" s="96">
        <f>BQ44+BQ13+Competitive!BQ261</f>
        <v>2975.9175295826481</v>
      </c>
    </row>
    <row r="218" spans="1:77">
      <c r="A218" s="92"/>
      <c r="B218" s="87"/>
      <c r="C218" s="89" t="s">
        <v>1214</v>
      </c>
      <c r="D218" s="96"/>
      <c r="E218" s="350"/>
      <c r="F218" s="99"/>
      <c r="G218" s="76"/>
      <c r="H218" s="102"/>
      <c r="I218" s="2038" t="s">
        <v>763</v>
      </c>
      <c r="J218" s="2039"/>
      <c r="K218" s="2040"/>
      <c r="L218" s="391"/>
      <c r="M218" s="2041"/>
      <c r="N218" s="2038" t="s">
        <v>763</v>
      </c>
      <c r="O218" s="350"/>
      <c r="P218" s="99"/>
      <c r="Q218" s="76"/>
      <c r="R218" s="102"/>
      <c r="S218" s="96">
        <f>S217-Competitive!S633</f>
        <v>1561.58</v>
      </c>
      <c r="T218" s="350"/>
      <c r="U218" s="99"/>
      <c r="V218" s="76"/>
      <c r="W218" s="102"/>
      <c r="X218" s="96">
        <f>X217-Competitive!X633</f>
        <v>1624</v>
      </c>
      <c r="Y218" s="350"/>
      <c r="Z218" s="99"/>
      <c r="AA218" s="76"/>
      <c r="AB218" s="102"/>
      <c r="AC218" s="96">
        <f>AC217-Competitive!AC633</f>
        <v>1725.9999999999998</v>
      </c>
      <c r="AD218" s="350"/>
      <c r="AE218" s="99"/>
      <c r="AF218" s="76"/>
      <c r="AG218" s="102"/>
      <c r="AH218" s="96">
        <f>AH217-Competitive!AH633</f>
        <v>1809</v>
      </c>
      <c r="AI218" s="350"/>
      <c r="AJ218" s="99"/>
      <c r="AK218" s="76"/>
      <c r="AL218" s="102"/>
      <c r="AM218" s="96">
        <f>AM217-Competitive!AM633</f>
        <v>1772.0000000000002</v>
      </c>
      <c r="AN218" s="350"/>
      <c r="AO218" s="99"/>
      <c r="AP218" s="76"/>
      <c r="AQ218" s="102"/>
      <c r="AR218" s="96">
        <f>AR217-Competitive!AR633</f>
        <v>1790.0000000000002</v>
      </c>
      <c r="AS218" s="350"/>
      <c r="AT218" s="99"/>
      <c r="AU218" s="76"/>
      <c r="AV218" s="102"/>
      <c r="AW218" s="96">
        <f>AW217-Competitive!AW633</f>
        <v>2181</v>
      </c>
      <c r="AX218" s="350"/>
      <c r="AY218" s="99"/>
      <c r="AZ218" s="76"/>
      <c r="BA218" s="102"/>
      <c r="BB218" s="96">
        <f>BB217-Competitive!BB633</f>
        <v>2357.1493113104862</v>
      </c>
      <c r="BC218" s="350"/>
      <c r="BD218" s="99"/>
      <c r="BE218" s="76"/>
      <c r="BF218" s="102"/>
      <c r="BG218" s="96">
        <f>BG217-Competitive!BG633</f>
        <v>2527.6087037228699</v>
      </c>
      <c r="BH218" s="350"/>
      <c r="BI218" s="99"/>
      <c r="BJ218" s="76"/>
      <c r="BK218" s="102"/>
      <c r="BL218" s="96">
        <f>BL217-Competitive!BL633</f>
        <v>2540.2923323149544</v>
      </c>
      <c r="BM218" s="350"/>
      <c r="BN218" s="99"/>
      <c r="BO218" s="76"/>
      <c r="BP218" s="102"/>
      <c r="BQ218" s="96">
        <f>BQ217-Competitive!BQ633</f>
        <v>2690.8735416688523</v>
      </c>
    </row>
    <row r="219" spans="1:77">
      <c r="A219" s="92"/>
      <c r="B219" s="87"/>
      <c r="C219" s="87" t="s">
        <v>411</v>
      </c>
      <c r="D219" s="87"/>
      <c r="E219" s="350"/>
      <c r="F219" s="99"/>
      <c r="G219" s="76"/>
      <c r="H219" s="102"/>
      <c r="I219" s="96">
        <f>I22</f>
        <v>2010</v>
      </c>
      <c r="J219" s="350"/>
      <c r="K219" s="99"/>
      <c r="L219" s="76"/>
      <c r="M219" s="102"/>
      <c r="N219" s="96">
        <f>N22</f>
        <v>2321</v>
      </c>
      <c r="O219" s="350"/>
      <c r="P219" s="99"/>
      <c r="Q219" s="76"/>
      <c r="R219" s="102"/>
      <c r="S219" s="96">
        <f>S22</f>
        <v>2473</v>
      </c>
      <c r="T219" s="350"/>
      <c r="U219" s="99"/>
      <c r="V219" s="76"/>
      <c r="W219" s="102"/>
      <c r="X219" s="96">
        <f>X22</f>
        <v>2410</v>
      </c>
      <c r="Y219" s="350"/>
      <c r="Z219" s="99"/>
      <c r="AA219" s="76"/>
      <c r="AB219" s="102"/>
      <c r="AC219" s="96">
        <f>AC22</f>
        <v>2146</v>
      </c>
      <c r="AD219" s="350"/>
      <c r="AE219" s="99"/>
      <c r="AF219" s="76"/>
      <c r="AG219" s="102"/>
      <c r="AH219" s="96">
        <f>AH22</f>
        <v>1897</v>
      </c>
      <c r="AI219" s="350"/>
      <c r="AJ219" s="99"/>
      <c r="AK219" s="76"/>
      <c r="AL219" s="102"/>
      <c r="AM219" s="96">
        <f>AM22</f>
        <v>2576</v>
      </c>
      <c r="AN219" s="350"/>
      <c r="AO219" s="99"/>
      <c r="AP219" s="76"/>
      <c r="AQ219" s="102"/>
      <c r="AR219" s="96">
        <f>AR22</f>
        <v>2550</v>
      </c>
      <c r="AS219" s="350"/>
      <c r="AT219" s="99"/>
      <c r="AU219" s="76"/>
      <c r="AV219" s="102"/>
      <c r="AW219" s="96">
        <f>AW22</f>
        <v>2719</v>
      </c>
      <c r="AX219" s="350"/>
      <c r="AY219" s="99"/>
      <c r="AZ219" s="76"/>
      <c r="BA219" s="102"/>
      <c r="BB219" s="96">
        <f>BB22</f>
        <v>2611.3234734916696</v>
      </c>
      <c r="BC219" s="350"/>
      <c r="BD219" s="99"/>
      <c r="BE219" s="76"/>
      <c r="BF219" s="102"/>
      <c r="BG219" s="96">
        <f>BG22</f>
        <v>2512.173331275415</v>
      </c>
      <c r="BH219" s="350"/>
      <c r="BI219" s="99"/>
      <c r="BJ219" s="76"/>
      <c r="BK219" s="102"/>
      <c r="BL219" s="96">
        <f>BL22</f>
        <v>2388.355793849676</v>
      </c>
      <c r="BM219" s="350"/>
      <c r="BN219" s="99"/>
      <c r="BO219" s="76"/>
      <c r="BP219" s="102"/>
      <c r="BQ219" s="96">
        <f>BQ22</f>
        <v>2705.8134169211953</v>
      </c>
    </row>
    <row r="220" spans="1:77">
      <c r="A220" s="92"/>
      <c r="B220" s="87"/>
      <c r="C220" s="87" t="s">
        <v>412</v>
      </c>
      <c r="D220" s="87"/>
      <c r="E220" s="350"/>
      <c r="F220" s="99"/>
      <c r="G220" s="76"/>
      <c r="H220" s="102"/>
      <c r="I220" s="96">
        <f>I28</f>
        <v>2644</v>
      </c>
      <c r="J220" s="350"/>
      <c r="K220" s="99"/>
      <c r="L220" s="76"/>
      <c r="M220" s="102"/>
      <c r="N220" s="96">
        <f>N28</f>
        <v>2628</v>
      </c>
      <c r="O220" s="350"/>
      <c r="P220" s="99"/>
      <c r="Q220" s="76"/>
      <c r="R220" s="102"/>
      <c r="S220" s="96">
        <f>S28</f>
        <v>3447</v>
      </c>
      <c r="T220" s="350"/>
      <c r="U220" s="99"/>
      <c r="V220" s="76"/>
      <c r="W220" s="102"/>
      <c r="X220" s="96">
        <f>X28</f>
        <v>3377</v>
      </c>
      <c r="Y220" s="350"/>
      <c r="Z220" s="99"/>
      <c r="AA220" s="76"/>
      <c r="AB220" s="102"/>
      <c r="AC220" s="96">
        <f>AC28</f>
        <v>2713</v>
      </c>
      <c r="AD220" s="350"/>
      <c r="AE220" s="99"/>
      <c r="AF220" s="76"/>
      <c r="AG220" s="102"/>
      <c r="AH220" s="96">
        <f>AH28</f>
        <v>2346</v>
      </c>
      <c r="AI220" s="350"/>
      <c r="AJ220" s="99"/>
      <c r="AK220" s="76"/>
      <c r="AL220" s="102"/>
      <c r="AM220" s="96">
        <f>AM28</f>
        <v>3190</v>
      </c>
      <c r="AN220" s="350"/>
      <c r="AO220" s="99"/>
      <c r="AP220" s="76"/>
      <c r="AQ220" s="102"/>
      <c r="AR220" s="96">
        <f>AR28</f>
        <v>-6865</v>
      </c>
      <c r="AS220" s="350"/>
      <c r="AT220" s="99"/>
      <c r="AU220" s="76"/>
      <c r="AV220" s="102"/>
      <c r="AW220" s="96">
        <f>AW28</f>
        <v>1408</v>
      </c>
      <c r="AX220" s="350"/>
      <c r="AY220" s="99"/>
      <c r="AZ220" s="76"/>
      <c r="BA220" s="102"/>
      <c r="BB220" s="96">
        <f>BB28</f>
        <v>3905.706441153407</v>
      </c>
      <c r="BC220" s="350"/>
      <c r="BD220" s="99"/>
      <c r="BE220" s="76"/>
      <c r="BF220" s="102"/>
      <c r="BG220" s="96">
        <f>BG28</f>
        <v>3886.6264043869242</v>
      </c>
      <c r="BH220" s="350"/>
      <c r="BI220" s="99"/>
      <c r="BJ220" s="76"/>
      <c r="BK220" s="102"/>
      <c r="BL220" s="96">
        <f>BL28</f>
        <v>3846.1705508246614</v>
      </c>
      <c r="BM220" s="350"/>
      <c r="BN220" s="99"/>
      <c r="BO220" s="76"/>
      <c r="BP220" s="102"/>
      <c r="BQ220" s="96">
        <f>BQ28</f>
        <v>4245.4428084899773</v>
      </c>
    </row>
    <row r="221" spans="1:77">
      <c r="A221" s="92"/>
      <c r="B221" s="87"/>
      <c r="C221" s="87" t="s">
        <v>413</v>
      </c>
      <c r="D221" s="87"/>
      <c r="E221" s="350"/>
      <c r="F221" s="99"/>
      <c r="G221" s="76"/>
      <c r="H221" s="102"/>
      <c r="I221" s="96">
        <f>I30</f>
        <v>978</v>
      </c>
      <c r="J221" s="350"/>
      <c r="K221" s="99"/>
      <c r="L221" s="76"/>
      <c r="M221" s="102"/>
      <c r="N221" s="96">
        <f>N30</f>
        <v>845</v>
      </c>
      <c r="O221" s="350"/>
      <c r="P221" s="99"/>
      <c r="Q221" s="76"/>
      <c r="R221" s="102"/>
      <c r="S221" s="96">
        <f>S30</f>
        <v>1008</v>
      </c>
      <c r="T221" s="350"/>
      <c r="U221" s="99"/>
      <c r="V221" s="76"/>
      <c r="W221" s="102"/>
      <c r="X221" s="96">
        <f>X30</f>
        <v>1001</v>
      </c>
      <c r="Y221" s="350"/>
      <c r="Z221" s="99"/>
      <c r="AA221" s="76"/>
      <c r="AB221" s="102"/>
      <c r="AC221" s="96">
        <f>AC30</f>
        <v>1016</v>
      </c>
      <c r="AD221" s="350"/>
      <c r="AE221" s="99"/>
      <c r="AF221" s="76"/>
      <c r="AG221" s="102"/>
      <c r="AH221" s="96">
        <f>AH30</f>
        <v>1073</v>
      </c>
      <c r="AI221" s="350"/>
      <c r="AJ221" s="99"/>
      <c r="AK221" s="76"/>
      <c r="AL221" s="102"/>
      <c r="AM221" s="96">
        <f>AM30</f>
        <v>1132</v>
      </c>
      <c r="AN221" s="350"/>
      <c r="AO221" s="99"/>
      <c r="AP221" s="76"/>
      <c r="AQ221" s="102"/>
      <c r="AR221" s="96">
        <f>AR30</f>
        <v>1157</v>
      </c>
      <c r="AS221" s="350"/>
      <c r="AT221" s="99"/>
      <c r="AU221" s="76"/>
      <c r="AV221" s="102"/>
      <c r="AW221" s="96">
        <f>AW30</f>
        <v>1178</v>
      </c>
      <c r="AX221" s="350"/>
      <c r="AY221" s="99"/>
      <c r="AZ221" s="76"/>
      <c r="BA221" s="102"/>
      <c r="BB221" s="96">
        <f>BB30</f>
        <v>1206.911394738099</v>
      </c>
      <c r="BC221" s="350"/>
      <c r="BD221" s="99"/>
      <c r="BE221" s="76"/>
      <c r="BF221" s="102"/>
      <c r="BG221" s="96">
        <f>BG30</f>
        <v>1166.02013759887</v>
      </c>
      <c r="BH221" s="350"/>
      <c r="BI221" s="99"/>
      <c r="BJ221" s="76"/>
      <c r="BK221" s="102"/>
      <c r="BL221" s="96">
        <f>BL30</f>
        <v>1180.386104166241</v>
      </c>
      <c r="BM221" s="350"/>
      <c r="BN221" s="99"/>
      <c r="BO221" s="76"/>
      <c r="BP221" s="102"/>
      <c r="BQ221" s="96">
        <f>BQ30</f>
        <v>1228.4517121017091</v>
      </c>
    </row>
    <row r="222" spans="1:77">
      <c r="A222" s="92"/>
      <c r="B222" s="87"/>
      <c r="C222" s="87" t="s">
        <v>414</v>
      </c>
      <c r="D222" s="87"/>
      <c r="E222" s="350"/>
      <c r="F222" s="99"/>
      <c r="G222" s="76"/>
      <c r="H222" s="102"/>
      <c r="I222" s="96">
        <f>I44</f>
        <v>1224.6399999999999</v>
      </c>
      <c r="J222" s="350"/>
      <c r="K222" s="99"/>
      <c r="L222" s="76"/>
      <c r="M222" s="102"/>
      <c r="N222" s="96">
        <f>N44</f>
        <v>1185.8399999999999</v>
      </c>
      <c r="O222" s="350"/>
      <c r="P222" s="99"/>
      <c r="Q222" s="76"/>
      <c r="R222" s="102"/>
      <c r="S222" s="96">
        <f>S44</f>
        <v>1451.58</v>
      </c>
      <c r="T222" s="350"/>
      <c r="U222" s="99"/>
      <c r="V222" s="76"/>
      <c r="W222" s="102"/>
      <c r="X222" s="96">
        <f>X44</f>
        <v>1392</v>
      </c>
      <c r="Y222" s="350"/>
      <c r="Z222" s="99"/>
      <c r="AA222" s="76"/>
      <c r="AB222" s="102"/>
      <c r="AC222" s="96">
        <f>AC44</f>
        <v>1270</v>
      </c>
      <c r="AD222" s="350"/>
      <c r="AE222" s="99"/>
      <c r="AF222" s="76"/>
      <c r="AG222" s="102"/>
      <c r="AH222" s="96">
        <f>AH44</f>
        <v>1075</v>
      </c>
      <c r="AI222" s="350"/>
      <c r="AJ222" s="99"/>
      <c r="AK222" s="76"/>
      <c r="AL222" s="102"/>
      <c r="AM222" s="96">
        <f>AM44</f>
        <v>1144</v>
      </c>
      <c r="AN222" s="350"/>
      <c r="AO222" s="99"/>
      <c r="AP222" s="76"/>
      <c r="AQ222" s="102"/>
      <c r="AR222" s="96">
        <f>AR44</f>
        <v>1120</v>
      </c>
      <c r="AS222" s="350"/>
      <c r="AT222" s="99"/>
      <c r="AU222" s="76"/>
      <c r="AV222" s="102"/>
      <c r="AW222" s="96">
        <f>AW44</f>
        <v>1366</v>
      </c>
      <c r="AX222" s="350"/>
      <c r="AY222" s="99"/>
      <c r="AZ222" s="76"/>
      <c r="BA222" s="102"/>
      <c r="BB222" s="96">
        <f>BB44</f>
        <v>1221.8651279357903</v>
      </c>
      <c r="BC222" s="350"/>
      <c r="BD222" s="99"/>
      <c r="BE222" s="76"/>
      <c r="BF222" s="102"/>
      <c r="BG222" s="96">
        <f>BG44</f>
        <v>1196.9046727224168</v>
      </c>
      <c r="BH222" s="350"/>
      <c r="BI222" s="99"/>
      <c r="BJ222" s="76"/>
      <c r="BK222" s="102"/>
      <c r="BL222" s="96">
        <f>BL44</f>
        <v>1101.2358969226873</v>
      </c>
      <c r="BM222" s="350"/>
      <c r="BN222" s="99"/>
      <c r="BO222" s="76"/>
      <c r="BP222" s="102"/>
      <c r="BQ222" s="96">
        <f>BQ44</f>
        <v>1283.4612037767495</v>
      </c>
    </row>
    <row r="223" spans="1:77">
      <c r="A223" s="92"/>
      <c r="B223" s="87"/>
      <c r="C223" s="2094" t="s">
        <v>1215</v>
      </c>
      <c r="D223" s="2182"/>
      <c r="E223" s="2269"/>
      <c r="F223" s="2270"/>
      <c r="G223" s="2271"/>
      <c r="H223" s="2230"/>
      <c r="I223" s="2231"/>
      <c r="J223" s="2269"/>
      <c r="K223" s="2270"/>
      <c r="L223" s="2271"/>
      <c r="M223" s="2230"/>
      <c r="N223" s="2231"/>
      <c r="O223" s="2269"/>
      <c r="P223" s="2270"/>
      <c r="Q223" s="2271"/>
      <c r="R223" s="2230"/>
      <c r="S223" s="2231">
        <f>S134</f>
        <v>3063</v>
      </c>
      <c r="T223" s="2269"/>
      <c r="U223" s="2270"/>
      <c r="V223" s="2271"/>
      <c r="W223" s="2230"/>
      <c r="X223" s="2231">
        <f>X134</f>
        <v>2320</v>
      </c>
      <c r="Y223" s="2269"/>
      <c r="Z223" s="2270"/>
      <c r="AA223" s="2271"/>
      <c r="AB223" s="2230"/>
      <c r="AC223" s="2231">
        <f>AC134</f>
        <v>2662</v>
      </c>
      <c r="AD223" s="2269"/>
      <c r="AE223" s="2270"/>
      <c r="AF223" s="2271"/>
      <c r="AG223" s="2230"/>
      <c r="AH223" s="2231">
        <f>AH134</f>
        <v>2713</v>
      </c>
      <c r="AI223" s="2269"/>
      <c r="AJ223" s="2270"/>
      <c r="AK223" s="2271"/>
      <c r="AL223" s="2230"/>
      <c r="AM223" s="2231">
        <f>AM134</f>
        <v>3447</v>
      </c>
      <c r="AN223" s="2269"/>
      <c r="AO223" s="2270"/>
      <c r="AP223" s="2271"/>
      <c r="AQ223" s="2230"/>
      <c r="AR223" s="2231">
        <f>AR134</f>
        <v>3371</v>
      </c>
      <c r="AS223" s="2269"/>
      <c r="AT223" s="2270"/>
      <c r="AU223" s="2271"/>
      <c r="AV223" s="2230"/>
      <c r="AW223" s="2231">
        <f>AW134</f>
        <v>3808</v>
      </c>
      <c r="AX223" s="2269"/>
      <c r="AY223" s="2270"/>
      <c r="AZ223" s="2271"/>
      <c r="BA223" s="2230"/>
      <c r="BB223" s="2231">
        <f>BB134</f>
        <v>1478.7711885351059</v>
      </c>
      <c r="BC223" s="2269"/>
      <c r="BD223" s="2270"/>
      <c r="BE223" s="2271"/>
      <c r="BF223" s="2230"/>
      <c r="BG223" s="2231">
        <f>BG134</f>
        <v>2533.8191366857604</v>
      </c>
      <c r="BH223" s="2269"/>
      <c r="BI223" s="2270"/>
      <c r="BJ223" s="2271"/>
      <c r="BK223" s="2230"/>
      <c r="BL223" s="2231">
        <f>BL134</f>
        <v>2679.9466977495745</v>
      </c>
      <c r="BM223" s="2269"/>
      <c r="BN223" s="2270"/>
      <c r="BO223" s="2271"/>
      <c r="BP223" s="2230"/>
      <c r="BQ223" s="2231">
        <f>BQ134</f>
        <v>2961.6433650784766</v>
      </c>
    </row>
    <row r="224" spans="1:77">
      <c r="A224" s="92"/>
      <c r="B224" s="87"/>
      <c r="C224" s="2094" t="s">
        <v>1216</v>
      </c>
      <c r="D224" s="2182"/>
      <c r="E224" s="2269"/>
      <c r="F224" s="2270"/>
      <c r="G224" s="2271"/>
      <c r="H224" s="2230"/>
      <c r="I224" s="2231"/>
      <c r="J224" s="2269"/>
      <c r="K224" s="2270"/>
      <c r="L224" s="2271"/>
      <c r="M224" s="2230"/>
      <c r="N224" s="2231"/>
      <c r="O224" s="2269"/>
      <c r="P224" s="2270"/>
      <c r="Q224" s="2271"/>
      <c r="R224" s="2230"/>
      <c r="S224" s="2231"/>
      <c r="T224" s="2269"/>
      <c r="U224" s="2270"/>
      <c r="V224" s="2271"/>
      <c r="W224" s="2230"/>
      <c r="X224" s="2231"/>
      <c r="Y224" s="2269"/>
      <c r="Z224" s="2270"/>
      <c r="AA224" s="2271"/>
      <c r="AB224" s="2230"/>
      <c r="AC224" s="2231"/>
      <c r="AD224" s="2269"/>
      <c r="AE224" s="2270"/>
      <c r="AF224" s="2271"/>
      <c r="AG224" s="2230"/>
      <c r="AH224" s="2231"/>
      <c r="AI224" s="2269"/>
      <c r="AJ224" s="2270"/>
      <c r="AK224" s="2271"/>
      <c r="AL224" s="2230"/>
      <c r="AM224" s="2231"/>
      <c r="AN224" s="2269"/>
      <c r="AO224" s="2270"/>
      <c r="AP224" s="2271"/>
      <c r="AQ224" s="2230"/>
      <c r="AR224" s="2231"/>
      <c r="AS224" s="2269"/>
      <c r="AT224" s="2270"/>
      <c r="AU224" s="2271"/>
      <c r="AV224" s="2230"/>
      <c r="AW224" s="2231">
        <f>AW223-Competitive!AW597</f>
        <v>6356</v>
      </c>
      <c r="AX224" s="2269"/>
      <c r="AY224" s="2270"/>
      <c r="AZ224" s="2271"/>
      <c r="BA224" s="2230"/>
      <c r="BB224" s="2231">
        <f>BB223-Competitive!BB597-200+1250</f>
        <v>2411.6724042480637</v>
      </c>
      <c r="BC224" s="2269"/>
      <c r="BD224" s="2270"/>
      <c r="BE224" s="2271"/>
      <c r="BF224" s="2230"/>
      <c r="BG224" s="2231">
        <f>BG223-Competitive!BG597-200</f>
        <v>2607.0700945747049</v>
      </c>
      <c r="BH224" s="2269"/>
      <c r="BI224" s="2270"/>
      <c r="BJ224" s="2271"/>
      <c r="BK224" s="2230"/>
      <c r="BL224" s="2231">
        <f>BL223-Competitive!BL597-200</f>
        <v>2778.188376166856</v>
      </c>
      <c r="BM224" s="2269"/>
      <c r="BN224" s="2270"/>
      <c r="BO224" s="2271"/>
      <c r="BP224" s="2230"/>
      <c r="BQ224" s="2231">
        <f>BQ223-Competitive!BQ597-200</f>
        <v>2946.4263114017967</v>
      </c>
    </row>
    <row r="225" spans="1:77">
      <c r="A225" s="92"/>
      <c r="B225" s="87"/>
      <c r="C225" s="87"/>
      <c r="D225" s="87"/>
      <c r="E225" s="350"/>
      <c r="F225" s="99"/>
      <c r="G225" s="310"/>
      <c r="H225" s="311"/>
      <c r="I225" s="285"/>
      <c r="J225" s="350"/>
      <c r="K225" s="99"/>
      <c r="L225" s="310"/>
      <c r="M225" s="311"/>
      <c r="N225" s="285"/>
      <c r="O225" s="350"/>
      <c r="P225" s="99"/>
      <c r="Q225" s="310"/>
      <c r="R225" s="311"/>
      <c r="S225" s="285"/>
      <c r="T225" s="350"/>
      <c r="U225" s="99"/>
      <c r="V225" s="310"/>
      <c r="W225" s="311"/>
      <c r="X225" s="285"/>
      <c r="Y225" s="350"/>
      <c r="Z225" s="99"/>
      <c r="AA225" s="310"/>
      <c r="AB225" s="311"/>
      <c r="AC225" s="285"/>
      <c r="AD225" s="350"/>
      <c r="AE225" s="99"/>
      <c r="AF225" s="310"/>
      <c r="AG225" s="311"/>
      <c r="AH225" s="285"/>
      <c r="AI225" s="350"/>
      <c r="AJ225" s="99"/>
      <c r="AK225" s="310"/>
      <c r="AL225" s="311"/>
      <c r="AM225" s="285"/>
      <c r="AN225" s="350"/>
      <c r="AO225" s="99"/>
      <c r="AP225" s="310"/>
      <c r="AQ225" s="311"/>
      <c r="AR225" s="285"/>
      <c r="AS225" s="350"/>
      <c r="AT225" s="99"/>
      <c r="AU225" s="310"/>
      <c r="AV225" s="311"/>
      <c r="AW225" s="285"/>
      <c r="AX225" s="350"/>
      <c r="AY225" s="99"/>
      <c r="AZ225" s="310"/>
      <c r="BA225" s="311"/>
      <c r="BB225" s="285"/>
      <c r="BC225" s="350"/>
      <c r="BD225" s="99"/>
      <c r="BE225" s="310"/>
      <c r="BF225" s="311"/>
      <c r="BG225" s="285"/>
      <c r="BH225" s="350"/>
      <c r="BI225" s="99"/>
      <c r="BJ225" s="310"/>
      <c r="BK225" s="311"/>
      <c r="BL225" s="285"/>
      <c r="BM225" s="350"/>
      <c r="BN225" s="99"/>
      <c r="BO225" s="310"/>
      <c r="BP225" s="311"/>
      <c r="BQ225" s="285"/>
    </row>
    <row r="226" spans="1:77">
      <c r="A226" s="92"/>
      <c r="B226" s="87"/>
      <c r="C226" s="88" t="s">
        <v>40</v>
      </c>
      <c r="D226" s="87"/>
      <c r="E226" s="350"/>
      <c r="F226" s="99"/>
      <c r="G226" s="99"/>
      <c r="H226" s="351"/>
      <c r="I226" s="352"/>
      <c r="J226" s="350"/>
      <c r="K226" s="99"/>
      <c r="L226" s="99"/>
      <c r="M226" s="351"/>
      <c r="N226" s="352"/>
      <c r="O226" s="350"/>
      <c r="P226" s="99"/>
      <c r="Q226" s="99"/>
      <c r="R226" s="351"/>
      <c r="S226" s="352"/>
      <c r="T226" s="350"/>
      <c r="U226" s="99"/>
      <c r="V226" s="99"/>
      <c r="W226" s="351"/>
      <c r="X226" s="352"/>
      <c r="Y226" s="350"/>
      <c r="Z226" s="99"/>
      <c r="AA226" s="99"/>
      <c r="AB226" s="351"/>
      <c r="AC226" s="352"/>
      <c r="AD226" s="350"/>
      <c r="AE226" s="99"/>
      <c r="AF226" s="99"/>
      <c r="AG226" s="351"/>
      <c r="AH226" s="352"/>
      <c r="AI226" s="350"/>
      <c r="AJ226" s="99"/>
      <c r="AK226" s="99"/>
      <c r="AL226" s="351"/>
      <c r="AM226" s="352"/>
      <c r="AN226" s="350"/>
      <c r="AO226" s="99"/>
      <c r="AP226" s="99"/>
      <c r="AQ226" s="351"/>
      <c r="AR226" s="352"/>
      <c r="AS226" s="350"/>
      <c r="AT226" s="99"/>
      <c r="AU226" s="99"/>
      <c r="AV226" s="351"/>
      <c r="AW226" s="352"/>
      <c r="AX226" s="350"/>
      <c r="AY226" s="99"/>
      <c r="AZ226" s="99"/>
      <c r="BA226" s="351"/>
      <c r="BB226" s="352"/>
      <c r="BC226" s="350"/>
      <c r="BD226" s="99"/>
      <c r="BE226" s="99"/>
      <c r="BF226" s="351"/>
      <c r="BG226" s="352"/>
      <c r="BH226" s="350"/>
      <c r="BI226" s="99"/>
      <c r="BJ226" s="99"/>
      <c r="BK226" s="351"/>
      <c r="BL226" s="352"/>
      <c r="BM226" s="350"/>
      <c r="BN226" s="99"/>
      <c r="BO226" s="99"/>
      <c r="BP226" s="351"/>
      <c r="BQ226" s="352"/>
    </row>
    <row r="227" spans="1:77">
      <c r="A227" s="92"/>
      <c r="B227" s="87"/>
      <c r="C227" s="87" t="s">
        <v>415</v>
      </c>
      <c r="D227" s="87"/>
      <c r="E227" s="368"/>
      <c r="F227" s="369"/>
      <c r="G227" s="369"/>
      <c r="H227" s="370"/>
      <c r="I227" s="371">
        <f>I202/I212</f>
        <v>0.58947278766714928</v>
      </c>
      <c r="J227" s="368"/>
      <c r="K227" s="369"/>
      <c r="L227" s="369"/>
      <c r="M227" s="370"/>
      <c r="N227" s="371">
        <f>N202/N212</f>
        <v>0.5922354625457914</v>
      </c>
      <c r="O227" s="368"/>
      <c r="P227" s="369"/>
      <c r="Q227" s="369"/>
      <c r="R227" s="370"/>
      <c r="S227" s="371">
        <f>S202/S212</f>
        <v>0.56625404187216255</v>
      </c>
      <c r="T227" s="368"/>
      <c r="U227" s="369"/>
      <c r="V227" s="369"/>
      <c r="W227" s="370"/>
      <c r="X227" s="371">
        <f>X202/X212</f>
        <v>0.53296515776736686</v>
      </c>
      <c r="Y227" s="368"/>
      <c r="Z227" s="369"/>
      <c r="AA227" s="369"/>
      <c r="AB227" s="370"/>
      <c r="AC227" s="371">
        <f>AC202/AC212</f>
        <v>0.51724551616579695</v>
      </c>
      <c r="AD227" s="368"/>
      <c r="AE227" s="369"/>
      <c r="AF227" s="369"/>
      <c r="AG227" s="370"/>
      <c r="AH227" s="371">
        <f>AH202/AH212</f>
        <v>0.58422760899441506</v>
      </c>
      <c r="AI227" s="368"/>
      <c r="AJ227" s="369"/>
      <c r="AK227" s="369"/>
      <c r="AL227" s="370"/>
      <c r="AM227" s="371">
        <f>AM202/AM212</f>
        <v>0.59030939194479082</v>
      </c>
      <c r="AN227" s="368"/>
      <c r="AO227" s="369"/>
      <c r="AP227" s="369"/>
      <c r="AQ227" s="370"/>
      <c r="AR227" s="371">
        <f>AR202/AR212</f>
        <v>0.69034140242420028</v>
      </c>
      <c r="AS227" s="368"/>
      <c r="AT227" s="369"/>
      <c r="AU227" s="369"/>
      <c r="AV227" s="370"/>
      <c r="AW227" s="371">
        <f>AW202/AW212</f>
        <v>0.84009537506623266</v>
      </c>
      <c r="AX227" s="368"/>
      <c r="AY227" s="369"/>
      <c r="AZ227" s="369"/>
      <c r="BA227" s="370"/>
      <c r="BB227" s="371">
        <f>BB202/BB212</f>
        <v>0.76369598747222667</v>
      </c>
      <c r="BC227" s="368"/>
      <c r="BD227" s="369"/>
      <c r="BE227" s="369"/>
      <c r="BF227" s="370"/>
      <c r="BG227" s="371">
        <f>BG202/BG212</f>
        <v>0.69724608780518404</v>
      </c>
      <c r="BH227" s="368"/>
      <c r="BI227" s="369"/>
      <c r="BJ227" s="369"/>
      <c r="BK227" s="370"/>
      <c r="BL227" s="371">
        <f>BL202/BL212</f>
        <v>0.70187117124505793</v>
      </c>
      <c r="BM227" s="368"/>
      <c r="BN227" s="369"/>
      <c r="BO227" s="369"/>
      <c r="BP227" s="370"/>
      <c r="BQ227" s="371">
        <f>BQ202/BQ212</f>
        <v>0.6948433355011574</v>
      </c>
    </row>
    <row r="228" spans="1:77">
      <c r="A228" s="92"/>
      <c r="B228" s="87"/>
      <c r="C228" s="87" t="s">
        <v>416</v>
      </c>
      <c r="D228" s="87"/>
      <c r="E228" s="368"/>
      <c r="F228" s="369"/>
      <c r="G228" s="369"/>
      <c r="H228" s="370"/>
      <c r="I228" s="371">
        <f>I203/I212</f>
        <v>0.63550804871816713</v>
      </c>
      <c r="J228" s="368"/>
      <c r="K228" s="369"/>
      <c r="L228" s="369"/>
      <c r="M228" s="370"/>
      <c r="N228" s="371">
        <f>N203/N212</f>
        <v>0.62171038780580234</v>
      </c>
      <c r="O228" s="368"/>
      <c r="P228" s="369"/>
      <c r="Q228" s="369"/>
      <c r="R228" s="370"/>
      <c r="S228" s="371">
        <f>S203/S212</f>
        <v>0.56625404187216255</v>
      </c>
      <c r="T228" s="368"/>
      <c r="U228" s="369"/>
      <c r="V228" s="369"/>
      <c r="W228" s="370"/>
      <c r="X228" s="371">
        <f>X203/X212</f>
        <v>0.59405541249108007</v>
      </c>
      <c r="Y228" s="368"/>
      <c r="Z228" s="369"/>
      <c r="AA228" s="369"/>
      <c r="AB228" s="370"/>
      <c r="AC228" s="371">
        <f>AC203/AC212</f>
        <v>0.61933897186731446</v>
      </c>
      <c r="AD228" s="368"/>
      <c r="AE228" s="369"/>
      <c r="AF228" s="369"/>
      <c r="AG228" s="370"/>
      <c r="AH228" s="371">
        <f>AH203/AH212</f>
        <v>0.63683148630076902</v>
      </c>
      <c r="AI228" s="368"/>
      <c r="AJ228" s="369"/>
      <c r="AK228" s="369"/>
      <c r="AL228" s="370"/>
      <c r="AM228" s="371">
        <f>AM203/AM212</f>
        <v>0.63983530025806823</v>
      </c>
      <c r="AN228" s="368"/>
      <c r="AO228" s="369"/>
      <c r="AP228" s="369"/>
      <c r="AQ228" s="370"/>
      <c r="AR228" s="371">
        <f>AR203/AR212</f>
        <v>0.78324592782968083</v>
      </c>
      <c r="AS228" s="368"/>
      <c r="AT228" s="369"/>
      <c r="AU228" s="369"/>
      <c r="AV228" s="370"/>
      <c r="AW228" s="371">
        <f>AW203/AW212</f>
        <v>0.85144954961774277</v>
      </c>
      <c r="AX228" s="368"/>
      <c r="AY228" s="369"/>
      <c r="AZ228" s="369"/>
      <c r="BA228" s="370"/>
      <c r="BB228" s="371">
        <f>BB203/BB212</f>
        <v>0.81619324927782655</v>
      </c>
      <c r="BC228" s="368"/>
      <c r="BD228" s="369"/>
      <c r="BE228" s="369"/>
      <c r="BF228" s="370"/>
      <c r="BG228" s="371">
        <f>BG203/BG212</f>
        <v>0.75620799706555153</v>
      </c>
      <c r="BH228" s="368"/>
      <c r="BI228" s="369"/>
      <c r="BJ228" s="369"/>
      <c r="BK228" s="370"/>
      <c r="BL228" s="371">
        <f>BL203/BL212</f>
        <v>0.75422475305992698</v>
      </c>
      <c r="BM228" s="368"/>
      <c r="BN228" s="369"/>
      <c r="BO228" s="369"/>
      <c r="BP228" s="370"/>
      <c r="BQ228" s="371">
        <f>BQ203/BQ212</f>
        <v>0.74685347866323237</v>
      </c>
    </row>
    <row r="229" spans="1:77">
      <c r="A229" s="92"/>
      <c r="B229" s="87"/>
      <c r="C229" s="87" t="s">
        <v>45</v>
      </c>
      <c r="D229" s="87"/>
      <c r="E229" s="350"/>
      <c r="F229" s="99"/>
      <c r="G229" s="99"/>
      <c r="H229" s="372"/>
      <c r="I229" s="373">
        <f>(I203-I199)/I220</f>
        <v>5.313540090771558</v>
      </c>
      <c r="J229" s="350"/>
      <c r="K229" s="99"/>
      <c r="L229" s="99"/>
      <c r="M229" s="372"/>
      <c r="N229" s="373">
        <f>(N203-N199)/N220</f>
        <v>5.230593607305936</v>
      </c>
      <c r="O229" s="350"/>
      <c r="P229" s="99"/>
      <c r="Q229" s="99"/>
      <c r="R229" s="372"/>
      <c r="S229" s="373">
        <f>(S203-S199)/S220</f>
        <v>4.9709892660284307</v>
      </c>
      <c r="T229" s="350"/>
      <c r="U229" s="99"/>
      <c r="V229" s="99"/>
      <c r="W229" s="372"/>
      <c r="X229" s="373">
        <f>(X203-X199)/X220</f>
        <v>5.6188925081433228</v>
      </c>
      <c r="Y229" s="350"/>
      <c r="Z229" s="99"/>
      <c r="AA229" s="99"/>
      <c r="AB229" s="372"/>
      <c r="AC229" s="373">
        <f>(AC203-AC199)/AC220</f>
        <v>7.531146332473277</v>
      </c>
      <c r="AD229" s="350"/>
      <c r="AE229" s="99"/>
      <c r="AF229" s="99"/>
      <c r="AG229" s="372"/>
      <c r="AH229" s="373">
        <f>(AH203-AH199)/AH220</f>
        <v>9.2472293265132137</v>
      </c>
      <c r="AI229" s="350"/>
      <c r="AJ229" s="99"/>
      <c r="AK229" s="99"/>
      <c r="AL229" s="372"/>
      <c r="AM229" s="373">
        <f>(AM203-AM199)/AM220</f>
        <v>6.8761755485893419</v>
      </c>
      <c r="AN229" s="350"/>
      <c r="AO229" s="99"/>
      <c r="AP229" s="99"/>
      <c r="AQ229" s="372"/>
      <c r="AR229" s="373">
        <f>(AR203-AR199)/AR220</f>
        <v>-3.256081573197378</v>
      </c>
      <c r="AS229" s="350"/>
      <c r="AT229" s="99"/>
      <c r="AU229" s="99"/>
      <c r="AV229" s="372"/>
      <c r="AW229" s="373">
        <f>(AW203-AW199)/AW220</f>
        <v>15.559659090909092</v>
      </c>
      <c r="AX229" s="350"/>
      <c r="AY229" s="99"/>
      <c r="AZ229" s="99"/>
      <c r="BA229" s="372"/>
      <c r="BB229" s="373">
        <f>(BB203-BB199)/BB220</f>
        <v>6.1576637461833466</v>
      </c>
      <c r="BC229" s="350"/>
      <c r="BD229" s="99"/>
      <c r="BE229" s="99"/>
      <c r="BF229" s="372"/>
      <c r="BG229" s="373">
        <f>(BG203-BG199)/BG220</f>
        <v>6.07479581224786</v>
      </c>
      <c r="BH229" s="350"/>
      <c r="BI229" s="99"/>
      <c r="BJ229" s="99"/>
      <c r="BK229" s="372"/>
      <c r="BL229" s="373">
        <f>(BL203-BL199)/BL220</f>
        <v>6.4091492471556037</v>
      </c>
      <c r="BM229" s="350"/>
      <c r="BN229" s="99"/>
      <c r="BO229" s="99"/>
      <c r="BP229" s="372"/>
      <c r="BQ229" s="373">
        <f>(BQ203-BQ199)/BQ220</f>
        <v>5.9892081489598237</v>
      </c>
    </row>
    <row r="230" spans="1:77">
      <c r="A230" s="92"/>
      <c r="B230" s="87"/>
      <c r="C230" s="2094" t="s">
        <v>1206</v>
      </c>
      <c r="D230" s="2182"/>
      <c r="E230" s="2269"/>
      <c r="F230" s="2270"/>
      <c r="G230" s="2270"/>
      <c r="H230" s="2272"/>
      <c r="I230" s="2273"/>
      <c r="J230" s="2274"/>
      <c r="K230" s="2275"/>
      <c r="L230" s="2276"/>
      <c r="M230" s="2277"/>
      <c r="N230" s="2273"/>
      <c r="O230" s="2269"/>
      <c r="P230" s="2270"/>
      <c r="Q230" s="2270"/>
      <c r="R230" s="2272"/>
      <c r="S230" s="2278"/>
      <c r="T230" s="2269"/>
      <c r="U230" s="2270"/>
      <c r="V230" s="2270"/>
      <c r="W230" s="2272"/>
      <c r="X230" s="2278"/>
      <c r="Y230" s="2269"/>
      <c r="Z230" s="2270"/>
      <c r="AA230" s="2270"/>
      <c r="AB230" s="2272"/>
      <c r="AC230" s="2278"/>
      <c r="AD230" s="2269"/>
      <c r="AE230" s="2270"/>
      <c r="AF230" s="2270"/>
      <c r="AG230" s="2272"/>
      <c r="AH230" s="2278"/>
      <c r="AI230" s="2269"/>
      <c r="AJ230" s="2270"/>
      <c r="AK230" s="2270"/>
      <c r="AL230" s="2272"/>
      <c r="AM230" s="2278"/>
      <c r="AN230" s="2269"/>
      <c r="AO230" s="2270"/>
      <c r="AP230" s="2270"/>
      <c r="AQ230" s="2272"/>
      <c r="AR230" s="2278"/>
      <c r="AS230" s="2269"/>
      <c r="AT230" s="2270"/>
      <c r="AU230" s="2270"/>
      <c r="AV230" s="2272"/>
      <c r="AW230" s="2278">
        <f>AW224/(AW203-Competitive!AW619)</f>
        <v>0.33555062823355508</v>
      </c>
      <c r="AX230" s="2269"/>
      <c r="AY230" s="2270"/>
      <c r="AZ230" s="2270"/>
      <c r="BA230" s="2272"/>
      <c r="BB230" s="2278">
        <f>BB224/(BB203-Competitive!BB619)</f>
        <v>0.11750426959833732</v>
      </c>
      <c r="BC230" s="2269"/>
      <c r="BD230" s="2270"/>
      <c r="BE230" s="2270"/>
      <c r="BF230" s="2272"/>
      <c r="BG230" s="2278">
        <f>BG224/(BG203-Competitive!BG619)</f>
        <v>0.13219558656516858</v>
      </c>
      <c r="BH230" s="2269"/>
      <c r="BI230" s="2270"/>
      <c r="BJ230" s="2270"/>
      <c r="BK230" s="2272"/>
      <c r="BL230" s="2278">
        <f>BL224/(BL203-Competitive!BL619)</f>
        <v>0.13503862285090876</v>
      </c>
      <c r="BM230" s="2269"/>
      <c r="BN230" s="2270"/>
      <c r="BO230" s="2270"/>
      <c r="BP230" s="2272"/>
      <c r="BQ230" s="2278">
        <f>BQ224/(BQ203-Competitive!BQ619)</f>
        <v>0.13849461170955238</v>
      </c>
    </row>
    <row r="231" spans="1:77">
      <c r="A231" s="92"/>
      <c r="B231" s="87"/>
      <c r="C231" s="2182"/>
      <c r="D231" s="2182"/>
      <c r="E231" s="2269"/>
      <c r="F231" s="2270"/>
      <c r="G231" s="2270"/>
      <c r="H231" s="2279"/>
      <c r="I231" s="2280"/>
      <c r="J231" s="2269"/>
      <c r="K231" s="2270"/>
      <c r="L231" s="2270"/>
      <c r="M231" s="2279"/>
      <c r="N231" s="2280"/>
      <c r="O231" s="2269"/>
      <c r="P231" s="2270"/>
      <c r="Q231" s="2270"/>
      <c r="R231" s="2279"/>
      <c r="S231" s="2280"/>
      <c r="T231" s="2269"/>
      <c r="U231" s="2270"/>
      <c r="V231" s="2270"/>
      <c r="W231" s="2279"/>
      <c r="X231" s="2280"/>
      <c r="Y231" s="2269"/>
      <c r="Z231" s="2270"/>
      <c r="AA231" s="2270"/>
      <c r="AB231" s="2279"/>
      <c r="AC231" s="2280"/>
      <c r="AD231" s="2269"/>
      <c r="AE231" s="2270"/>
      <c r="AF231" s="2270"/>
      <c r="AG231" s="2279"/>
      <c r="AH231" s="2280"/>
      <c r="AI231" s="2269"/>
      <c r="AJ231" s="2270"/>
      <c r="AK231" s="2270"/>
      <c r="AL231" s="2279"/>
      <c r="AM231" s="2280"/>
      <c r="AN231" s="2269"/>
      <c r="AO231" s="2270"/>
      <c r="AP231" s="2270"/>
      <c r="AQ231" s="2279"/>
      <c r="AR231" s="2280"/>
      <c r="AS231" s="2269"/>
      <c r="AT231" s="2270"/>
      <c r="AU231" s="2270"/>
      <c r="AV231" s="2279"/>
      <c r="AW231" s="2285"/>
      <c r="AX231" s="2286"/>
      <c r="AY231" s="2287"/>
      <c r="AZ231" s="2287"/>
      <c r="BA231" s="2288"/>
      <c r="BB231" s="2285"/>
      <c r="BC231" s="2286"/>
      <c r="BD231" s="2287"/>
      <c r="BE231" s="2287"/>
      <c r="BF231" s="2288"/>
      <c r="BG231" s="2285"/>
      <c r="BH231" s="2286"/>
      <c r="BI231" s="2287"/>
      <c r="BJ231" s="2287"/>
      <c r="BK231" s="2288"/>
      <c r="BL231" s="2285"/>
      <c r="BM231" s="2286"/>
      <c r="BN231" s="2287"/>
      <c r="BO231" s="2287"/>
      <c r="BP231" s="2288"/>
      <c r="BQ231" s="2285"/>
    </row>
    <row r="232" spans="1:77">
      <c r="A232" s="92"/>
      <c r="B232" s="87"/>
      <c r="C232" s="87"/>
      <c r="D232" s="87"/>
      <c r="E232" s="350"/>
      <c r="F232" s="99"/>
      <c r="G232" s="99"/>
      <c r="H232" s="351"/>
      <c r="I232" s="352"/>
      <c r="J232" s="350"/>
      <c r="K232" s="99"/>
      <c r="L232" s="99"/>
      <c r="M232" s="351"/>
      <c r="N232" s="352"/>
      <c r="O232" s="350"/>
      <c r="P232" s="99"/>
      <c r="Q232" s="99"/>
      <c r="R232" s="351"/>
      <c r="S232" s="352"/>
      <c r="T232" s="350"/>
      <c r="U232" s="99"/>
      <c r="V232" s="99"/>
      <c r="W232" s="351"/>
      <c r="X232" s="352"/>
      <c r="Y232" s="350"/>
      <c r="Z232" s="99"/>
      <c r="AA232" s="99"/>
      <c r="AB232" s="351"/>
      <c r="AC232" s="352"/>
      <c r="AD232" s="350"/>
      <c r="AE232" s="99"/>
      <c r="AF232" s="99"/>
      <c r="AG232" s="351"/>
      <c r="AH232" s="352"/>
      <c r="AI232" s="350"/>
      <c r="AJ232" s="99"/>
      <c r="AK232" s="99"/>
      <c r="AL232" s="351"/>
      <c r="AM232" s="352"/>
      <c r="AN232" s="350"/>
      <c r="AO232" s="99"/>
      <c r="AP232" s="99"/>
      <c r="AQ232" s="351"/>
      <c r="AR232" s="352"/>
      <c r="AS232" s="350"/>
      <c r="AT232" s="99"/>
      <c r="AU232" s="99"/>
      <c r="AV232" s="351"/>
      <c r="AW232" s="352"/>
      <c r="AX232" s="350"/>
      <c r="AY232" s="99"/>
      <c r="AZ232" s="99"/>
      <c r="BA232" s="351"/>
      <c r="BB232" s="352"/>
      <c r="BC232" s="350"/>
      <c r="BD232" s="99"/>
      <c r="BE232" s="99"/>
      <c r="BF232" s="351"/>
      <c r="BG232" s="352"/>
      <c r="BH232" s="350"/>
      <c r="BI232" s="99"/>
      <c r="BJ232" s="99"/>
      <c r="BK232" s="351"/>
      <c r="BL232" s="352"/>
      <c r="BM232" s="350"/>
      <c r="BN232" s="99"/>
      <c r="BO232" s="99"/>
      <c r="BP232" s="351"/>
      <c r="BQ232" s="352"/>
    </row>
    <row r="233" spans="1:77">
      <c r="A233" s="92"/>
      <c r="B233" s="87"/>
      <c r="C233" s="88" t="s">
        <v>47</v>
      </c>
      <c r="D233" s="87"/>
      <c r="E233" s="350"/>
      <c r="F233" s="99"/>
      <c r="G233" s="99"/>
      <c r="H233" s="351"/>
      <c r="I233" s="352"/>
      <c r="J233" s="350"/>
      <c r="K233" s="99"/>
      <c r="L233" s="99"/>
      <c r="M233" s="351"/>
      <c r="N233" s="352"/>
      <c r="O233" s="350"/>
      <c r="P233" s="99"/>
      <c r="Q233" s="99"/>
      <c r="R233" s="351"/>
      <c r="S233" s="352"/>
      <c r="T233" s="350"/>
      <c r="U233" s="99"/>
      <c r="V233" s="99"/>
      <c r="W233" s="351"/>
      <c r="X233" s="352"/>
      <c r="Y233" s="350"/>
      <c r="Z233" s="99"/>
      <c r="AA233" s="99"/>
      <c r="AB233" s="351"/>
      <c r="AC233" s="352"/>
      <c r="AD233" s="350"/>
      <c r="AE233" s="99"/>
      <c r="AF233" s="99"/>
      <c r="AG233" s="351"/>
      <c r="AH233" s="352"/>
      <c r="AI233" s="350"/>
      <c r="AJ233" s="99"/>
      <c r="AK233" s="99"/>
      <c r="AL233" s="351"/>
      <c r="AM233" s="352"/>
      <c r="AN233" s="350"/>
      <c r="AO233" s="99"/>
      <c r="AP233" s="99"/>
      <c r="AQ233" s="351"/>
      <c r="AR233" s="352"/>
      <c r="AS233" s="350"/>
      <c r="AT233" s="99"/>
      <c r="AU233" s="99"/>
      <c r="AV233" s="351"/>
      <c r="AW233" s="352"/>
      <c r="AX233" s="350"/>
      <c r="AY233" s="99"/>
      <c r="AZ233" s="99"/>
      <c r="BA233" s="351"/>
      <c r="BB233" s="352"/>
      <c r="BC233" s="350"/>
      <c r="BD233" s="99"/>
      <c r="BE233" s="99"/>
      <c r="BF233" s="351"/>
      <c r="BG233" s="352"/>
      <c r="BH233" s="350"/>
      <c r="BI233" s="99"/>
      <c r="BJ233" s="99"/>
      <c r="BK233" s="351"/>
      <c r="BL233" s="352"/>
      <c r="BM233" s="350"/>
      <c r="BN233" s="99"/>
      <c r="BO233" s="99"/>
      <c r="BP233" s="351"/>
      <c r="BQ233" s="352"/>
    </row>
    <row r="234" spans="1:77">
      <c r="A234" s="92"/>
      <c r="B234" s="87"/>
      <c r="C234" s="87" t="s">
        <v>49</v>
      </c>
      <c r="D234" s="87"/>
      <c r="E234" s="374"/>
      <c r="F234" s="375"/>
      <c r="G234" s="375"/>
      <c r="H234" s="372"/>
      <c r="I234" s="373">
        <f>(I217+I221)/I221</f>
        <v>3.0262167689161554</v>
      </c>
      <c r="J234" s="374"/>
      <c r="K234" s="375"/>
      <c r="L234" s="375"/>
      <c r="M234" s="372"/>
      <c r="N234" s="373">
        <f>(N217+N221)/N221</f>
        <v>3.3122366863905328</v>
      </c>
      <c r="O234" s="374"/>
      <c r="P234" s="375"/>
      <c r="Q234" s="375"/>
      <c r="R234" s="372"/>
      <c r="S234" s="373">
        <f>(S217+S221)/S221</f>
        <v>3.4975992063492063</v>
      </c>
      <c r="T234" s="374"/>
      <c r="U234" s="375"/>
      <c r="V234" s="375"/>
      <c r="W234" s="372"/>
      <c r="X234" s="373">
        <f>(X217+X221)/X221</f>
        <v>3.5134865134865136</v>
      </c>
      <c r="Y234" s="374"/>
      <c r="Z234" s="375"/>
      <c r="AA234" s="375"/>
      <c r="AB234" s="372"/>
      <c r="AC234" s="373">
        <f>(AC217+AC221)/AC221</f>
        <v>3.6738949921259842</v>
      </c>
      <c r="AD234" s="374"/>
      <c r="AE234" s="375"/>
      <c r="AF234" s="375"/>
      <c r="AG234" s="372"/>
      <c r="AH234" s="373">
        <f>(AH217+AH221)/AH221</f>
        <v>3.3402474818266543</v>
      </c>
      <c r="AI234" s="374"/>
      <c r="AJ234" s="375"/>
      <c r="AK234" s="375"/>
      <c r="AL234" s="372"/>
      <c r="AM234" s="373">
        <f>(AM217+AM221)/AM221</f>
        <v>3.3340554542925798</v>
      </c>
      <c r="AN234" s="374"/>
      <c r="AO234" s="375"/>
      <c r="AP234" s="375"/>
      <c r="AQ234" s="372"/>
      <c r="AR234" s="373">
        <f>(AR217+AR221)/AR221</f>
        <v>3.3040234085880589</v>
      </c>
      <c r="AS234" s="374"/>
      <c r="AT234" s="375"/>
      <c r="AU234" s="375"/>
      <c r="AV234" s="372"/>
      <c r="AW234" s="373">
        <f>(AW217+AW221)/AW221</f>
        <v>3.3291491818747674</v>
      </c>
      <c r="AX234" s="374"/>
      <c r="AY234" s="375"/>
      <c r="AZ234" s="375"/>
      <c r="BA234" s="372"/>
      <c r="BB234" s="373">
        <f>(BB217+BB221)/BB221</f>
        <v>3.1728105585965776</v>
      </c>
      <c r="BC234" s="374"/>
      <c r="BD234" s="375"/>
      <c r="BE234" s="375"/>
      <c r="BF234" s="372"/>
      <c r="BG234" s="373">
        <f>(BG217+BG221)/BG221</f>
        <v>3.3230263551003691</v>
      </c>
      <c r="BH234" s="374"/>
      <c r="BI234" s="375"/>
      <c r="BJ234" s="375"/>
      <c r="BK234" s="372"/>
      <c r="BL234" s="373">
        <f>(BL217+BL221)/BL221</f>
        <v>3.2907915822384486</v>
      </c>
      <c r="BM234" s="374"/>
      <c r="BN234" s="375"/>
      <c r="BO234" s="375"/>
      <c r="BP234" s="372"/>
      <c r="BQ234" s="373">
        <f>(BQ217+BQ221)/BQ221</f>
        <v>3.4224945109899916</v>
      </c>
    </row>
    <row r="235" spans="1:77">
      <c r="A235" s="92"/>
      <c r="B235" s="87"/>
      <c r="C235" s="87" t="s">
        <v>50</v>
      </c>
      <c r="D235" s="87"/>
      <c r="E235" s="374"/>
      <c r="F235" s="375"/>
      <c r="G235" s="375"/>
      <c r="H235" s="372"/>
      <c r="I235" s="373">
        <f>I219/I221</f>
        <v>2.0552147239263805</v>
      </c>
      <c r="J235" s="374"/>
      <c r="K235" s="375"/>
      <c r="L235" s="375"/>
      <c r="M235" s="372"/>
      <c r="N235" s="373">
        <f>N219/N221</f>
        <v>2.7467455621301777</v>
      </c>
      <c r="O235" s="374"/>
      <c r="P235" s="375"/>
      <c r="Q235" s="375"/>
      <c r="R235" s="372"/>
      <c r="S235" s="373">
        <f>S219/S221</f>
        <v>2.4533730158730158</v>
      </c>
      <c r="T235" s="374"/>
      <c r="U235" s="375"/>
      <c r="V235" s="375"/>
      <c r="W235" s="372"/>
      <c r="X235" s="373">
        <f>X219/X221</f>
        <v>2.4075924075924076</v>
      </c>
      <c r="Y235" s="374"/>
      <c r="Z235" s="375"/>
      <c r="AA235" s="375"/>
      <c r="AB235" s="372"/>
      <c r="AC235" s="373">
        <f>AC219/AC221</f>
        <v>2.1122047244094486</v>
      </c>
      <c r="AD235" s="374"/>
      <c r="AE235" s="375"/>
      <c r="AF235" s="375"/>
      <c r="AG235" s="372"/>
      <c r="AH235" s="373">
        <f>AH219/AH221</f>
        <v>1.7679403541472507</v>
      </c>
      <c r="AI235" s="374"/>
      <c r="AJ235" s="375"/>
      <c r="AK235" s="375"/>
      <c r="AL235" s="372"/>
      <c r="AM235" s="373">
        <f>AM219/AM221</f>
        <v>2.2756183745583041</v>
      </c>
      <c r="AN235" s="374"/>
      <c r="AO235" s="375"/>
      <c r="AP235" s="375"/>
      <c r="AQ235" s="372"/>
      <c r="AR235" s="373">
        <f>AR219/AR221</f>
        <v>2.2039757994814173</v>
      </c>
      <c r="AS235" s="374"/>
      <c r="AT235" s="375"/>
      <c r="AU235" s="375"/>
      <c r="AV235" s="372"/>
      <c r="AW235" s="373">
        <f>AW219/AW221</f>
        <v>2.3081494057724958</v>
      </c>
      <c r="AX235" s="374"/>
      <c r="AY235" s="375"/>
      <c r="AZ235" s="375"/>
      <c r="BA235" s="372"/>
      <c r="BB235" s="373">
        <f>BB219/BB221</f>
        <v>2.1636414113550808</v>
      </c>
      <c r="BC235" s="374"/>
      <c r="BD235" s="375"/>
      <c r="BE235" s="375"/>
      <c r="BF235" s="372"/>
      <c r="BG235" s="373">
        <f>BG219/BG221</f>
        <v>2.1544853731674092</v>
      </c>
      <c r="BH235" s="374"/>
      <c r="BI235" s="375"/>
      <c r="BJ235" s="375"/>
      <c r="BK235" s="372"/>
      <c r="BL235" s="373">
        <f>BL219/BL221</f>
        <v>2.02336827366896</v>
      </c>
      <c r="BM235" s="374"/>
      <c r="BN235" s="375"/>
      <c r="BO235" s="375"/>
      <c r="BP235" s="372"/>
      <c r="BQ235" s="373">
        <f>BQ219/BQ221</f>
        <v>2.2026209009810627</v>
      </c>
    </row>
    <row r="236" spans="1:77">
      <c r="A236" s="92"/>
      <c r="B236" s="89"/>
      <c r="C236" s="89"/>
      <c r="D236" s="166"/>
      <c r="E236" s="806"/>
      <c r="F236" s="804"/>
      <c r="G236" s="804"/>
      <c r="H236" s="805"/>
      <c r="I236" s="21"/>
      <c r="J236" s="806"/>
      <c r="K236" s="804"/>
      <c r="L236" s="804"/>
      <c r="M236" s="805"/>
      <c r="N236" s="21"/>
      <c r="O236" s="806"/>
      <c r="P236" s="804"/>
      <c r="Q236" s="804"/>
      <c r="R236" s="805"/>
      <c r="S236" s="21"/>
      <c r="T236" s="806"/>
      <c r="U236" s="804"/>
      <c r="V236" s="804"/>
      <c r="W236" s="805"/>
      <c r="X236" s="166"/>
      <c r="Y236" s="806"/>
      <c r="Z236" s="804"/>
      <c r="AA236" s="804"/>
      <c r="AB236" s="805"/>
      <c r="AC236" s="166"/>
      <c r="AD236" s="806"/>
      <c r="AE236" s="804"/>
      <c r="AF236" s="804"/>
      <c r="AG236" s="805"/>
      <c r="AH236" s="166"/>
      <c r="AI236" s="806"/>
      <c r="AJ236" s="804"/>
      <c r="AK236" s="804"/>
      <c r="AL236" s="805"/>
      <c r="AM236" s="166"/>
      <c r="AN236" s="806"/>
      <c r="AO236" s="804"/>
      <c r="AP236" s="804"/>
      <c r="AQ236" s="805"/>
      <c r="AR236" s="166"/>
      <c r="AS236" s="806"/>
      <c r="AT236" s="804"/>
      <c r="AU236" s="804"/>
      <c r="AV236" s="805"/>
      <c r="AW236" s="166"/>
      <c r="AX236" s="806"/>
      <c r="AY236" s="804"/>
      <c r="AZ236" s="804"/>
      <c r="BA236" s="805"/>
      <c r="BB236" s="166"/>
      <c r="BC236" s="806"/>
      <c r="BD236" s="804"/>
      <c r="BE236" s="804"/>
      <c r="BF236" s="805"/>
      <c r="BG236" s="166"/>
      <c r="BH236" s="806"/>
      <c r="BI236" s="804"/>
      <c r="BJ236" s="804"/>
      <c r="BK236" s="805"/>
      <c r="BL236" s="166"/>
      <c r="BM236" s="806"/>
      <c r="BN236" s="804"/>
      <c r="BO236" s="804"/>
      <c r="BP236" s="805"/>
      <c r="BQ236" s="166"/>
    </row>
    <row r="237" spans="1:77" s="92" customFormat="1">
      <c r="B237" s="89"/>
      <c r="C237" s="89"/>
      <c r="D237" s="166"/>
      <c r="E237" s="166"/>
      <c r="F237" s="166"/>
      <c r="G237" s="166"/>
      <c r="H237" s="166"/>
      <c r="I237" s="166"/>
      <c r="J237" s="166"/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  <c r="AO237" s="166"/>
      <c r="AP237" s="166"/>
      <c r="AQ237" s="166"/>
      <c r="AR237" s="166"/>
      <c r="AS237" s="166"/>
      <c r="AT237" s="166"/>
      <c r="AU237" s="166"/>
      <c r="AV237" s="166"/>
      <c r="AW237" s="166"/>
      <c r="AX237" s="166"/>
      <c r="AY237" s="166"/>
      <c r="AZ237" s="166"/>
      <c r="BA237" s="166"/>
      <c r="BB237" s="166"/>
      <c r="BC237" s="166"/>
      <c r="BD237" s="166"/>
      <c r="BE237" s="166"/>
      <c r="BF237" s="166"/>
      <c r="BG237" s="166"/>
      <c r="BH237" s="166"/>
      <c r="BI237" s="166"/>
      <c r="BJ237" s="166"/>
      <c r="BK237" s="166"/>
      <c r="BL237" s="166"/>
      <c r="BM237" s="166"/>
      <c r="BN237" s="166"/>
      <c r="BO237" s="166"/>
      <c r="BP237" s="166"/>
      <c r="BQ237" s="166"/>
      <c r="BT237"/>
      <c r="BU237"/>
      <c r="BV237"/>
      <c r="BW237"/>
      <c r="BX237"/>
      <c r="BY237"/>
    </row>
    <row r="238" spans="1:77" s="92" customFormat="1">
      <c r="B238" s="89"/>
      <c r="C238" s="89"/>
      <c r="D238" s="166"/>
      <c r="E238" s="166"/>
      <c r="F238" s="166"/>
      <c r="G238" s="166"/>
      <c r="H238" s="166"/>
      <c r="I238" s="166"/>
      <c r="J238" s="166"/>
      <c r="K238" s="166"/>
      <c r="L238" s="166"/>
      <c r="M238" s="166"/>
      <c r="N238" s="166"/>
      <c r="O238" s="166"/>
      <c r="P238" s="166"/>
      <c r="Q238" s="166"/>
      <c r="R238" s="166"/>
      <c r="S238" s="166"/>
      <c r="T238" s="166"/>
      <c r="U238" s="166"/>
      <c r="V238" s="166"/>
      <c r="W238" s="166"/>
      <c r="X238" s="166"/>
      <c r="Y238" s="166"/>
      <c r="Z238" s="166"/>
      <c r="AA238" s="166"/>
      <c r="AB238" s="166"/>
      <c r="AC238" s="166"/>
      <c r="AD238" s="166"/>
      <c r="AE238" s="166"/>
      <c r="AF238" s="166"/>
      <c r="AG238" s="166"/>
      <c r="AH238" s="166"/>
      <c r="AI238" s="166"/>
      <c r="AJ238" s="166"/>
      <c r="AK238" s="166"/>
      <c r="AL238" s="166"/>
      <c r="AM238" s="166"/>
      <c r="AN238" s="166"/>
      <c r="AO238" s="166"/>
      <c r="AP238" s="166"/>
      <c r="AQ238" s="166"/>
      <c r="AR238" s="166"/>
      <c r="AS238" s="166"/>
      <c r="AT238" s="166"/>
      <c r="AU238" s="166"/>
      <c r="AV238" s="166"/>
      <c r="AW238" s="166"/>
      <c r="AX238" s="166"/>
      <c r="AY238" s="166"/>
      <c r="AZ238" s="166"/>
      <c r="BA238" s="166"/>
      <c r="BB238" s="166"/>
      <c r="BC238" s="166"/>
      <c r="BD238" s="166"/>
      <c r="BE238" s="166"/>
      <c r="BF238" s="166"/>
      <c r="BG238" s="166"/>
      <c r="BH238" s="166"/>
      <c r="BI238" s="166"/>
      <c r="BJ238" s="166"/>
      <c r="BK238" s="166"/>
      <c r="BL238" s="166"/>
      <c r="BM238" s="166"/>
      <c r="BN238" s="166"/>
      <c r="BO238" s="166"/>
      <c r="BP238" s="166"/>
      <c r="BQ238" s="166"/>
      <c r="BT238"/>
      <c r="BU238"/>
      <c r="BV238"/>
      <c r="BW238"/>
      <c r="BX238"/>
      <c r="BY238"/>
    </row>
    <row r="239" spans="1:77" s="92" customFormat="1">
      <c r="B239" s="89"/>
      <c r="C239" s="89"/>
      <c r="D239" s="166"/>
      <c r="E239" s="166"/>
      <c r="F239" s="166"/>
      <c r="G239" s="166"/>
      <c r="H239" s="166"/>
      <c r="I239" s="166"/>
      <c r="J239" s="166"/>
      <c r="K239" s="166"/>
      <c r="L239" s="166"/>
      <c r="M239" s="166"/>
      <c r="N239" s="166"/>
      <c r="O239" s="166"/>
      <c r="P239" s="166"/>
      <c r="Q239" s="166"/>
      <c r="R239" s="166"/>
      <c r="S239" s="166"/>
      <c r="T239" s="166"/>
      <c r="U239" s="166"/>
      <c r="V239" s="166"/>
      <c r="W239" s="166"/>
      <c r="X239" s="166"/>
      <c r="Y239" s="166"/>
      <c r="Z239" s="166"/>
      <c r="AA239" s="166"/>
      <c r="AB239" s="166"/>
      <c r="AC239" s="166"/>
      <c r="AD239" s="166"/>
      <c r="AE239" s="166"/>
      <c r="AF239" s="166"/>
      <c r="AG239" s="166"/>
      <c r="AH239" s="166"/>
      <c r="AI239" s="166"/>
      <c r="AJ239" s="166"/>
      <c r="AK239" s="166"/>
      <c r="AL239" s="166"/>
      <c r="AM239" s="166"/>
      <c r="AN239" s="166"/>
      <c r="AO239" s="166"/>
      <c r="AP239" s="166"/>
      <c r="AQ239" s="166"/>
      <c r="AR239" s="166"/>
      <c r="AS239" s="166"/>
      <c r="AT239" s="166"/>
      <c r="AU239" s="166"/>
      <c r="AV239" s="166"/>
      <c r="AW239" s="166"/>
      <c r="AX239" s="166"/>
      <c r="AY239" s="166"/>
      <c r="AZ239" s="166"/>
      <c r="BA239" s="166"/>
      <c r="BB239" s="166"/>
      <c r="BC239" s="166"/>
      <c r="BD239" s="166"/>
      <c r="BE239" s="166"/>
      <c r="BF239" s="166"/>
      <c r="BG239" s="166"/>
      <c r="BH239" s="166"/>
      <c r="BI239" s="166"/>
      <c r="BJ239" s="166"/>
      <c r="BK239" s="166"/>
      <c r="BL239" s="166"/>
      <c r="BM239" s="166"/>
      <c r="BN239" s="166"/>
      <c r="BO239" s="166"/>
      <c r="BP239" s="166"/>
      <c r="BQ239" s="166"/>
      <c r="BT239"/>
      <c r="BU239"/>
      <c r="BV239"/>
      <c r="BW239"/>
      <c r="BX239"/>
      <c r="BY239"/>
    </row>
    <row r="240" spans="1:77" s="92" customFormat="1">
      <c r="B240" s="89"/>
      <c r="C240" s="89"/>
      <c r="D240" s="166"/>
      <c r="E240" s="166"/>
      <c r="F240" s="166"/>
      <c r="G240" s="166"/>
      <c r="H240" s="166"/>
      <c r="I240" s="166"/>
      <c r="J240" s="166"/>
      <c r="K240" s="166"/>
      <c r="L240" s="166"/>
      <c r="M240" s="166"/>
      <c r="N240" s="166"/>
      <c r="O240" s="166"/>
      <c r="P240" s="166"/>
      <c r="Q240" s="166"/>
      <c r="R240" s="166"/>
      <c r="S240" s="166"/>
      <c r="T240" s="166"/>
      <c r="U240" s="166"/>
      <c r="V240" s="166"/>
      <c r="W240" s="166"/>
      <c r="X240" s="166"/>
      <c r="Y240" s="166"/>
      <c r="Z240" s="166"/>
      <c r="AA240" s="166"/>
      <c r="AB240" s="166"/>
      <c r="AC240" s="166"/>
      <c r="AD240" s="166"/>
      <c r="AE240" s="166"/>
      <c r="AF240" s="166"/>
      <c r="AG240" s="166"/>
      <c r="AH240" s="166"/>
      <c r="AI240" s="166"/>
      <c r="AJ240" s="166"/>
      <c r="AK240" s="166"/>
      <c r="AL240" s="166"/>
      <c r="AM240" s="166"/>
      <c r="AN240" s="166"/>
      <c r="AO240" s="166"/>
      <c r="AP240" s="166"/>
      <c r="AQ240" s="166"/>
      <c r="AR240" s="166"/>
      <c r="AS240" s="166"/>
      <c r="AT240" s="166"/>
      <c r="AU240" s="166"/>
      <c r="AV240" s="166"/>
      <c r="AW240" s="166"/>
      <c r="AX240" s="166"/>
      <c r="AY240" s="166"/>
      <c r="AZ240" s="166"/>
      <c r="BA240" s="166"/>
      <c r="BB240" s="166"/>
      <c r="BC240" s="166"/>
      <c r="BD240" s="166"/>
      <c r="BE240" s="166"/>
      <c r="BF240" s="166"/>
      <c r="BG240" s="166"/>
      <c r="BH240" s="166"/>
      <c r="BI240" s="166"/>
      <c r="BJ240" s="166"/>
      <c r="BK240" s="166"/>
      <c r="BL240" s="166"/>
      <c r="BM240" s="166"/>
      <c r="BN240" s="166"/>
      <c r="BO240" s="166"/>
      <c r="BP240" s="166"/>
      <c r="BQ240" s="166"/>
      <c r="BT240"/>
      <c r="BU240"/>
      <c r="BV240"/>
      <c r="BW240"/>
      <c r="BX240"/>
      <c r="BY240"/>
    </row>
    <row r="242" spans="2:77" s="92" customFormat="1">
      <c r="BT242"/>
      <c r="BU242"/>
      <c r="BV242"/>
      <c r="BW242"/>
      <c r="BX242"/>
      <c r="BY242"/>
    </row>
    <row r="243" spans="2:77">
      <c r="B243" s="126" t="s">
        <v>418</v>
      </c>
      <c r="C243" s="127"/>
      <c r="D243" s="128"/>
    </row>
    <row r="244" spans="2:77">
      <c r="C244" s="87" t="s">
        <v>347</v>
      </c>
      <c r="E244" s="17">
        <f>I244</f>
        <v>0.39488409272581937</v>
      </c>
      <c r="F244" s="17">
        <f>I244</f>
        <v>0.39488409272581937</v>
      </c>
      <c r="G244" s="17">
        <f>I244</f>
        <v>0.39488409272581937</v>
      </c>
      <c r="H244" s="17">
        <f>I244</f>
        <v>0.39488409272581937</v>
      </c>
      <c r="I244" s="336">
        <f>(438+56)/1251</f>
        <v>0.39488409272581937</v>
      </c>
      <c r="J244" s="17">
        <f>N244</f>
        <v>0.38230647709320698</v>
      </c>
      <c r="K244" s="17">
        <f>N244</f>
        <v>0.38230647709320698</v>
      </c>
      <c r="L244" s="17">
        <f>N244</f>
        <v>0.38230647709320698</v>
      </c>
      <c r="M244" s="17">
        <f>N244</f>
        <v>0.38230647709320698</v>
      </c>
      <c r="N244" s="336">
        <f>(443+41)/1266</f>
        <v>0.38230647709320698</v>
      </c>
      <c r="O244" s="17">
        <f>S244</f>
        <v>0.36943111720356409</v>
      </c>
      <c r="P244" s="17">
        <f>S244</f>
        <v>0.36943111720356409</v>
      </c>
      <c r="Q244" s="17">
        <f>S244</f>
        <v>0.36943111720356409</v>
      </c>
      <c r="R244" s="17">
        <f>S244</f>
        <v>0.36943111720356409</v>
      </c>
      <c r="S244" s="336">
        <f>(511+28)/1459</f>
        <v>0.36943111720356409</v>
      </c>
      <c r="T244" s="17">
        <f>X244</f>
        <v>0.40211640211640209</v>
      </c>
      <c r="U244" s="17">
        <f>X244</f>
        <v>0.40211640211640209</v>
      </c>
      <c r="V244" s="17">
        <f>X244</f>
        <v>0.40211640211640209</v>
      </c>
      <c r="W244" s="17">
        <f>X244</f>
        <v>0.40211640211640209</v>
      </c>
      <c r="X244" s="336">
        <f>(463+69)/1323</f>
        <v>0.40211640211640209</v>
      </c>
      <c r="Y244" s="17">
        <f>+Z244</f>
        <v>0.36666666666666664</v>
      </c>
      <c r="Z244" s="17">
        <f>+AA244</f>
        <v>0.36666666666666664</v>
      </c>
      <c r="AA244" s="17">
        <f>+AB244</f>
        <v>0.36666666666666664</v>
      </c>
      <c r="AB244" s="17">
        <f>+AC244</f>
        <v>0.36666666666666664</v>
      </c>
      <c r="AC244" s="336">
        <f>(199+10)/570</f>
        <v>0.36666666666666664</v>
      </c>
      <c r="AD244" s="17">
        <f t="shared" ref="AD244:AS244" si="498">AC244</f>
        <v>0.36666666666666664</v>
      </c>
      <c r="AE244" s="17">
        <f t="shared" si="498"/>
        <v>0.36666666666666664</v>
      </c>
      <c r="AF244" s="17">
        <f t="shared" si="498"/>
        <v>0.36666666666666664</v>
      </c>
      <c r="AG244" s="17">
        <f t="shared" si="498"/>
        <v>0.36666666666666664</v>
      </c>
      <c r="AH244" s="17">
        <f t="shared" si="498"/>
        <v>0.36666666666666664</v>
      </c>
      <c r="AI244" s="17">
        <f t="shared" si="498"/>
        <v>0.36666666666666664</v>
      </c>
      <c r="AJ244" s="17">
        <f t="shared" si="498"/>
        <v>0.36666666666666664</v>
      </c>
      <c r="AK244" s="17">
        <f t="shared" si="498"/>
        <v>0.36666666666666664</v>
      </c>
      <c r="AL244" s="17">
        <f t="shared" si="498"/>
        <v>0.36666666666666664</v>
      </c>
      <c r="AM244" s="17">
        <f t="shared" si="498"/>
        <v>0.36666666666666664</v>
      </c>
      <c r="AN244" s="17">
        <f t="shared" si="498"/>
        <v>0.36666666666666664</v>
      </c>
      <c r="AO244" s="17">
        <f t="shared" si="498"/>
        <v>0.36666666666666664</v>
      </c>
      <c r="AP244" s="17">
        <f t="shared" si="498"/>
        <v>0.36666666666666664</v>
      </c>
      <c r="AQ244" s="17">
        <f t="shared" si="498"/>
        <v>0.36666666666666664</v>
      </c>
      <c r="AR244" s="17">
        <f t="shared" si="498"/>
        <v>0.36666666666666664</v>
      </c>
      <c r="AS244" s="17">
        <f t="shared" si="498"/>
        <v>0.36666666666666664</v>
      </c>
      <c r="AT244" s="17">
        <f t="shared" ref="AT244:BB244" si="499">AS244</f>
        <v>0.36666666666666664</v>
      </c>
      <c r="AU244" s="17">
        <f t="shared" si="499"/>
        <v>0.36666666666666664</v>
      </c>
      <c r="AV244" s="17">
        <f t="shared" ref="AV244" si="500">AU244</f>
        <v>0.36666666666666664</v>
      </c>
      <c r="AW244" s="17">
        <f t="shared" ref="AW244" si="501">AV244</f>
        <v>0.36666666666666664</v>
      </c>
      <c r="AX244" s="17">
        <f t="shared" si="499"/>
        <v>0.36666666666666664</v>
      </c>
      <c r="AY244" s="17">
        <f t="shared" si="499"/>
        <v>0.36666666666666664</v>
      </c>
      <c r="AZ244" s="17">
        <f t="shared" si="499"/>
        <v>0.36666666666666664</v>
      </c>
      <c r="BA244" s="17">
        <f t="shared" si="499"/>
        <v>0.36666666666666664</v>
      </c>
      <c r="BB244" s="17">
        <f t="shared" si="499"/>
        <v>0.36666666666666664</v>
      </c>
      <c r="BC244" s="17">
        <f t="shared" ref="BC244:BL244" si="502">BB244</f>
        <v>0.36666666666666664</v>
      </c>
      <c r="BD244" s="17">
        <f t="shared" si="502"/>
        <v>0.36666666666666664</v>
      </c>
      <c r="BE244" s="17">
        <f t="shared" si="502"/>
        <v>0.36666666666666664</v>
      </c>
      <c r="BF244" s="17">
        <f t="shared" si="502"/>
        <v>0.36666666666666664</v>
      </c>
      <c r="BG244" s="17">
        <f t="shared" si="502"/>
        <v>0.36666666666666664</v>
      </c>
      <c r="BH244" s="17">
        <f t="shared" si="502"/>
        <v>0.36666666666666664</v>
      </c>
      <c r="BI244" s="17">
        <f t="shared" si="502"/>
        <v>0.36666666666666664</v>
      </c>
      <c r="BJ244" s="17">
        <f t="shared" si="502"/>
        <v>0.36666666666666664</v>
      </c>
      <c r="BK244" s="17">
        <f t="shared" si="502"/>
        <v>0.36666666666666664</v>
      </c>
      <c r="BL244" s="17">
        <f t="shared" si="502"/>
        <v>0.36666666666666664</v>
      </c>
      <c r="BM244" s="17">
        <f t="shared" ref="BM244" si="503">BL244</f>
        <v>0.36666666666666664</v>
      </c>
      <c r="BN244" s="17">
        <f t="shared" ref="BN244" si="504">BM244</f>
        <v>0.36666666666666664</v>
      </c>
      <c r="BO244" s="17">
        <f t="shared" ref="BO244" si="505">BN244</f>
        <v>0.36666666666666664</v>
      </c>
      <c r="BP244" s="17">
        <f t="shared" ref="BP244" si="506">BO244</f>
        <v>0.36666666666666664</v>
      </c>
      <c r="BQ244" s="17">
        <f t="shared" ref="BQ244" si="507">BP244</f>
        <v>0.36666666666666664</v>
      </c>
    </row>
    <row r="245" spans="2:77" s="81" customFormat="1">
      <c r="C245" s="87" t="s">
        <v>419</v>
      </c>
      <c r="E245" s="81">
        <v>0</v>
      </c>
      <c r="F245" s="81">
        <v>0</v>
      </c>
      <c r="G245" s="81">
        <v>0</v>
      </c>
      <c r="H245" s="81">
        <v>0</v>
      </c>
      <c r="I245" s="81">
        <v>0</v>
      </c>
      <c r="J245" s="81">
        <v>0</v>
      </c>
      <c r="K245" s="81">
        <v>0</v>
      </c>
      <c r="L245" s="81">
        <v>0</v>
      </c>
      <c r="M245" s="81">
        <v>0</v>
      </c>
      <c r="N245" s="81">
        <v>0</v>
      </c>
      <c r="O245" s="81">
        <v>0</v>
      </c>
      <c r="P245" s="81">
        <v>0</v>
      </c>
      <c r="Q245" s="81">
        <v>0</v>
      </c>
      <c r="R245" s="81">
        <v>0</v>
      </c>
      <c r="S245" s="81">
        <v>0</v>
      </c>
      <c r="T245" s="81">
        <v>0</v>
      </c>
      <c r="U245" s="81">
        <v>0</v>
      </c>
      <c r="V245" s="81">
        <v>0</v>
      </c>
      <c r="W245" s="81">
        <v>0</v>
      </c>
      <c r="X245" s="81">
        <v>0</v>
      </c>
      <c r="Y245" s="81">
        <v>0</v>
      </c>
      <c r="Z245" s="81">
        <v>0</v>
      </c>
      <c r="AA245" s="81">
        <v>0</v>
      </c>
      <c r="AB245" s="81">
        <v>0</v>
      </c>
      <c r="AC245" s="81">
        <v>0</v>
      </c>
      <c r="AD245" s="81">
        <v>0</v>
      </c>
      <c r="AE245" s="81">
        <v>0</v>
      </c>
      <c r="AF245" s="81">
        <v>0</v>
      </c>
      <c r="AG245" s="81">
        <v>0</v>
      </c>
      <c r="AH245" s="81">
        <v>0</v>
      </c>
      <c r="AI245" s="81">
        <v>0</v>
      </c>
      <c r="AJ245" s="81">
        <v>0</v>
      </c>
      <c r="AK245" s="81">
        <v>0</v>
      </c>
      <c r="AL245" s="81">
        <v>0</v>
      </c>
      <c r="AM245" s="81">
        <v>0</v>
      </c>
      <c r="AN245" s="81">
        <v>0</v>
      </c>
      <c r="AO245" s="81">
        <v>0</v>
      </c>
      <c r="AP245" s="81">
        <v>0</v>
      </c>
      <c r="AQ245" s="81">
        <v>0</v>
      </c>
      <c r="AR245" s="81">
        <v>0</v>
      </c>
      <c r="AS245" s="81">
        <v>0</v>
      </c>
      <c r="AT245" s="81">
        <v>0</v>
      </c>
      <c r="AU245" s="81">
        <v>0</v>
      </c>
      <c r="AV245" s="81">
        <v>0</v>
      </c>
      <c r="AW245" s="81">
        <v>0</v>
      </c>
      <c r="AX245" s="81">
        <v>0</v>
      </c>
      <c r="AY245" s="81">
        <v>0</v>
      </c>
      <c r="AZ245" s="81">
        <v>0</v>
      </c>
      <c r="BA245" s="81">
        <v>0</v>
      </c>
      <c r="BB245" s="81">
        <v>0</v>
      </c>
      <c r="BC245" s="81">
        <v>0</v>
      </c>
      <c r="BD245" s="81">
        <v>0</v>
      </c>
      <c r="BE245" s="81">
        <v>0</v>
      </c>
      <c r="BF245" s="81">
        <v>0</v>
      </c>
      <c r="BG245" s="81">
        <v>0</v>
      </c>
      <c r="BH245" s="81">
        <v>0</v>
      </c>
      <c r="BI245" s="81">
        <v>0</v>
      </c>
      <c r="BJ245" s="81">
        <v>0</v>
      </c>
      <c r="BK245" s="81">
        <v>0</v>
      </c>
      <c r="BL245" s="81">
        <v>0</v>
      </c>
      <c r="BM245" s="81">
        <v>0</v>
      </c>
      <c r="BN245" s="81">
        <v>0</v>
      </c>
      <c r="BO245" s="81">
        <v>0</v>
      </c>
      <c r="BP245" s="81">
        <v>0</v>
      </c>
      <c r="BQ245" s="81">
        <v>0</v>
      </c>
      <c r="BT245"/>
      <c r="BU245"/>
      <c r="BV245"/>
      <c r="BW245"/>
      <c r="BX245"/>
      <c r="BY245"/>
    </row>
    <row r="246" spans="2:77" s="81" customFormat="1">
      <c r="C246" s="87" t="s">
        <v>346</v>
      </c>
      <c r="E246" s="81">
        <f t="shared" ref="E246:AJ246" si="508">E144</f>
        <v>0</v>
      </c>
      <c r="F246" s="81">
        <f t="shared" si="508"/>
        <v>0</v>
      </c>
      <c r="G246" s="81">
        <f t="shared" si="508"/>
        <v>0</v>
      </c>
      <c r="H246" s="81">
        <f t="shared" si="508"/>
        <v>0</v>
      </c>
      <c r="I246" s="81">
        <f t="shared" si="508"/>
        <v>0</v>
      </c>
      <c r="J246" s="81">
        <f t="shared" si="508"/>
        <v>0</v>
      </c>
      <c r="K246" s="81">
        <f t="shared" si="508"/>
        <v>0</v>
      </c>
      <c r="L246" s="81">
        <f t="shared" si="508"/>
        <v>0</v>
      </c>
      <c r="M246" s="81">
        <f t="shared" si="508"/>
        <v>0</v>
      </c>
      <c r="N246" s="81">
        <f t="shared" si="508"/>
        <v>0</v>
      </c>
      <c r="O246" s="81">
        <f t="shared" si="508"/>
        <v>0</v>
      </c>
      <c r="P246" s="81">
        <f t="shared" si="508"/>
        <v>0</v>
      </c>
      <c r="Q246" s="81">
        <f t="shared" si="508"/>
        <v>0</v>
      </c>
      <c r="R246" s="81">
        <f t="shared" si="508"/>
        <v>0</v>
      </c>
      <c r="S246" s="81">
        <f t="shared" si="508"/>
        <v>0</v>
      </c>
      <c r="T246" s="81">
        <f t="shared" si="508"/>
        <v>0</v>
      </c>
      <c r="U246" s="81">
        <f t="shared" si="508"/>
        <v>0</v>
      </c>
      <c r="V246" s="81">
        <f t="shared" si="508"/>
        <v>0</v>
      </c>
      <c r="W246" s="81">
        <f t="shared" si="508"/>
        <v>0</v>
      </c>
      <c r="X246" s="81">
        <f t="shared" si="508"/>
        <v>0</v>
      </c>
      <c r="Y246" s="81">
        <f t="shared" si="508"/>
        <v>0</v>
      </c>
      <c r="Z246" s="81">
        <f t="shared" si="508"/>
        <v>0</v>
      </c>
      <c r="AA246" s="81">
        <f t="shared" si="508"/>
        <v>0</v>
      </c>
      <c r="AB246" s="81">
        <f t="shared" si="508"/>
        <v>0</v>
      </c>
      <c r="AC246" s="81">
        <f t="shared" si="508"/>
        <v>0</v>
      </c>
      <c r="AD246" s="81">
        <f t="shared" si="508"/>
        <v>0</v>
      </c>
      <c r="AE246" s="81">
        <f t="shared" si="508"/>
        <v>0</v>
      </c>
      <c r="AF246" s="81">
        <f t="shared" si="508"/>
        <v>0</v>
      </c>
      <c r="AG246" s="81">
        <f t="shared" si="508"/>
        <v>0</v>
      </c>
      <c r="AH246" s="81">
        <f t="shared" si="508"/>
        <v>0</v>
      </c>
      <c r="AI246" s="81">
        <f t="shared" si="508"/>
        <v>0</v>
      </c>
      <c r="AJ246" s="81">
        <f t="shared" si="508"/>
        <v>0</v>
      </c>
      <c r="AK246" s="81">
        <f t="shared" ref="AK246:BQ246" si="509">AK144</f>
        <v>0</v>
      </c>
      <c r="AL246" s="81">
        <f t="shared" si="509"/>
        <v>0</v>
      </c>
      <c r="AM246" s="81">
        <f t="shared" si="509"/>
        <v>0</v>
      </c>
      <c r="AN246" s="81">
        <f t="shared" si="509"/>
        <v>0</v>
      </c>
      <c r="AO246" s="81">
        <f t="shared" si="509"/>
        <v>0</v>
      </c>
      <c r="AP246" s="81">
        <f t="shared" si="509"/>
        <v>0</v>
      </c>
      <c r="AQ246" s="81">
        <f t="shared" si="509"/>
        <v>0</v>
      </c>
      <c r="AR246" s="81">
        <f t="shared" si="509"/>
        <v>0</v>
      </c>
      <c r="AS246" s="81">
        <f t="shared" si="509"/>
        <v>0</v>
      </c>
      <c r="AT246" s="81">
        <f t="shared" si="509"/>
        <v>0</v>
      </c>
      <c r="AU246" s="81">
        <f t="shared" si="509"/>
        <v>0</v>
      </c>
      <c r="AV246" s="81">
        <f t="shared" ref="AV246:AW246" si="510">AV144</f>
        <v>0</v>
      </c>
      <c r="AW246" s="81">
        <f t="shared" si="510"/>
        <v>0</v>
      </c>
      <c r="AX246" s="81">
        <f t="shared" si="509"/>
        <v>850</v>
      </c>
      <c r="AY246" s="81">
        <f t="shared" si="509"/>
        <v>0</v>
      </c>
      <c r="AZ246" s="81">
        <f t="shared" si="509"/>
        <v>100</v>
      </c>
      <c r="BA246" s="81">
        <f t="shared" si="509"/>
        <v>0</v>
      </c>
      <c r="BB246" s="81">
        <f t="shared" si="509"/>
        <v>950</v>
      </c>
      <c r="BC246" s="81">
        <f t="shared" si="509"/>
        <v>0</v>
      </c>
      <c r="BD246" s="81">
        <f t="shared" si="509"/>
        <v>0</v>
      </c>
      <c r="BE246" s="81">
        <f t="shared" si="509"/>
        <v>1620</v>
      </c>
      <c r="BF246" s="81">
        <f t="shared" si="509"/>
        <v>100</v>
      </c>
      <c r="BG246" s="81">
        <f t="shared" si="509"/>
        <v>1720</v>
      </c>
      <c r="BH246" s="81">
        <f t="shared" si="509"/>
        <v>25</v>
      </c>
      <c r="BI246" s="81">
        <f t="shared" si="509"/>
        <v>25</v>
      </c>
      <c r="BJ246" s="81">
        <f t="shared" si="509"/>
        <v>25</v>
      </c>
      <c r="BK246" s="81">
        <f t="shared" si="509"/>
        <v>25</v>
      </c>
      <c r="BL246" s="81">
        <f t="shared" si="509"/>
        <v>100</v>
      </c>
      <c r="BM246" s="81">
        <f t="shared" si="509"/>
        <v>21.5625</v>
      </c>
      <c r="BN246" s="81">
        <f t="shared" si="509"/>
        <v>21.5625</v>
      </c>
      <c r="BO246" s="81">
        <f t="shared" si="509"/>
        <v>21.5625</v>
      </c>
      <c r="BP246" s="81">
        <f t="shared" si="509"/>
        <v>21.5625</v>
      </c>
      <c r="BQ246" s="81">
        <f t="shared" si="509"/>
        <v>86.25</v>
      </c>
      <c r="BT246"/>
      <c r="BU246"/>
      <c r="BV246"/>
      <c r="BW246"/>
      <c r="BX246"/>
      <c r="BY246"/>
    </row>
    <row r="247" spans="2:77" s="81" customFormat="1">
      <c r="C247" s="87" t="s">
        <v>420</v>
      </c>
      <c r="E247" s="81">
        <f t="shared" ref="E247:AJ247" si="511">-E145</f>
        <v>168</v>
      </c>
      <c r="F247" s="81">
        <f t="shared" si="511"/>
        <v>167</v>
      </c>
      <c r="G247" s="81">
        <f t="shared" si="511"/>
        <v>168</v>
      </c>
      <c r="H247" s="81">
        <f t="shared" si="511"/>
        <v>167</v>
      </c>
      <c r="I247" s="81">
        <f t="shared" si="511"/>
        <v>670</v>
      </c>
      <c r="J247" s="81">
        <f t="shared" si="511"/>
        <v>168</v>
      </c>
      <c r="K247" s="81">
        <f t="shared" si="511"/>
        <v>167</v>
      </c>
      <c r="L247" s="81">
        <f t="shared" si="511"/>
        <v>168</v>
      </c>
      <c r="M247" s="81">
        <f t="shared" si="511"/>
        <v>167</v>
      </c>
      <c r="N247" s="81">
        <f t="shared" si="511"/>
        <v>670</v>
      </c>
      <c r="O247" s="81">
        <f t="shared" si="511"/>
        <v>190</v>
      </c>
      <c r="P247" s="81">
        <f t="shared" si="511"/>
        <v>230</v>
      </c>
      <c r="Q247" s="81">
        <f t="shared" si="511"/>
        <v>231</v>
      </c>
      <c r="R247" s="81">
        <f t="shared" si="511"/>
        <v>230</v>
      </c>
      <c r="S247" s="81">
        <f t="shared" si="511"/>
        <v>881</v>
      </c>
      <c r="T247" s="81">
        <f t="shared" si="511"/>
        <v>230</v>
      </c>
      <c r="U247" s="81">
        <f t="shared" si="511"/>
        <v>230</v>
      </c>
      <c r="V247" s="81">
        <f t="shared" si="511"/>
        <v>230</v>
      </c>
      <c r="W247" s="81">
        <f t="shared" si="511"/>
        <v>230</v>
      </c>
      <c r="X247" s="81">
        <f t="shared" si="511"/>
        <v>920</v>
      </c>
      <c r="Y247" s="81">
        <f t="shared" si="511"/>
        <v>230</v>
      </c>
      <c r="Z247" s="81">
        <f t="shared" si="511"/>
        <v>230</v>
      </c>
      <c r="AA247" s="81">
        <f t="shared" si="511"/>
        <v>230</v>
      </c>
      <c r="AB247" s="81">
        <f t="shared" si="511"/>
        <v>230</v>
      </c>
      <c r="AC247" s="81">
        <f t="shared" si="511"/>
        <v>920</v>
      </c>
      <c r="AD247" s="81">
        <f t="shared" si="511"/>
        <v>151</v>
      </c>
      <c r="AE247" s="81">
        <f t="shared" si="511"/>
        <v>151</v>
      </c>
      <c r="AF247" s="81">
        <f t="shared" si="511"/>
        <v>150</v>
      </c>
      <c r="AG247" s="81">
        <f t="shared" si="511"/>
        <v>152</v>
      </c>
      <c r="AH247" s="81">
        <f t="shared" si="511"/>
        <v>604</v>
      </c>
      <c r="AI247" s="81">
        <f t="shared" si="511"/>
        <v>152</v>
      </c>
      <c r="AJ247" s="81">
        <f t="shared" si="511"/>
        <v>151</v>
      </c>
      <c r="AK247" s="81">
        <f t="shared" ref="AK247:BQ247" si="512">-AK145</f>
        <v>152</v>
      </c>
      <c r="AL247" s="81">
        <f t="shared" si="512"/>
        <v>152</v>
      </c>
      <c r="AM247" s="81">
        <f t="shared" si="512"/>
        <v>607</v>
      </c>
      <c r="AN247" s="81">
        <f t="shared" si="512"/>
        <v>152</v>
      </c>
      <c r="AO247" s="81">
        <f t="shared" si="512"/>
        <v>153</v>
      </c>
      <c r="AP247" s="81">
        <f t="shared" si="512"/>
        <v>153</v>
      </c>
      <c r="AQ247" s="81">
        <f t="shared" si="512"/>
        <v>153</v>
      </c>
      <c r="AR247" s="81">
        <f t="shared" si="512"/>
        <v>611</v>
      </c>
      <c r="AS247" s="81">
        <f t="shared" si="512"/>
        <v>159</v>
      </c>
      <c r="AT247" s="81">
        <f t="shared" si="512"/>
        <v>160</v>
      </c>
      <c r="AU247" s="81">
        <f t="shared" si="512"/>
        <v>159</v>
      </c>
      <c r="AV247" s="81">
        <f t="shared" ref="AV247:AW247" si="513">-AV145</f>
        <v>161</v>
      </c>
      <c r="AW247" s="81">
        <f t="shared" si="513"/>
        <v>639</v>
      </c>
      <c r="AX247" s="81">
        <f t="shared" si="512"/>
        <v>165.74196670698797</v>
      </c>
      <c r="AY247" s="81">
        <f t="shared" si="512"/>
        <v>171.16365345397591</v>
      </c>
      <c r="AZ247" s="81">
        <f t="shared" si="512"/>
        <v>171.68539258441066</v>
      </c>
      <c r="BA247" s="81">
        <f t="shared" si="512"/>
        <v>172.20713171484542</v>
      </c>
      <c r="BB247" s="81">
        <f t="shared" si="512"/>
        <v>680.79814446021999</v>
      </c>
      <c r="BC247" s="81">
        <f t="shared" si="512"/>
        <v>172.20713171484547</v>
      </c>
      <c r="BD247" s="81">
        <f t="shared" si="512"/>
        <v>172.20713171484547</v>
      </c>
      <c r="BE247" s="81">
        <f t="shared" si="512"/>
        <v>182.841705019003</v>
      </c>
      <c r="BF247" s="81">
        <f t="shared" si="512"/>
        <v>193.99801745359528</v>
      </c>
      <c r="BG247" s="81">
        <f t="shared" si="512"/>
        <v>721.25398590228917</v>
      </c>
      <c r="BH247" s="81">
        <f t="shared" si="512"/>
        <v>194.65019136663881</v>
      </c>
      <c r="BI247" s="81">
        <f t="shared" si="512"/>
        <v>194.91106093185613</v>
      </c>
      <c r="BJ247" s="81">
        <f t="shared" si="512"/>
        <v>195.17193049707356</v>
      </c>
      <c r="BK247" s="81">
        <f t="shared" si="512"/>
        <v>195.43280006229082</v>
      </c>
      <c r="BL247" s="81">
        <f t="shared" si="512"/>
        <v>780.16598285785926</v>
      </c>
      <c r="BM247" s="81">
        <f t="shared" si="512"/>
        <v>195.67573484489961</v>
      </c>
      <c r="BN247" s="81">
        <f t="shared" si="512"/>
        <v>195.9007348448996</v>
      </c>
      <c r="BO247" s="81">
        <f t="shared" si="512"/>
        <v>196.1257348448996</v>
      </c>
      <c r="BP247" s="81">
        <f t="shared" si="512"/>
        <v>196.35073484489953</v>
      </c>
      <c r="BQ247" s="81">
        <f t="shared" si="512"/>
        <v>784.05293937959834</v>
      </c>
      <c r="BT247"/>
      <c r="BU247"/>
      <c r="BV247"/>
      <c r="BW247"/>
      <c r="BX247"/>
      <c r="BY247"/>
    </row>
    <row r="248" spans="2:77" s="81" customFormat="1">
      <c r="C248" s="1588" t="s">
        <v>179</v>
      </c>
      <c r="E248" s="81">
        <f t="shared" ref="E248:AJ248" si="514">+E43+E40</f>
        <v>191.52000000000004</v>
      </c>
      <c r="F248" s="81">
        <f t="shared" si="514"/>
        <v>-148.96</v>
      </c>
      <c r="G248" s="81">
        <f t="shared" si="514"/>
        <v>103.35999999999999</v>
      </c>
      <c r="H248" s="81">
        <f t="shared" si="514"/>
        <v>206.71999999999997</v>
      </c>
      <c r="I248" s="81">
        <f t="shared" si="514"/>
        <v>352.64</v>
      </c>
      <c r="J248" s="81">
        <f t="shared" si="514"/>
        <v>91.2</v>
      </c>
      <c r="K248" s="81">
        <f t="shared" si="514"/>
        <v>-15.200000000000003</v>
      </c>
      <c r="L248" s="81">
        <f t="shared" si="514"/>
        <v>209.76</v>
      </c>
      <c r="M248" s="81">
        <f t="shared" si="514"/>
        <v>158.07999999999998</v>
      </c>
      <c r="N248" s="81">
        <f t="shared" si="514"/>
        <v>443.84</v>
      </c>
      <c r="O248" s="81">
        <f t="shared" si="514"/>
        <v>206</v>
      </c>
      <c r="P248" s="81">
        <f t="shared" si="514"/>
        <v>88</v>
      </c>
      <c r="Q248" s="81">
        <f t="shared" si="514"/>
        <v>50</v>
      </c>
      <c r="R248" s="81">
        <f t="shared" si="514"/>
        <v>222.58000000000004</v>
      </c>
      <c r="S248" s="81">
        <f t="shared" si="514"/>
        <v>566.58000000000004</v>
      </c>
      <c r="T248" s="81">
        <f t="shared" si="514"/>
        <v>38</v>
      </c>
      <c r="U248" s="81">
        <f t="shared" si="514"/>
        <v>62</v>
      </c>
      <c r="V248" s="81">
        <f t="shared" si="514"/>
        <v>41</v>
      </c>
      <c r="W248" s="81">
        <f t="shared" si="514"/>
        <v>481</v>
      </c>
      <c r="X248" s="81">
        <f t="shared" si="514"/>
        <v>622</v>
      </c>
      <c r="Y248" s="81">
        <f t="shared" si="514"/>
        <v>121</v>
      </c>
      <c r="Z248" s="81">
        <f t="shared" si="514"/>
        <v>411</v>
      </c>
      <c r="AA248" s="81">
        <f t="shared" si="514"/>
        <v>181</v>
      </c>
      <c r="AB248" s="81">
        <f t="shared" si="514"/>
        <v>182</v>
      </c>
      <c r="AC248" s="81">
        <f t="shared" si="514"/>
        <v>895</v>
      </c>
      <c r="AD248" s="81">
        <f t="shared" si="514"/>
        <v>40</v>
      </c>
      <c r="AE248" s="81">
        <f t="shared" si="514"/>
        <v>140</v>
      </c>
      <c r="AF248" s="81">
        <f t="shared" si="514"/>
        <v>40</v>
      </c>
      <c r="AG248" s="81">
        <f t="shared" si="514"/>
        <v>642</v>
      </c>
      <c r="AH248" s="81">
        <f t="shared" si="514"/>
        <v>862</v>
      </c>
      <c r="AI248" s="81">
        <f t="shared" si="514"/>
        <v>38</v>
      </c>
      <c r="AJ248" s="81">
        <f t="shared" si="514"/>
        <v>38</v>
      </c>
      <c r="AK248" s="81">
        <f t="shared" ref="AK248:BQ248" si="515">+AK43+AK40</f>
        <v>20</v>
      </c>
      <c r="AL248" s="81">
        <f t="shared" si="515"/>
        <v>470</v>
      </c>
      <c r="AM248" s="81">
        <f t="shared" si="515"/>
        <v>566</v>
      </c>
      <c r="AN248" s="81">
        <f t="shared" si="515"/>
        <v>9</v>
      </c>
      <c r="AO248" s="81">
        <f t="shared" si="515"/>
        <v>1326</v>
      </c>
      <c r="AP248" s="81">
        <f t="shared" si="515"/>
        <v>3</v>
      </c>
      <c r="AQ248" s="81">
        <f t="shared" si="515"/>
        <v>5959</v>
      </c>
      <c r="AR248" s="81">
        <f t="shared" si="515"/>
        <v>7297</v>
      </c>
      <c r="AS248" s="81">
        <f t="shared" si="515"/>
        <v>139</v>
      </c>
      <c r="AT248" s="81">
        <f t="shared" si="515"/>
        <v>97</v>
      </c>
      <c r="AU248" s="81">
        <f t="shared" si="515"/>
        <v>37</v>
      </c>
      <c r="AV248" s="81">
        <f t="shared" ref="AV248:AW248" si="516">+AV43+AV40</f>
        <v>2817</v>
      </c>
      <c r="AW248" s="81">
        <f t="shared" si="516"/>
        <v>3090</v>
      </c>
      <c r="AX248" s="81">
        <f t="shared" si="515"/>
        <v>0</v>
      </c>
      <c r="AY248" s="81">
        <f t="shared" si="515"/>
        <v>0</v>
      </c>
      <c r="AZ248" s="81">
        <f t="shared" si="515"/>
        <v>0</v>
      </c>
      <c r="BA248" s="81">
        <f t="shared" si="515"/>
        <v>0</v>
      </c>
      <c r="BB248" s="81">
        <f t="shared" si="515"/>
        <v>0</v>
      </c>
      <c r="BC248" s="81">
        <f t="shared" si="515"/>
        <v>0</v>
      </c>
      <c r="BD248" s="81">
        <f t="shared" si="515"/>
        <v>0</v>
      </c>
      <c r="BE248" s="81">
        <f t="shared" si="515"/>
        <v>0</v>
      </c>
      <c r="BF248" s="81">
        <f t="shared" si="515"/>
        <v>0</v>
      </c>
      <c r="BG248" s="81">
        <f t="shared" si="515"/>
        <v>0</v>
      </c>
      <c r="BH248" s="81">
        <f t="shared" si="515"/>
        <v>0</v>
      </c>
      <c r="BI248" s="81">
        <f t="shared" si="515"/>
        <v>0</v>
      </c>
      <c r="BJ248" s="81">
        <f t="shared" si="515"/>
        <v>0</v>
      </c>
      <c r="BK248" s="81">
        <f t="shared" si="515"/>
        <v>0</v>
      </c>
      <c r="BL248" s="81">
        <f t="shared" si="515"/>
        <v>0</v>
      </c>
      <c r="BM248" s="81">
        <f t="shared" si="515"/>
        <v>0</v>
      </c>
      <c r="BN248" s="81">
        <f t="shared" si="515"/>
        <v>0</v>
      </c>
      <c r="BO248" s="81">
        <f t="shared" si="515"/>
        <v>0</v>
      </c>
      <c r="BP248" s="81">
        <f t="shared" si="515"/>
        <v>0</v>
      </c>
      <c r="BQ248" s="81">
        <f t="shared" si="515"/>
        <v>0</v>
      </c>
      <c r="BT248"/>
      <c r="BU248"/>
      <c r="BV248"/>
      <c r="BW248"/>
      <c r="BX248"/>
      <c r="BY248"/>
    </row>
    <row r="249" spans="2:77">
      <c r="C249" s="120" t="s">
        <v>180</v>
      </c>
      <c r="E249">
        <f t="shared" ref="E249:AJ249" si="517">+E38+E40</f>
        <v>115</v>
      </c>
      <c r="F249">
        <f t="shared" si="517"/>
        <v>408</v>
      </c>
      <c r="G249">
        <f t="shared" si="517"/>
        <v>230</v>
      </c>
      <c r="H249">
        <f t="shared" si="517"/>
        <v>103</v>
      </c>
      <c r="I249" s="1589">
        <f t="shared" si="517"/>
        <v>856</v>
      </c>
      <c r="J249" s="1589">
        <f t="shared" si="517"/>
        <v>149</v>
      </c>
      <c r="K249" s="1589">
        <f t="shared" si="517"/>
        <v>256</v>
      </c>
      <c r="L249" s="1589">
        <f t="shared" si="517"/>
        <v>175</v>
      </c>
      <c r="M249" s="1589">
        <f t="shared" si="517"/>
        <v>138</v>
      </c>
      <c r="N249" s="1589">
        <f t="shared" si="517"/>
        <v>718</v>
      </c>
      <c r="O249" s="1589">
        <f t="shared" si="517"/>
        <v>47</v>
      </c>
      <c r="P249" s="1589">
        <f t="shared" si="517"/>
        <v>193</v>
      </c>
      <c r="Q249" s="1589">
        <f t="shared" si="517"/>
        <v>530</v>
      </c>
      <c r="R249" s="1589">
        <f t="shared" si="517"/>
        <v>99</v>
      </c>
      <c r="S249" s="1589">
        <f t="shared" si="517"/>
        <v>869</v>
      </c>
      <c r="T249" s="1589">
        <f t="shared" si="517"/>
        <v>306</v>
      </c>
      <c r="U249" s="1589">
        <f t="shared" si="517"/>
        <v>188</v>
      </c>
      <c r="V249" s="1589">
        <f t="shared" si="517"/>
        <v>428</v>
      </c>
      <c r="W249" s="1589">
        <f t="shared" si="517"/>
        <v>-151</v>
      </c>
      <c r="X249" s="1589">
        <f t="shared" si="517"/>
        <v>771</v>
      </c>
      <c r="Y249" s="1589">
        <f t="shared" si="517"/>
        <v>196</v>
      </c>
      <c r="Z249" s="1589">
        <f t="shared" si="517"/>
        <v>-164</v>
      </c>
      <c r="AA249" s="1589">
        <f t="shared" si="517"/>
        <v>218</v>
      </c>
      <c r="AB249" s="1589">
        <f t="shared" si="517"/>
        <v>142</v>
      </c>
      <c r="AC249" s="1589">
        <f t="shared" si="517"/>
        <v>392</v>
      </c>
      <c r="AD249" s="1589">
        <f t="shared" si="517"/>
        <v>208</v>
      </c>
      <c r="AE249" s="1589">
        <f t="shared" si="517"/>
        <v>64</v>
      </c>
      <c r="AF249" s="1589">
        <f t="shared" si="517"/>
        <v>333</v>
      </c>
      <c r="AG249" s="1589">
        <f t="shared" si="517"/>
        <v>-306</v>
      </c>
      <c r="AH249" s="1589">
        <f t="shared" si="517"/>
        <v>299</v>
      </c>
      <c r="AI249" s="1589">
        <f t="shared" si="517"/>
        <v>222</v>
      </c>
      <c r="AJ249" s="1589">
        <f t="shared" si="517"/>
        <v>187</v>
      </c>
      <c r="AK249" s="1589">
        <f t="shared" ref="AK249:BQ249" si="518">+AK38+AK40</f>
        <v>395</v>
      </c>
      <c r="AL249" s="1589">
        <f t="shared" si="518"/>
        <v>-226</v>
      </c>
      <c r="AM249" s="1589">
        <f t="shared" si="518"/>
        <v>578</v>
      </c>
      <c r="AN249" s="1589">
        <f t="shared" si="518"/>
        <v>328</v>
      </c>
      <c r="AO249" s="1589">
        <f t="shared" si="518"/>
        <v>-1089</v>
      </c>
      <c r="AP249" s="1589">
        <f t="shared" si="518"/>
        <v>380</v>
      </c>
      <c r="AQ249" s="1589">
        <f t="shared" si="518"/>
        <v>-5796</v>
      </c>
      <c r="AR249" s="1589">
        <f t="shared" si="518"/>
        <v>-6177</v>
      </c>
      <c r="AS249" s="1589">
        <f t="shared" si="518"/>
        <v>205</v>
      </c>
      <c r="AT249" s="1589">
        <f t="shared" si="518"/>
        <v>174</v>
      </c>
      <c r="AU249" s="1589">
        <f t="shared" si="518"/>
        <v>396</v>
      </c>
      <c r="AV249" s="1589">
        <f t="shared" ref="AV249:AW249" si="519">+AV38+AV40</f>
        <v>-2499</v>
      </c>
      <c r="AW249" s="1589">
        <f t="shared" si="519"/>
        <v>-1724</v>
      </c>
      <c r="AX249" s="1589">
        <f t="shared" si="518"/>
        <v>356.76986329013999</v>
      </c>
      <c r="AY249" s="1589">
        <f t="shared" si="518"/>
        <v>247.56907746374361</v>
      </c>
      <c r="AZ249" s="1589">
        <f t="shared" si="518"/>
        <v>344.7958661778049</v>
      </c>
      <c r="BA249" s="1589">
        <f t="shared" si="518"/>
        <v>272.73032100410126</v>
      </c>
      <c r="BB249" s="1589">
        <f t="shared" si="518"/>
        <v>1221.8651279357903</v>
      </c>
      <c r="BC249" s="1589">
        <f t="shared" si="518"/>
        <v>324.02466589037931</v>
      </c>
      <c r="BD249" s="1589">
        <f t="shared" si="518"/>
        <v>243.13773725519491</v>
      </c>
      <c r="BE249" s="1589">
        <f t="shared" si="518"/>
        <v>354.80219834746129</v>
      </c>
      <c r="BF249" s="1589">
        <f t="shared" si="518"/>
        <v>274.9400712293828</v>
      </c>
      <c r="BG249" s="1589">
        <f t="shared" si="518"/>
        <v>1196.9046727224168</v>
      </c>
      <c r="BH249" s="1589">
        <f t="shared" si="518"/>
        <v>305.62437516804295</v>
      </c>
      <c r="BI249" s="1589">
        <f t="shared" si="518"/>
        <v>220.12440765113726</v>
      </c>
      <c r="BJ249" s="1589">
        <f t="shared" si="518"/>
        <v>326.89602981376839</v>
      </c>
      <c r="BK249" s="1589">
        <f t="shared" si="518"/>
        <v>248.59108428973678</v>
      </c>
      <c r="BL249" s="1589">
        <f t="shared" si="518"/>
        <v>1101.2358969226873</v>
      </c>
      <c r="BM249" s="1589">
        <f t="shared" si="518"/>
        <v>351.9066006399039</v>
      </c>
      <c r="BN249" s="1589">
        <f t="shared" si="518"/>
        <v>247.4708578945079</v>
      </c>
      <c r="BO249" s="1589">
        <f t="shared" si="518"/>
        <v>365.81788128406288</v>
      </c>
      <c r="BP249" s="1589">
        <f t="shared" si="518"/>
        <v>318.26586395827565</v>
      </c>
      <c r="BQ249" s="1589">
        <f t="shared" si="518"/>
        <v>1283.4612037767495</v>
      </c>
    </row>
    <row r="250" spans="2:77">
      <c r="C250" s="120"/>
    </row>
    <row r="251" spans="2:77">
      <c r="B251" s="126" t="s">
        <v>334</v>
      </c>
      <c r="C251" s="127"/>
      <c r="D251" s="128"/>
      <c r="I251" s="81"/>
    </row>
    <row r="252" spans="2:77" s="81" customFormat="1">
      <c r="C252" s="87" t="s">
        <v>290</v>
      </c>
      <c r="I252" s="81">
        <f>I22-Distribution!I18-Transmission!I16-Competitive!I17-Parent!I18</f>
        <v>0</v>
      </c>
      <c r="J252" s="81">
        <f>J22-Distribution!J18-Transmission!J16-Competitive!J17-Parent!J18</f>
        <v>0</v>
      </c>
      <c r="K252" s="81">
        <f>K22-Distribution!K18-Transmission!K16-Competitive!K17-Parent!K18</f>
        <v>0</v>
      </c>
      <c r="L252" s="81">
        <f>L22-Distribution!L18-Transmission!L16-Competitive!L17-Parent!L18</f>
        <v>0</v>
      </c>
      <c r="M252" s="81">
        <f>M22-Distribution!M18-Transmission!M16-Competitive!M17-Parent!M18</f>
        <v>0</v>
      </c>
      <c r="N252" s="81">
        <f>N22-Distribution!N18-Transmission!N16-Competitive!N17-Parent!N18</f>
        <v>0</v>
      </c>
      <c r="O252" s="81">
        <f>O22-Distribution!O18-Transmission!O16-Competitive!O17-Parent!O18</f>
        <v>0</v>
      </c>
      <c r="P252" s="81">
        <f>P22-Distribution!P18-Transmission!P16-Competitive!P17-Parent!P18</f>
        <v>0</v>
      </c>
      <c r="Q252" s="81">
        <f>Q22-Distribution!Q18-Transmission!Q16-Competitive!Q17-Parent!Q18</f>
        <v>0</v>
      </c>
      <c r="R252" s="81">
        <f>R22-Distribution!R18-Transmission!R16-Competitive!R17-Parent!R18</f>
        <v>0</v>
      </c>
      <c r="S252" s="81">
        <f>S22-Distribution!S18-Transmission!S16-Competitive!S17-Parent!S18</f>
        <v>0</v>
      </c>
      <c r="T252" s="81">
        <f>T22-Distribution!T18-Transmission!T16-Competitive!T17-Parent!T18</f>
        <v>0</v>
      </c>
      <c r="U252" s="81">
        <f>U22-Distribution!U18-Transmission!U16-Competitive!U17-Parent!U18</f>
        <v>0</v>
      </c>
      <c r="V252" s="81">
        <f>V22-Distribution!V18-Transmission!V16-Competitive!V17-Parent!V18</f>
        <v>0</v>
      </c>
      <c r="W252" s="81">
        <f>W22-Distribution!W18-Transmission!W16-Competitive!W17-Parent!W18</f>
        <v>0</v>
      </c>
      <c r="X252" s="81">
        <f>X22-Distribution!X18-Transmission!X16-Competitive!X17-Parent!X18</f>
        <v>0</v>
      </c>
      <c r="Y252" s="81">
        <f>Y22-Distribution!Y18-Transmission!Y16-Competitive!Y17-Parent!Y18</f>
        <v>0</v>
      </c>
      <c r="Z252" s="81">
        <f>Z22-Distribution!Z18-Transmission!Z16-Competitive!Z17-Parent!Z18</f>
        <v>0</v>
      </c>
      <c r="AA252" s="81">
        <f>AA22-Distribution!AA18-Transmission!AA16-Competitive!AA17-Parent!AA18</f>
        <v>0</v>
      </c>
      <c r="AB252" s="81">
        <f>AB22-Distribution!AB18-Transmission!AB16-Competitive!AB17-Parent!AB18</f>
        <v>0</v>
      </c>
      <c r="AC252" s="81">
        <f>AC22-Distribution!AC18-Transmission!AC16-Competitive!AC17-Parent!AC18</f>
        <v>0</v>
      </c>
      <c r="AD252" s="81">
        <f>AD22-Distribution!AD18-Transmission!AD16-Competitive!AD17-Parent!AD18</f>
        <v>0</v>
      </c>
      <c r="AE252" s="81">
        <f>AE22-Distribution!AE18-Transmission!AE16-Competitive!AE17-Parent!AE18</f>
        <v>0</v>
      </c>
      <c r="AF252" s="81">
        <f>AF22-Distribution!AF18-Transmission!AF16-Competitive!AF17-Parent!AF18</f>
        <v>0</v>
      </c>
      <c r="AG252" s="81">
        <f>AG22-Distribution!AG18-Transmission!AG16-Competitive!AG17-Parent!AG18</f>
        <v>0</v>
      </c>
      <c r="AH252" s="81">
        <f>AH22-Distribution!AH18-Transmission!AH16-Competitive!AH17-Parent!AH18</f>
        <v>0</v>
      </c>
      <c r="AI252" s="81">
        <f>AI22-Distribution!AI18-Transmission!AI16-Competitive!AI17-Parent!AI18</f>
        <v>0</v>
      </c>
      <c r="AJ252" s="81">
        <f>AJ22-Distribution!AJ18-Transmission!AJ16-Competitive!AJ17-Parent!AJ18</f>
        <v>0</v>
      </c>
      <c r="AK252" s="81">
        <f>AK22-Distribution!AK18-Transmission!AK16-Competitive!AK17-Parent!AK18</f>
        <v>0</v>
      </c>
      <c r="AL252" s="81">
        <f>AL22-Distribution!AL18-Transmission!AL16-Competitive!AL17-Parent!AL18</f>
        <v>0</v>
      </c>
      <c r="AM252" s="81">
        <f>AM22-Distribution!AM18-Transmission!AM16-Competitive!AM17-Parent!AM18</f>
        <v>0</v>
      </c>
      <c r="AN252" s="81">
        <f>AN22-Distribution!AN18-Transmission!AN16-Competitive!AN17-Parent!AN18</f>
        <v>0</v>
      </c>
      <c r="AO252" s="81">
        <f>AO22-Distribution!AO18-Transmission!AO16-Competitive!AO17-Parent!AO18</f>
        <v>0</v>
      </c>
      <c r="AP252" s="81">
        <f>AP22-Distribution!AP18-Transmission!AP16-Competitive!AP17-Parent!AP18</f>
        <v>0</v>
      </c>
      <c r="AQ252" s="81">
        <f>AQ22-Distribution!AQ18-Transmission!AQ16-Competitive!AQ17-Parent!AQ18</f>
        <v>0</v>
      </c>
      <c r="AR252" s="81">
        <f>AR22-Distribution!AR18-Transmission!AR16-Competitive!AR17-Parent!AR18</f>
        <v>0</v>
      </c>
      <c r="AS252" s="81">
        <f>AS22-Distribution!AS18-Transmission!AS16-Competitive!AS17-Parent!AS18</f>
        <v>0</v>
      </c>
      <c r="AT252" s="81">
        <f>AT22-Distribution!AT18-Transmission!AT16-Competitive!AT17-Parent!AT18</f>
        <v>0</v>
      </c>
      <c r="AU252" s="81">
        <f>AU22-Distribution!AU18-Transmission!AU16-Competitive!AU17-Parent!AU18</f>
        <v>0</v>
      </c>
      <c r="AV252" s="81">
        <f>AV22-Distribution!AV18-Transmission!AV16-Competitive!AV17-Parent!AV18</f>
        <v>0</v>
      </c>
      <c r="AW252" s="81">
        <f>AW22-Distribution!AW18-Transmission!AW16-Competitive!AW17-Parent!AW18</f>
        <v>0</v>
      </c>
      <c r="AX252" s="81">
        <f>AX22-Distribution!AX18-Transmission!AX16-Competitive!AX17-Parent!AX18</f>
        <v>-3.1263880373444408E-13</v>
      </c>
      <c r="AY252" s="81">
        <f>AY22-Distribution!AY18-Transmission!AY16-Competitive!AY17-Parent!AY18</f>
        <v>1.1368683772161603E-13</v>
      </c>
      <c r="AZ252" s="81">
        <f>AZ22-Distribution!AZ18-Transmission!AZ16-Competitive!AZ17-Parent!AZ18</f>
        <v>5.4001247917767614E-13</v>
      </c>
      <c r="BA252" s="81">
        <f>BA22-Distribution!BA18-Transmission!BA16-Competitive!BA17-Parent!BA18</f>
        <v>1.7053025658242404E-13</v>
      </c>
      <c r="BB252" s="81">
        <f>BB22-Distribution!BB18-Transmission!BB16-Competitive!BB17-Parent!BB18</f>
        <v>2.7284841053187847E-12</v>
      </c>
      <c r="BC252" s="81">
        <f>BC22-Distribution!BC18-Transmission!BC16-Competitive!BC17-Parent!BC18</f>
        <v>5.6843418860808015E-14</v>
      </c>
      <c r="BD252" s="81">
        <f>BD22-Distribution!BD18-Transmission!BD16-Competitive!BD17-Parent!BD18</f>
        <v>-1.1368683772161603E-13</v>
      </c>
      <c r="BE252" s="81">
        <f>BE22-Distribution!BE18-Transmission!BE16-Competitive!BE17-Parent!BE18</f>
        <v>3.4106051316484809E-13</v>
      </c>
      <c r="BF252" s="81">
        <f>BF22-Distribution!BF18-Transmission!BF16-Competitive!BF17-Parent!BF18</f>
        <v>5.9685589803848416E-13</v>
      </c>
      <c r="BG252" s="81">
        <f>BG22-Distribution!BG18-Transmission!BG16-Competitive!BG17-Parent!BG18</f>
        <v>-6.8212102632969618E-13</v>
      </c>
      <c r="BH252" s="81">
        <f>BH22-Distribution!BH18-Transmission!BH16-Competitive!BH17-Parent!BH18</f>
        <v>-5.6843418860808015E-13</v>
      </c>
      <c r="BI252" s="81">
        <f>BI22-Distribution!BI18-Transmission!BI16-Competitive!BI17-Parent!BI18</f>
        <v>2.8421709430404007E-14</v>
      </c>
      <c r="BJ252" s="81">
        <f>BJ22-Distribution!BJ18-Transmission!BJ16-Competitive!BJ17-Parent!BJ18</f>
        <v>8.5265128291212022E-14</v>
      </c>
      <c r="BK252" s="81">
        <f>BK22-Distribution!BK18-Transmission!BK16-Competitive!BK17-Parent!BK18</f>
        <v>2.8421709430404007E-14</v>
      </c>
      <c r="BL252" s="81">
        <f>BL22-Distribution!BL18-Transmission!BL16-Competitive!BL17-Parent!BL18</f>
        <v>1.8189894035458565E-12</v>
      </c>
      <c r="BM252" s="81">
        <f>BM22-Distribution!BM18-Transmission!BM16-Competitive!BM17-Parent!BM18</f>
        <v>2.8421709430404007E-14</v>
      </c>
      <c r="BN252" s="81">
        <f>BN22-Distribution!BN18-Transmission!BN16-Competitive!BN17-Parent!BN18</f>
        <v>4.8316906031686813E-13</v>
      </c>
      <c r="BO252" s="81">
        <f>BO22-Distribution!BO18-Transmission!BO16-Competitive!BO17-Parent!BO18</f>
        <v>-3.979039320256561E-13</v>
      </c>
      <c r="BP252" s="81">
        <f>BP22-Distribution!BP18-Transmission!BP16-Competitive!BP17-Parent!BP18</f>
        <v>-5.6843418860808015E-14</v>
      </c>
      <c r="BQ252" s="81">
        <f>BQ22-Distribution!BQ18-Transmission!BQ16-Competitive!BQ17-Parent!BQ18</f>
        <v>-1.1368683772161603E-12</v>
      </c>
      <c r="BT252"/>
      <c r="BU252"/>
      <c r="BV252"/>
      <c r="BW252"/>
      <c r="BX252"/>
      <c r="BY252"/>
    </row>
    <row r="253" spans="2:77" s="81" customFormat="1">
      <c r="C253" s="87" t="s">
        <v>220</v>
      </c>
      <c r="I253" s="81">
        <f>I42-Distribution!I33-Transmission!I31-Competitive!I34-Parent!I37</f>
        <v>0</v>
      </c>
      <c r="J253" s="81">
        <f>J42-Distribution!J33-Transmission!J31-Competitive!J34-Parent!J37</f>
        <v>0</v>
      </c>
      <c r="K253" s="81">
        <f>K42-Distribution!K33-Transmission!K31-Competitive!K34-Parent!K37</f>
        <v>0</v>
      </c>
      <c r="L253" s="81">
        <f>L42-Distribution!L33-Transmission!L31-Competitive!L34-Parent!L37</f>
        <v>0</v>
      </c>
      <c r="M253" s="81">
        <f>M42-Distribution!M33-Transmission!M31-Competitive!M34-Parent!M37</f>
        <v>0</v>
      </c>
      <c r="N253" s="81">
        <f>N42-Distribution!N33-Transmission!N31-Competitive!N34-Parent!N37</f>
        <v>0</v>
      </c>
      <c r="O253" s="81">
        <f>O42-Distribution!O33-Transmission!O31-Competitive!O34-Parent!O37</f>
        <v>0</v>
      </c>
      <c r="P253" s="81">
        <f>P42-Distribution!P33-Transmission!P31-Competitive!P34-Parent!P37</f>
        <v>0</v>
      </c>
      <c r="Q253" s="81">
        <f>Q42-Distribution!Q33-Transmission!Q31-Competitive!Q34-Parent!Q37</f>
        <v>0</v>
      </c>
      <c r="R253" s="81">
        <f>R42-Distribution!R33-Transmission!R31-Competitive!R34-Parent!R37</f>
        <v>0</v>
      </c>
      <c r="S253" s="81">
        <f>S42-Distribution!S33-Transmission!S31-Competitive!S34-Parent!S37</f>
        <v>0</v>
      </c>
      <c r="T253" s="81">
        <f>T42-Distribution!T33-Transmission!T31-Competitive!T34-Parent!T37</f>
        <v>0</v>
      </c>
      <c r="U253" s="81">
        <f>U42-Distribution!U33-Transmission!U31-Competitive!U34-Parent!U37</f>
        <v>0</v>
      </c>
      <c r="V253" s="81">
        <f>V42-Distribution!V33-Transmission!V31-Competitive!V34-Parent!V37</f>
        <v>0</v>
      </c>
      <c r="W253" s="81">
        <f>W42-Distribution!W33-Transmission!W31-Competitive!W34-Parent!W37</f>
        <v>0</v>
      </c>
      <c r="X253" s="81">
        <f>X42-Distribution!X33-Transmission!X31-Competitive!X34-Parent!X37</f>
        <v>0</v>
      </c>
      <c r="Y253" s="81">
        <f>Y42-Distribution!Y33-Transmission!Y31-Competitive!Y34-Parent!Y37</f>
        <v>0</v>
      </c>
      <c r="Z253" s="81">
        <f>Z42-Distribution!Z33-Transmission!Z31-Competitive!Z34-Parent!Z37</f>
        <v>0</v>
      </c>
      <c r="AA253" s="81">
        <f>AA42-Distribution!AA33-Transmission!AA31-Competitive!AA34-Parent!AA37</f>
        <v>0</v>
      </c>
      <c r="AB253" s="81">
        <f>AB42-Distribution!AB33-Transmission!AB31-Competitive!AB34-Parent!AB37</f>
        <v>0</v>
      </c>
      <c r="AC253" s="81">
        <f>AC42-Distribution!AC33-Transmission!AC31-Competitive!AC34-Parent!AC37</f>
        <v>0</v>
      </c>
      <c r="AD253" s="81">
        <f>AD42-Distribution!AD33-Transmission!AD31-Competitive!AD34-Parent!AD37</f>
        <v>0</v>
      </c>
      <c r="AE253" s="81">
        <f>AE42-Distribution!AE33-Transmission!AE31-Competitive!AE34-Parent!AE37</f>
        <v>0</v>
      </c>
      <c r="AF253" s="81">
        <f>AF42-Distribution!AF33-Transmission!AF31-Competitive!AF34-Parent!AF37</f>
        <v>0</v>
      </c>
      <c r="AG253" s="81">
        <f>AG42-Distribution!AG33-Transmission!AG31-Competitive!AG34-Parent!AG37</f>
        <v>0</v>
      </c>
      <c r="AH253" s="81">
        <f>AH42-Distribution!AH33-Transmission!AH31-Competitive!AH34-Parent!AH37</f>
        <v>0</v>
      </c>
      <c r="AI253" s="81">
        <f>AI42-Distribution!AI33-Transmission!AI31-Competitive!AI34-Parent!AI37</f>
        <v>0</v>
      </c>
      <c r="AJ253" s="81">
        <f>AJ42-Distribution!AJ33-Transmission!AJ31-Competitive!AJ34-Parent!AJ37</f>
        <v>0</v>
      </c>
      <c r="AK253" s="81">
        <f>AK42-Distribution!AK33-Transmission!AK31-Competitive!AK34-Parent!AK37</f>
        <v>0</v>
      </c>
      <c r="AL253" s="81">
        <f>AL42-Distribution!AL33-Transmission!AL31-Competitive!AL34-Parent!AL37</f>
        <v>0</v>
      </c>
      <c r="AM253" s="81">
        <f>AM42-Distribution!AM33-Transmission!AM31-Competitive!AM34-Parent!AM37</f>
        <v>0</v>
      </c>
      <c r="AN253" s="81">
        <f>AN42-Distribution!AN33-Transmission!AN31-Competitive!AN34-Parent!AN37</f>
        <v>0</v>
      </c>
      <c r="AO253" s="81">
        <f>AO42-Distribution!AO33-Transmission!AO31-Competitive!AO34-Parent!AO37</f>
        <v>0</v>
      </c>
      <c r="AP253" s="81">
        <f>AP42-Distribution!AP33-Transmission!AP31-Competitive!AP34-Parent!AP37</f>
        <v>0</v>
      </c>
      <c r="AQ253" s="81">
        <f>AQ42-Distribution!AQ33-Transmission!AQ31-Competitive!AQ34-Parent!AQ37</f>
        <v>0</v>
      </c>
      <c r="AR253" s="81">
        <f>AR42-Distribution!AR33-Transmission!AR31-Competitive!AR34-Parent!AR37</f>
        <v>0</v>
      </c>
      <c r="AS253" s="81">
        <f>AS42-Distribution!AS33-Transmission!AS31-Competitive!AS34-Parent!AS37</f>
        <v>0</v>
      </c>
      <c r="AT253" s="81">
        <f>AT42-Distribution!AT33-Transmission!AT31-Competitive!AT34-Parent!AT37</f>
        <v>0</v>
      </c>
      <c r="AU253" s="81">
        <f>AU42-Distribution!AU33-Transmission!AU31-Competitive!AU34-Parent!AU37</f>
        <v>0</v>
      </c>
      <c r="AV253" s="81">
        <f>AV42-Distribution!AV33-Transmission!AV31-Competitive!AV34-Parent!AV37</f>
        <v>0</v>
      </c>
      <c r="AW253" s="81">
        <f>AW42-Distribution!AW33-Transmission!AW31-Competitive!AW34-Parent!AW37</f>
        <v>0</v>
      </c>
      <c r="AX253" s="81">
        <f>AX42-Distribution!AX33-Transmission!AX31-Competitive!AX34-Parent!AX37</f>
        <v>-3.4106051316484809E-13</v>
      </c>
      <c r="AY253" s="81">
        <f>AY42-Distribution!AY33-Transmission!AY31-Competitive!AY34-Parent!AY37</f>
        <v>0</v>
      </c>
      <c r="AZ253" s="81">
        <f>AZ42-Distribution!AZ33-Transmission!AZ31-Competitive!AZ34-Parent!AZ37</f>
        <v>5.2580162446247414E-13</v>
      </c>
      <c r="BA253" s="81">
        <f>BA42-Distribution!BA33-Transmission!BA31-Competitive!BA34-Parent!BA37</f>
        <v>2.4158453015843406E-13</v>
      </c>
      <c r="BB253" s="81">
        <f>BB42-Distribution!BB33-Transmission!BB31-Competitive!BB34-Parent!BB37</f>
        <v>2.8421709430404007E-12</v>
      </c>
      <c r="BC253" s="81">
        <f>BC42-Distribution!BC33-Transmission!BC31-Competitive!BC34-Parent!BC37</f>
        <v>0</v>
      </c>
      <c r="BD253" s="81">
        <f>BD42-Distribution!BD33-Transmission!BD31-Competitive!BD34-Parent!BD37</f>
        <v>-1.5631940186722204E-13</v>
      </c>
      <c r="BE253" s="81">
        <f>BE42-Distribution!BE33-Transmission!BE31-Competitive!BE34-Parent!BE37</f>
        <v>3.694822225952521E-13</v>
      </c>
      <c r="BF253" s="81">
        <f>BF42-Distribution!BF33-Transmission!BF31-Competitive!BF34-Parent!BF37</f>
        <v>5.8264504332328215E-13</v>
      </c>
      <c r="BG253" s="81">
        <f>BG42-Distribution!BG33-Transmission!BG31-Competitive!BG34-Parent!BG37</f>
        <v>-9.6633812063373625E-13</v>
      </c>
      <c r="BH253" s="81">
        <f>BH42-Distribution!BH33-Transmission!BH31-Competitive!BH34-Parent!BH37</f>
        <v>-5.0448534238967113E-13</v>
      </c>
      <c r="BI253" s="81">
        <f>BI42-Distribution!BI33-Transmission!BI31-Competitive!BI34-Parent!BI37</f>
        <v>0</v>
      </c>
      <c r="BJ253" s="81">
        <f>BJ42-Distribution!BJ33-Transmission!BJ31-Competitive!BJ34-Parent!BJ37</f>
        <v>1.2789769243681803E-13</v>
      </c>
      <c r="BK253" s="81">
        <f>BK42-Distribution!BK33-Transmission!BK31-Competitive!BK34-Parent!BK37</f>
        <v>0</v>
      </c>
      <c r="BL253" s="81">
        <f>BL42-Distribution!BL33-Transmission!BL31-Competitive!BL34-Parent!BL37</f>
        <v>1.9326762412674725E-12</v>
      </c>
      <c r="BM253" s="81">
        <f>BM42-Distribution!BM33-Transmission!BM31-Competitive!BM34-Parent!BM37</f>
        <v>5.6843418860808015E-14</v>
      </c>
      <c r="BN253" s="81">
        <f>BN42-Distribution!BN33-Transmission!BN31-Competitive!BN34-Parent!BN37</f>
        <v>4.9737991503207013E-13</v>
      </c>
      <c r="BO253" s="81">
        <f>BO42-Distribution!BO33-Transmission!BO31-Competitive!BO34-Parent!BO37</f>
        <v>-4.0500935938325711E-13</v>
      </c>
      <c r="BP253" s="81">
        <f>BP42-Distribution!BP33-Transmission!BP31-Competitive!BP34-Parent!BP37</f>
        <v>0</v>
      </c>
      <c r="BQ253" s="81">
        <f>BQ42-Distribution!BQ33-Transmission!BQ31-Competitive!BQ34-Parent!BQ37</f>
        <v>-1.1368683772161603E-12</v>
      </c>
      <c r="BT253"/>
      <c r="BU253"/>
      <c r="BV253"/>
      <c r="BW253"/>
      <c r="BX253"/>
      <c r="BY253"/>
    </row>
    <row r="254" spans="2:77" s="81" customFormat="1">
      <c r="C254" s="87" t="s">
        <v>224</v>
      </c>
      <c r="I254" s="81">
        <f>I134-Distribution!I149-Competitive!I597-Parent!I64</f>
        <v>2465</v>
      </c>
      <c r="J254" s="81">
        <f>J134-Distribution!J149-Competitive!J597-Parent!J64</f>
        <v>506</v>
      </c>
      <c r="K254" s="81">
        <f>K134-Distribution!K149-Competitive!K597-Parent!K64</f>
        <v>352</v>
      </c>
      <c r="L254" s="81">
        <f>L134-Distribution!L149-Competitive!L597-Parent!L64</f>
        <v>1215</v>
      </c>
      <c r="M254" s="81">
        <f>M134-Distribution!M149-Competitive!M597-Parent!M64</f>
        <v>1003</v>
      </c>
      <c r="N254" s="81">
        <f>N134-Distribution!N149-Competitive!N597-Parent!N64</f>
        <v>3076</v>
      </c>
      <c r="O254" s="81">
        <f>O134-Distribution!O149-Competitive!O597-Parent!O64</f>
        <v>491</v>
      </c>
      <c r="P254" s="81">
        <f>P134-Distribution!P149-Competitive!P597-Parent!P64</f>
        <v>540</v>
      </c>
      <c r="Q254" s="81">
        <f>Q134-Distribution!Q149-Competitive!Q597-Parent!Q64</f>
        <v>1198</v>
      </c>
      <c r="R254" s="81">
        <f>R134-Distribution!R149-Competitive!R597-Parent!R64</f>
        <v>834</v>
      </c>
      <c r="S254" s="81">
        <f>S134-Distribution!S149-Competitive!S597-Parent!S64</f>
        <v>3063</v>
      </c>
      <c r="T254" s="81">
        <f>T134-Distribution!T149-Competitive!T597-Parent!T64</f>
        <v>-413</v>
      </c>
      <c r="U254" s="81">
        <f>U134-Distribution!U149-Competitive!U597-Parent!U64</f>
        <v>475</v>
      </c>
      <c r="V254" s="81">
        <f>V134-Distribution!V149-Competitive!V597-Parent!V64</f>
        <v>1214</v>
      </c>
      <c r="W254" s="81">
        <f>W134-Distribution!W149-Competitive!W597-Parent!W64</f>
        <v>1044</v>
      </c>
      <c r="X254" s="81">
        <f>X134-Distribution!X149-Competitive!X597-Parent!X64</f>
        <v>2320</v>
      </c>
      <c r="Y254" s="81">
        <f>Y134-Distribution!Y149-Competitive!Y597-Parent!Y64</f>
        <v>-571.0625</v>
      </c>
      <c r="Z254" s="81">
        <f>Z134-Distribution!Z149-Competitive!Z597-Parent!Z64</f>
        <v>132.9375</v>
      </c>
      <c r="AA254" s="81">
        <f>AA134-Distribution!AA149-Competitive!AA597-Parent!AA64</f>
        <v>545.9375</v>
      </c>
      <c r="AB254" s="81">
        <f>AB134-Distribution!AB149-Competitive!AB597-Parent!AB64</f>
        <v>142.9375</v>
      </c>
      <c r="AC254" s="81">
        <f>AC134-Distribution!AC149-Competitive!AC597-Parent!AC64</f>
        <v>250.75</v>
      </c>
      <c r="AD254" s="81">
        <f>AD134-Distribution!AD149-Competitive!AD597-Parent!AD64</f>
        <v>0</v>
      </c>
      <c r="AE254" s="81">
        <f>AE134-Distribution!AE149-Competitive!AE597-Parent!AE64</f>
        <v>0</v>
      </c>
      <c r="AF254" s="81">
        <f>AF134-Distribution!AF149-Competitive!AF597-Parent!AF64</f>
        <v>0</v>
      </c>
      <c r="AG254" s="81">
        <f>AG134-Distribution!AG149-Competitive!AG597-Parent!AG64</f>
        <v>0</v>
      </c>
      <c r="AH254" s="81">
        <f>AH134-Distribution!AH149-Competitive!AH597-Parent!AH64</f>
        <v>0</v>
      </c>
      <c r="AI254" s="81">
        <f>AI134-Distribution!AI149-Competitive!AI597-Parent!AI64</f>
        <v>0</v>
      </c>
      <c r="AJ254" s="81">
        <f>AJ134-Distribution!AJ149-Competitive!AJ597-Parent!AJ64</f>
        <v>0</v>
      </c>
      <c r="AK254" s="81">
        <f>AK134-Distribution!AK149-Competitive!AK597-Parent!AK64</f>
        <v>0</v>
      </c>
      <c r="AL254" s="81">
        <f>AL134-Distribution!AL149-Competitive!AL597-Parent!AL64</f>
        <v>0</v>
      </c>
      <c r="AM254" s="81">
        <f>AM134-Distribution!AM149-Competitive!AM597-Parent!AM64</f>
        <v>0</v>
      </c>
      <c r="AN254" s="81">
        <f>AN134-Distribution!AN149-Competitive!AN597-Parent!AN64</f>
        <v>0</v>
      </c>
      <c r="AO254" s="81">
        <f>AO134-Distribution!AO149-Competitive!AO597-Parent!AO64</f>
        <v>0</v>
      </c>
      <c r="AP254" s="81">
        <f>AP134-Distribution!AP149-Competitive!AP597-Parent!AP64</f>
        <v>0</v>
      </c>
      <c r="AQ254" s="81">
        <f>AQ134-Distribution!AQ149-Competitive!AQ597-Parent!AQ64</f>
        <v>0</v>
      </c>
      <c r="AR254" s="81">
        <f>AR134-Distribution!AR149-Competitive!AR597-Parent!AR64</f>
        <v>0</v>
      </c>
      <c r="AS254" s="81">
        <f>AS134-Distribution!AS149-Competitive!AS597-Parent!AS64</f>
        <v>0</v>
      </c>
      <c r="AT254" s="81">
        <f>AT134-Distribution!AT149-Competitive!AT597-Parent!AT64</f>
        <v>0</v>
      </c>
      <c r="AU254" s="81">
        <f>AU134-Distribution!AU149-Competitive!AU597-Parent!AU64</f>
        <v>0</v>
      </c>
      <c r="AV254" s="81">
        <f>AV134-Distribution!AV149-Competitive!AV597-Parent!AV64</f>
        <v>0</v>
      </c>
      <c r="AW254" s="81">
        <f>AW134-Distribution!AW149-Competitive!AW597-Parent!AW64</f>
        <v>0</v>
      </c>
      <c r="AX254" s="81">
        <f>AX134-Distribution!AX149-Competitive!AX597-Parent!AX64</f>
        <v>0</v>
      </c>
      <c r="AY254" s="81">
        <f>AY134-Distribution!AY149-Competitive!AY597-Parent!AY64</f>
        <v>0</v>
      </c>
      <c r="AZ254" s="81">
        <f>AZ134-Distribution!AZ149-Competitive!AZ597-Parent!AZ64</f>
        <v>0</v>
      </c>
      <c r="BA254" s="81">
        <f>BA134-Distribution!BA149-Competitive!BA597-Parent!BA64</f>
        <v>0</v>
      </c>
      <c r="BB254" s="81">
        <f>BB134-Distribution!BB149-Competitive!BB597-Parent!BB64</f>
        <v>0</v>
      </c>
      <c r="BC254" s="81">
        <f>BC134-Distribution!BC149-Competitive!BC597-Parent!BC64</f>
        <v>0</v>
      </c>
      <c r="BD254" s="81">
        <f>BD134-Distribution!BD149-Competitive!BD597-Parent!BD64</f>
        <v>0</v>
      </c>
      <c r="BE254" s="81">
        <f>BE134-Distribution!BE149-Competitive!BE597-Parent!BE64</f>
        <v>0</v>
      </c>
      <c r="BF254" s="81">
        <f>BF134-Distribution!BF149-Competitive!BF597-Parent!BF64</f>
        <v>0</v>
      </c>
      <c r="BG254" s="81">
        <f>BG134-Distribution!BG149-Competitive!BG597-Parent!BG64</f>
        <v>1.1368683772161603E-13</v>
      </c>
      <c r="BH254" s="81">
        <f>BH134-Distribution!BH149-Competitive!BH597-Parent!BH64</f>
        <v>0</v>
      </c>
      <c r="BI254" s="81">
        <f>BI134-Distribution!BI149-Competitive!BI597-Parent!BI64</f>
        <v>0</v>
      </c>
      <c r="BJ254" s="81">
        <f>BJ134-Distribution!BJ149-Competitive!BJ597-Parent!BJ64</f>
        <v>0</v>
      </c>
      <c r="BK254" s="81">
        <f>BK134-Distribution!BK149-Competitive!BK597-Parent!BK64</f>
        <v>0</v>
      </c>
      <c r="BL254" s="81">
        <f>BL134-Distribution!BL149-Competitive!BL597-Parent!BL64</f>
        <v>0</v>
      </c>
      <c r="BM254" s="81">
        <f>BM134-Distribution!BM149-Competitive!BM597-Parent!BM64</f>
        <v>0</v>
      </c>
      <c r="BN254" s="81">
        <f>BN134-Distribution!BN149-Competitive!BN597-Parent!BN64</f>
        <v>0</v>
      </c>
      <c r="BO254" s="81">
        <f>BO134-Distribution!BO149-Competitive!BO597-Parent!BO64</f>
        <v>0</v>
      </c>
      <c r="BP254" s="81">
        <f>BP134-Distribution!BP149-Competitive!BP597-Parent!BP64</f>
        <v>0</v>
      </c>
      <c r="BQ254" s="81">
        <f>BQ134-Distribution!BQ149-Competitive!BQ597-Parent!BQ64</f>
        <v>0</v>
      </c>
      <c r="BT254"/>
      <c r="BU254"/>
      <c r="BV254"/>
      <c r="BW254"/>
      <c r="BX254"/>
      <c r="BY254"/>
    </row>
    <row r="255" spans="2:77" s="81" customFormat="1">
      <c r="C255" s="87" t="s">
        <v>225</v>
      </c>
      <c r="I255" s="81">
        <f>I139-Distribution!I153-Competitive!I601-Parent!I68</f>
        <v>-2185</v>
      </c>
      <c r="J255" s="81">
        <f>J139-Distribution!J153-Competitive!J601-Parent!J68</f>
        <v>-476</v>
      </c>
      <c r="K255" s="81">
        <f>K139-Distribution!K153-Competitive!K601-Parent!K68</f>
        <v>-491</v>
      </c>
      <c r="L255" s="81">
        <f>L139-Distribution!L153-Competitive!L601-Parent!L68</f>
        <v>-478</v>
      </c>
      <c r="M255" s="81">
        <f>M139-Distribution!M153-Competitive!M601-Parent!M68</f>
        <v>-503</v>
      </c>
      <c r="N255" s="81">
        <f>N139-Distribution!N153-Competitive!N601-Parent!N68</f>
        <v>-1948</v>
      </c>
      <c r="O255" s="81">
        <f>O139-Distribution!O153-Competitive!O601-Parent!O68</f>
        <v>141</v>
      </c>
      <c r="P255" s="81">
        <f>P139-Distribution!P153-Competitive!P601-Parent!P68</f>
        <v>-676</v>
      </c>
      <c r="Q255" s="81">
        <f>Q139-Distribution!Q153-Competitive!Q601-Parent!Q68</f>
        <v>-20</v>
      </c>
      <c r="R255" s="81">
        <f>R139-Distribution!R153-Competitive!R601-Parent!R68</f>
        <v>-401</v>
      </c>
      <c r="S255" s="81">
        <f>S139-Distribution!S153-Competitive!S601-Parent!S68</f>
        <v>-956</v>
      </c>
      <c r="T255" s="81">
        <f>T139-Distribution!T153-Competitive!T601-Parent!T68</f>
        <v>-534</v>
      </c>
      <c r="U255" s="81">
        <f>U139-Distribution!U153-Competitive!U601-Parent!U68</f>
        <v>-467</v>
      </c>
      <c r="V255" s="81">
        <f>V139-Distribution!V153-Competitive!V601-Parent!V68</f>
        <v>-989</v>
      </c>
      <c r="W255" s="81">
        <f>W139-Distribution!W153-Competitive!W601-Parent!W68</f>
        <v>-1167</v>
      </c>
      <c r="X255" s="81">
        <f>X139-Distribution!X153-Competitive!X601-Parent!X68</f>
        <v>-3157</v>
      </c>
      <c r="Y255" s="81">
        <f>Y139-Distribution!Y153-Competitive!Y601-Parent!Y68</f>
        <v>-289</v>
      </c>
      <c r="Z255" s="81">
        <f>Z139-Distribution!Z153-Competitive!Z601-Parent!Z68</f>
        <v>-184</v>
      </c>
      <c r="AA255" s="81">
        <f>AA139-Distribution!AA153-Competitive!AA601-Parent!AA68</f>
        <v>-130</v>
      </c>
      <c r="AB255" s="81">
        <f>AB139-Distribution!AB153-Competitive!AB601-Parent!AB68</f>
        <v>-264</v>
      </c>
      <c r="AC255" s="81">
        <f>AC139-Distribution!AC153-Competitive!AC601-Parent!AC68</f>
        <v>-867</v>
      </c>
      <c r="AD255" s="81">
        <f>AD139-Distribution!AD153-Competitive!AD601-Parent!AD68</f>
        <v>0</v>
      </c>
      <c r="AE255" s="81">
        <f>AE139-Distribution!AE153-Competitive!AE601-Parent!AE68</f>
        <v>0</v>
      </c>
      <c r="AF255" s="81">
        <f>AF139-Distribution!AF153-Competitive!AF601-Parent!AF68</f>
        <v>0</v>
      </c>
      <c r="AG255" s="81">
        <f>AG139-Distribution!AG153-Competitive!AG601-Parent!AG68</f>
        <v>0</v>
      </c>
      <c r="AH255" s="81">
        <f>AH139-Distribution!AH153-Competitive!AH601-Parent!AH68</f>
        <v>0</v>
      </c>
      <c r="AI255" s="81">
        <f>AI139-Distribution!AI153-Competitive!AI601-Parent!AI68</f>
        <v>0</v>
      </c>
      <c r="AJ255" s="81">
        <f>AJ139-Distribution!AJ153-Competitive!AJ601-Parent!AJ68</f>
        <v>0</v>
      </c>
      <c r="AK255" s="81">
        <f>AK139-Distribution!AK153-Competitive!AK601-Parent!AK68</f>
        <v>0</v>
      </c>
      <c r="AL255" s="81">
        <f>AL139-Distribution!AL153-Competitive!AL601-Parent!AL68</f>
        <v>0</v>
      </c>
      <c r="AM255" s="81">
        <f>AM139-Distribution!AM153-Competitive!AM601-Parent!AM68</f>
        <v>0</v>
      </c>
      <c r="AN255" s="81">
        <f>AN139-Distribution!AN153-Competitive!AN601-Parent!AN68</f>
        <v>0</v>
      </c>
      <c r="AO255" s="81">
        <f>AO139-Distribution!AO153-Competitive!AO601-Parent!AO68</f>
        <v>0</v>
      </c>
      <c r="AP255" s="81">
        <f>AP139-Distribution!AP153-Competitive!AP601-Parent!AP68</f>
        <v>0</v>
      </c>
      <c r="AQ255" s="81">
        <f>AQ139-Distribution!AQ153-Competitive!AQ601-Parent!AQ68</f>
        <v>0</v>
      </c>
      <c r="AR255" s="81">
        <f>AR139-Distribution!AR153-Competitive!AR601-Parent!AR68</f>
        <v>0</v>
      </c>
      <c r="AS255" s="81">
        <f>AS139-Distribution!AS153-Competitive!AS601-Parent!AS68</f>
        <v>0</v>
      </c>
      <c r="AT255" s="81">
        <f>AT139-Distribution!AT153-Competitive!AT601-Parent!AT68</f>
        <v>0</v>
      </c>
      <c r="AU255" s="81">
        <f>AU139-Distribution!AU153-Competitive!AU601-Parent!AU68</f>
        <v>0</v>
      </c>
      <c r="AV255" s="81">
        <f>AV139-Distribution!AV153-Competitive!AV601-Parent!AV68</f>
        <v>0</v>
      </c>
      <c r="AW255" s="81">
        <f>AW139-Distribution!AW153-Competitive!AW601-Parent!AW68</f>
        <v>0</v>
      </c>
      <c r="AX255" s="81">
        <f>AX139-Distribution!AX153-Competitive!AX601-Parent!AX68</f>
        <v>0</v>
      </c>
      <c r="AY255" s="81">
        <f>AY139-Distribution!AY153-Competitive!AY601-Parent!AY68</f>
        <v>0</v>
      </c>
      <c r="AZ255" s="81">
        <f>AZ139-Distribution!AZ153-Competitive!AZ601-Parent!AZ68</f>
        <v>0</v>
      </c>
      <c r="BA255" s="81">
        <f>BA139-Distribution!BA153-Competitive!BA601-Parent!BA68</f>
        <v>0</v>
      </c>
      <c r="BB255" s="81">
        <f>BB139-Distribution!BB153-Competitive!BB601-Parent!BB68</f>
        <v>-53</v>
      </c>
      <c r="BC255" s="81">
        <f>BC139-Distribution!BC153-Competitive!BC601-Parent!BC68</f>
        <v>0</v>
      </c>
      <c r="BD255" s="81">
        <f>BD139-Distribution!BD153-Competitive!BD601-Parent!BD68</f>
        <v>0</v>
      </c>
      <c r="BE255" s="81">
        <f>BE139-Distribution!BE153-Competitive!BE601-Parent!BE68</f>
        <v>0</v>
      </c>
      <c r="BF255" s="81">
        <f>BF139-Distribution!BF153-Competitive!BF601-Parent!BF68</f>
        <v>0</v>
      </c>
      <c r="BG255" s="81">
        <f>BG139-Distribution!BG153-Competitive!BG601-Parent!BG68</f>
        <v>-53</v>
      </c>
      <c r="BH255" s="81">
        <f>BH139-Distribution!BH153-Competitive!BH601-Parent!BH68</f>
        <v>0</v>
      </c>
      <c r="BI255" s="81">
        <f>BI139-Distribution!BI153-Competitive!BI601-Parent!BI68</f>
        <v>0</v>
      </c>
      <c r="BJ255" s="81">
        <f>BJ139-Distribution!BJ153-Competitive!BJ601-Parent!BJ68</f>
        <v>0</v>
      </c>
      <c r="BK255" s="81">
        <f>BK139-Distribution!BK153-Competitive!BK601-Parent!BK68</f>
        <v>0</v>
      </c>
      <c r="BL255" s="81">
        <f>BL139-Distribution!BL153-Competitive!BL601-Parent!BL68</f>
        <v>0</v>
      </c>
      <c r="BM255" s="81">
        <f>BM139-Distribution!BM153-Competitive!BM601-Parent!BM68</f>
        <v>0</v>
      </c>
      <c r="BN255" s="81">
        <f>BN139-Distribution!BN153-Competitive!BN601-Parent!BN68</f>
        <v>0</v>
      </c>
      <c r="BO255" s="81">
        <f>BO139-Distribution!BO153-Competitive!BO601-Parent!BO68</f>
        <v>0</v>
      </c>
      <c r="BP255" s="81">
        <f>BP139-Distribution!BP153-Competitive!BP601-Parent!BP68</f>
        <v>0</v>
      </c>
      <c r="BQ255" s="81">
        <f>BQ139-Distribution!BQ153-Competitive!BQ601-Parent!BQ68</f>
        <v>0</v>
      </c>
      <c r="BT255"/>
      <c r="BU255"/>
      <c r="BV255"/>
      <c r="BW255"/>
      <c r="BX255"/>
      <c r="BY255"/>
    </row>
    <row r="256" spans="2:77" s="81" customFormat="1">
      <c r="C256" s="87" t="s">
        <v>228</v>
      </c>
      <c r="I256" s="81">
        <f>I147-Distribution!I159-Competitive!I607-Parent!I73</f>
        <v>49</v>
      </c>
      <c r="J256" s="81">
        <f>J147-Distribution!J159-Competitive!J607-Parent!J73</f>
        <v>-594</v>
      </c>
      <c r="K256" s="81">
        <f>K147-Distribution!K159-Competitive!K607-Parent!K73</f>
        <v>110</v>
      </c>
      <c r="L256" s="81">
        <f>L147-Distribution!L159-Competitive!L607-Parent!L73</f>
        <v>-386</v>
      </c>
      <c r="M256" s="81">
        <f>M147-Distribution!M159-Competitive!M607-Parent!M73</f>
        <v>-113</v>
      </c>
      <c r="N256" s="81">
        <f>N147-Distribution!N159-Competitive!N607-Parent!N73</f>
        <v>-983</v>
      </c>
      <c r="O256" s="81">
        <f>O147-Distribution!O159-Competitive!O607-Parent!O73</f>
        <v>-550</v>
      </c>
      <c r="P256" s="81">
        <f>P147-Distribution!P159-Competitive!P607-Parent!P73</f>
        <v>-489</v>
      </c>
      <c r="Q256" s="81">
        <f>Q147-Distribution!Q159-Competitive!Q607-Parent!Q73</f>
        <v>-1363</v>
      </c>
      <c r="R256" s="81">
        <f>R147-Distribution!R159-Competitive!R607-Parent!R73</f>
        <v>-522</v>
      </c>
      <c r="S256" s="81">
        <f>S147-Distribution!S159-Competitive!S607-Parent!S73</f>
        <v>-2924</v>
      </c>
      <c r="T256" s="81">
        <f>T147-Distribution!T159-Competitive!T607-Parent!T73</f>
        <v>819</v>
      </c>
      <c r="U256" s="81">
        <f>U147-Distribution!U159-Competitive!U607-Parent!U73</f>
        <v>12</v>
      </c>
      <c r="V256" s="81">
        <f>V147-Distribution!V159-Competitive!V607-Parent!V73</f>
        <v>-169</v>
      </c>
      <c r="W256" s="81">
        <f>W147-Distribution!W159-Competitive!W607-Parent!W73</f>
        <v>145</v>
      </c>
      <c r="X256" s="81">
        <f>X147-Distribution!X159-Competitive!X607-Parent!X73</f>
        <v>807</v>
      </c>
      <c r="Y256" s="81">
        <f>Y147-Distribution!Y159-Competitive!Y607-Parent!Y73</f>
        <v>772</v>
      </c>
      <c r="Z256" s="81">
        <f>Z147-Distribution!Z159-Competitive!Z607-Parent!Z73</f>
        <v>204</v>
      </c>
      <c r="AA256" s="81">
        <f>AA147-Distribution!AA159-Competitive!AA607-Parent!AA73</f>
        <v>-322</v>
      </c>
      <c r="AB256" s="81">
        <f>AB147-Distribution!AB159-Competitive!AB607-Parent!AB73</f>
        <v>-177</v>
      </c>
      <c r="AC256" s="81">
        <f>AC147-Distribution!AC159-Competitive!AC607-Parent!AC73</f>
        <v>477</v>
      </c>
      <c r="AD256" s="81">
        <f>AD147-Distribution!AD159-Competitive!AD607-Parent!AD73</f>
        <v>0</v>
      </c>
      <c r="AE256" s="81">
        <f>AE147-Distribution!AE159-Competitive!AE607-Parent!AE73</f>
        <v>0</v>
      </c>
      <c r="AF256" s="81">
        <f>AF147-Distribution!AF159-Competitive!AF607-Parent!AF73</f>
        <v>0</v>
      </c>
      <c r="AG256" s="81">
        <f>AG147-Distribution!AG159-Competitive!AG607-Parent!AG73</f>
        <v>0</v>
      </c>
      <c r="AH256" s="81">
        <f>AH147-Distribution!AH159-Competitive!AH607-Parent!AH73</f>
        <v>0</v>
      </c>
      <c r="AI256" s="81">
        <f>AI147-Distribution!AI159-Competitive!AI607-Parent!AI73</f>
        <v>0</v>
      </c>
      <c r="AJ256" s="81">
        <f>AJ147-Distribution!AJ159-Competitive!AJ607-Parent!AJ73</f>
        <v>0</v>
      </c>
      <c r="AK256" s="81">
        <f>AK147-Distribution!AK159-Competitive!AK607-Parent!AK73</f>
        <v>0</v>
      </c>
      <c r="AL256" s="81">
        <f>AL147-Distribution!AL159-Competitive!AL607-Parent!AL73</f>
        <v>0</v>
      </c>
      <c r="AM256" s="81">
        <f>AM147-Distribution!AM159-Competitive!AM607-Parent!AM73</f>
        <v>0</v>
      </c>
      <c r="AN256" s="81">
        <f>AN147-Distribution!AN159-Competitive!AN607-Parent!AN73</f>
        <v>0</v>
      </c>
      <c r="AO256" s="81">
        <f>AO147-Distribution!AO159-Competitive!AO607-Parent!AO73</f>
        <v>0</v>
      </c>
      <c r="AP256" s="81">
        <f>AP147-Distribution!AP159-Competitive!AP607-Parent!AP73</f>
        <v>0</v>
      </c>
      <c r="AQ256" s="81">
        <f>AQ147-Distribution!AQ159-Competitive!AQ607-Parent!AQ73</f>
        <v>0</v>
      </c>
      <c r="AR256" s="81">
        <f>AR147-Distribution!AR159-Competitive!AR607-Parent!AR73</f>
        <v>0</v>
      </c>
      <c r="AS256" s="81">
        <f>AS147-Distribution!AS159-Competitive!AS607-Parent!AS73</f>
        <v>0</v>
      </c>
      <c r="AT256" s="81">
        <f>AT147-Distribution!AT159-Competitive!AT607-Parent!AT73</f>
        <v>0</v>
      </c>
      <c r="AU256" s="81">
        <f>AU147-Distribution!AU159-Competitive!AU607-Parent!AU73</f>
        <v>0</v>
      </c>
      <c r="AV256" s="81">
        <f>AV147-Distribution!AV159-Competitive!AV607-Parent!AV73</f>
        <v>0</v>
      </c>
      <c r="AW256" s="81">
        <f>AW147-Distribution!AW159-Competitive!AW607-Parent!AW73</f>
        <v>0</v>
      </c>
      <c r="AX256" s="81">
        <f>AX147-Distribution!AX159-Competitive!AX607-Parent!AX73</f>
        <v>158.67912815087993</v>
      </c>
      <c r="AY256" s="81">
        <f>AY147-Distribution!AY159-Competitive!AY607-Parent!AY73</f>
        <v>-1401.4023610891709</v>
      </c>
      <c r="AZ256" s="81">
        <f>AZ147-Distribution!AZ159-Competitive!AZ607-Parent!AZ73</f>
        <v>595.53844381128886</v>
      </c>
      <c r="BA256" s="81">
        <f>BA147-Distribution!BA159-Competitive!BA607-Parent!BA73</f>
        <v>-599.704458798112</v>
      </c>
      <c r="BB256" s="81">
        <f>BB147-Distribution!BB159-Competitive!BB607-Parent!BB73</f>
        <v>-1246.8892479251135</v>
      </c>
      <c r="BC256" s="81">
        <f>BC147-Distribution!BC159-Competitive!BC607-Parent!BC73</f>
        <v>-881.85952686088717</v>
      </c>
      <c r="BD256" s="81">
        <f>BD147-Distribution!BD159-Competitive!BD607-Parent!BD73</f>
        <v>1328.401882997455</v>
      </c>
      <c r="BE256" s="81">
        <f>BE147-Distribution!BE159-Competitive!BE607-Parent!BE73</f>
        <v>-346.12910278483446</v>
      </c>
      <c r="BF256" s="81">
        <f>BF147-Distribution!BF159-Competitive!BF607-Parent!BF73</f>
        <v>-394.44331856826216</v>
      </c>
      <c r="BG256" s="81">
        <f>BG147-Distribution!BG159-Competitive!BG607-Parent!BG73</f>
        <v>-294.03006521652856</v>
      </c>
      <c r="BH256" s="81">
        <f>BH147-Distribution!BH159-Competitive!BH607-Parent!BH73</f>
        <v>-590.05825998456442</v>
      </c>
      <c r="BI256" s="81">
        <f>BI147-Distribution!BI159-Competitive!BI607-Parent!BI73</f>
        <v>1133.323214171995</v>
      </c>
      <c r="BJ256" s="81">
        <f>BJ147-Distribution!BJ159-Competitive!BJ607-Parent!BJ73</f>
        <v>-134.00622108958993</v>
      </c>
      <c r="BK256" s="81">
        <f>BK147-Distribution!BK159-Competitive!BK607-Parent!BK73</f>
        <v>-279.43607120612518</v>
      </c>
      <c r="BL256" s="81">
        <f>BL147-Distribution!BL159-Competitive!BL607-Parent!BL73</f>
        <v>129.82266189171548</v>
      </c>
      <c r="BM256" s="81">
        <f>BM147-Distribution!BM159-Competitive!BM607-Parent!BM73</f>
        <v>-170.27410610825839</v>
      </c>
      <c r="BN256" s="81">
        <f>BN147-Distribution!BN159-Competitive!BN607-Parent!BN73</f>
        <v>280.01616023509018</v>
      </c>
      <c r="BO256" s="81">
        <f>BO147-Distribution!BO159-Competitive!BO607-Parent!BO73</f>
        <v>20.040055719881792</v>
      </c>
      <c r="BP256" s="81">
        <f>BP147-Distribution!BP159-Competitive!BP607-Parent!BP73</f>
        <v>-189.38568414783538</v>
      </c>
      <c r="BQ256" s="81">
        <f>BQ147-Distribution!BQ159-Competitive!BQ607-Parent!BQ73</f>
        <v>-59.603574301121796</v>
      </c>
      <c r="BT256"/>
      <c r="BU256"/>
      <c r="BV256"/>
      <c r="BW256"/>
      <c r="BX256"/>
      <c r="BY256"/>
    </row>
    <row r="257" spans="3:77" s="60" customFormat="1">
      <c r="C257" s="88" t="s">
        <v>335</v>
      </c>
      <c r="I257" s="60">
        <f t="shared" ref="I257:AA257" si="520">SUM(I252:I256)</f>
        <v>329</v>
      </c>
      <c r="J257" s="60">
        <f t="shared" si="520"/>
        <v>-564</v>
      </c>
      <c r="K257" s="60">
        <f t="shared" si="520"/>
        <v>-29</v>
      </c>
      <c r="L257" s="60">
        <f t="shared" si="520"/>
        <v>351</v>
      </c>
      <c r="M257" s="60">
        <f t="shared" si="520"/>
        <v>387</v>
      </c>
      <c r="N257" s="60">
        <f t="shared" si="520"/>
        <v>145</v>
      </c>
      <c r="O257" s="60">
        <f t="shared" si="520"/>
        <v>82</v>
      </c>
      <c r="P257" s="60">
        <f t="shared" si="520"/>
        <v>-625</v>
      </c>
      <c r="Q257" s="60">
        <f t="shared" si="520"/>
        <v>-185</v>
      </c>
      <c r="R257" s="60">
        <f t="shared" si="520"/>
        <v>-89</v>
      </c>
      <c r="S257" s="60">
        <f t="shared" si="520"/>
        <v>-817</v>
      </c>
      <c r="T257" s="60">
        <f t="shared" si="520"/>
        <v>-128</v>
      </c>
      <c r="U257" s="60">
        <f t="shared" si="520"/>
        <v>20</v>
      </c>
      <c r="V257" s="60">
        <f t="shared" si="520"/>
        <v>56</v>
      </c>
      <c r="W257" s="60">
        <f t="shared" si="520"/>
        <v>22</v>
      </c>
      <c r="X257" s="60">
        <f t="shared" si="520"/>
        <v>-30</v>
      </c>
      <c r="Y257" s="60">
        <f t="shared" si="520"/>
        <v>-88.0625</v>
      </c>
      <c r="Z257" s="60">
        <f t="shared" si="520"/>
        <v>152.9375</v>
      </c>
      <c r="AA257" s="60">
        <f t="shared" si="520"/>
        <v>93.9375</v>
      </c>
      <c r="AB257" s="60">
        <f t="shared" ref="AB257:AT257" si="521">SUM(AB252:AB256)</f>
        <v>-298.0625</v>
      </c>
      <c r="AC257" s="60">
        <f t="shared" si="521"/>
        <v>-139.25</v>
      </c>
      <c r="AD257" s="60">
        <f>SUM(AD252:AD256)</f>
        <v>0</v>
      </c>
      <c r="AE257" s="60">
        <f>SUM(AE252:AE256)</f>
        <v>0</v>
      </c>
      <c r="AF257" s="60">
        <f>SUM(AF252:AF256)</f>
        <v>0</v>
      </c>
      <c r="AG257" s="60">
        <f t="shared" si="521"/>
        <v>0</v>
      </c>
      <c r="AH257" s="60">
        <f t="shared" si="521"/>
        <v>0</v>
      </c>
      <c r="AI257" s="60">
        <f t="shared" si="521"/>
        <v>0</v>
      </c>
      <c r="AJ257" s="60">
        <f t="shared" si="521"/>
        <v>0</v>
      </c>
      <c r="AK257" s="60">
        <f>SUM(AK252:AK256)</f>
        <v>0</v>
      </c>
      <c r="AL257" s="60">
        <f t="shared" si="521"/>
        <v>0</v>
      </c>
      <c r="AM257" s="60">
        <f t="shared" si="521"/>
        <v>0</v>
      </c>
      <c r="AN257" s="60">
        <f t="shared" si="521"/>
        <v>0</v>
      </c>
      <c r="AO257" s="60">
        <f t="shared" ref="AO257" si="522">SUM(AO252:AO256)</f>
        <v>0</v>
      </c>
      <c r="AP257" s="60">
        <f t="shared" si="521"/>
        <v>0</v>
      </c>
      <c r="AQ257" s="60">
        <f t="shared" ref="AQ257" si="523">SUM(AQ252:AQ256)</f>
        <v>0</v>
      </c>
      <c r="AR257" s="60">
        <f t="shared" si="521"/>
        <v>0</v>
      </c>
      <c r="AS257" s="60">
        <f t="shared" ref="AS257" si="524">SUM(AS252:AS256)</f>
        <v>0</v>
      </c>
      <c r="AT257" s="60">
        <f t="shared" si="521"/>
        <v>0</v>
      </c>
      <c r="AU257" s="60">
        <f t="shared" ref="AU257:AW257" si="525">SUM(AU252:AU256)</f>
        <v>0</v>
      </c>
      <c r="AV257" s="60">
        <f t="shared" si="525"/>
        <v>0</v>
      </c>
      <c r="AW257" s="60">
        <f t="shared" si="525"/>
        <v>0</v>
      </c>
      <c r="AX257" s="60">
        <f t="shared" ref="AX257:BL257" si="526">SUM(AX252:AX256)</f>
        <v>158.67912815087928</v>
      </c>
      <c r="AY257" s="60">
        <f t="shared" si="526"/>
        <v>-1401.4023610891709</v>
      </c>
      <c r="AZ257" s="60">
        <f t="shared" si="526"/>
        <v>595.53844381128988</v>
      </c>
      <c r="BA257" s="60">
        <f t="shared" si="526"/>
        <v>-599.70445879811155</v>
      </c>
      <c r="BB257" s="60">
        <f t="shared" si="526"/>
        <v>-1299.8892479251081</v>
      </c>
      <c r="BC257" s="60">
        <f t="shared" si="526"/>
        <v>-881.85952686088717</v>
      </c>
      <c r="BD257" s="60">
        <f t="shared" si="526"/>
        <v>1328.4018829974548</v>
      </c>
      <c r="BE257" s="60">
        <f t="shared" si="526"/>
        <v>-346.12910278483378</v>
      </c>
      <c r="BF257" s="60">
        <f t="shared" si="526"/>
        <v>-394.44331856826096</v>
      </c>
      <c r="BG257" s="60">
        <f t="shared" si="526"/>
        <v>-347.03006521653009</v>
      </c>
      <c r="BH257" s="60">
        <f t="shared" si="526"/>
        <v>-590.05825998456544</v>
      </c>
      <c r="BI257" s="60">
        <f t="shared" si="526"/>
        <v>1133.323214171995</v>
      </c>
      <c r="BJ257" s="60">
        <f t="shared" si="526"/>
        <v>-134.0062210895897</v>
      </c>
      <c r="BK257" s="60">
        <f t="shared" si="526"/>
        <v>-279.43607120612512</v>
      </c>
      <c r="BL257" s="60">
        <f t="shared" si="526"/>
        <v>129.82266189171924</v>
      </c>
      <c r="BM257" s="60">
        <f t="shared" ref="BM257:BQ257" si="527">SUM(BM252:BM256)</f>
        <v>-170.27410610825831</v>
      </c>
      <c r="BN257" s="60">
        <f t="shared" si="527"/>
        <v>280.01616023509115</v>
      </c>
      <c r="BO257" s="60">
        <f t="shared" si="527"/>
        <v>20.040055719880989</v>
      </c>
      <c r="BP257" s="60">
        <f t="shared" si="527"/>
        <v>-189.38568414783543</v>
      </c>
      <c r="BQ257" s="60">
        <f t="shared" si="527"/>
        <v>-59.60357430112407</v>
      </c>
      <c r="BT257"/>
      <c r="BU257"/>
      <c r="BV257"/>
      <c r="BW257"/>
      <c r="BX257"/>
      <c r="BY257"/>
    </row>
    <row r="258" spans="3:77" s="81" customFormat="1">
      <c r="BT258"/>
      <c r="BU258"/>
      <c r="BV258"/>
      <c r="BW258"/>
      <c r="BX258"/>
      <c r="BY258"/>
    </row>
    <row r="259" spans="3:77" s="81" customFormat="1">
      <c r="BT259"/>
      <c r="BU259"/>
      <c r="BV259"/>
      <c r="BW259"/>
      <c r="BX259"/>
      <c r="BY259"/>
    </row>
  </sheetData>
  <phoneticPr fontId="39" type="noConversion"/>
  <printOptions horizontalCentered="1"/>
  <pageMargins left="0.25" right="0.25" top="0.5" bottom="0.5" header="0" footer="0"/>
  <pageSetup orientation="portrait" r:id="rId1"/>
  <headerFooter alignWithMargins="0"/>
  <rowBreaks count="1" manualBreakCount="1">
    <brk id="155" min="1" max="15" man="1"/>
  </rowBreaks>
  <ignoredErrors>
    <ignoredError sqref="M35 M11 M37:M38 M17 M22" formulaRange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JA223"/>
  <sheetViews>
    <sheetView zoomScale="85" zoomScaleNormal="85" zoomScaleSheetLayoutView="25" workbookViewId="0">
      <pane xSplit="4" ySplit="5" topLeftCell="I6" activePane="bottomRight" state="frozen"/>
      <selection activeCell="X6" sqref="X6"/>
      <selection pane="topRight" activeCell="X6" sqref="X6"/>
      <selection pane="bottomLeft" activeCell="X6" sqref="X6"/>
      <selection pane="bottomRight" activeCell="I6" sqref="I6"/>
    </sheetView>
  </sheetViews>
  <sheetFormatPr defaultRowHeight="12.75" outlineLevelCol="1"/>
  <cols>
    <col min="1" max="1" width="2.7109375" style="92" customWidth="1"/>
    <col min="2" max="2" width="2.7109375" customWidth="1"/>
    <col min="3" max="3" width="45.7109375" style="1204" customWidth="1"/>
    <col min="4" max="4" width="5.85546875" customWidth="1"/>
    <col min="5" max="8" width="9.7109375" hidden="1" customWidth="1" outlineLevel="1"/>
    <col min="9" max="9" width="9.7109375" customWidth="1" collapsed="1"/>
    <col min="10" max="13" width="9.7109375" hidden="1" customWidth="1" outlineLevel="1"/>
    <col min="14" max="14" width="9.7109375" customWidth="1" collapsed="1"/>
    <col min="15" max="18" width="9.7109375" hidden="1" customWidth="1" outlineLevel="1"/>
    <col min="19" max="19" width="9.7109375" customWidth="1" collapsed="1"/>
    <col min="20" max="23" width="9.7109375" hidden="1" customWidth="1" outlineLevel="1"/>
    <col min="24" max="24" width="9.7109375" customWidth="1" collapsed="1"/>
    <col min="25" max="28" width="9.7109375" hidden="1" customWidth="1" outlineLevel="1"/>
    <col min="29" max="29" width="9.7109375" customWidth="1" collapsed="1"/>
    <col min="30" max="33" width="9.7109375" hidden="1" customWidth="1" outlineLevel="1"/>
    <col min="34" max="34" width="9.7109375" customWidth="1" collapsed="1"/>
    <col min="35" max="38" width="9.7109375" hidden="1" customWidth="1" outlineLevel="1"/>
    <col min="39" max="39" width="9.7109375" customWidth="1" collapsed="1"/>
    <col min="40" max="43" width="9.7109375" hidden="1" customWidth="1" outlineLevel="1"/>
    <col min="44" max="44" width="9.7109375" customWidth="1" collapsed="1"/>
    <col min="45" max="48" width="9.7109375" hidden="1" customWidth="1" outlineLevel="1"/>
    <col min="49" max="49" width="9.7109375" customWidth="1" collapsed="1"/>
    <col min="50" max="53" width="9.7109375" hidden="1" customWidth="1" outlineLevel="1"/>
    <col min="54" max="54" width="9.7109375" customWidth="1" collapsed="1"/>
    <col min="55" max="58" width="9.7109375" hidden="1" customWidth="1" outlineLevel="1"/>
    <col min="59" max="59" width="9.7109375" customWidth="1" collapsed="1"/>
    <col min="60" max="63" width="9.7109375" hidden="1" customWidth="1" outlineLevel="1"/>
    <col min="64" max="64" width="9.7109375" customWidth="1" collapsed="1"/>
    <col min="65" max="68" width="9.7109375" hidden="1" customWidth="1" outlineLevel="1"/>
    <col min="69" max="69" width="9.7109375" customWidth="1" collapsed="1"/>
    <col min="70" max="70" width="9" customWidth="1"/>
    <col min="71" max="71" width="34.42578125" customWidth="1"/>
    <col min="72" max="76" width="11.28515625" customWidth="1"/>
    <col min="77" max="77" width="10.28515625" bestFit="1" customWidth="1"/>
  </cols>
  <sheetData>
    <row r="1" spans="1:261" ht="18">
      <c r="A1" s="204"/>
      <c r="B1" s="1"/>
      <c r="C1" s="1180"/>
      <c r="D1" s="204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6"/>
      <c r="BI1" s="206"/>
      <c r="BJ1" s="206"/>
      <c r="BK1" s="206"/>
      <c r="BL1" s="206"/>
      <c r="BM1" s="206"/>
      <c r="BN1" s="206"/>
      <c r="BO1" s="206"/>
      <c r="BP1" s="206"/>
      <c r="BQ1" s="206"/>
      <c r="BR1" s="330"/>
    </row>
    <row r="2" spans="1:261" ht="18">
      <c r="A2" s="204"/>
      <c r="B2" s="1" t="s">
        <v>344</v>
      </c>
      <c r="C2" s="1180"/>
      <c r="D2" s="204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I2" s="206"/>
      <c r="BJ2" s="206"/>
      <c r="BK2" s="206"/>
      <c r="BL2" s="206"/>
      <c r="BM2" s="206"/>
      <c r="BN2" s="206"/>
      <c r="BO2" s="206"/>
      <c r="BP2" s="206"/>
      <c r="BQ2" s="206"/>
      <c r="BR2" s="330"/>
    </row>
    <row r="3" spans="1:261" ht="15.75">
      <c r="A3" s="205"/>
      <c r="B3" s="5" t="s">
        <v>337</v>
      </c>
      <c r="C3" s="1181"/>
      <c r="D3" s="205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225"/>
      <c r="AI3" s="225"/>
      <c r="AJ3" s="225"/>
      <c r="AK3" s="225"/>
      <c r="AL3" s="225"/>
      <c r="AM3" s="225"/>
      <c r="AN3" s="225"/>
      <c r="AO3" s="225"/>
      <c r="AP3" s="225"/>
      <c r="AQ3" s="225"/>
      <c r="AR3" s="225"/>
      <c r="AS3" s="225"/>
      <c r="AT3" s="225"/>
      <c r="AU3" s="225"/>
      <c r="AV3" s="225"/>
      <c r="AW3" s="225"/>
      <c r="AX3" s="225"/>
      <c r="AY3" s="225"/>
      <c r="AZ3" s="225"/>
      <c r="BA3" s="225"/>
      <c r="BB3" s="225"/>
      <c r="BC3" s="225"/>
      <c r="BD3" s="225"/>
      <c r="BE3" s="225"/>
      <c r="BF3" s="225"/>
      <c r="BG3" s="225"/>
      <c r="BH3" s="225"/>
      <c r="BI3" s="225"/>
      <c r="BJ3" s="225"/>
      <c r="BK3" s="225"/>
      <c r="BL3" s="225"/>
      <c r="BM3" s="225"/>
      <c r="BN3" s="225"/>
      <c r="BO3" s="225"/>
      <c r="BP3" s="225"/>
      <c r="BQ3" s="225"/>
      <c r="BR3" s="331"/>
      <c r="BS3" s="275"/>
      <c r="BT3" s="275"/>
    </row>
    <row r="4" spans="1:261">
      <c r="A4" s="207"/>
      <c r="B4" s="7" t="s">
        <v>3</v>
      </c>
      <c r="C4" s="1182"/>
      <c r="D4" s="207"/>
      <c r="E4" s="225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25"/>
      <c r="AJ4" s="225"/>
      <c r="AK4" s="225"/>
      <c r="AL4" s="225"/>
      <c r="AM4" s="225"/>
      <c r="AN4" s="225"/>
      <c r="AO4" s="225"/>
      <c r="AP4" s="225"/>
      <c r="AQ4" s="225"/>
      <c r="AR4" s="225"/>
      <c r="AS4" s="225"/>
      <c r="AT4" s="225"/>
      <c r="AU4" s="225"/>
      <c r="AV4" s="225"/>
      <c r="AW4" s="225"/>
      <c r="AX4" s="225"/>
      <c r="AY4" s="225"/>
      <c r="AZ4" s="225"/>
      <c r="BA4" s="225"/>
      <c r="BB4" s="225"/>
      <c r="BC4" s="225"/>
      <c r="BD4" s="225"/>
      <c r="BE4" s="225"/>
      <c r="BF4" s="225"/>
      <c r="BG4" s="225"/>
      <c r="BH4" s="225"/>
      <c r="BI4" s="225"/>
      <c r="BJ4" s="225"/>
      <c r="BK4" s="225"/>
      <c r="BL4" s="225"/>
      <c r="BM4" s="225"/>
      <c r="BN4" s="225"/>
      <c r="BO4" s="225"/>
      <c r="BP4" s="225"/>
      <c r="BQ4" s="225"/>
      <c r="BR4" s="331"/>
      <c r="BS4" s="275"/>
      <c r="BT4" s="275"/>
    </row>
    <row r="5" spans="1:261" s="227" customFormat="1">
      <c r="A5" s="252"/>
      <c r="B5" s="64" t="s">
        <v>22</v>
      </c>
      <c r="C5" s="1220"/>
      <c r="D5" s="226"/>
      <c r="E5" s="332" t="s">
        <v>165</v>
      </c>
      <c r="F5" s="333" t="s">
        <v>166</v>
      </c>
      <c r="G5" s="333" t="s">
        <v>170</v>
      </c>
      <c r="H5" s="334" t="s">
        <v>171</v>
      </c>
      <c r="I5" s="335" t="s">
        <v>275</v>
      </c>
      <c r="J5" s="332" t="s">
        <v>172</v>
      </c>
      <c r="K5" s="333" t="s">
        <v>173</v>
      </c>
      <c r="L5" s="333" t="s">
        <v>177</v>
      </c>
      <c r="M5" s="334" t="s">
        <v>178</v>
      </c>
      <c r="N5" s="335" t="s">
        <v>4</v>
      </c>
      <c r="O5" s="332" t="s">
        <v>181</v>
      </c>
      <c r="P5" s="333" t="s">
        <v>182</v>
      </c>
      <c r="Q5" s="67" t="s">
        <v>771</v>
      </c>
      <c r="R5" s="68" t="s">
        <v>218</v>
      </c>
      <c r="S5" s="70" t="s">
        <v>772</v>
      </c>
      <c r="T5" s="66" t="s">
        <v>475</v>
      </c>
      <c r="U5" s="72" t="s">
        <v>929</v>
      </c>
      <c r="V5" s="67" t="s">
        <v>742</v>
      </c>
      <c r="W5" s="68" t="s">
        <v>767</v>
      </c>
      <c r="X5" s="70" t="s">
        <v>768</v>
      </c>
      <c r="Y5" s="66" t="s">
        <v>769</v>
      </c>
      <c r="Z5" s="67" t="s">
        <v>76</v>
      </c>
      <c r="AA5" s="67" t="s">
        <v>77</v>
      </c>
      <c r="AB5" s="68" t="s">
        <v>670</v>
      </c>
      <c r="AC5" s="70" t="s">
        <v>669</v>
      </c>
      <c r="AD5" s="66" t="s">
        <v>90</v>
      </c>
      <c r="AE5" s="67" t="s">
        <v>91</v>
      </c>
      <c r="AF5" s="67" t="s">
        <v>92</v>
      </c>
      <c r="AG5" s="68" t="s">
        <v>960</v>
      </c>
      <c r="AH5" s="70" t="s">
        <v>964</v>
      </c>
      <c r="AI5" s="66" t="s">
        <v>962</v>
      </c>
      <c r="AJ5" s="67" t="s">
        <v>963</v>
      </c>
      <c r="AK5" s="67" t="s">
        <v>1005</v>
      </c>
      <c r="AL5" s="68" t="s">
        <v>1009</v>
      </c>
      <c r="AM5" s="85" t="s">
        <v>1011</v>
      </c>
      <c r="AN5" s="868" t="s">
        <v>1060</v>
      </c>
      <c r="AO5" s="72" t="s">
        <v>1062</v>
      </c>
      <c r="AP5" s="72" t="s">
        <v>1134</v>
      </c>
      <c r="AQ5" s="73" t="s">
        <v>1157</v>
      </c>
      <c r="AR5" s="85" t="s">
        <v>1158</v>
      </c>
      <c r="AS5" s="71" t="s">
        <v>1187</v>
      </c>
      <c r="AT5" s="72" t="s">
        <v>1200</v>
      </c>
      <c r="AU5" s="72" t="s">
        <v>1207</v>
      </c>
      <c r="AV5" s="73" t="s">
        <v>1218</v>
      </c>
      <c r="AW5" s="85" t="s">
        <v>1220</v>
      </c>
      <c r="AX5" s="71" t="s">
        <v>130</v>
      </c>
      <c r="AY5" s="72" t="s">
        <v>131</v>
      </c>
      <c r="AZ5" s="72" t="s">
        <v>132</v>
      </c>
      <c r="BA5" s="73" t="s">
        <v>133</v>
      </c>
      <c r="BB5" s="85" t="s">
        <v>138</v>
      </c>
      <c r="BC5" s="71" t="s">
        <v>971</v>
      </c>
      <c r="BD5" s="72" t="s">
        <v>972</v>
      </c>
      <c r="BE5" s="72" t="s">
        <v>973</v>
      </c>
      <c r="BF5" s="73" t="s">
        <v>974</v>
      </c>
      <c r="BG5" s="85" t="s">
        <v>969</v>
      </c>
      <c r="BH5" s="71" t="s">
        <v>975</v>
      </c>
      <c r="BI5" s="72" t="s">
        <v>976</v>
      </c>
      <c r="BJ5" s="72" t="s">
        <v>977</v>
      </c>
      <c r="BK5" s="73" t="s">
        <v>978</v>
      </c>
      <c r="BL5" s="85" t="s">
        <v>970</v>
      </c>
      <c r="BM5" s="71" t="s">
        <v>1137</v>
      </c>
      <c r="BN5" s="72" t="s">
        <v>1138</v>
      </c>
      <c r="BO5" s="72" t="s">
        <v>1139</v>
      </c>
      <c r="BP5" s="73" t="s">
        <v>1140</v>
      </c>
      <c r="BQ5" s="85" t="s">
        <v>1135</v>
      </c>
      <c r="BR5" s="331"/>
      <c r="BS5" s="275"/>
      <c r="BT5" s="27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</row>
    <row r="6" spans="1:261">
      <c r="A6" s="89"/>
      <c r="B6" s="92"/>
      <c r="C6" s="1184"/>
      <c r="D6" s="283"/>
      <c r="E6" s="228"/>
      <c r="F6" s="229"/>
      <c r="G6" s="229"/>
      <c r="H6" s="230"/>
      <c r="I6" s="89"/>
      <c r="J6" s="228"/>
      <c r="K6" s="229"/>
      <c r="L6" s="229"/>
      <c r="M6" s="230"/>
      <c r="N6" s="89"/>
      <c r="O6" s="228"/>
      <c r="P6" s="229"/>
      <c r="Q6" s="229"/>
      <c r="R6" s="230"/>
      <c r="S6" s="89"/>
      <c r="T6" s="228"/>
      <c r="U6" s="229"/>
      <c r="V6" s="229"/>
      <c r="W6" s="230"/>
      <c r="X6" s="89"/>
      <c r="Y6" s="228"/>
      <c r="Z6" s="229"/>
      <c r="AA6" s="229"/>
      <c r="AB6" s="230"/>
      <c r="AC6" s="89"/>
      <c r="AD6" s="228"/>
      <c r="AE6" s="229"/>
      <c r="AF6" s="229"/>
      <c r="AG6" s="230"/>
      <c r="AH6" s="89"/>
      <c r="AI6" s="228"/>
      <c r="AJ6" s="229"/>
      <c r="AK6" s="229"/>
      <c r="AL6" s="230"/>
      <c r="AM6" s="89"/>
      <c r="AN6" s="228"/>
      <c r="AO6" s="229"/>
      <c r="AP6" s="229"/>
      <c r="AQ6" s="230"/>
      <c r="AR6" s="89"/>
      <c r="AS6" s="228"/>
      <c r="AT6" s="229"/>
      <c r="AU6" s="229"/>
      <c r="AV6" s="230"/>
      <c r="AW6" s="89"/>
      <c r="AX6" s="228"/>
      <c r="AY6" s="229"/>
      <c r="AZ6" s="229"/>
      <c r="BA6" s="230"/>
      <c r="BB6" s="89"/>
      <c r="BC6" s="228"/>
      <c r="BD6" s="229"/>
      <c r="BE6" s="229"/>
      <c r="BF6" s="230"/>
      <c r="BG6" s="89"/>
      <c r="BH6" s="228"/>
      <c r="BI6" s="229"/>
      <c r="BJ6" s="229"/>
      <c r="BK6" s="230"/>
      <c r="BL6" s="89"/>
      <c r="BM6" s="228"/>
      <c r="BN6" s="229"/>
      <c r="BO6" s="229"/>
      <c r="BP6" s="230"/>
      <c r="BQ6" s="89"/>
      <c r="BR6" s="89"/>
    </row>
    <row r="7" spans="1:261" ht="12.75" customHeight="1">
      <c r="B7" s="126" t="s">
        <v>185</v>
      </c>
      <c r="C7" s="1221"/>
      <c r="D7" s="208"/>
      <c r="E7" s="152"/>
      <c r="F7" s="153"/>
      <c r="G7" s="153"/>
      <c r="H7" s="154"/>
      <c r="I7" s="300"/>
      <c r="J7" s="301"/>
      <c r="K7" s="302"/>
      <c r="L7" s="302"/>
      <c r="M7" s="311"/>
      <c r="N7" s="300"/>
      <c r="O7" s="301"/>
      <c r="P7" s="302"/>
      <c r="Q7" s="302"/>
      <c r="R7" s="311"/>
      <c r="S7" s="300"/>
      <c r="T7" s="301"/>
      <c r="U7" s="302"/>
      <c r="V7" s="153"/>
      <c r="W7" s="154"/>
      <c r="X7" s="89"/>
      <c r="Y7" s="152"/>
      <c r="Z7" s="153"/>
      <c r="AA7" s="153"/>
      <c r="AB7" s="154"/>
      <c r="AC7" s="89"/>
      <c r="AD7" s="152"/>
      <c r="AE7" s="153"/>
      <c r="AF7" s="153"/>
      <c r="AG7" s="154"/>
      <c r="AH7" s="89"/>
      <c r="AI7" s="152"/>
      <c r="AJ7" s="153"/>
      <c r="AK7" s="153"/>
      <c r="AL7" s="154"/>
      <c r="AM7" s="1928"/>
      <c r="AN7" s="152"/>
      <c r="AO7" s="153"/>
      <c r="AP7" s="153"/>
      <c r="AQ7" s="154"/>
      <c r="AR7" s="89"/>
      <c r="AS7" s="152"/>
      <c r="AT7" s="153"/>
      <c r="AU7" s="153"/>
      <c r="AV7" s="154"/>
      <c r="AW7" s="89"/>
      <c r="AX7" s="152"/>
      <c r="AY7" s="153"/>
      <c r="AZ7" s="153"/>
      <c r="BA7" s="154"/>
      <c r="BB7" s="89"/>
      <c r="BC7" s="152"/>
      <c r="BD7" s="153"/>
      <c r="BE7" s="153"/>
      <c r="BF7" s="154"/>
      <c r="BG7" s="89"/>
      <c r="BH7" s="152"/>
      <c r="BI7" s="153"/>
      <c r="BJ7" s="153"/>
      <c r="BK7" s="154"/>
      <c r="BL7" s="89"/>
      <c r="BM7" s="152"/>
      <c r="BN7" s="153"/>
      <c r="BO7" s="153"/>
      <c r="BP7" s="154"/>
      <c r="BQ7" s="89"/>
      <c r="BR7" s="89"/>
    </row>
    <row r="8" spans="1:261" s="173" customFormat="1" ht="12.75" customHeight="1">
      <c r="A8" s="491"/>
      <c r="B8" s="491"/>
      <c r="C8" s="1179" t="s">
        <v>186</v>
      </c>
      <c r="E8" s="309"/>
      <c r="F8" s="310"/>
      <c r="G8" s="310"/>
      <c r="H8" s="311"/>
      <c r="I8" s="300">
        <v>10916</v>
      </c>
      <c r="J8" s="301">
        <v>2484</v>
      </c>
      <c r="K8" s="302">
        <v>2333</v>
      </c>
      <c r="L8" s="302">
        <v>2745</v>
      </c>
      <c r="M8" s="311">
        <f>N8-SUM(J8:L8)</f>
        <v>2148</v>
      </c>
      <c r="N8" s="300">
        <v>9710</v>
      </c>
      <c r="O8" s="288">
        <f>4632-P8</f>
        <v>2223</v>
      </c>
      <c r="P8" s="289">
        <v>2409</v>
      </c>
      <c r="Q8" s="302">
        <v>2865</v>
      </c>
      <c r="R8" s="311">
        <f>S8-SUM(O8:Q8)</f>
        <v>2243</v>
      </c>
      <c r="S8" s="291">
        <v>9740</v>
      </c>
      <c r="T8" s="301">
        <v>2354</v>
      </c>
      <c r="U8" s="302">
        <v>2095</v>
      </c>
      <c r="V8" s="302">
        <v>2438</v>
      </c>
      <c r="W8" s="311">
        <f>X8-SUM(T8:V8)</f>
        <v>2010</v>
      </c>
      <c r="X8" s="291">
        <v>8897</v>
      </c>
      <c r="Y8" s="301">
        <v>2212</v>
      </c>
      <c r="Z8" s="302">
        <v>2041</v>
      </c>
      <c r="AA8" s="302">
        <v>2340</v>
      </c>
      <c r="AB8" s="311">
        <f>AC8-SUM(Y8:AA8)</f>
        <v>2145</v>
      </c>
      <c r="AC8" s="291">
        <v>8738</v>
      </c>
      <c r="AD8" s="301">
        <v>2552</v>
      </c>
      <c r="AE8" s="302">
        <v>2065</v>
      </c>
      <c r="AF8" s="302">
        <v>2357</v>
      </c>
      <c r="AG8" s="311">
        <f>AH8-SUM(AD8:AF8)</f>
        <v>2128</v>
      </c>
      <c r="AH8" s="291">
        <v>9102</v>
      </c>
      <c r="AI8" s="301">
        <v>2562</v>
      </c>
      <c r="AJ8" s="302">
        <v>2239</v>
      </c>
      <c r="AK8" s="302">
        <v>2624</v>
      </c>
      <c r="AL8" s="311">
        <f>AM8-SUM(AI8:AK8)</f>
        <v>2200</v>
      </c>
      <c r="AM8" s="291">
        <v>9625</v>
      </c>
      <c r="AN8" s="301">
        <v>2521</v>
      </c>
      <c r="AO8" s="302">
        <v>2200</v>
      </c>
      <c r="AP8" s="302">
        <v>2702</v>
      </c>
      <c r="AQ8" s="311">
        <f>AR8-SUM(AN8:AP8)</f>
        <v>2206</v>
      </c>
      <c r="AR8" s="291">
        <v>9629</v>
      </c>
      <c r="AS8" s="301">
        <v>2490</v>
      </c>
      <c r="AT8" s="302">
        <v>2262</v>
      </c>
      <c r="AU8" s="302">
        <v>2610</v>
      </c>
      <c r="AV8" s="311">
        <f>AW8-SUM(AS8:AU8)</f>
        <v>2372</v>
      </c>
      <c r="AW8" s="291">
        <v>9734</v>
      </c>
      <c r="AX8" s="309">
        <f>+AX83</f>
        <v>2478.1712258265898</v>
      </c>
      <c r="AY8" s="310">
        <f>+AY83</f>
        <v>2205.4670746348083</v>
      </c>
      <c r="AZ8" s="310">
        <f>+AZ83</f>
        <v>2485.8082058548453</v>
      </c>
      <c r="BA8" s="311">
        <f>+BA83</f>
        <v>2259.7056446569318</v>
      </c>
      <c r="BB8" s="315">
        <f>SUM(AX8:BA8)</f>
        <v>9429.1521509731756</v>
      </c>
      <c r="BC8" s="309">
        <f>+BC83</f>
        <v>2503.8891312319952</v>
      </c>
      <c r="BD8" s="310">
        <f>+BD83</f>
        <v>2231.1849800402138</v>
      </c>
      <c r="BE8" s="310">
        <f>+BE83</f>
        <v>2511.5261112602502</v>
      </c>
      <c r="BF8" s="311">
        <f>+BF83</f>
        <v>2285.4235500623372</v>
      </c>
      <c r="BG8" s="315">
        <f>SUM(BC8:BF8)</f>
        <v>9532.0237725947954</v>
      </c>
      <c r="BH8" s="309">
        <f>+BH83</f>
        <v>2487.2827123130764</v>
      </c>
      <c r="BI8" s="310">
        <f>+BI83</f>
        <v>2214.5785611212941</v>
      </c>
      <c r="BJ8" s="310">
        <f>+BJ83</f>
        <v>2494.9196923413315</v>
      </c>
      <c r="BK8" s="311">
        <f>+BK83</f>
        <v>2268.8171311434185</v>
      </c>
      <c r="BL8" s="315">
        <f>SUM(BH8:BK8)</f>
        <v>9465.5980969191205</v>
      </c>
      <c r="BM8" s="309">
        <f>+BM83</f>
        <v>2525.652644745509</v>
      </c>
      <c r="BN8" s="310">
        <f>+BN83</f>
        <v>2252.9484935537271</v>
      </c>
      <c r="BO8" s="310">
        <f>+BO83</f>
        <v>2533.2896247737635</v>
      </c>
      <c r="BP8" s="311">
        <f>+BP83</f>
        <v>2307.187063575851</v>
      </c>
      <c r="BQ8" s="315">
        <f>SUM(BM8:BP8)</f>
        <v>9619.0778266488505</v>
      </c>
      <c r="BR8" s="285"/>
    </row>
    <row r="9" spans="1:261" s="81" customFormat="1" ht="12.75" customHeight="1">
      <c r="A9" s="221"/>
      <c r="B9" s="221"/>
      <c r="C9" s="1184" t="s">
        <v>625</v>
      </c>
      <c r="D9" s="746"/>
      <c r="E9" s="288"/>
      <c r="F9" s="289"/>
      <c r="G9" s="289"/>
      <c r="H9" s="290"/>
      <c r="I9" s="300">
        <v>6560</v>
      </c>
      <c r="J9" s="301">
        <v>1395</v>
      </c>
      <c r="K9" s="302">
        <v>1291</v>
      </c>
      <c r="L9" s="302">
        <v>1473</v>
      </c>
      <c r="M9" s="311">
        <f>N9-SUM(J9:L9)</f>
        <v>1114</v>
      </c>
      <c r="N9" s="300">
        <v>5273</v>
      </c>
      <c r="O9" s="301">
        <f>2323+97-P9</f>
        <v>1202</v>
      </c>
      <c r="P9" s="302">
        <v>1218</v>
      </c>
      <c r="Q9" s="302">
        <f>92+1294</f>
        <v>1386</v>
      </c>
      <c r="R9" s="317">
        <f>S9-SUM(O9:Q9)</f>
        <v>1129</v>
      </c>
      <c r="S9" s="300">
        <f>268+4667</f>
        <v>4935</v>
      </c>
      <c r="T9" s="301">
        <f>39+1082</f>
        <v>1121</v>
      </c>
      <c r="U9" s="302">
        <v>952</v>
      </c>
      <c r="V9" s="302">
        <f>76+1010</f>
        <v>1086</v>
      </c>
      <c r="W9" s="317">
        <f>X9-SUM(T9:V9)</f>
        <v>905</v>
      </c>
      <c r="X9" s="300">
        <f>263+3801</f>
        <v>4064</v>
      </c>
      <c r="Y9" s="301">
        <f>87+875</f>
        <v>962</v>
      </c>
      <c r="Z9" s="302">
        <f>75+762</f>
        <v>837</v>
      </c>
      <c r="AA9" s="302">
        <f>88+910</f>
        <v>998</v>
      </c>
      <c r="AB9" s="317">
        <f>AC9-SUM(Y9:AA9)</f>
        <v>888</v>
      </c>
      <c r="AC9" s="300">
        <f>377+3308</f>
        <v>3685</v>
      </c>
      <c r="AD9" s="301">
        <f>153+981</f>
        <v>1134</v>
      </c>
      <c r="AE9" s="302">
        <f>129+746</f>
        <v>875</v>
      </c>
      <c r="AF9" s="302">
        <f>159+873</f>
        <v>1032</v>
      </c>
      <c r="AG9" s="317">
        <f>AH9-SUM(AD9:AF9)</f>
        <v>911</v>
      </c>
      <c r="AH9" s="300">
        <f>567+3385</f>
        <v>3952</v>
      </c>
      <c r="AI9" s="301">
        <f>146+975</f>
        <v>1121</v>
      </c>
      <c r="AJ9" s="302">
        <f>120+806</f>
        <v>926</v>
      </c>
      <c r="AK9" s="302">
        <f>140+980</f>
        <v>1120</v>
      </c>
      <c r="AL9" s="317">
        <f>AM9-SUM(AI9:AK9)</f>
        <v>914</v>
      </c>
      <c r="AM9" s="300">
        <f>533+3548</f>
        <v>4081</v>
      </c>
      <c r="AN9" s="301">
        <f>139+926</f>
        <v>1065</v>
      </c>
      <c r="AO9" s="302">
        <f>141+721</f>
        <v>862</v>
      </c>
      <c r="AP9" s="302">
        <f>156+902</f>
        <v>1058</v>
      </c>
      <c r="AQ9" s="317">
        <f>AR9-SUM(AN9:AP9)</f>
        <v>855</v>
      </c>
      <c r="AR9" s="300">
        <f>567+3273</f>
        <v>3840</v>
      </c>
      <c r="AS9" s="301">
        <f>141+813</f>
        <v>954</v>
      </c>
      <c r="AT9" s="302">
        <f>121+657</f>
        <v>778</v>
      </c>
      <c r="AU9" s="302">
        <f>126+797</f>
        <v>923</v>
      </c>
      <c r="AV9" s="317">
        <f>AW9-SUM(AS9:AU9)</f>
        <v>762</v>
      </c>
      <c r="AW9" s="300">
        <f>493+2924</f>
        <v>3417</v>
      </c>
      <c r="AX9" s="316">
        <f>AX88</f>
        <v>969.09385113268615</v>
      </c>
      <c r="AY9" s="312">
        <f>AY88</f>
        <v>785.77999999999986</v>
      </c>
      <c r="AZ9" s="312">
        <f>AZ88</f>
        <v>922.75287817938431</v>
      </c>
      <c r="BA9" s="317">
        <f>BA88</f>
        <v>762.00000000000011</v>
      </c>
      <c r="BB9" s="315">
        <f>SUM(AX9:BA9)</f>
        <v>3439.6267293120704</v>
      </c>
      <c r="BC9" s="316">
        <f>BC88</f>
        <v>969.09385113268615</v>
      </c>
      <c r="BD9" s="312">
        <f>BD88</f>
        <v>785.77999999999986</v>
      </c>
      <c r="BE9" s="312">
        <f>BE88</f>
        <v>922.75287817938431</v>
      </c>
      <c r="BF9" s="317">
        <f>BF88</f>
        <v>762.00000000000011</v>
      </c>
      <c r="BG9" s="315">
        <f>SUM(BC9:BF9)</f>
        <v>3439.6267293120704</v>
      </c>
      <c r="BH9" s="316">
        <f>BH88</f>
        <v>969.09385113268615</v>
      </c>
      <c r="BI9" s="312">
        <f>BI88</f>
        <v>785.77999999999986</v>
      </c>
      <c r="BJ9" s="312">
        <f>BJ88</f>
        <v>922.75287817938431</v>
      </c>
      <c r="BK9" s="317">
        <f>BK88</f>
        <v>762.00000000000011</v>
      </c>
      <c r="BL9" s="315">
        <f>SUM(BH9:BK9)</f>
        <v>3439.6267293120704</v>
      </c>
      <c r="BM9" s="316">
        <f>BM88</f>
        <v>969.09385113268615</v>
      </c>
      <c r="BN9" s="312">
        <f>BN88</f>
        <v>785.77999999999986</v>
      </c>
      <c r="BO9" s="312">
        <f>BO88</f>
        <v>922.75287817938431</v>
      </c>
      <c r="BP9" s="317">
        <f>BP88</f>
        <v>762.00000000000011</v>
      </c>
      <c r="BQ9" s="315">
        <f>SUM(BM9:BP9)</f>
        <v>3439.6267293120704</v>
      </c>
      <c r="BR9" s="315"/>
    </row>
    <row r="10" spans="1:261" s="60" customFormat="1" ht="12.75" customHeight="1">
      <c r="A10" s="490"/>
      <c r="B10" s="221"/>
      <c r="C10" s="1186" t="s">
        <v>187</v>
      </c>
      <c r="E10" s="305"/>
      <c r="F10" s="306"/>
      <c r="G10" s="306"/>
      <c r="H10" s="307"/>
      <c r="I10" s="308">
        <f t="shared" ref="I10:AA10" si="0">I8-SUM(I9:I9)</f>
        <v>4356</v>
      </c>
      <c r="J10" s="305">
        <f t="shared" si="0"/>
        <v>1089</v>
      </c>
      <c r="K10" s="306">
        <f t="shared" si="0"/>
        <v>1042</v>
      </c>
      <c r="L10" s="306">
        <f t="shared" si="0"/>
        <v>1272</v>
      </c>
      <c r="M10" s="307">
        <f t="shared" si="0"/>
        <v>1034</v>
      </c>
      <c r="N10" s="308">
        <f t="shared" si="0"/>
        <v>4437</v>
      </c>
      <c r="O10" s="305">
        <f t="shared" si="0"/>
        <v>1021</v>
      </c>
      <c r="P10" s="306">
        <f t="shared" si="0"/>
        <v>1191</v>
      </c>
      <c r="Q10" s="306">
        <f t="shared" si="0"/>
        <v>1479</v>
      </c>
      <c r="R10" s="307">
        <f t="shared" si="0"/>
        <v>1114</v>
      </c>
      <c r="S10" s="308">
        <f t="shared" si="0"/>
        <v>4805</v>
      </c>
      <c r="T10" s="305">
        <f t="shared" si="0"/>
        <v>1233</v>
      </c>
      <c r="U10" s="306">
        <f t="shared" si="0"/>
        <v>1143</v>
      </c>
      <c r="V10" s="306">
        <f t="shared" si="0"/>
        <v>1352</v>
      </c>
      <c r="W10" s="307">
        <f t="shared" si="0"/>
        <v>1105</v>
      </c>
      <c r="X10" s="308">
        <f t="shared" si="0"/>
        <v>4833</v>
      </c>
      <c r="Y10" s="305">
        <f t="shared" si="0"/>
        <v>1250</v>
      </c>
      <c r="Z10" s="306">
        <f t="shared" si="0"/>
        <v>1204</v>
      </c>
      <c r="AA10" s="306">
        <f t="shared" si="0"/>
        <v>1342</v>
      </c>
      <c r="AB10" s="307">
        <f t="shared" ref="AB10:AJ10" si="1">AB8-SUM(AB9:AB9)</f>
        <v>1257</v>
      </c>
      <c r="AC10" s="308">
        <f t="shared" si="1"/>
        <v>5053</v>
      </c>
      <c r="AD10" s="305">
        <f t="shared" si="1"/>
        <v>1418</v>
      </c>
      <c r="AE10" s="306">
        <f t="shared" si="1"/>
        <v>1190</v>
      </c>
      <c r="AF10" s="306">
        <f t="shared" si="1"/>
        <v>1325</v>
      </c>
      <c r="AG10" s="307">
        <f t="shared" si="1"/>
        <v>1217</v>
      </c>
      <c r="AH10" s="308">
        <f t="shared" si="1"/>
        <v>5150</v>
      </c>
      <c r="AI10" s="305">
        <f t="shared" si="1"/>
        <v>1441</v>
      </c>
      <c r="AJ10" s="306">
        <f t="shared" si="1"/>
        <v>1313</v>
      </c>
      <c r="AK10" s="306">
        <f t="shared" ref="AK10:AP10" si="2">AK8-SUM(AK9:AK9)</f>
        <v>1504</v>
      </c>
      <c r="AL10" s="307">
        <f t="shared" si="2"/>
        <v>1286</v>
      </c>
      <c r="AM10" s="308">
        <f t="shared" si="2"/>
        <v>5544</v>
      </c>
      <c r="AN10" s="305">
        <f t="shared" si="2"/>
        <v>1456</v>
      </c>
      <c r="AO10" s="306">
        <f t="shared" si="2"/>
        <v>1338</v>
      </c>
      <c r="AP10" s="306">
        <f t="shared" si="2"/>
        <v>1644</v>
      </c>
      <c r="AQ10" s="307">
        <f t="shared" ref="AQ10:AT10" si="3">AQ8-SUM(AQ9:AQ9)</f>
        <v>1351</v>
      </c>
      <c r="AR10" s="308">
        <f t="shared" si="3"/>
        <v>5789</v>
      </c>
      <c r="AS10" s="305">
        <f t="shared" si="3"/>
        <v>1536</v>
      </c>
      <c r="AT10" s="306">
        <f t="shared" si="3"/>
        <v>1484</v>
      </c>
      <c r="AU10" s="306">
        <f t="shared" ref="AU10:BB10" si="4">AU8-SUM(AU9:AU9)</f>
        <v>1687</v>
      </c>
      <c r="AV10" s="307">
        <f t="shared" si="4"/>
        <v>1610</v>
      </c>
      <c r="AW10" s="308">
        <f t="shared" si="4"/>
        <v>6317</v>
      </c>
      <c r="AX10" s="305">
        <f t="shared" si="4"/>
        <v>1509.0773746939035</v>
      </c>
      <c r="AY10" s="306">
        <f t="shared" si="4"/>
        <v>1419.6870746348086</v>
      </c>
      <c r="AZ10" s="306">
        <f t="shared" si="4"/>
        <v>1563.0553276754608</v>
      </c>
      <c r="BA10" s="307">
        <f t="shared" si="4"/>
        <v>1497.7056446569318</v>
      </c>
      <c r="BB10" s="308">
        <f t="shared" si="4"/>
        <v>5989.5254216611047</v>
      </c>
      <c r="BC10" s="305">
        <f t="shared" ref="BC10:BL10" si="5">BC8-SUM(BC9:BC9)</f>
        <v>1534.7952800993089</v>
      </c>
      <c r="BD10" s="306">
        <f t="shared" si="5"/>
        <v>1445.404980040214</v>
      </c>
      <c r="BE10" s="306">
        <f t="shared" si="5"/>
        <v>1588.7732330808658</v>
      </c>
      <c r="BF10" s="307">
        <f t="shared" si="5"/>
        <v>1523.4235500623372</v>
      </c>
      <c r="BG10" s="308">
        <f t="shared" si="5"/>
        <v>6092.3970432827246</v>
      </c>
      <c r="BH10" s="305">
        <f t="shared" si="5"/>
        <v>1518.1888611803902</v>
      </c>
      <c r="BI10" s="306">
        <f t="shared" si="5"/>
        <v>1428.7985611212944</v>
      </c>
      <c r="BJ10" s="306">
        <f t="shared" si="5"/>
        <v>1572.1668141619471</v>
      </c>
      <c r="BK10" s="307">
        <f t="shared" si="5"/>
        <v>1506.8171311434185</v>
      </c>
      <c r="BL10" s="308">
        <f t="shared" si="5"/>
        <v>6025.9713676070496</v>
      </c>
      <c r="BM10" s="305">
        <f t="shared" ref="BM10:BQ10" si="6">BM8-SUM(BM9:BM9)</f>
        <v>1556.5587936128227</v>
      </c>
      <c r="BN10" s="306">
        <f t="shared" si="6"/>
        <v>1467.1684935537273</v>
      </c>
      <c r="BO10" s="306">
        <f t="shared" si="6"/>
        <v>1610.5367465943791</v>
      </c>
      <c r="BP10" s="307">
        <f t="shared" si="6"/>
        <v>1545.187063575851</v>
      </c>
      <c r="BQ10" s="308">
        <f t="shared" si="6"/>
        <v>6179.4510973367796</v>
      </c>
      <c r="BR10" s="308"/>
      <c r="BS10" s="18"/>
    </row>
    <row r="11" spans="1:261" s="81" customFormat="1" ht="12.75" customHeight="1">
      <c r="A11" s="221"/>
      <c r="B11" s="221"/>
      <c r="C11" s="1184"/>
      <c r="E11" s="316"/>
      <c r="F11" s="312"/>
      <c r="G11" s="312"/>
      <c r="H11" s="290"/>
      <c r="I11" s="315"/>
      <c r="J11" s="316"/>
      <c r="K11" s="312"/>
      <c r="L11" s="312"/>
      <c r="M11" s="290"/>
      <c r="N11" s="315"/>
      <c r="O11" s="316"/>
      <c r="P11" s="312"/>
      <c r="Q11" s="312"/>
      <c r="R11" s="317"/>
      <c r="S11" s="315"/>
      <c r="T11" s="316"/>
      <c r="U11" s="312"/>
      <c r="V11" s="312"/>
      <c r="W11" s="317"/>
      <c r="X11" s="315"/>
      <c r="Y11" s="316"/>
      <c r="Z11" s="312"/>
      <c r="AA11" s="312"/>
      <c r="AB11" s="317"/>
      <c r="AC11" s="315"/>
      <c r="AD11" s="316"/>
      <c r="AE11" s="312"/>
      <c r="AF11" s="312"/>
      <c r="AG11" s="317"/>
      <c r="AH11" s="315"/>
      <c r="AI11" s="316"/>
      <c r="AJ11" s="312"/>
      <c r="AK11" s="312"/>
      <c r="AL11" s="317"/>
      <c r="AM11" s="315"/>
      <c r="AN11" s="316"/>
      <c r="AO11" s="312"/>
      <c r="AP11" s="312"/>
      <c r="AQ11" s="317"/>
      <c r="AR11" s="315"/>
      <c r="AS11" s="316"/>
      <c r="AT11" s="312"/>
      <c r="AU11" s="312"/>
      <c r="AV11" s="317"/>
      <c r="AW11" s="315"/>
      <c r="AX11" s="316"/>
      <c r="AY11" s="312"/>
      <c r="AZ11" s="312"/>
      <c r="BA11" s="317"/>
      <c r="BB11" s="315"/>
      <c r="BC11" s="316"/>
      <c r="BD11" s="312"/>
      <c r="BE11" s="312"/>
      <c r="BF11" s="317"/>
      <c r="BG11" s="315"/>
      <c r="BH11" s="316"/>
      <c r="BI11" s="312"/>
      <c r="BJ11" s="312"/>
      <c r="BK11" s="317"/>
      <c r="BL11" s="315"/>
      <c r="BM11" s="316"/>
      <c r="BN11" s="312"/>
      <c r="BO11" s="312"/>
      <c r="BP11" s="317"/>
      <c r="BQ11" s="315"/>
      <c r="BR11" s="315"/>
      <c r="BS11" s="2254"/>
    </row>
    <row r="12" spans="1:261" s="81" customFormat="1">
      <c r="A12" s="221"/>
      <c r="B12" s="221"/>
      <c r="C12" s="1184" t="s">
        <v>188</v>
      </c>
      <c r="E12" s="288"/>
      <c r="F12" s="289"/>
      <c r="G12" s="289"/>
      <c r="H12" s="290"/>
      <c r="I12" s="291">
        <v>1257</v>
      </c>
      <c r="J12" s="288">
        <v>359</v>
      </c>
      <c r="K12" s="289">
        <v>331</v>
      </c>
      <c r="L12" s="289">
        <v>400</v>
      </c>
      <c r="M12" s="290">
        <f>+N12-L12-K12-J12</f>
        <v>230</v>
      </c>
      <c r="N12" s="291">
        <v>1320</v>
      </c>
      <c r="O12" s="288">
        <f>753-P12</f>
        <v>351</v>
      </c>
      <c r="P12" s="289">
        <v>402</v>
      </c>
      <c r="Q12" s="289">
        <v>459</v>
      </c>
      <c r="R12" s="317">
        <f>S12-SUM(O12:Q12)</f>
        <v>457</v>
      </c>
      <c r="S12" s="291">
        <v>1669</v>
      </c>
      <c r="T12" s="288">
        <v>467</v>
      </c>
      <c r="U12" s="289">
        <v>393</v>
      </c>
      <c r="V12" s="289">
        <v>398</v>
      </c>
      <c r="W12" s="317">
        <f>X12-SUM(T12:V12)</f>
        <v>705</v>
      </c>
      <c r="X12" s="291">
        <v>1963</v>
      </c>
      <c r="Y12" s="288">
        <v>415</v>
      </c>
      <c r="Z12" s="302">
        <v>402</v>
      </c>
      <c r="AA12" s="302">
        <v>457</v>
      </c>
      <c r="AB12" s="317">
        <f>AC12-SUM(Y12:AA12)</f>
        <v>499</v>
      </c>
      <c r="AC12" s="291">
        <v>1773</v>
      </c>
      <c r="AD12" s="288">
        <v>627</v>
      </c>
      <c r="AE12" s="302">
        <v>480</v>
      </c>
      <c r="AF12" s="302">
        <v>473</v>
      </c>
      <c r="AG12" s="317">
        <f>AH12-SUM(AD12:AF12)</f>
        <v>501</v>
      </c>
      <c r="AH12" s="291">
        <v>2081</v>
      </c>
      <c r="AI12" s="288">
        <v>597</v>
      </c>
      <c r="AJ12" s="302">
        <v>538</v>
      </c>
      <c r="AK12" s="302">
        <v>542</v>
      </c>
      <c r="AL12" s="317">
        <f>AM12-SUM(AI12:AK12)</f>
        <v>565</v>
      </c>
      <c r="AM12" s="291">
        <v>2242</v>
      </c>
      <c r="AN12" s="288">
        <v>648</v>
      </c>
      <c r="AO12" s="302">
        <v>580</v>
      </c>
      <c r="AP12" s="302">
        <v>615</v>
      </c>
      <c r="AQ12" s="317">
        <f>AR12-SUM(AN12:AP12)</f>
        <v>593</v>
      </c>
      <c r="AR12" s="291">
        <v>2436</v>
      </c>
      <c r="AS12" s="288">
        <v>624</v>
      </c>
      <c r="AT12" s="302">
        <v>627</v>
      </c>
      <c r="AU12" s="302">
        <v>620</v>
      </c>
      <c r="AV12" s="317">
        <f>AW12-SUM(AS12:AU12)</f>
        <v>646</v>
      </c>
      <c r="AW12" s="291">
        <v>2517</v>
      </c>
      <c r="AX12" s="316">
        <f>AX107</f>
        <v>622.16</v>
      </c>
      <c r="AY12" s="312">
        <f>AY107</f>
        <v>624.17999999999995</v>
      </c>
      <c r="AZ12" s="312">
        <f>AZ107</f>
        <v>618.12</v>
      </c>
      <c r="BA12" s="317">
        <f>BA107</f>
        <v>644.38</v>
      </c>
      <c r="BB12" s="315">
        <f>SUM(AX12:BA12)</f>
        <v>2508.84</v>
      </c>
      <c r="BC12" s="316">
        <f>BC107</f>
        <v>628.38159999999993</v>
      </c>
      <c r="BD12" s="312">
        <f>BD107</f>
        <v>630.42179999999996</v>
      </c>
      <c r="BE12" s="312">
        <f>BE107</f>
        <v>624.30119999999999</v>
      </c>
      <c r="BF12" s="317">
        <f>BF107</f>
        <v>650.82380000000001</v>
      </c>
      <c r="BG12" s="315">
        <f>SUM(BC12:BF12)</f>
        <v>2533.9283999999998</v>
      </c>
      <c r="BH12" s="316">
        <f>BH107</f>
        <v>634.66541599999994</v>
      </c>
      <c r="BI12" s="312">
        <f>BI107</f>
        <v>636.72601799999995</v>
      </c>
      <c r="BJ12" s="312">
        <f>BJ107</f>
        <v>630.54421200000002</v>
      </c>
      <c r="BK12" s="317">
        <f>BK107</f>
        <v>657.33203800000001</v>
      </c>
      <c r="BL12" s="315">
        <f>SUM(BH12:BK12)</f>
        <v>2559.2676839999999</v>
      </c>
      <c r="BM12" s="316">
        <f>BM107</f>
        <v>641.01207015999989</v>
      </c>
      <c r="BN12" s="312">
        <f>BN107</f>
        <v>643.09327817999997</v>
      </c>
      <c r="BO12" s="312">
        <f>BO107</f>
        <v>636.84965411999997</v>
      </c>
      <c r="BP12" s="317">
        <f>BP107</f>
        <v>663.90535838000005</v>
      </c>
      <c r="BQ12" s="315">
        <f>SUM(BM12:BP12)</f>
        <v>2584.8603608399999</v>
      </c>
      <c r="BR12" s="315"/>
      <c r="BS12" s="18"/>
    </row>
    <row r="13" spans="1:261" s="81" customFormat="1">
      <c r="A13" s="221"/>
      <c r="B13" s="221"/>
      <c r="C13" s="1184" t="s">
        <v>873</v>
      </c>
      <c r="E13" s="288"/>
      <c r="F13" s="289"/>
      <c r="G13" s="289"/>
      <c r="H13" s="290"/>
      <c r="I13" s="291">
        <v>426</v>
      </c>
      <c r="J13" s="288">
        <v>104</v>
      </c>
      <c r="K13" s="289">
        <v>106</v>
      </c>
      <c r="L13" s="289">
        <v>102</v>
      </c>
      <c r="M13" s="290">
        <f>+N13-L13-K13-J13</f>
        <v>121</v>
      </c>
      <c r="N13" s="291">
        <v>433</v>
      </c>
      <c r="O13" s="288">
        <f>258-P13</f>
        <v>113</v>
      </c>
      <c r="P13" s="289">
        <v>145</v>
      </c>
      <c r="Q13" s="289">
        <v>151</v>
      </c>
      <c r="R13" s="317">
        <f>S13-SUM(O13:Q13)</f>
        <v>114</v>
      </c>
      <c r="S13" s="291">
        <v>523</v>
      </c>
      <c r="T13" s="288">
        <v>141</v>
      </c>
      <c r="U13" s="289">
        <v>151</v>
      </c>
      <c r="V13" s="289">
        <v>142</v>
      </c>
      <c r="W13" s="317">
        <f>X13-SUM(T13:V13)</f>
        <v>124</v>
      </c>
      <c r="X13" s="291">
        <v>558</v>
      </c>
      <c r="Y13" s="288">
        <v>144</v>
      </c>
      <c r="Z13" s="302">
        <v>151</v>
      </c>
      <c r="AA13" s="302">
        <v>151</v>
      </c>
      <c r="AB13" s="317">
        <f>AC13-SUM(Y13:AA13)</f>
        <v>160</v>
      </c>
      <c r="AC13" s="291">
        <v>606</v>
      </c>
      <c r="AD13" s="288">
        <v>162</v>
      </c>
      <c r="AE13" s="302">
        <v>164</v>
      </c>
      <c r="AF13" s="302">
        <v>165</v>
      </c>
      <c r="AG13" s="317">
        <f>AH13-SUM(AD13:AF13)</f>
        <v>167</v>
      </c>
      <c r="AH13" s="291">
        <v>658</v>
      </c>
      <c r="AI13" s="288">
        <v>172</v>
      </c>
      <c r="AJ13" s="302">
        <v>170</v>
      </c>
      <c r="AK13" s="302">
        <v>174</v>
      </c>
      <c r="AL13" s="317">
        <f>AM13-SUM(AI13:AK13)</f>
        <v>156</v>
      </c>
      <c r="AM13" s="291">
        <v>672</v>
      </c>
      <c r="AN13" s="288">
        <v>169</v>
      </c>
      <c r="AO13" s="302">
        <v>170</v>
      </c>
      <c r="AP13" s="302">
        <v>171</v>
      </c>
      <c r="AQ13" s="317">
        <f>AR13-SUM(AN13:AP13)</f>
        <v>166</v>
      </c>
      <c r="AR13" s="291">
        <v>676</v>
      </c>
      <c r="AS13" s="288">
        <v>178</v>
      </c>
      <c r="AT13" s="302">
        <v>179</v>
      </c>
      <c r="AU13" s="302">
        <v>183</v>
      </c>
      <c r="AV13" s="317">
        <f>AW13-SUM(AS13:AU13)</f>
        <v>184</v>
      </c>
      <c r="AW13" s="291">
        <v>724</v>
      </c>
      <c r="AX13" s="316">
        <f>AX120</f>
        <v>186.421875</v>
      </c>
      <c r="AY13" s="312">
        <f>AY120</f>
        <v>188.84375</v>
      </c>
      <c r="AZ13" s="312">
        <f>AZ120</f>
        <v>191.265625</v>
      </c>
      <c r="BA13" s="317">
        <f>BA120</f>
        <v>193.6875</v>
      </c>
      <c r="BB13" s="315">
        <f>SUM(AX13:BA13)</f>
        <v>760.21875</v>
      </c>
      <c r="BC13" s="316">
        <f>BC120</f>
        <v>196.109375</v>
      </c>
      <c r="BD13" s="312">
        <f>BD120</f>
        <v>198.53125</v>
      </c>
      <c r="BE13" s="312">
        <f>BE120</f>
        <v>200.953125</v>
      </c>
      <c r="BF13" s="317">
        <f>BF120</f>
        <v>203.375</v>
      </c>
      <c r="BG13" s="315">
        <f>SUM(BC13:BF13)</f>
        <v>798.96875</v>
      </c>
      <c r="BH13" s="316">
        <f>BH120</f>
        <v>205.796875</v>
      </c>
      <c r="BI13" s="312">
        <f>BI120</f>
        <v>208.21875</v>
      </c>
      <c r="BJ13" s="312">
        <f>BJ120</f>
        <v>210.640625</v>
      </c>
      <c r="BK13" s="317">
        <f>BK120</f>
        <v>213.0625</v>
      </c>
      <c r="BL13" s="315">
        <f>SUM(BH13:BK13)</f>
        <v>837.71875</v>
      </c>
      <c r="BM13" s="316">
        <f>BM120</f>
        <v>215.484375</v>
      </c>
      <c r="BN13" s="312">
        <f>BN120</f>
        <v>217.90625</v>
      </c>
      <c r="BO13" s="312">
        <f>BO120</f>
        <v>220.328125</v>
      </c>
      <c r="BP13" s="317">
        <f>BP120</f>
        <v>222.75</v>
      </c>
      <c r="BQ13" s="315">
        <f>SUM(BM13:BP13)</f>
        <v>876.46875</v>
      </c>
      <c r="BR13" s="315"/>
      <c r="BS13" s="2254"/>
    </row>
    <row r="14" spans="1:261" s="81" customFormat="1">
      <c r="A14" s="221"/>
      <c r="B14" s="221"/>
      <c r="C14" s="1184" t="s">
        <v>250</v>
      </c>
      <c r="E14" s="288"/>
      <c r="F14" s="289"/>
      <c r="G14" s="289"/>
      <c r="H14" s="290"/>
      <c r="I14" s="291">
        <v>1006</v>
      </c>
      <c r="J14" s="288">
        <v>209</v>
      </c>
      <c r="K14" s="289">
        <v>158</v>
      </c>
      <c r="L14" s="289">
        <v>176</v>
      </c>
      <c r="M14" s="290">
        <f>+N14-L14-K14-J14</f>
        <v>169</v>
      </c>
      <c r="N14" s="291">
        <v>712</v>
      </c>
      <c r="O14" s="288">
        <f>215-P14</f>
        <v>128</v>
      </c>
      <c r="P14" s="289">
        <v>87</v>
      </c>
      <c r="Q14" s="289">
        <v>122</v>
      </c>
      <c r="R14" s="290">
        <f>S14-SUM(O14:Q14)</f>
        <v>131</v>
      </c>
      <c r="S14" s="291">
        <v>468</v>
      </c>
      <c r="T14" s="288">
        <v>75</v>
      </c>
      <c r="U14" s="289">
        <v>64</v>
      </c>
      <c r="V14" s="289">
        <v>60</v>
      </c>
      <c r="W14" s="290">
        <f>X14-SUM(T14:V14)</f>
        <v>106</v>
      </c>
      <c r="X14" s="291">
        <v>305</v>
      </c>
      <c r="Y14" s="288">
        <v>58</v>
      </c>
      <c r="Z14" s="302">
        <v>69</v>
      </c>
      <c r="AA14" s="302">
        <f>309-254</f>
        <v>55</v>
      </c>
      <c r="AB14" s="290">
        <f>AC14-SUM(Y14:AA14)</f>
        <v>347</v>
      </c>
      <c r="AC14" s="291">
        <v>529</v>
      </c>
      <c r="AD14" s="288">
        <v>-31</v>
      </c>
      <c r="AE14" s="302">
        <v>16</v>
      </c>
      <c r="AF14" s="302">
        <v>33</v>
      </c>
      <c r="AG14" s="290">
        <f>AH14-SUM(AD14:AF14)</f>
        <v>-17</v>
      </c>
      <c r="AH14" s="291">
        <v>1</v>
      </c>
      <c r="AI14" s="288">
        <v>29</v>
      </c>
      <c r="AJ14" s="302">
        <v>57</v>
      </c>
      <c r="AK14" s="302">
        <v>110</v>
      </c>
      <c r="AL14" s="290">
        <f>AM14-SUM(AI14:AK14)</f>
        <v>65</v>
      </c>
      <c r="AM14" s="291">
        <v>261</v>
      </c>
      <c r="AN14" s="288">
        <v>59</v>
      </c>
      <c r="AO14" s="302">
        <v>61</v>
      </c>
      <c r="AP14" s="302">
        <v>98</v>
      </c>
      <c r="AQ14" s="290">
        <f>AR14-SUM(AN14:AP14)</f>
        <v>95</v>
      </c>
      <c r="AR14" s="291">
        <v>313</v>
      </c>
      <c r="AS14" s="288">
        <v>57</v>
      </c>
      <c r="AT14" s="302">
        <v>62</v>
      </c>
      <c r="AU14" s="302">
        <v>85</v>
      </c>
      <c r="AV14" s="290">
        <f>AW14-SUM(AS14:AU14)</f>
        <v>88</v>
      </c>
      <c r="AW14" s="291">
        <v>292</v>
      </c>
      <c r="AX14" s="296">
        <f>AY14</f>
        <v>17.5</v>
      </c>
      <c r="AY14" s="297">
        <f>AZ14</f>
        <v>17.5</v>
      </c>
      <c r="AZ14" s="297">
        <f>BA14</f>
        <v>17.5</v>
      </c>
      <c r="BA14" s="290">
        <f>BB14/4</f>
        <v>17.5</v>
      </c>
      <c r="BB14" s="730">
        <v>70</v>
      </c>
      <c r="BC14" s="296">
        <f>BD14</f>
        <v>17.5</v>
      </c>
      <c r="BD14" s="297">
        <f>BE14</f>
        <v>17.5</v>
      </c>
      <c r="BE14" s="297">
        <f>BF14</f>
        <v>17.5</v>
      </c>
      <c r="BF14" s="290">
        <f>BG14/4</f>
        <v>17.5</v>
      </c>
      <c r="BG14" s="730">
        <v>70</v>
      </c>
      <c r="BH14" s="296">
        <f>BI14</f>
        <v>17.5</v>
      </c>
      <c r="BI14" s="297">
        <f>BJ14</f>
        <v>17.5</v>
      </c>
      <c r="BJ14" s="297">
        <f>BK14</f>
        <v>17.5</v>
      </c>
      <c r="BK14" s="290">
        <f>BL14/4</f>
        <v>17.5</v>
      </c>
      <c r="BL14" s="730">
        <v>70</v>
      </c>
      <c r="BM14" s="296">
        <f>BN14</f>
        <v>17.5</v>
      </c>
      <c r="BN14" s="297">
        <f>BO14</f>
        <v>17.5</v>
      </c>
      <c r="BO14" s="297">
        <f>BP14</f>
        <v>17.5</v>
      </c>
      <c r="BP14" s="290">
        <f>BQ14/4</f>
        <v>17.5</v>
      </c>
      <c r="BQ14" s="730">
        <v>70</v>
      </c>
      <c r="BR14" s="315"/>
      <c r="BS14" s="2254"/>
    </row>
    <row r="15" spans="1:261" s="81" customFormat="1">
      <c r="A15" s="221"/>
      <c r="B15" s="221"/>
      <c r="C15" s="1184" t="s">
        <v>194</v>
      </c>
      <c r="E15" s="288"/>
      <c r="F15" s="289"/>
      <c r="G15" s="289"/>
      <c r="H15" s="290"/>
      <c r="I15" s="291">
        <v>589</v>
      </c>
      <c r="J15" s="288">
        <v>154</v>
      </c>
      <c r="K15" s="289">
        <v>138</v>
      </c>
      <c r="L15" s="289">
        <v>167</v>
      </c>
      <c r="M15" s="290">
        <f>+N15-L15-K15-J15</f>
        <v>146</v>
      </c>
      <c r="N15" s="291">
        <v>605</v>
      </c>
      <c r="O15" s="288">
        <f>353-P15</f>
        <v>176</v>
      </c>
      <c r="P15" s="289">
        <v>177</v>
      </c>
      <c r="Q15" s="289">
        <v>198</v>
      </c>
      <c r="R15" s="317">
        <f>S15-SUM(O15:Q15)</f>
        <v>166</v>
      </c>
      <c r="S15" s="291">
        <v>717</v>
      </c>
      <c r="T15" s="288">
        <v>190</v>
      </c>
      <c r="U15" s="289">
        <v>167</v>
      </c>
      <c r="V15" s="289">
        <v>186</v>
      </c>
      <c r="W15" s="317">
        <f>X15-SUM(T15:V15)</f>
        <v>163</v>
      </c>
      <c r="X15" s="291">
        <v>706</v>
      </c>
      <c r="Y15" s="288">
        <v>182</v>
      </c>
      <c r="Z15" s="302">
        <v>172</v>
      </c>
      <c r="AA15" s="302">
        <v>173</v>
      </c>
      <c r="AB15" s="317">
        <f>AC15-SUM(Y15:AA15)</f>
        <v>170</v>
      </c>
      <c r="AC15" s="291">
        <v>697</v>
      </c>
      <c r="AD15" s="288">
        <v>187</v>
      </c>
      <c r="AE15" s="302">
        <v>166</v>
      </c>
      <c r="AF15" s="302">
        <v>175</v>
      </c>
      <c r="AG15" s="317">
        <f>AH15-SUM(AD15:AF15)</f>
        <v>165</v>
      </c>
      <c r="AH15" s="291">
        <v>693</v>
      </c>
      <c r="AI15" s="288">
        <v>190</v>
      </c>
      <c r="AJ15" s="302">
        <v>174</v>
      </c>
      <c r="AK15" s="302">
        <v>172</v>
      </c>
      <c r="AL15" s="317">
        <f>AM15-SUM(AI15:AK15)</f>
        <v>167</v>
      </c>
      <c r="AM15" s="291">
        <v>703</v>
      </c>
      <c r="AN15" s="288">
        <v>185</v>
      </c>
      <c r="AO15" s="302">
        <v>170</v>
      </c>
      <c r="AP15" s="302">
        <v>190</v>
      </c>
      <c r="AQ15" s="317">
        <f>AR15-SUM(AN15:AP15)</f>
        <v>175</v>
      </c>
      <c r="AR15" s="291">
        <v>720</v>
      </c>
      <c r="AS15" s="288">
        <v>184</v>
      </c>
      <c r="AT15" s="302">
        <v>175</v>
      </c>
      <c r="AU15" s="302">
        <v>187</v>
      </c>
      <c r="AV15" s="317">
        <f>AW15-SUM(AS15:AU15)</f>
        <v>181</v>
      </c>
      <c r="AW15" s="291">
        <v>727</v>
      </c>
      <c r="AX15" s="316">
        <f>AX113</f>
        <v>185.84</v>
      </c>
      <c r="AY15" s="312">
        <f>AY113</f>
        <v>176.75</v>
      </c>
      <c r="AZ15" s="312">
        <f>AZ113</f>
        <v>188.87</v>
      </c>
      <c r="BA15" s="317">
        <f>BA113</f>
        <v>182.81</v>
      </c>
      <c r="BB15" s="315">
        <f>SUM(AX15:BA15)</f>
        <v>734.27</v>
      </c>
      <c r="BC15" s="316">
        <f>BC113</f>
        <v>187.69839999999999</v>
      </c>
      <c r="BD15" s="312">
        <f>BD113</f>
        <v>178.51750000000001</v>
      </c>
      <c r="BE15" s="312">
        <f>BE113</f>
        <v>190.7587</v>
      </c>
      <c r="BF15" s="317">
        <f>BF113</f>
        <v>184.63810000000001</v>
      </c>
      <c r="BG15" s="315">
        <f>SUM(BC15:BF15)</f>
        <v>741.61270000000002</v>
      </c>
      <c r="BH15" s="316">
        <f>BH113</f>
        <v>189.57538399999999</v>
      </c>
      <c r="BI15" s="312">
        <f>BI113</f>
        <v>180.30267500000002</v>
      </c>
      <c r="BJ15" s="312">
        <f>BJ113</f>
        <v>192.66628700000001</v>
      </c>
      <c r="BK15" s="317">
        <f>BK113</f>
        <v>186.48448100000002</v>
      </c>
      <c r="BL15" s="315">
        <f>SUM(BH15:BK15)</f>
        <v>749.02882700000009</v>
      </c>
      <c r="BM15" s="316">
        <f>BM113</f>
        <v>191.47113783999998</v>
      </c>
      <c r="BN15" s="312">
        <f>BN113</f>
        <v>182.10570175000004</v>
      </c>
      <c r="BO15" s="312">
        <f>BO113</f>
        <v>194.59294987000001</v>
      </c>
      <c r="BP15" s="317">
        <f>BP113</f>
        <v>188.34932581000001</v>
      </c>
      <c r="BQ15" s="315">
        <f>SUM(BM15:BP15)</f>
        <v>756.51911527000004</v>
      </c>
      <c r="BR15" s="315"/>
      <c r="BS15" s="2254"/>
    </row>
    <row r="16" spans="1:261" s="60" customFormat="1">
      <c r="A16" s="490"/>
      <c r="B16" s="490"/>
      <c r="C16" s="1186" t="s">
        <v>195</v>
      </c>
      <c r="E16" s="305"/>
      <c r="F16" s="306"/>
      <c r="G16" s="306"/>
      <c r="H16" s="307"/>
      <c r="I16" s="308">
        <f t="shared" ref="I16:N16" si="7">SUM(I9:I9,I12:I15)</f>
        <v>9838</v>
      </c>
      <c r="J16" s="305">
        <f t="shared" si="7"/>
        <v>2221</v>
      </c>
      <c r="K16" s="306">
        <f t="shared" si="7"/>
        <v>2024</v>
      </c>
      <c r="L16" s="306">
        <f t="shared" si="7"/>
        <v>2318</v>
      </c>
      <c r="M16" s="307">
        <f t="shared" si="7"/>
        <v>1780</v>
      </c>
      <c r="N16" s="308">
        <f t="shared" si="7"/>
        <v>8343</v>
      </c>
      <c r="O16" s="305">
        <f t="shared" ref="O16:AT16" si="8">SUM(O9:O9,O12:O15)</f>
        <v>1970</v>
      </c>
      <c r="P16" s="306">
        <f t="shared" si="8"/>
        <v>2029</v>
      </c>
      <c r="Q16" s="306">
        <f t="shared" si="8"/>
        <v>2316</v>
      </c>
      <c r="R16" s="307">
        <f t="shared" si="8"/>
        <v>1997</v>
      </c>
      <c r="S16" s="308">
        <f t="shared" si="8"/>
        <v>8312</v>
      </c>
      <c r="T16" s="305">
        <f t="shared" si="8"/>
        <v>1994</v>
      </c>
      <c r="U16" s="306">
        <f t="shared" si="8"/>
        <v>1727</v>
      </c>
      <c r="V16" s="306">
        <f t="shared" si="8"/>
        <v>1872</v>
      </c>
      <c r="W16" s="307">
        <f t="shared" si="8"/>
        <v>2003</v>
      </c>
      <c r="X16" s="308">
        <f t="shared" si="8"/>
        <v>7596</v>
      </c>
      <c r="Y16" s="305">
        <f t="shared" si="8"/>
        <v>1761</v>
      </c>
      <c r="Z16" s="306">
        <f t="shared" si="8"/>
        <v>1631</v>
      </c>
      <c r="AA16" s="306">
        <f t="shared" si="8"/>
        <v>1834</v>
      </c>
      <c r="AB16" s="307">
        <f t="shared" ref="AB16:AJ16" si="9">SUM(AB9:AB9,AB12:AB15)</f>
        <v>2064</v>
      </c>
      <c r="AC16" s="308">
        <f t="shared" si="9"/>
        <v>7290</v>
      </c>
      <c r="AD16" s="305">
        <f t="shared" si="9"/>
        <v>2079</v>
      </c>
      <c r="AE16" s="306">
        <f t="shared" si="9"/>
        <v>1701</v>
      </c>
      <c r="AF16" s="306">
        <f t="shared" si="9"/>
        <v>1878</v>
      </c>
      <c r="AG16" s="307">
        <f t="shared" si="9"/>
        <v>1727</v>
      </c>
      <c r="AH16" s="308">
        <f t="shared" si="9"/>
        <v>7385</v>
      </c>
      <c r="AI16" s="305">
        <f t="shared" si="9"/>
        <v>2109</v>
      </c>
      <c r="AJ16" s="306">
        <f t="shared" si="9"/>
        <v>1865</v>
      </c>
      <c r="AK16" s="306">
        <f t="shared" ref="AK16:AO16" si="10">SUM(AK9:AK9,AK12:AK15)</f>
        <v>2118</v>
      </c>
      <c r="AL16" s="307">
        <f t="shared" si="10"/>
        <v>1867</v>
      </c>
      <c r="AM16" s="308">
        <f t="shared" si="10"/>
        <v>7959</v>
      </c>
      <c r="AN16" s="305">
        <f t="shared" si="10"/>
        <v>2126</v>
      </c>
      <c r="AO16" s="306">
        <f t="shared" si="10"/>
        <v>1843</v>
      </c>
      <c r="AP16" s="306">
        <f t="shared" si="8"/>
        <v>2132</v>
      </c>
      <c r="AQ16" s="307">
        <f t="shared" si="8"/>
        <v>1884</v>
      </c>
      <c r="AR16" s="308">
        <f t="shared" si="8"/>
        <v>7985</v>
      </c>
      <c r="AS16" s="305">
        <f t="shared" si="8"/>
        <v>1997</v>
      </c>
      <c r="AT16" s="306">
        <f t="shared" si="8"/>
        <v>1821</v>
      </c>
      <c r="AU16" s="306">
        <f t="shared" ref="AU16:BB16" si="11">SUM(AU9:AU9,AU12:AU15)</f>
        <v>1998</v>
      </c>
      <c r="AV16" s="307">
        <f t="shared" si="11"/>
        <v>1861</v>
      </c>
      <c r="AW16" s="308">
        <f t="shared" si="11"/>
        <v>7677</v>
      </c>
      <c r="AX16" s="305">
        <f t="shared" si="11"/>
        <v>1981.015726132686</v>
      </c>
      <c r="AY16" s="306">
        <f t="shared" si="11"/>
        <v>1793.0537499999998</v>
      </c>
      <c r="AZ16" s="306">
        <f t="shared" si="11"/>
        <v>1938.5085031793842</v>
      </c>
      <c r="BA16" s="307">
        <f t="shared" si="11"/>
        <v>1800.3775000000001</v>
      </c>
      <c r="BB16" s="308">
        <f t="shared" si="11"/>
        <v>7512.9554793120715</v>
      </c>
      <c r="BC16" s="305">
        <f t="shared" ref="BC16:BL16" si="12">SUM(BC9:BC9,BC12:BC15)</f>
        <v>1998.783226132686</v>
      </c>
      <c r="BD16" s="306">
        <f t="shared" si="12"/>
        <v>1810.7505499999997</v>
      </c>
      <c r="BE16" s="306">
        <f t="shared" si="12"/>
        <v>1956.2659031793844</v>
      </c>
      <c r="BF16" s="307">
        <f t="shared" si="12"/>
        <v>1818.3369000000002</v>
      </c>
      <c r="BG16" s="308">
        <f t="shared" si="12"/>
        <v>7584.1365793120694</v>
      </c>
      <c r="BH16" s="305">
        <f t="shared" si="12"/>
        <v>2016.6315261326861</v>
      </c>
      <c r="BI16" s="306">
        <f t="shared" si="12"/>
        <v>1828.5274429999999</v>
      </c>
      <c r="BJ16" s="306">
        <f t="shared" si="12"/>
        <v>1974.1040021793842</v>
      </c>
      <c r="BK16" s="307">
        <f t="shared" si="12"/>
        <v>1836.379019</v>
      </c>
      <c r="BL16" s="308">
        <f t="shared" si="12"/>
        <v>7655.6419903120704</v>
      </c>
      <c r="BM16" s="305">
        <f t="shared" ref="BM16:BQ16" si="13">SUM(BM9:BM9,BM12:BM15)</f>
        <v>2034.5614341326861</v>
      </c>
      <c r="BN16" s="306">
        <f t="shared" si="13"/>
        <v>1846.3852299299999</v>
      </c>
      <c r="BO16" s="306">
        <f t="shared" si="13"/>
        <v>1992.0236071693841</v>
      </c>
      <c r="BP16" s="307">
        <f t="shared" si="13"/>
        <v>1854.50468419</v>
      </c>
      <c r="BQ16" s="308">
        <f t="shared" si="13"/>
        <v>7727.4749554220698</v>
      </c>
      <c r="BR16" s="308"/>
    </row>
    <row r="17" spans="1:71" s="60" customFormat="1">
      <c r="A17" s="490"/>
      <c r="B17" s="490"/>
      <c r="C17" s="1186"/>
      <c r="E17" s="305"/>
      <c r="F17" s="306"/>
      <c r="G17" s="306"/>
      <c r="H17" s="307"/>
      <c r="I17" s="308"/>
      <c r="J17" s="305"/>
      <c r="K17" s="306"/>
      <c r="L17" s="306"/>
      <c r="M17" s="307"/>
      <c r="N17" s="308"/>
      <c r="O17" s="305"/>
      <c r="P17" s="306"/>
      <c r="Q17" s="306"/>
      <c r="R17" s="307"/>
      <c r="S17" s="308"/>
      <c r="T17" s="305"/>
      <c r="U17" s="306"/>
      <c r="V17" s="306"/>
      <c r="W17" s="307"/>
      <c r="X17" s="308"/>
      <c r="Y17" s="305"/>
      <c r="Z17" s="306"/>
      <c r="AA17" s="306"/>
      <c r="AB17" s="307"/>
      <c r="AC17" s="308"/>
      <c r="AD17" s="305"/>
      <c r="AE17" s="306"/>
      <c r="AF17" s="306"/>
      <c r="AG17" s="307"/>
      <c r="AH17" s="308"/>
      <c r="AI17" s="305"/>
      <c r="AJ17" s="306"/>
      <c r="AK17" s="306"/>
      <c r="AL17" s="307"/>
      <c r="AM17" s="308"/>
      <c r="AN17" s="305"/>
      <c r="AO17" s="306"/>
      <c r="AP17" s="306"/>
      <c r="AQ17" s="307"/>
      <c r="AR17" s="308"/>
      <c r="AS17" s="305"/>
      <c r="AT17" s="306"/>
      <c r="AU17" s="306"/>
      <c r="AV17" s="307"/>
      <c r="AW17" s="308"/>
      <c r="AX17" s="305"/>
      <c r="AY17" s="306"/>
      <c r="AZ17" s="306"/>
      <c r="BA17" s="307"/>
      <c r="BB17" s="308"/>
      <c r="BC17" s="305"/>
      <c r="BD17" s="306"/>
      <c r="BE17" s="306"/>
      <c r="BF17" s="307"/>
      <c r="BG17" s="308"/>
      <c r="BH17" s="305"/>
      <c r="BI17" s="306"/>
      <c r="BJ17" s="306"/>
      <c r="BK17" s="307"/>
      <c r="BL17" s="308"/>
      <c r="BM17" s="305"/>
      <c r="BN17" s="306"/>
      <c r="BO17" s="306"/>
      <c r="BP17" s="307"/>
      <c r="BQ17" s="308"/>
      <c r="BR17" s="308"/>
      <c r="BS17" s="1964"/>
    </row>
    <row r="18" spans="1:71" s="81" customFormat="1">
      <c r="A18" s="221"/>
      <c r="B18" s="221"/>
      <c r="C18" s="1186" t="s">
        <v>290</v>
      </c>
      <c r="E18" s="305"/>
      <c r="F18" s="306"/>
      <c r="G18" s="306"/>
      <c r="H18" s="314"/>
      <c r="I18" s="308">
        <f t="shared" ref="I18:AT18" si="14">I8-I16</f>
        <v>1078</v>
      </c>
      <c r="J18" s="305">
        <f t="shared" si="14"/>
        <v>263</v>
      </c>
      <c r="K18" s="306">
        <f t="shared" si="14"/>
        <v>309</v>
      </c>
      <c r="L18" s="306">
        <f t="shared" si="14"/>
        <v>427</v>
      </c>
      <c r="M18" s="314">
        <f t="shared" si="14"/>
        <v>368</v>
      </c>
      <c r="N18" s="308">
        <f t="shared" si="14"/>
        <v>1367</v>
      </c>
      <c r="O18" s="305">
        <f t="shared" si="14"/>
        <v>253</v>
      </c>
      <c r="P18" s="306">
        <f t="shared" si="14"/>
        <v>380</v>
      </c>
      <c r="Q18" s="306">
        <f t="shared" si="14"/>
        <v>549</v>
      </c>
      <c r="R18" s="307">
        <f>R8-R16</f>
        <v>246</v>
      </c>
      <c r="S18" s="308">
        <f t="shared" si="14"/>
        <v>1428</v>
      </c>
      <c r="T18" s="305">
        <f t="shared" si="14"/>
        <v>360</v>
      </c>
      <c r="U18" s="306">
        <f t="shared" si="14"/>
        <v>368</v>
      </c>
      <c r="V18" s="306">
        <f>V8-V16</f>
        <v>566</v>
      </c>
      <c r="W18" s="307">
        <f t="shared" si="14"/>
        <v>7</v>
      </c>
      <c r="X18" s="308">
        <f t="shared" si="14"/>
        <v>1301</v>
      </c>
      <c r="Y18" s="305">
        <f t="shared" si="14"/>
        <v>451</v>
      </c>
      <c r="Z18" s="306">
        <f t="shared" si="14"/>
        <v>410</v>
      </c>
      <c r="AA18" s="306">
        <f t="shared" si="14"/>
        <v>506</v>
      </c>
      <c r="AB18" s="307">
        <f t="shared" ref="AB18:AJ18" si="15">AB8-AB16</f>
        <v>81</v>
      </c>
      <c r="AC18" s="308">
        <f t="shared" si="15"/>
        <v>1448</v>
      </c>
      <c r="AD18" s="305">
        <f t="shared" si="15"/>
        <v>473</v>
      </c>
      <c r="AE18" s="306">
        <f t="shared" si="15"/>
        <v>364</v>
      </c>
      <c r="AF18" s="306">
        <f t="shared" si="15"/>
        <v>479</v>
      </c>
      <c r="AG18" s="307">
        <f t="shared" si="15"/>
        <v>401</v>
      </c>
      <c r="AH18" s="308">
        <f t="shared" si="15"/>
        <v>1717</v>
      </c>
      <c r="AI18" s="305">
        <f t="shared" si="15"/>
        <v>453</v>
      </c>
      <c r="AJ18" s="306">
        <f t="shared" si="15"/>
        <v>374</v>
      </c>
      <c r="AK18" s="306">
        <f t="shared" ref="AK18:AO18" si="16">AK8-AK16</f>
        <v>506</v>
      </c>
      <c r="AL18" s="307">
        <f t="shared" si="16"/>
        <v>333</v>
      </c>
      <c r="AM18" s="308">
        <f t="shared" si="16"/>
        <v>1666</v>
      </c>
      <c r="AN18" s="305">
        <f t="shared" si="16"/>
        <v>395</v>
      </c>
      <c r="AO18" s="306">
        <f t="shared" si="16"/>
        <v>357</v>
      </c>
      <c r="AP18" s="306">
        <f t="shared" si="14"/>
        <v>570</v>
      </c>
      <c r="AQ18" s="307">
        <f t="shared" si="14"/>
        <v>322</v>
      </c>
      <c r="AR18" s="308">
        <f t="shared" si="14"/>
        <v>1644</v>
      </c>
      <c r="AS18" s="305">
        <f t="shared" si="14"/>
        <v>493</v>
      </c>
      <c r="AT18" s="306">
        <f t="shared" si="14"/>
        <v>441</v>
      </c>
      <c r="AU18" s="306">
        <f t="shared" ref="AU18:BB18" si="17">AU8-AU16</f>
        <v>612</v>
      </c>
      <c r="AV18" s="307">
        <f t="shared" si="17"/>
        <v>511</v>
      </c>
      <c r="AW18" s="308">
        <f t="shared" si="17"/>
        <v>2057</v>
      </c>
      <c r="AX18" s="305">
        <f t="shared" si="17"/>
        <v>497.15549969390372</v>
      </c>
      <c r="AY18" s="306">
        <f t="shared" si="17"/>
        <v>412.41332463480853</v>
      </c>
      <c r="AZ18" s="306">
        <f t="shared" si="17"/>
        <v>547.29970267546105</v>
      </c>
      <c r="BA18" s="307">
        <f t="shared" si="17"/>
        <v>459.32814465693173</v>
      </c>
      <c r="BB18" s="308">
        <f t="shared" si="17"/>
        <v>1916.1966716611041</v>
      </c>
      <c r="BC18" s="305">
        <f t="shared" ref="BC18:BL18" si="18">BC8-BC16</f>
        <v>505.10590509930921</v>
      </c>
      <c r="BD18" s="306">
        <f t="shared" si="18"/>
        <v>420.43443004021401</v>
      </c>
      <c r="BE18" s="306">
        <f t="shared" si="18"/>
        <v>555.26020808086582</v>
      </c>
      <c r="BF18" s="307">
        <f t="shared" si="18"/>
        <v>467.08665006233696</v>
      </c>
      <c r="BG18" s="308">
        <f t="shared" si="18"/>
        <v>1947.887193282726</v>
      </c>
      <c r="BH18" s="305">
        <f t="shared" si="18"/>
        <v>470.65118618039037</v>
      </c>
      <c r="BI18" s="306">
        <f t="shared" si="18"/>
        <v>386.05111812129417</v>
      </c>
      <c r="BJ18" s="306">
        <f t="shared" si="18"/>
        <v>520.81569016194726</v>
      </c>
      <c r="BK18" s="307">
        <f t="shared" si="18"/>
        <v>432.43811214341849</v>
      </c>
      <c r="BL18" s="308">
        <f t="shared" si="18"/>
        <v>1809.9561066070501</v>
      </c>
      <c r="BM18" s="305">
        <f t="shared" ref="BM18:BQ18" si="19">BM8-BM16</f>
        <v>491.09121061282281</v>
      </c>
      <c r="BN18" s="306">
        <f t="shared" si="19"/>
        <v>406.56326362372715</v>
      </c>
      <c r="BO18" s="306">
        <f t="shared" si="19"/>
        <v>541.26601760437939</v>
      </c>
      <c r="BP18" s="307">
        <f t="shared" si="19"/>
        <v>452.68237938585094</v>
      </c>
      <c r="BQ18" s="308">
        <f t="shared" si="19"/>
        <v>1891.6028712267807</v>
      </c>
      <c r="BR18" s="308"/>
      <c r="BS18" s="1965"/>
    </row>
    <row r="19" spans="1:71" s="81" customFormat="1">
      <c r="A19" s="221"/>
      <c r="B19" s="221"/>
      <c r="C19" s="1186"/>
      <c r="E19" s="305"/>
      <c r="F19" s="306"/>
      <c r="G19" s="306"/>
      <c r="H19" s="314"/>
      <c r="I19" s="308"/>
      <c r="J19" s="305"/>
      <c r="K19" s="306"/>
      <c r="L19" s="306"/>
      <c r="M19" s="314"/>
      <c r="N19" s="308"/>
      <c r="O19" s="305"/>
      <c r="P19" s="306"/>
      <c r="Q19" s="306"/>
      <c r="R19" s="307"/>
      <c r="S19" s="308"/>
      <c r="T19" s="305"/>
      <c r="U19" s="306"/>
      <c r="V19" s="306"/>
      <c r="W19" s="307"/>
      <c r="X19" s="308"/>
      <c r="Y19" s="305"/>
      <c r="Z19" s="306"/>
      <c r="AA19" s="306"/>
      <c r="AB19" s="307"/>
      <c r="AC19" s="308"/>
      <c r="AD19" s="305"/>
      <c r="AE19" s="306"/>
      <c r="AF19" s="306"/>
      <c r="AG19" s="307"/>
      <c r="AH19" s="308"/>
      <c r="AI19" s="305"/>
      <c r="AJ19" s="306"/>
      <c r="AK19" s="306"/>
      <c r="AL19" s="307"/>
      <c r="AM19" s="308"/>
      <c r="AN19" s="305"/>
      <c r="AO19" s="306"/>
      <c r="AP19" s="306"/>
      <c r="AQ19" s="307"/>
      <c r="AR19" s="308"/>
      <c r="AS19" s="305"/>
      <c r="AT19" s="306"/>
      <c r="AU19" s="306"/>
      <c r="AV19" s="307"/>
      <c r="AW19" s="308"/>
      <c r="AX19" s="305"/>
      <c r="AY19" s="306"/>
      <c r="AZ19" s="306"/>
      <c r="BA19" s="307"/>
      <c r="BB19" s="308"/>
      <c r="BC19" s="305"/>
      <c r="BD19" s="306"/>
      <c r="BE19" s="306"/>
      <c r="BF19" s="307"/>
      <c r="BG19" s="308"/>
      <c r="BH19" s="305"/>
      <c r="BI19" s="306"/>
      <c r="BJ19" s="306"/>
      <c r="BK19" s="307"/>
      <c r="BL19" s="308"/>
      <c r="BM19" s="305"/>
      <c r="BN19" s="306"/>
      <c r="BO19" s="306"/>
      <c r="BP19" s="307"/>
      <c r="BQ19" s="308"/>
      <c r="BR19" s="308"/>
    </row>
    <row r="20" spans="1:71" s="173" customFormat="1">
      <c r="A20" s="491"/>
      <c r="B20" s="491"/>
      <c r="C20" s="256" t="s">
        <v>644</v>
      </c>
      <c r="E20" s="309"/>
      <c r="F20" s="310"/>
      <c r="G20" s="310"/>
      <c r="H20" s="311"/>
      <c r="I20" s="300">
        <v>-25</v>
      </c>
      <c r="J20" s="301">
        <v>26</v>
      </c>
      <c r="K20" s="302">
        <v>28</v>
      </c>
      <c r="L20" s="302">
        <v>24</v>
      </c>
      <c r="M20" s="311">
        <f>N20-SUM(J20:L20)</f>
        <v>-58</v>
      </c>
      <c r="N20" s="300">
        <v>20</v>
      </c>
      <c r="O20" s="301">
        <f>48-P20</f>
        <v>23</v>
      </c>
      <c r="P20" s="302">
        <v>25</v>
      </c>
      <c r="Q20" s="302">
        <v>28</v>
      </c>
      <c r="R20" s="317">
        <f>S20-SUM(O20:Q20)</f>
        <v>-209</v>
      </c>
      <c r="S20" s="300">
        <f>99-290+145-87</f>
        <v>-133</v>
      </c>
      <c r="T20" s="301">
        <v>23</v>
      </c>
      <c r="U20" s="302">
        <v>19</v>
      </c>
      <c r="V20" s="302">
        <v>20</v>
      </c>
      <c r="W20" s="317">
        <f>X20-SUM(T20:V20)</f>
        <v>0</v>
      </c>
      <c r="X20" s="300">
        <f>84-392+370</f>
        <v>62</v>
      </c>
      <c r="Y20" s="301">
        <v>18</v>
      </c>
      <c r="Z20" s="302">
        <v>9</v>
      </c>
      <c r="AA20" s="302">
        <f>14-254</f>
        <v>-240</v>
      </c>
      <c r="AB20" s="317">
        <f>AC20-SUM(Y20:AA20)</f>
        <v>97</v>
      </c>
      <c r="AC20" s="300">
        <f>57+149-322</f>
        <v>-116</v>
      </c>
      <c r="AD20" s="301">
        <v>15</v>
      </c>
      <c r="AE20" s="302">
        <v>15</v>
      </c>
      <c r="AF20" s="302">
        <v>14</v>
      </c>
      <c r="AG20" s="317">
        <f>AH20-SUM(AD20:AF20)</f>
        <v>-494</v>
      </c>
      <c r="AH20" s="300">
        <f>-506+56</f>
        <v>-450</v>
      </c>
      <c r="AI20" s="301">
        <v>13</v>
      </c>
      <c r="AJ20" s="302">
        <v>12</v>
      </c>
      <c r="AK20" s="302">
        <v>8</v>
      </c>
      <c r="AL20" s="317">
        <f>AM20-SUM(AI20:AK20)</f>
        <v>-178</v>
      </c>
      <c r="AM20" s="300">
        <f>-179+42-8</f>
        <v>-145</v>
      </c>
      <c r="AN20" s="301">
        <v>11</v>
      </c>
      <c r="AO20" s="302">
        <v>13</v>
      </c>
      <c r="AP20" s="302">
        <v>13</v>
      </c>
      <c r="AQ20" s="317">
        <f>AR20-SUM(AN20:AP20)</f>
        <v>-89</v>
      </c>
      <c r="AR20" s="300">
        <f>-101+49</f>
        <v>-52</v>
      </c>
      <c r="AS20" s="301">
        <v>14</v>
      </c>
      <c r="AT20" s="302">
        <v>14</v>
      </c>
      <c r="AU20" s="302">
        <v>13</v>
      </c>
      <c r="AV20" s="317">
        <f>AW20-SUM(AS20:AU20)</f>
        <v>-89</v>
      </c>
      <c r="AW20" s="300">
        <f>-102+54</f>
        <v>-48</v>
      </c>
      <c r="AX20" s="2178">
        <f>+AS20+1750*0.8*0.075/4</f>
        <v>40.25</v>
      </c>
      <c r="AY20" s="1899">
        <f>+AT20+1750*0.8*0.075/4</f>
        <v>40.25</v>
      </c>
      <c r="AZ20" s="1899">
        <f>+AU20+1750*0.8*0.075/4</f>
        <v>39.25</v>
      </c>
      <c r="BA20" s="1900">
        <f>+AV20+102+1750*0.8*0.075/4</f>
        <v>39.25</v>
      </c>
      <c r="BB20" s="315">
        <f>SUM(AX20:BA20)</f>
        <v>159</v>
      </c>
      <c r="BC20" s="309">
        <f>+AX20</f>
        <v>40.25</v>
      </c>
      <c r="BD20" s="310">
        <f>+AY20</f>
        <v>40.25</v>
      </c>
      <c r="BE20" s="310">
        <f>+AZ20</f>
        <v>39.25</v>
      </c>
      <c r="BF20" s="311">
        <f>+BA20</f>
        <v>39.25</v>
      </c>
      <c r="BG20" s="315">
        <f>SUM(BC20:BF20)</f>
        <v>159</v>
      </c>
      <c r="BH20" s="309">
        <f>+BC20</f>
        <v>40.25</v>
      </c>
      <c r="BI20" s="310">
        <f>+BD20</f>
        <v>40.25</v>
      </c>
      <c r="BJ20" s="310">
        <f>+BE20</f>
        <v>39.25</v>
      </c>
      <c r="BK20" s="311">
        <f>+BF20</f>
        <v>39.25</v>
      </c>
      <c r="BL20" s="315">
        <f>SUM(BH20:BK20)</f>
        <v>159</v>
      </c>
      <c r="BM20" s="309">
        <f>+BH20</f>
        <v>40.25</v>
      </c>
      <c r="BN20" s="310">
        <f>+BI20</f>
        <v>40.25</v>
      </c>
      <c r="BO20" s="310">
        <f>+BJ20</f>
        <v>39.25</v>
      </c>
      <c r="BP20" s="311">
        <f>+BK20</f>
        <v>39.25</v>
      </c>
      <c r="BQ20" s="315">
        <f>SUM(BM20:BP20)</f>
        <v>159</v>
      </c>
      <c r="BR20" s="285"/>
      <c r="BS20" s="2254"/>
    </row>
    <row r="21" spans="1:71" s="81" customFormat="1">
      <c r="A21" s="221"/>
      <c r="B21" s="221"/>
      <c r="C21" s="1186"/>
      <c r="E21" s="305"/>
      <c r="F21" s="306"/>
      <c r="G21" s="306"/>
      <c r="H21" s="314"/>
      <c r="I21" s="308"/>
      <c r="J21" s="305"/>
      <c r="K21" s="306"/>
      <c r="L21" s="306"/>
      <c r="M21" s="314"/>
      <c r="N21" s="308"/>
      <c r="O21" s="305"/>
      <c r="P21" s="306"/>
      <c r="Q21" s="306"/>
      <c r="R21" s="314"/>
      <c r="S21" s="308"/>
      <c r="T21" s="305"/>
      <c r="U21" s="306"/>
      <c r="V21" s="306"/>
      <c r="W21" s="314"/>
      <c r="X21" s="308"/>
      <c r="Y21" s="305"/>
      <c r="Z21" s="306"/>
      <c r="AA21" s="306"/>
      <c r="AB21" s="314"/>
      <c r="AC21" s="308"/>
      <c r="AD21" s="305"/>
      <c r="AE21" s="306"/>
      <c r="AF21" s="306"/>
      <c r="AG21" s="314"/>
      <c r="AH21" s="308"/>
      <c r="AI21" s="305"/>
      <c r="AJ21" s="306"/>
      <c r="AK21" s="306"/>
      <c r="AL21" s="314"/>
      <c r="AM21" s="308"/>
      <c r="AN21" s="305"/>
      <c r="AO21" s="306"/>
      <c r="AP21" s="306"/>
      <c r="AQ21" s="314"/>
      <c r="AR21" s="308"/>
      <c r="AS21" s="305"/>
      <c r="AT21" s="306"/>
      <c r="AU21" s="306"/>
      <c r="AV21" s="314"/>
      <c r="AW21" s="308"/>
      <c r="AX21" s="305"/>
      <c r="AY21" s="306"/>
      <c r="AZ21" s="306"/>
      <c r="BA21" s="314"/>
      <c r="BB21" s="308"/>
      <c r="BC21" s="305"/>
      <c r="BD21" s="306"/>
      <c r="BE21" s="306"/>
      <c r="BF21" s="314"/>
      <c r="BG21" s="308"/>
      <c r="BH21" s="305"/>
      <c r="BI21" s="306"/>
      <c r="BJ21" s="306"/>
      <c r="BK21" s="314"/>
      <c r="BL21" s="308"/>
      <c r="BM21" s="305"/>
      <c r="BN21" s="306"/>
      <c r="BO21" s="306"/>
      <c r="BP21" s="314"/>
      <c r="BQ21" s="308"/>
      <c r="BR21" s="308"/>
      <c r="BS21" s="1963"/>
    </row>
    <row r="22" spans="1:71" s="81" customFormat="1">
      <c r="A22" s="221"/>
      <c r="B22" s="221"/>
      <c r="C22" s="1186" t="s">
        <v>198</v>
      </c>
      <c r="E22" s="305"/>
      <c r="F22" s="306"/>
      <c r="G22" s="306"/>
      <c r="H22" s="314"/>
      <c r="I22" s="308">
        <f t="shared" ref="I22:AT22" si="20">I18+I20</f>
        <v>1053</v>
      </c>
      <c r="J22" s="305">
        <f t="shared" si="20"/>
        <v>289</v>
      </c>
      <c r="K22" s="306">
        <f t="shared" si="20"/>
        <v>337</v>
      </c>
      <c r="L22" s="306">
        <f t="shared" si="20"/>
        <v>451</v>
      </c>
      <c r="M22" s="314">
        <f t="shared" si="20"/>
        <v>310</v>
      </c>
      <c r="N22" s="308">
        <f t="shared" si="20"/>
        <v>1387</v>
      </c>
      <c r="O22" s="305">
        <f t="shared" si="20"/>
        <v>276</v>
      </c>
      <c r="P22" s="306">
        <f t="shared" si="20"/>
        <v>405</v>
      </c>
      <c r="Q22" s="306">
        <f t="shared" si="20"/>
        <v>577</v>
      </c>
      <c r="R22" s="314">
        <f>R18+R20</f>
        <v>37</v>
      </c>
      <c r="S22" s="308">
        <f t="shared" si="20"/>
        <v>1295</v>
      </c>
      <c r="T22" s="305">
        <f t="shared" si="20"/>
        <v>383</v>
      </c>
      <c r="U22" s="306">
        <f t="shared" si="20"/>
        <v>387</v>
      </c>
      <c r="V22" s="306">
        <f>V18+V20</f>
        <v>586</v>
      </c>
      <c r="W22" s="314">
        <f t="shared" si="20"/>
        <v>7</v>
      </c>
      <c r="X22" s="308">
        <f t="shared" si="20"/>
        <v>1363</v>
      </c>
      <c r="Y22" s="305">
        <f t="shared" si="20"/>
        <v>469</v>
      </c>
      <c r="Z22" s="306">
        <f t="shared" si="20"/>
        <v>419</v>
      </c>
      <c r="AA22" s="306">
        <f t="shared" si="20"/>
        <v>266</v>
      </c>
      <c r="AB22" s="314">
        <f t="shared" ref="AB22:AJ22" si="21">AB18+AB20</f>
        <v>178</v>
      </c>
      <c r="AC22" s="308">
        <f t="shared" si="21"/>
        <v>1332</v>
      </c>
      <c r="AD22" s="305">
        <f t="shared" si="21"/>
        <v>488</v>
      </c>
      <c r="AE22" s="306">
        <f t="shared" si="21"/>
        <v>379</v>
      </c>
      <c r="AF22" s="306">
        <f t="shared" si="21"/>
        <v>493</v>
      </c>
      <c r="AG22" s="314">
        <f t="shared" si="21"/>
        <v>-93</v>
      </c>
      <c r="AH22" s="308">
        <f t="shared" si="21"/>
        <v>1267</v>
      </c>
      <c r="AI22" s="305">
        <f t="shared" si="21"/>
        <v>466</v>
      </c>
      <c r="AJ22" s="306">
        <f t="shared" si="21"/>
        <v>386</v>
      </c>
      <c r="AK22" s="306">
        <f t="shared" ref="AK22:AO22" si="22">AK18+AK20</f>
        <v>514</v>
      </c>
      <c r="AL22" s="314">
        <f t="shared" si="22"/>
        <v>155</v>
      </c>
      <c r="AM22" s="308">
        <f t="shared" si="22"/>
        <v>1521</v>
      </c>
      <c r="AN22" s="305">
        <f t="shared" si="22"/>
        <v>406</v>
      </c>
      <c r="AO22" s="306">
        <f t="shared" si="22"/>
        <v>370</v>
      </c>
      <c r="AP22" s="306">
        <f t="shared" si="20"/>
        <v>583</v>
      </c>
      <c r="AQ22" s="314">
        <f t="shared" si="20"/>
        <v>233</v>
      </c>
      <c r="AR22" s="308">
        <f t="shared" si="20"/>
        <v>1592</v>
      </c>
      <c r="AS22" s="305">
        <f t="shared" si="20"/>
        <v>507</v>
      </c>
      <c r="AT22" s="306">
        <f t="shared" si="20"/>
        <v>455</v>
      </c>
      <c r="AU22" s="306">
        <f t="shared" ref="AU22:AW22" si="23">AU18+AU20</f>
        <v>625</v>
      </c>
      <c r="AV22" s="314">
        <f t="shared" si="23"/>
        <v>422</v>
      </c>
      <c r="AW22" s="308">
        <f t="shared" si="23"/>
        <v>2009</v>
      </c>
      <c r="AX22" s="305">
        <f t="shared" ref="AX22:BB22" si="24">AX18+AX20</f>
        <v>537.40549969390372</v>
      </c>
      <c r="AY22" s="306">
        <f t="shared" si="24"/>
        <v>452.66332463480853</v>
      </c>
      <c r="AZ22" s="306">
        <f t="shared" si="24"/>
        <v>586.54970267546105</v>
      </c>
      <c r="BA22" s="314">
        <f t="shared" si="24"/>
        <v>498.57814465693173</v>
      </c>
      <c r="BB22" s="308">
        <f t="shared" si="24"/>
        <v>2075.1966716611041</v>
      </c>
      <c r="BC22" s="305">
        <f t="shared" ref="BC22:BL22" si="25">BC18+BC20</f>
        <v>545.35590509930921</v>
      </c>
      <c r="BD22" s="306">
        <f t="shared" si="25"/>
        <v>460.68443004021401</v>
      </c>
      <c r="BE22" s="306">
        <f t="shared" si="25"/>
        <v>594.51020808086582</v>
      </c>
      <c r="BF22" s="314">
        <f t="shared" si="25"/>
        <v>506.33665006233696</v>
      </c>
      <c r="BG22" s="308">
        <f t="shared" si="25"/>
        <v>2106.887193282726</v>
      </c>
      <c r="BH22" s="305">
        <f t="shared" si="25"/>
        <v>510.90118618039037</v>
      </c>
      <c r="BI22" s="306">
        <f t="shared" si="25"/>
        <v>426.30111812129417</v>
      </c>
      <c r="BJ22" s="306">
        <f t="shared" si="25"/>
        <v>560.06569016194726</v>
      </c>
      <c r="BK22" s="314">
        <f t="shared" si="25"/>
        <v>471.68811214341849</v>
      </c>
      <c r="BL22" s="308">
        <f t="shared" si="25"/>
        <v>1968.9561066070501</v>
      </c>
      <c r="BM22" s="305">
        <f t="shared" ref="BM22:BQ22" si="26">BM18+BM20</f>
        <v>531.34121061282281</v>
      </c>
      <c r="BN22" s="306">
        <f t="shared" si="26"/>
        <v>446.81326362372715</v>
      </c>
      <c r="BO22" s="306">
        <f t="shared" si="26"/>
        <v>580.51601760437939</v>
      </c>
      <c r="BP22" s="314">
        <f t="shared" si="26"/>
        <v>491.93237938585094</v>
      </c>
      <c r="BQ22" s="308">
        <f t="shared" si="26"/>
        <v>2050.6028712267807</v>
      </c>
      <c r="BR22" s="308"/>
    </row>
    <row r="23" spans="1:71" s="81" customFormat="1">
      <c r="A23" s="221"/>
      <c r="B23" s="221"/>
      <c r="C23" s="1186" t="s">
        <v>649</v>
      </c>
      <c r="E23" s="305"/>
      <c r="F23" s="306"/>
      <c r="G23" s="306"/>
      <c r="H23" s="314"/>
      <c r="I23" s="308">
        <f>I22+I13</f>
        <v>1479</v>
      </c>
      <c r="J23" s="305">
        <f t="shared" ref="J23:AT23" si="27">J22+J13</f>
        <v>393</v>
      </c>
      <c r="K23" s="306">
        <f t="shared" si="27"/>
        <v>443</v>
      </c>
      <c r="L23" s="306">
        <f t="shared" si="27"/>
        <v>553</v>
      </c>
      <c r="M23" s="314">
        <f t="shared" si="27"/>
        <v>431</v>
      </c>
      <c r="N23" s="308">
        <f t="shared" si="27"/>
        <v>1820</v>
      </c>
      <c r="O23" s="305">
        <f t="shared" si="27"/>
        <v>389</v>
      </c>
      <c r="P23" s="306">
        <f t="shared" si="27"/>
        <v>550</v>
      </c>
      <c r="Q23" s="306">
        <f t="shared" si="27"/>
        <v>728</v>
      </c>
      <c r="R23" s="307">
        <f t="shared" si="27"/>
        <v>151</v>
      </c>
      <c r="S23" s="308">
        <f t="shared" si="27"/>
        <v>1818</v>
      </c>
      <c r="T23" s="305">
        <f t="shared" si="27"/>
        <v>524</v>
      </c>
      <c r="U23" s="306">
        <f t="shared" si="27"/>
        <v>538</v>
      </c>
      <c r="V23" s="306">
        <f t="shared" si="27"/>
        <v>728</v>
      </c>
      <c r="W23" s="307">
        <f t="shared" si="27"/>
        <v>131</v>
      </c>
      <c r="X23" s="308">
        <f>X22+X13</f>
        <v>1921</v>
      </c>
      <c r="Y23" s="305">
        <f t="shared" si="27"/>
        <v>613</v>
      </c>
      <c r="Z23" s="306">
        <f t="shared" si="27"/>
        <v>570</v>
      </c>
      <c r="AA23" s="306">
        <f t="shared" si="27"/>
        <v>417</v>
      </c>
      <c r="AB23" s="307">
        <f t="shared" ref="AB23:AJ23" si="28">AB22+AB13</f>
        <v>338</v>
      </c>
      <c r="AC23" s="308">
        <f t="shared" si="28"/>
        <v>1938</v>
      </c>
      <c r="AD23" s="305">
        <f t="shared" si="28"/>
        <v>650</v>
      </c>
      <c r="AE23" s="306">
        <f t="shared" si="28"/>
        <v>543</v>
      </c>
      <c r="AF23" s="306">
        <f t="shared" si="28"/>
        <v>658</v>
      </c>
      <c r="AG23" s="307">
        <f t="shared" si="28"/>
        <v>74</v>
      </c>
      <c r="AH23" s="308">
        <f t="shared" si="28"/>
        <v>1925</v>
      </c>
      <c r="AI23" s="305">
        <f t="shared" si="28"/>
        <v>638</v>
      </c>
      <c r="AJ23" s="306">
        <f t="shared" si="28"/>
        <v>556</v>
      </c>
      <c r="AK23" s="306">
        <f t="shared" ref="AK23:AO23" si="29">AK22+AK13</f>
        <v>688</v>
      </c>
      <c r="AL23" s="307">
        <f t="shared" si="29"/>
        <v>311</v>
      </c>
      <c r="AM23" s="308">
        <f t="shared" si="29"/>
        <v>2193</v>
      </c>
      <c r="AN23" s="305">
        <f t="shared" si="29"/>
        <v>575</v>
      </c>
      <c r="AO23" s="306">
        <f t="shared" si="29"/>
        <v>540</v>
      </c>
      <c r="AP23" s="306">
        <f t="shared" si="27"/>
        <v>754</v>
      </c>
      <c r="AQ23" s="307">
        <f t="shared" si="27"/>
        <v>399</v>
      </c>
      <c r="AR23" s="308">
        <f t="shared" si="27"/>
        <v>2268</v>
      </c>
      <c r="AS23" s="305">
        <f t="shared" si="27"/>
        <v>685</v>
      </c>
      <c r="AT23" s="306">
        <f t="shared" si="27"/>
        <v>634</v>
      </c>
      <c r="AU23" s="306">
        <f t="shared" ref="AU23:AW23" si="30">AU22+AU13</f>
        <v>808</v>
      </c>
      <c r="AV23" s="307">
        <f t="shared" si="30"/>
        <v>606</v>
      </c>
      <c r="AW23" s="308">
        <f t="shared" si="30"/>
        <v>2733</v>
      </c>
      <c r="AX23" s="305">
        <f t="shared" ref="AX23:BB23" si="31">AX22+AX13</f>
        <v>723.82737469390372</v>
      </c>
      <c r="AY23" s="306">
        <f t="shared" si="31"/>
        <v>641.50707463480853</v>
      </c>
      <c r="AZ23" s="306">
        <f t="shared" si="31"/>
        <v>777.81532767546105</v>
      </c>
      <c r="BA23" s="307">
        <f t="shared" si="31"/>
        <v>692.26564465693173</v>
      </c>
      <c r="BB23" s="308">
        <f t="shared" si="31"/>
        <v>2835.4154216611041</v>
      </c>
      <c r="BC23" s="305">
        <f t="shared" ref="BC23:BL23" si="32">BC22+BC13</f>
        <v>741.46528009930921</v>
      </c>
      <c r="BD23" s="306">
        <f t="shared" si="32"/>
        <v>659.21568004021401</v>
      </c>
      <c r="BE23" s="306">
        <f t="shared" si="32"/>
        <v>795.46333308086582</v>
      </c>
      <c r="BF23" s="307">
        <f t="shared" si="32"/>
        <v>709.71165006233696</v>
      </c>
      <c r="BG23" s="308">
        <f t="shared" si="32"/>
        <v>2905.855943282726</v>
      </c>
      <c r="BH23" s="305">
        <f t="shared" si="32"/>
        <v>716.69806118039037</v>
      </c>
      <c r="BI23" s="306">
        <f t="shared" si="32"/>
        <v>634.51986812129417</v>
      </c>
      <c r="BJ23" s="306">
        <f t="shared" si="32"/>
        <v>770.70631516194726</v>
      </c>
      <c r="BK23" s="307">
        <f t="shared" si="32"/>
        <v>684.75061214341849</v>
      </c>
      <c r="BL23" s="308">
        <f t="shared" si="32"/>
        <v>2806.6748566070501</v>
      </c>
      <c r="BM23" s="305">
        <f t="shared" ref="BM23:BQ23" si="33">BM22+BM13</f>
        <v>746.82558561282281</v>
      </c>
      <c r="BN23" s="306">
        <f t="shared" si="33"/>
        <v>664.71951362372715</v>
      </c>
      <c r="BO23" s="306">
        <f t="shared" si="33"/>
        <v>800.84414260437939</v>
      </c>
      <c r="BP23" s="307">
        <f t="shared" si="33"/>
        <v>714.68237938585094</v>
      </c>
      <c r="BQ23" s="308">
        <f t="shared" si="33"/>
        <v>2927.0716212267807</v>
      </c>
      <c r="BR23" s="308"/>
    </row>
    <row r="24" spans="1:71" s="81" customFormat="1">
      <c r="A24" s="202"/>
      <c r="B24" s="742"/>
      <c r="C24" s="1222"/>
      <c r="E24" s="316"/>
      <c r="F24" s="312"/>
      <c r="G24" s="312"/>
      <c r="H24" s="290"/>
      <c r="I24" s="477"/>
      <c r="J24" s="478"/>
      <c r="K24" s="479"/>
      <c r="L24" s="479"/>
      <c r="M24" s="307"/>
      <c r="N24" s="308"/>
      <c r="O24" s="305"/>
      <c r="P24" s="306"/>
      <c r="Q24" s="306"/>
      <c r="R24" s="307"/>
      <c r="S24" s="308"/>
      <c r="T24" s="305"/>
      <c r="U24" s="306"/>
      <c r="V24" s="306"/>
      <c r="W24" s="307"/>
      <c r="X24" s="308"/>
      <c r="Y24" s="305"/>
      <c r="Z24" s="306"/>
      <c r="AA24" s="306"/>
      <c r="AB24" s="307"/>
      <c r="AC24" s="308"/>
      <c r="AD24" s="305"/>
      <c r="AE24" s="306"/>
      <c r="AF24" s="306"/>
      <c r="AG24" s="307"/>
      <c r="AH24" s="308"/>
      <c r="AI24" s="305"/>
      <c r="AJ24" s="306"/>
      <c r="AK24" s="306"/>
      <c r="AL24" s="307"/>
      <c r="AM24" s="308"/>
      <c r="AN24" s="305"/>
      <c r="AO24" s="306"/>
      <c r="AP24" s="306"/>
      <c r="AQ24" s="307"/>
      <c r="AR24" s="308"/>
      <c r="AS24" s="305"/>
      <c r="AT24" s="306"/>
      <c r="AU24" s="306"/>
      <c r="AV24" s="307"/>
      <c r="AW24" s="308"/>
      <c r="AX24" s="305"/>
      <c r="AY24" s="306"/>
      <c r="AZ24" s="306"/>
      <c r="BA24" s="307"/>
      <c r="BB24" s="308"/>
      <c r="BC24" s="305"/>
      <c r="BD24" s="306"/>
      <c r="BE24" s="306"/>
      <c r="BF24" s="307"/>
      <c r="BG24" s="308"/>
      <c r="BH24" s="305"/>
      <c r="BI24" s="306"/>
      <c r="BJ24" s="306"/>
      <c r="BK24" s="307"/>
      <c r="BL24" s="308"/>
      <c r="BM24" s="305"/>
      <c r="BN24" s="306"/>
      <c r="BO24" s="306"/>
      <c r="BP24" s="307"/>
      <c r="BQ24" s="308"/>
      <c r="BR24" s="315"/>
    </row>
    <row r="25" spans="1:71" s="81" customFormat="1">
      <c r="A25" s="202"/>
      <c r="B25" s="221"/>
      <c r="C25" s="1187" t="s">
        <v>200</v>
      </c>
      <c r="E25" s="288"/>
      <c r="F25" s="289"/>
      <c r="G25" s="289"/>
      <c r="H25" s="290"/>
      <c r="I25" s="291">
        <v>478</v>
      </c>
      <c r="J25" s="288">
        <v>125</v>
      </c>
      <c r="K25" s="289">
        <v>125</v>
      </c>
      <c r="L25" s="289">
        <v>125</v>
      </c>
      <c r="M25" s="290">
        <f>+N25-L25-K25-J25</f>
        <v>125</v>
      </c>
      <c r="N25" s="291">
        <v>500</v>
      </c>
      <c r="O25" s="288">
        <f>259-P25</f>
        <v>123</v>
      </c>
      <c r="P25" s="289">
        <v>136</v>
      </c>
      <c r="Q25" s="289">
        <v>136</v>
      </c>
      <c r="R25" s="317">
        <f>S25-SUM(O25:Q25)</f>
        <v>135</v>
      </c>
      <c r="S25" s="291">
        <v>530</v>
      </c>
      <c r="T25" s="288">
        <v>134</v>
      </c>
      <c r="U25" s="289">
        <v>135</v>
      </c>
      <c r="V25" s="289">
        <v>135</v>
      </c>
      <c r="W25" s="317">
        <f>X25-SUM(T25:V25)</f>
        <v>136</v>
      </c>
      <c r="X25" s="291">
        <v>540</v>
      </c>
      <c r="Y25" s="288">
        <v>135</v>
      </c>
      <c r="Z25" s="302">
        <v>135</v>
      </c>
      <c r="AA25" s="302">
        <v>134</v>
      </c>
      <c r="AB25" s="317">
        <f>AC25-SUM(Y25:AA25)</f>
        <v>139</v>
      </c>
      <c r="AC25" s="291">
        <v>543</v>
      </c>
      <c r="AD25" s="288">
        <v>151</v>
      </c>
      <c r="AE25" s="302">
        <v>147</v>
      </c>
      <c r="AF25" s="302">
        <v>147</v>
      </c>
      <c r="AG25" s="317">
        <f>AH25-SUM(AD25:AF25)</f>
        <v>144</v>
      </c>
      <c r="AH25" s="291">
        <v>589</v>
      </c>
      <c r="AI25" s="288">
        <v>144</v>
      </c>
      <c r="AJ25" s="302">
        <v>146</v>
      </c>
      <c r="AK25" s="302">
        <v>149</v>
      </c>
      <c r="AL25" s="317">
        <f>AM25-SUM(AI25:AK25)</f>
        <v>147</v>
      </c>
      <c r="AM25" s="291">
        <v>586</v>
      </c>
      <c r="AN25" s="288">
        <v>147</v>
      </c>
      <c r="AO25" s="302">
        <v>145</v>
      </c>
      <c r="AP25" s="302">
        <v>139</v>
      </c>
      <c r="AQ25" s="317">
        <f>AR25-SUM(AN25:AP25)</f>
        <v>155</v>
      </c>
      <c r="AR25" s="291">
        <v>586</v>
      </c>
      <c r="AS25" s="288">
        <v>138</v>
      </c>
      <c r="AT25" s="302">
        <v>134</v>
      </c>
      <c r="AU25" s="302">
        <v>133</v>
      </c>
      <c r="AV25" s="317">
        <f>AW25-SUM(AS25:AU25)</f>
        <v>130</v>
      </c>
      <c r="AW25" s="291">
        <v>535</v>
      </c>
      <c r="AX25" s="316">
        <f>AS25+SUM(AX136:AX139)</f>
        <v>125.35393433842216</v>
      </c>
      <c r="AY25" s="312">
        <f>AT25+SUM(AY136:AY139)</f>
        <v>119.711004655278</v>
      </c>
      <c r="AZ25" s="312">
        <f>AU25+SUM(AZ136:AZ139)</f>
        <v>131.29567172832836</v>
      </c>
      <c r="BA25" s="317">
        <f>AV25+SUM(BA136:BA139)</f>
        <v>125.5329837687602</v>
      </c>
      <c r="BB25" s="315">
        <f>SUM(AX25:BA25)</f>
        <v>501.8935944907887</v>
      </c>
      <c r="BC25" s="316">
        <f>AX25+SUM(BC136:BC139)</f>
        <v>113.99832480349326</v>
      </c>
      <c r="BD25" s="312">
        <f>AY25+SUM(BD136:BD139)</f>
        <v>112.63710467732443</v>
      </c>
      <c r="BE25" s="312">
        <f>AZ25+SUM(BE136:BE139)</f>
        <v>124.40195677824832</v>
      </c>
      <c r="BF25" s="317">
        <f>BA25+SUM(BF136:BF139)</f>
        <v>121.74277787129583</v>
      </c>
      <c r="BG25" s="315">
        <f>SUM(BC25:BF25)</f>
        <v>472.78016413036187</v>
      </c>
      <c r="BH25" s="316">
        <f>BC25+SUM(BH136:BH139)</f>
        <v>118.45627963290562</v>
      </c>
      <c r="BI25" s="312">
        <f>BD25+SUM(BI136:BI139)</f>
        <v>123.30396399945569</v>
      </c>
      <c r="BJ25" s="312">
        <f>BE25+SUM(BJ136:BJ139)</f>
        <v>129.77562999046251</v>
      </c>
      <c r="BK25" s="317">
        <f>BF25+SUM(BK136:BK139)</f>
        <v>126.82446113440857</v>
      </c>
      <c r="BL25" s="315">
        <f>SUM(BH25:BK25)</f>
        <v>498.36033475723241</v>
      </c>
      <c r="BM25" s="316">
        <f>BH25+SUM(BM136:BM139)</f>
        <v>123.68873957144608</v>
      </c>
      <c r="BN25" s="312">
        <f>BI25+SUM(BN136:BN139)</f>
        <v>134.51396603444775</v>
      </c>
      <c r="BO25" s="312">
        <f>BJ25+SUM(BO136:BO139)</f>
        <v>132.69374870613507</v>
      </c>
      <c r="BP25" s="317">
        <f>BK25+SUM(BP136:BP139)</f>
        <v>129.37046272804847</v>
      </c>
      <c r="BQ25" s="315">
        <f>SUM(BM25:BP25)</f>
        <v>520.26691704007737</v>
      </c>
      <c r="BR25" s="315"/>
    </row>
    <row r="26" spans="1:71" s="81" customFormat="1">
      <c r="A26" s="202"/>
      <c r="B26" s="113"/>
      <c r="C26" s="1187" t="s">
        <v>759</v>
      </c>
      <c r="E26" s="296"/>
      <c r="F26" s="297"/>
      <c r="G26" s="297"/>
      <c r="H26" s="290"/>
      <c r="I26" s="291">
        <v>-3</v>
      </c>
      <c r="J26" s="288">
        <v>-1</v>
      </c>
      <c r="K26" s="289">
        <v>-1</v>
      </c>
      <c r="L26" s="289">
        <v>0</v>
      </c>
      <c r="M26" s="290">
        <f>+N26-L26-K26-J26</f>
        <v>-2</v>
      </c>
      <c r="N26" s="291">
        <v>-4</v>
      </c>
      <c r="O26" s="288">
        <f>-3-P26</f>
        <v>-1</v>
      </c>
      <c r="P26" s="289">
        <v>-2</v>
      </c>
      <c r="Q26" s="289">
        <v>-3</v>
      </c>
      <c r="R26" s="105">
        <f>S26-SUM(O26:Q26)</f>
        <v>-4</v>
      </c>
      <c r="S26" s="291">
        <v>-10</v>
      </c>
      <c r="T26" s="288">
        <v>-3</v>
      </c>
      <c r="U26" s="289">
        <v>-3</v>
      </c>
      <c r="V26" s="289">
        <v>-3</v>
      </c>
      <c r="W26" s="105">
        <f>X26-SUM(T26:V26)</f>
        <v>-3</v>
      </c>
      <c r="X26" s="291">
        <v>-12</v>
      </c>
      <c r="Y26" s="288">
        <v>-2</v>
      </c>
      <c r="Z26" s="302">
        <v>-3</v>
      </c>
      <c r="AA26" s="302">
        <v>-3</v>
      </c>
      <c r="AB26" s="105">
        <f>AC26-SUM(Y26:AA26)</f>
        <v>-5</v>
      </c>
      <c r="AC26" s="291">
        <v>-13</v>
      </c>
      <c r="AD26" s="288">
        <v>-2</v>
      </c>
      <c r="AE26" s="302">
        <v>-3</v>
      </c>
      <c r="AF26" s="302">
        <v>-5</v>
      </c>
      <c r="AG26" s="105">
        <f>AH26-SUM(AD26:AF26)</f>
        <v>-4</v>
      </c>
      <c r="AH26" s="291">
        <v>-14</v>
      </c>
      <c r="AI26" s="288">
        <v>-8</v>
      </c>
      <c r="AJ26" s="302">
        <v>-7</v>
      </c>
      <c r="AK26" s="302">
        <v>-6</v>
      </c>
      <c r="AL26" s="105">
        <f>AM26-SUM(AI26:AK26)</f>
        <v>-4</v>
      </c>
      <c r="AM26" s="291">
        <v>-25</v>
      </c>
      <c r="AN26" s="288">
        <v>-4</v>
      </c>
      <c r="AO26" s="302">
        <v>-5</v>
      </c>
      <c r="AP26" s="302">
        <v>-6</v>
      </c>
      <c r="AQ26" s="105">
        <f>AR26-SUM(AN26:AP26)</f>
        <v>-5</v>
      </c>
      <c r="AR26" s="291">
        <v>-20</v>
      </c>
      <c r="AS26" s="288">
        <v>-6</v>
      </c>
      <c r="AT26" s="302">
        <v>-5</v>
      </c>
      <c r="AU26" s="302">
        <v>-5</v>
      </c>
      <c r="AV26" s="105">
        <f>AW26-SUM(AS26:AU26)</f>
        <v>-6</v>
      </c>
      <c r="AW26" s="291">
        <v>-22</v>
      </c>
      <c r="AX26" s="114">
        <f>+AS26</f>
        <v>-6</v>
      </c>
      <c r="AY26" s="115">
        <f>+AT26</f>
        <v>-5</v>
      </c>
      <c r="AZ26" s="115">
        <f>+AU26</f>
        <v>-5</v>
      </c>
      <c r="BA26" s="105">
        <f>+AV26</f>
        <v>-6</v>
      </c>
      <c r="BB26" s="166">
        <f>SUM(AX26:BA26)</f>
        <v>-22</v>
      </c>
      <c r="BC26" s="114">
        <f>+AX26</f>
        <v>-6</v>
      </c>
      <c r="BD26" s="115">
        <f>+AY26</f>
        <v>-5</v>
      </c>
      <c r="BE26" s="115">
        <f>+AZ26</f>
        <v>-5</v>
      </c>
      <c r="BF26" s="105">
        <f>+BA26</f>
        <v>-6</v>
      </c>
      <c r="BG26" s="166">
        <f>SUM(BC26:BF26)</f>
        <v>-22</v>
      </c>
      <c r="BH26" s="114">
        <f>+BC26</f>
        <v>-6</v>
      </c>
      <c r="BI26" s="115">
        <f>+BD26</f>
        <v>-5</v>
      </c>
      <c r="BJ26" s="115">
        <f>+BE26</f>
        <v>-5</v>
      </c>
      <c r="BK26" s="105">
        <f>+BF26</f>
        <v>-6</v>
      </c>
      <c r="BL26" s="166">
        <f>SUM(BH26:BK26)</f>
        <v>-22</v>
      </c>
      <c r="BM26" s="114">
        <f>+BH26</f>
        <v>-6</v>
      </c>
      <c r="BN26" s="115">
        <f>+BI26</f>
        <v>-5</v>
      </c>
      <c r="BO26" s="115">
        <f>+BJ26</f>
        <v>-5</v>
      </c>
      <c r="BP26" s="105">
        <f>+BK26</f>
        <v>-6</v>
      </c>
      <c r="BQ26" s="166">
        <f>SUM(BM26:BP26)</f>
        <v>-22</v>
      </c>
      <c r="BR26" s="315"/>
    </row>
    <row r="27" spans="1:71" s="81" customFormat="1">
      <c r="A27" s="221"/>
      <c r="B27" s="221"/>
      <c r="C27" s="1186" t="s">
        <v>400</v>
      </c>
      <c r="E27" s="305"/>
      <c r="F27" s="306"/>
      <c r="G27" s="306"/>
      <c r="H27" s="314"/>
      <c r="I27" s="308">
        <f t="shared" ref="I27:AT27" si="34">SUM(I25:I26)</f>
        <v>475</v>
      </c>
      <c r="J27" s="305">
        <f t="shared" si="34"/>
        <v>124</v>
      </c>
      <c r="K27" s="306">
        <f t="shared" si="34"/>
        <v>124</v>
      </c>
      <c r="L27" s="306">
        <f t="shared" si="34"/>
        <v>125</v>
      </c>
      <c r="M27" s="314">
        <f t="shared" si="34"/>
        <v>123</v>
      </c>
      <c r="N27" s="308">
        <f t="shared" si="34"/>
        <v>496</v>
      </c>
      <c r="O27" s="305">
        <f t="shared" si="34"/>
        <v>122</v>
      </c>
      <c r="P27" s="306">
        <f t="shared" si="34"/>
        <v>134</v>
      </c>
      <c r="Q27" s="306">
        <f t="shared" si="34"/>
        <v>133</v>
      </c>
      <c r="R27" s="307">
        <f t="shared" si="34"/>
        <v>131</v>
      </c>
      <c r="S27" s="308">
        <f t="shared" si="34"/>
        <v>520</v>
      </c>
      <c r="T27" s="305">
        <f t="shared" si="34"/>
        <v>131</v>
      </c>
      <c r="U27" s="306">
        <f t="shared" si="34"/>
        <v>132</v>
      </c>
      <c r="V27" s="306">
        <f t="shared" si="34"/>
        <v>132</v>
      </c>
      <c r="W27" s="307">
        <f t="shared" si="34"/>
        <v>133</v>
      </c>
      <c r="X27" s="308">
        <f t="shared" si="34"/>
        <v>528</v>
      </c>
      <c r="Y27" s="305">
        <f t="shared" si="34"/>
        <v>133</v>
      </c>
      <c r="Z27" s="306">
        <f t="shared" si="34"/>
        <v>132</v>
      </c>
      <c r="AA27" s="306">
        <f t="shared" si="34"/>
        <v>131</v>
      </c>
      <c r="AB27" s="307">
        <f t="shared" ref="AB27:AJ27" si="35">SUM(AB25:AB26)</f>
        <v>134</v>
      </c>
      <c r="AC27" s="308">
        <f t="shared" si="35"/>
        <v>530</v>
      </c>
      <c r="AD27" s="305">
        <f t="shared" si="35"/>
        <v>149</v>
      </c>
      <c r="AE27" s="306">
        <f t="shared" si="35"/>
        <v>144</v>
      </c>
      <c r="AF27" s="306">
        <f t="shared" si="35"/>
        <v>142</v>
      </c>
      <c r="AG27" s="307">
        <f t="shared" si="35"/>
        <v>140</v>
      </c>
      <c r="AH27" s="308">
        <f t="shared" si="35"/>
        <v>575</v>
      </c>
      <c r="AI27" s="305">
        <f t="shared" si="35"/>
        <v>136</v>
      </c>
      <c r="AJ27" s="306">
        <f t="shared" si="35"/>
        <v>139</v>
      </c>
      <c r="AK27" s="306">
        <f t="shared" ref="AK27:AO27" si="36">SUM(AK25:AK26)</f>
        <v>143</v>
      </c>
      <c r="AL27" s="307">
        <f t="shared" si="36"/>
        <v>143</v>
      </c>
      <c r="AM27" s="308">
        <f t="shared" si="36"/>
        <v>561</v>
      </c>
      <c r="AN27" s="305">
        <f t="shared" si="36"/>
        <v>143</v>
      </c>
      <c r="AO27" s="306">
        <f t="shared" si="36"/>
        <v>140</v>
      </c>
      <c r="AP27" s="306">
        <f t="shared" si="34"/>
        <v>133</v>
      </c>
      <c r="AQ27" s="307">
        <f t="shared" si="34"/>
        <v>150</v>
      </c>
      <c r="AR27" s="308">
        <f t="shared" si="34"/>
        <v>566</v>
      </c>
      <c r="AS27" s="305">
        <f t="shared" si="34"/>
        <v>132</v>
      </c>
      <c r="AT27" s="306">
        <f t="shared" si="34"/>
        <v>129</v>
      </c>
      <c r="AU27" s="306">
        <f t="shared" ref="AU27:BB27" si="37">SUM(AU25:AU26)</f>
        <v>128</v>
      </c>
      <c r="AV27" s="307">
        <f t="shared" si="37"/>
        <v>124</v>
      </c>
      <c r="AW27" s="308">
        <f t="shared" si="37"/>
        <v>513</v>
      </c>
      <c r="AX27" s="305">
        <f t="shared" si="37"/>
        <v>119.35393433842216</v>
      </c>
      <c r="AY27" s="306">
        <f t="shared" si="37"/>
        <v>114.711004655278</v>
      </c>
      <c r="AZ27" s="306">
        <f t="shared" si="37"/>
        <v>126.29567172832836</v>
      </c>
      <c r="BA27" s="307">
        <f t="shared" si="37"/>
        <v>119.5329837687602</v>
      </c>
      <c r="BB27" s="308">
        <f t="shared" si="37"/>
        <v>479.8935944907887</v>
      </c>
      <c r="BC27" s="305">
        <f t="shared" ref="BC27:BL27" si="38">SUM(BC25:BC26)</f>
        <v>107.99832480349326</v>
      </c>
      <c r="BD27" s="306">
        <f t="shared" si="38"/>
        <v>107.63710467732443</v>
      </c>
      <c r="BE27" s="306">
        <f t="shared" si="38"/>
        <v>119.40195677824832</v>
      </c>
      <c r="BF27" s="307">
        <f t="shared" si="38"/>
        <v>115.74277787129583</v>
      </c>
      <c r="BG27" s="308">
        <f t="shared" si="38"/>
        <v>450.78016413036187</v>
      </c>
      <c r="BH27" s="305">
        <f t="shared" si="38"/>
        <v>112.45627963290562</v>
      </c>
      <c r="BI27" s="306">
        <f t="shared" si="38"/>
        <v>118.30396399945569</v>
      </c>
      <c r="BJ27" s="306">
        <f t="shared" si="38"/>
        <v>124.77562999046251</v>
      </c>
      <c r="BK27" s="307">
        <f t="shared" si="38"/>
        <v>120.82446113440857</v>
      </c>
      <c r="BL27" s="308">
        <f t="shared" si="38"/>
        <v>476.36033475723241</v>
      </c>
      <c r="BM27" s="305">
        <f t="shared" ref="BM27:BQ27" si="39">SUM(BM25:BM26)</f>
        <v>117.68873957144608</v>
      </c>
      <c r="BN27" s="306">
        <f t="shared" si="39"/>
        <v>129.51396603444775</v>
      </c>
      <c r="BO27" s="306">
        <f t="shared" si="39"/>
        <v>127.69374870613507</v>
      </c>
      <c r="BP27" s="307">
        <f t="shared" si="39"/>
        <v>123.37046272804847</v>
      </c>
      <c r="BQ27" s="308">
        <f t="shared" si="39"/>
        <v>498.26691704007737</v>
      </c>
      <c r="BR27" s="308"/>
      <c r="BS27" s="2254"/>
    </row>
    <row r="28" spans="1:71" s="81" customFormat="1">
      <c r="A28" s="202"/>
      <c r="B28" s="113"/>
      <c r="C28" s="1187"/>
      <c r="E28" s="296"/>
      <c r="F28" s="297"/>
      <c r="G28" s="297"/>
      <c r="H28" s="290"/>
      <c r="I28" s="291"/>
      <c r="J28" s="288"/>
      <c r="K28" s="289"/>
      <c r="L28" s="289"/>
      <c r="M28" s="290"/>
      <c r="N28" s="291"/>
      <c r="O28" s="288"/>
      <c r="P28" s="289"/>
      <c r="Q28" s="289"/>
      <c r="R28" s="290"/>
      <c r="S28" s="291"/>
      <c r="T28" s="288"/>
      <c r="U28" s="289"/>
      <c r="V28" s="289"/>
      <c r="W28" s="290"/>
      <c r="X28" s="291"/>
      <c r="Y28" s="288"/>
      <c r="Z28" s="302"/>
      <c r="AA28" s="302"/>
      <c r="AB28" s="290"/>
      <c r="AC28" s="291"/>
      <c r="AD28" s="288"/>
      <c r="AE28" s="302"/>
      <c r="AF28" s="302"/>
      <c r="AG28" s="290"/>
      <c r="AH28" s="291"/>
      <c r="AI28" s="288"/>
      <c r="AJ28" s="302"/>
      <c r="AK28" s="302"/>
      <c r="AL28" s="290"/>
      <c r="AM28" s="291"/>
      <c r="AN28" s="288"/>
      <c r="AO28" s="302"/>
      <c r="AP28" s="302"/>
      <c r="AQ28" s="290"/>
      <c r="AR28" s="291"/>
      <c r="AS28" s="288"/>
      <c r="AT28" s="302"/>
      <c r="AU28" s="297"/>
      <c r="AV28" s="290"/>
      <c r="AW28" s="291"/>
      <c r="AX28" s="296"/>
      <c r="AY28" s="297"/>
      <c r="AZ28" s="297"/>
      <c r="BA28" s="290"/>
      <c r="BB28" s="315"/>
      <c r="BC28" s="296"/>
      <c r="BD28" s="297"/>
      <c r="BE28" s="297"/>
      <c r="BF28" s="290"/>
      <c r="BG28" s="315"/>
      <c r="BH28" s="296"/>
      <c r="BI28" s="297"/>
      <c r="BJ28" s="297"/>
      <c r="BK28" s="290"/>
      <c r="BL28" s="315"/>
      <c r="BM28" s="296"/>
      <c r="BN28" s="297"/>
      <c r="BO28" s="297"/>
      <c r="BP28" s="290"/>
      <c r="BQ28" s="315"/>
      <c r="BR28" s="315"/>
      <c r="BS28" s="2254"/>
    </row>
    <row r="29" spans="1:71" s="60" customFormat="1">
      <c r="A29" s="490"/>
      <c r="B29" s="491"/>
      <c r="C29" s="1186" t="s">
        <v>201</v>
      </c>
      <c r="E29" s="305"/>
      <c r="F29" s="306"/>
      <c r="G29" s="306"/>
      <c r="H29" s="307"/>
      <c r="I29" s="308">
        <f>I22-I27</f>
        <v>578</v>
      </c>
      <c r="J29" s="305">
        <f t="shared" ref="J29:AU29" si="40">J22-J27</f>
        <v>165</v>
      </c>
      <c r="K29" s="306">
        <f t="shared" si="40"/>
        <v>213</v>
      </c>
      <c r="L29" s="306">
        <f t="shared" si="40"/>
        <v>326</v>
      </c>
      <c r="M29" s="307">
        <f t="shared" si="40"/>
        <v>187</v>
      </c>
      <c r="N29" s="308">
        <f t="shared" si="40"/>
        <v>891</v>
      </c>
      <c r="O29" s="305">
        <f t="shared" si="40"/>
        <v>154</v>
      </c>
      <c r="P29" s="306">
        <f t="shared" si="40"/>
        <v>271</v>
      </c>
      <c r="Q29" s="306">
        <f t="shared" si="40"/>
        <v>444</v>
      </c>
      <c r="R29" s="307">
        <f>R22-R27</f>
        <v>-94</v>
      </c>
      <c r="S29" s="308">
        <f t="shared" si="40"/>
        <v>775</v>
      </c>
      <c r="T29" s="305">
        <f t="shared" si="40"/>
        <v>252</v>
      </c>
      <c r="U29" s="306">
        <f t="shared" si="40"/>
        <v>255</v>
      </c>
      <c r="V29" s="306">
        <f>V22-V27</f>
        <v>454</v>
      </c>
      <c r="W29" s="307">
        <f t="shared" si="40"/>
        <v>-126</v>
      </c>
      <c r="X29" s="308">
        <f t="shared" si="40"/>
        <v>835</v>
      </c>
      <c r="Y29" s="305">
        <f t="shared" si="40"/>
        <v>336</v>
      </c>
      <c r="Z29" s="306">
        <f t="shared" si="40"/>
        <v>287</v>
      </c>
      <c r="AA29" s="306">
        <f t="shared" si="40"/>
        <v>135</v>
      </c>
      <c r="AB29" s="307">
        <f t="shared" ref="AB29:AJ29" si="41">AB22-AB27</f>
        <v>44</v>
      </c>
      <c r="AC29" s="308">
        <f t="shared" si="41"/>
        <v>802</v>
      </c>
      <c r="AD29" s="305">
        <f t="shared" si="41"/>
        <v>339</v>
      </c>
      <c r="AE29" s="306">
        <f t="shared" si="41"/>
        <v>235</v>
      </c>
      <c r="AF29" s="306">
        <f t="shared" si="41"/>
        <v>351</v>
      </c>
      <c r="AG29" s="307">
        <f t="shared" si="41"/>
        <v>-233</v>
      </c>
      <c r="AH29" s="308">
        <f t="shared" si="41"/>
        <v>692</v>
      </c>
      <c r="AI29" s="305">
        <f t="shared" si="41"/>
        <v>330</v>
      </c>
      <c r="AJ29" s="306">
        <f t="shared" si="41"/>
        <v>247</v>
      </c>
      <c r="AK29" s="306">
        <f t="shared" ref="AK29:AO29" si="42">AK22-AK27</f>
        <v>371</v>
      </c>
      <c r="AL29" s="307">
        <f t="shared" si="42"/>
        <v>12</v>
      </c>
      <c r="AM29" s="308">
        <f t="shared" si="42"/>
        <v>960</v>
      </c>
      <c r="AN29" s="305">
        <f t="shared" si="42"/>
        <v>263</v>
      </c>
      <c r="AO29" s="306">
        <f t="shared" si="42"/>
        <v>230</v>
      </c>
      <c r="AP29" s="306">
        <f t="shared" si="40"/>
        <v>450</v>
      </c>
      <c r="AQ29" s="307">
        <f t="shared" si="40"/>
        <v>83</v>
      </c>
      <c r="AR29" s="308">
        <f t="shared" si="40"/>
        <v>1026</v>
      </c>
      <c r="AS29" s="305">
        <f t="shared" si="40"/>
        <v>375</v>
      </c>
      <c r="AT29" s="306">
        <f t="shared" si="40"/>
        <v>326</v>
      </c>
      <c r="AU29" s="306">
        <f t="shared" si="40"/>
        <v>497</v>
      </c>
      <c r="AV29" s="307">
        <f t="shared" ref="AV29:AW29" si="43">AV22-AV27</f>
        <v>298</v>
      </c>
      <c r="AW29" s="308">
        <f t="shared" si="43"/>
        <v>1496</v>
      </c>
      <c r="AX29" s="305">
        <f t="shared" ref="AX29:BB29" si="44">AX22-AX27</f>
        <v>418.05156535548156</v>
      </c>
      <c r="AY29" s="306">
        <f t="shared" si="44"/>
        <v>337.95231997953056</v>
      </c>
      <c r="AZ29" s="306">
        <f t="shared" si="44"/>
        <v>460.25403094713272</v>
      </c>
      <c r="BA29" s="307">
        <f t="shared" si="44"/>
        <v>379.04516088817149</v>
      </c>
      <c r="BB29" s="308">
        <f t="shared" si="44"/>
        <v>1595.3030771703154</v>
      </c>
      <c r="BC29" s="305">
        <f t="shared" ref="BC29:BL29" si="45">BC22-BC27</f>
        <v>437.35758029581598</v>
      </c>
      <c r="BD29" s="306">
        <f t="shared" si="45"/>
        <v>353.04732536288958</v>
      </c>
      <c r="BE29" s="306">
        <f t="shared" si="45"/>
        <v>475.10825130261753</v>
      </c>
      <c r="BF29" s="307">
        <f t="shared" si="45"/>
        <v>390.5938721910411</v>
      </c>
      <c r="BG29" s="308">
        <f t="shared" si="45"/>
        <v>1656.1070291523642</v>
      </c>
      <c r="BH29" s="305">
        <f t="shared" si="45"/>
        <v>398.44490654748472</v>
      </c>
      <c r="BI29" s="306">
        <f t="shared" si="45"/>
        <v>307.99715412183849</v>
      </c>
      <c r="BJ29" s="306">
        <f t="shared" si="45"/>
        <v>435.29006017148475</v>
      </c>
      <c r="BK29" s="307">
        <f t="shared" si="45"/>
        <v>350.86365100900991</v>
      </c>
      <c r="BL29" s="308">
        <f t="shared" si="45"/>
        <v>1492.5957718498175</v>
      </c>
      <c r="BM29" s="305">
        <f t="shared" ref="BM29:BQ29" si="46">BM22-BM27</f>
        <v>413.65247104137671</v>
      </c>
      <c r="BN29" s="306">
        <f t="shared" si="46"/>
        <v>317.29929758927938</v>
      </c>
      <c r="BO29" s="306">
        <f t="shared" si="46"/>
        <v>452.82226889824432</v>
      </c>
      <c r="BP29" s="307">
        <f t="shared" si="46"/>
        <v>368.5619166578025</v>
      </c>
      <c r="BQ29" s="308">
        <f t="shared" si="46"/>
        <v>1552.3359541867035</v>
      </c>
      <c r="BR29" s="308"/>
    </row>
    <row r="30" spans="1:71" s="81" customFormat="1">
      <c r="A30" s="202"/>
      <c r="B30" s="491"/>
      <c r="C30" s="1187"/>
      <c r="E30" s="316"/>
      <c r="F30" s="312"/>
      <c r="G30" s="312"/>
      <c r="H30" s="290"/>
      <c r="I30" s="315"/>
      <c r="J30" s="316"/>
      <c r="K30" s="312"/>
      <c r="L30" s="312"/>
      <c r="M30" s="290"/>
      <c r="N30" s="315"/>
      <c r="O30" s="316"/>
      <c r="P30" s="312"/>
      <c r="Q30" s="312"/>
      <c r="R30" s="317"/>
      <c r="S30" s="315"/>
      <c r="T30" s="316"/>
      <c r="U30" s="312"/>
      <c r="V30" s="312"/>
      <c r="W30" s="317"/>
      <c r="X30" s="315"/>
      <c r="Y30" s="316"/>
      <c r="Z30" s="312"/>
      <c r="AA30" s="312"/>
      <c r="AB30" s="317"/>
      <c r="AC30" s="315"/>
      <c r="AD30" s="316"/>
      <c r="AE30" s="312"/>
      <c r="AF30" s="312"/>
      <c r="AG30" s="317"/>
      <c r="AH30" s="315"/>
      <c r="AI30" s="316"/>
      <c r="AJ30" s="312"/>
      <c r="AK30" s="312"/>
      <c r="AL30" s="317"/>
      <c r="AM30" s="315"/>
      <c r="AN30" s="316"/>
      <c r="AO30" s="312"/>
      <c r="AP30" s="312"/>
      <c r="AQ30" s="317"/>
      <c r="AR30" s="315"/>
      <c r="AS30" s="316"/>
      <c r="AT30" s="312"/>
      <c r="AU30" s="312"/>
      <c r="AV30" s="317"/>
      <c r="AW30" s="315"/>
      <c r="AX30" s="316"/>
      <c r="AY30" s="312"/>
      <c r="AZ30" s="312"/>
      <c r="BA30" s="317"/>
      <c r="BB30" s="315"/>
      <c r="BC30" s="316"/>
      <c r="BD30" s="312"/>
      <c r="BE30" s="312"/>
      <c r="BF30" s="317"/>
      <c r="BG30" s="315"/>
      <c r="BH30" s="316"/>
      <c r="BI30" s="312"/>
      <c r="BJ30" s="312"/>
      <c r="BK30" s="317"/>
      <c r="BL30" s="315"/>
      <c r="BM30" s="316"/>
      <c r="BN30" s="312"/>
      <c r="BO30" s="312"/>
      <c r="BP30" s="317"/>
      <c r="BQ30" s="315"/>
      <c r="BR30" s="315"/>
    </row>
    <row r="31" spans="1:71" s="81" customFormat="1">
      <c r="A31" s="202"/>
      <c r="B31" s="491"/>
      <c r="C31" s="1187" t="s">
        <v>202</v>
      </c>
      <c r="E31" s="288"/>
      <c r="F31" s="289"/>
      <c r="G31" s="289"/>
      <c r="H31" s="290"/>
      <c r="I31" s="291">
        <v>243</v>
      </c>
      <c r="J31" s="288">
        <v>62</v>
      </c>
      <c r="K31" s="289">
        <v>81</v>
      </c>
      <c r="L31" s="289">
        <v>124</v>
      </c>
      <c r="M31" s="290">
        <f>+N31-L31-K31-J31</f>
        <v>72</v>
      </c>
      <c r="N31" s="291">
        <v>339</v>
      </c>
      <c r="O31" s="288">
        <f>158-P31</f>
        <v>58</v>
      </c>
      <c r="P31" s="289">
        <v>100</v>
      </c>
      <c r="Q31" s="289">
        <v>164</v>
      </c>
      <c r="R31" s="317">
        <f>S31-SUM(O31:Q31)</f>
        <v>-35</v>
      </c>
      <c r="S31" s="291">
        <v>287</v>
      </c>
      <c r="T31" s="288">
        <f>187-U31</f>
        <v>93</v>
      </c>
      <c r="U31" s="289">
        <v>94</v>
      </c>
      <c r="V31" s="289">
        <v>168</v>
      </c>
      <c r="W31" s="317">
        <f>X31-SUM(T31:V31)</f>
        <v>-60</v>
      </c>
      <c r="X31" s="291">
        <v>295</v>
      </c>
      <c r="Y31" s="288">
        <v>126</v>
      </c>
      <c r="Z31" s="302">
        <v>108</v>
      </c>
      <c r="AA31" s="302">
        <v>50</v>
      </c>
      <c r="AB31" s="317">
        <f>AC31-SUM(Y31:AA31)</f>
        <v>17</v>
      </c>
      <c r="AC31" s="291">
        <v>301</v>
      </c>
      <c r="AD31" s="288">
        <v>125</v>
      </c>
      <c r="AE31" s="302">
        <v>77</v>
      </c>
      <c r="AF31" s="302">
        <v>124</v>
      </c>
      <c r="AG31" s="317">
        <f>AH31-SUM(AD31:AF31)</f>
        <v>-99</v>
      </c>
      <c r="AH31" s="291">
        <v>227</v>
      </c>
      <c r="AI31" s="288">
        <v>122</v>
      </c>
      <c r="AJ31" s="302">
        <v>91</v>
      </c>
      <c r="AK31" s="302">
        <v>137</v>
      </c>
      <c r="AL31" s="317">
        <f>AM31-SUM(AI31:AK31)</f>
        <v>-8</v>
      </c>
      <c r="AM31" s="291">
        <v>342</v>
      </c>
      <c r="AN31" s="288">
        <v>98</v>
      </c>
      <c r="AO31" s="302">
        <v>84</v>
      </c>
      <c r="AP31" s="302">
        <v>167</v>
      </c>
      <c r="AQ31" s="317">
        <f>AR31-SUM(AN31:AP31)</f>
        <v>26</v>
      </c>
      <c r="AR31" s="291">
        <v>375</v>
      </c>
      <c r="AS31" s="288">
        <v>138</v>
      </c>
      <c r="AT31" s="302">
        <v>121</v>
      </c>
      <c r="AU31" s="302">
        <v>183</v>
      </c>
      <c r="AV31" s="317">
        <f>AW31-SUM(AS31:AU31)</f>
        <v>138</v>
      </c>
      <c r="AW31" s="291">
        <v>580</v>
      </c>
      <c r="AX31" s="316">
        <f>AX29*AX67</f>
        <v>108.69340699242521</v>
      </c>
      <c r="AY31" s="312">
        <f>AY29*AY67</f>
        <v>87.867603194677955</v>
      </c>
      <c r="AZ31" s="312">
        <f>AZ29*AZ67</f>
        <v>119.66604804625452</v>
      </c>
      <c r="BA31" s="317">
        <f>BA29*BA67</f>
        <v>98.551741830924598</v>
      </c>
      <c r="BB31" s="315">
        <f>SUM(AX31:BA31)</f>
        <v>414.77880006428228</v>
      </c>
      <c r="BC31" s="316">
        <f>BC29*BC67</f>
        <v>113.71297087691215</v>
      </c>
      <c r="BD31" s="312">
        <f>BD29*BD67</f>
        <v>91.792304594351293</v>
      </c>
      <c r="BE31" s="312">
        <f>BE29*BE67</f>
        <v>123.52814533868056</v>
      </c>
      <c r="BF31" s="317">
        <f>BF29*BF67</f>
        <v>101.55440676967069</v>
      </c>
      <c r="BG31" s="315">
        <f>SUM(BC31:BF31)</f>
        <v>430.58782757961467</v>
      </c>
      <c r="BH31" s="316">
        <f>BH29*BH67</f>
        <v>103.59567570234603</v>
      </c>
      <c r="BI31" s="312">
        <f>BI29*BI67</f>
        <v>80.079260071678007</v>
      </c>
      <c r="BJ31" s="312">
        <f>BJ29*BJ67</f>
        <v>113.17541564458604</v>
      </c>
      <c r="BK31" s="317">
        <f>BK29*BK67</f>
        <v>91.224549262342578</v>
      </c>
      <c r="BL31" s="315">
        <f>SUM(BH31:BK31)</f>
        <v>388.07490068095268</v>
      </c>
      <c r="BM31" s="316">
        <f>BM29*BM67</f>
        <v>107.54964247075795</v>
      </c>
      <c r="BN31" s="312">
        <f>BN29*BN67</f>
        <v>82.497817373212641</v>
      </c>
      <c r="BO31" s="312">
        <f>BO29*BO67</f>
        <v>117.73378991354353</v>
      </c>
      <c r="BP31" s="317">
        <f>BP29*BP67</f>
        <v>95.826098331028646</v>
      </c>
      <c r="BQ31" s="315">
        <f>SUM(BM31:BP31)</f>
        <v>403.60734808854272</v>
      </c>
      <c r="BR31" s="315"/>
    </row>
    <row r="32" spans="1:71" s="81" customFormat="1">
      <c r="A32" s="202"/>
      <c r="B32" s="221"/>
      <c r="C32" s="1187"/>
      <c r="E32" s="288"/>
      <c r="F32" s="289"/>
      <c r="G32" s="289"/>
      <c r="H32" s="290"/>
      <c r="I32" s="291"/>
      <c r="J32" s="288"/>
      <c r="K32" s="289"/>
      <c r="L32" s="289"/>
      <c r="M32" s="290"/>
      <c r="N32" s="291"/>
      <c r="O32" s="288"/>
      <c r="P32" s="289"/>
      <c r="Q32" s="289"/>
      <c r="R32" s="317"/>
      <c r="S32" s="291"/>
      <c r="T32" s="288"/>
      <c r="U32" s="289"/>
      <c r="V32" s="289"/>
      <c r="W32" s="317"/>
      <c r="X32" s="291"/>
      <c r="Y32" s="288"/>
      <c r="Z32" s="302"/>
      <c r="AA32" s="302"/>
      <c r="AB32" s="317"/>
      <c r="AC32" s="291"/>
      <c r="AD32" s="288"/>
      <c r="AE32" s="302"/>
      <c r="AF32" s="302"/>
      <c r="AG32" s="317"/>
      <c r="AH32" s="291"/>
      <c r="AI32" s="288"/>
      <c r="AJ32" s="302"/>
      <c r="AK32" s="302"/>
      <c r="AL32" s="317"/>
      <c r="AM32" s="291"/>
      <c r="AN32" s="288"/>
      <c r="AO32" s="302"/>
      <c r="AP32" s="302"/>
      <c r="AQ32" s="317"/>
      <c r="AR32" s="291"/>
      <c r="AS32" s="288"/>
      <c r="AT32" s="302"/>
      <c r="AU32" s="312"/>
      <c r="AV32" s="317"/>
      <c r="AW32" s="291"/>
      <c r="AX32" s="316"/>
      <c r="AY32" s="312"/>
      <c r="AZ32" s="312"/>
      <c r="BA32" s="317"/>
      <c r="BB32" s="315"/>
      <c r="BC32" s="316"/>
      <c r="BD32" s="312"/>
      <c r="BE32" s="312"/>
      <c r="BF32" s="317"/>
      <c r="BG32" s="315"/>
      <c r="BH32" s="316"/>
      <c r="BI32" s="312"/>
      <c r="BJ32" s="312"/>
      <c r="BK32" s="317"/>
      <c r="BL32" s="315"/>
      <c r="BM32" s="316"/>
      <c r="BN32" s="312"/>
      <c r="BO32" s="312"/>
      <c r="BP32" s="317"/>
      <c r="BQ32" s="315"/>
      <c r="BR32" s="315"/>
      <c r="BS32" s="18"/>
    </row>
    <row r="33" spans="1:104" s="81" customFormat="1">
      <c r="A33" s="202"/>
      <c r="B33" s="113"/>
      <c r="C33" s="1186" t="s">
        <v>425</v>
      </c>
      <c r="E33" s="305"/>
      <c r="F33" s="306"/>
      <c r="G33" s="306"/>
      <c r="H33" s="307"/>
      <c r="I33" s="308">
        <f>I29-I31</f>
        <v>335</v>
      </c>
      <c r="J33" s="305">
        <f t="shared" ref="J33:AT33" si="47">J29-J31</f>
        <v>103</v>
      </c>
      <c r="K33" s="306">
        <f t="shared" si="47"/>
        <v>132</v>
      </c>
      <c r="L33" s="306">
        <f t="shared" si="47"/>
        <v>202</v>
      </c>
      <c r="M33" s="307">
        <f t="shared" si="47"/>
        <v>115</v>
      </c>
      <c r="N33" s="308">
        <f t="shared" si="47"/>
        <v>552</v>
      </c>
      <c r="O33" s="305">
        <f t="shared" si="47"/>
        <v>96</v>
      </c>
      <c r="P33" s="306">
        <f t="shared" si="47"/>
        <v>171</v>
      </c>
      <c r="Q33" s="306">
        <f t="shared" si="47"/>
        <v>280</v>
      </c>
      <c r="R33" s="307">
        <f>R29-R31</f>
        <v>-59</v>
      </c>
      <c r="S33" s="308">
        <f t="shared" si="47"/>
        <v>488</v>
      </c>
      <c r="T33" s="305">
        <f t="shared" si="47"/>
        <v>159</v>
      </c>
      <c r="U33" s="306">
        <f t="shared" si="47"/>
        <v>161</v>
      </c>
      <c r="V33" s="306">
        <f>V29-V31</f>
        <v>286</v>
      </c>
      <c r="W33" s="307">
        <f t="shared" si="47"/>
        <v>-66</v>
      </c>
      <c r="X33" s="308">
        <f t="shared" si="47"/>
        <v>540</v>
      </c>
      <c r="Y33" s="305">
        <f t="shared" si="47"/>
        <v>210</v>
      </c>
      <c r="Z33" s="306">
        <f t="shared" si="47"/>
        <v>179</v>
      </c>
      <c r="AA33" s="306">
        <f t="shared" si="47"/>
        <v>85</v>
      </c>
      <c r="AB33" s="307">
        <f t="shared" ref="AB33:AJ33" si="48">AB29-AB31</f>
        <v>27</v>
      </c>
      <c r="AC33" s="308">
        <f t="shared" si="48"/>
        <v>501</v>
      </c>
      <c r="AD33" s="305">
        <f t="shared" si="48"/>
        <v>214</v>
      </c>
      <c r="AE33" s="306">
        <f t="shared" si="48"/>
        <v>158</v>
      </c>
      <c r="AF33" s="306">
        <f t="shared" si="48"/>
        <v>227</v>
      </c>
      <c r="AG33" s="307">
        <f t="shared" si="48"/>
        <v>-134</v>
      </c>
      <c r="AH33" s="308">
        <f t="shared" si="48"/>
        <v>465</v>
      </c>
      <c r="AI33" s="305">
        <f t="shared" si="48"/>
        <v>208</v>
      </c>
      <c r="AJ33" s="306">
        <f t="shared" si="48"/>
        <v>156</v>
      </c>
      <c r="AK33" s="306">
        <f>AK29-AK31</f>
        <v>234</v>
      </c>
      <c r="AL33" s="307">
        <f t="shared" ref="AL33:AO33" si="49">AL29-AL31</f>
        <v>20</v>
      </c>
      <c r="AM33" s="308">
        <f t="shared" si="49"/>
        <v>618</v>
      </c>
      <c r="AN33" s="305">
        <f t="shared" si="49"/>
        <v>165</v>
      </c>
      <c r="AO33" s="306">
        <f t="shared" si="49"/>
        <v>146</v>
      </c>
      <c r="AP33" s="306">
        <f t="shared" si="47"/>
        <v>283</v>
      </c>
      <c r="AQ33" s="307">
        <f t="shared" si="47"/>
        <v>57</v>
      </c>
      <c r="AR33" s="308">
        <f t="shared" si="47"/>
        <v>651</v>
      </c>
      <c r="AS33" s="305">
        <f t="shared" si="47"/>
        <v>237</v>
      </c>
      <c r="AT33" s="306">
        <f t="shared" si="47"/>
        <v>205</v>
      </c>
      <c r="AU33" s="306">
        <f t="shared" ref="AU33:BB33" si="50">AU29-AU31</f>
        <v>314</v>
      </c>
      <c r="AV33" s="307">
        <f t="shared" si="50"/>
        <v>160</v>
      </c>
      <c r="AW33" s="308">
        <f t="shared" si="50"/>
        <v>916</v>
      </c>
      <c r="AX33" s="305">
        <f t="shared" si="50"/>
        <v>309.35815836305636</v>
      </c>
      <c r="AY33" s="306">
        <f t="shared" si="50"/>
        <v>250.08471678485262</v>
      </c>
      <c r="AZ33" s="306">
        <f t="shared" si="50"/>
        <v>340.58798290087822</v>
      </c>
      <c r="BA33" s="307">
        <f t="shared" si="50"/>
        <v>280.49341905724691</v>
      </c>
      <c r="BB33" s="308">
        <f t="shared" si="50"/>
        <v>1180.5242771060332</v>
      </c>
      <c r="BC33" s="305">
        <f t="shared" ref="BC33:BL33" si="51">BC29-BC31</f>
        <v>323.64460941890383</v>
      </c>
      <c r="BD33" s="306">
        <f t="shared" si="51"/>
        <v>261.25502076853832</v>
      </c>
      <c r="BE33" s="306">
        <f t="shared" si="51"/>
        <v>351.58010596393694</v>
      </c>
      <c r="BF33" s="307">
        <f t="shared" si="51"/>
        <v>289.03946542137044</v>
      </c>
      <c r="BG33" s="308">
        <f t="shared" si="51"/>
        <v>1225.5192015727496</v>
      </c>
      <c r="BH33" s="305">
        <f t="shared" si="51"/>
        <v>294.84923084513866</v>
      </c>
      <c r="BI33" s="306">
        <f t="shared" si="51"/>
        <v>227.9178940501605</v>
      </c>
      <c r="BJ33" s="306">
        <f t="shared" si="51"/>
        <v>322.1146445268987</v>
      </c>
      <c r="BK33" s="307">
        <f t="shared" si="51"/>
        <v>259.63910174666734</v>
      </c>
      <c r="BL33" s="308">
        <f t="shared" si="51"/>
        <v>1104.5208711688649</v>
      </c>
      <c r="BM33" s="305">
        <f t="shared" ref="BM33:BQ33" si="52">BM29-BM31</f>
        <v>306.10282857061878</v>
      </c>
      <c r="BN33" s="306">
        <f t="shared" si="52"/>
        <v>234.80148021606675</v>
      </c>
      <c r="BO33" s="306">
        <f t="shared" si="52"/>
        <v>335.08847898470077</v>
      </c>
      <c r="BP33" s="307">
        <f t="shared" si="52"/>
        <v>272.73581832677382</v>
      </c>
      <c r="BQ33" s="308">
        <f t="shared" si="52"/>
        <v>1148.7286060981608</v>
      </c>
      <c r="BR33" s="308"/>
    </row>
    <row r="34" spans="1:104" s="81" customFormat="1">
      <c r="A34" s="202"/>
      <c r="B34" s="221"/>
      <c r="C34" s="1187" t="s">
        <v>432</v>
      </c>
      <c r="E34" s="288"/>
      <c r="F34" s="289"/>
      <c r="G34" s="289"/>
      <c r="H34" s="290"/>
      <c r="I34" s="291">
        <v>0</v>
      </c>
      <c r="J34" s="288">
        <f>(40+13-7+13-17)-K34</f>
        <v>43</v>
      </c>
      <c r="K34" s="289">
        <f>4-7+2</f>
        <v>-1</v>
      </c>
      <c r="L34" s="289">
        <f>12+9-6</f>
        <v>15</v>
      </c>
      <c r="M34" s="290">
        <f>+N34-L34-K34-J34</f>
        <v>89</v>
      </c>
      <c r="N34" s="291">
        <f>52+41+78+2-7+15-35</f>
        <v>146</v>
      </c>
      <c r="O34" s="288">
        <f>68-P34</f>
        <v>62</v>
      </c>
      <c r="P34" s="289">
        <f>8+2-1-3</f>
        <v>6</v>
      </c>
      <c r="Q34" s="289">
        <f>3+1+2+2-1-3</f>
        <v>4</v>
      </c>
      <c r="R34" s="102">
        <f>S34-SUM(O34:Q34)</f>
        <v>235</v>
      </c>
      <c r="S34" s="291">
        <f>26+2+78+291+6-2+87-181</f>
        <v>307</v>
      </c>
      <c r="T34" s="288">
        <v>11</v>
      </c>
      <c r="U34" s="289">
        <f>9+2+2+6+6-7</f>
        <v>18</v>
      </c>
      <c r="V34" s="289">
        <f>(21+1+2+5+7-11)</f>
        <v>25</v>
      </c>
      <c r="W34" s="102">
        <f>X34-SUM(T34:V34)</f>
        <v>270</v>
      </c>
      <c r="X34" s="291">
        <f>50+1+4+17+406+7+5+22-188</f>
        <v>324</v>
      </c>
      <c r="Y34" s="288">
        <v>9</v>
      </c>
      <c r="Z34" s="302">
        <v>11</v>
      </c>
      <c r="AA34" s="302">
        <v>167</v>
      </c>
      <c r="AB34" s="102">
        <f>AC34-SUM(Y34:AA34)</f>
        <v>168</v>
      </c>
      <c r="AC34" s="291">
        <f>356+10-152-2+2+4+350+1-214</f>
        <v>355</v>
      </c>
      <c r="AD34" s="288">
        <v>8</v>
      </c>
      <c r="AE34" s="302">
        <v>7</v>
      </c>
      <c r="AF34" s="302">
        <v>9</v>
      </c>
      <c r="AG34" s="102">
        <f>AH34-SUM(AD34:AF34)</f>
        <v>320</v>
      </c>
      <c r="AH34" s="291">
        <v>344</v>
      </c>
      <c r="AI34" s="288">
        <v>10</v>
      </c>
      <c r="AJ34" s="302">
        <v>8</v>
      </c>
      <c r="AK34" s="302">
        <v>16</v>
      </c>
      <c r="AL34" s="102">
        <f>AM34-SUM(AI34:AK34)</f>
        <v>115</v>
      </c>
      <c r="AM34" s="291">
        <v>149</v>
      </c>
      <c r="AN34" s="288">
        <v>40</v>
      </c>
      <c r="AO34" s="302">
        <f>10-4</f>
        <v>6</v>
      </c>
      <c r="AP34" s="302">
        <f>8-3</f>
        <v>5</v>
      </c>
      <c r="AQ34" s="102">
        <f>AR34-SUM(AN34:AP34)</f>
        <v>69</v>
      </c>
      <c r="AR34" s="291">
        <v>120</v>
      </c>
      <c r="AS34" s="288">
        <f>8-3</f>
        <v>5</v>
      </c>
      <c r="AT34" s="302">
        <f>9-3</f>
        <v>6</v>
      </c>
      <c r="AU34" s="302">
        <f>8-3</f>
        <v>5</v>
      </c>
      <c r="AV34" s="102">
        <f>AW34-SUM(AS34:AU34)</f>
        <v>98</v>
      </c>
      <c r="AW34" s="291">
        <v>114</v>
      </c>
      <c r="AX34" s="667">
        <v>0</v>
      </c>
      <c r="AY34" s="485">
        <v>0</v>
      </c>
      <c r="AZ34" s="485">
        <v>0</v>
      </c>
      <c r="BA34" s="486">
        <v>0</v>
      </c>
      <c r="BB34" s="298">
        <f>SUM(AX34:BA34)</f>
        <v>0</v>
      </c>
      <c r="BC34" s="667">
        <v>0</v>
      </c>
      <c r="BD34" s="485">
        <v>0</v>
      </c>
      <c r="BE34" s="485">
        <v>0</v>
      </c>
      <c r="BF34" s="486">
        <v>0</v>
      </c>
      <c r="BG34" s="298">
        <f>SUM(BC34:BF34)</f>
        <v>0</v>
      </c>
      <c r="BH34" s="667">
        <v>0</v>
      </c>
      <c r="BI34" s="485">
        <v>0</v>
      </c>
      <c r="BJ34" s="485">
        <v>0</v>
      </c>
      <c r="BK34" s="486">
        <v>0</v>
      </c>
      <c r="BL34" s="298">
        <f>SUM(BH34:BK34)</f>
        <v>0</v>
      </c>
      <c r="BM34" s="667">
        <v>0</v>
      </c>
      <c r="BN34" s="485">
        <v>0</v>
      </c>
      <c r="BO34" s="485">
        <v>0</v>
      </c>
      <c r="BP34" s="486">
        <v>0</v>
      </c>
      <c r="BQ34" s="298">
        <f>SUM(BM34:BP34)</f>
        <v>0</v>
      </c>
      <c r="BR34" s="315"/>
      <c r="BS34" s="18"/>
    </row>
    <row r="35" spans="1:104" s="81" customFormat="1">
      <c r="A35" s="202"/>
      <c r="B35" s="93"/>
      <c r="C35" s="1186" t="s">
        <v>203</v>
      </c>
      <c r="E35" s="305"/>
      <c r="F35" s="306"/>
      <c r="G35" s="306"/>
      <c r="H35" s="314"/>
      <c r="I35" s="308">
        <f t="shared" ref="I35:P35" si="53">I33+I34</f>
        <v>335</v>
      </c>
      <c r="J35" s="305">
        <f t="shared" si="53"/>
        <v>146</v>
      </c>
      <c r="K35" s="306">
        <f t="shared" si="53"/>
        <v>131</v>
      </c>
      <c r="L35" s="306">
        <f t="shared" si="53"/>
        <v>217</v>
      </c>
      <c r="M35" s="307">
        <f t="shared" si="53"/>
        <v>204</v>
      </c>
      <c r="N35" s="308">
        <f t="shared" si="53"/>
        <v>698</v>
      </c>
      <c r="O35" s="305">
        <f t="shared" si="53"/>
        <v>158</v>
      </c>
      <c r="P35" s="306">
        <f t="shared" si="53"/>
        <v>177</v>
      </c>
      <c r="Q35" s="306">
        <f>Q33+Q34</f>
        <v>284</v>
      </c>
      <c r="R35" s="307">
        <f t="shared" ref="R35:AT35" si="54">R33+R34</f>
        <v>176</v>
      </c>
      <c r="S35" s="308">
        <f>S33+S34</f>
        <v>795</v>
      </c>
      <c r="T35" s="305">
        <f t="shared" si="54"/>
        <v>170</v>
      </c>
      <c r="U35" s="306">
        <f t="shared" si="54"/>
        <v>179</v>
      </c>
      <c r="V35" s="306">
        <f t="shared" si="54"/>
        <v>311</v>
      </c>
      <c r="W35" s="307">
        <f t="shared" si="54"/>
        <v>204</v>
      </c>
      <c r="X35" s="308">
        <f t="shared" si="54"/>
        <v>864</v>
      </c>
      <c r="Y35" s="305">
        <f t="shared" si="54"/>
        <v>219</v>
      </c>
      <c r="Z35" s="306">
        <f t="shared" si="54"/>
        <v>190</v>
      </c>
      <c r="AA35" s="306">
        <f t="shared" si="54"/>
        <v>252</v>
      </c>
      <c r="AB35" s="307">
        <f t="shared" ref="AB35:AJ35" si="55">AB33+AB34</f>
        <v>195</v>
      </c>
      <c r="AC35" s="308">
        <f t="shared" si="55"/>
        <v>856</v>
      </c>
      <c r="AD35" s="305">
        <f t="shared" si="55"/>
        <v>222</v>
      </c>
      <c r="AE35" s="306">
        <f t="shared" si="55"/>
        <v>165</v>
      </c>
      <c r="AF35" s="306">
        <f t="shared" si="55"/>
        <v>236</v>
      </c>
      <c r="AG35" s="307">
        <f t="shared" si="55"/>
        <v>186</v>
      </c>
      <c r="AH35" s="308">
        <f t="shared" si="55"/>
        <v>809</v>
      </c>
      <c r="AI35" s="305">
        <f t="shared" si="55"/>
        <v>218</v>
      </c>
      <c r="AJ35" s="306">
        <f t="shared" si="55"/>
        <v>164</v>
      </c>
      <c r="AK35" s="306">
        <f t="shared" ref="AK35:AO35" si="56">AK33+AK34</f>
        <v>250</v>
      </c>
      <c r="AL35" s="307">
        <f t="shared" si="56"/>
        <v>135</v>
      </c>
      <c r="AM35" s="308">
        <f t="shared" si="56"/>
        <v>767</v>
      </c>
      <c r="AN35" s="305">
        <f t="shared" si="56"/>
        <v>205</v>
      </c>
      <c r="AO35" s="306">
        <f t="shared" si="56"/>
        <v>152</v>
      </c>
      <c r="AP35" s="306">
        <f t="shared" si="54"/>
        <v>288</v>
      </c>
      <c r="AQ35" s="307">
        <f t="shared" si="54"/>
        <v>126</v>
      </c>
      <c r="AR35" s="308">
        <f t="shared" si="54"/>
        <v>771</v>
      </c>
      <c r="AS35" s="305">
        <f t="shared" si="54"/>
        <v>242</v>
      </c>
      <c r="AT35" s="306">
        <f t="shared" si="54"/>
        <v>211</v>
      </c>
      <c r="AU35" s="306">
        <f t="shared" ref="AU35:AW35" si="57">AU33+AU34</f>
        <v>319</v>
      </c>
      <c r="AV35" s="307">
        <f t="shared" si="57"/>
        <v>258</v>
      </c>
      <c r="AW35" s="308">
        <f t="shared" si="57"/>
        <v>1030</v>
      </c>
      <c r="AX35" s="305">
        <f t="shared" ref="AX35:BB35" si="58">AX33+AX34</f>
        <v>309.35815836305636</v>
      </c>
      <c r="AY35" s="306">
        <f t="shared" si="58"/>
        <v>250.08471678485262</v>
      </c>
      <c r="AZ35" s="306">
        <f t="shared" si="58"/>
        <v>340.58798290087822</v>
      </c>
      <c r="BA35" s="307">
        <f t="shared" si="58"/>
        <v>280.49341905724691</v>
      </c>
      <c r="BB35" s="308">
        <f t="shared" si="58"/>
        <v>1180.5242771060332</v>
      </c>
      <c r="BC35" s="305">
        <f t="shared" ref="BC35:BL35" si="59">BC33+BC34</f>
        <v>323.64460941890383</v>
      </c>
      <c r="BD35" s="306">
        <f t="shared" si="59"/>
        <v>261.25502076853832</v>
      </c>
      <c r="BE35" s="306">
        <f t="shared" si="59"/>
        <v>351.58010596393694</v>
      </c>
      <c r="BF35" s="307">
        <f t="shared" si="59"/>
        <v>289.03946542137044</v>
      </c>
      <c r="BG35" s="308">
        <f t="shared" si="59"/>
        <v>1225.5192015727496</v>
      </c>
      <c r="BH35" s="305">
        <f t="shared" si="59"/>
        <v>294.84923084513866</v>
      </c>
      <c r="BI35" s="306">
        <f t="shared" si="59"/>
        <v>227.9178940501605</v>
      </c>
      <c r="BJ35" s="306">
        <f t="shared" si="59"/>
        <v>322.1146445268987</v>
      </c>
      <c r="BK35" s="307">
        <f t="shared" si="59"/>
        <v>259.63910174666734</v>
      </c>
      <c r="BL35" s="308">
        <f t="shared" si="59"/>
        <v>1104.5208711688649</v>
      </c>
      <c r="BM35" s="305">
        <f t="shared" ref="BM35:BQ35" si="60">BM33+BM34</f>
        <v>306.10282857061878</v>
      </c>
      <c r="BN35" s="306">
        <f t="shared" si="60"/>
        <v>234.80148021606675</v>
      </c>
      <c r="BO35" s="306">
        <f t="shared" si="60"/>
        <v>335.08847898470077</v>
      </c>
      <c r="BP35" s="307">
        <f t="shared" si="60"/>
        <v>272.73581832677382</v>
      </c>
      <c r="BQ35" s="308">
        <f t="shared" si="60"/>
        <v>1148.7286060981608</v>
      </c>
      <c r="BR35" s="308"/>
    </row>
    <row r="36" spans="1:104" s="81" customFormat="1">
      <c r="A36" s="202"/>
      <c r="B36" s="96"/>
      <c r="C36" s="1223"/>
      <c r="D36" s="326"/>
      <c r="E36" s="667"/>
      <c r="F36" s="485"/>
      <c r="G36" s="485"/>
      <c r="H36" s="486"/>
      <c r="I36" s="730"/>
      <c r="J36" s="667"/>
      <c r="K36" s="485"/>
      <c r="L36" s="485"/>
      <c r="M36" s="486"/>
      <c r="N36" s="730"/>
      <c r="O36" s="667"/>
      <c r="P36" s="485"/>
      <c r="Q36" s="485"/>
      <c r="R36" s="486"/>
      <c r="S36" s="814"/>
      <c r="T36" s="667"/>
      <c r="U36" s="485"/>
      <c r="V36" s="485"/>
      <c r="W36" s="486"/>
      <c r="X36" s="814"/>
      <c r="Y36" s="667"/>
      <c r="Z36" s="505"/>
      <c r="AA36" s="505"/>
      <c r="AB36" s="486"/>
      <c r="AC36" s="814"/>
      <c r="AD36" s="667"/>
      <c r="AE36" s="505"/>
      <c r="AF36" s="505"/>
      <c r="AG36" s="486"/>
      <c r="AH36" s="814"/>
      <c r="AI36" s="667"/>
      <c r="AJ36" s="505"/>
      <c r="AK36" s="505"/>
      <c r="AL36" s="486"/>
      <c r="AM36" s="814"/>
      <c r="AN36" s="667"/>
      <c r="AO36" s="505"/>
      <c r="AP36" s="505"/>
      <c r="AQ36" s="486"/>
      <c r="AR36" s="814"/>
      <c r="AS36" s="667"/>
      <c r="AT36" s="505"/>
      <c r="AU36" s="505"/>
      <c r="AV36" s="486"/>
      <c r="AW36" s="814"/>
      <c r="AX36" s="667"/>
      <c r="AY36" s="485"/>
      <c r="AZ36" s="485"/>
      <c r="BA36" s="486"/>
      <c r="BB36" s="730"/>
      <c r="BC36" s="667"/>
      <c r="BD36" s="485"/>
      <c r="BE36" s="485"/>
      <c r="BF36" s="486"/>
      <c r="BG36" s="730"/>
      <c r="BH36" s="667"/>
      <c r="BI36" s="485"/>
      <c r="BJ36" s="485"/>
      <c r="BK36" s="486"/>
      <c r="BL36" s="730"/>
      <c r="BM36" s="667"/>
      <c r="BN36" s="485"/>
      <c r="BO36" s="485"/>
      <c r="BP36" s="486"/>
      <c r="BQ36" s="730"/>
      <c r="BR36" s="315"/>
    </row>
    <row r="37" spans="1:104" s="81" customFormat="1">
      <c r="A37" s="202"/>
      <c r="B37" s="221"/>
      <c r="C37" s="1187" t="s">
        <v>252</v>
      </c>
      <c r="E37" s="309"/>
      <c r="F37" s="310"/>
      <c r="G37" s="310"/>
      <c r="H37" s="311"/>
      <c r="I37" s="285">
        <f>FirstEnergy!I47</f>
        <v>304</v>
      </c>
      <c r="J37" s="309">
        <f>FirstEnergy!J47</f>
        <v>304</v>
      </c>
      <c r="K37" s="310">
        <f>FirstEnergy!K47</f>
        <v>304</v>
      </c>
      <c r="L37" s="310">
        <f>FirstEnergy!L47</f>
        <v>304</v>
      </c>
      <c r="M37" s="311">
        <f>FirstEnergy!M47</f>
        <v>304</v>
      </c>
      <c r="N37" s="285">
        <f>FirstEnergy!N47</f>
        <v>304</v>
      </c>
      <c r="O37" s="309">
        <f>FirstEnergy!O47</f>
        <v>342</v>
      </c>
      <c r="P37" s="310">
        <f>FirstEnergy!P47</f>
        <v>418</v>
      </c>
      <c r="Q37" s="310">
        <f>FirstEnergy!Q47</f>
        <v>418</v>
      </c>
      <c r="R37" s="311">
        <f>FirstEnergy!R47</f>
        <v>418</v>
      </c>
      <c r="S37" s="285">
        <f>FirstEnergy!S47</f>
        <v>399</v>
      </c>
      <c r="T37" s="309">
        <f>FirstEnergy!T47</f>
        <v>418</v>
      </c>
      <c r="U37" s="310">
        <f>FirstEnergy!U47</f>
        <v>417</v>
      </c>
      <c r="V37" s="310">
        <f>FirstEnergy!V47</f>
        <v>417</v>
      </c>
      <c r="W37" s="311">
        <f>FirstEnergy!W47</f>
        <v>418</v>
      </c>
      <c r="X37" s="285">
        <f>FirstEnergy!X47</f>
        <v>418</v>
      </c>
      <c r="Y37" s="309">
        <f>FirstEnergy!Y47</f>
        <v>418</v>
      </c>
      <c r="Z37" s="297">
        <f>FirstEnergy!Z47</f>
        <v>418</v>
      </c>
      <c r="AA37" s="297">
        <f>FirstEnergy!AA47</f>
        <v>418</v>
      </c>
      <c r="AB37" s="311">
        <f>FirstEnergy!AB47</f>
        <v>418</v>
      </c>
      <c r="AC37" s="285">
        <f>FirstEnergy!AC47</f>
        <v>418</v>
      </c>
      <c r="AD37" s="309">
        <f>FirstEnergy!AD47</f>
        <v>419</v>
      </c>
      <c r="AE37" s="297">
        <f>FirstEnergy!AE47</f>
        <v>420</v>
      </c>
      <c r="AF37" s="297">
        <f>FirstEnergy!AF47</f>
        <v>420</v>
      </c>
      <c r="AG37" s="311">
        <f>FirstEnergy!AG47</f>
        <v>421</v>
      </c>
      <c r="AH37" s="285">
        <f>FirstEnergy!AH47</f>
        <v>420</v>
      </c>
      <c r="AI37" s="309">
        <f>FirstEnergy!AI47</f>
        <v>421</v>
      </c>
      <c r="AJ37" s="297">
        <f>FirstEnergy!AJ47</f>
        <v>422</v>
      </c>
      <c r="AK37" s="297">
        <f>FirstEnergy!AK47</f>
        <v>423</v>
      </c>
      <c r="AL37" s="311">
        <f>FirstEnergy!AL47</f>
        <v>423</v>
      </c>
      <c r="AM37" s="285">
        <f>FirstEnergy!AM47</f>
        <v>422</v>
      </c>
      <c r="AN37" s="309">
        <f>FirstEnergy!AN47</f>
        <v>424</v>
      </c>
      <c r="AO37" s="297">
        <f>FirstEnergy!AO47</f>
        <v>425</v>
      </c>
      <c r="AP37" s="297">
        <f>FirstEnergy!AP47</f>
        <v>425</v>
      </c>
      <c r="AQ37" s="311">
        <f>FirstEnergy!AQ47</f>
        <v>431</v>
      </c>
      <c r="AR37" s="285">
        <f>FirstEnergy!AR47</f>
        <v>426</v>
      </c>
      <c r="AS37" s="309">
        <f>FirstEnergy!AS47</f>
        <v>443</v>
      </c>
      <c r="AT37" s="297">
        <f>FirstEnergy!AT47</f>
        <v>444</v>
      </c>
      <c r="AU37" s="297">
        <f>FirstEnergy!AU47</f>
        <v>444</v>
      </c>
      <c r="AV37" s="311">
        <f>FirstEnergy!AV47</f>
        <v>445</v>
      </c>
      <c r="AW37" s="285">
        <f>FirstEnergy!AW47</f>
        <v>444</v>
      </c>
      <c r="AX37" s="309">
        <f>FirstEnergy!AX47</f>
        <v>460.39435196385546</v>
      </c>
      <c r="AY37" s="310">
        <f>FirstEnergy!AY47</f>
        <v>475.45459292771085</v>
      </c>
      <c r="AZ37" s="310">
        <f>FirstEnergy!AZ47</f>
        <v>476.90386829002966</v>
      </c>
      <c r="BA37" s="311">
        <f>FirstEnergy!BA47</f>
        <v>478.35314365234854</v>
      </c>
      <c r="BB37" s="285">
        <f>FirstEnergy!BB47</f>
        <v>472.77648920848617</v>
      </c>
      <c r="BC37" s="309">
        <f>FirstEnergy!BC47</f>
        <v>478.35314365234854</v>
      </c>
      <c r="BD37" s="310">
        <f>FirstEnergy!BD47</f>
        <v>478.35314365234854</v>
      </c>
      <c r="BE37" s="310">
        <f>FirstEnergy!BE47</f>
        <v>507.89362505278615</v>
      </c>
      <c r="BF37" s="311">
        <f>FirstEnergy!BF47</f>
        <v>538.88338181554263</v>
      </c>
      <c r="BG37" s="285">
        <f>FirstEnergy!BG47</f>
        <v>500.87082354325645</v>
      </c>
      <c r="BH37" s="309">
        <f>FirstEnergy!BH47</f>
        <v>540.69497601844114</v>
      </c>
      <c r="BI37" s="310">
        <f>FirstEnergy!BI47</f>
        <v>541.4196136996004</v>
      </c>
      <c r="BJ37" s="310">
        <f>FirstEnergy!BJ47</f>
        <v>542.1442513807599</v>
      </c>
      <c r="BK37" s="311">
        <f>FirstEnergy!BK47</f>
        <v>542.86888906191916</v>
      </c>
      <c r="BL37" s="285">
        <f>FirstEnergy!BL47</f>
        <v>541.78193254018015</v>
      </c>
      <c r="BM37" s="309">
        <f>FirstEnergy!BM47</f>
        <v>543.54370790249891</v>
      </c>
      <c r="BN37" s="310">
        <f>FirstEnergy!BN47</f>
        <v>544.16870790249891</v>
      </c>
      <c r="BO37" s="310">
        <f>FirstEnergy!BO47</f>
        <v>544.79370790249891</v>
      </c>
      <c r="BP37" s="311">
        <f>FirstEnergy!BP47</f>
        <v>545.41870790249891</v>
      </c>
      <c r="BQ37" s="285">
        <f>FirstEnergy!BQ47</f>
        <v>544.48120790249891</v>
      </c>
      <c r="BR37" s="285"/>
      <c r="BS37" s="18"/>
    </row>
    <row r="38" spans="1:104" s="81" customFormat="1">
      <c r="A38" s="202"/>
      <c r="B38" s="490"/>
      <c r="C38" s="1187" t="s">
        <v>253</v>
      </c>
      <c r="E38" s="309"/>
      <c r="F38" s="310"/>
      <c r="G38" s="310"/>
      <c r="H38" s="311"/>
      <c r="I38" s="285">
        <f>FirstEnergy!I48</f>
        <v>306</v>
      </c>
      <c r="J38" s="309">
        <f>FirstEnergy!J48</f>
        <v>306</v>
      </c>
      <c r="K38" s="310">
        <f>FirstEnergy!K48</f>
        <v>305</v>
      </c>
      <c r="L38" s="310">
        <f>FirstEnergy!L48</f>
        <v>305</v>
      </c>
      <c r="M38" s="311">
        <f>FirstEnergy!M48</f>
        <v>306</v>
      </c>
      <c r="N38" s="285">
        <f>FirstEnergy!N48</f>
        <v>305</v>
      </c>
      <c r="O38" s="309">
        <f>FirstEnergy!O48</f>
        <v>343</v>
      </c>
      <c r="P38" s="310">
        <f>FirstEnergy!P48</f>
        <v>420</v>
      </c>
      <c r="Q38" s="310">
        <f>FirstEnergy!Q48</f>
        <v>420</v>
      </c>
      <c r="R38" s="311">
        <f>FirstEnergy!R48</f>
        <v>420</v>
      </c>
      <c r="S38" s="285">
        <f>FirstEnergy!S48</f>
        <v>401</v>
      </c>
      <c r="T38" s="309">
        <f>FirstEnergy!T48</f>
        <v>420</v>
      </c>
      <c r="U38" s="310">
        <f>FirstEnergy!U48</f>
        <v>419</v>
      </c>
      <c r="V38" s="310">
        <f>FirstEnergy!V48</f>
        <v>419</v>
      </c>
      <c r="W38" s="311">
        <f>FirstEnergy!W48</f>
        <v>419</v>
      </c>
      <c r="X38" s="285">
        <f>FirstEnergy!X48</f>
        <v>419</v>
      </c>
      <c r="Y38" s="309">
        <f>FirstEnergy!Y48</f>
        <v>419</v>
      </c>
      <c r="Z38" s="297">
        <f>FirstEnergy!Z48</f>
        <v>418</v>
      </c>
      <c r="AA38" s="297">
        <f>FirstEnergy!AA48</f>
        <v>419</v>
      </c>
      <c r="AB38" s="311">
        <f>FirstEnergy!AB48</f>
        <v>419</v>
      </c>
      <c r="AC38" s="285">
        <f>FirstEnergy!AC48</f>
        <v>419</v>
      </c>
      <c r="AD38" s="309">
        <f>FirstEnergy!AD48</f>
        <v>420</v>
      </c>
      <c r="AE38" s="297">
        <f>FirstEnergy!AE48</f>
        <v>421</v>
      </c>
      <c r="AF38" s="297">
        <f>FirstEnergy!AF48</f>
        <v>421</v>
      </c>
      <c r="AG38" s="311">
        <f>FirstEnergy!AG48</f>
        <v>421</v>
      </c>
      <c r="AH38" s="285">
        <f>FirstEnergy!AH48</f>
        <v>421</v>
      </c>
      <c r="AI38" s="309">
        <f>FirstEnergy!AI48</f>
        <v>423</v>
      </c>
      <c r="AJ38" s="297">
        <f>FirstEnergy!AJ48</f>
        <v>423</v>
      </c>
      <c r="AK38" s="297">
        <f>FirstEnergy!AK48</f>
        <v>424</v>
      </c>
      <c r="AL38" s="311">
        <f>FirstEnergy!AL48</f>
        <v>423</v>
      </c>
      <c r="AM38" s="285">
        <f>FirstEnergy!AM48</f>
        <v>424</v>
      </c>
      <c r="AN38" s="309">
        <f>FirstEnergy!AN48</f>
        <v>426</v>
      </c>
      <c r="AO38" s="297">
        <f>FirstEnergy!AO48</f>
        <v>425</v>
      </c>
      <c r="AP38" s="297">
        <f>FirstEnergy!AP48</f>
        <v>427</v>
      </c>
      <c r="AQ38" s="311">
        <f>FirstEnergy!AQ48</f>
        <v>431</v>
      </c>
      <c r="AR38" s="285">
        <f>FirstEnergy!AR48</f>
        <v>426</v>
      </c>
      <c r="AS38" s="309">
        <f>FirstEnergy!AS48</f>
        <v>444</v>
      </c>
      <c r="AT38" s="297">
        <f>FirstEnergy!AT48</f>
        <v>445</v>
      </c>
      <c r="AU38" s="297">
        <f>FirstEnergy!AU48</f>
        <v>446</v>
      </c>
      <c r="AV38" s="311">
        <f>FirstEnergy!AV48</f>
        <v>445</v>
      </c>
      <c r="AW38" s="285">
        <f>FirstEnergy!AW48</f>
        <v>444</v>
      </c>
      <c r="AX38" s="309">
        <f>FirstEnergy!AX48</f>
        <v>460.39435196385546</v>
      </c>
      <c r="AY38" s="310">
        <f>FirstEnergy!AY48</f>
        <v>475.45459292771085</v>
      </c>
      <c r="AZ38" s="310">
        <f>FirstEnergy!AZ48</f>
        <v>476.90386829002966</v>
      </c>
      <c r="BA38" s="311">
        <f>FirstEnergy!BA48</f>
        <v>478.35314365234854</v>
      </c>
      <c r="BB38" s="285">
        <f>FirstEnergy!BB48</f>
        <v>472.77648920848617</v>
      </c>
      <c r="BC38" s="309">
        <f>FirstEnergy!BC48</f>
        <v>478.35314365234854</v>
      </c>
      <c r="BD38" s="310">
        <f>FirstEnergy!BD48</f>
        <v>478.35314365234854</v>
      </c>
      <c r="BE38" s="310">
        <f>FirstEnergy!BE48</f>
        <v>507.89362505278615</v>
      </c>
      <c r="BF38" s="311">
        <f>FirstEnergy!BF48</f>
        <v>538.88338181554263</v>
      </c>
      <c r="BG38" s="285">
        <f>FirstEnergy!BG48</f>
        <v>500.87082354325645</v>
      </c>
      <c r="BH38" s="309">
        <f>FirstEnergy!BH48</f>
        <v>540.69497601844114</v>
      </c>
      <c r="BI38" s="310">
        <f>FirstEnergy!BI48</f>
        <v>541.4196136996004</v>
      </c>
      <c r="BJ38" s="310">
        <f>FirstEnergy!BJ48</f>
        <v>542.1442513807599</v>
      </c>
      <c r="BK38" s="311">
        <f>FirstEnergy!BK48</f>
        <v>542.86888906191916</v>
      </c>
      <c r="BL38" s="285">
        <f>FirstEnergy!BL48</f>
        <v>541.78193254018015</v>
      </c>
      <c r="BM38" s="309">
        <f>FirstEnergy!BM48</f>
        <v>543.54370790249891</v>
      </c>
      <c r="BN38" s="310">
        <f>FirstEnergy!BN48</f>
        <v>544.16870790249891</v>
      </c>
      <c r="BO38" s="310">
        <f>FirstEnergy!BO48</f>
        <v>544.79370790249891</v>
      </c>
      <c r="BP38" s="311">
        <f>FirstEnergy!BP48</f>
        <v>545.41870790249891</v>
      </c>
      <c r="BQ38" s="285">
        <f>FirstEnergy!BQ48</f>
        <v>544.48120790249891</v>
      </c>
      <c r="BR38" s="285"/>
      <c r="BS38" s="18"/>
      <c r="BT38" s="2296"/>
      <c r="BU38" s="746"/>
    </row>
    <row r="39" spans="1:104">
      <c r="A39" s="139"/>
      <c r="B39" s="261"/>
      <c r="C39" s="1222"/>
      <c r="E39" s="133"/>
      <c r="F39" s="134"/>
      <c r="G39" s="134"/>
      <c r="H39" s="135"/>
      <c r="I39" s="89"/>
      <c r="J39" s="133"/>
      <c r="K39" s="134"/>
      <c r="L39" s="134"/>
      <c r="M39" s="135"/>
      <c r="N39" s="89"/>
      <c r="O39" s="133"/>
      <c r="P39" s="134"/>
      <c r="Q39" s="134"/>
      <c r="R39" s="317"/>
      <c r="S39" s="315"/>
      <c r="T39" s="316"/>
      <c r="U39" s="134"/>
      <c r="V39" s="134"/>
      <c r="W39" s="317"/>
      <c r="X39" s="315"/>
      <c r="Y39" s="316"/>
      <c r="Z39" s="134"/>
      <c r="AA39" s="134"/>
      <c r="AB39" s="317"/>
      <c r="AC39" s="315"/>
      <c r="AD39" s="316"/>
      <c r="AE39" s="134"/>
      <c r="AF39" s="134"/>
      <c r="AG39" s="317"/>
      <c r="AH39" s="315"/>
      <c r="AI39" s="316"/>
      <c r="AJ39" s="134"/>
      <c r="AK39" s="134"/>
      <c r="AL39" s="317"/>
      <c r="AM39" s="315"/>
      <c r="AN39" s="316"/>
      <c r="AO39" s="134"/>
      <c r="AP39" s="134"/>
      <c r="AQ39" s="317"/>
      <c r="AR39" s="315"/>
      <c r="AS39" s="316"/>
      <c r="AT39" s="134"/>
      <c r="AU39" s="312"/>
      <c r="AV39" s="317"/>
      <c r="AW39" s="315"/>
      <c r="AX39" s="316"/>
      <c r="AY39" s="312"/>
      <c r="AZ39" s="312"/>
      <c r="BA39" s="317"/>
      <c r="BB39" s="315"/>
      <c r="BC39" s="316"/>
      <c r="BD39" s="312"/>
      <c r="BE39" s="312"/>
      <c r="BF39" s="317"/>
      <c r="BG39" s="315"/>
      <c r="BH39" s="316"/>
      <c r="BI39" s="312"/>
      <c r="BJ39" s="312"/>
      <c r="BK39" s="317"/>
      <c r="BL39" s="315"/>
      <c r="BM39" s="316"/>
      <c r="BN39" s="312"/>
      <c r="BO39" s="312"/>
      <c r="BP39" s="317"/>
      <c r="BQ39" s="315"/>
      <c r="BR39" s="89"/>
      <c r="BS39" s="2105"/>
    </row>
    <row r="40" spans="1:104" s="29" customFormat="1">
      <c r="A40" s="328"/>
      <c r="B40" s="181"/>
      <c r="C40" s="1187" t="s">
        <v>291</v>
      </c>
      <c r="E40" s="116"/>
      <c r="F40" s="117"/>
      <c r="G40" s="117"/>
      <c r="H40" s="118"/>
      <c r="I40" s="119">
        <f t="shared" ref="I40:AA40" si="61">I33/I38</f>
        <v>1.0947712418300655</v>
      </c>
      <c r="J40" s="116">
        <f t="shared" si="61"/>
        <v>0.33660130718954251</v>
      </c>
      <c r="K40" s="117">
        <f t="shared" si="61"/>
        <v>0.43278688524590164</v>
      </c>
      <c r="L40" s="117">
        <f t="shared" si="61"/>
        <v>0.6622950819672131</v>
      </c>
      <c r="M40" s="118">
        <f t="shared" si="61"/>
        <v>0.37581699346405228</v>
      </c>
      <c r="N40" s="119">
        <f t="shared" si="61"/>
        <v>1.8098360655737704</v>
      </c>
      <c r="O40" s="116">
        <f t="shared" si="61"/>
        <v>0.27988338192419826</v>
      </c>
      <c r="P40" s="117">
        <f t="shared" si="61"/>
        <v>0.40714285714285714</v>
      </c>
      <c r="Q40" s="117">
        <f t="shared" si="61"/>
        <v>0.66666666666666663</v>
      </c>
      <c r="R40" s="118">
        <f>R33/R38</f>
        <v>-0.14047619047619048</v>
      </c>
      <c r="S40" s="119">
        <f t="shared" si="61"/>
        <v>1.2169576059850373</v>
      </c>
      <c r="T40" s="116">
        <f t="shared" si="61"/>
        <v>0.37857142857142856</v>
      </c>
      <c r="U40" s="117">
        <f t="shared" si="61"/>
        <v>0.38424821002386633</v>
      </c>
      <c r="V40" s="117">
        <f>V33/V38</f>
        <v>0.68257756563245819</v>
      </c>
      <c r="W40" s="118">
        <f t="shared" si="61"/>
        <v>-0.15751789976133651</v>
      </c>
      <c r="X40" s="119">
        <f t="shared" si="61"/>
        <v>1.2887828162291168</v>
      </c>
      <c r="Y40" s="116">
        <f t="shared" si="61"/>
        <v>0.50119331742243434</v>
      </c>
      <c r="Z40" s="1576">
        <f t="shared" si="61"/>
        <v>0.42822966507177035</v>
      </c>
      <c r="AA40" s="1576">
        <f t="shared" si="61"/>
        <v>0.20286396181384247</v>
      </c>
      <c r="AB40" s="118">
        <f t="shared" ref="AB40:AJ40" si="62">AB33/AB38</f>
        <v>6.4439140811455853E-2</v>
      </c>
      <c r="AC40" s="119">
        <f t="shared" si="62"/>
        <v>1.1957040572792363</v>
      </c>
      <c r="AD40" s="116">
        <f t="shared" si="62"/>
        <v>0.50952380952380949</v>
      </c>
      <c r="AE40" s="1576">
        <f t="shared" si="62"/>
        <v>0.37529691211401423</v>
      </c>
      <c r="AF40" s="1576">
        <f t="shared" si="62"/>
        <v>0.53919239904988125</v>
      </c>
      <c r="AG40" s="118">
        <f t="shared" si="62"/>
        <v>-0.31828978622327792</v>
      </c>
      <c r="AH40" s="119">
        <f t="shared" si="62"/>
        <v>1.1045130641330165</v>
      </c>
      <c r="AI40" s="116">
        <f t="shared" si="62"/>
        <v>0.49172576832151299</v>
      </c>
      <c r="AJ40" s="1576">
        <f t="shared" si="62"/>
        <v>0.36879432624113473</v>
      </c>
      <c r="AK40" s="1576">
        <f t="shared" ref="AK40:AO40" si="63">AK33/AK38</f>
        <v>0.55188679245283023</v>
      </c>
      <c r="AL40" s="118">
        <f t="shared" si="63"/>
        <v>4.7281323877068557E-2</v>
      </c>
      <c r="AM40" s="119">
        <f t="shared" si="63"/>
        <v>1.4575471698113207</v>
      </c>
      <c r="AN40" s="116">
        <f t="shared" si="63"/>
        <v>0.38732394366197181</v>
      </c>
      <c r="AO40" s="1576">
        <f t="shared" si="63"/>
        <v>0.34352941176470586</v>
      </c>
      <c r="AP40" s="1576">
        <f t="shared" ref="AP40:AT40" si="64">AP33/AP38</f>
        <v>0.66276346604215453</v>
      </c>
      <c r="AQ40" s="118">
        <f t="shared" si="64"/>
        <v>0.13225058004640372</v>
      </c>
      <c r="AR40" s="119">
        <f t="shared" si="64"/>
        <v>1.528169014084507</v>
      </c>
      <c r="AS40" s="116">
        <f t="shared" si="64"/>
        <v>0.53378378378378377</v>
      </c>
      <c r="AT40" s="1576">
        <f t="shared" si="64"/>
        <v>0.4606741573033708</v>
      </c>
      <c r="AU40" s="1576">
        <f t="shared" ref="AU40:AW40" si="65">AU33/AU38</f>
        <v>0.70403587443946192</v>
      </c>
      <c r="AV40" s="118">
        <f t="shared" si="65"/>
        <v>0.3595505617977528</v>
      </c>
      <c r="AW40" s="119">
        <f t="shared" si="65"/>
        <v>2.0630630630630629</v>
      </c>
      <c r="AX40" s="116">
        <f t="shared" ref="AX40:BB40" si="66">AX33/AX38</f>
        <v>0.67194168877932581</v>
      </c>
      <c r="AY40" s="117">
        <f t="shared" si="66"/>
        <v>0.52599074760200293</v>
      </c>
      <c r="AZ40" s="117">
        <f t="shared" si="66"/>
        <v>0.71416485700164045</v>
      </c>
      <c r="BA40" s="118">
        <f t="shared" si="66"/>
        <v>0.58637310693854328</v>
      </c>
      <c r="BB40" s="119">
        <f t="shared" si="66"/>
        <v>2.4970029264408762</v>
      </c>
      <c r="BC40" s="116">
        <f t="shared" ref="BC40:BL40" si="67">BC33/BC38</f>
        <v>0.67658091874926229</v>
      </c>
      <c r="BD40" s="117">
        <f t="shared" si="67"/>
        <v>0.54615512458805948</v>
      </c>
      <c r="BE40" s="117">
        <f t="shared" si="67"/>
        <v>0.69223177575303629</v>
      </c>
      <c r="BF40" s="118">
        <f t="shared" si="67"/>
        <v>0.53636737590157746</v>
      </c>
      <c r="BG40" s="119">
        <f t="shared" si="67"/>
        <v>2.4467769811449411</v>
      </c>
      <c r="BH40" s="116">
        <f t="shared" si="67"/>
        <v>0.54531527741637909</v>
      </c>
      <c r="BI40" s="117">
        <f t="shared" si="67"/>
        <v>0.42096349722678822</v>
      </c>
      <c r="BJ40" s="117">
        <f t="shared" si="67"/>
        <v>0.59414933148607796</v>
      </c>
      <c r="BK40" s="118">
        <f t="shared" si="67"/>
        <v>0.4782722071167595</v>
      </c>
      <c r="BL40" s="119">
        <f t="shared" si="67"/>
        <v>2.0386816260007903</v>
      </c>
      <c r="BM40" s="116">
        <f t="shared" ref="BM40:BQ40" si="68">BM33/BM38</f>
        <v>0.56316138724491982</v>
      </c>
      <c r="BN40" s="117">
        <f t="shared" si="68"/>
        <v>0.43148655335421671</v>
      </c>
      <c r="BO40" s="117">
        <f t="shared" si="68"/>
        <v>0.61507406220754512</v>
      </c>
      <c r="BP40" s="118">
        <f t="shared" si="68"/>
        <v>0.50004852120974386</v>
      </c>
      <c r="BQ40" s="119">
        <f t="shared" si="68"/>
        <v>2.1097672232314495</v>
      </c>
      <c r="BR40" s="119"/>
    </row>
    <row r="41" spans="1:104" s="29" customFormat="1">
      <c r="A41" s="328"/>
      <c r="B41" s="181"/>
      <c r="C41" s="1189" t="s">
        <v>292</v>
      </c>
      <c r="D41" s="347"/>
      <c r="E41" s="121"/>
      <c r="F41" s="122"/>
      <c r="G41" s="122"/>
      <c r="H41" s="123"/>
      <c r="I41" s="348">
        <f t="shared" ref="I41:AA41" si="69">I35/I38</f>
        <v>1.0947712418300655</v>
      </c>
      <c r="J41" s="121">
        <f t="shared" si="69"/>
        <v>0.47712418300653597</v>
      </c>
      <c r="K41" s="122">
        <f t="shared" si="69"/>
        <v>0.42950819672131146</v>
      </c>
      <c r="L41" s="122">
        <f t="shared" si="69"/>
        <v>0.71147540983606561</v>
      </c>
      <c r="M41" s="123">
        <f t="shared" si="69"/>
        <v>0.66666666666666663</v>
      </c>
      <c r="N41" s="348">
        <f t="shared" si="69"/>
        <v>2.2885245901639344</v>
      </c>
      <c r="O41" s="121">
        <f t="shared" si="69"/>
        <v>0.46064139941690962</v>
      </c>
      <c r="P41" s="122">
        <f t="shared" si="69"/>
        <v>0.42142857142857143</v>
      </c>
      <c r="Q41" s="122">
        <f t="shared" si="69"/>
        <v>0.67619047619047623</v>
      </c>
      <c r="R41" s="123">
        <f>R35/R38</f>
        <v>0.41904761904761906</v>
      </c>
      <c r="S41" s="348">
        <f t="shared" si="69"/>
        <v>1.9825436408977557</v>
      </c>
      <c r="T41" s="121">
        <f t="shared" si="69"/>
        <v>0.40476190476190477</v>
      </c>
      <c r="U41" s="122">
        <f t="shared" si="69"/>
        <v>0.42720763723150357</v>
      </c>
      <c r="V41" s="122">
        <f>V35/V38</f>
        <v>0.74224343675417659</v>
      </c>
      <c r="W41" s="123">
        <f t="shared" si="69"/>
        <v>0.48687350835322196</v>
      </c>
      <c r="X41" s="348">
        <f t="shared" si="69"/>
        <v>2.0620525059665873</v>
      </c>
      <c r="Y41" s="121">
        <f t="shared" si="69"/>
        <v>0.52267303102625295</v>
      </c>
      <c r="Z41" s="122">
        <f t="shared" si="69"/>
        <v>0.45454545454545453</v>
      </c>
      <c r="AA41" s="122">
        <f t="shared" si="69"/>
        <v>0.60143198090692129</v>
      </c>
      <c r="AB41" s="123">
        <f t="shared" ref="AB41:AJ41" si="70">AB35/AB38</f>
        <v>0.46539379474940334</v>
      </c>
      <c r="AC41" s="348">
        <f t="shared" si="70"/>
        <v>2.042959427207637</v>
      </c>
      <c r="AD41" s="121">
        <f t="shared" si="70"/>
        <v>0.52857142857142858</v>
      </c>
      <c r="AE41" s="122">
        <f t="shared" si="70"/>
        <v>0.39192399049881232</v>
      </c>
      <c r="AF41" s="122">
        <f t="shared" si="70"/>
        <v>0.56057007125890734</v>
      </c>
      <c r="AG41" s="123">
        <f t="shared" si="70"/>
        <v>0.44180522565320662</v>
      </c>
      <c r="AH41" s="348">
        <f t="shared" si="70"/>
        <v>1.9216152019002375</v>
      </c>
      <c r="AI41" s="121">
        <f t="shared" si="70"/>
        <v>0.51536643026004725</v>
      </c>
      <c r="AJ41" s="122">
        <f t="shared" si="70"/>
        <v>0.38770685579196218</v>
      </c>
      <c r="AK41" s="122">
        <f t="shared" ref="AK41:AO41" si="71">AK35/AK38</f>
        <v>0.589622641509434</v>
      </c>
      <c r="AL41" s="123">
        <f t="shared" si="71"/>
        <v>0.31914893617021278</v>
      </c>
      <c r="AM41" s="348">
        <f t="shared" si="71"/>
        <v>1.8089622641509433</v>
      </c>
      <c r="AN41" s="121">
        <f t="shared" si="71"/>
        <v>0.48122065727699531</v>
      </c>
      <c r="AO41" s="122">
        <f t="shared" si="71"/>
        <v>0.35764705882352943</v>
      </c>
      <c r="AP41" s="122">
        <f t="shared" ref="AP41:AT41" si="72">AP35/AP38</f>
        <v>0.67447306791569084</v>
      </c>
      <c r="AQ41" s="123">
        <f t="shared" si="72"/>
        <v>0.2923433874709977</v>
      </c>
      <c r="AR41" s="348">
        <f t="shared" si="72"/>
        <v>1.8098591549295775</v>
      </c>
      <c r="AS41" s="121">
        <f t="shared" si="72"/>
        <v>0.54504504504504503</v>
      </c>
      <c r="AT41" s="122">
        <f t="shared" si="72"/>
        <v>0.47415730337078654</v>
      </c>
      <c r="AU41" s="122">
        <f t="shared" ref="AU41:AW41" si="73">AU35/AU38</f>
        <v>0.7152466367713004</v>
      </c>
      <c r="AV41" s="123">
        <f t="shared" si="73"/>
        <v>0.57977528089887642</v>
      </c>
      <c r="AW41" s="348">
        <f t="shared" si="73"/>
        <v>2.3198198198198199</v>
      </c>
      <c r="AX41" s="121">
        <f t="shared" ref="AX41:BA41" si="74">AX35/AX38</f>
        <v>0.67194168877932581</v>
      </c>
      <c r="AY41" s="122">
        <f t="shared" si="74"/>
        <v>0.52599074760200293</v>
      </c>
      <c r="AZ41" s="122">
        <f t="shared" si="74"/>
        <v>0.71416485700164045</v>
      </c>
      <c r="BA41" s="123">
        <f t="shared" si="74"/>
        <v>0.58637310693854328</v>
      </c>
      <c r="BB41" s="348">
        <f>SUM(AX41:BA41)</f>
        <v>2.4984704003215126</v>
      </c>
      <c r="BC41" s="121">
        <f t="shared" ref="BC41:BK41" si="75">BC35/BC38</f>
        <v>0.67658091874926229</v>
      </c>
      <c r="BD41" s="122">
        <f t="shared" si="75"/>
        <v>0.54615512458805948</v>
      </c>
      <c r="BE41" s="122">
        <f t="shared" si="75"/>
        <v>0.69223177575303629</v>
      </c>
      <c r="BF41" s="123">
        <f t="shared" si="75"/>
        <v>0.53636737590157746</v>
      </c>
      <c r="BG41" s="348">
        <f>SUM(BC41:BF41)</f>
        <v>2.4513351949919358</v>
      </c>
      <c r="BH41" s="121">
        <f t="shared" si="75"/>
        <v>0.54531527741637909</v>
      </c>
      <c r="BI41" s="122">
        <f t="shared" si="75"/>
        <v>0.42096349722678822</v>
      </c>
      <c r="BJ41" s="122">
        <f t="shared" si="75"/>
        <v>0.59414933148607796</v>
      </c>
      <c r="BK41" s="123">
        <f t="shared" si="75"/>
        <v>0.4782722071167595</v>
      </c>
      <c r="BL41" s="348">
        <f>SUM(BH41:BK41)</f>
        <v>2.0387003132460046</v>
      </c>
      <c r="BM41" s="121">
        <f t="shared" ref="BM41:BP41" si="76">BM35/BM38</f>
        <v>0.56316138724491982</v>
      </c>
      <c r="BN41" s="122">
        <f t="shared" si="76"/>
        <v>0.43148655335421671</v>
      </c>
      <c r="BO41" s="122">
        <f t="shared" si="76"/>
        <v>0.61507406220754512</v>
      </c>
      <c r="BP41" s="123">
        <f t="shared" si="76"/>
        <v>0.50004852120974386</v>
      </c>
      <c r="BQ41" s="1333">
        <f>SUM(BM41:BP41)</f>
        <v>2.1097705240164255</v>
      </c>
      <c r="BR41"/>
      <c r="BS41" s="2105"/>
      <c r="BT41"/>
      <c r="BU41"/>
      <c r="BV41"/>
      <c r="BW41"/>
    </row>
    <row r="42" spans="1:104" s="1286" customFormat="1">
      <c r="A42" s="1274"/>
      <c r="B42" s="1274"/>
      <c r="C42" s="1289" t="s">
        <v>698</v>
      </c>
      <c r="D42" s="1290"/>
      <c r="E42" s="1291"/>
      <c r="F42" s="1292"/>
      <c r="G42" s="1292"/>
      <c r="H42" s="1293"/>
      <c r="I42" s="1213"/>
      <c r="J42" s="1291"/>
      <c r="K42" s="1292"/>
      <c r="L42" s="1292"/>
      <c r="M42" s="1293"/>
      <c r="N42" s="1213"/>
      <c r="O42" s="1291"/>
      <c r="P42" s="1292"/>
      <c r="Q42" s="1292"/>
      <c r="R42" s="1293"/>
      <c r="S42" s="1213"/>
      <c r="T42" s="1291"/>
      <c r="U42" s="1292"/>
      <c r="V42" s="1292"/>
      <c r="W42" s="1293"/>
      <c r="X42" s="1213"/>
      <c r="Y42" s="1291"/>
      <c r="Z42" s="1292"/>
      <c r="AA42" s="1292"/>
      <c r="AB42" s="1293"/>
      <c r="AC42" s="1294">
        <f>+AC41/X41-1</f>
        <v>-9.2592592592594114E-3</v>
      </c>
      <c r="AD42" s="1295"/>
      <c r="AE42" s="1296"/>
      <c r="AF42" s="1296"/>
      <c r="AG42" s="1297"/>
      <c r="AH42" s="1294">
        <f>+AH41/AC41-1</f>
        <v>-5.9396297200701387E-2</v>
      </c>
      <c r="AI42" s="1295"/>
      <c r="AJ42" s="1296"/>
      <c r="AK42" s="1296"/>
      <c r="AL42" s="1297"/>
      <c r="AM42" s="1294">
        <f>+AM41/AH41-1</f>
        <v>-5.8624087506122247E-2</v>
      </c>
      <c r="AN42" s="1295"/>
      <c r="AO42" s="1296"/>
      <c r="AP42" s="1296"/>
      <c r="AQ42" s="1297"/>
      <c r="AR42" s="1294">
        <f>+AR41/AM41-1</f>
        <v>4.9580402886695296E-4</v>
      </c>
      <c r="AS42" s="1295"/>
      <c r="AT42" s="1296"/>
      <c r="AU42" s="1296"/>
      <c r="AV42" s="1297"/>
      <c r="AW42" s="1294">
        <f>+AW41/AR41-1</f>
        <v>0.28176814947242956</v>
      </c>
      <c r="AX42" s="1295"/>
      <c r="AY42" s="1296"/>
      <c r="AZ42" s="1296"/>
      <c r="BA42" s="1297"/>
      <c r="BB42" s="1294">
        <f>+BB41/AW41-1</f>
        <v>7.7010541497817053E-2</v>
      </c>
      <c r="BC42" s="1295"/>
      <c r="BD42" s="1296"/>
      <c r="BE42" s="1296"/>
      <c r="BF42" s="1297"/>
      <c r="BG42" s="1294">
        <f>+BG41/BB41-1</f>
        <v>-1.8865624873326992E-2</v>
      </c>
      <c r="BH42" s="1295"/>
      <c r="BI42" s="1296"/>
      <c r="BJ42" s="1296"/>
      <c r="BK42" s="1297"/>
      <c r="BL42" s="1294">
        <f>+BL41/BG41-1</f>
        <v>-0.1683306642799981</v>
      </c>
      <c r="BM42" s="1295"/>
      <c r="BN42" s="1296"/>
      <c r="BO42" s="1296"/>
      <c r="BP42" s="1297"/>
      <c r="BQ42" s="1294">
        <f>+BQ41/BL41-1</f>
        <v>3.4860548315344797E-2</v>
      </c>
      <c r="BR42" s="22"/>
      <c r="BS42" s="2326"/>
      <c r="BT42" s="22"/>
      <c r="BU42" s="22"/>
      <c r="BV42" s="22"/>
      <c r="BW42" s="22"/>
      <c r="CC42" s="1274"/>
      <c r="CD42" s="1274"/>
      <c r="CE42" s="1274"/>
      <c r="CF42" s="1274"/>
      <c r="CG42" s="1274"/>
      <c r="CH42" s="1274"/>
      <c r="CI42" s="1274"/>
      <c r="CJ42" s="1274"/>
    </row>
    <row r="43" spans="1:104" s="29" customFormat="1">
      <c r="A43" s="328"/>
      <c r="B43" s="181"/>
      <c r="C43" s="1190"/>
      <c r="D43" s="879"/>
      <c r="E43" s="874"/>
      <c r="F43" s="875"/>
      <c r="G43" s="875"/>
      <c r="H43" s="881"/>
      <c r="I43" s="880"/>
      <c r="J43" s="874"/>
      <c r="K43" s="875"/>
      <c r="L43" s="875"/>
      <c r="M43" s="881"/>
      <c r="N43" s="880"/>
      <c r="O43" s="874"/>
      <c r="P43" s="875"/>
      <c r="Q43" s="875"/>
      <c r="R43" s="881"/>
      <c r="S43" s="880"/>
      <c r="T43" s="874"/>
      <c r="U43" s="875"/>
      <c r="V43" s="875"/>
      <c r="W43" s="881"/>
      <c r="X43" s="880"/>
      <c r="Y43" s="112"/>
      <c r="Z43" s="875"/>
      <c r="AA43" s="875"/>
      <c r="AB43" s="881"/>
      <c r="AC43" s="1273"/>
      <c r="AD43" s="112"/>
      <c r="AE43" s="875"/>
      <c r="AF43" s="875"/>
      <c r="AG43" s="881"/>
      <c r="AH43" s="1273"/>
      <c r="AI43" s="874"/>
      <c r="AJ43" s="875"/>
      <c r="AK43" s="875"/>
      <c r="AL43" s="881"/>
      <c r="AM43" s="1273"/>
      <c r="AN43" s="874"/>
      <c r="AO43" s="875"/>
      <c r="AP43" s="875"/>
      <c r="AQ43" s="881"/>
      <c r="AR43" s="1273"/>
      <c r="AS43" s="874"/>
      <c r="AT43" s="875"/>
      <c r="AU43" s="875"/>
      <c r="AV43" s="881"/>
      <c r="AW43" s="1273"/>
      <c r="AX43" s="2327"/>
      <c r="AY43" s="875"/>
      <c r="AZ43" s="875"/>
      <c r="BA43" s="881"/>
      <c r="BB43" s="1273"/>
      <c r="BC43" s="874"/>
      <c r="BD43" s="875"/>
      <c r="BE43" s="875"/>
      <c r="BF43" s="881"/>
      <c r="BG43" s="93"/>
      <c r="BH43" s="106"/>
      <c r="BI43" s="76"/>
      <c r="BJ43" s="76"/>
      <c r="BK43" s="107"/>
      <c r="BL43" s="93"/>
      <c r="BM43" s="106"/>
      <c r="BN43" s="76"/>
      <c r="BO43" s="76"/>
      <c r="BP43" s="107"/>
      <c r="BQ43" s="93"/>
      <c r="BR43"/>
      <c r="BS43" s="2335"/>
      <c r="BT43"/>
      <c r="BU43"/>
      <c r="BV43"/>
      <c r="BW43"/>
      <c r="CC43" s="181"/>
      <c r="CD43" s="181"/>
      <c r="CE43" s="181"/>
      <c r="CF43" s="181"/>
      <c r="CG43" s="181"/>
      <c r="CH43" s="181"/>
      <c r="CI43" s="181"/>
      <c r="CJ43" s="181"/>
    </row>
    <row r="44" spans="1:104" s="720" customFormat="1" ht="12.75" customHeight="1">
      <c r="A44" s="497"/>
      <c r="B44" s="497"/>
      <c r="C44" s="1191"/>
      <c r="D44" s="498"/>
      <c r="E44" s="141"/>
      <c r="F44" s="84"/>
      <c r="G44" s="84"/>
      <c r="H44" s="142"/>
      <c r="I44" s="747"/>
      <c r="J44" s="141"/>
      <c r="K44" s="84"/>
      <c r="L44" s="84"/>
      <c r="M44" s="142"/>
      <c r="N44" s="143"/>
      <c r="O44" s="141"/>
      <c r="P44" s="84"/>
      <c r="Q44" s="84"/>
      <c r="R44" s="142"/>
      <c r="S44" s="143"/>
      <c r="T44" s="141"/>
      <c r="U44" s="84"/>
      <c r="V44" s="84"/>
      <c r="W44" s="142"/>
      <c r="X44" s="143"/>
      <c r="Y44" s="141"/>
      <c r="Z44" s="697"/>
      <c r="AA44" s="697"/>
      <c r="AB44" s="142"/>
      <c r="AC44" s="143"/>
      <c r="AD44" s="141"/>
      <c r="AE44" s="84"/>
      <c r="AF44" s="84"/>
      <c r="AG44" s="142"/>
      <c r="AH44" s="143"/>
      <c r="AI44" s="141"/>
      <c r="AJ44" s="84"/>
      <c r="AK44" s="84"/>
      <c r="AL44" s="142"/>
      <c r="AM44" s="143"/>
      <c r="AN44" s="141"/>
      <c r="AO44" s="84"/>
      <c r="AP44" s="84"/>
      <c r="AQ44" s="142"/>
      <c r="AR44" s="143"/>
      <c r="AS44" s="141"/>
      <c r="AT44" s="84"/>
      <c r="AU44" s="84"/>
      <c r="AV44" s="142"/>
      <c r="AW44" s="143"/>
      <c r="AX44" s="141"/>
      <c r="AY44" s="84"/>
      <c r="AZ44" s="84"/>
      <c r="BA44" s="142"/>
      <c r="BB44" s="143"/>
      <c r="BC44" s="141"/>
      <c r="BD44" s="84"/>
      <c r="BE44" s="84"/>
      <c r="BF44" s="142"/>
      <c r="BG44" s="143"/>
      <c r="BH44" s="141"/>
      <c r="BI44" s="84"/>
      <c r="BJ44" s="84"/>
      <c r="BK44" s="142"/>
      <c r="BL44" s="143"/>
      <c r="BM44" s="141"/>
      <c r="BN44" s="84"/>
      <c r="BO44" s="84"/>
      <c r="BP44" s="142"/>
      <c r="BQ44" s="143"/>
      <c r="BR44"/>
      <c r="BS44" s="2105"/>
      <c r="BT44"/>
      <c r="BU44"/>
      <c r="BV44"/>
      <c r="BW44"/>
      <c r="BX44" s="497"/>
      <c r="BY44" s="497"/>
      <c r="BZ44" s="497"/>
      <c r="CA44" s="497"/>
      <c r="CB44" s="708"/>
      <c r="CC44" s="497"/>
      <c r="CD44" s="497"/>
      <c r="CE44" s="497"/>
      <c r="CF44" s="497"/>
      <c r="CG44" s="497"/>
      <c r="CH44" s="497"/>
      <c r="CI44" s="497"/>
      <c r="CJ44" s="497"/>
      <c r="CK44" s="708"/>
      <c r="CL44" s="708"/>
      <c r="CM44" s="708"/>
      <c r="CN44" s="708"/>
      <c r="CO44" s="708"/>
      <c r="CP44" s="708"/>
      <c r="CQ44" s="708"/>
      <c r="CR44" s="708"/>
      <c r="CS44" s="708"/>
      <c r="CT44" s="708"/>
      <c r="CU44" s="708"/>
      <c r="CV44" s="708"/>
      <c r="CW44" s="708"/>
      <c r="CX44" s="708"/>
      <c r="CY44" s="708"/>
      <c r="CZ44" s="708"/>
    </row>
    <row r="45" spans="1:104" s="1144" customFormat="1" ht="12.75" customHeight="1">
      <c r="A45" s="1134"/>
      <c r="B45" s="1134"/>
      <c r="C45" s="2248" t="s">
        <v>1228</v>
      </c>
      <c r="D45" s="1135"/>
      <c r="E45" s="1136"/>
      <c r="F45" s="1137"/>
      <c r="G45" s="1137"/>
      <c r="H45" s="1138"/>
      <c r="I45" s="1139"/>
      <c r="J45" s="1140"/>
      <c r="K45" s="1141"/>
      <c r="L45" s="1141"/>
      <c r="M45" s="1142"/>
      <c r="N45" s="1139"/>
      <c r="O45" s="1140"/>
      <c r="P45" s="1141"/>
      <c r="Q45" s="1141"/>
      <c r="R45" s="1142"/>
      <c r="S45" s="1139"/>
      <c r="T45" s="1140"/>
      <c r="U45" s="1141"/>
      <c r="V45" s="1141"/>
      <c r="W45" s="1142"/>
      <c r="X45" s="1139"/>
      <c r="Y45" s="1140"/>
      <c r="Z45" s="1141"/>
      <c r="AA45" s="1141"/>
      <c r="AB45" s="1142"/>
      <c r="AC45" s="1139"/>
      <c r="AD45" s="1140"/>
      <c r="AE45" s="1141"/>
      <c r="AF45" s="1141"/>
      <c r="AG45" s="1142"/>
      <c r="AH45" s="1139"/>
      <c r="AI45" s="1140"/>
      <c r="AJ45" s="1141"/>
      <c r="AK45" s="1141"/>
      <c r="AL45" s="1142"/>
      <c r="AM45" s="1139"/>
      <c r="AN45" s="1140"/>
      <c r="AO45" s="1141"/>
      <c r="AP45" s="1141"/>
      <c r="AQ45" s="1142"/>
      <c r="AR45" s="2264">
        <v>2.46</v>
      </c>
      <c r="AS45" s="1140"/>
      <c r="AT45" s="1141"/>
      <c r="AU45" s="1141"/>
      <c r="AV45" s="1142"/>
      <c r="AW45" s="2300">
        <f>AW41+Transmission!AW39</f>
        <v>3.1463963963963963</v>
      </c>
      <c r="AX45" s="1140"/>
      <c r="AY45" s="1141"/>
      <c r="AZ45" s="1141"/>
      <c r="BA45" s="1142"/>
      <c r="BB45" s="2249">
        <f>BB41+Transmission!BB39</f>
        <v>3.3505881142037204</v>
      </c>
      <c r="BC45" s="1140"/>
      <c r="BD45" s="1141"/>
      <c r="BE45" s="1141"/>
      <c r="BF45" s="1142"/>
      <c r="BG45" s="2249">
        <f>BG41+Transmission!BG39</f>
        <v>3.3311377571213296</v>
      </c>
      <c r="BH45" s="1140"/>
      <c r="BI45" s="1141"/>
      <c r="BJ45" s="1141"/>
      <c r="BK45" s="1142"/>
      <c r="BL45" s="2249">
        <f>BL41+Transmission!BL39</f>
        <v>2.9329060574050163</v>
      </c>
      <c r="BM45" s="1140"/>
      <c r="BN45" s="1141"/>
      <c r="BO45" s="1141"/>
      <c r="BP45" s="1142"/>
      <c r="BQ45" s="2249">
        <f>BQ41+Transmission!BQ39</f>
        <v>3.0782268528525987</v>
      </c>
      <c r="BR45" s="29"/>
      <c r="BS45" s="2105"/>
      <c r="BT45" s="29"/>
      <c r="BU45" s="29"/>
      <c r="BV45" s="29"/>
      <c r="BW45" s="29"/>
      <c r="BX45" s="1139"/>
      <c r="BY45" s="1139"/>
      <c r="BZ45" s="1134"/>
      <c r="CA45" s="1134"/>
      <c r="CB45" s="1143"/>
      <c r="CC45" s="1134"/>
      <c r="CD45" s="1134"/>
      <c r="CE45" s="1134"/>
      <c r="CF45" s="1134"/>
      <c r="CG45" s="1134"/>
      <c r="CH45" s="1134"/>
      <c r="CI45" s="1134"/>
      <c r="CJ45" s="1134"/>
      <c r="CK45" s="1143"/>
      <c r="CL45" s="1143"/>
      <c r="CM45" s="1143"/>
      <c r="CN45" s="1143"/>
      <c r="CO45" s="1143"/>
      <c r="CP45" s="1143"/>
      <c r="CQ45" s="1143"/>
      <c r="CR45" s="1143"/>
      <c r="CS45" s="1143"/>
      <c r="CT45" s="1143"/>
      <c r="CU45" s="1143"/>
      <c r="CV45" s="1143"/>
      <c r="CW45" s="1143"/>
      <c r="CX45" s="1143"/>
      <c r="CY45" s="1143"/>
      <c r="CZ45" s="1143"/>
    </row>
    <row r="46" spans="1:104" s="1144" customFormat="1" ht="12.75" customHeight="1">
      <c r="A46" s="1134"/>
      <c r="B46" s="1134"/>
      <c r="C46" s="2248" t="s">
        <v>1229</v>
      </c>
      <c r="D46" s="1135"/>
      <c r="E46" s="1136"/>
      <c r="F46" s="1137"/>
      <c r="G46" s="1137"/>
      <c r="H46" s="1138"/>
      <c r="I46" s="1139"/>
      <c r="J46" s="1140"/>
      <c r="K46" s="1141"/>
      <c r="L46" s="1141"/>
      <c r="M46" s="1142"/>
      <c r="N46" s="1139"/>
      <c r="O46" s="1140"/>
      <c r="P46" s="1141"/>
      <c r="Q46" s="1141"/>
      <c r="R46" s="1142"/>
      <c r="S46" s="1139"/>
      <c r="T46" s="1140"/>
      <c r="U46" s="1141"/>
      <c r="V46" s="1141"/>
      <c r="W46" s="1142"/>
      <c r="X46" s="1139"/>
      <c r="Y46" s="1140"/>
      <c r="Z46" s="1141"/>
      <c r="AA46" s="1141"/>
      <c r="AB46" s="1142"/>
      <c r="AC46" s="1139"/>
      <c r="AD46" s="1140"/>
      <c r="AE46" s="1141"/>
      <c r="AF46" s="1141"/>
      <c r="AG46" s="1142"/>
      <c r="AH46" s="1139"/>
      <c r="AI46" s="1140"/>
      <c r="AJ46" s="1141"/>
      <c r="AK46" s="1141"/>
      <c r="AL46" s="1142"/>
      <c r="AM46" s="1139"/>
      <c r="AN46" s="1140"/>
      <c r="AO46" s="1141"/>
      <c r="AP46" s="1141"/>
      <c r="AQ46" s="1142"/>
      <c r="AR46" s="2249">
        <f>AR41+Transmission!AR39+Parent!AR45</f>
        <v>2.028169014084507</v>
      </c>
      <c r="AS46" s="1140"/>
      <c r="AT46" s="1141"/>
      <c r="AU46" s="1141"/>
      <c r="AV46" s="1142"/>
      <c r="AW46" s="2249">
        <f>AW41+Transmission!AW39+Parent!AW45</f>
        <v>2.6148648648648649</v>
      </c>
      <c r="AX46" s="1140"/>
      <c r="AY46" s="1141"/>
      <c r="AZ46" s="1141"/>
      <c r="BA46" s="1142"/>
      <c r="BB46" s="2249">
        <f>BB41+Transmission!BB39+Parent!BB45</f>
        <v>2.7158256479209788</v>
      </c>
      <c r="BC46" s="1140"/>
      <c r="BD46" s="1141"/>
      <c r="BE46" s="1141"/>
      <c r="BF46" s="1142"/>
      <c r="BG46" s="2249">
        <f>BG41+Transmission!BG39+Parent!BG45</f>
        <v>2.7732576905823167</v>
      </c>
      <c r="BH46" s="1140"/>
      <c r="BI46" s="1141"/>
      <c r="BJ46" s="1141"/>
      <c r="BK46" s="1142"/>
      <c r="BL46" s="2249">
        <f>BL41+Transmission!BL39+Parent!BL45</f>
        <v>2.4594234814723328</v>
      </c>
      <c r="BM46" s="1140"/>
      <c r="BN46" s="1141"/>
      <c r="BO46" s="1141"/>
      <c r="BP46" s="1142"/>
      <c r="BQ46" s="2249">
        <f>BQ41+Transmission!BQ39+Parent!BQ45</f>
        <v>2.6007523032906703</v>
      </c>
      <c r="BR46" s="29"/>
      <c r="BS46" s="2105"/>
      <c r="BT46" s="29"/>
      <c r="BU46" s="29"/>
      <c r="BV46" s="29"/>
      <c r="BW46" s="29"/>
      <c r="BX46" s="1139"/>
      <c r="BY46" s="1139"/>
      <c r="BZ46" s="1134"/>
      <c r="CA46" s="1134"/>
      <c r="CB46" s="1143"/>
      <c r="CC46" s="1134"/>
      <c r="CD46" s="1134"/>
      <c r="CE46" s="1134"/>
      <c r="CF46" s="1134"/>
      <c r="CG46" s="1134"/>
      <c r="CH46" s="1134"/>
      <c r="CI46" s="1134"/>
      <c r="CJ46" s="1134"/>
      <c r="CK46" s="1143"/>
      <c r="CL46" s="1143"/>
      <c r="CM46" s="1143"/>
      <c r="CN46" s="1143"/>
      <c r="CO46" s="1143"/>
      <c r="CP46" s="1143"/>
      <c r="CQ46" s="1143"/>
      <c r="CR46" s="1143"/>
      <c r="CS46" s="1143"/>
      <c r="CT46" s="1143"/>
      <c r="CU46" s="1143"/>
      <c r="CV46" s="1143"/>
      <c r="CW46" s="1143"/>
      <c r="CX46" s="1143"/>
      <c r="CY46" s="1143"/>
      <c r="CZ46" s="1143"/>
    </row>
    <row r="47" spans="1:104" s="1144" customFormat="1" ht="12.75" customHeight="1">
      <c r="A47" s="1134"/>
      <c r="B47" s="1134"/>
      <c r="C47" s="2248" t="s">
        <v>1230</v>
      </c>
      <c r="D47" s="1135"/>
      <c r="E47" s="1136"/>
      <c r="F47" s="1137"/>
      <c r="G47" s="1137"/>
      <c r="H47" s="1138"/>
      <c r="I47" s="1139"/>
      <c r="J47" s="1140"/>
      <c r="K47" s="1141"/>
      <c r="L47" s="1141"/>
      <c r="M47" s="1142"/>
      <c r="N47" s="1139"/>
      <c r="O47" s="1140"/>
      <c r="P47" s="1141"/>
      <c r="Q47" s="1141"/>
      <c r="R47" s="1142"/>
      <c r="S47" s="1139"/>
      <c r="T47" s="1140"/>
      <c r="U47" s="1141"/>
      <c r="V47" s="1141"/>
      <c r="W47" s="1142"/>
      <c r="X47" s="1139"/>
      <c r="Y47" s="1140"/>
      <c r="Z47" s="1141"/>
      <c r="AA47" s="1141"/>
      <c r="AB47" s="1142"/>
      <c r="AC47" s="1139"/>
      <c r="AD47" s="1140"/>
      <c r="AE47" s="1141"/>
      <c r="AF47" s="1141"/>
      <c r="AG47" s="1142"/>
      <c r="AH47" s="1139"/>
      <c r="AI47" s="1140"/>
      <c r="AJ47" s="1141"/>
      <c r="AK47" s="1141"/>
      <c r="AL47" s="1142"/>
      <c r="AM47" s="1139"/>
      <c r="AN47" s="1140"/>
      <c r="AO47" s="1141"/>
      <c r="AP47" s="1141"/>
      <c r="AQ47" s="1142"/>
      <c r="AR47" s="2249"/>
      <c r="AS47" s="1140"/>
      <c r="AT47" s="1141"/>
      <c r="AU47" s="1141"/>
      <c r="AV47" s="1142"/>
      <c r="AW47" s="2316">
        <f>AW35+Transmission!AW33+Parent!AW39</f>
        <v>1161</v>
      </c>
      <c r="AX47" s="296">
        <f>AX35+Transmission!AX33+Parent!AX39</f>
        <v>337.21619502474772</v>
      </c>
      <c r="AY47" s="1141"/>
      <c r="AZ47" s="1141"/>
      <c r="BA47" s="1142"/>
      <c r="BB47" s="2316">
        <f>BB35+Transmission!BB33+Parent!BB39</f>
        <v>1283.2847279771499</v>
      </c>
      <c r="BC47" s="1140"/>
      <c r="BD47" s="1141"/>
      <c r="BE47" s="1141"/>
      <c r="BF47" s="1142"/>
      <c r="BG47" s="2316">
        <f>BG35+Transmission!BG33+Parent!BG39</f>
        <v>1386.7607870562042</v>
      </c>
      <c r="BH47" s="1140"/>
      <c r="BI47" s="1141"/>
      <c r="BJ47" s="1141"/>
      <c r="BK47" s="1142"/>
      <c r="BL47" s="2316">
        <f>BL35+Transmission!BL33+Parent!BL39</f>
        <v>1332.4610823149521</v>
      </c>
      <c r="BM47" s="1140"/>
      <c r="BN47" s="1141"/>
      <c r="BO47" s="1141"/>
      <c r="BP47" s="1142"/>
      <c r="BQ47" s="2316">
        <f>BQ35+Transmission!BQ33+Parent!BQ39</f>
        <v>1416.0589583355197</v>
      </c>
      <c r="BR47" s="29"/>
      <c r="BS47" s="2105"/>
      <c r="BT47" s="29"/>
      <c r="BU47" s="29"/>
      <c r="BV47" s="29"/>
      <c r="BW47" s="29"/>
      <c r="BX47" s="1139"/>
      <c r="BY47" s="1139"/>
      <c r="BZ47" s="1134"/>
      <c r="CA47" s="1134"/>
      <c r="CB47" s="1143"/>
      <c r="CC47" s="1134"/>
      <c r="CD47" s="1134"/>
      <c r="CE47" s="1134"/>
      <c r="CF47" s="1134"/>
      <c r="CG47" s="1134"/>
      <c r="CH47" s="1134"/>
      <c r="CI47" s="1134"/>
      <c r="CJ47" s="1134"/>
      <c r="CK47" s="1143"/>
      <c r="CL47" s="1143"/>
      <c r="CM47" s="1143"/>
      <c r="CN47" s="1143"/>
      <c r="CO47" s="1143"/>
      <c r="CP47" s="1143"/>
      <c r="CQ47" s="1143"/>
      <c r="CR47" s="1143"/>
      <c r="CS47" s="1143"/>
      <c r="CT47" s="1143"/>
      <c r="CU47" s="1143"/>
      <c r="CV47" s="1143"/>
      <c r="CW47" s="1143"/>
      <c r="CX47" s="1143"/>
      <c r="CY47" s="1143"/>
      <c r="CZ47" s="1143"/>
    </row>
    <row r="48" spans="1:104" s="1144" customFormat="1" ht="12.75" customHeight="1">
      <c r="A48" s="1134"/>
      <c r="B48" s="1134"/>
      <c r="C48" s="2248" t="s">
        <v>1231</v>
      </c>
      <c r="D48" s="1135"/>
      <c r="E48" s="1136"/>
      <c r="F48" s="1137"/>
      <c r="G48" s="1137"/>
      <c r="H48" s="1138"/>
      <c r="I48" s="1139"/>
      <c r="J48" s="1140"/>
      <c r="K48" s="1141"/>
      <c r="L48" s="1141"/>
      <c r="M48" s="1142"/>
      <c r="N48" s="1139"/>
      <c r="O48" s="1140"/>
      <c r="P48" s="1141"/>
      <c r="Q48" s="1141"/>
      <c r="R48" s="1142"/>
      <c r="S48" s="1139"/>
      <c r="T48" s="1140"/>
      <c r="U48" s="1141"/>
      <c r="V48" s="1141"/>
      <c r="W48" s="1142"/>
      <c r="X48" s="1139"/>
      <c r="Y48" s="1140"/>
      <c r="Z48" s="1141"/>
      <c r="AA48" s="1141"/>
      <c r="AB48" s="1142"/>
      <c r="AC48" s="1139"/>
      <c r="AD48" s="1140"/>
      <c r="AE48" s="1141"/>
      <c r="AF48" s="1141"/>
      <c r="AG48" s="1142"/>
      <c r="AH48" s="1139"/>
      <c r="AI48" s="1140"/>
      <c r="AJ48" s="1141"/>
      <c r="AK48" s="1817"/>
      <c r="AL48" s="1142"/>
      <c r="AM48" s="1139"/>
      <c r="AN48" s="1140"/>
      <c r="AO48" s="1141"/>
      <c r="AP48" s="1141"/>
      <c r="AQ48" s="1142"/>
      <c r="AR48" s="1139"/>
      <c r="AS48" s="1140"/>
      <c r="AT48" s="1141"/>
      <c r="AU48" s="1141"/>
      <c r="AV48" s="1142"/>
      <c r="AW48" s="2299"/>
      <c r="AX48" s="1140"/>
      <c r="AY48" s="1141"/>
      <c r="AZ48" s="1141"/>
      <c r="BA48" s="1142"/>
      <c r="BB48" s="2325">
        <f>BB47/538</f>
        <v>2.3852875984705388</v>
      </c>
      <c r="BC48" s="1140"/>
      <c r="BD48" s="1141"/>
      <c r="BE48" s="1141"/>
      <c r="BF48" s="1142"/>
      <c r="BG48" s="2325">
        <f>BG47/538-204/538*(1-BG67)</f>
        <v>2.29702748523458</v>
      </c>
      <c r="BH48" s="1140"/>
      <c r="BI48" s="1141"/>
      <c r="BJ48" s="1141"/>
      <c r="BK48" s="1142"/>
      <c r="BL48" s="2325">
        <f>BL47/BL38</f>
        <v>2.459404794227118</v>
      </c>
      <c r="BM48" s="1140"/>
      <c r="BN48" s="1141"/>
      <c r="BO48" s="1141"/>
      <c r="BP48" s="1142"/>
      <c r="BQ48" s="2325">
        <f>BQ47/BQ38</f>
        <v>2.6007490025056947</v>
      </c>
      <c r="BR48" s="29"/>
      <c r="BS48" s="29"/>
      <c r="BT48" s="29"/>
      <c r="BU48" s="29"/>
      <c r="BV48" s="29"/>
      <c r="BW48" s="29"/>
      <c r="BX48" s="1139"/>
      <c r="BY48" s="1139"/>
      <c r="BZ48" s="1134"/>
      <c r="CA48" s="1134"/>
      <c r="CB48" s="1143"/>
      <c r="CC48" s="1134"/>
      <c r="CD48" s="1134"/>
      <c r="CE48" s="1134"/>
      <c r="CF48" s="1134"/>
      <c r="CG48" s="1134"/>
      <c r="CH48" s="1134"/>
      <c r="CI48" s="1134"/>
      <c r="CJ48" s="1134"/>
      <c r="CK48" s="1143"/>
      <c r="CL48" s="1143"/>
      <c r="CM48" s="1143"/>
      <c r="CN48" s="1143"/>
      <c r="CO48" s="1143"/>
      <c r="CP48" s="1143"/>
      <c r="CQ48" s="1143"/>
      <c r="CR48" s="1143"/>
      <c r="CS48" s="1143"/>
      <c r="CT48" s="1143"/>
      <c r="CU48" s="1143"/>
      <c r="CV48" s="1143"/>
      <c r="CW48" s="1143"/>
      <c r="CX48" s="1143"/>
      <c r="CY48" s="1143"/>
      <c r="CZ48" s="1143"/>
    </row>
    <row r="49" spans="1:104" s="1144" customFormat="1" ht="12.75" customHeight="1">
      <c r="A49" s="1134"/>
      <c r="B49" s="1134"/>
      <c r="C49" s="1192"/>
      <c r="D49" s="1135"/>
      <c r="E49" s="1136"/>
      <c r="F49" s="1137"/>
      <c r="G49" s="1137"/>
      <c r="H49" s="1138"/>
      <c r="I49" s="1139"/>
      <c r="J49" s="1140"/>
      <c r="K49" s="1141"/>
      <c r="L49" s="1141"/>
      <c r="M49" s="1142"/>
      <c r="N49" s="1139"/>
      <c r="O49" s="1140"/>
      <c r="P49" s="1141"/>
      <c r="Q49" s="1141"/>
      <c r="R49" s="1142"/>
      <c r="S49" s="1139"/>
      <c r="T49" s="1140"/>
      <c r="U49" s="1141"/>
      <c r="V49" s="1141"/>
      <c r="W49" s="1142"/>
      <c r="X49" s="1139"/>
      <c r="Y49" s="1140"/>
      <c r="Z49" s="1141"/>
      <c r="AA49" s="1141"/>
      <c r="AB49" s="1142"/>
      <c r="AC49" s="1139"/>
      <c r="AD49" s="1140"/>
      <c r="AE49" s="1141"/>
      <c r="AF49" s="1141"/>
      <c r="AG49" s="1142"/>
      <c r="AH49" s="1139"/>
      <c r="AI49" s="1140"/>
      <c r="AJ49" s="1141"/>
      <c r="AK49" s="1817"/>
      <c r="AL49" s="1142"/>
      <c r="AM49" s="1139"/>
      <c r="AN49" s="1140"/>
      <c r="AO49" s="1141"/>
      <c r="AP49" s="1141"/>
      <c r="AQ49" s="1142"/>
      <c r="AR49" s="1139"/>
      <c r="AS49" s="1140"/>
      <c r="AT49" s="1141"/>
      <c r="AU49" s="1141"/>
      <c r="AV49" s="1142"/>
      <c r="AW49" s="2299"/>
      <c r="AX49" s="1140"/>
      <c r="AY49" s="1141"/>
      <c r="AZ49" s="1141"/>
      <c r="BA49" s="1142"/>
      <c r="BB49" s="2325"/>
      <c r="BC49" s="1140"/>
      <c r="BD49" s="1141"/>
      <c r="BE49" s="1141"/>
      <c r="BF49" s="1142"/>
      <c r="BG49" s="2325"/>
      <c r="BH49" s="1140"/>
      <c r="BI49" s="1141"/>
      <c r="BJ49" s="1141"/>
      <c r="BK49" s="1142"/>
      <c r="BL49" s="2325"/>
      <c r="BM49" s="1140"/>
      <c r="BN49" s="1141"/>
      <c r="BO49" s="1141"/>
      <c r="BP49" s="1142"/>
      <c r="BQ49" s="2325"/>
      <c r="BR49" s="29"/>
      <c r="BS49" s="29"/>
      <c r="BT49" s="29"/>
      <c r="BU49" s="29"/>
      <c r="BV49" s="29"/>
      <c r="BW49" s="29"/>
      <c r="BX49" s="1139"/>
      <c r="BY49" s="1139"/>
      <c r="BZ49" s="1134"/>
      <c r="CA49" s="1134"/>
      <c r="CB49" s="1143"/>
      <c r="CC49" s="1134"/>
      <c r="CD49" s="1134"/>
      <c r="CE49" s="1134"/>
      <c r="CF49" s="1134"/>
      <c r="CG49" s="1134"/>
      <c r="CH49" s="1134"/>
      <c r="CI49" s="1134"/>
      <c r="CJ49" s="1134"/>
      <c r="CK49" s="1143"/>
      <c r="CL49" s="1143"/>
      <c r="CM49" s="1143"/>
      <c r="CN49" s="1143"/>
      <c r="CO49" s="1143"/>
      <c r="CP49" s="1143"/>
      <c r="CQ49" s="1143"/>
      <c r="CR49" s="1143"/>
      <c r="CS49" s="1143"/>
      <c r="CT49" s="1143"/>
      <c r="CU49" s="1143"/>
      <c r="CV49" s="1143"/>
      <c r="CW49" s="1143"/>
      <c r="CX49" s="1143"/>
      <c r="CY49" s="1143"/>
      <c r="CZ49" s="1143"/>
    </row>
    <row r="50" spans="1:104" s="29" customFormat="1" ht="12.75" customHeight="1">
      <c r="A50" s="328"/>
      <c r="B50" s="181"/>
      <c r="C50" s="1186" t="s">
        <v>1232</v>
      </c>
      <c r="D50" s="341"/>
      <c r="E50" s="344"/>
      <c r="F50" s="151"/>
      <c r="G50" s="151"/>
      <c r="H50" s="345"/>
      <c r="I50" s="274"/>
      <c r="J50" s="344"/>
      <c r="K50" s="151"/>
      <c r="L50" s="151"/>
      <c r="M50" s="345"/>
      <c r="N50" s="274"/>
      <c r="O50" s="344"/>
      <c r="P50" s="151"/>
      <c r="Q50" s="151"/>
      <c r="R50" s="345"/>
      <c r="S50" s="274"/>
      <c r="T50" s="344"/>
      <c r="U50" s="151"/>
      <c r="V50" s="151"/>
      <c r="W50" s="345"/>
      <c r="X50" s="274"/>
      <c r="Y50" s="344"/>
      <c r="Z50" s="151"/>
      <c r="AA50" s="151"/>
      <c r="AB50" s="345"/>
      <c r="AC50" s="274"/>
      <c r="AD50" s="344"/>
      <c r="AE50" s="151"/>
      <c r="AF50" s="151"/>
      <c r="AG50" s="345"/>
      <c r="AH50" s="274"/>
      <c r="AI50" s="344"/>
      <c r="AJ50" s="151"/>
      <c r="AK50" s="151"/>
      <c r="AL50" s="345"/>
      <c r="AM50" s="274"/>
      <c r="AN50" s="344"/>
      <c r="AO50" s="151"/>
      <c r="AP50" s="151"/>
      <c r="AQ50" s="345"/>
      <c r="AR50" s="1961"/>
      <c r="AS50" s="344"/>
      <c r="AT50" s="151"/>
      <c r="AU50" s="151"/>
      <c r="AV50" s="345"/>
      <c r="AW50" s="2319">
        <v>2.16</v>
      </c>
      <c r="AX50" s="2317">
        <v>0.6</v>
      </c>
      <c r="AY50" s="1576"/>
      <c r="AZ50" s="1576"/>
      <c r="BA50" s="2284"/>
      <c r="BB50" s="2314">
        <v>2.25</v>
      </c>
      <c r="BC50" s="2283"/>
      <c r="BD50" s="1576"/>
      <c r="BE50" s="1576"/>
      <c r="BF50" s="2284"/>
      <c r="BG50" s="329">
        <f>2.15*1.06</f>
        <v>2.2789999999999999</v>
      </c>
      <c r="BH50" s="344"/>
      <c r="BI50" s="151"/>
      <c r="BJ50" s="151"/>
      <c r="BK50" s="345"/>
      <c r="BL50" s="329">
        <f>BG50*1.06</f>
        <v>2.41574</v>
      </c>
      <c r="BM50" s="344"/>
      <c r="BN50" s="151"/>
      <c r="BO50" s="151"/>
      <c r="BP50" s="345"/>
      <c r="BQ50" s="2314">
        <f>2.15*1.06^3</f>
        <v>2.5606844000000004</v>
      </c>
      <c r="BR50"/>
      <c r="BS50" s="2294"/>
      <c r="BT50"/>
      <c r="BU50"/>
      <c r="BV50"/>
      <c r="BW50"/>
      <c r="CC50" s="181"/>
      <c r="CD50" s="181"/>
      <c r="CE50" s="181"/>
      <c r="CF50" s="181"/>
      <c r="CG50" s="181"/>
      <c r="CH50" s="181"/>
      <c r="CI50" s="181"/>
      <c r="CJ50" s="181"/>
    </row>
    <row r="51" spans="1:104" s="92" customFormat="1">
      <c r="A51" s="139"/>
      <c r="B51" s="91"/>
      <c r="C51" s="1186" t="s">
        <v>1233</v>
      </c>
      <c r="E51" s="133"/>
      <c r="F51" s="134"/>
      <c r="G51" s="134"/>
      <c r="H51" s="135"/>
      <c r="I51" s="125"/>
      <c r="J51" s="133"/>
      <c r="K51" s="134"/>
      <c r="L51" s="134"/>
      <c r="M51" s="135"/>
      <c r="N51" s="125"/>
      <c r="O51" s="133"/>
      <c r="P51" s="134"/>
      <c r="Q51" s="134"/>
      <c r="R51" s="135"/>
      <c r="S51" s="125"/>
      <c r="T51" s="133"/>
      <c r="U51" s="134"/>
      <c r="V51" s="134"/>
      <c r="W51" s="135"/>
      <c r="X51" s="1264"/>
      <c r="Y51" s="133"/>
      <c r="Z51" s="134"/>
      <c r="AA51" s="134"/>
      <c r="AB51" s="135"/>
      <c r="AC51" s="125"/>
      <c r="AD51" s="133"/>
      <c r="AE51" s="134"/>
      <c r="AF51" s="134"/>
      <c r="AG51" s="135"/>
      <c r="AH51" s="125"/>
      <c r="AI51" s="133"/>
      <c r="AJ51" s="134"/>
      <c r="AK51" s="134"/>
      <c r="AL51" s="135"/>
      <c r="AM51" s="125"/>
      <c r="AN51" s="133"/>
      <c r="AO51" s="134"/>
      <c r="AP51" s="134"/>
      <c r="AQ51" s="135"/>
      <c r="AR51" s="125"/>
      <c r="AS51" s="133"/>
      <c r="AT51" s="134"/>
      <c r="AU51" s="134"/>
      <c r="AV51" s="135"/>
      <c r="AW51" s="2301"/>
      <c r="AX51" s="2317">
        <v>0.7</v>
      </c>
      <c r="AY51" s="1576"/>
      <c r="AZ51" s="1576"/>
      <c r="BA51" s="2284"/>
      <c r="BB51" s="2314">
        <v>2.5499999999999998</v>
      </c>
      <c r="BC51" s="2283"/>
      <c r="BD51" s="1576"/>
      <c r="BE51" s="1576"/>
      <c r="BF51" s="2284"/>
      <c r="BG51" s="329">
        <f>2.15*1.08</f>
        <v>2.3220000000000001</v>
      </c>
      <c r="BH51" s="133"/>
      <c r="BI51" s="134"/>
      <c r="BJ51" s="134"/>
      <c r="BK51" s="135"/>
      <c r="BL51" s="329">
        <f>BG51*1.08</f>
        <v>2.5077600000000002</v>
      </c>
      <c r="BM51" s="133"/>
      <c r="BN51" s="134"/>
      <c r="BO51" s="134"/>
      <c r="BP51" s="135"/>
      <c r="BQ51" s="2314">
        <f>2.15*1.08^3</f>
        <v>2.7083808</v>
      </c>
      <c r="BR51"/>
      <c r="BS51"/>
      <c r="BT51"/>
      <c r="BU51"/>
      <c r="BV51"/>
      <c r="BW51"/>
      <c r="BX51" s="177"/>
    </row>
    <row r="52" spans="1:104" s="92" customFormat="1">
      <c r="A52" s="139"/>
      <c r="B52" s="91"/>
      <c r="C52" s="1187"/>
      <c r="E52" s="133"/>
      <c r="F52" s="134"/>
      <c r="G52" s="134"/>
      <c r="H52" s="135"/>
      <c r="I52" s="125"/>
      <c r="J52" s="133"/>
      <c r="K52" s="134"/>
      <c r="L52" s="134"/>
      <c r="M52" s="135"/>
      <c r="N52" s="125"/>
      <c r="O52" s="133"/>
      <c r="P52" s="134"/>
      <c r="Q52" s="134"/>
      <c r="R52" s="135"/>
      <c r="S52" s="125"/>
      <c r="T52" s="133"/>
      <c r="U52" s="134"/>
      <c r="V52" s="134"/>
      <c r="W52" s="135"/>
      <c r="X52" s="1264"/>
      <c r="Y52" s="133"/>
      <c r="Z52" s="134"/>
      <c r="AA52" s="134"/>
      <c r="AB52" s="135"/>
      <c r="AC52" s="125"/>
      <c r="AD52" s="133"/>
      <c r="AE52" s="134"/>
      <c r="AF52" s="134"/>
      <c r="AG52" s="135"/>
      <c r="AH52" s="125"/>
      <c r="AI52" s="133"/>
      <c r="AJ52" s="134"/>
      <c r="AK52" s="134"/>
      <c r="AL52" s="135"/>
      <c r="AM52" s="125"/>
      <c r="AN52" s="133"/>
      <c r="AO52" s="134"/>
      <c r="AP52" s="134"/>
      <c r="AQ52" s="135"/>
      <c r="AR52" s="125"/>
      <c r="AS52" s="133"/>
      <c r="AT52" s="134"/>
      <c r="AU52" s="134"/>
      <c r="AV52" s="135"/>
      <c r="AW52" s="2301"/>
      <c r="AX52" s="2283"/>
      <c r="AY52" s="1576"/>
      <c r="AZ52" s="1576"/>
      <c r="BA52" s="2284"/>
      <c r="BB52" s="2315"/>
      <c r="BC52" s="2283"/>
      <c r="BD52" s="1576"/>
      <c r="BE52" s="1576"/>
      <c r="BF52" s="2284"/>
      <c r="BG52" s="329"/>
      <c r="BH52" s="133"/>
      <c r="BI52" s="134"/>
      <c r="BJ52" s="134"/>
      <c r="BK52" s="135"/>
      <c r="BL52" s="125"/>
      <c r="BM52" s="133"/>
      <c r="BN52" s="134"/>
      <c r="BO52" s="134"/>
      <c r="BP52" s="135"/>
      <c r="BQ52" s="125"/>
      <c r="BR52"/>
      <c r="BS52"/>
      <c r="BT52"/>
      <c r="BU52"/>
      <c r="BV52"/>
      <c r="BW52"/>
      <c r="BX52" s="177"/>
    </row>
    <row r="53" spans="1:104" s="92" customFormat="1">
      <c r="A53" s="139"/>
      <c r="B53" s="91"/>
      <c r="C53" s="1187"/>
      <c r="E53" s="133"/>
      <c r="F53" s="134"/>
      <c r="G53" s="134"/>
      <c r="H53" s="135"/>
      <c r="I53" s="125"/>
      <c r="J53" s="133"/>
      <c r="K53" s="134"/>
      <c r="L53" s="134"/>
      <c r="M53" s="135"/>
      <c r="N53" s="125"/>
      <c r="O53" s="133"/>
      <c r="P53" s="134"/>
      <c r="Q53" s="134"/>
      <c r="R53" s="135"/>
      <c r="S53" s="125"/>
      <c r="T53" s="133"/>
      <c r="U53" s="134"/>
      <c r="V53" s="134"/>
      <c r="W53" s="135"/>
      <c r="X53" s="1264"/>
      <c r="Y53" s="133"/>
      <c r="Z53" s="134"/>
      <c r="AA53" s="134"/>
      <c r="AB53" s="135"/>
      <c r="AC53" s="125"/>
      <c r="AD53" s="133"/>
      <c r="AE53" s="134"/>
      <c r="AF53" s="134"/>
      <c r="AG53" s="135"/>
      <c r="AH53" s="125"/>
      <c r="AI53" s="133"/>
      <c r="AJ53" s="134"/>
      <c r="AK53" s="134"/>
      <c r="AL53" s="135"/>
      <c r="AM53" s="125"/>
      <c r="AN53" s="133"/>
      <c r="AO53" s="134"/>
      <c r="AP53" s="134"/>
      <c r="AQ53" s="135"/>
      <c r="AR53" s="125"/>
      <c r="AS53" s="133"/>
      <c r="AT53" s="134"/>
      <c r="AU53" s="134"/>
      <c r="AV53" s="135"/>
      <c r="AW53" s="2301"/>
      <c r="AX53" s="2283"/>
      <c r="AY53" s="1576"/>
      <c r="AZ53" s="1576"/>
      <c r="BA53" s="2284"/>
      <c r="BB53" s="2315"/>
      <c r="BC53" s="2283"/>
      <c r="BD53" s="1576"/>
      <c r="BE53" s="1576"/>
      <c r="BF53" s="2284"/>
      <c r="BG53" s="329"/>
      <c r="BH53" s="133"/>
      <c r="BI53" s="134"/>
      <c r="BJ53" s="134"/>
      <c r="BK53" s="135"/>
      <c r="BL53" s="125"/>
      <c r="BM53" s="133"/>
      <c r="BN53" s="134"/>
      <c r="BO53" s="134"/>
      <c r="BP53" s="135"/>
      <c r="BQ53" s="125"/>
      <c r="BR53"/>
      <c r="BS53"/>
      <c r="BT53"/>
      <c r="BU53"/>
      <c r="BV53"/>
      <c r="BW53"/>
      <c r="BX53" s="177"/>
    </row>
    <row r="54" spans="1:104" s="92" customFormat="1">
      <c r="A54" s="139"/>
      <c r="B54" s="126" t="s">
        <v>760</v>
      </c>
      <c r="C54" s="1193"/>
      <c r="D54" s="665"/>
      <c r="E54" s="493"/>
      <c r="F54" s="494"/>
      <c r="G54" s="494"/>
      <c r="H54" s="495"/>
      <c r="I54" s="496"/>
      <c r="J54" s="493"/>
      <c r="K54" s="494"/>
      <c r="L54" s="494"/>
      <c r="M54" s="495"/>
      <c r="N54" s="496"/>
      <c r="O54" s="493"/>
      <c r="P54" s="494"/>
      <c r="Q54" s="494"/>
      <c r="R54" s="495"/>
      <c r="S54" s="496"/>
      <c r="T54" s="493"/>
      <c r="U54" s="494"/>
      <c r="V54" s="494"/>
      <c r="W54" s="495"/>
      <c r="X54" s="496"/>
      <c r="Y54" s="493"/>
      <c r="Z54" s="494"/>
      <c r="AA54" s="494"/>
      <c r="AB54" s="495"/>
      <c r="AC54" s="496"/>
      <c r="AD54" s="493"/>
      <c r="AE54" s="494"/>
      <c r="AF54" s="494"/>
      <c r="AG54" s="495"/>
      <c r="AH54" s="496"/>
      <c r="AI54" s="493"/>
      <c r="AJ54" s="494"/>
      <c r="AK54" s="494"/>
      <c r="AL54" s="495"/>
      <c r="AM54" s="496"/>
      <c r="AN54" s="493"/>
      <c r="AO54" s="494"/>
      <c r="AP54" s="494"/>
      <c r="AQ54" s="495"/>
      <c r="AR54" s="496"/>
      <c r="AS54" s="493"/>
      <c r="AT54" s="494"/>
      <c r="AU54" s="494"/>
      <c r="AV54" s="495"/>
      <c r="AW54" s="496"/>
      <c r="AX54" s="2328"/>
      <c r="AY54" s="2329"/>
      <c r="AZ54" s="2329"/>
      <c r="BA54" s="2330"/>
      <c r="BB54" s="496"/>
      <c r="BC54" s="493"/>
      <c r="BD54" s="494"/>
      <c r="BE54" s="494"/>
      <c r="BF54" s="495"/>
      <c r="BG54" s="496"/>
      <c r="BH54" s="493"/>
      <c r="BI54" s="494"/>
      <c r="BJ54" s="494"/>
      <c r="BK54" s="495"/>
      <c r="BL54" s="496"/>
      <c r="BM54" s="493"/>
      <c r="BN54" s="494"/>
      <c r="BO54" s="494"/>
      <c r="BP54" s="495"/>
      <c r="BQ54" s="496"/>
      <c r="BR54"/>
      <c r="BS54"/>
      <c r="BT54"/>
      <c r="BU54"/>
      <c r="BV54"/>
      <c r="BW54"/>
      <c r="BX54" s="177"/>
    </row>
    <row r="55" spans="1:104" s="497" customFormat="1">
      <c r="B55" s="498"/>
      <c r="C55" s="1208" t="s">
        <v>113</v>
      </c>
      <c r="E55" s="141"/>
      <c r="F55" s="84"/>
      <c r="G55" s="84"/>
      <c r="H55" s="142"/>
      <c r="I55" s="498"/>
      <c r="J55" s="141"/>
      <c r="K55" s="84"/>
      <c r="L55" s="84"/>
      <c r="M55" s="142"/>
      <c r="N55" s="498"/>
      <c r="O55" s="141">
        <f t="shared" ref="O55:V55" si="77">O79/J79-1</f>
        <v>0.15791431121689969</v>
      </c>
      <c r="P55" s="84">
        <f t="shared" si="77"/>
        <v>0.35859017157053019</v>
      </c>
      <c r="Q55" s="84">
        <f t="shared" si="77"/>
        <v>0.37983706720977595</v>
      </c>
      <c r="R55" s="142">
        <f t="shared" si="77"/>
        <v>0.34127443043830241</v>
      </c>
      <c r="S55" s="498">
        <f t="shared" si="77"/>
        <v>0.31028865998463684</v>
      </c>
      <c r="T55" s="141">
        <f t="shared" si="77"/>
        <v>0.19470675146142491</v>
      </c>
      <c r="U55" s="84">
        <f t="shared" si="77"/>
        <v>9.4571428571428306E-3</v>
      </c>
      <c r="V55" s="84">
        <f t="shared" si="77"/>
        <v>-4.1205412054120538E-2</v>
      </c>
      <c r="W55" s="142">
        <f t="shared" ref="W55:AD55" si="78">W79/R79-1</f>
        <v>8.7658791745703901E-3</v>
      </c>
      <c r="X55" s="498">
        <f t="shared" si="78"/>
        <v>3.5478676065490378E-2</v>
      </c>
      <c r="Y55" s="141">
        <f t="shared" si="78"/>
        <v>2.6320034412302462E-2</v>
      </c>
      <c r="Z55" s="697">
        <f t="shared" si="78"/>
        <v>-9.1987206702329738E-3</v>
      </c>
      <c r="AA55" s="697">
        <f t="shared" si="78"/>
        <v>-2.0962155227710055E-2</v>
      </c>
      <c r="AB55" s="142">
        <f t="shared" si="78"/>
        <v>4.1311718282572185E-2</v>
      </c>
      <c r="AC55" s="498">
        <f t="shared" si="78"/>
        <v>8.7789305666401418E-3</v>
      </c>
      <c r="AD55" s="141">
        <f t="shared" si="78"/>
        <v>5.938441388343163E-2</v>
      </c>
      <c r="AE55" s="697">
        <f t="shared" ref="AE55:AK55" si="79">AE79/Z79-1</f>
        <v>4.99914300405635E-3</v>
      </c>
      <c r="AF55" s="697">
        <f t="shared" si="79"/>
        <v>-1.4964096650767811E-2</v>
      </c>
      <c r="AG55" s="698">
        <f t="shared" si="79"/>
        <v>-5.6362691181701674E-3</v>
      </c>
      <c r="AH55" s="853">
        <f t="shared" si="79"/>
        <v>1.1258519961051539E-2</v>
      </c>
      <c r="AI55" s="696">
        <f t="shared" si="79"/>
        <v>3.4370209188467893E-3</v>
      </c>
      <c r="AJ55" s="697">
        <f t="shared" si="79"/>
        <v>-2.785594497029642E-3</v>
      </c>
      <c r="AK55" s="697">
        <f t="shared" si="79"/>
        <v>2.7881980471971657E-2</v>
      </c>
      <c r="AL55" s="698">
        <f t="shared" ref="AL55" si="80">AL79/AG79-1</f>
        <v>-6.138733731392565E-2</v>
      </c>
      <c r="AM55" s="853">
        <f t="shared" ref="AM55:AP55" si="81">AM79/AH79-1</f>
        <v>-7.6360888781903391E-3</v>
      </c>
      <c r="AN55" s="696">
        <f t="shared" si="81"/>
        <v>-7.7893595524999415E-2</v>
      </c>
      <c r="AO55" s="697">
        <f t="shared" si="81"/>
        <v>-1.6731750420431513E-2</v>
      </c>
      <c r="AP55" s="697">
        <f t="shared" si="81"/>
        <v>6.9237737802510635E-2</v>
      </c>
      <c r="AQ55" s="698">
        <f t="shared" ref="AQ55" si="82">AQ79/AL79-1</f>
        <v>4.4060741088180144E-2</v>
      </c>
      <c r="AR55" s="853">
        <f t="shared" ref="AR55:AU55" si="83">AR79/AM79-1</f>
        <v>2.8973593601553382E-3</v>
      </c>
      <c r="AS55" s="696">
        <f t="shared" si="83"/>
        <v>-1.4163548904329248E-2</v>
      </c>
      <c r="AT55" s="697">
        <f t="shared" si="83"/>
        <v>-7.4791280148422956E-3</v>
      </c>
      <c r="AU55" s="697">
        <f t="shared" si="83"/>
        <v>-7.0176712660372842E-2</v>
      </c>
      <c r="AV55" s="698">
        <f t="shared" ref="AV55" si="84">AV79/AQ79-1</f>
        <v>1.5779868033132027E-2</v>
      </c>
      <c r="AW55" s="853">
        <f t="shared" ref="AW55" si="85">AW79/AR79-1</f>
        <v>-2.0995559019356236E-2</v>
      </c>
      <c r="AX55" s="141">
        <f>BB55-AS103</f>
        <v>1.5821646889608056E-2</v>
      </c>
      <c r="AY55" s="84">
        <f>BB55-AT103</f>
        <v>0.01</v>
      </c>
      <c r="AZ55" s="84">
        <f>BB55-AU103</f>
        <v>-2.6773761713521081E-4</v>
      </c>
      <c r="BA55" s="142">
        <f>BB55-AV103</f>
        <v>0</v>
      </c>
      <c r="BB55" s="502">
        <v>0</v>
      </c>
      <c r="BC55" s="141">
        <f>BG55</f>
        <v>0</v>
      </c>
      <c r="BD55" s="84">
        <f>BG55</f>
        <v>0</v>
      </c>
      <c r="BE55" s="84">
        <f>BG55</f>
        <v>0</v>
      </c>
      <c r="BF55" s="142">
        <f>BG55</f>
        <v>0</v>
      </c>
      <c r="BG55" s="502">
        <v>0</v>
      </c>
      <c r="BH55" s="141">
        <f>BL55</f>
        <v>0</v>
      </c>
      <c r="BI55" s="84">
        <f>BL55</f>
        <v>0</v>
      </c>
      <c r="BJ55" s="84">
        <f>BL55</f>
        <v>0</v>
      </c>
      <c r="BK55" s="142">
        <f>BL55</f>
        <v>0</v>
      </c>
      <c r="BL55" s="502">
        <v>0</v>
      </c>
      <c r="BM55" s="141">
        <f>BQ55</f>
        <v>0</v>
      </c>
      <c r="BN55" s="84">
        <f>BQ55</f>
        <v>0</v>
      </c>
      <c r="BO55" s="84">
        <f>BQ55</f>
        <v>0</v>
      </c>
      <c r="BP55" s="142">
        <f>BQ55</f>
        <v>0</v>
      </c>
      <c r="BQ55" s="1926">
        <v>0</v>
      </c>
      <c r="BR55" s="1610"/>
      <c r="BS55" s="499"/>
    </row>
    <row r="56" spans="1:104" s="91" customFormat="1">
      <c r="B56" s="87"/>
      <c r="C56" s="1208"/>
      <c r="E56" s="235"/>
      <c r="F56" s="236"/>
      <c r="G56" s="236"/>
      <c r="H56" s="238"/>
      <c r="I56" s="352"/>
      <c r="J56" s="235"/>
      <c r="K56" s="236"/>
      <c r="L56" s="236"/>
      <c r="M56" s="238"/>
      <c r="N56" s="352"/>
      <c r="O56" s="235"/>
      <c r="P56" s="236"/>
      <c r="Q56" s="236"/>
      <c r="R56" s="238"/>
      <c r="S56" s="352"/>
      <c r="T56" s="235"/>
      <c r="U56" s="236"/>
      <c r="V56" s="236"/>
      <c r="W56" s="238"/>
      <c r="X56" s="352"/>
      <c r="Y56" s="235"/>
      <c r="Z56" s="131"/>
      <c r="AA56" s="131"/>
      <c r="AB56" s="238"/>
      <c r="AC56" s="352"/>
      <c r="AD56" s="235"/>
      <c r="AE56" s="236"/>
      <c r="AF56" s="236"/>
      <c r="AG56" s="238"/>
      <c r="AH56" s="352"/>
      <c r="AI56" s="235"/>
      <c r="AJ56" s="236"/>
      <c r="AK56" s="236"/>
      <c r="AL56" s="238"/>
      <c r="AM56" s="352"/>
      <c r="AN56" s="235"/>
      <c r="AO56" s="236"/>
      <c r="AP56" s="236"/>
      <c r="AQ56" s="238"/>
      <c r="AR56" s="352"/>
      <c r="AS56" s="235"/>
      <c r="AT56" s="236"/>
      <c r="AU56" s="236"/>
      <c r="AV56" s="238"/>
      <c r="AW56" s="352"/>
      <c r="AX56" s="235"/>
      <c r="AY56" s="236"/>
      <c r="AZ56" s="236"/>
      <c r="BA56" s="238"/>
      <c r="BB56" s="352"/>
      <c r="BC56" s="235"/>
      <c r="BD56" s="236"/>
      <c r="BE56" s="236"/>
      <c r="BF56" s="238"/>
      <c r="BG56" s="352"/>
      <c r="BH56" s="235"/>
      <c r="BI56" s="236"/>
      <c r="BJ56" s="236"/>
      <c r="BK56" s="238"/>
      <c r="BL56" s="352"/>
      <c r="BM56" s="235"/>
      <c r="BN56" s="236"/>
      <c r="BO56" s="236"/>
      <c r="BP56" s="238"/>
      <c r="BQ56" s="1889"/>
      <c r="BR56" s="1611"/>
      <c r="BS56" s="500"/>
      <c r="BT56" s="501"/>
      <c r="BU56" s="501"/>
      <c r="BV56" s="501"/>
      <c r="BW56" s="501"/>
      <c r="BX56" s="501"/>
    </row>
    <row r="57" spans="1:104" s="491" customFormat="1">
      <c r="B57" s="285"/>
      <c r="C57" s="1208" t="s">
        <v>26</v>
      </c>
      <c r="E57" s="309"/>
      <c r="F57" s="310"/>
      <c r="G57" s="310"/>
      <c r="H57" s="311"/>
      <c r="I57" s="285"/>
      <c r="J57" s="309"/>
      <c r="K57" s="310"/>
      <c r="L57" s="310"/>
      <c r="M57" s="311"/>
      <c r="N57" s="285"/>
      <c r="O57" s="309"/>
      <c r="P57" s="310"/>
      <c r="Q57" s="310"/>
      <c r="R57" s="311"/>
      <c r="S57" s="285"/>
      <c r="T57" s="309"/>
      <c r="U57" s="310"/>
      <c r="V57" s="310"/>
      <c r="W57" s="311"/>
      <c r="X57" s="285"/>
      <c r="Y57" s="309"/>
      <c r="Z57" s="297"/>
      <c r="AA57" s="297"/>
      <c r="AB57" s="311"/>
      <c r="AC57" s="285"/>
      <c r="AD57" s="309"/>
      <c r="AE57" s="297"/>
      <c r="AF57" s="297"/>
      <c r="AG57" s="290"/>
      <c r="AH57" s="730"/>
      <c r="AI57" s="296"/>
      <c r="AJ57" s="297"/>
      <c r="AK57" s="297"/>
      <c r="AL57" s="290"/>
      <c r="AM57" s="730"/>
      <c r="AN57" s="296"/>
      <c r="AO57" s="297"/>
      <c r="AP57" s="297"/>
      <c r="AQ57" s="290"/>
      <c r="AR57" s="730"/>
      <c r="AS57" s="296"/>
      <c r="AT57" s="297"/>
      <c r="AU57" s="297"/>
      <c r="AV57" s="290"/>
      <c r="AW57" s="730"/>
      <c r="AX57" s="296">
        <f>BB57/4</f>
        <v>7.5</v>
      </c>
      <c r="AY57" s="297">
        <f>BB57/4</f>
        <v>7.5</v>
      </c>
      <c r="AZ57" s="297">
        <f>BB57/4</f>
        <v>7.5</v>
      </c>
      <c r="BA57" s="290">
        <f>BB57/4</f>
        <v>7.5</v>
      </c>
      <c r="BB57" s="730">
        <v>30</v>
      </c>
      <c r="BC57" s="296">
        <f>BG57/4</f>
        <v>6.25</v>
      </c>
      <c r="BD57" s="297">
        <f>BG57/4</f>
        <v>6.25</v>
      </c>
      <c r="BE57" s="297">
        <f>BG57/4</f>
        <v>6.25</v>
      </c>
      <c r="BF57" s="290">
        <f>BG57/4</f>
        <v>6.25</v>
      </c>
      <c r="BG57" s="730">
        <v>25</v>
      </c>
      <c r="BH57" s="296">
        <f>BL57/4</f>
        <v>5</v>
      </c>
      <c r="BI57" s="297">
        <f>BL57/4</f>
        <v>5</v>
      </c>
      <c r="BJ57" s="297">
        <f>BL57/4</f>
        <v>5</v>
      </c>
      <c r="BK57" s="290">
        <f>BL57/4</f>
        <v>5</v>
      </c>
      <c r="BL57" s="730">
        <v>20</v>
      </c>
      <c r="BM57" s="296">
        <f>BQ57/4</f>
        <v>5</v>
      </c>
      <c r="BN57" s="297">
        <f>BQ57/4</f>
        <v>5</v>
      </c>
      <c r="BO57" s="297">
        <f>BQ57/4</f>
        <v>5</v>
      </c>
      <c r="BP57" s="290">
        <f>BQ57/4</f>
        <v>5</v>
      </c>
      <c r="BQ57" s="1917">
        <v>20</v>
      </c>
      <c r="BR57" s="1612"/>
    </row>
    <row r="58" spans="1:104" s="491" customFormat="1">
      <c r="B58" s="285"/>
      <c r="C58" s="2025" t="s">
        <v>1063</v>
      </c>
      <c r="E58" s="309"/>
      <c r="F58" s="310"/>
      <c r="G58" s="310"/>
      <c r="H58" s="311"/>
      <c r="I58" s="285"/>
      <c r="J58" s="309"/>
      <c r="K58" s="310"/>
      <c r="L58" s="310"/>
      <c r="M58" s="311"/>
      <c r="N58" s="285"/>
      <c r="O58" s="309"/>
      <c r="P58" s="310"/>
      <c r="Q58" s="310"/>
      <c r="R58" s="311"/>
      <c r="S58" s="285"/>
      <c r="T58" s="309"/>
      <c r="U58" s="310"/>
      <c r="V58" s="310"/>
      <c r="W58" s="311"/>
      <c r="X58" s="285"/>
      <c r="Y58" s="309"/>
      <c r="Z58" s="297"/>
      <c r="AA58" s="297"/>
      <c r="AB58" s="311"/>
      <c r="AC58" s="285"/>
      <c r="AD58" s="309"/>
      <c r="AE58" s="297"/>
      <c r="AF58" s="297"/>
      <c r="AG58" s="290"/>
      <c r="AH58" s="730"/>
      <c r="AI58" s="296"/>
      <c r="AJ58" s="297"/>
      <c r="AK58" s="297"/>
      <c r="AL58" s="290"/>
      <c r="AM58" s="730"/>
      <c r="AN58" s="296"/>
      <c r="AO58" s="297"/>
      <c r="AP58" s="297"/>
      <c r="AQ58" s="290"/>
      <c r="AR58" s="730"/>
      <c r="AS58" s="296"/>
      <c r="AT58" s="297"/>
      <c r="AU58" s="297"/>
      <c r="AV58" s="290"/>
      <c r="AW58" s="730"/>
      <c r="AX58" s="296">
        <f>BB58/4</f>
        <v>9.5472972972972947</v>
      </c>
      <c r="AY58" s="297">
        <f>BB58/4</f>
        <v>9.5472972972972947</v>
      </c>
      <c r="AZ58" s="297">
        <f>BB58/4</f>
        <v>9.5472972972972947</v>
      </c>
      <c r="BA58" s="290">
        <f>BB58/4</f>
        <v>9.5472972972972947</v>
      </c>
      <c r="BB58" s="730">
        <f>BB126*$BS$58-BB57</f>
        <v>38.189189189189179</v>
      </c>
      <c r="BC58" s="296">
        <f>BG58/4</f>
        <v>12.119932432432432</v>
      </c>
      <c r="BD58" s="297">
        <f>BG58/4</f>
        <v>12.119932432432432</v>
      </c>
      <c r="BE58" s="297">
        <f>BG58/4</f>
        <v>12.119932432432432</v>
      </c>
      <c r="BF58" s="290">
        <f>BG58/4</f>
        <v>12.119932432432432</v>
      </c>
      <c r="BG58" s="730">
        <f>BG126*$BS$58-BG57</f>
        <v>48.479729729729726</v>
      </c>
      <c r="BH58" s="296">
        <f>BL58/4</f>
        <v>13.076013513513512</v>
      </c>
      <c r="BI58" s="297">
        <f>BL58/4</f>
        <v>13.076013513513512</v>
      </c>
      <c r="BJ58" s="297">
        <f>BL58/4</f>
        <v>13.076013513513512</v>
      </c>
      <c r="BK58" s="290">
        <f>BL58/4</f>
        <v>13.076013513513512</v>
      </c>
      <c r="BL58" s="730">
        <f>BL126*$BS$58-BL57</f>
        <v>52.304054054054049</v>
      </c>
      <c r="BM58" s="296">
        <f>BQ58/4</f>
        <v>13.369932432432432</v>
      </c>
      <c r="BN58" s="297">
        <f>BQ58/4</f>
        <v>13.369932432432432</v>
      </c>
      <c r="BO58" s="297">
        <f>BQ58/4</f>
        <v>13.369932432432432</v>
      </c>
      <c r="BP58" s="290">
        <f>BQ58/4</f>
        <v>13.369932432432432</v>
      </c>
      <c r="BQ58" s="1917">
        <f>BQ126*$BS$58-BQ57</f>
        <v>53.479729729729726</v>
      </c>
      <c r="BR58" s="1612"/>
      <c r="BS58" s="1175">
        <f>((10%/(1-26%))*50%)+(5%*50%)+1/40</f>
        <v>0.11756756756756756</v>
      </c>
      <c r="BT58" s="88" t="s">
        <v>630</v>
      </c>
    </row>
    <row r="59" spans="1:104" s="491" customFormat="1">
      <c r="B59" s="285"/>
      <c r="C59" s="1208" t="s">
        <v>55</v>
      </c>
      <c r="E59" s="309"/>
      <c r="F59" s="310"/>
      <c r="G59" s="310"/>
      <c r="H59" s="311"/>
      <c r="I59" s="285"/>
      <c r="J59" s="309"/>
      <c r="K59" s="310"/>
      <c r="L59" s="310"/>
      <c r="M59" s="311"/>
      <c r="N59" s="285"/>
      <c r="O59" s="309"/>
      <c r="P59" s="310"/>
      <c r="Q59" s="310"/>
      <c r="R59" s="311"/>
      <c r="S59" s="285"/>
      <c r="T59" s="309"/>
      <c r="U59" s="310"/>
      <c r="V59" s="310"/>
      <c r="W59" s="311"/>
      <c r="X59" s="285"/>
      <c r="Y59" s="309"/>
      <c r="Z59" s="297"/>
      <c r="AA59" s="297"/>
      <c r="AB59" s="311"/>
      <c r="AC59" s="285"/>
      <c r="AD59" s="309"/>
      <c r="AE59" s="297"/>
      <c r="AF59" s="297"/>
      <c r="AG59" s="506"/>
      <c r="AH59" s="298"/>
      <c r="AI59" s="296"/>
      <c r="AJ59" s="297"/>
      <c r="AK59" s="297"/>
      <c r="AL59" s="506"/>
      <c r="AM59" s="298"/>
      <c r="AN59" s="296"/>
      <c r="AO59" s="297"/>
      <c r="AP59" s="297"/>
      <c r="AQ59" s="506"/>
      <c r="AR59" s="298"/>
      <c r="AS59" s="296"/>
      <c r="AT59" s="297"/>
      <c r="AU59" s="297"/>
      <c r="AV59" s="506"/>
      <c r="AW59" s="298"/>
      <c r="AX59" s="2178">
        <f>BT85/4+SUM(BU85:BX85)*1/12+BB59/4</f>
        <v>42.79504504504505</v>
      </c>
      <c r="AY59" s="297">
        <f>BB59/4</f>
        <v>5.8783783783783781</v>
      </c>
      <c r="AZ59" s="297">
        <f>BB59/4</f>
        <v>5.8783783783783781</v>
      </c>
      <c r="BA59" s="290">
        <f>BB59/4</f>
        <v>5.8783783783783781</v>
      </c>
      <c r="BB59" s="1917">
        <f>(100+100)*BS58</f>
        <v>23.513513513513512</v>
      </c>
      <c r="BC59" s="296">
        <f>BG59/4</f>
        <v>7.3479729729729728</v>
      </c>
      <c r="BD59" s="297">
        <f>BG59/4</f>
        <v>7.3479729729729728</v>
      </c>
      <c r="BE59" s="297">
        <f>BG59/4</f>
        <v>7.3479729729729728</v>
      </c>
      <c r="BF59" s="290">
        <f>BG59/4</f>
        <v>7.3479729729729728</v>
      </c>
      <c r="BG59" s="730">
        <f>(150+100)*BS58</f>
        <v>29.391891891891891</v>
      </c>
      <c r="BH59" s="296">
        <f>BL59/4</f>
        <v>16.317567567567565</v>
      </c>
      <c r="BI59" s="297">
        <f>BL59/4</f>
        <v>16.317567567567565</v>
      </c>
      <c r="BJ59" s="297">
        <f>BL59/4</f>
        <v>16.317567567567565</v>
      </c>
      <c r="BK59" s="290">
        <f>BL59/4</f>
        <v>16.317567567567565</v>
      </c>
      <c r="BL59" s="730">
        <f>(200+100)*BS58+30</f>
        <v>65.27027027027026</v>
      </c>
      <c r="BM59" s="296">
        <f>BQ59/4</f>
        <v>20</v>
      </c>
      <c r="BN59" s="297">
        <f>BQ59/4</f>
        <v>20</v>
      </c>
      <c r="BO59" s="297">
        <f>BQ59/4</f>
        <v>20</v>
      </c>
      <c r="BP59" s="290">
        <f>BQ59/4</f>
        <v>20</v>
      </c>
      <c r="BQ59" s="1917">
        <v>80</v>
      </c>
      <c r="BR59" s="1612"/>
      <c r="BS59" s="503"/>
      <c r="BT59" s="503"/>
    </row>
    <row r="60" spans="1:104" s="491" customFormat="1">
      <c r="B60" s="285"/>
      <c r="C60" s="2025" t="s">
        <v>1061</v>
      </c>
      <c r="E60" s="309"/>
      <c r="F60" s="310"/>
      <c r="G60" s="310"/>
      <c r="H60" s="311"/>
      <c r="I60" s="285"/>
      <c r="J60" s="309"/>
      <c r="K60" s="310"/>
      <c r="L60" s="310"/>
      <c r="M60" s="311"/>
      <c r="N60" s="285"/>
      <c r="O60" s="309"/>
      <c r="P60" s="310"/>
      <c r="Q60" s="310"/>
      <c r="R60" s="311"/>
      <c r="S60" s="285"/>
      <c r="T60" s="309"/>
      <c r="U60" s="310"/>
      <c r="V60" s="310"/>
      <c r="W60" s="311"/>
      <c r="X60" s="285"/>
      <c r="Y60" s="309"/>
      <c r="Z60" s="297"/>
      <c r="AA60" s="297"/>
      <c r="AB60" s="311"/>
      <c r="AC60" s="285"/>
      <c r="AD60" s="309"/>
      <c r="AE60" s="297"/>
      <c r="AF60" s="297"/>
      <c r="AG60" s="506"/>
      <c r="AH60" s="298"/>
      <c r="AI60" s="296"/>
      <c r="AJ60" s="297"/>
      <c r="AK60" s="297"/>
      <c r="AL60" s="506"/>
      <c r="AM60" s="298"/>
      <c r="AN60" s="296"/>
      <c r="AO60" s="297"/>
      <c r="AP60" s="297"/>
      <c r="AQ60" s="506"/>
      <c r="AR60" s="298"/>
      <c r="AS60" s="296"/>
      <c r="AT60" s="297"/>
      <c r="AU60" s="297"/>
      <c r="AV60" s="506"/>
      <c r="AW60" s="2310">
        <v>204</v>
      </c>
      <c r="AX60" s="296">
        <f>BB60/4</f>
        <v>0</v>
      </c>
      <c r="AY60" s="297">
        <f>BB60/4</f>
        <v>0</v>
      </c>
      <c r="AZ60" s="297">
        <f>BB60/4</f>
        <v>0</v>
      </c>
      <c r="BA60" s="290">
        <f>BB60/4</f>
        <v>0</v>
      </c>
      <c r="BB60" s="730">
        <v>0</v>
      </c>
      <c r="BC60" s="296">
        <f>BG60/4</f>
        <v>0</v>
      </c>
      <c r="BD60" s="297">
        <f>BG60/4</f>
        <v>0</v>
      </c>
      <c r="BE60" s="297">
        <f>BG60/4</f>
        <v>0</v>
      </c>
      <c r="BF60" s="290">
        <f>BG60/4</f>
        <v>0</v>
      </c>
      <c r="BG60" s="730">
        <v>0</v>
      </c>
      <c r="BH60" s="296">
        <f>BL60/4</f>
        <v>-51</v>
      </c>
      <c r="BI60" s="297">
        <f>BL60/4</f>
        <v>-51</v>
      </c>
      <c r="BJ60" s="297">
        <f>BL60/4</f>
        <v>-51</v>
      </c>
      <c r="BK60" s="290">
        <f>BL60/4</f>
        <v>-51</v>
      </c>
      <c r="BL60" s="730">
        <v>-204</v>
      </c>
      <c r="BM60" s="296">
        <f>BQ60/4</f>
        <v>0</v>
      </c>
      <c r="BN60" s="297">
        <f>BQ60/4</f>
        <v>0</v>
      </c>
      <c r="BO60" s="297">
        <f>BQ60/4</f>
        <v>0</v>
      </c>
      <c r="BP60" s="290">
        <f>BQ60/4</f>
        <v>0</v>
      </c>
      <c r="BQ60" s="1917">
        <v>0</v>
      </c>
      <c r="BR60" s="1612"/>
      <c r="BS60" s="503"/>
      <c r="BT60" s="503"/>
    </row>
    <row r="61" spans="1:104" s="491" customFormat="1">
      <c r="B61" s="285"/>
      <c r="C61" s="2025" t="s">
        <v>1227</v>
      </c>
      <c r="E61" s="309"/>
      <c r="F61" s="310"/>
      <c r="G61" s="310"/>
      <c r="H61" s="311"/>
      <c r="I61" s="285"/>
      <c r="J61" s="309"/>
      <c r="K61" s="310"/>
      <c r="L61" s="310"/>
      <c r="M61" s="311"/>
      <c r="N61" s="285"/>
      <c r="O61" s="309"/>
      <c r="P61" s="310"/>
      <c r="Q61" s="310"/>
      <c r="R61" s="311"/>
      <c r="S61" s="285"/>
      <c r="T61" s="309"/>
      <c r="U61" s="310"/>
      <c r="V61" s="310"/>
      <c r="W61" s="311"/>
      <c r="X61" s="285"/>
      <c r="Y61" s="309"/>
      <c r="Z61" s="297"/>
      <c r="AA61" s="297"/>
      <c r="AB61" s="311"/>
      <c r="AC61" s="285"/>
      <c r="AD61" s="309"/>
      <c r="AE61" s="297"/>
      <c r="AF61" s="297"/>
      <c r="AG61" s="506"/>
      <c r="AH61" s="298"/>
      <c r="AI61" s="296"/>
      <c r="AJ61" s="297"/>
      <c r="AK61" s="297"/>
      <c r="AL61" s="506"/>
      <c r="AM61" s="298"/>
      <c r="AN61" s="296"/>
      <c r="AO61" s="297"/>
      <c r="AP61" s="297"/>
      <c r="AQ61" s="506"/>
      <c r="AR61" s="298"/>
      <c r="AS61" s="296"/>
      <c r="AT61" s="297"/>
      <c r="AU61" s="297"/>
      <c r="AV61" s="506"/>
      <c r="AW61" s="2310"/>
      <c r="AX61" s="2178">
        <v>-71.567017270875738</v>
      </c>
      <c r="AY61" s="1899">
        <v>-57.578601040867511</v>
      </c>
      <c r="AZ61" s="1899">
        <v>-78.918674640108009</v>
      </c>
      <c r="BA61" s="1900">
        <v>-64.720031018743612</v>
      </c>
      <c r="BB61" s="298">
        <f>SUM(AX61:BA61)</f>
        <v>-272.78432397059487</v>
      </c>
      <c r="BC61" s="296">
        <f>BG61/4</f>
        <v>0</v>
      </c>
      <c r="BD61" s="297">
        <f>BG61/4</f>
        <v>0</v>
      </c>
      <c r="BE61" s="297">
        <f>BG61/4</f>
        <v>0</v>
      </c>
      <c r="BF61" s="290">
        <f>BG61/4</f>
        <v>0</v>
      </c>
      <c r="BG61" s="730">
        <v>0</v>
      </c>
      <c r="BH61" s="296">
        <f>BL61/4</f>
        <v>0</v>
      </c>
      <c r="BI61" s="297">
        <f>BL61/4</f>
        <v>0</v>
      </c>
      <c r="BJ61" s="297">
        <f>BL61/4</f>
        <v>0</v>
      </c>
      <c r="BK61" s="290">
        <f>BL61/4</f>
        <v>0</v>
      </c>
      <c r="BL61" s="730">
        <v>0</v>
      </c>
      <c r="BM61" s="296">
        <f>BQ61/4</f>
        <v>0</v>
      </c>
      <c r="BN61" s="297">
        <f>BQ61/4</f>
        <v>0</v>
      </c>
      <c r="BO61" s="297">
        <f>BQ61/4</f>
        <v>0</v>
      </c>
      <c r="BP61" s="290">
        <f>BQ61/4</f>
        <v>0</v>
      </c>
      <c r="BQ61" s="1917">
        <v>0</v>
      </c>
      <c r="BR61" s="1612"/>
      <c r="BS61" s="503"/>
      <c r="BT61" s="503"/>
    </row>
    <row r="62" spans="1:104" s="491" customFormat="1">
      <c r="B62" s="285"/>
      <c r="C62" s="1208" t="s">
        <v>633</v>
      </c>
      <c r="E62" s="309"/>
      <c r="F62" s="310"/>
      <c r="G62" s="310"/>
      <c r="H62" s="311"/>
      <c r="I62" s="285"/>
      <c r="J62" s="309"/>
      <c r="K62" s="310"/>
      <c r="L62" s="310"/>
      <c r="M62" s="311"/>
      <c r="N62" s="285"/>
      <c r="O62" s="309"/>
      <c r="P62" s="310"/>
      <c r="Q62" s="310"/>
      <c r="R62" s="311"/>
      <c r="S62" s="285"/>
      <c r="T62" s="296"/>
      <c r="U62" s="297"/>
      <c r="V62" s="297"/>
      <c r="W62" s="311"/>
      <c r="X62" s="285"/>
      <c r="Y62" s="296"/>
      <c r="Z62" s="297"/>
      <c r="AA62" s="297"/>
      <c r="AB62" s="311"/>
      <c r="AC62" s="285"/>
      <c r="AD62" s="296"/>
      <c r="AE62" s="297"/>
      <c r="AF62" s="297"/>
      <c r="AG62" s="506"/>
      <c r="AH62" s="298"/>
      <c r="AI62" s="296"/>
      <c r="AJ62" s="297"/>
      <c r="AK62" s="297"/>
      <c r="AL62" s="506"/>
      <c r="AM62" s="298"/>
      <c r="AN62" s="296"/>
      <c r="AO62" s="297"/>
      <c r="AP62" s="297"/>
      <c r="AQ62" s="506"/>
      <c r="AR62" s="298"/>
      <c r="AS62" s="296"/>
      <c r="AT62" s="297"/>
      <c r="AU62" s="297"/>
      <c r="AV62" s="506"/>
      <c r="AW62" s="298"/>
      <c r="AX62" s="296">
        <f>AX14-AS14</f>
        <v>-39.5</v>
      </c>
      <c r="AY62" s="297">
        <f>AY14-AT14</f>
        <v>-44.5</v>
      </c>
      <c r="AZ62" s="297">
        <f>AZ14-AU14</f>
        <v>-67.5</v>
      </c>
      <c r="BA62" s="290">
        <f>BA14-AV14</f>
        <v>-70.5</v>
      </c>
      <c r="BB62" s="298">
        <f>SUM(AX62:BA62)</f>
        <v>-222</v>
      </c>
      <c r="BC62" s="296">
        <f>BC14-AX14</f>
        <v>0</v>
      </c>
      <c r="BD62" s="297">
        <f>BD14-AY14</f>
        <v>0</v>
      </c>
      <c r="BE62" s="297">
        <f>BE14-AZ14</f>
        <v>0</v>
      </c>
      <c r="BF62" s="290">
        <f>BF14-BA14</f>
        <v>0</v>
      </c>
      <c r="BG62" s="298">
        <f>SUM(BC62:BF62)</f>
        <v>0</v>
      </c>
      <c r="BH62" s="296">
        <f>BH14-BC14</f>
        <v>0</v>
      </c>
      <c r="BI62" s="297">
        <f>BI14-BD14</f>
        <v>0</v>
      </c>
      <c r="BJ62" s="297">
        <f>BJ14-BE14</f>
        <v>0</v>
      </c>
      <c r="BK62" s="290">
        <f>BK14-BF14</f>
        <v>0</v>
      </c>
      <c r="BL62" s="298">
        <f>SUM(BH62:BK62)</f>
        <v>0</v>
      </c>
      <c r="BM62" s="296">
        <f>BM14-BH14</f>
        <v>0</v>
      </c>
      <c r="BN62" s="297">
        <f>BN14-BI14</f>
        <v>0</v>
      </c>
      <c r="BO62" s="297">
        <f>BO14-BJ14</f>
        <v>0</v>
      </c>
      <c r="BP62" s="290">
        <f>BP14-BK14</f>
        <v>0</v>
      </c>
      <c r="BQ62" s="298">
        <f>SUM(BM62:BP62)</f>
        <v>0</v>
      </c>
      <c r="BR62" s="1612"/>
      <c r="BS62" s="503"/>
    </row>
    <row r="63" spans="1:104" s="91" customFormat="1">
      <c r="B63" s="100"/>
      <c r="C63" s="1208"/>
      <c r="E63" s="235"/>
      <c r="F63" s="236"/>
      <c r="G63" s="236"/>
      <c r="H63" s="238"/>
      <c r="I63" s="352"/>
      <c r="J63" s="235"/>
      <c r="K63" s="236"/>
      <c r="L63" s="236"/>
      <c r="M63" s="238"/>
      <c r="N63" s="352"/>
      <c r="O63" s="235"/>
      <c r="P63" s="236"/>
      <c r="Q63" s="236"/>
      <c r="R63" s="238"/>
      <c r="S63" s="352"/>
      <c r="T63" s="235"/>
      <c r="U63" s="236"/>
      <c r="V63" s="236"/>
      <c r="W63" s="238"/>
      <c r="X63" s="352"/>
      <c r="Y63" s="235"/>
      <c r="Z63" s="131"/>
      <c r="AA63" s="131"/>
      <c r="AB63" s="238"/>
      <c r="AC63" s="352"/>
      <c r="AD63" s="235"/>
      <c r="AE63" s="155"/>
      <c r="AF63" s="155"/>
      <c r="AG63" s="244"/>
      <c r="AH63" s="352"/>
      <c r="AI63" s="243"/>
      <c r="AJ63" s="155"/>
      <c r="AK63" s="155"/>
      <c r="AL63" s="244"/>
      <c r="AM63" s="352"/>
      <c r="AN63" s="243"/>
      <c r="AO63" s="155"/>
      <c r="AP63" s="155"/>
      <c r="AQ63" s="244"/>
      <c r="AR63" s="352"/>
      <c r="AS63" s="243"/>
      <c r="AT63" s="155"/>
      <c r="AU63" s="155"/>
      <c r="AV63" s="244"/>
      <c r="AW63" s="352"/>
      <c r="AX63" s="243"/>
      <c r="AY63" s="155"/>
      <c r="AZ63" s="155"/>
      <c r="BA63" s="244"/>
      <c r="BB63" s="352"/>
      <c r="BC63" s="243"/>
      <c r="BD63" s="155"/>
      <c r="BE63" s="155"/>
      <c r="BF63" s="244"/>
      <c r="BG63" s="352"/>
      <c r="BH63" s="243"/>
      <c r="BI63" s="155"/>
      <c r="BJ63" s="155"/>
      <c r="BK63" s="244"/>
      <c r="BL63" s="352"/>
      <c r="BM63" s="243"/>
      <c r="BN63" s="155"/>
      <c r="BO63" s="155"/>
      <c r="BP63" s="244"/>
      <c r="BQ63" s="1889"/>
      <c r="BR63" s="1611"/>
      <c r="BS63" s="2010"/>
      <c r="BT63" s="2011"/>
      <c r="BU63" s="2011"/>
      <c r="BV63" s="2011"/>
      <c r="BW63" s="2012" t="s">
        <v>1035</v>
      </c>
      <c r="BX63" s="2012" t="s">
        <v>1036</v>
      </c>
      <c r="BY63" s="2003"/>
    </row>
    <row r="64" spans="1:104" s="497" customFormat="1">
      <c r="B64" s="498"/>
      <c r="C64" s="1208" t="s">
        <v>261</v>
      </c>
      <c r="E64" s="141"/>
      <c r="F64" s="84"/>
      <c r="G64" s="84"/>
      <c r="H64" s="142"/>
      <c r="I64" s="498"/>
      <c r="J64" s="141"/>
      <c r="K64" s="84"/>
      <c r="L64" s="84"/>
      <c r="M64" s="142"/>
      <c r="N64" s="498"/>
      <c r="O64" s="141">
        <f t="shared" ref="O64:V64" si="86">O12/J12-1</f>
        <v>-2.2284122562674091E-2</v>
      </c>
      <c r="P64" s="84">
        <f t="shared" si="86"/>
        <v>0.21450151057401823</v>
      </c>
      <c r="Q64" s="84">
        <f t="shared" si="86"/>
        <v>0.14749999999999996</v>
      </c>
      <c r="R64" s="142">
        <f t="shared" si="86"/>
        <v>0.98695652173913051</v>
      </c>
      <c r="S64" s="498">
        <f t="shared" si="86"/>
        <v>0.2643939393939394</v>
      </c>
      <c r="T64" s="141">
        <f t="shared" si="86"/>
        <v>0.33048433048433057</v>
      </c>
      <c r="U64" s="84">
        <f t="shared" si="86"/>
        <v>-2.2388059701492491E-2</v>
      </c>
      <c r="V64" s="84">
        <f t="shared" si="86"/>
        <v>-0.13289760348583879</v>
      </c>
      <c r="W64" s="142">
        <f>W12/R12-1</f>
        <v>0.54266958424507661</v>
      </c>
      <c r="X64" s="498">
        <f>X12/S12-1</f>
        <v>0.17615338526063518</v>
      </c>
      <c r="Y64" s="141">
        <f>Y12/T12-1</f>
        <v>-0.11134903640256955</v>
      </c>
      <c r="Z64" s="697">
        <f t="shared" ref="Z64:AE64" si="87">Z12/U12-1</f>
        <v>2.2900763358778553E-2</v>
      </c>
      <c r="AA64" s="697">
        <f t="shared" si="87"/>
        <v>0.14824120603015079</v>
      </c>
      <c r="AB64" s="142">
        <f t="shared" si="87"/>
        <v>-0.29219858156028367</v>
      </c>
      <c r="AC64" s="498">
        <f t="shared" si="87"/>
        <v>-9.6790626591951145E-2</v>
      </c>
      <c r="AD64" s="141">
        <f>AD12/Y12-1</f>
        <v>0.51084337349397591</v>
      </c>
      <c r="AE64" s="697">
        <f t="shared" si="87"/>
        <v>0.19402985074626855</v>
      </c>
      <c r="AF64" s="697">
        <f t="shared" ref="AF64:AK64" si="88">AF12/AA12-1</f>
        <v>3.5010940919037115E-2</v>
      </c>
      <c r="AG64" s="698">
        <f t="shared" si="88"/>
        <v>4.0080160320641323E-3</v>
      </c>
      <c r="AH64" s="853">
        <f t="shared" si="88"/>
        <v>0.173716864072194</v>
      </c>
      <c r="AI64" s="696">
        <f t="shared" si="88"/>
        <v>-4.7846889952153138E-2</v>
      </c>
      <c r="AJ64" s="697">
        <f t="shared" si="88"/>
        <v>0.12083333333333335</v>
      </c>
      <c r="AK64" s="697">
        <f t="shared" si="88"/>
        <v>0.14587737843551807</v>
      </c>
      <c r="AL64" s="698">
        <f t="shared" ref="AL64" si="89">AL12/AG12-1</f>
        <v>0.12774451097804396</v>
      </c>
      <c r="AM64" s="853">
        <f t="shared" ref="AM64:AP64" si="90">AM12/AH12-1</f>
        <v>7.7366650648726498E-2</v>
      </c>
      <c r="AN64" s="696">
        <f t="shared" si="90"/>
        <v>8.5427135678391997E-2</v>
      </c>
      <c r="AO64" s="697">
        <f t="shared" si="90"/>
        <v>7.8066914498141182E-2</v>
      </c>
      <c r="AP64" s="697">
        <f t="shared" si="90"/>
        <v>0.1346863468634687</v>
      </c>
      <c r="AQ64" s="698">
        <f t="shared" ref="AQ64" si="91">AQ12/AL12-1</f>
        <v>4.9557522123893749E-2</v>
      </c>
      <c r="AR64" s="853">
        <f t="shared" ref="AR64:AU64" si="92">AR12/AM12-1</f>
        <v>8.6529884032114257E-2</v>
      </c>
      <c r="AS64" s="696">
        <f t="shared" si="92"/>
        <v>-3.703703703703709E-2</v>
      </c>
      <c r="AT64" s="697">
        <f t="shared" si="92"/>
        <v>8.1034482758620685E-2</v>
      </c>
      <c r="AU64" s="697">
        <f t="shared" si="92"/>
        <v>8.1300813008129413E-3</v>
      </c>
      <c r="AV64" s="698">
        <f t="shared" ref="AV64" si="93">AV12/AQ12-1</f>
        <v>8.9376053962900492E-2</v>
      </c>
      <c r="AW64" s="853">
        <f t="shared" ref="AW64" si="94">AW12/AR12-1</f>
        <v>3.3251231527093639E-2</v>
      </c>
      <c r="AX64" s="141">
        <f t="shared" ref="AX64:BA65" si="95">AY64</f>
        <v>0.01</v>
      </c>
      <c r="AY64" s="84">
        <f t="shared" si="95"/>
        <v>0.01</v>
      </c>
      <c r="AZ64" s="84">
        <f t="shared" si="95"/>
        <v>0.01</v>
      </c>
      <c r="BA64" s="142">
        <f t="shared" si="95"/>
        <v>0.01</v>
      </c>
      <c r="BB64" s="502">
        <v>0.01</v>
      </c>
      <c r="BC64" s="141">
        <f t="shared" ref="BC64:BF65" si="96">BD64</f>
        <v>0.01</v>
      </c>
      <c r="BD64" s="84">
        <f t="shared" si="96"/>
        <v>0.01</v>
      </c>
      <c r="BE64" s="84">
        <f t="shared" si="96"/>
        <v>0.01</v>
      </c>
      <c r="BF64" s="142">
        <f t="shared" si="96"/>
        <v>0.01</v>
      </c>
      <c r="BG64" s="502">
        <v>0.01</v>
      </c>
      <c r="BH64" s="141">
        <f t="shared" ref="BH64:BK65" si="97">BI64</f>
        <v>0.01</v>
      </c>
      <c r="BI64" s="84">
        <f t="shared" si="97"/>
        <v>0.01</v>
      </c>
      <c r="BJ64" s="84">
        <f t="shared" si="97"/>
        <v>0.01</v>
      </c>
      <c r="BK64" s="142">
        <f t="shared" si="97"/>
        <v>0.01</v>
      </c>
      <c r="BL64" s="502">
        <v>0.01</v>
      </c>
      <c r="BM64" s="141">
        <f t="shared" ref="BM64:BM65" si="98">BN64</f>
        <v>0.01</v>
      </c>
      <c r="BN64" s="84">
        <f t="shared" ref="BN64:BN65" si="99">BO64</f>
        <v>0.01</v>
      </c>
      <c r="BO64" s="84">
        <f t="shared" ref="BO64:BO65" si="100">BP64</f>
        <v>0.01</v>
      </c>
      <c r="BP64" s="142">
        <f t="shared" ref="BP64:BP65" si="101">BQ64</f>
        <v>0.01</v>
      </c>
      <c r="BQ64" s="1926">
        <v>0.01</v>
      </c>
      <c r="BR64" s="1610"/>
      <c r="BS64" s="2013" t="s">
        <v>1025</v>
      </c>
      <c r="BT64" s="2014" t="s">
        <v>1026</v>
      </c>
      <c r="BU64" s="2014" t="s">
        <v>1032</v>
      </c>
      <c r="BV64" s="2014" t="s">
        <v>1033</v>
      </c>
      <c r="BW64" s="2014" t="s">
        <v>1034</v>
      </c>
      <c r="BX64" s="2014" t="s">
        <v>1034</v>
      </c>
      <c r="BY64" s="2005"/>
      <c r="BZ64" s="684"/>
      <c r="CA64" s="684"/>
    </row>
    <row r="65" spans="1:81" s="497" customFormat="1">
      <c r="B65" s="498"/>
      <c r="C65" s="1208" t="s">
        <v>262</v>
      </c>
      <c r="E65" s="141"/>
      <c r="F65" s="84"/>
      <c r="G65" s="84"/>
      <c r="H65" s="142"/>
      <c r="I65" s="498"/>
      <c r="J65" s="141"/>
      <c r="K65" s="84"/>
      <c r="L65" s="84"/>
      <c r="M65" s="142"/>
      <c r="N65" s="498"/>
      <c r="O65" s="141">
        <f t="shared" ref="O65:U65" si="102">O114</f>
        <v>0.14285714285714279</v>
      </c>
      <c r="P65" s="84">
        <f t="shared" si="102"/>
        <v>0.28260869565217384</v>
      </c>
      <c r="Q65" s="84">
        <f t="shared" si="102"/>
        <v>0.18562874251497008</v>
      </c>
      <c r="R65" s="142">
        <f t="shared" si="102"/>
        <v>0.13698630136986312</v>
      </c>
      <c r="S65" s="498">
        <f t="shared" si="102"/>
        <v>0.18512396694214872</v>
      </c>
      <c r="T65" s="141">
        <f t="shared" si="102"/>
        <v>7.9545454545454586E-2</v>
      </c>
      <c r="U65" s="84">
        <f t="shared" si="102"/>
        <v>-5.6497175141242972E-2</v>
      </c>
      <c r="V65" s="84">
        <f>V114</f>
        <v>-6.0606060606060552E-2</v>
      </c>
      <c r="W65" s="142">
        <f>W114</f>
        <v>-1.8072289156626509E-2</v>
      </c>
      <c r="X65" s="498">
        <f>X114</f>
        <v>-1.5341701534170138E-2</v>
      </c>
      <c r="Y65" s="141">
        <f>Y114</f>
        <v>-4.2105263157894757E-2</v>
      </c>
      <c r="Z65" s="697">
        <f t="shared" ref="Z65:AE65" si="103">Z114</f>
        <v>2.9940119760478945E-2</v>
      </c>
      <c r="AA65" s="697">
        <f t="shared" si="103"/>
        <v>-6.9892473118279619E-2</v>
      </c>
      <c r="AB65" s="142">
        <f t="shared" si="103"/>
        <v>4.2944785276073594E-2</v>
      </c>
      <c r="AC65" s="498">
        <f t="shared" si="103"/>
        <v>-1.2747875354107596E-2</v>
      </c>
      <c r="AD65" s="141">
        <f>AD114</f>
        <v>2.7472527472527375E-2</v>
      </c>
      <c r="AE65" s="697">
        <f t="shared" si="103"/>
        <v>-3.4883720930232509E-2</v>
      </c>
      <c r="AF65" s="697">
        <f t="shared" ref="AF65:AK65" si="104">AF114</f>
        <v>1.1560693641618602E-2</v>
      </c>
      <c r="AG65" s="698">
        <f t="shared" si="104"/>
        <v>-2.9411764705882359E-2</v>
      </c>
      <c r="AH65" s="853">
        <f t="shared" si="104"/>
        <v>-5.7388809182209455E-3</v>
      </c>
      <c r="AI65" s="696">
        <f t="shared" si="104"/>
        <v>1.6042780748663166E-2</v>
      </c>
      <c r="AJ65" s="697">
        <f t="shared" si="104"/>
        <v>4.8192771084337283E-2</v>
      </c>
      <c r="AK65" s="697">
        <f t="shared" si="104"/>
        <v>-1.7142857142857126E-2</v>
      </c>
      <c r="AL65" s="698">
        <f t="shared" ref="AL65:AN65" si="105">AL114</f>
        <v>1.2121212121212199E-2</v>
      </c>
      <c r="AM65" s="853">
        <f t="shared" si="105"/>
        <v>1.4430014430014459E-2</v>
      </c>
      <c r="AN65" s="696">
        <f t="shared" si="105"/>
        <v>-2.6315789473684181E-2</v>
      </c>
      <c r="AO65" s="697">
        <f>AO114</f>
        <v>-2.2988505747126409E-2</v>
      </c>
      <c r="AP65" s="697">
        <f t="shared" ref="AP65:AS65" si="106">AP114</f>
        <v>0.10465116279069764</v>
      </c>
      <c r="AQ65" s="698">
        <f t="shared" si="106"/>
        <v>4.7904191616766401E-2</v>
      </c>
      <c r="AR65" s="853">
        <f t="shared" si="106"/>
        <v>2.4182076813655806E-2</v>
      </c>
      <c r="AS65" s="696">
        <f t="shared" si="106"/>
        <v>-5.4054054054053502E-3</v>
      </c>
      <c r="AT65" s="697">
        <f>AT114</f>
        <v>2.9411764705882248E-2</v>
      </c>
      <c r="AU65" s="697">
        <f t="shared" ref="AU65:AW65" si="107">AU114</f>
        <v>-1.5789473684210575E-2</v>
      </c>
      <c r="AV65" s="698">
        <f t="shared" si="107"/>
        <v>3.4285714285714253E-2</v>
      </c>
      <c r="AW65" s="853">
        <f t="shared" si="107"/>
        <v>9.7222222222221877E-3</v>
      </c>
      <c r="AX65" s="141">
        <f t="shared" si="95"/>
        <v>0.01</v>
      </c>
      <c r="AY65" s="84">
        <f t="shared" si="95"/>
        <v>0.01</v>
      </c>
      <c r="AZ65" s="84">
        <f t="shared" si="95"/>
        <v>0.01</v>
      </c>
      <c r="BA65" s="142">
        <f t="shared" si="95"/>
        <v>0.01</v>
      </c>
      <c r="BB65" s="502">
        <v>0.01</v>
      </c>
      <c r="BC65" s="141">
        <f t="shared" si="96"/>
        <v>0.01</v>
      </c>
      <c r="BD65" s="84">
        <f t="shared" si="96"/>
        <v>0.01</v>
      </c>
      <c r="BE65" s="84">
        <f t="shared" si="96"/>
        <v>0.01</v>
      </c>
      <c r="BF65" s="142">
        <f t="shared" si="96"/>
        <v>0.01</v>
      </c>
      <c r="BG65" s="502">
        <v>0.01</v>
      </c>
      <c r="BH65" s="141">
        <f t="shared" si="97"/>
        <v>0.01</v>
      </c>
      <c r="BI65" s="84">
        <f t="shared" si="97"/>
        <v>0.01</v>
      </c>
      <c r="BJ65" s="84">
        <f t="shared" si="97"/>
        <v>0.01</v>
      </c>
      <c r="BK65" s="142">
        <f t="shared" si="97"/>
        <v>0.01</v>
      </c>
      <c r="BL65" s="502">
        <v>0.01</v>
      </c>
      <c r="BM65" s="141">
        <f t="shared" si="98"/>
        <v>0.01</v>
      </c>
      <c r="BN65" s="84">
        <f t="shared" si="99"/>
        <v>0.01</v>
      </c>
      <c r="BO65" s="84">
        <f t="shared" si="100"/>
        <v>0.01</v>
      </c>
      <c r="BP65" s="142">
        <f t="shared" si="101"/>
        <v>0.01</v>
      </c>
      <c r="BQ65" s="1926">
        <v>0.01</v>
      </c>
      <c r="BR65" s="1610"/>
      <c r="BS65" s="1971" t="s">
        <v>1027</v>
      </c>
      <c r="BT65" s="1972"/>
      <c r="BU65" s="1972"/>
      <c r="BV65" s="1972"/>
      <c r="BW65" s="1972"/>
      <c r="BX65" s="1972"/>
      <c r="BY65" s="2004" t="s">
        <v>215</v>
      </c>
    </row>
    <row r="66" spans="1:81" s="91" customFormat="1">
      <c r="B66" s="87"/>
      <c r="C66" s="1208"/>
      <c r="E66" s="235"/>
      <c r="F66" s="236"/>
      <c r="G66" s="236"/>
      <c r="H66" s="238"/>
      <c r="I66" s="352"/>
      <c r="J66" s="235"/>
      <c r="K66" s="236"/>
      <c r="L66" s="236"/>
      <c r="M66" s="238"/>
      <c r="N66" s="352"/>
      <c r="O66" s="235"/>
      <c r="P66" s="236"/>
      <c r="Q66" s="236"/>
      <c r="R66" s="238"/>
      <c r="S66" s="352"/>
      <c r="T66" s="235"/>
      <c r="U66" s="236"/>
      <c r="V66" s="236"/>
      <c r="W66" s="238"/>
      <c r="X66" s="352"/>
      <c r="Y66" s="235"/>
      <c r="Z66" s="131"/>
      <c r="AA66" s="131"/>
      <c r="AB66" s="238"/>
      <c r="AC66" s="352"/>
      <c r="AD66" s="235"/>
      <c r="AE66" s="131"/>
      <c r="AF66" s="131"/>
      <c r="AG66" s="132"/>
      <c r="AH66" s="1889"/>
      <c r="AI66" s="130"/>
      <c r="AJ66" s="131"/>
      <c r="AK66" s="131"/>
      <c r="AL66" s="132"/>
      <c r="AM66" s="1889"/>
      <c r="AN66" s="130"/>
      <c r="AO66" s="131"/>
      <c r="AP66" s="131"/>
      <c r="AQ66" s="132"/>
      <c r="AR66" s="1889"/>
      <c r="AS66" s="130"/>
      <c r="AT66" s="131"/>
      <c r="AU66" s="131"/>
      <c r="AV66" s="132"/>
      <c r="AW66" s="1889"/>
      <c r="AX66" s="235"/>
      <c r="AY66" s="236"/>
      <c r="AZ66" s="236"/>
      <c r="BA66" s="238"/>
      <c r="BB66" s="352"/>
      <c r="BC66" s="235"/>
      <c r="BD66" s="236"/>
      <c r="BE66" s="236"/>
      <c r="BF66" s="238"/>
      <c r="BG66" s="352"/>
      <c r="BH66" s="235"/>
      <c r="BI66" s="236"/>
      <c r="BJ66" s="236"/>
      <c r="BK66" s="238"/>
      <c r="BL66" s="352"/>
      <c r="BM66" s="235"/>
      <c r="BN66" s="236"/>
      <c r="BO66" s="236"/>
      <c r="BP66" s="238"/>
      <c r="BQ66" s="2217"/>
      <c r="BR66" s="1611"/>
      <c r="BS66" s="1973" t="s">
        <v>1044</v>
      </c>
      <c r="BT66" s="1888">
        <v>2089</v>
      </c>
      <c r="BU66" s="1888">
        <f>1410</f>
        <v>1410</v>
      </c>
      <c r="BV66" s="1888">
        <f>1540</f>
        <v>1540</v>
      </c>
      <c r="BW66" s="1888">
        <f>360</f>
        <v>360</v>
      </c>
      <c r="BX66" s="1888">
        <f>1290</f>
        <v>1290</v>
      </c>
      <c r="BY66" s="2006">
        <f>SUM(BT66:BX66)</f>
        <v>6689</v>
      </c>
      <c r="BZ66" s="1968"/>
    </row>
    <row r="67" spans="1:81" s="497" customFormat="1">
      <c r="B67" s="498"/>
      <c r="C67" s="1208" t="s">
        <v>294</v>
      </c>
      <c r="E67" s="141"/>
      <c r="F67" s="84"/>
      <c r="G67" s="84"/>
      <c r="H67" s="142"/>
      <c r="I67" s="498"/>
      <c r="J67" s="141"/>
      <c r="K67" s="84"/>
      <c r="L67" s="84"/>
      <c r="M67" s="142"/>
      <c r="N67" s="498"/>
      <c r="O67" s="141">
        <f t="shared" ref="O67:U67" si="108">O31/O29</f>
        <v>0.37662337662337664</v>
      </c>
      <c r="P67" s="84">
        <f t="shared" si="108"/>
        <v>0.36900369003690037</v>
      </c>
      <c r="Q67" s="84">
        <f t="shared" si="108"/>
        <v>0.36936936936936937</v>
      </c>
      <c r="R67" s="142">
        <f t="shared" si="108"/>
        <v>0.37234042553191488</v>
      </c>
      <c r="S67" s="498">
        <f t="shared" si="108"/>
        <v>0.37032258064516127</v>
      </c>
      <c r="T67" s="141">
        <f t="shared" si="108"/>
        <v>0.36904761904761907</v>
      </c>
      <c r="U67" s="84">
        <f t="shared" si="108"/>
        <v>0.36862745098039218</v>
      </c>
      <c r="V67" s="84">
        <f>V31/V29</f>
        <v>0.37004405286343611</v>
      </c>
      <c r="W67" s="142">
        <f>W31/W29</f>
        <v>0.47619047619047616</v>
      </c>
      <c r="X67" s="498">
        <f>X31/X29</f>
        <v>0.3532934131736527</v>
      </c>
      <c r="Y67" s="141">
        <f>Y31/Y29</f>
        <v>0.375</v>
      </c>
      <c r="Z67" s="697">
        <f t="shared" ref="Z67:AE67" si="109">Z31/Z29</f>
        <v>0.37630662020905925</v>
      </c>
      <c r="AA67" s="697">
        <f t="shared" si="109"/>
        <v>0.37037037037037035</v>
      </c>
      <c r="AB67" s="142">
        <f t="shared" si="109"/>
        <v>0.38636363636363635</v>
      </c>
      <c r="AC67" s="498">
        <f t="shared" si="109"/>
        <v>0.37531172069825436</v>
      </c>
      <c r="AD67" s="141">
        <f>AD31/AD29</f>
        <v>0.36873156342182889</v>
      </c>
      <c r="AE67" s="697">
        <f t="shared" si="109"/>
        <v>0.32765957446808508</v>
      </c>
      <c r="AF67" s="697">
        <f t="shared" ref="AF67:AK67" si="110">AF31/AF29</f>
        <v>0.35327635327635326</v>
      </c>
      <c r="AG67" s="698">
        <f t="shared" si="110"/>
        <v>0.42489270386266093</v>
      </c>
      <c r="AH67" s="853">
        <f t="shared" si="110"/>
        <v>0.32803468208092484</v>
      </c>
      <c r="AI67" s="696">
        <f t="shared" si="110"/>
        <v>0.36969696969696969</v>
      </c>
      <c r="AJ67" s="697">
        <f t="shared" si="110"/>
        <v>0.36842105263157893</v>
      </c>
      <c r="AK67" s="697">
        <f t="shared" si="110"/>
        <v>0.3692722371967655</v>
      </c>
      <c r="AL67" s="698">
        <f t="shared" ref="AL67:AP67" si="111">AL31/AL29</f>
        <v>-0.66666666666666663</v>
      </c>
      <c r="AM67" s="853">
        <f t="shared" si="111"/>
        <v>0.35625000000000001</v>
      </c>
      <c r="AN67" s="696">
        <f t="shared" si="111"/>
        <v>0.37262357414448671</v>
      </c>
      <c r="AO67" s="697">
        <f t="shared" si="111"/>
        <v>0.36521739130434783</v>
      </c>
      <c r="AP67" s="697">
        <f t="shared" si="111"/>
        <v>0.37111111111111111</v>
      </c>
      <c r="AQ67" s="698">
        <f t="shared" ref="AQ67:AU67" si="112">AQ31/AQ29</f>
        <v>0.31325301204819278</v>
      </c>
      <c r="AR67" s="853">
        <f t="shared" si="112"/>
        <v>0.36549707602339182</v>
      </c>
      <c r="AS67" s="696">
        <f t="shared" si="112"/>
        <v>0.36799999999999999</v>
      </c>
      <c r="AT67" s="697">
        <f t="shared" si="112"/>
        <v>0.37116564417177916</v>
      </c>
      <c r="AU67" s="697">
        <f t="shared" si="112"/>
        <v>0.36820925553319922</v>
      </c>
      <c r="AV67" s="698">
        <f t="shared" ref="AV67:AW67" si="113">AV31/AV29</f>
        <v>0.46308724832214765</v>
      </c>
      <c r="AW67" s="853">
        <f t="shared" si="113"/>
        <v>0.38770053475935828</v>
      </c>
      <c r="AX67" s="141">
        <f>BB67</f>
        <v>0.26</v>
      </c>
      <c r="AY67" s="84">
        <f>BB67</f>
        <v>0.26</v>
      </c>
      <c r="AZ67" s="84">
        <f>BB67</f>
        <v>0.26</v>
      </c>
      <c r="BA67" s="142">
        <f>BB67</f>
        <v>0.26</v>
      </c>
      <c r="BB67" s="502">
        <v>0.26</v>
      </c>
      <c r="BC67" s="141">
        <f>BG67</f>
        <v>0.26</v>
      </c>
      <c r="BD67" s="84">
        <f>BG67</f>
        <v>0.26</v>
      </c>
      <c r="BE67" s="84">
        <f>BG67</f>
        <v>0.26</v>
      </c>
      <c r="BF67" s="142">
        <f>BG67</f>
        <v>0.26</v>
      </c>
      <c r="BG67" s="502">
        <v>0.26</v>
      </c>
      <c r="BH67" s="141">
        <f>BL67</f>
        <v>0.26</v>
      </c>
      <c r="BI67" s="84">
        <f>BL67</f>
        <v>0.26</v>
      </c>
      <c r="BJ67" s="84">
        <f>BL67</f>
        <v>0.26</v>
      </c>
      <c r="BK67" s="142">
        <f>BL67</f>
        <v>0.26</v>
      </c>
      <c r="BL67" s="502">
        <v>0.26</v>
      </c>
      <c r="BM67" s="141">
        <f>BQ67</f>
        <v>0.26</v>
      </c>
      <c r="BN67" s="84">
        <f>BQ67</f>
        <v>0.26</v>
      </c>
      <c r="BO67" s="84">
        <f>BQ67</f>
        <v>0.26</v>
      </c>
      <c r="BP67" s="142">
        <f>BQ67</f>
        <v>0.26</v>
      </c>
      <c r="BQ67" s="1926">
        <v>0.26</v>
      </c>
      <c r="BR67" s="1610"/>
      <c r="BS67" s="1974" t="s">
        <v>293</v>
      </c>
      <c r="BT67" s="1926">
        <v>0.5</v>
      </c>
      <c r="BU67" s="1926">
        <v>0.5</v>
      </c>
      <c r="BV67" s="1926">
        <v>0.499</v>
      </c>
      <c r="BW67" s="1926">
        <v>0.501</v>
      </c>
      <c r="BX67" s="1926">
        <v>0.501</v>
      </c>
      <c r="BY67" s="1989">
        <f>SUMPRODUCT(BT67:BX67,BT66:BX66)/SUM(BT66:BX66)</f>
        <v>0.50001644490955299</v>
      </c>
      <c r="BZ67" s="1969"/>
    </row>
    <row r="68" spans="1:81" s="497" customFormat="1">
      <c r="B68" s="498"/>
      <c r="C68" s="1208"/>
      <c r="E68" s="141"/>
      <c r="F68" s="84"/>
      <c r="G68" s="84"/>
      <c r="H68" s="142"/>
      <c r="I68" s="498"/>
      <c r="J68" s="141"/>
      <c r="K68" s="84"/>
      <c r="L68" s="84"/>
      <c r="M68" s="142"/>
      <c r="N68" s="498"/>
      <c r="O68" s="141"/>
      <c r="P68" s="84"/>
      <c r="Q68" s="84"/>
      <c r="R68" s="142"/>
      <c r="S68" s="498"/>
      <c r="T68" s="141"/>
      <c r="U68" s="84"/>
      <c r="V68" s="84"/>
      <c r="W68" s="142"/>
      <c r="X68" s="498"/>
      <c r="Y68" s="141"/>
      <c r="Z68" s="697"/>
      <c r="AA68" s="697"/>
      <c r="AB68" s="142"/>
      <c r="AC68" s="498"/>
      <c r="AD68" s="141"/>
      <c r="AE68" s="697"/>
      <c r="AF68" s="697"/>
      <c r="AG68" s="698"/>
      <c r="AH68" s="853"/>
      <c r="AI68" s="696"/>
      <c r="AJ68" s="697"/>
      <c r="AK68" s="697"/>
      <c r="AL68" s="698"/>
      <c r="AM68" s="853"/>
      <c r="AN68" s="696"/>
      <c r="AO68" s="697"/>
      <c r="AP68" s="697"/>
      <c r="AQ68" s="698"/>
      <c r="AR68" s="853"/>
      <c r="AS68" s="696"/>
      <c r="AT68" s="697"/>
      <c r="AU68" s="697"/>
      <c r="AV68" s="698"/>
      <c r="AW68" s="853"/>
      <c r="AX68" s="141"/>
      <c r="AY68" s="84"/>
      <c r="AZ68" s="84"/>
      <c r="BA68" s="142"/>
      <c r="BB68" s="498"/>
      <c r="BC68" s="141"/>
      <c r="BD68" s="84"/>
      <c r="BE68" s="84"/>
      <c r="BF68" s="142"/>
      <c r="BG68" s="498"/>
      <c r="BH68" s="141"/>
      <c r="BI68" s="84"/>
      <c r="BJ68" s="84"/>
      <c r="BK68" s="142"/>
      <c r="BL68" s="498"/>
      <c r="BM68" s="141"/>
      <c r="BN68" s="84"/>
      <c r="BO68" s="84"/>
      <c r="BP68" s="142"/>
      <c r="BQ68" s="498"/>
      <c r="BR68" s="1610"/>
      <c r="BS68" s="1973" t="s">
        <v>1029</v>
      </c>
      <c r="BT68" s="1926">
        <v>9.7500000000000003E-2</v>
      </c>
      <c r="BU68" s="1926">
        <v>0.1</v>
      </c>
      <c r="BV68" s="1926">
        <v>0.1</v>
      </c>
      <c r="BW68" s="1926">
        <v>0.1</v>
      </c>
      <c r="BX68" s="1926">
        <v>0.1</v>
      </c>
      <c r="BY68" s="1989">
        <f>SUMPRODUCT(BT68:BX68,BT66:BX66)/SUM(BT66:BX66)</f>
        <v>9.9219240544177009E-2</v>
      </c>
      <c r="BZ68" s="1969"/>
    </row>
    <row r="69" spans="1:81" s="497" customFormat="1">
      <c r="B69" s="498"/>
      <c r="C69" s="1208" t="s">
        <v>366</v>
      </c>
      <c r="E69" s="141"/>
      <c r="F69" s="84"/>
      <c r="G69" s="84"/>
      <c r="H69" s="142"/>
      <c r="I69" s="498"/>
      <c r="J69" s="141">
        <f>J217</f>
        <v>0</v>
      </c>
      <c r="K69" s="84">
        <f>K217</f>
        <v>0</v>
      </c>
      <c r="L69" s="84">
        <f>L217</f>
        <v>0</v>
      </c>
      <c r="M69" s="142">
        <f>M217</f>
        <v>0</v>
      </c>
      <c r="N69" s="498"/>
      <c r="O69" s="141"/>
      <c r="P69" s="84"/>
      <c r="Q69" s="84"/>
      <c r="R69" s="142"/>
      <c r="S69" s="498"/>
      <c r="T69" s="141">
        <f t="shared" ref="T69:Y69" si="114">T217</f>
        <v>0.105</v>
      </c>
      <c r="U69" s="84">
        <f t="shared" si="114"/>
        <v>0.105</v>
      </c>
      <c r="V69" s="84">
        <f t="shared" si="114"/>
        <v>0.105</v>
      </c>
      <c r="W69" s="142">
        <f t="shared" si="114"/>
        <v>0.105</v>
      </c>
      <c r="X69" s="498">
        <f t="shared" si="114"/>
        <v>0.105</v>
      </c>
      <c r="Y69" s="141">
        <f t="shared" si="114"/>
        <v>0.105</v>
      </c>
      <c r="Z69" s="697">
        <f t="shared" ref="Z69:AE69" si="115">Z217</f>
        <v>0.105</v>
      </c>
      <c r="AA69" s="697">
        <f t="shared" si="115"/>
        <v>0.105</v>
      </c>
      <c r="AB69" s="142">
        <f t="shared" si="115"/>
        <v>0.105</v>
      </c>
      <c r="AC69" s="498">
        <f t="shared" si="115"/>
        <v>0.105</v>
      </c>
      <c r="AD69" s="141">
        <f t="shared" si="115"/>
        <v>0.105</v>
      </c>
      <c r="AE69" s="697">
        <f t="shared" si="115"/>
        <v>0.105</v>
      </c>
      <c r="AF69" s="697">
        <f t="shared" ref="AF69:AK69" si="116">AF217</f>
        <v>0.105</v>
      </c>
      <c r="AG69" s="698">
        <f t="shared" si="116"/>
        <v>0.105</v>
      </c>
      <c r="AH69" s="853">
        <f t="shared" si="116"/>
        <v>0.105</v>
      </c>
      <c r="AI69" s="696">
        <f t="shared" si="116"/>
        <v>0.105</v>
      </c>
      <c r="AJ69" s="697">
        <f t="shared" si="116"/>
        <v>0.105</v>
      </c>
      <c r="AK69" s="697">
        <f t="shared" si="116"/>
        <v>0.105</v>
      </c>
      <c r="AL69" s="698">
        <f t="shared" ref="AL69:AP69" si="117">AL217</f>
        <v>0.105</v>
      </c>
      <c r="AM69" s="853">
        <f t="shared" si="117"/>
        <v>0.105</v>
      </c>
      <c r="AN69" s="696">
        <f t="shared" si="117"/>
        <v>0.105</v>
      </c>
      <c r="AO69" s="697">
        <f t="shared" si="117"/>
        <v>0.105</v>
      </c>
      <c r="AP69" s="697">
        <f t="shared" si="117"/>
        <v>0.105</v>
      </c>
      <c r="AQ69" s="698">
        <f t="shared" ref="AQ69:AU69" si="118">AQ217</f>
        <v>0.105</v>
      </c>
      <c r="AR69" s="853">
        <f t="shared" si="118"/>
        <v>0.105</v>
      </c>
      <c r="AS69" s="696">
        <f t="shared" si="118"/>
        <v>0.105</v>
      </c>
      <c r="AT69" s="697">
        <f t="shared" si="118"/>
        <v>0.105</v>
      </c>
      <c r="AU69" s="697">
        <f t="shared" si="118"/>
        <v>0.105</v>
      </c>
      <c r="AV69" s="698">
        <f t="shared" ref="AV69:AW69" si="119">AV217</f>
        <v>0.105</v>
      </c>
      <c r="AW69" s="853">
        <f t="shared" si="119"/>
        <v>0.105</v>
      </c>
      <c r="AX69" s="141">
        <f t="shared" ref="AX69:BB69" si="120">AX217</f>
        <v>0.105</v>
      </c>
      <c r="AY69" s="84">
        <f t="shared" si="120"/>
        <v>0.105</v>
      </c>
      <c r="AZ69" s="84">
        <f t="shared" si="120"/>
        <v>0.105</v>
      </c>
      <c r="BA69" s="142">
        <f t="shared" si="120"/>
        <v>0.105</v>
      </c>
      <c r="BB69" s="498">
        <f t="shared" si="120"/>
        <v>0.105</v>
      </c>
      <c r="BC69" s="141">
        <f t="shared" ref="BC69:BL69" si="121">BC217</f>
        <v>0.105</v>
      </c>
      <c r="BD69" s="84">
        <f t="shared" si="121"/>
        <v>0.105</v>
      </c>
      <c r="BE69" s="84">
        <f t="shared" si="121"/>
        <v>0.105</v>
      </c>
      <c r="BF69" s="142">
        <f t="shared" si="121"/>
        <v>0.105</v>
      </c>
      <c r="BG69" s="498">
        <f t="shared" si="121"/>
        <v>0.105</v>
      </c>
      <c r="BH69" s="141">
        <f t="shared" si="121"/>
        <v>0.105</v>
      </c>
      <c r="BI69" s="84">
        <f t="shared" si="121"/>
        <v>0.105</v>
      </c>
      <c r="BJ69" s="84">
        <f t="shared" si="121"/>
        <v>0.105</v>
      </c>
      <c r="BK69" s="142">
        <f t="shared" si="121"/>
        <v>0.105</v>
      </c>
      <c r="BL69" s="498">
        <f t="shared" si="121"/>
        <v>0.105</v>
      </c>
      <c r="BM69" s="141">
        <f t="shared" ref="BM69:BQ69" si="122">BM217</f>
        <v>0.105</v>
      </c>
      <c r="BN69" s="84">
        <f t="shared" si="122"/>
        <v>0.105</v>
      </c>
      <c r="BO69" s="84">
        <f t="shared" si="122"/>
        <v>0.105</v>
      </c>
      <c r="BP69" s="142">
        <f t="shared" si="122"/>
        <v>0.105</v>
      </c>
      <c r="BQ69" s="498">
        <f t="shared" si="122"/>
        <v>0.105</v>
      </c>
      <c r="BR69" s="1610"/>
      <c r="BS69" s="1980" t="s">
        <v>1043</v>
      </c>
      <c r="BT69" s="1982">
        <f>'Utility Detail'!AH62</f>
        <v>101</v>
      </c>
      <c r="BU69" s="1982">
        <f>'Utility Detail'!AH63</f>
        <v>88</v>
      </c>
      <c r="BV69" s="1982">
        <f>'Utility Detail'!AH64</f>
        <v>92</v>
      </c>
      <c r="BW69" s="1982">
        <f>BW66*BW67*BW68</f>
        <v>18.036000000000001</v>
      </c>
      <c r="BX69" s="1982">
        <f>'Utility Detail'!AH67</f>
        <v>97</v>
      </c>
      <c r="BY69" s="2007">
        <f>SUM(BT69:BX69)</f>
        <v>396.036</v>
      </c>
    </row>
    <row r="70" spans="1:81" s="497" customFormat="1">
      <c r="B70" s="498"/>
      <c r="C70" s="1208" t="s">
        <v>641</v>
      </c>
      <c r="E70" s="141"/>
      <c r="F70" s="84"/>
      <c r="G70" s="84"/>
      <c r="H70" s="142"/>
      <c r="I70" s="498"/>
      <c r="J70" s="141">
        <f t="shared" ref="J70:M71" si="123">J217</f>
        <v>0</v>
      </c>
      <c r="K70" s="84">
        <f t="shared" si="123"/>
        <v>0</v>
      </c>
      <c r="L70" s="84">
        <f t="shared" si="123"/>
        <v>0</v>
      </c>
      <c r="M70" s="142">
        <f t="shared" si="123"/>
        <v>0</v>
      </c>
      <c r="N70" s="498"/>
      <c r="O70" s="141"/>
      <c r="P70" s="84"/>
      <c r="Q70" s="84"/>
      <c r="R70" s="142"/>
      <c r="S70" s="498"/>
      <c r="T70" s="141"/>
      <c r="U70" s="84"/>
      <c r="V70" s="84"/>
      <c r="W70" s="142"/>
      <c r="X70" s="498">
        <f>X218</f>
        <v>0.15485737304361505</v>
      </c>
      <c r="Y70" s="141"/>
      <c r="Z70" s="697"/>
      <c r="AA70" s="697"/>
      <c r="AB70" s="142"/>
      <c r="AC70" s="498">
        <f>AC218</f>
        <v>0.15022363534616481</v>
      </c>
      <c r="AD70" s="141"/>
      <c r="AE70" s="84"/>
      <c r="AF70" s="84"/>
      <c r="AG70" s="142"/>
      <c r="AH70" s="498">
        <f>AH218</f>
        <v>0.13073593829134431</v>
      </c>
      <c r="AI70" s="141"/>
      <c r="AJ70" s="84"/>
      <c r="AK70" s="84"/>
      <c r="AL70" s="142"/>
      <c r="AM70" s="498">
        <f>AM218</f>
        <v>0.11367333913358832</v>
      </c>
      <c r="AN70" s="141"/>
      <c r="AO70" s="84"/>
      <c r="AP70" s="84"/>
      <c r="AQ70" s="142"/>
      <c r="AR70" s="498">
        <f>AR218</f>
        <v>0.11088492280733873</v>
      </c>
      <c r="AS70" s="141"/>
      <c r="AT70" s="84"/>
      <c r="AU70" s="84"/>
      <c r="AV70" s="142"/>
      <c r="AW70" s="498">
        <f>AW218</f>
        <v>0.14492782682165922</v>
      </c>
      <c r="AX70" s="141"/>
      <c r="AY70" s="84"/>
      <c r="AZ70" s="84"/>
      <c r="BA70" s="142"/>
      <c r="BB70" s="498">
        <f>BB218</f>
        <v>0.16046972831751291</v>
      </c>
      <c r="BC70" s="141"/>
      <c r="BD70" s="84"/>
      <c r="BE70" s="84"/>
      <c r="BF70" s="142"/>
      <c r="BG70" s="498">
        <f>BG218</f>
        <v>0.15943469954184455</v>
      </c>
      <c r="BH70" s="141"/>
      <c r="BI70" s="84"/>
      <c r="BJ70" s="84"/>
      <c r="BK70" s="142"/>
      <c r="BL70" s="498">
        <f>BL218</f>
        <v>0.13769931246550327</v>
      </c>
      <c r="BM70" s="141"/>
      <c r="BN70" s="84"/>
      <c r="BO70" s="84"/>
      <c r="BP70" s="142"/>
      <c r="BQ70" s="498">
        <f>BQ218</f>
        <v>0.13830042158689396</v>
      </c>
      <c r="BR70" s="1610"/>
      <c r="BS70" s="1981" t="s">
        <v>1042</v>
      </c>
      <c r="BT70" s="1983">
        <f>BT69/(BT66*BT67)</f>
        <v>9.6696984202967934E-2</v>
      </c>
      <c r="BU70" s="1983">
        <f t="shared" ref="BU70:BY70" si="124">BU69/(BU66*BU67)</f>
        <v>0.12482269503546099</v>
      </c>
      <c r="BV70" s="1983">
        <f t="shared" si="124"/>
        <v>0.11971995939931811</v>
      </c>
      <c r="BW70" s="1983">
        <f t="shared" si="124"/>
        <v>0.1</v>
      </c>
      <c r="BX70" s="1983">
        <f t="shared" si="124"/>
        <v>0.15008742205511458</v>
      </c>
      <c r="BY70" s="2005">
        <f t="shared" si="124"/>
        <v>0.11841021823172208</v>
      </c>
    </row>
    <row r="71" spans="1:81" s="497" customFormat="1">
      <c r="B71" s="498"/>
      <c r="C71" s="1208" t="s">
        <v>640</v>
      </c>
      <c r="E71" s="141"/>
      <c r="F71" s="84"/>
      <c r="G71" s="84"/>
      <c r="H71" s="142"/>
      <c r="I71" s="498"/>
      <c r="J71" s="141">
        <f t="shared" si="123"/>
        <v>0</v>
      </c>
      <c r="K71" s="84">
        <f t="shared" si="123"/>
        <v>0</v>
      </c>
      <c r="L71" s="84">
        <f t="shared" si="123"/>
        <v>0</v>
      </c>
      <c r="M71" s="142">
        <f t="shared" si="123"/>
        <v>0</v>
      </c>
      <c r="N71" s="498"/>
      <c r="O71" s="141"/>
      <c r="P71" s="84"/>
      <c r="Q71" s="84"/>
      <c r="R71" s="142"/>
      <c r="S71" s="498"/>
      <c r="T71" s="141"/>
      <c r="U71" s="84"/>
      <c r="V71" s="84"/>
      <c r="W71" s="142"/>
      <c r="X71" s="498">
        <f>X219</f>
        <v>0.18636239220463066</v>
      </c>
      <c r="Y71" s="141"/>
      <c r="Z71" s="697"/>
      <c r="AA71" s="697"/>
      <c r="AB71" s="142"/>
      <c r="AC71" s="498">
        <f>AC219</f>
        <v>0.17501429458644979</v>
      </c>
      <c r="AD71" s="141"/>
      <c r="AE71" s="84"/>
      <c r="AF71" s="84"/>
      <c r="AG71" s="142"/>
      <c r="AH71" s="498">
        <f>AH219</f>
        <v>0.14778017298809246</v>
      </c>
      <c r="AI71" s="141"/>
      <c r="AJ71" s="84"/>
      <c r="AK71" s="84"/>
      <c r="AL71" s="142"/>
      <c r="AM71" s="498">
        <f>AM219</f>
        <v>0.12645766567938019</v>
      </c>
      <c r="AN71" s="141"/>
      <c r="AO71" s="84"/>
      <c r="AP71" s="84"/>
      <c r="AQ71" s="142"/>
      <c r="AR71" s="498">
        <f>AR219</f>
        <v>0.11495976702122478</v>
      </c>
      <c r="AS71" s="141"/>
      <c r="AT71" s="84"/>
      <c r="AU71" s="84"/>
      <c r="AV71" s="142"/>
      <c r="AW71" s="498">
        <f>AW219</f>
        <v>0.1409055548076226</v>
      </c>
      <c r="AX71" s="141"/>
      <c r="AY71" s="84"/>
      <c r="AZ71" s="84"/>
      <c r="BA71" s="142"/>
      <c r="BB71" s="498">
        <f>BB219</f>
        <v>0.1558814810299006</v>
      </c>
      <c r="BC71" s="141"/>
      <c r="BD71" s="84"/>
      <c r="BE71" s="84"/>
      <c r="BF71" s="142"/>
      <c r="BG71" s="498">
        <f>BG219</f>
        <v>0.1553755075564251</v>
      </c>
      <c r="BH71" s="141"/>
      <c r="BI71" s="84"/>
      <c r="BJ71" s="84"/>
      <c r="BK71" s="142"/>
      <c r="BL71" s="498">
        <f>BL219</f>
        <v>0.13399448044665097</v>
      </c>
      <c r="BM71" s="141"/>
      <c r="BN71" s="84"/>
      <c r="BO71" s="84"/>
      <c r="BP71" s="142"/>
      <c r="BQ71" s="498">
        <f>BQ219</f>
        <v>0.13380842337583171</v>
      </c>
      <c r="BR71" s="1610"/>
      <c r="BS71" s="1979" t="s">
        <v>1028</v>
      </c>
      <c r="BT71" s="498"/>
      <c r="BU71" s="498"/>
      <c r="BV71" s="498"/>
      <c r="BW71" s="498"/>
      <c r="BX71" s="498"/>
      <c r="BY71" s="2005"/>
    </row>
    <row r="72" spans="1:81" s="92" customFormat="1">
      <c r="A72" s="139"/>
      <c r="B72" s="91"/>
      <c r="C72" s="1224"/>
      <c r="D72" s="740"/>
      <c r="E72" s="163"/>
      <c r="F72" s="164"/>
      <c r="G72" s="164"/>
      <c r="H72" s="165"/>
      <c r="I72" s="741"/>
      <c r="J72" s="163"/>
      <c r="K72" s="164"/>
      <c r="L72" s="164"/>
      <c r="M72" s="165"/>
      <c r="N72" s="741"/>
      <c r="O72" s="163"/>
      <c r="P72" s="164"/>
      <c r="Q72" s="164"/>
      <c r="R72" s="165"/>
      <c r="S72" s="741"/>
      <c r="T72" s="163"/>
      <c r="U72" s="164"/>
      <c r="V72" s="164"/>
      <c r="W72" s="165"/>
      <c r="X72" s="741"/>
      <c r="Y72" s="163"/>
      <c r="Z72" s="164"/>
      <c r="AA72" s="164"/>
      <c r="AB72" s="165"/>
      <c r="AC72" s="741"/>
      <c r="AD72" s="163"/>
      <c r="AE72" s="164"/>
      <c r="AF72" s="164"/>
      <c r="AG72" s="165"/>
      <c r="AH72" s="741"/>
      <c r="AI72" s="163"/>
      <c r="AJ72" s="164"/>
      <c r="AK72" s="164"/>
      <c r="AL72" s="165"/>
      <c r="AM72" s="741"/>
      <c r="AN72" s="163"/>
      <c r="AO72" s="164"/>
      <c r="AP72" s="164"/>
      <c r="AQ72" s="165"/>
      <c r="AR72" s="741"/>
      <c r="AS72" s="163"/>
      <c r="AT72" s="164"/>
      <c r="AU72" s="164"/>
      <c r="AV72" s="165"/>
      <c r="AW72" s="741"/>
      <c r="AX72" s="163"/>
      <c r="AY72" s="164"/>
      <c r="AZ72" s="164"/>
      <c r="BA72" s="165"/>
      <c r="BB72" s="741"/>
      <c r="BC72" s="163"/>
      <c r="BD72" s="164"/>
      <c r="BE72" s="164"/>
      <c r="BF72" s="165"/>
      <c r="BG72" s="741"/>
      <c r="BH72" s="163"/>
      <c r="BI72" s="164"/>
      <c r="BJ72" s="164"/>
      <c r="BK72" s="165"/>
      <c r="BL72" s="741"/>
      <c r="BM72" s="163"/>
      <c r="BN72" s="164"/>
      <c r="BO72" s="164"/>
      <c r="BP72" s="165"/>
      <c r="BQ72" s="741"/>
      <c r="BR72" s="125"/>
      <c r="BS72" s="1973" t="s">
        <v>1044</v>
      </c>
      <c r="BT72" s="1888">
        <v>2229.134</v>
      </c>
      <c r="BU72" s="1888">
        <v>1405</v>
      </c>
      <c r="BV72" s="1888">
        <v>1631</v>
      </c>
      <c r="BW72" s="1888">
        <v>414</v>
      </c>
      <c r="BX72" s="1888">
        <v>1364</v>
      </c>
      <c r="BY72" s="2006">
        <f>SUM(BT72:BX72)</f>
        <v>7043.134</v>
      </c>
    </row>
    <row r="73" spans="1:81" s="92" customFormat="1">
      <c r="A73" s="139"/>
      <c r="B73" s="91"/>
      <c r="C73" s="1187"/>
      <c r="D73" s="89"/>
      <c r="E73" s="133"/>
      <c r="F73" s="134"/>
      <c r="G73" s="134"/>
      <c r="H73" s="135"/>
      <c r="I73" s="125"/>
      <c r="J73" s="133"/>
      <c r="K73" s="134"/>
      <c r="L73" s="134"/>
      <c r="M73" s="135"/>
      <c r="N73" s="125"/>
      <c r="O73" s="133"/>
      <c r="P73" s="134"/>
      <c r="Q73" s="134"/>
      <c r="R73" s="135"/>
      <c r="S73" s="125"/>
      <c r="T73" s="133"/>
      <c r="U73" s="134"/>
      <c r="V73" s="134"/>
      <c r="W73" s="135"/>
      <c r="X73" s="125"/>
      <c r="Y73" s="133"/>
      <c r="Z73" s="134"/>
      <c r="AA73" s="134"/>
      <c r="AB73" s="135"/>
      <c r="AC73" s="125"/>
      <c r="AD73" s="133"/>
      <c r="AE73" s="134"/>
      <c r="AF73" s="134"/>
      <c r="AG73" s="135"/>
      <c r="AH73" s="125"/>
      <c r="AI73" s="133"/>
      <c r="AJ73" s="134"/>
      <c r="AK73" s="134"/>
      <c r="AL73" s="135"/>
      <c r="AM73" s="125"/>
      <c r="AN73" s="133"/>
      <c r="AO73" s="134"/>
      <c r="AP73" s="134"/>
      <c r="AQ73" s="135"/>
      <c r="AR73" s="125"/>
      <c r="AS73" s="133"/>
      <c r="AT73" s="134"/>
      <c r="AU73" s="134"/>
      <c r="AV73" s="135"/>
      <c r="AW73" s="125"/>
      <c r="AX73" s="133"/>
      <c r="AY73" s="134"/>
      <c r="AZ73" s="134"/>
      <c r="BA73" s="135"/>
      <c r="BB73" s="125"/>
      <c r="BC73" s="133"/>
      <c r="BD73" s="134"/>
      <c r="BE73" s="134"/>
      <c r="BF73" s="135"/>
      <c r="BG73" s="125"/>
      <c r="BH73" s="133"/>
      <c r="BI73" s="134"/>
      <c r="BJ73" s="134"/>
      <c r="BK73" s="135"/>
      <c r="BL73" s="125"/>
      <c r="BM73" s="133"/>
      <c r="BN73" s="134"/>
      <c r="BO73" s="134"/>
      <c r="BP73" s="135"/>
      <c r="BQ73" s="125"/>
      <c r="BR73" s="125"/>
      <c r="BS73" s="1974" t="s">
        <v>293</v>
      </c>
      <c r="BT73" s="1926">
        <v>0.54</v>
      </c>
      <c r="BU73" s="1926">
        <v>0.51200000000000001</v>
      </c>
      <c r="BV73" s="1926">
        <v>0.52600000000000002</v>
      </c>
      <c r="BW73" s="1926">
        <v>0.501</v>
      </c>
      <c r="BX73" s="1926">
        <v>0.503</v>
      </c>
      <c r="BY73" s="1989">
        <f>SUMPRODUCT(BT73:BX73,BT72:BX72)/SUM(BT72:BX72)</f>
        <v>0.52171439021322052</v>
      </c>
    </row>
    <row r="74" spans="1:81" s="92" customFormat="1">
      <c r="A74" s="139"/>
      <c r="B74" s="126" t="s">
        <v>331</v>
      </c>
      <c r="C74" s="1185"/>
      <c r="D74" s="11"/>
      <c r="E74" s="133"/>
      <c r="F74" s="134"/>
      <c r="G74" s="134"/>
      <c r="H74" s="135"/>
      <c r="I74" s="125"/>
      <c r="J74" s="133"/>
      <c r="K74" s="134"/>
      <c r="L74" s="134"/>
      <c r="M74" s="135"/>
      <c r="N74" s="125"/>
      <c r="O74" s="833"/>
      <c r="P74" s="834"/>
      <c r="Q74" s="834"/>
      <c r="R74" s="835"/>
      <c r="S74" s="125"/>
      <c r="T74" s="133"/>
      <c r="U74" s="134"/>
      <c r="V74" s="134"/>
      <c r="W74" s="135"/>
      <c r="X74" s="125"/>
      <c r="Y74" s="133"/>
      <c r="Z74" s="134"/>
      <c r="AA74" s="134"/>
      <c r="AB74" s="135"/>
      <c r="AC74" s="125"/>
      <c r="AD74" s="133"/>
      <c r="AE74" s="134"/>
      <c r="AF74" s="134"/>
      <c r="AG74" s="135"/>
      <c r="AH74" s="125"/>
      <c r="AI74" s="133"/>
      <c r="AJ74" s="134"/>
      <c r="AK74" s="134"/>
      <c r="AL74" s="135"/>
      <c r="AM74" s="125"/>
      <c r="AN74" s="133"/>
      <c r="AO74" s="134"/>
      <c r="AP74" s="134"/>
      <c r="AQ74" s="135"/>
      <c r="AR74" s="125"/>
      <c r="AS74" s="133"/>
      <c r="AT74" s="134"/>
      <c r="AU74" s="134"/>
      <c r="AV74" s="135"/>
      <c r="AW74" s="125"/>
      <c r="AX74" s="133"/>
      <c r="AY74" s="134"/>
      <c r="AZ74" s="134"/>
      <c r="BA74" s="135"/>
      <c r="BB74" s="125"/>
      <c r="BC74" s="133"/>
      <c r="BD74" s="134"/>
      <c r="BE74" s="134"/>
      <c r="BF74" s="135"/>
      <c r="BG74" s="125"/>
      <c r="BH74" s="133"/>
      <c r="BI74" s="134"/>
      <c r="BJ74" s="134"/>
      <c r="BK74" s="135"/>
      <c r="BL74" s="125"/>
      <c r="BM74" s="133"/>
      <c r="BN74" s="134"/>
      <c r="BO74" s="134"/>
      <c r="BP74" s="135"/>
      <c r="BQ74" s="125"/>
      <c r="BR74" s="125"/>
      <c r="BS74" s="1973" t="s">
        <v>1029</v>
      </c>
      <c r="BT74" s="1926">
        <v>0.112</v>
      </c>
      <c r="BU74" s="1926">
        <v>0.109</v>
      </c>
      <c r="BV74" s="1926">
        <v>0.113</v>
      </c>
      <c r="BW74" s="1926">
        <v>0.115</v>
      </c>
      <c r="BX74" s="1926">
        <v>0.109</v>
      </c>
      <c r="BY74" s="1989">
        <f>SUMPRODUCT(BT74:BX74,BT72:BX72)/SUM(BT72:BX72)</f>
        <v>0.11122846846304502</v>
      </c>
    </row>
    <row r="75" spans="1:81" s="92" customFormat="1">
      <c r="A75" s="139"/>
      <c r="B75" s="91"/>
      <c r="C75" s="1187"/>
      <c r="E75" s="133"/>
      <c r="F75" s="134"/>
      <c r="G75" s="134"/>
      <c r="H75" s="135"/>
      <c r="I75" s="125"/>
      <c r="J75" s="133"/>
      <c r="K75" s="134"/>
      <c r="L75" s="134"/>
      <c r="M75" s="135"/>
      <c r="N75" s="125"/>
      <c r="O75" s="133"/>
      <c r="P75" s="134"/>
      <c r="Q75" s="134"/>
      <c r="R75" s="135"/>
      <c r="S75" s="125"/>
      <c r="T75" s="133"/>
      <c r="U75" s="134"/>
      <c r="V75" s="134"/>
      <c r="W75" s="135"/>
      <c r="X75" s="125"/>
      <c r="Y75" s="133"/>
      <c r="Z75" s="134"/>
      <c r="AA75" s="134"/>
      <c r="AB75" s="135"/>
      <c r="AC75" s="125"/>
      <c r="AD75" s="133"/>
      <c r="AE75" s="134"/>
      <c r="AF75" s="134"/>
      <c r="AG75" s="135"/>
      <c r="AH75" s="125"/>
      <c r="AI75" s="133"/>
      <c r="AJ75" s="134"/>
      <c r="AK75" s="134"/>
      <c r="AL75" s="135"/>
      <c r="AM75" s="125"/>
      <c r="AN75" s="133"/>
      <c r="AO75" s="134"/>
      <c r="AP75" s="134"/>
      <c r="AQ75" s="135"/>
      <c r="AR75" s="125"/>
      <c r="AS75" s="133"/>
      <c r="AT75" s="675"/>
      <c r="AU75" s="134"/>
      <c r="AV75" s="135"/>
      <c r="AW75" s="125"/>
      <c r="AX75" s="133"/>
      <c r="AY75" s="134"/>
      <c r="AZ75" s="134"/>
      <c r="BA75" s="135"/>
      <c r="BB75" s="125"/>
      <c r="BC75" s="133"/>
      <c r="BD75" s="134"/>
      <c r="BE75" s="134"/>
      <c r="BF75" s="135"/>
      <c r="BG75" s="125"/>
      <c r="BH75" s="133"/>
      <c r="BI75" s="134"/>
      <c r="BJ75" s="134"/>
      <c r="BK75" s="135"/>
      <c r="BL75" s="125"/>
      <c r="BM75" s="133"/>
      <c r="BN75" s="134"/>
      <c r="BO75" s="134"/>
      <c r="BP75" s="135"/>
      <c r="BQ75" s="125"/>
      <c r="BR75" s="125"/>
      <c r="BS75" s="1980" t="s">
        <v>1041</v>
      </c>
      <c r="BT75" s="2001">
        <f>BT72*BT73*BT74/(1-0.4)-BT66*BT67*BT68/(1-0.4)</f>
        <v>54.96545720000006</v>
      </c>
      <c r="BU75" s="2001">
        <f>BU72*BU73*BU74/(1-0.42)-BU66*BU67*BU68/(1-0.42)</f>
        <v>13.638344827586224</v>
      </c>
      <c r="BV75" s="2001">
        <f t="shared" ref="BV75:BX75" si="125">BV72*BV73*BV74/(1-0.42)-BV66*BV67*BV68/(1-0.42)</f>
        <v>34.65065172413793</v>
      </c>
      <c r="BW75" s="2001">
        <f t="shared" si="125"/>
        <v>10.028637931034478</v>
      </c>
      <c r="BX75" s="2001">
        <f t="shared" si="125"/>
        <v>17.508668965517202</v>
      </c>
      <c r="BY75" s="2021">
        <f>SUM(BT75:BX75)</f>
        <v>130.7917606482759</v>
      </c>
    </row>
    <row r="76" spans="1:81" s="221" customFormat="1">
      <c r="A76" s="202"/>
      <c r="C76" s="1187" t="s">
        <v>258</v>
      </c>
      <c r="E76" s="288"/>
      <c r="F76" s="289"/>
      <c r="G76" s="289"/>
      <c r="H76" s="299"/>
      <c r="I76" s="291"/>
      <c r="J76" s="288">
        <v>10455</v>
      </c>
      <c r="K76" s="289">
        <v>8663</v>
      </c>
      <c r="L76" s="289">
        <v>11342</v>
      </c>
      <c r="M76" s="317">
        <f>N76-SUM(J76:L76)</f>
        <v>9360</v>
      </c>
      <c r="N76" s="291">
        <v>39820</v>
      </c>
      <c r="O76" s="288">
        <f>24093-P76</f>
        <v>12135</v>
      </c>
      <c r="P76" s="289">
        <v>11958</v>
      </c>
      <c r="Q76" s="289">
        <v>15571</v>
      </c>
      <c r="R76" s="317">
        <f>S76-SUM(O76:Q76)</f>
        <v>12425</v>
      </c>
      <c r="S76" s="291">
        <v>52089</v>
      </c>
      <c r="T76" s="288">
        <v>14094</v>
      </c>
      <c r="U76" s="289">
        <v>11832</v>
      </c>
      <c r="V76" s="289">
        <v>15008</v>
      </c>
      <c r="W76" s="317">
        <f>X76-SUM(T76:V76)</f>
        <v>13059</v>
      </c>
      <c r="X76" s="291">
        <v>53993</v>
      </c>
      <c r="Y76" s="288">
        <v>14956</v>
      </c>
      <c r="Z76" s="302">
        <v>12128</v>
      </c>
      <c r="AA76" s="302">
        <v>13911</v>
      </c>
      <c r="AB76" s="317">
        <f>AC76-SUM(Y76:AA76)</f>
        <v>13484</v>
      </c>
      <c r="AC76" s="291">
        <v>54479</v>
      </c>
      <c r="AD76" s="288">
        <v>16570</v>
      </c>
      <c r="AE76" s="302">
        <v>11918</v>
      </c>
      <c r="AF76" s="302">
        <v>13127</v>
      </c>
      <c r="AG76" s="317">
        <f>AH76-SUM(AD76:AF76)</f>
        <v>13151</v>
      </c>
      <c r="AH76" s="291">
        <v>54766</v>
      </c>
      <c r="AI76" s="288">
        <v>16562</v>
      </c>
      <c r="AJ76" s="302">
        <v>11839</v>
      </c>
      <c r="AK76" s="302">
        <v>14305</v>
      </c>
      <c r="AL76" s="317">
        <f>AM76-SUM(AI76:AK76)</f>
        <v>11760</v>
      </c>
      <c r="AM76" s="291">
        <v>54466</v>
      </c>
      <c r="AN76" s="288">
        <v>14336</v>
      </c>
      <c r="AO76" s="302">
        <v>11656</v>
      </c>
      <c r="AP76" s="302">
        <v>16138</v>
      </c>
      <c r="AQ76" s="317">
        <f>AR76-SUM(AN76:AP76)</f>
        <v>12710</v>
      </c>
      <c r="AR76" s="291">
        <v>54840</v>
      </c>
      <c r="AS76" s="288">
        <v>13869</v>
      </c>
      <c r="AT76" s="302">
        <v>11115</v>
      </c>
      <c r="AU76" s="302">
        <v>13863</v>
      </c>
      <c r="AV76" s="317">
        <f>AW76-SUM(AS76:AU76)</f>
        <v>13201</v>
      </c>
      <c r="AW76" s="291">
        <v>52048</v>
      </c>
      <c r="AX76" s="316"/>
      <c r="AY76" s="312"/>
      <c r="AZ76" s="312"/>
      <c r="BA76" s="317"/>
      <c r="BB76" s="308"/>
      <c r="BC76" s="316"/>
      <c r="BD76" s="312"/>
      <c r="BE76" s="312"/>
      <c r="BF76" s="317"/>
      <c r="BG76" s="308"/>
      <c r="BH76" s="316"/>
      <c r="BI76" s="312"/>
      <c r="BJ76" s="312"/>
      <c r="BK76" s="317"/>
      <c r="BL76" s="308"/>
      <c r="BM76" s="316"/>
      <c r="BN76" s="312"/>
      <c r="BO76" s="312"/>
      <c r="BP76" s="317"/>
      <c r="BQ76" s="308"/>
      <c r="BR76" s="308"/>
      <c r="BS76" s="1980" t="s">
        <v>1052</v>
      </c>
      <c r="BT76" s="2019">
        <f>CB82</f>
        <v>141.33333333333337</v>
      </c>
      <c r="BU76" s="2019">
        <f>($BY$76-$BT$76)*BU72/SUM($BU$72:$BX$72)</f>
        <v>85.343036832227853</v>
      </c>
      <c r="BV76" s="2019">
        <f t="shared" ref="BV76:BX76" si="126">($BY$76-$BT$76)*BV72/SUM($BU$72:$BX$72)</f>
        <v>99.070813575347771</v>
      </c>
      <c r="BW76" s="2019">
        <f t="shared" si="126"/>
        <v>25.147343237396679</v>
      </c>
      <c r="BX76" s="2019">
        <f t="shared" si="126"/>
        <v>82.852599458476007</v>
      </c>
      <c r="BY76" s="2020">
        <f>CB82+CB84</f>
        <v>433.74712643678168</v>
      </c>
    </row>
    <row r="77" spans="1:81" s="221" customFormat="1">
      <c r="A77" s="202"/>
      <c r="C77" s="1187" t="s">
        <v>259</v>
      </c>
      <c r="E77" s="288"/>
      <c r="F77" s="289"/>
      <c r="G77" s="289"/>
      <c r="H77" s="299"/>
      <c r="I77" s="291"/>
      <c r="J77" s="288">
        <v>7953</v>
      </c>
      <c r="K77" s="289">
        <v>8121</v>
      </c>
      <c r="L77" s="289">
        <v>9034</v>
      </c>
      <c r="M77" s="317">
        <f>N77-SUM(J77:L77)</f>
        <v>7988</v>
      </c>
      <c r="N77" s="291">
        <v>33096</v>
      </c>
      <c r="O77" s="288">
        <f>19254-P77</f>
        <v>8794</v>
      </c>
      <c r="P77" s="289">
        <v>10460</v>
      </c>
      <c r="Q77" s="289">
        <v>11824</v>
      </c>
      <c r="R77" s="317">
        <f>S77-SUM(O77:Q77)</f>
        <v>10239</v>
      </c>
      <c r="S77" s="291">
        <v>41317</v>
      </c>
      <c r="T77" s="288">
        <v>10384</v>
      </c>
      <c r="U77" s="289">
        <v>10564</v>
      </c>
      <c r="V77" s="289">
        <v>11436</v>
      </c>
      <c r="W77" s="317">
        <f>X77-SUM(T77:V77)</f>
        <v>10261</v>
      </c>
      <c r="X77" s="291">
        <v>42645</v>
      </c>
      <c r="Y77" s="288">
        <v>10449</v>
      </c>
      <c r="Z77" s="302">
        <v>10241</v>
      </c>
      <c r="AA77" s="302">
        <v>11368</v>
      </c>
      <c r="AB77" s="317">
        <f>AC77-SUM(Y77:AA77)</f>
        <v>10524</v>
      </c>
      <c r="AC77" s="291">
        <v>42582</v>
      </c>
      <c r="AD77" s="288">
        <v>11028</v>
      </c>
      <c r="AE77" s="302">
        <v>10355</v>
      </c>
      <c r="AF77" s="302">
        <v>11169</v>
      </c>
      <c r="AG77" s="317">
        <f>AH77-SUM(AD77:AF77)</f>
        <v>10436</v>
      </c>
      <c r="AH77" s="291">
        <v>42988</v>
      </c>
      <c r="AI77" s="288">
        <v>11132</v>
      </c>
      <c r="AJ77" s="302">
        <v>10411</v>
      </c>
      <c r="AK77" s="302">
        <v>11463</v>
      </c>
      <c r="AL77" s="317">
        <f>AM77-SUM(AI77:AK77)</f>
        <v>10085</v>
      </c>
      <c r="AM77" s="291">
        <v>43091</v>
      </c>
      <c r="AN77" s="288">
        <v>10560</v>
      </c>
      <c r="AO77" s="302">
        <v>10349</v>
      </c>
      <c r="AP77" s="302">
        <v>12005</v>
      </c>
      <c r="AQ77" s="317">
        <f>AR77-SUM(AN77:AP77)</f>
        <v>10426</v>
      </c>
      <c r="AR77" s="291">
        <v>43340</v>
      </c>
      <c r="AS77" s="288">
        <v>10445</v>
      </c>
      <c r="AT77" s="302">
        <v>10190</v>
      </c>
      <c r="AU77" s="302">
        <v>11228</v>
      </c>
      <c r="AV77" s="317">
        <f>AW77-SUM(AS77:AU77)</f>
        <v>9926</v>
      </c>
      <c r="AW77" s="291">
        <v>41789</v>
      </c>
      <c r="AX77" s="316"/>
      <c r="AY77" s="312"/>
      <c r="AZ77" s="312"/>
      <c r="BA77" s="317"/>
      <c r="BB77" s="308"/>
      <c r="BC77" s="316"/>
      <c r="BD77" s="312"/>
      <c r="BE77" s="312"/>
      <c r="BF77" s="317"/>
      <c r="BG77" s="308"/>
      <c r="BH77" s="316"/>
      <c r="BI77" s="312"/>
      <c r="BJ77" s="312"/>
      <c r="BK77" s="317"/>
      <c r="BL77" s="308"/>
      <c r="BM77" s="316"/>
      <c r="BN77" s="312"/>
      <c r="BO77" s="312"/>
      <c r="BP77" s="317"/>
      <c r="BQ77" s="308"/>
      <c r="BR77" s="308"/>
      <c r="BS77" s="1980" t="s">
        <v>1055</v>
      </c>
      <c r="BT77" s="2001">
        <f>BT76-BT75</f>
        <v>86.367876133333311</v>
      </c>
      <c r="BU77" s="2001">
        <f t="shared" ref="BU77:BY77" si="127">BU76-BU75</f>
        <v>71.704692004641629</v>
      </c>
      <c r="BV77" s="2001">
        <f t="shared" si="127"/>
        <v>64.420161851209841</v>
      </c>
      <c r="BW77" s="2001">
        <f t="shared" si="127"/>
        <v>15.118705306362202</v>
      </c>
      <c r="BX77" s="2001">
        <f t="shared" si="127"/>
        <v>65.343930492958805</v>
      </c>
      <c r="BY77" s="2021">
        <f t="shared" si="127"/>
        <v>302.95536578850579</v>
      </c>
    </row>
    <row r="78" spans="1:81" s="221" customFormat="1">
      <c r="A78" s="202"/>
      <c r="C78" s="1187" t="s">
        <v>626</v>
      </c>
      <c r="E78" s="288"/>
      <c r="F78" s="289"/>
      <c r="G78" s="289"/>
      <c r="H78" s="299"/>
      <c r="I78" s="291"/>
      <c r="J78" s="288">
        <f>8351+129</f>
        <v>8480</v>
      </c>
      <c r="K78" s="289">
        <f>8846+132</f>
        <v>8978</v>
      </c>
      <c r="L78" s="289">
        <f>8954+130</f>
        <v>9084</v>
      </c>
      <c r="M78" s="317">
        <f>N78-SUM(J78:L78)</f>
        <v>8593</v>
      </c>
      <c r="N78" s="291">
        <f>34613+522</f>
        <v>35135</v>
      </c>
      <c r="O78" s="288">
        <f>22499+288-P78</f>
        <v>10205</v>
      </c>
      <c r="P78" s="289">
        <f>12433+149</f>
        <v>12582</v>
      </c>
      <c r="Q78" s="289">
        <f>13103+152</f>
        <v>13255</v>
      </c>
      <c r="R78" s="317">
        <f>S78-SUM(O78:Q78)</f>
        <v>12130</v>
      </c>
      <c r="S78" s="291">
        <f>47581+591</f>
        <v>48172</v>
      </c>
      <c r="T78" s="288">
        <f>12571+147</f>
        <v>12718</v>
      </c>
      <c r="U78" s="289">
        <f>12784+151</f>
        <v>12935</v>
      </c>
      <c r="V78" s="289">
        <f>12385+146</f>
        <v>12531</v>
      </c>
      <c r="W78" s="317">
        <f>X78-SUM(T78:V78)</f>
        <v>11779</v>
      </c>
      <c r="X78" s="291">
        <f>49378+585</f>
        <v>49963</v>
      </c>
      <c r="Y78" s="288">
        <f>12623+147</f>
        <v>12770</v>
      </c>
      <c r="Z78" s="302">
        <f>12495+142</f>
        <v>12637</v>
      </c>
      <c r="AA78" s="302">
        <f>12732+147</f>
        <v>12879</v>
      </c>
      <c r="AB78" s="317">
        <f>AC78-SUM(Y78:AA78)</f>
        <v>12541</v>
      </c>
      <c r="AC78" s="291">
        <f>50243+584</f>
        <v>50827</v>
      </c>
      <c r="AD78" s="288">
        <f>12700+144</f>
        <v>12844</v>
      </c>
      <c r="AE78" s="302">
        <f>12761+147</f>
        <v>12908</v>
      </c>
      <c r="AF78" s="302">
        <f>13142+149</f>
        <v>13291</v>
      </c>
      <c r="AG78" s="317">
        <f>AH78-SUM(AD78:AF78)</f>
        <v>12756</v>
      </c>
      <c r="AH78" s="291">
        <f>51213+586</f>
        <v>51799</v>
      </c>
      <c r="AI78" s="288">
        <f>12740+147</f>
        <v>12887</v>
      </c>
      <c r="AJ78" s="302">
        <f>12688+145</f>
        <v>12833</v>
      </c>
      <c r="AK78" s="302">
        <f>12721+146</f>
        <v>12867</v>
      </c>
      <c r="AL78" s="317">
        <f>AM78-SUM(AI78:AK78)</f>
        <v>12267</v>
      </c>
      <c r="AM78" s="291">
        <f>50269+585</f>
        <v>50854</v>
      </c>
      <c r="AN78" s="288">
        <f>12377+147</f>
        <v>12524</v>
      </c>
      <c r="AO78" s="302">
        <f>12346+145</f>
        <v>12491</v>
      </c>
      <c r="AP78" s="302">
        <f>13023+144</f>
        <v>13167</v>
      </c>
      <c r="AQ78" s="317">
        <f>AR78-SUM(AN78:AP78)</f>
        <v>12479</v>
      </c>
      <c r="AR78" s="291">
        <f>50082+579</f>
        <v>50661</v>
      </c>
      <c r="AS78" s="288">
        <f>12433+143</f>
        <v>12576</v>
      </c>
      <c r="AT78" s="302">
        <f>12795+138</f>
        <v>12933</v>
      </c>
      <c r="AU78" s="302">
        <f>13173+147</f>
        <v>13320</v>
      </c>
      <c r="AV78" s="317">
        <f>AW78-SUM(AS78:AU78)</f>
        <v>13050</v>
      </c>
      <c r="AW78" s="291">
        <f>51307+572</f>
        <v>51879</v>
      </c>
      <c r="AX78" s="316"/>
      <c r="AY78" s="312"/>
      <c r="AZ78" s="312"/>
      <c r="BA78" s="317"/>
      <c r="BB78" s="308"/>
      <c r="BC78" s="316"/>
      <c r="BD78" s="312"/>
      <c r="BE78" s="312"/>
      <c r="BF78" s="317"/>
      <c r="BG78" s="308"/>
      <c r="BH78" s="316"/>
      <c r="BI78" s="312"/>
      <c r="BJ78" s="312"/>
      <c r="BK78" s="317"/>
      <c r="BL78" s="308"/>
      <c r="BM78" s="316"/>
      <c r="BN78" s="312"/>
      <c r="BO78" s="312"/>
      <c r="BP78" s="317"/>
      <c r="BQ78" s="308"/>
      <c r="BR78" s="308"/>
      <c r="BS78" s="1978" t="s">
        <v>1031</v>
      </c>
      <c r="BT78" s="1977">
        <f>(BT75+BT77)*(1-0.4)/$AM$38</f>
        <v>0.20000000000000007</v>
      </c>
      <c r="BU78" s="1977">
        <f>(BU75+BU77)*(1-0.42)/$AM$38</f>
        <v>0.11674283340257585</v>
      </c>
      <c r="BV78" s="1977">
        <f t="shared" ref="BV78:BX78" si="128">(BV75+BV77)*(1-0.42)/$AM$38</f>
        <v>0.13552139592854179</v>
      </c>
      <c r="BW78" s="1977">
        <f t="shared" si="128"/>
        <v>3.4399667636061497E-2</v>
      </c>
      <c r="BX78" s="1977">
        <f t="shared" si="128"/>
        <v>0.11333610303282098</v>
      </c>
      <c r="BY78" s="2008">
        <f>SUM(BT78:BX78)</f>
        <v>0.6000000000000002</v>
      </c>
    </row>
    <row r="79" spans="1:81" s="490" customFormat="1">
      <c r="C79" s="1186" t="s">
        <v>756</v>
      </c>
      <c r="E79" s="305"/>
      <c r="F79" s="306"/>
      <c r="G79" s="306"/>
      <c r="H79" s="307"/>
      <c r="I79" s="308"/>
      <c r="J79" s="305">
        <f t="shared" ref="J79:Z79" si="129">SUM(J76:J78)</f>
        <v>26888</v>
      </c>
      <c r="K79" s="306">
        <f t="shared" si="129"/>
        <v>25762</v>
      </c>
      <c r="L79" s="306">
        <f t="shared" si="129"/>
        <v>29460</v>
      </c>
      <c r="M79" s="307">
        <f t="shared" si="129"/>
        <v>25941</v>
      </c>
      <c r="N79" s="308">
        <f t="shared" si="129"/>
        <v>108051</v>
      </c>
      <c r="O79" s="305">
        <f t="shared" si="129"/>
        <v>31134</v>
      </c>
      <c r="P79" s="306">
        <f t="shared" si="129"/>
        <v>35000</v>
      </c>
      <c r="Q79" s="306">
        <f t="shared" si="129"/>
        <v>40650</v>
      </c>
      <c r="R79" s="307">
        <f t="shared" si="129"/>
        <v>34794</v>
      </c>
      <c r="S79" s="308">
        <f t="shared" si="129"/>
        <v>141578</v>
      </c>
      <c r="T79" s="305">
        <f t="shared" si="129"/>
        <v>37196</v>
      </c>
      <c r="U79" s="306">
        <f t="shared" si="129"/>
        <v>35331</v>
      </c>
      <c r="V79" s="306">
        <f t="shared" si="129"/>
        <v>38975</v>
      </c>
      <c r="W79" s="307">
        <f t="shared" si="129"/>
        <v>35099</v>
      </c>
      <c r="X79" s="308">
        <f t="shared" si="129"/>
        <v>146601</v>
      </c>
      <c r="Y79" s="305">
        <f t="shared" si="129"/>
        <v>38175</v>
      </c>
      <c r="Z79" s="306">
        <f t="shared" si="129"/>
        <v>35006</v>
      </c>
      <c r="AA79" s="306">
        <f t="shared" ref="AA79:AF79" si="130">SUM(AA76:AA78)</f>
        <v>38158</v>
      </c>
      <c r="AB79" s="307">
        <f t="shared" si="130"/>
        <v>36549</v>
      </c>
      <c r="AC79" s="308">
        <f t="shared" si="130"/>
        <v>147888</v>
      </c>
      <c r="AD79" s="305">
        <f t="shared" si="130"/>
        <v>40442</v>
      </c>
      <c r="AE79" s="306">
        <f t="shared" si="130"/>
        <v>35181</v>
      </c>
      <c r="AF79" s="306">
        <f t="shared" si="130"/>
        <v>37587</v>
      </c>
      <c r="AG79" s="307">
        <f>SUM(AG76:AG78)</f>
        <v>36343</v>
      </c>
      <c r="AH79" s="308">
        <f>SUM(AH76:AH78)</f>
        <v>149553</v>
      </c>
      <c r="AI79" s="305">
        <f>SUM(AI76:AI78)</f>
        <v>40581</v>
      </c>
      <c r="AJ79" s="306">
        <f>SUM(AJ76:AJ78)</f>
        <v>35083</v>
      </c>
      <c r="AK79" s="306">
        <f t="shared" ref="AK79" si="131">SUM(AK76:AK78)</f>
        <v>38635</v>
      </c>
      <c r="AL79" s="307">
        <f>SUM(AL76:AL78)</f>
        <v>34112</v>
      </c>
      <c r="AM79" s="308">
        <f>SUM(AM76:AM78)</f>
        <v>148411</v>
      </c>
      <c r="AN79" s="305">
        <f>SUM(AN76:AN78)</f>
        <v>37420</v>
      </c>
      <c r="AO79" s="306">
        <f>SUM(AO76:AO78)</f>
        <v>34496</v>
      </c>
      <c r="AP79" s="306">
        <f t="shared" ref="AP79" si="132">SUM(AP76:AP78)</f>
        <v>41310</v>
      </c>
      <c r="AQ79" s="307">
        <f t="shared" ref="AQ79:AW79" si="133">SUM(AQ76:AQ78)</f>
        <v>35615</v>
      </c>
      <c r="AR79" s="308">
        <f t="shared" si="133"/>
        <v>148841</v>
      </c>
      <c r="AS79" s="305">
        <f t="shared" si="133"/>
        <v>36890</v>
      </c>
      <c r="AT79" s="306">
        <f t="shared" si="133"/>
        <v>34238</v>
      </c>
      <c r="AU79" s="306">
        <f t="shared" si="133"/>
        <v>38411</v>
      </c>
      <c r="AV79" s="307">
        <f t="shared" si="133"/>
        <v>36177</v>
      </c>
      <c r="AW79" s="308">
        <f t="shared" si="133"/>
        <v>145716</v>
      </c>
      <c r="AX79" s="305">
        <f>AS79*(1+AX55)</f>
        <v>37473.66055375764</v>
      </c>
      <c r="AY79" s="306">
        <f>AT79*(1+AY55)</f>
        <v>34580.379999999997</v>
      </c>
      <c r="AZ79" s="306">
        <f>AU79*(1+AZ55)</f>
        <v>38400.715930388222</v>
      </c>
      <c r="BA79" s="307">
        <f>AV79*(1+BA55)</f>
        <v>36177</v>
      </c>
      <c r="BB79" s="308">
        <f>SUM(AX79:BA79)</f>
        <v>146631.75648414585</v>
      </c>
      <c r="BC79" s="305">
        <f>AX79*(1+BC55)</f>
        <v>37473.66055375764</v>
      </c>
      <c r="BD79" s="306">
        <f>AY79*(1+BD55)</f>
        <v>34580.379999999997</v>
      </c>
      <c r="BE79" s="306">
        <f>AZ79*(1+BE55)</f>
        <v>38400.715930388222</v>
      </c>
      <c r="BF79" s="307">
        <f>BA79*(1+BF55)</f>
        <v>36177</v>
      </c>
      <c r="BG79" s="308">
        <f>SUM(BC79:BF79)</f>
        <v>146631.75648414585</v>
      </c>
      <c r="BH79" s="305">
        <f>BC79*(1+BH55)</f>
        <v>37473.66055375764</v>
      </c>
      <c r="BI79" s="306">
        <f>BD79*(1+BI55)</f>
        <v>34580.379999999997</v>
      </c>
      <c r="BJ79" s="306">
        <f>BE79*(1+BJ55)</f>
        <v>38400.715930388222</v>
      </c>
      <c r="BK79" s="307">
        <f>BF79*(1+BK55)</f>
        <v>36177</v>
      </c>
      <c r="BL79" s="308">
        <f>SUM(BH79:BK79)</f>
        <v>146631.75648414585</v>
      </c>
      <c r="BM79" s="305">
        <f>BH79*(1+BM55)</f>
        <v>37473.66055375764</v>
      </c>
      <c r="BN79" s="306">
        <f>BI79*(1+BN55)</f>
        <v>34580.379999999997</v>
      </c>
      <c r="BO79" s="306">
        <f>BJ79*(1+BO55)</f>
        <v>38400.715930388222</v>
      </c>
      <c r="BP79" s="307">
        <f>BK79*(1+BP55)</f>
        <v>36177</v>
      </c>
      <c r="BQ79" s="308">
        <f>SUM(BM79:BP79)</f>
        <v>146631.75648414585</v>
      </c>
      <c r="BR79" s="308"/>
      <c r="BS79" s="1975" t="s">
        <v>1030</v>
      </c>
      <c r="BT79" s="1976"/>
      <c r="BU79" s="1976"/>
      <c r="BV79" s="1976"/>
      <c r="BW79" s="1976"/>
      <c r="BX79" s="1976"/>
      <c r="BY79" s="1988"/>
    </row>
    <row r="80" spans="1:81" s="92" customFormat="1">
      <c r="A80" s="139"/>
      <c r="C80" s="1225"/>
      <c r="E80" s="133"/>
      <c r="F80" s="134"/>
      <c r="G80" s="134"/>
      <c r="H80" s="135"/>
      <c r="I80" s="125"/>
      <c r="J80" s="833"/>
      <c r="K80" s="834"/>
      <c r="L80" s="834"/>
      <c r="M80" s="835"/>
      <c r="N80" s="125"/>
      <c r="O80" s="833"/>
      <c r="P80" s="834"/>
      <c r="Q80" s="834"/>
      <c r="R80" s="835"/>
      <c r="S80" s="125"/>
      <c r="T80" s="133"/>
      <c r="U80" s="134"/>
      <c r="V80" s="134"/>
      <c r="W80" s="135"/>
      <c r="X80" s="125"/>
      <c r="Y80" s="133"/>
      <c r="Z80" s="134"/>
      <c r="AA80" s="134"/>
      <c r="AB80" s="135"/>
      <c r="AC80" s="125"/>
      <c r="AD80" s="133"/>
      <c r="AE80" s="134"/>
      <c r="AF80" s="134"/>
      <c r="AG80" s="135"/>
      <c r="AH80" s="125"/>
      <c r="AI80" s="133"/>
      <c r="AJ80" s="134"/>
      <c r="AK80" s="134"/>
      <c r="AL80" s="135"/>
      <c r="AM80" s="125"/>
      <c r="AN80" s="133"/>
      <c r="AO80" s="134"/>
      <c r="AP80" s="134"/>
      <c r="AQ80" s="135"/>
      <c r="AR80" s="125"/>
      <c r="AS80" s="133"/>
      <c r="AT80" s="134"/>
      <c r="AU80" s="134"/>
      <c r="AV80" s="135"/>
      <c r="AW80" s="125"/>
      <c r="AX80" s="133"/>
      <c r="AY80" s="134"/>
      <c r="AZ80" s="134"/>
      <c r="BA80" s="135"/>
      <c r="BB80" s="125"/>
      <c r="BC80" s="133"/>
      <c r="BD80" s="134"/>
      <c r="BE80" s="134"/>
      <c r="BF80" s="135"/>
      <c r="BG80" s="125"/>
      <c r="BH80" s="133"/>
      <c r="BI80" s="134"/>
      <c r="BJ80" s="134"/>
      <c r="BK80" s="135"/>
      <c r="BL80" s="125"/>
      <c r="BM80" s="133"/>
      <c r="BN80" s="134"/>
      <c r="BO80" s="134"/>
      <c r="BP80" s="135"/>
      <c r="BQ80" s="125"/>
      <c r="BR80" s="125"/>
      <c r="BS80" s="1973" t="s">
        <v>1044</v>
      </c>
      <c r="BT80" s="1888">
        <v>2229.134</v>
      </c>
      <c r="BU80" s="1888">
        <v>1405</v>
      </c>
      <c r="BV80" s="1888">
        <v>1631</v>
      </c>
      <c r="BW80" s="1888">
        <v>414</v>
      </c>
      <c r="BX80" s="1888">
        <v>1364</v>
      </c>
      <c r="BY80" s="2006">
        <f>SUM(BT80:BX80)</f>
        <v>7043.134</v>
      </c>
      <c r="CA80" s="2022" t="s">
        <v>1001</v>
      </c>
      <c r="CB80" s="2022">
        <v>424</v>
      </c>
      <c r="CC80" s="221"/>
    </row>
    <row r="81" spans="1:81" s="754" customFormat="1">
      <c r="C81" s="1179" t="s">
        <v>758</v>
      </c>
      <c r="E81" s="116"/>
      <c r="F81" s="117"/>
      <c r="G81" s="117"/>
      <c r="H81" s="118"/>
      <c r="I81" s="119"/>
      <c r="J81" s="116">
        <f>J83/J79*1000</f>
        <v>92.383219279976203</v>
      </c>
      <c r="K81" s="117">
        <f t="shared" ref="K81:S81" si="134">K83/K79*1000</f>
        <v>90.559739150687065</v>
      </c>
      <c r="L81" s="117">
        <f t="shared" si="134"/>
        <v>93.177189409368623</v>
      </c>
      <c r="M81" s="118">
        <f>M83/M79*1000</f>
        <v>82.803284376084193</v>
      </c>
      <c r="N81" s="119">
        <f>N83/N79*1000</f>
        <v>89.864971171021082</v>
      </c>
      <c r="O81" s="116">
        <f>O83/O79*1000</f>
        <v>71.401040662940844</v>
      </c>
      <c r="P81" s="117">
        <f t="shared" si="134"/>
        <v>68.828571428571436</v>
      </c>
      <c r="Q81" s="117">
        <f t="shared" si="134"/>
        <v>70.479704797047972</v>
      </c>
      <c r="R81" s="118">
        <f t="shared" si="134"/>
        <v>64.465137667413927</v>
      </c>
      <c r="S81" s="119">
        <f t="shared" si="134"/>
        <v>68.795999378434502</v>
      </c>
      <c r="T81" s="116">
        <f t="shared" ref="T81:AF81" si="135">T83/T79*1000</f>
        <v>63.286374879019256</v>
      </c>
      <c r="U81" s="117">
        <f t="shared" si="135"/>
        <v>59.296368628116952</v>
      </c>
      <c r="V81" s="117">
        <f t="shared" si="135"/>
        <v>62.55291853752405</v>
      </c>
      <c r="W81" s="118">
        <f t="shared" si="135"/>
        <v>57.266588791703469</v>
      </c>
      <c r="X81" s="119">
        <f t="shared" si="135"/>
        <v>60.688535548870739</v>
      </c>
      <c r="Y81" s="116">
        <f t="shared" si="135"/>
        <v>57.943680419122465</v>
      </c>
      <c r="Z81" s="1576">
        <f t="shared" si="135"/>
        <v>58.304290693024058</v>
      </c>
      <c r="AA81" s="1576">
        <f t="shared" si="135"/>
        <v>61.323968761465487</v>
      </c>
      <c r="AB81" s="118">
        <f t="shared" si="135"/>
        <v>58.68833620618895</v>
      </c>
      <c r="AC81" s="119">
        <f t="shared" si="135"/>
        <v>59.085253705506872</v>
      </c>
      <c r="AD81" s="116">
        <f t="shared" si="135"/>
        <v>63.102714999258197</v>
      </c>
      <c r="AE81" s="117">
        <f t="shared" si="135"/>
        <v>58.696455473124701</v>
      </c>
      <c r="AF81" s="117">
        <f t="shared" si="135"/>
        <v>62.707851118737864</v>
      </c>
      <c r="AG81" s="118">
        <f>AG83/AG79*1000</f>
        <v>58.553228957433348</v>
      </c>
      <c r="AH81" s="119">
        <f>AH83/AH79*1000</f>
        <v>60.861366873282385</v>
      </c>
      <c r="AI81" s="116">
        <f>AI83/AI79*1000</f>
        <v>63.132993272713833</v>
      </c>
      <c r="AJ81" s="117">
        <f>AJ83/AJ79*1000</f>
        <v>63.820083801271274</v>
      </c>
      <c r="AK81" s="117">
        <f t="shared" ref="AK81" si="136">AK83/AK79*1000</f>
        <v>67.917691212631041</v>
      </c>
      <c r="AL81" s="118">
        <f>AL83/AL79*1000</f>
        <v>64.493433395872415</v>
      </c>
      <c r="AM81" s="119">
        <f>AM83/AM79*1000</f>
        <v>64.85368335231216</v>
      </c>
      <c r="AN81" s="116">
        <f>AN83/AN79*1000</f>
        <v>67.3703901656868</v>
      </c>
      <c r="AO81" s="117">
        <f>AO83/AO79*1000</f>
        <v>63.775510204081634</v>
      </c>
      <c r="AP81" s="117">
        <f t="shared" ref="AP81" si="137">AP83/AP79*1000</f>
        <v>65.407891551682397</v>
      </c>
      <c r="AQ81" s="118">
        <f t="shared" ref="AQ81:AW81" si="138">AQ83/AQ79*1000</f>
        <v>61.940193738593287</v>
      </c>
      <c r="AR81" s="119">
        <f t="shared" si="138"/>
        <v>64.693196095161952</v>
      </c>
      <c r="AS81" s="116">
        <f t="shared" si="138"/>
        <v>67.497966928706958</v>
      </c>
      <c r="AT81" s="117">
        <f t="shared" si="138"/>
        <v>66.06694316256791</v>
      </c>
      <c r="AU81" s="117">
        <f t="shared" si="138"/>
        <v>67.949285360964311</v>
      </c>
      <c r="AV81" s="118">
        <f t="shared" si="138"/>
        <v>65.566520164745555</v>
      </c>
      <c r="AW81" s="119">
        <f t="shared" si="138"/>
        <v>66.801174888138561</v>
      </c>
      <c r="AX81" s="116">
        <f>AS81+(AX85/AX79*1000)</f>
        <v>66.131015470760929</v>
      </c>
      <c r="AY81" s="117">
        <f>AT81+(AY85/AY79*1000)</f>
        <v>63.777988403678854</v>
      </c>
      <c r="AZ81" s="117">
        <f>AU81+(AZ85/AZ79*1000)</f>
        <v>64.733381803637485</v>
      </c>
      <c r="BA81" s="118">
        <f>AV81+(BA85/BA79*1000)</f>
        <v>62.462493978409817</v>
      </c>
      <c r="BB81" s="119">
        <f>BB83/BB79*1000</f>
        <v>64.304979883349318</v>
      </c>
      <c r="BC81" s="116">
        <f>AX81+(BC85/BC79*1000)</f>
        <v>66.817308323537134</v>
      </c>
      <c r="BD81" s="117">
        <f>AY81+(BD85/BD79*1000)</f>
        <v>64.521702191827089</v>
      </c>
      <c r="BE81" s="117">
        <f>AZ81+(BE85/BE79*1000)</f>
        <v>65.403106437210099</v>
      </c>
      <c r="BF81" s="118">
        <f>BA81+(BF85/BF79*1000)</f>
        <v>63.173385025356922</v>
      </c>
      <c r="BG81" s="119">
        <f>BG83/BG79*1000</f>
        <v>65.006544292643852</v>
      </c>
      <c r="BH81" s="116">
        <f>BC81+(BH85/BH79*1000)</f>
        <v>66.374159224315932</v>
      </c>
      <c r="BI81" s="117">
        <f>BD81+(BI85/BI79*1000)</f>
        <v>64.041475574337085</v>
      </c>
      <c r="BJ81" s="117">
        <f>BE81+(BJ85/BJ79*1000)</f>
        <v>64.97065567381749</v>
      </c>
      <c r="BK81" s="118">
        <f>BF81+(BK85/BK79*1000)</f>
        <v>62.71435252075679</v>
      </c>
      <c r="BL81" s="119">
        <f>BL83/BL79*1000</f>
        <v>64.553534131213681</v>
      </c>
      <c r="BM81" s="116">
        <f>BH81+(BM85/BM79*1000)</f>
        <v>67.398076606963642</v>
      </c>
      <c r="BN81" s="117">
        <f>BI81+(BN85/BN79*1000)</f>
        <v>65.15106235251686</v>
      </c>
      <c r="BO81" s="117">
        <f>BJ81+(BO85/BO79*1000)</f>
        <v>65.969854035170655</v>
      </c>
      <c r="BP81" s="118">
        <f>BK81+(BP85/BP79*1000)</f>
        <v>63.774969278156036</v>
      </c>
      <c r="BQ81" s="119">
        <f>BQ83/BQ79*1000</f>
        <v>65.600235974046228</v>
      </c>
      <c r="BR81" s="119"/>
      <c r="BS81" s="1974" t="s">
        <v>293</v>
      </c>
      <c r="BT81" s="1926">
        <v>0.5</v>
      </c>
      <c r="BU81" s="1926">
        <f>BU67</f>
        <v>0.5</v>
      </c>
      <c r="BV81" s="1926">
        <f>BV67</f>
        <v>0.499</v>
      </c>
      <c r="BW81" s="1926">
        <f>BW67</f>
        <v>0.501</v>
      </c>
      <c r="BX81" s="1926">
        <f>BX67</f>
        <v>0.501</v>
      </c>
      <c r="BY81" s="1989">
        <f>SUMPRODUCT(BT81:BX81,BT80:BX80)/SUM(BT80:BX80)</f>
        <v>0.50002087139049189</v>
      </c>
      <c r="CA81" s="221" t="s">
        <v>1026</v>
      </c>
      <c r="CB81" s="221">
        <f>CB80*0.2</f>
        <v>84.800000000000011</v>
      </c>
      <c r="CC81" s="221" t="s">
        <v>1057</v>
      </c>
    </row>
    <row r="82" spans="1:81" s="754" customFormat="1">
      <c r="C82" s="1179"/>
      <c r="E82" s="116"/>
      <c r="F82" s="117"/>
      <c r="G82" s="117"/>
      <c r="H82" s="118"/>
      <c r="I82" s="119"/>
      <c r="J82" s="116"/>
      <c r="K82" s="117"/>
      <c r="L82" s="117"/>
      <c r="M82" s="118"/>
      <c r="N82" s="119"/>
      <c r="O82" s="116"/>
      <c r="P82" s="117"/>
      <c r="Q82" s="117"/>
      <c r="R82" s="118"/>
      <c r="S82" s="119"/>
      <c r="T82" s="116"/>
      <c r="U82" s="117"/>
      <c r="V82" s="117"/>
      <c r="W82" s="118"/>
      <c r="X82" s="119"/>
      <c r="Y82" s="116"/>
      <c r="Z82" s="1576"/>
      <c r="AA82" s="1576"/>
      <c r="AB82" s="118"/>
      <c r="AC82" s="119"/>
      <c r="AD82" s="116"/>
      <c r="AE82" s="117"/>
      <c r="AF82" s="117"/>
      <c r="AG82" s="118"/>
      <c r="AH82" s="119"/>
      <c r="AI82" s="116"/>
      <c r="AJ82" s="117"/>
      <c r="AK82" s="117"/>
      <c r="AL82" s="118"/>
      <c r="AM82" s="119"/>
      <c r="AN82" s="116"/>
      <c r="AO82" s="117"/>
      <c r="AP82" s="117"/>
      <c r="AQ82" s="118"/>
      <c r="AR82" s="119"/>
      <c r="AS82" s="116"/>
      <c r="AT82" s="117"/>
      <c r="AU82" s="117"/>
      <c r="AV82" s="118"/>
      <c r="AW82" s="119"/>
      <c r="AX82" s="116"/>
      <c r="AY82" s="117"/>
      <c r="AZ82" s="117"/>
      <c r="BA82" s="118"/>
      <c r="BB82" s="119"/>
      <c r="BC82" s="116"/>
      <c r="BD82" s="117"/>
      <c r="BE82" s="117"/>
      <c r="BF82" s="118"/>
      <c r="BG82" s="119"/>
      <c r="BH82" s="116"/>
      <c r="BI82" s="117"/>
      <c r="BJ82" s="117"/>
      <c r="BK82" s="118"/>
      <c r="BL82" s="119"/>
      <c r="BM82" s="116"/>
      <c r="BN82" s="117"/>
      <c r="BO82" s="117"/>
      <c r="BP82" s="118"/>
      <c r="BQ82" s="119"/>
      <c r="BR82" s="119"/>
      <c r="BS82" s="1973" t="s">
        <v>1029</v>
      </c>
      <c r="BT82" s="1926">
        <v>9.7500000000000003E-2</v>
      </c>
      <c r="BU82" s="1926">
        <v>0.1</v>
      </c>
      <c r="BV82" s="1926">
        <v>0.1</v>
      </c>
      <c r="BW82" s="1926">
        <v>0.1</v>
      </c>
      <c r="BX82" s="1926">
        <v>0.1</v>
      </c>
      <c r="BY82" s="1989">
        <f>SUMPRODUCT(BT82:BX82,BT80:BX80)/SUM(BT80:BX80)</f>
        <v>9.9208756357610117E-2</v>
      </c>
      <c r="CA82" s="673"/>
      <c r="CB82" s="1270">
        <f>CB81/0.6</f>
        <v>141.33333333333337</v>
      </c>
      <c r="CC82" s="673" t="s">
        <v>1058</v>
      </c>
    </row>
    <row r="83" spans="1:81" s="490" customFormat="1">
      <c r="C83" s="1186" t="s">
        <v>757</v>
      </c>
      <c r="E83" s="305"/>
      <c r="F83" s="306"/>
      <c r="G83" s="306"/>
      <c r="H83" s="307"/>
      <c r="I83" s="308"/>
      <c r="J83" s="305">
        <f t="shared" ref="J83:S83" si="139">+J8</f>
        <v>2484</v>
      </c>
      <c r="K83" s="306">
        <f t="shared" si="139"/>
        <v>2333</v>
      </c>
      <c r="L83" s="306">
        <f t="shared" si="139"/>
        <v>2745</v>
      </c>
      <c r="M83" s="307">
        <f t="shared" si="139"/>
        <v>2148</v>
      </c>
      <c r="N83" s="308">
        <f t="shared" si="139"/>
        <v>9710</v>
      </c>
      <c r="O83" s="305">
        <f t="shared" si="139"/>
        <v>2223</v>
      </c>
      <c r="P83" s="306">
        <f t="shared" si="139"/>
        <v>2409</v>
      </c>
      <c r="Q83" s="306">
        <f t="shared" si="139"/>
        <v>2865</v>
      </c>
      <c r="R83" s="307">
        <f t="shared" si="139"/>
        <v>2243</v>
      </c>
      <c r="S83" s="308">
        <f t="shared" si="139"/>
        <v>9740</v>
      </c>
      <c r="T83" s="305">
        <f t="shared" ref="T83:AF83" si="140">+T8</f>
        <v>2354</v>
      </c>
      <c r="U83" s="306">
        <f t="shared" si="140"/>
        <v>2095</v>
      </c>
      <c r="V83" s="306">
        <f t="shared" si="140"/>
        <v>2438</v>
      </c>
      <c r="W83" s="307">
        <f t="shared" si="140"/>
        <v>2010</v>
      </c>
      <c r="X83" s="308">
        <f t="shared" si="140"/>
        <v>8897</v>
      </c>
      <c r="Y83" s="305">
        <f t="shared" si="140"/>
        <v>2212</v>
      </c>
      <c r="Z83" s="306">
        <f t="shared" si="140"/>
        <v>2041</v>
      </c>
      <c r="AA83" s="306">
        <f t="shared" si="140"/>
        <v>2340</v>
      </c>
      <c r="AB83" s="307">
        <f t="shared" si="140"/>
        <v>2145</v>
      </c>
      <c r="AC83" s="308">
        <f t="shared" si="140"/>
        <v>8738</v>
      </c>
      <c r="AD83" s="305">
        <f t="shared" si="140"/>
        <v>2552</v>
      </c>
      <c r="AE83" s="306">
        <f t="shared" si="140"/>
        <v>2065</v>
      </c>
      <c r="AF83" s="306">
        <f t="shared" si="140"/>
        <v>2357</v>
      </c>
      <c r="AG83" s="307">
        <f>+AG8</f>
        <v>2128</v>
      </c>
      <c r="AH83" s="308">
        <f>+AH8</f>
        <v>9102</v>
      </c>
      <c r="AI83" s="305">
        <f>+AI8</f>
        <v>2562</v>
      </c>
      <c r="AJ83" s="306">
        <f>+AJ8</f>
        <v>2239</v>
      </c>
      <c r="AK83" s="306">
        <f t="shared" ref="AK83" si="141">+AK8</f>
        <v>2624</v>
      </c>
      <c r="AL83" s="307">
        <f>+AL8</f>
        <v>2200</v>
      </c>
      <c r="AM83" s="308">
        <f>+AM8</f>
        <v>9625</v>
      </c>
      <c r="AN83" s="305">
        <f>+AN8</f>
        <v>2521</v>
      </c>
      <c r="AO83" s="306">
        <f>+AO8</f>
        <v>2200</v>
      </c>
      <c r="AP83" s="306">
        <f t="shared" ref="AP83" si="142">+AP8</f>
        <v>2702</v>
      </c>
      <c r="AQ83" s="307">
        <f t="shared" ref="AQ83:AW83" si="143">+AQ8</f>
        <v>2206</v>
      </c>
      <c r="AR83" s="308">
        <f t="shared" si="143"/>
        <v>9629</v>
      </c>
      <c r="AS83" s="305">
        <f t="shared" si="143"/>
        <v>2490</v>
      </c>
      <c r="AT83" s="306">
        <f t="shared" si="143"/>
        <v>2262</v>
      </c>
      <c r="AU83" s="306">
        <f t="shared" si="143"/>
        <v>2610</v>
      </c>
      <c r="AV83" s="307">
        <f t="shared" si="143"/>
        <v>2372</v>
      </c>
      <c r="AW83" s="308">
        <f t="shared" si="143"/>
        <v>9734</v>
      </c>
      <c r="AX83" s="305">
        <f>AX79*AX81/1000</f>
        <v>2478.1712258265898</v>
      </c>
      <c r="AY83" s="306">
        <f>AY79*AY81/1000</f>
        <v>2205.4670746348083</v>
      </c>
      <c r="AZ83" s="306">
        <f>AZ79*AZ81/1000</f>
        <v>2485.8082058548453</v>
      </c>
      <c r="BA83" s="307">
        <f>BA79*BA81/1000</f>
        <v>2259.7056446569318</v>
      </c>
      <c r="BB83" s="308">
        <f>SUM(AX83:BA83)</f>
        <v>9429.1521509731756</v>
      </c>
      <c r="BC83" s="305">
        <f>BC79*BC81/1000</f>
        <v>2503.8891312319952</v>
      </c>
      <c r="BD83" s="306">
        <f>BD79*BD81/1000</f>
        <v>2231.1849800402138</v>
      </c>
      <c r="BE83" s="306">
        <f>BE79*BE81/1000</f>
        <v>2511.5261112602502</v>
      </c>
      <c r="BF83" s="307">
        <f>BF79*BF81/1000</f>
        <v>2285.4235500623372</v>
      </c>
      <c r="BG83" s="308">
        <f>SUM(BC83:BF83)</f>
        <v>9532.0237725947954</v>
      </c>
      <c r="BH83" s="305">
        <f>BH79*BH81/1000</f>
        <v>2487.2827123130764</v>
      </c>
      <c r="BI83" s="306">
        <f>BI79*BI81/1000</f>
        <v>2214.5785611212941</v>
      </c>
      <c r="BJ83" s="306">
        <f>BJ79*BJ81/1000</f>
        <v>2494.9196923413315</v>
      </c>
      <c r="BK83" s="307">
        <f>BK79*BK81/1000</f>
        <v>2268.8171311434185</v>
      </c>
      <c r="BL83" s="308">
        <f>SUM(BH83:BK83)</f>
        <v>9465.5980969191205</v>
      </c>
      <c r="BM83" s="305">
        <f>BM79*BM81/1000</f>
        <v>2525.652644745509</v>
      </c>
      <c r="BN83" s="306">
        <f>BN79*BN81/1000</f>
        <v>2252.9484935537271</v>
      </c>
      <c r="BO83" s="306">
        <f>BO79*BO81/1000</f>
        <v>2533.2896247737635</v>
      </c>
      <c r="BP83" s="307">
        <f>BP79*BP81/1000</f>
        <v>2307.187063575851</v>
      </c>
      <c r="BQ83" s="308">
        <f>SUM(BM83:BP83)</f>
        <v>9619.0778266488505</v>
      </c>
      <c r="BR83" s="308"/>
      <c r="BS83" s="1973" t="s">
        <v>1053</v>
      </c>
      <c r="BT83" s="1984">
        <f>BT80*BT81*BT82/(1-0.38)-BT66*BT67*BT68/(1-0.38)</f>
        <v>11.018600806451616</v>
      </c>
      <c r="BU83" s="1984">
        <f>BU80*BU81*BU82/(1-0.38)-BU66*BU67*BU68/(1-0.38)</f>
        <v>-0.40322580645160144</v>
      </c>
      <c r="BV83" s="1984">
        <f>BV80*BV81*BV82/(1-0.38)-BV66*BV67*BV68/(1-0.38)</f>
        <v>7.3240322580645199</v>
      </c>
      <c r="BW83" s="1984">
        <f>BW80*BW81*BW82/(1-0.38)-BW66*BW67*BW68/(1-0.38)</f>
        <v>4.3635483870967704</v>
      </c>
      <c r="BX83" s="1984">
        <f>BX80*BX81*BX82/(1-0.38)-BX66*BX67*BX68/(1-0.38)</f>
        <v>5.979677419354843</v>
      </c>
      <c r="BY83" s="2007">
        <f>SUM(BT83:BX83)</f>
        <v>28.282633064516148</v>
      </c>
      <c r="CA83" s="221" t="s">
        <v>690</v>
      </c>
      <c r="CB83" s="221">
        <f>CB80*0.4</f>
        <v>169.60000000000002</v>
      </c>
      <c r="CC83" s="221" t="s">
        <v>1057</v>
      </c>
    </row>
    <row r="84" spans="1:81" s="221" customFormat="1">
      <c r="A84" s="202"/>
      <c r="C84" s="1225"/>
      <c r="E84" s="316"/>
      <c r="F84" s="312"/>
      <c r="G84" s="312"/>
      <c r="H84" s="317"/>
      <c r="I84" s="308"/>
      <c r="J84" s="316"/>
      <c r="K84" s="312"/>
      <c r="L84" s="312"/>
      <c r="M84" s="317"/>
      <c r="N84" s="308"/>
      <c r="O84" s="316"/>
      <c r="P84" s="312"/>
      <c r="Q84" s="312"/>
      <c r="R84" s="317"/>
      <c r="S84" s="308"/>
      <c r="T84" s="316"/>
      <c r="U84" s="312"/>
      <c r="V84" s="312"/>
      <c r="W84" s="317"/>
      <c r="X84" s="308"/>
      <c r="Y84" s="316"/>
      <c r="Z84" s="312"/>
      <c r="AA84" s="312"/>
      <c r="AB84" s="317"/>
      <c r="AC84" s="308"/>
      <c r="AD84" s="316"/>
      <c r="AE84" s="312"/>
      <c r="AF84" s="312"/>
      <c r="AG84" s="317"/>
      <c r="AH84" s="308"/>
      <c r="AI84" s="316"/>
      <c r="AJ84" s="312"/>
      <c r="AK84" s="312"/>
      <c r="AL84" s="317"/>
      <c r="AM84" s="308"/>
      <c r="AN84" s="316"/>
      <c r="AO84" s="312"/>
      <c r="AP84" s="312"/>
      <c r="AQ84" s="317"/>
      <c r="AR84" s="308"/>
      <c r="AS84" s="316"/>
      <c r="AT84" s="312"/>
      <c r="AU84" s="312"/>
      <c r="AV84" s="317"/>
      <c r="AW84" s="308"/>
      <c r="AX84" s="316"/>
      <c r="AY84" s="312"/>
      <c r="AZ84" s="312"/>
      <c r="BA84" s="317"/>
      <c r="BB84" s="308"/>
      <c r="BC84" s="316"/>
      <c r="BD84" s="312"/>
      <c r="BE84" s="312"/>
      <c r="BF84" s="317"/>
      <c r="BG84" s="308"/>
      <c r="BH84" s="316"/>
      <c r="BI84" s="312"/>
      <c r="BJ84" s="312"/>
      <c r="BK84" s="317"/>
      <c r="BL84" s="308"/>
      <c r="BM84" s="316"/>
      <c r="BN84" s="312"/>
      <c r="BO84" s="312"/>
      <c r="BP84" s="317"/>
      <c r="BQ84" s="308"/>
      <c r="BR84" s="308"/>
      <c r="BS84" s="1973" t="s">
        <v>1056</v>
      </c>
      <c r="BT84" s="1984">
        <f>BT77*0.5</f>
        <v>43.183938066666656</v>
      </c>
      <c r="BU84" s="1984">
        <f>BU77*0.25</f>
        <v>17.926173001160407</v>
      </c>
      <c r="BV84" s="1984">
        <f t="shared" ref="BV84:BX84" si="144">BV77*0.25</f>
        <v>16.10504046280246</v>
      </c>
      <c r="BW84" s="1984">
        <f t="shared" si="144"/>
        <v>3.7796763265905504</v>
      </c>
      <c r="BX84" s="1984">
        <f t="shared" si="144"/>
        <v>16.335982623239701</v>
      </c>
      <c r="BY84" s="2007">
        <f>SUM(BT84:BX84)</f>
        <v>97.330810480459775</v>
      </c>
      <c r="CA84" s="497"/>
      <c r="CB84" s="1270">
        <f>CB83/0.58</f>
        <v>292.41379310344831</v>
      </c>
      <c r="CC84" s="673" t="s">
        <v>1058</v>
      </c>
    </row>
    <row r="85" spans="1:81" s="221" customFormat="1">
      <c r="A85" s="202"/>
      <c r="C85" s="1202" t="s">
        <v>263</v>
      </c>
      <c r="E85" s="316"/>
      <c r="F85" s="312"/>
      <c r="G85" s="312"/>
      <c r="H85" s="317"/>
      <c r="I85" s="308"/>
      <c r="J85" s="316"/>
      <c r="K85" s="312"/>
      <c r="L85" s="312"/>
      <c r="M85" s="317"/>
      <c r="N85" s="308"/>
      <c r="O85" s="316"/>
      <c r="P85" s="312"/>
      <c r="Q85" s="312"/>
      <c r="R85" s="317"/>
      <c r="S85" s="308"/>
      <c r="T85" s="316"/>
      <c r="U85" s="312"/>
      <c r="V85" s="312"/>
      <c r="W85" s="311"/>
      <c r="X85" s="285"/>
      <c r="Y85" s="316"/>
      <c r="Z85" s="312"/>
      <c r="AA85" s="312"/>
      <c r="AB85" s="311"/>
      <c r="AC85" s="285"/>
      <c r="AD85" s="309"/>
      <c r="AE85" s="310"/>
      <c r="AF85" s="310"/>
      <c r="AG85" s="311"/>
      <c r="AH85" s="285"/>
      <c r="AI85" s="309"/>
      <c r="AJ85" s="310"/>
      <c r="AK85" s="310"/>
      <c r="AL85" s="311"/>
      <c r="AM85" s="285"/>
      <c r="AN85" s="309"/>
      <c r="AO85" s="310"/>
      <c r="AP85" s="310"/>
      <c r="AQ85" s="311"/>
      <c r="AR85" s="285"/>
      <c r="AS85" s="309"/>
      <c r="AT85" s="310"/>
      <c r="AU85" s="310"/>
      <c r="AV85" s="311"/>
      <c r="AW85" s="285"/>
      <c r="AX85" s="309">
        <f>SUM(AX57:AX62)</f>
        <v>-51.224674928533389</v>
      </c>
      <c r="AY85" s="310">
        <f>SUM(AY57:AY62)</f>
        <v>-79.152925365191834</v>
      </c>
      <c r="AZ85" s="310">
        <f>SUM(AZ57:AZ62)</f>
        <v>-123.49299896443233</v>
      </c>
      <c r="BA85" s="311">
        <f>SUM(BA57:BA62)</f>
        <v>-112.29435534306793</v>
      </c>
      <c r="BB85" s="285">
        <f>SUM(AX85:BA85)</f>
        <v>-366.16495460122547</v>
      </c>
      <c r="BC85" s="309">
        <f>SUM(BC57:BC62)</f>
        <v>25.717905405405403</v>
      </c>
      <c r="BD85" s="310">
        <f>SUM(BD57:BD62)</f>
        <v>25.717905405405403</v>
      </c>
      <c r="BE85" s="310">
        <f>SUM(BE57:BE62)</f>
        <v>25.717905405405403</v>
      </c>
      <c r="BF85" s="311">
        <f>SUM(BF57:BF62)</f>
        <v>25.717905405405403</v>
      </c>
      <c r="BG85" s="285">
        <f>SUM(BC85:BF85)</f>
        <v>102.87162162162161</v>
      </c>
      <c r="BH85" s="309">
        <f>SUM(BH57:BH62)</f>
        <v>-16.606418918918919</v>
      </c>
      <c r="BI85" s="310">
        <f>SUM(BI57:BI62)</f>
        <v>-16.606418918918919</v>
      </c>
      <c r="BJ85" s="310">
        <f>SUM(BJ57:BJ62)</f>
        <v>-16.606418918918919</v>
      </c>
      <c r="BK85" s="311">
        <f>SUM(BK57:BK62)</f>
        <v>-16.606418918918919</v>
      </c>
      <c r="BL85" s="285">
        <f>SUM(BH85:BK85)</f>
        <v>-66.425675675675677</v>
      </c>
      <c r="BM85" s="309">
        <f>SUM(BM57:BM62)</f>
        <v>38.369932432432435</v>
      </c>
      <c r="BN85" s="310">
        <f>SUM(BN57:BN62)</f>
        <v>38.369932432432435</v>
      </c>
      <c r="BO85" s="310">
        <f>SUM(BO57:BO62)</f>
        <v>38.369932432432435</v>
      </c>
      <c r="BP85" s="311">
        <f>SUM(BP57:BP62)</f>
        <v>38.369932432432435</v>
      </c>
      <c r="BQ85" s="285">
        <f>SUM(BM85:BP85)</f>
        <v>153.47972972972974</v>
      </c>
      <c r="BR85" s="308"/>
      <c r="BS85" s="1973" t="s">
        <v>1054</v>
      </c>
      <c r="BT85" s="2245">
        <v>80</v>
      </c>
      <c r="BU85" s="2019">
        <v>67</v>
      </c>
      <c r="BV85" s="2019">
        <v>74</v>
      </c>
      <c r="BW85" s="2019">
        <v>22</v>
      </c>
      <c r="BX85" s="2019">
        <v>40</v>
      </c>
      <c r="BY85" s="2007">
        <f>SUM(BT85:BX85)</f>
        <v>283</v>
      </c>
      <c r="CB85" s="221">
        <f>CB84+150</f>
        <v>442.41379310344831</v>
      </c>
      <c r="CC85" s="673" t="s">
        <v>1059</v>
      </c>
    </row>
    <row r="86" spans="1:81" s="221" customFormat="1">
      <c r="A86" s="202"/>
      <c r="C86" s="1225"/>
      <c r="E86" s="316"/>
      <c r="F86" s="312"/>
      <c r="G86" s="312"/>
      <c r="H86" s="317"/>
      <c r="I86" s="308"/>
      <c r="J86" s="316"/>
      <c r="K86" s="312"/>
      <c r="L86" s="312"/>
      <c r="M86" s="317"/>
      <c r="N86" s="308"/>
      <c r="O86" s="316"/>
      <c r="P86" s="312"/>
      <c r="Q86" s="312"/>
      <c r="R86" s="317"/>
      <c r="S86" s="308"/>
      <c r="T86" s="316"/>
      <c r="U86" s="312"/>
      <c r="V86" s="312"/>
      <c r="W86" s="317"/>
      <c r="X86" s="308"/>
      <c r="Y86" s="316"/>
      <c r="Z86" s="312"/>
      <c r="AA86" s="312"/>
      <c r="AB86" s="317"/>
      <c r="AC86" s="308"/>
      <c r="AD86" s="316"/>
      <c r="AE86" s="312"/>
      <c r="AF86" s="312"/>
      <c r="AG86" s="317"/>
      <c r="AH86" s="308"/>
      <c r="AI86" s="316"/>
      <c r="AJ86" s="312"/>
      <c r="AK86" s="312"/>
      <c r="AL86" s="317"/>
      <c r="AM86" s="308"/>
      <c r="AN86" s="316"/>
      <c r="AO86" s="312"/>
      <c r="AP86" s="312"/>
      <c r="AQ86" s="317"/>
      <c r="AR86" s="308"/>
      <c r="AS86" s="316"/>
      <c r="AT86" s="312"/>
      <c r="AU86" s="312"/>
      <c r="AV86" s="317"/>
      <c r="AW86" s="308"/>
      <c r="AX86" s="316"/>
      <c r="AY86" s="312"/>
      <c r="AZ86" s="312"/>
      <c r="BA86" s="317"/>
      <c r="BB86" s="308"/>
      <c r="BC86" s="316"/>
      <c r="BD86" s="312"/>
      <c r="BE86" s="312"/>
      <c r="BF86" s="317"/>
      <c r="BG86" s="308"/>
      <c r="BH86" s="316"/>
      <c r="BI86" s="312"/>
      <c r="BJ86" s="312"/>
      <c r="BK86" s="317"/>
      <c r="BL86" s="308"/>
      <c r="BM86" s="316"/>
      <c r="BN86" s="312"/>
      <c r="BO86" s="312"/>
      <c r="BP86" s="317"/>
      <c r="BQ86" s="308"/>
      <c r="BR86" s="308"/>
      <c r="BS86" s="1978" t="s">
        <v>1031</v>
      </c>
      <c r="BT86" s="1977">
        <f>BT85*(1-0.4)/$AM$38</f>
        <v>0.11320754716981132</v>
      </c>
      <c r="BU86" s="1977">
        <f>BU85*(1-0.42)/$AM$38</f>
        <v>9.1650943396226425E-2</v>
      </c>
      <c r="BV86" s="1977">
        <f>BV85*(1-0.42)/$AM$38</f>
        <v>0.10122641509433963</v>
      </c>
      <c r="BW86" s="1977">
        <f>BW85*(1-0.42)/$AM$38</f>
        <v>3.0094339622641512E-2</v>
      </c>
      <c r="BX86" s="1977">
        <f>BX85*(1-0.42)/$AM$38</f>
        <v>5.471698113207548E-2</v>
      </c>
      <c r="BY86" s="2009">
        <f>SUM(BT86:BX86)</f>
        <v>0.39089622641509436</v>
      </c>
    </row>
    <row r="87" spans="1:81" s="91" customFormat="1">
      <c r="C87" s="1186" t="s">
        <v>911</v>
      </c>
      <c r="E87" s="235"/>
      <c r="F87" s="236"/>
      <c r="G87" s="236"/>
      <c r="H87" s="238"/>
      <c r="I87" s="352"/>
      <c r="J87" s="235"/>
      <c r="K87" s="236"/>
      <c r="L87" s="236"/>
      <c r="M87" s="238"/>
      <c r="N87" s="352"/>
      <c r="O87" s="235"/>
      <c r="P87" s="236"/>
      <c r="Q87" s="236"/>
      <c r="R87" s="238"/>
      <c r="S87" s="352"/>
      <c r="T87" s="235"/>
      <c r="U87" s="236"/>
      <c r="V87" s="236"/>
      <c r="W87" s="238"/>
      <c r="X87" s="352"/>
      <c r="Y87" s="235"/>
      <c r="Z87" s="131"/>
      <c r="AA87" s="131"/>
      <c r="AB87" s="238"/>
      <c r="AC87" s="352"/>
      <c r="AD87" s="235"/>
      <c r="AE87" s="236"/>
      <c r="AF87" s="236"/>
      <c r="AG87" s="238"/>
      <c r="AH87" s="352"/>
      <c r="AI87" s="235"/>
      <c r="AJ87" s="236"/>
      <c r="AK87" s="236"/>
      <c r="AL87" s="238"/>
      <c r="AM87" s="352"/>
      <c r="AN87" s="235"/>
      <c r="AO87" s="236"/>
      <c r="AP87" s="236"/>
      <c r="AQ87" s="238"/>
      <c r="AR87" s="352"/>
      <c r="AS87" s="235"/>
      <c r="AT87" s="236"/>
      <c r="AU87" s="236"/>
      <c r="AV87" s="238"/>
      <c r="AW87" s="352"/>
      <c r="AX87" s="235"/>
      <c r="AY87" s="236"/>
      <c r="AZ87" s="236"/>
      <c r="BA87" s="238"/>
      <c r="BB87" s="352"/>
      <c r="BC87" s="235"/>
      <c r="BD87" s="236"/>
      <c r="BE87" s="236"/>
      <c r="BF87" s="238"/>
      <c r="BG87" s="352"/>
      <c r="BH87" s="235"/>
      <c r="BI87" s="236"/>
      <c r="BJ87" s="236"/>
      <c r="BK87" s="238"/>
      <c r="BL87" s="352"/>
      <c r="BM87" s="235"/>
      <c r="BN87" s="236"/>
      <c r="BO87" s="236"/>
      <c r="BP87" s="238"/>
      <c r="BQ87" s="352"/>
      <c r="BR87" s="352"/>
      <c r="BS87" s="851"/>
      <c r="BT87" s="754"/>
      <c r="BU87" s="754"/>
      <c r="BV87" s="754"/>
      <c r="BW87" s="754"/>
      <c r="BX87" s="754"/>
      <c r="BY87" s="490"/>
    </row>
    <row r="88" spans="1:81" s="491" customFormat="1">
      <c r="C88" s="1202" t="s">
        <v>627</v>
      </c>
      <c r="E88" s="309"/>
      <c r="F88" s="310"/>
      <c r="G88" s="310"/>
      <c r="H88" s="311"/>
      <c r="I88" s="285"/>
      <c r="J88" s="309">
        <f t="shared" ref="J88:S88" si="145">J9</f>
        <v>1395</v>
      </c>
      <c r="K88" s="310">
        <f t="shared" si="145"/>
        <v>1291</v>
      </c>
      <c r="L88" s="310">
        <f t="shared" si="145"/>
        <v>1473</v>
      </c>
      <c r="M88" s="311">
        <f t="shared" si="145"/>
        <v>1114</v>
      </c>
      <c r="N88" s="285">
        <f t="shared" si="145"/>
        <v>5273</v>
      </c>
      <c r="O88" s="309">
        <f t="shared" si="145"/>
        <v>1202</v>
      </c>
      <c r="P88" s="310">
        <f t="shared" si="145"/>
        <v>1218</v>
      </c>
      <c r="Q88" s="310">
        <f t="shared" si="145"/>
        <v>1386</v>
      </c>
      <c r="R88" s="311">
        <f t="shared" si="145"/>
        <v>1129</v>
      </c>
      <c r="S88" s="285">
        <f t="shared" si="145"/>
        <v>4935</v>
      </c>
      <c r="T88" s="309">
        <f t="shared" ref="T88:Y88" si="146">T9</f>
        <v>1121</v>
      </c>
      <c r="U88" s="310">
        <f t="shared" si="146"/>
        <v>952</v>
      </c>
      <c r="V88" s="310">
        <f t="shared" si="146"/>
        <v>1086</v>
      </c>
      <c r="W88" s="311">
        <f t="shared" si="146"/>
        <v>905</v>
      </c>
      <c r="X88" s="285">
        <f t="shared" si="146"/>
        <v>4064</v>
      </c>
      <c r="Y88" s="309">
        <f t="shared" si="146"/>
        <v>962</v>
      </c>
      <c r="Z88" s="297">
        <f t="shared" ref="Z88:AE88" si="147">Z9</f>
        <v>837</v>
      </c>
      <c r="AA88" s="297">
        <f t="shared" si="147"/>
        <v>998</v>
      </c>
      <c r="AB88" s="311">
        <f t="shared" si="147"/>
        <v>888</v>
      </c>
      <c r="AC88" s="285">
        <f t="shared" si="147"/>
        <v>3685</v>
      </c>
      <c r="AD88" s="309">
        <f t="shared" si="147"/>
        <v>1134</v>
      </c>
      <c r="AE88" s="310">
        <f t="shared" si="147"/>
        <v>875</v>
      </c>
      <c r="AF88" s="310">
        <f t="shared" ref="AF88:AJ88" si="148">AF9</f>
        <v>1032</v>
      </c>
      <c r="AG88" s="311">
        <f t="shared" si="148"/>
        <v>911</v>
      </c>
      <c r="AH88" s="285">
        <f t="shared" si="148"/>
        <v>3952</v>
      </c>
      <c r="AI88" s="309">
        <f t="shared" si="148"/>
        <v>1121</v>
      </c>
      <c r="AJ88" s="310">
        <f t="shared" si="148"/>
        <v>926</v>
      </c>
      <c r="AK88" s="310">
        <f t="shared" ref="AK88:AO88" si="149">AK9</f>
        <v>1120</v>
      </c>
      <c r="AL88" s="311">
        <f t="shared" si="149"/>
        <v>914</v>
      </c>
      <c r="AM88" s="285">
        <f t="shared" si="149"/>
        <v>4081</v>
      </c>
      <c r="AN88" s="309">
        <f t="shared" si="149"/>
        <v>1065</v>
      </c>
      <c r="AO88" s="310">
        <f t="shared" si="149"/>
        <v>862</v>
      </c>
      <c r="AP88" s="310">
        <f t="shared" ref="AP88:AT88" si="150">AP9</f>
        <v>1058</v>
      </c>
      <c r="AQ88" s="311">
        <f t="shared" si="150"/>
        <v>855</v>
      </c>
      <c r="AR88" s="285">
        <f t="shared" si="150"/>
        <v>3840</v>
      </c>
      <c r="AS88" s="309">
        <f t="shared" si="150"/>
        <v>954</v>
      </c>
      <c r="AT88" s="310">
        <f t="shared" si="150"/>
        <v>778</v>
      </c>
      <c r="AU88" s="310">
        <f t="shared" ref="AU88:AW88" si="151">AU9</f>
        <v>923</v>
      </c>
      <c r="AV88" s="311">
        <f t="shared" si="151"/>
        <v>762</v>
      </c>
      <c r="AW88" s="285">
        <f t="shared" si="151"/>
        <v>3417</v>
      </c>
      <c r="AX88" s="309">
        <f t="shared" ref="AX88:BB88" si="152">AX79*AX89/1000</f>
        <v>969.09385113268615</v>
      </c>
      <c r="AY88" s="310">
        <f t="shared" si="152"/>
        <v>785.77999999999986</v>
      </c>
      <c r="AZ88" s="310">
        <f t="shared" si="152"/>
        <v>922.75287817938431</v>
      </c>
      <c r="BA88" s="311">
        <f t="shared" si="152"/>
        <v>762.00000000000011</v>
      </c>
      <c r="BB88" s="285">
        <f t="shared" si="152"/>
        <v>3439.62672931207</v>
      </c>
      <c r="BC88" s="309">
        <f t="shared" ref="BC88:BL88" si="153">BC79*BC89/1000</f>
        <v>969.09385113268615</v>
      </c>
      <c r="BD88" s="310">
        <f t="shared" si="153"/>
        <v>785.77999999999986</v>
      </c>
      <c r="BE88" s="310">
        <f t="shared" si="153"/>
        <v>922.75287817938431</v>
      </c>
      <c r="BF88" s="311">
        <f t="shared" si="153"/>
        <v>762.00000000000011</v>
      </c>
      <c r="BG88" s="285">
        <f t="shared" si="153"/>
        <v>3439.62672931207</v>
      </c>
      <c r="BH88" s="309">
        <f t="shared" si="153"/>
        <v>969.09385113268615</v>
      </c>
      <c r="BI88" s="310">
        <f t="shared" si="153"/>
        <v>785.77999999999986</v>
      </c>
      <c r="BJ88" s="310">
        <f t="shared" si="153"/>
        <v>922.75287817938431</v>
      </c>
      <c r="BK88" s="311">
        <f t="shared" si="153"/>
        <v>762.00000000000011</v>
      </c>
      <c r="BL88" s="285">
        <f t="shared" si="153"/>
        <v>3439.62672931207</v>
      </c>
      <c r="BM88" s="309">
        <f t="shared" ref="BM88:BQ88" si="154">BM79*BM89/1000</f>
        <v>969.09385113268615</v>
      </c>
      <c r="BN88" s="310">
        <f t="shared" si="154"/>
        <v>785.77999999999986</v>
      </c>
      <c r="BO88" s="310">
        <f t="shared" si="154"/>
        <v>922.75287817938431</v>
      </c>
      <c r="BP88" s="311">
        <f t="shared" si="154"/>
        <v>762.00000000000011</v>
      </c>
      <c r="BQ88" s="285">
        <f t="shared" si="154"/>
        <v>3439.62672931207</v>
      </c>
      <c r="BR88" s="285"/>
      <c r="BS88" s="851"/>
      <c r="BT88" s="754"/>
      <c r="BU88" s="754"/>
      <c r="BV88" s="754"/>
      <c r="BW88" s="754"/>
      <c r="BX88" s="754"/>
      <c r="BY88" s="221"/>
    </row>
    <row r="89" spans="1:81" s="507" customFormat="1">
      <c r="C89" s="1226" t="s">
        <v>754</v>
      </c>
      <c r="E89" s="509"/>
      <c r="F89" s="510"/>
      <c r="G89" s="510"/>
      <c r="H89" s="511"/>
      <c r="I89" s="508"/>
      <c r="J89" s="509">
        <f t="shared" ref="J89:S89" si="155">(J88/J79)*1000</f>
        <v>51.881880392740257</v>
      </c>
      <c r="K89" s="510">
        <f t="shared" si="155"/>
        <v>50.112568899930125</v>
      </c>
      <c r="L89" s="510">
        <f t="shared" si="155"/>
        <v>50</v>
      </c>
      <c r="M89" s="511">
        <f t="shared" si="155"/>
        <v>42.943602790948695</v>
      </c>
      <c r="N89" s="508">
        <f t="shared" si="155"/>
        <v>48.801029143645131</v>
      </c>
      <c r="O89" s="509">
        <f t="shared" si="155"/>
        <v>38.607310335967107</v>
      </c>
      <c r="P89" s="510">
        <f t="shared" si="155"/>
        <v>34.799999999999997</v>
      </c>
      <c r="Q89" s="510">
        <f t="shared" si="155"/>
        <v>34.095940959409589</v>
      </c>
      <c r="R89" s="511">
        <f t="shared" si="155"/>
        <v>32.448123239639017</v>
      </c>
      <c r="S89" s="508">
        <f t="shared" si="155"/>
        <v>34.857110568026108</v>
      </c>
      <c r="T89" s="509">
        <f t="shared" ref="T89:Y89" si="156">(T88/T79)*1000</f>
        <v>30.137649209592428</v>
      </c>
      <c r="U89" s="510">
        <f t="shared" si="156"/>
        <v>26.945175624805412</v>
      </c>
      <c r="V89" s="510">
        <f t="shared" si="156"/>
        <v>27.864015394483644</v>
      </c>
      <c r="W89" s="511">
        <f t="shared" si="156"/>
        <v>25.784210376363998</v>
      </c>
      <c r="X89" s="508">
        <f t="shared" si="156"/>
        <v>27.721502581837779</v>
      </c>
      <c r="Y89" s="509">
        <f t="shared" si="156"/>
        <v>25.199738048461032</v>
      </c>
      <c r="Z89" s="1577">
        <f t="shared" ref="Z89:AE89" si="157">(Z88/Z79)*1000</f>
        <v>23.910186825115694</v>
      </c>
      <c r="AA89" s="1577">
        <f t="shared" si="157"/>
        <v>26.154410608522458</v>
      </c>
      <c r="AB89" s="511">
        <f t="shared" si="157"/>
        <v>24.296150373471232</v>
      </c>
      <c r="AC89" s="508">
        <f t="shared" si="157"/>
        <v>24.917505139024126</v>
      </c>
      <c r="AD89" s="509">
        <f t="shared" si="157"/>
        <v>28.040156273181346</v>
      </c>
      <c r="AE89" s="510">
        <f t="shared" si="157"/>
        <v>24.871379437764702</v>
      </c>
      <c r="AF89" s="510">
        <f t="shared" ref="AF89:AJ89" si="158">(AF88/AF79)*1000</f>
        <v>27.456301380796553</v>
      </c>
      <c r="AG89" s="511">
        <f t="shared" si="158"/>
        <v>25.066725366645574</v>
      </c>
      <c r="AH89" s="508">
        <f t="shared" si="158"/>
        <v>26.425414401583385</v>
      </c>
      <c r="AI89" s="509">
        <f t="shared" si="158"/>
        <v>27.623764816046918</v>
      </c>
      <c r="AJ89" s="510">
        <f t="shared" si="158"/>
        <v>26.394550066984007</v>
      </c>
      <c r="AK89" s="510">
        <f t="shared" ref="AK89:AO89" si="159">(AK88/AK79)*1000</f>
        <v>28.989258444415686</v>
      </c>
      <c r="AL89" s="511">
        <f t="shared" si="159"/>
        <v>26.794090056285178</v>
      </c>
      <c r="AM89" s="508">
        <f t="shared" si="159"/>
        <v>27.497961741380355</v>
      </c>
      <c r="AN89" s="509">
        <f t="shared" si="159"/>
        <v>28.460716194548372</v>
      </c>
      <c r="AO89" s="510">
        <f t="shared" si="159"/>
        <v>24.988404452690165</v>
      </c>
      <c r="AP89" s="510">
        <f t="shared" ref="AP89:AT89" si="160">(AP88/AP79)*1000</f>
        <v>25.611232147179859</v>
      </c>
      <c r="AQ89" s="511">
        <f t="shared" si="160"/>
        <v>24.006738733679629</v>
      </c>
      <c r="AR89" s="508">
        <f t="shared" si="160"/>
        <v>25.79934292298493</v>
      </c>
      <c r="AS89" s="509">
        <f t="shared" si="160"/>
        <v>25.860666847384117</v>
      </c>
      <c r="AT89" s="510">
        <f t="shared" si="160"/>
        <v>22.723289911793913</v>
      </c>
      <c r="AU89" s="510">
        <f t="shared" ref="AU89:AW89" si="161">(AU88/AU79)*1000</f>
        <v>24.029574861367838</v>
      </c>
      <c r="AV89" s="511">
        <f t="shared" si="161"/>
        <v>21.063106393564976</v>
      </c>
      <c r="AW89" s="508">
        <f t="shared" si="161"/>
        <v>23.449724120892697</v>
      </c>
      <c r="AX89" s="509">
        <f>AS89</f>
        <v>25.860666847384117</v>
      </c>
      <c r="AY89" s="510">
        <f>AT89</f>
        <v>22.723289911793913</v>
      </c>
      <c r="AZ89" s="510">
        <f>AU89</f>
        <v>24.029574861367838</v>
      </c>
      <c r="BA89" s="511">
        <f>AV89</f>
        <v>21.063106393564976</v>
      </c>
      <c r="BB89" s="508">
        <f>BB9/BB79*1000</f>
        <v>23.457583894413556</v>
      </c>
      <c r="BC89" s="509">
        <f>AX89</f>
        <v>25.860666847384117</v>
      </c>
      <c r="BD89" s="510">
        <f>AY89</f>
        <v>22.723289911793913</v>
      </c>
      <c r="BE89" s="510">
        <f>AZ89</f>
        <v>24.029574861367838</v>
      </c>
      <c r="BF89" s="511">
        <f>BA89</f>
        <v>21.063106393564976</v>
      </c>
      <c r="BG89" s="508">
        <f>BG9/BG79*1000</f>
        <v>23.457583894413556</v>
      </c>
      <c r="BH89" s="509">
        <f>BC89</f>
        <v>25.860666847384117</v>
      </c>
      <c r="BI89" s="510">
        <f>BD89</f>
        <v>22.723289911793913</v>
      </c>
      <c r="BJ89" s="510">
        <f>BE89</f>
        <v>24.029574861367838</v>
      </c>
      <c r="BK89" s="511">
        <f>BF89</f>
        <v>21.063106393564976</v>
      </c>
      <c r="BL89" s="508">
        <f>BL9/BL79*1000</f>
        <v>23.457583894413556</v>
      </c>
      <c r="BM89" s="509">
        <f>BH89</f>
        <v>25.860666847384117</v>
      </c>
      <c r="BN89" s="510">
        <f>BI89</f>
        <v>22.723289911793913</v>
      </c>
      <c r="BO89" s="510">
        <f>BJ89</f>
        <v>24.029574861367838</v>
      </c>
      <c r="BP89" s="511">
        <f>BK89</f>
        <v>21.063106393564976</v>
      </c>
      <c r="BQ89" s="508">
        <f>BQ9/BQ79*1000</f>
        <v>23.457583894413556</v>
      </c>
      <c r="BR89" s="508"/>
      <c r="BS89" s="1970" t="s">
        <v>1040</v>
      </c>
      <c r="BT89" s="490"/>
      <c r="BU89" s="490"/>
      <c r="BV89" s="490"/>
      <c r="BW89" s="1111"/>
      <c r="BX89" s="490"/>
      <c r="BY89" s="221"/>
    </row>
    <row r="90" spans="1:81" s="221" customFormat="1">
      <c r="A90" s="202"/>
      <c r="B90" s="491"/>
      <c r="C90" s="1187"/>
      <c r="E90" s="316"/>
      <c r="F90" s="312"/>
      <c r="G90" s="312"/>
      <c r="H90" s="317"/>
      <c r="I90" s="308"/>
      <c r="J90" s="316"/>
      <c r="K90" s="312"/>
      <c r="L90" s="312"/>
      <c r="M90" s="317"/>
      <c r="N90" s="308"/>
      <c r="O90" s="316"/>
      <c r="P90" s="312"/>
      <c r="Q90" s="312"/>
      <c r="R90" s="317"/>
      <c r="S90" s="308"/>
      <c r="T90" s="316"/>
      <c r="U90" s="312"/>
      <c r="V90" s="312"/>
      <c r="W90" s="317"/>
      <c r="X90" s="308"/>
      <c r="Y90" s="316"/>
      <c r="Z90" s="312"/>
      <c r="AA90" s="312"/>
      <c r="AB90" s="317"/>
      <c r="AC90" s="308"/>
      <c r="AD90" s="316"/>
      <c r="AE90" s="312"/>
      <c r="AF90" s="312"/>
      <c r="AG90" s="317"/>
      <c r="AH90" s="308"/>
      <c r="AI90" s="316"/>
      <c r="AJ90" s="312"/>
      <c r="AK90" s="312"/>
      <c r="AL90" s="317"/>
      <c r="AM90" s="308"/>
      <c r="AN90" s="316"/>
      <c r="AO90" s="312"/>
      <c r="AP90" s="312"/>
      <c r="AQ90" s="317"/>
      <c r="AR90" s="308"/>
      <c r="AS90" s="316"/>
      <c r="AT90" s="312"/>
      <c r="AU90" s="312"/>
      <c r="AV90" s="317"/>
      <c r="AW90" s="308"/>
      <c r="AX90" s="316"/>
      <c r="AY90" s="312"/>
      <c r="AZ90" s="312"/>
      <c r="BA90" s="317"/>
      <c r="BB90" s="308"/>
      <c r="BC90" s="316"/>
      <c r="BD90" s="312"/>
      <c r="BE90" s="312"/>
      <c r="BF90" s="317"/>
      <c r="BG90" s="308"/>
      <c r="BH90" s="316"/>
      <c r="BI90" s="312"/>
      <c r="BJ90" s="312"/>
      <c r="BK90" s="317"/>
      <c r="BL90" s="308"/>
      <c r="BM90" s="316"/>
      <c r="BN90" s="312"/>
      <c r="BO90" s="312"/>
      <c r="BP90" s="317"/>
      <c r="BQ90" s="308"/>
      <c r="BR90" s="308"/>
      <c r="BS90" s="1992"/>
      <c r="BT90" s="1993" t="s">
        <v>1037</v>
      </c>
      <c r="BU90" s="1993" t="s">
        <v>1038</v>
      </c>
      <c r="BV90" s="1993" t="s">
        <v>1039</v>
      </c>
      <c r="BW90" s="1987" t="s">
        <v>215</v>
      </c>
    </row>
    <row r="91" spans="1:81" s="490" customFormat="1">
      <c r="C91" s="1186" t="s">
        <v>912</v>
      </c>
      <c r="E91" s="305"/>
      <c r="F91" s="306"/>
      <c r="G91" s="306"/>
      <c r="H91" s="307"/>
      <c r="I91" s="308"/>
      <c r="J91" s="305">
        <f>J83-J88</f>
        <v>1089</v>
      </c>
      <c r="K91" s="306">
        <f t="shared" ref="K91:S91" si="162">K83-K88</f>
        <v>1042</v>
      </c>
      <c r="L91" s="306">
        <f t="shared" si="162"/>
        <v>1272</v>
      </c>
      <c r="M91" s="307">
        <f t="shared" si="162"/>
        <v>1034</v>
      </c>
      <c r="N91" s="308">
        <f t="shared" si="162"/>
        <v>4437</v>
      </c>
      <c r="O91" s="305">
        <f t="shared" si="162"/>
        <v>1021</v>
      </c>
      <c r="P91" s="306">
        <f t="shared" si="162"/>
        <v>1191</v>
      </c>
      <c r="Q91" s="306">
        <f t="shared" si="162"/>
        <v>1479</v>
      </c>
      <c r="R91" s="307">
        <f t="shared" si="162"/>
        <v>1114</v>
      </c>
      <c r="S91" s="308">
        <f t="shared" si="162"/>
        <v>4805</v>
      </c>
      <c r="T91" s="305">
        <f t="shared" ref="T91:Y91" si="163">T83-T88</f>
        <v>1233</v>
      </c>
      <c r="U91" s="306">
        <f t="shared" si="163"/>
        <v>1143</v>
      </c>
      <c r="V91" s="306">
        <f t="shared" si="163"/>
        <v>1352</v>
      </c>
      <c r="W91" s="307">
        <f t="shared" si="163"/>
        <v>1105</v>
      </c>
      <c r="X91" s="308">
        <f t="shared" si="163"/>
        <v>4833</v>
      </c>
      <c r="Y91" s="305">
        <f t="shared" si="163"/>
        <v>1250</v>
      </c>
      <c r="Z91" s="306">
        <f t="shared" ref="Z91:AE91" si="164">Z83-Z88</f>
        <v>1204</v>
      </c>
      <c r="AA91" s="306">
        <f t="shared" si="164"/>
        <v>1342</v>
      </c>
      <c r="AB91" s="307">
        <f t="shared" si="164"/>
        <v>1257</v>
      </c>
      <c r="AC91" s="308">
        <f t="shared" si="164"/>
        <v>5053</v>
      </c>
      <c r="AD91" s="305">
        <f t="shared" si="164"/>
        <v>1418</v>
      </c>
      <c r="AE91" s="306">
        <f t="shared" si="164"/>
        <v>1190</v>
      </c>
      <c r="AF91" s="306">
        <f t="shared" ref="AF91:AJ91" si="165">AF83-AF88</f>
        <v>1325</v>
      </c>
      <c r="AG91" s="307">
        <f t="shared" si="165"/>
        <v>1217</v>
      </c>
      <c r="AH91" s="308">
        <f t="shared" si="165"/>
        <v>5150</v>
      </c>
      <c r="AI91" s="305">
        <f t="shared" si="165"/>
        <v>1441</v>
      </c>
      <c r="AJ91" s="306">
        <f t="shared" si="165"/>
        <v>1313</v>
      </c>
      <c r="AK91" s="306">
        <f t="shared" ref="AK91:AO91" si="166">AK83-AK88</f>
        <v>1504</v>
      </c>
      <c r="AL91" s="307">
        <f t="shared" si="166"/>
        <v>1286</v>
      </c>
      <c r="AM91" s="308">
        <f t="shared" si="166"/>
        <v>5544</v>
      </c>
      <c r="AN91" s="305">
        <f t="shared" si="166"/>
        <v>1456</v>
      </c>
      <c r="AO91" s="306">
        <f t="shared" si="166"/>
        <v>1338</v>
      </c>
      <c r="AP91" s="306">
        <f t="shared" ref="AP91:AT91" si="167">AP83-AP88</f>
        <v>1644</v>
      </c>
      <c r="AQ91" s="307">
        <f t="shared" si="167"/>
        <v>1351</v>
      </c>
      <c r="AR91" s="308">
        <f t="shared" si="167"/>
        <v>5789</v>
      </c>
      <c r="AS91" s="305">
        <f t="shared" si="167"/>
        <v>1536</v>
      </c>
      <c r="AT91" s="306">
        <f t="shared" si="167"/>
        <v>1484</v>
      </c>
      <c r="AU91" s="306">
        <f t="shared" ref="AU91:AW91" si="168">AU83-AU88</f>
        <v>1687</v>
      </c>
      <c r="AV91" s="307">
        <f t="shared" si="168"/>
        <v>1610</v>
      </c>
      <c r="AW91" s="308">
        <f t="shared" si="168"/>
        <v>6317</v>
      </c>
      <c r="AX91" s="305">
        <f t="shared" ref="AX91:BB91" si="169">AX83-AX88</f>
        <v>1509.0773746939035</v>
      </c>
      <c r="AY91" s="306">
        <f t="shared" si="169"/>
        <v>1419.6870746348086</v>
      </c>
      <c r="AZ91" s="306">
        <f t="shared" si="169"/>
        <v>1563.0553276754608</v>
      </c>
      <c r="BA91" s="307">
        <f t="shared" si="169"/>
        <v>1497.7056446569318</v>
      </c>
      <c r="BB91" s="308">
        <f t="shared" si="169"/>
        <v>5989.5254216611056</v>
      </c>
      <c r="BC91" s="305">
        <f t="shared" ref="BC91:BL91" si="170">BC83-BC88</f>
        <v>1534.7952800993089</v>
      </c>
      <c r="BD91" s="306">
        <f t="shared" si="170"/>
        <v>1445.404980040214</v>
      </c>
      <c r="BE91" s="306">
        <f t="shared" si="170"/>
        <v>1588.7732330808658</v>
      </c>
      <c r="BF91" s="307">
        <f t="shared" si="170"/>
        <v>1523.4235500623372</v>
      </c>
      <c r="BG91" s="308">
        <f t="shared" si="170"/>
        <v>6092.3970432827255</v>
      </c>
      <c r="BH91" s="305">
        <f t="shared" si="170"/>
        <v>1518.1888611803902</v>
      </c>
      <c r="BI91" s="306">
        <f t="shared" si="170"/>
        <v>1428.7985611212944</v>
      </c>
      <c r="BJ91" s="306">
        <f t="shared" si="170"/>
        <v>1572.1668141619471</v>
      </c>
      <c r="BK91" s="307">
        <f t="shared" si="170"/>
        <v>1506.8171311434185</v>
      </c>
      <c r="BL91" s="308">
        <f t="shared" si="170"/>
        <v>6025.9713676070505</v>
      </c>
      <c r="BM91" s="305">
        <f t="shared" ref="BM91:BQ91" si="171">BM83-BM88</f>
        <v>1556.5587936128227</v>
      </c>
      <c r="BN91" s="306">
        <f t="shared" si="171"/>
        <v>1467.1684935537273</v>
      </c>
      <c r="BO91" s="306">
        <f t="shared" si="171"/>
        <v>1610.5367465943791</v>
      </c>
      <c r="BP91" s="307">
        <f t="shared" si="171"/>
        <v>1545.187063575851</v>
      </c>
      <c r="BQ91" s="308">
        <f t="shared" si="171"/>
        <v>6179.4510973367805</v>
      </c>
      <c r="BR91" s="308"/>
      <c r="BS91" s="1980" t="s">
        <v>1051</v>
      </c>
      <c r="BT91" s="1888">
        <v>1251</v>
      </c>
      <c r="BU91" s="1888">
        <v>984</v>
      </c>
      <c r="BV91" s="1888">
        <v>414</v>
      </c>
      <c r="BW91" s="1988">
        <f>BV91+BU91+BT91</f>
        <v>2649</v>
      </c>
      <c r="BX91" s="221"/>
      <c r="BY91" s="91"/>
    </row>
    <row r="92" spans="1:81" s="497" customFormat="1">
      <c r="C92" s="1227" t="s">
        <v>913</v>
      </c>
      <c r="E92" s="141"/>
      <c r="F92" s="84"/>
      <c r="G92" s="84"/>
      <c r="H92" s="142"/>
      <c r="I92" s="498"/>
      <c r="J92" s="141"/>
      <c r="K92" s="84"/>
      <c r="L92" s="84"/>
      <c r="M92" s="142"/>
      <c r="N92" s="498"/>
      <c r="O92" s="141">
        <f>O91/J91-1</f>
        <v>-6.244260789715339E-2</v>
      </c>
      <c r="P92" s="84">
        <f>P91/K91-1</f>
        <v>0.14299424184261045</v>
      </c>
      <c r="Q92" s="84">
        <f>Q91/L91-1</f>
        <v>0.16273584905660377</v>
      </c>
      <c r="R92" s="142">
        <f t="shared" ref="R92:Y92" si="172">R91/M91-1</f>
        <v>7.7369439071566681E-2</v>
      </c>
      <c r="S92" s="498">
        <f t="shared" si="172"/>
        <v>8.293892269551506E-2</v>
      </c>
      <c r="T92" s="141">
        <f t="shared" si="172"/>
        <v>0.20763956904995107</v>
      </c>
      <c r="U92" s="84">
        <f t="shared" si="172"/>
        <v>-4.0302267002518932E-2</v>
      </c>
      <c r="V92" s="84">
        <f>V91/Q91-1</f>
        <v>-8.5868830290736997E-2</v>
      </c>
      <c r="W92" s="142">
        <f>W91/R91-1</f>
        <v>-8.0789946140036317E-3</v>
      </c>
      <c r="X92" s="498">
        <f>X91/S91-1</f>
        <v>5.8272632674296609E-3</v>
      </c>
      <c r="Y92" s="141">
        <f t="shared" si="172"/>
        <v>1.3787510137875048E-2</v>
      </c>
      <c r="Z92" s="697">
        <f t="shared" ref="Z92:AE92" si="173">Z91/U91-1</f>
        <v>5.3368328958880218E-2</v>
      </c>
      <c r="AA92" s="697">
        <f t="shared" si="173"/>
        <v>-7.3964497041419941E-3</v>
      </c>
      <c r="AB92" s="142">
        <f t="shared" si="173"/>
        <v>0.13755656108597281</v>
      </c>
      <c r="AC92" s="498">
        <f t="shared" si="173"/>
        <v>4.5520380715911468E-2</v>
      </c>
      <c r="AD92" s="141">
        <f t="shared" si="173"/>
        <v>0.13440000000000007</v>
      </c>
      <c r="AE92" s="84">
        <f t="shared" si="173"/>
        <v>-1.1627906976744207E-2</v>
      </c>
      <c r="AF92" s="84">
        <f t="shared" ref="AF92:AN92" si="174">AF91/AA91-1</f>
        <v>-1.2667660208643849E-2</v>
      </c>
      <c r="AG92" s="142">
        <f t="shared" si="174"/>
        <v>-3.1821797931583129E-2</v>
      </c>
      <c r="AH92" s="498">
        <f t="shared" si="174"/>
        <v>1.9196516920641171E-2</v>
      </c>
      <c r="AI92" s="141">
        <f t="shared" si="174"/>
        <v>1.6220028208744797E-2</v>
      </c>
      <c r="AJ92" s="84">
        <f>AJ91/AE91-1</f>
        <v>0.1033613445378152</v>
      </c>
      <c r="AK92" s="84">
        <f t="shared" ref="AK92" si="175">AK91/AF91-1</f>
        <v>0.13509433962264161</v>
      </c>
      <c r="AL92" s="142">
        <f t="shared" ref="AL92" si="176">AL91/AG91-1</f>
        <v>5.6696795398520905E-2</v>
      </c>
      <c r="AM92" s="498">
        <f t="shared" ref="AM92" si="177">AM91/AH91-1</f>
        <v>7.6504854368931952E-2</v>
      </c>
      <c r="AN92" s="141">
        <f t="shared" si="174"/>
        <v>1.0409437890353868E-2</v>
      </c>
      <c r="AO92" s="84">
        <f>AO91/AJ91-1</f>
        <v>1.9040365575019091E-2</v>
      </c>
      <c r="AP92" s="84">
        <f t="shared" ref="AP92" si="178">AP91/AK91-1</f>
        <v>9.3085106382978733E-2</v>
      </c>
      <c r="AQ92" s="142">
        <f t="shared" ref="AQ92" si="179">AQ91/AL91-1</f>
        <v>5.0544323483670217E-2</v>
      </c>
      <c r="AR92" s="498">
        <f t="shared" ref="AR92:AS92" si="180">AR91/AM91-1</f>
        <v>4.4191919191919116E-2</v>
      </c>
      <c r="AS92" s="141">
        <f t="shared" si="180"/>
        <v>5.4945054945054972E-2</v>
      </c>
      <c r="AT92" s="84">
        <f>AT91/AO91-1</f>
        <v>0.10911808669656198</v>
      </c>
      <c r="AU92" s="84">
        <f>AU91/AP91-1</f>
        <v>2.6155717761557229E-2</v>
      </c>
      <c r="AV92" s="142">
        <f t="shared" ref="AV92" si="181">AV91/AQ91-1</f>
        <v>0.19170984455958551</v>
      </c>
      <c r="AW92" s="498">
        <f t="shared" ref="AW92" si="182">AW91/AR91-1</f>
        <v>9.1207462428744224E-2</v>
      </c>
      <c r="AX92" s="141">
        <f t="shared" ref="AX92:BB92" si="183">AX91/AS91-1</f>
        <v>-1.7527750850323209E-2</v>
      </c>
      <c r="AY92" s="84">
        <f t="shared" si="183"/>
        <v>-4.3337550785169432E-2</v>
      </c>
      <c r="AZ92" s="84">
        <f t="shared" si="183"/>
        <v>-7.3470463737130509E-2</v>
      </c>
      <c r="BA92" s="142">
        <f t="shared" si="183"/>
        <v>-6.9748046796936802E-2</v>
      </c>
      <c r="BB92" s="498">
        <f t="shared" si="183"/>
        <v>-5.1840205530931494E-2</v>
      </c>
      <c r="BC92" s="141">
        <f t="shared" ref="BC92:BL92" si="184">BC91/AX91-1</f>
        <v>1.7042138353324576E-2</v>
      </c>
      <c r="BD92" s="84">
        <f t="shared" si="184"/>
        <v>1.8115193034367039E-2</v>
      </c>
      <c r="BE92" s="84">
        <f t="shared" si="184"/>
        <v>1.6453611686063629E-2</v>
      </c>
      <c r="BF92" s="142">
        <f t="shared" si="184"/>
        <v>1.7171535339506772E-2</v>
      </c>
      <c r="BG92" s="498">
        <f t="shared" si="184"/>
        <v>1.7175254194528478E-2</v>
      </c>
      <c r="BH92" s="141">
        <f t="shared" si="184"/>
        <v>-1.0819956989862711E-2</v>
      </c>
      <c r="BI92" s="84">
        <f t="shared" si="184"/>
        <v>-1.1489111458892087E-2</v>
      </c>
      <c r="BJ92" s="84">
        <f t="shared" si="184"/>
        <v>-1.0452353157232142E-2</v>
      </c>
      <c r="BK92" s="142">
        <f t="shared" si="184"/>
        <v>-1.0900723517264232E-2</v>
      </c>
      <c r="BL92" s="498">
        <f t="shared" si="184"/>
        <v>-1.0903044434524167E-2</v>
      </c>
      <c r="BM92" s="141">
        <f t="shared" ref="BM92" si="185">BM91/BH91-1</f>
        <v>2.5273490942753885E-2</v>
      </c>
      <c r="BN92" s="84">
        <f t="shared" ref="BN92" si="186">BN91/BI91-1</f>
        <v>2.6854683001864776E-2</v>
      </c>
      <c r="BO92" s="84">
        <f t="shared" ref="BO92" si="187">BO91/BJ91-1</f>
        <v>2.4405764125536189E-2</v>
      </c>
      <c r="BP92" s="142">
        <f t="shared" ref="BP92" si="188">BP91/BK91-1</f>
        <v>2.5464226308149485E-2</v>
      </c>
      <c r="BQ92" s="498">
        <f t="shared" ref="BQ92" si="189">BQ91/BL91-1</f>
        <v>2.5469707764422589E-2</v>
      </c>
      <c r="BR92" s="498"/>
      <c r="BS92" s="1994" t="s">
        <v>1045</v>
      </c>
      <c r="BT92" s="298">
        <f>'Utility Detail'!AH11-'Utility Detail'!I11</f>
        <v>547</v>
      </c>
      <c r="BU92" s="298">
        <f>'Utility Detail'!AH12-'Utility Detail'!I12</f>
        <v>394.79200000000003</v>
      </c>
      <c r="BV92" s="298">
        <f>'Utility Detail'!AH13-'Utility Detail'!I13</f>
        <v>42.051999999999964</v>
      </c>
      <c r="BW92" s="1988">
        <f>BV92+BU92+BT92</f>
        <v>983.84400000000005</v>
      </c>
      <c r="BX92" s="221"/>
      <c r="BY92" s="491"/>
    </row>
    <row r="93" spans="1:81" s="497" customFormat="1">
      <c r="C93" s="1227"/>
      <c r="E93" s="141"/>
      <c r="F93" s="84"/>
      <c r="G93" s="84"/>
      <c r="H93" s="142"/>
      <c r="I93" s="498"/>
      <c r="J93" s="141"/>
      <c r="K93" s="84"/>
      <c r="L93" s="84"/>
      <c r="M93" s="142"/>
      <c r="N93" s="498"/>
      <c r="O93" s="141"/>
      <c r="P93" s="84"/>
      <c r="Q93" s="84"/>
      <c r="R93" s="142"/>
      <c r="S93" s="498"/>
      <c r="T93" s="141"/>
      <c r="U93" s="84"/>
      <c r="V93" s="84"/>
      <c r="W93" s="142"/>
      <c r="X93" s="498"/>
      <c r="Y93" s="141"/>
      <c r="Z93" s="697"/>
      <c r="AA93" s="697"/>
      <c r="AB93" s="142"/>
      <c r="AC93" s="498"/>
      <c r="AD93" s="141"/>
      <c r="AE93" s="84"/>
      <c r="AF93" s="84"/>
      <c r="AG93" s="142"/>
      <c r="AH93" s="498"/>
      <c r="AI93" s="141"/>
      <c r="AJ93" s="84"/>
      <c r="AK93" s="84"/>
      <c r="AL93" s="142"/>
      <c r="AM93" s="498"/>
      <c r="AN93" s="141"/>
      <c r="AO93" s="84"/>
      <c r="AP93" s="84"/>
      <c r="AQ93" s="142"/>
      <c r="AR93" s="498"/>
      <c r="AS93" s="141"/>
      <c r="AT93" s="84"/>
      <c r="AU93" s="84"/>
      <c r="AV93" s="142"/>
      <c r="AW93" s="498"/>
      <c r="AX93" s="141"/>
      <c r="AY93" s="84"/>
      <c r="AZ93" s="84"/>
      <c r="BA93" s="142"/>
      <c r="BB93" s="498"/>
      <c r="BC93" s="141"/>
      <c r="BD93" s="84"/>
      <c r="BE93" s="84"/>
      <c r="BF93" s="142"/>
      <c r="BG93" s="498"/>
      <c r="BH93" s="141"/>
      <c r="BI93" s="84"/>
      <c r="BJ93" s="84"/>
      <c r="BK93" s="142"/>
      <c r="BL93" s="498"/>
      <c r="BM93" s="141"/>
      <c r="BN93" s="84"/>
      <c r="BO93" s="84"/>
      <c r="BP93" s="142"/>
      <c r="BQ93" s="498"/>
      <c r="BR93" s="498"/>
      <c r="BS93" s="1995" t="s">
        <v>1046</v>
      </c>
      <c r="BT93" s="298">
        <f>BT92+BT91</f>
        <v>1798</v>
      </c>
      <c r="BU93" s="298">
        <f>BU92+BU91</f>
        <v>1378.7919999999999</v>
      </c>
      <c r="BV93" s="298">
        <f>BV92+BV91</f>
        <v>456.05199999999996</v>
      </c>
      <c r="BW93" s="1988">
        <f>BV93+BU93+BT93</f>
        <v>3632.8440000000001</v>
      </c>
      <c r="BX93" s="501"/>
      <c r="BY93" s="507"/>
    </row>
    <row r="94" spans="1:81" s="221" customFormat="1">
      <c r="A94" s="202"/>
      <c r="C94" s="1186" t="s">
        <v>718</v>
      </c>
      <c r="E94" s="288"/>
      <c r="F94" s="289"/>
      <c r="G94" s="289"/>
      <c r="H94" s="299"/>
      <c r="I94" s="291"/>
      <c r="J94" s="288"/>
      <c r="K94" s="289"/>
      <c r="L94" s="289"/>
      <c r="M94" s="317"/>
      <c r="N94" s="291"/>
      <c r="O94" s="288"/>
      <c r="P94" s="289"/>
      <c r="Q94" s="289"/>
      <c r="R94" s="317"/>
      <c r="S94" s="291"/>
      <c r="T94" s="288"/>
      <c r="U94" s="289"/>
      <c r="V94" s="289"/>
      <c r="W94" s="317"/>
      <c r="X94" s="308"/>
      <c r="Y94" s="316"/>
      <c r="Z94" s="312"/>
      <c r="AA94" s="312"/>
      <c r="AB94" s="317"/>
      <c r="AC94" s="308"/>
      <c r="AD94" s="316"/>
      <c r="AE94" s="312"/>
      <c r="AF94" s="312"/>
      <c r="AG94" s="317"/>
      <c r="AH94" s="308"/>
      <c r="AI94" s="316"/>
      <c r="AJ94" s="312"/>
      <c r="AK94" s="312"/>
      <c r="AL94" s="317"/>
      <c r="AM94" s="308"/>
      <c r="AN94" s="316"/>
      <c r="AO94" s="312"/>
      <c r="AP94" s="312"/>
      <c r="AQ94" s="317"/>
      <c r="AR94" s="308"/>
      <c r="AS94" s="316"/>
      <c r="AT94" s="312"/>
      <c r="AU94" s="312"/>
      <c r="AV94" s="317"/>
      <c r="AW94" s="308"/>
      <c r="AX94" s="316"/>
      <c r="AY94" s="312"/>
      <c r="AZ94" s="312"/>
      <c r="BA94" s="317"/>
      <c r="BB94" s="308"/>
      <c r="BC94" s="316"/>
      <c r="BD94" s="312"/>
      <c r="BE94" s="312"/>
      <c r="BF94" s="317"/>
      <c r="BG94" s="308"/>
      <c r="BH94" s="316"/>
      <c r="BI94" s="312"/>
      <c r="BJ94" s="312"/>
      <c r="BK94" s="317"/>
      <c r="BL94" s="308"/>
      <c r="BM94" s="316"/>
      <c r="BN94" s="312"/>
      <c r="BO94" s="312"/>
      <c r="BP94" s="317"/>
      <c r="BQ94" s="308"/>
      <c r="BR94" s="308"/>
      <c r="BS94" s="1996" t="s">
        <v>293</v>
      </c>
      <c r="BT94" s="1926">
        <v>0.49</v>
      </c>
      <c r="BU94" s="1926">
        <v>0.49</v>
      </c>
      <c r="BV94" s="1926">
        <v>0.49</v>
      </c>
      <c r="BW94" s="1989">
        <v>0.49</v>
      </c>
      <c r="BX94" s="491"/>
    </row>
    <row r="95" spans="1:81" s="221" customFormat="1">
      <c r="A95" s="202"/>
      <c r="C95" s="1187" t="s">
        <v>716</v>
      </c>
      <c r="E95" s="288"/>
      <c r="F95" s="289"/>
      <c r="G95" s="289"/>
      <c r="H95" s="299"/>
      <c r="I95" s="291"/>
      <c r="J95" s="288"/>
      <c r="K95" s="289"/>
      <c r="L95" s="289"/>
      <c r="M95" s="317"/>
      <c r="N95" s="291"/>
      <c r="O95" s="288">
        <f>3418-P95</f>
        <v>2909</v>
      </c>
      <c r="P95" s="289">
        <v>509</v>
      </c>
      <c r="Q95" s="289">
        <v>66</v>
      </c>
      <c r="R95" s="299">
        <v>1631</v>
      </c>
      <c r="S95" s="291">
        <v>5116</v>
      </c>
      <c r="T95" s="288">
        <f>2691-U95</f>
        <v>2189</v>
      </c>
      <c r="U95" s="289">
        <v>502</v>
      </c>
      <c r="V95" s="289">
        <v>97</v>
      </c>
      <c r="W95" s="299">
        <v>1842</v>
      </c>
      <c r="X95" s="291">
        <v>4631</v>
      </c>
      <c r="Y95" s="288">
        <v>2841</v>
      </c>
      <c r="Z95" s="302">
        <v>579</v>
      </c>
      <c r="AA95" s="302">
        <v>97</v>
      </c>
      <c r="AB95" s="299">
        <v>1967</v>
      </c>
      <c r="AC95" s="291">
        <v>5484</v>
      </c>
      <c r="AD95" s="288">
        <v>3310</v>
      </c>
      <c r="AE95" s="302">
        <v>547</v>
      </c>
      <c r="AF95" s="302">
        <v>84</v>
      </c>
      <c r="AG95" s="299">
        <v>1936</v>
      </c>
      <c r="AH95" s="291">
        <v>5877</v>
      </c>
      <c r="AI95" s="288">
        <v>3362</v>
      </c>
      <c r="AJ95" s="302">
        <v>488</v>
      </c>
      <c r="AK95" s="302">
        <v>28</v>
      </c>
      <c r="AL95" s="299">
        <v>1363</v>
      </c>
      <c r="AM95" s="291">
        <v>5241</v>
      </c>
      <c r="AN95" s="288">
        <v>2536</v>
      </c>
      <c r="AO95" s="302">
        <v>644</v>
      </c>
      <c r="AP95" s="302">
        <v>22</v>
      </c>
      <c r="AQ95" s="299">
        <v>1721</v>
      </c>
      <c r="AR95" s="291">
        <v>4923</v>
      </c>
      <c r="AS95" s="288">
        <v>2340</v>
      </c>
      <c r="AT95" s="302">
        <v>450</v>
      </c>
      <c r="AU95" s="302">
        <v>56</v>
      </c>
      <c r="AV95" s="299">
        <v>1871</v>
      </c>
      <c r="AW95" s="291">
        <v>4717</v>
      </c>
      <c r="AX95" s="316"/>
      <c r="AY95" s="312"/>
      <c r="AZ95" s="312"/>
      <c r="BA95" s="317"/>
      <c r="BB95" s="308"/>
      <c r="BC95" s="316"/>
      <c r="BD95" s="312"/>
      <c r="BE95" s="312"/>
      <c r="BF95" s="317"/>
      <c r="BG95" s="308"/>
      <c r="BH95" s="316"/>
      <c r="BI95" s="312"/>
      <c r="BJ95" s="312"/>
      <c r="BK95" s="317"/>
      <c r="BL95" s="308"/>
      <c r="BM95" s="316"/>
      <c r="BN95" s="312"/>
      <c r="BO95" s="312"/>
      <c r="BP95" s="317"/>
      <c r="BQ95" s="308"/>
      <c r="BR95" s="308"/>
      <c r="BS95" s="1980" t="s">
        <v>1029</v>
      </c>
      <c r="BT95" s="1926">
        <v>0.105</v>
      </c>
      <c r="BU95" s="1926">
        <v>0.105</v>
      </c>
      <c r="BV95" s="1926">
        <v>0.105</v>
      </c>
      <c r="BW95" s="1989">
        <v>0.105</v>
      </c>
      <c r="BX95" s="507"/>
      <c r="BY95" s="490"/>
    </row>
    <row r="96" spans="1:81" s="221" customFormat="1">
      <c r="A96" s="202"/>
      <c r="C96" s="1187" t="s">
        <v>717</v>
      </c>
      <c r="E96" s="288"/>
      <c r="F96" s="289"/>
      <c r="G96" s="289"/>
      <c r="H96" s="299"/>
      <c r="I96" s="291"/>
      <c r="J96" s="288"/>
      <c r="K96" s="289"/>
      <c r="L96" s="289"/>
      <c r="M96" s="317"/>
      <c r="N96" s="291"/>
      <c r="O96" s="288">
        <f>316-P96</f>
        <v>0</v>
      </c>
      <c r="P96" s="289">
        <v>316</v>
      </c>
      <c r="Q96" s="289">
        <v>829</v>
      </c>
      <c r="R96" s="299">
        <v>5</v>
      </c>
      <c r="S96" s="291">
        <v>1150</v>
      </c>
      <c r="T96" s="288">
        <f>344-U96</f>
        <v>12</v>
      </c>
      <c r="U96" s="289">
        <v>332</v>
      </c>
      <c r="V96" s="289">
        <v>792</v>
      </c>
      <c r="W96" s="299">
        <v>13</v>
      </c>
      <c r="X96" s="291">
        <v>1149</v>
      </c>
      <c r="Y96" s="288">
        <v>0</v>
      </c>
      <c r="Z96" s="302">
        <v>289</v>
      </c>
      <c r="AA96" s="302">
        <v>643</v>
      </c>
      <c r="AB96" s="299">
        <v>35</v>
      </c>
      <c r="AC96" s="291">
        <v>967</v>
      </c>
      <c r="AD96" s="288">
        <v>0</v>
      </c>
      <c r="AE96" s="302">
        <v>269</v>
      </c>
      <c r="AF96" s="302">
        <v>546</v>
      </c>
      <c r="AG96" s="299">
        <v>9</v>
      </c>
      <c r="AH96" s="291">
        <v>824</v>
      </c>
      <c r="AI96" s="288">
        <v>0</v>
      </c>
      <c r="AJ96" s="302">
        <v>338</v>
      </c>
      <c r="AK96" s="302">
        <v>745</v>
      </c>
      <c r="AL96" s="299">
        <v>5</v>
      </c>
      <c r="AM96" s="291">
        <v>1088</v>
      </c>
      <c r="AN96" s="288">
        <v>2</v>
      </c>
      <c r="AO96" s="302">
        <v>294</v>
      </c>
      <c r="AP96" s="302">
        <v>955</v>
      </c>
      <c r="AQ96" s="299">
        <v>30</v>
      </c>
      <c r="AR96" s="291">
        <v>1281</v>
      </c>
      <c r="AS96" s="288">
        <v>1</v>
      </c>
      <c r="AT96" s="302">
        <v>293</v>
      </c>
      <c r="AU96" s="302">
        <v>693</v>
      </c>
      <c r="AV96" s="299">
        <v>52</v>
      </c>
      <c r="AW96" s="291">
        <v>1039</v>
      </c>
      <c r="AX96" s="316"/>
      <c r="AY96" s="312"/>
      <c r="AZ96" s="312"/>
      <c r="BA96" s="317"/>
      <c r="BB96" s="308"/>
      <c r="BC96" s="316"/>
      <c r="BD96" s="312"/>
      <c r="BE96" s="312"/>
      <c r="BF96" s="317"/>
      <c r="BG96" s="308"/>
      <c r="BH96" s="316"/>
      <c r="BI96" s="312"/>
      <c r="BJ96" s="312"/>
      <c r="BK96" s="317"/>
      <c r="BL96" s="308"/>
      <c r="BM96" s="316"/>
      <c r="BN96" s="312"/>
      <c r="BO96" s="312"/>
      <c r="BP96" s="317"/>
      <c r="BQ96" s="308"/>
      <c r="BR96" s="308"/>
      <c r="BS96" s="1995" t="s">
        <v>1047</v>
      </c>
      <c r="BT96" s="2001">
        <f>BT93*BT94*BT95</f>
        <v>92.507099999999994</v>
      </c>
      <c r="BU96" s="2001">
        <f>BU93*BU94*BU95</f>
        <v>70.938848399999998</v>
      </c>
      <c r="BV96" s="2001">
        <f>BV93*BV94*BV95</f>
        <v>23.463875399999999</v>
      </c>
      <c r="BW96" s="2002">
        <f>BW93*BW94*BW95</f>
        <v>186.9098238</v>
      </c>
      <c r="BY96" s="497"/>
    </row>
    <row r="97" spans="1:77" s="221" customFormat="1">
      <c r="A97" s="202"/>
      <c r="C97" s="1187"/>
      <c r="E97" s="288"/>
      <c r="F97" s="289"/>
      <c r="G97" s="289"/>
      <c r="H97" s="299"/>
      <c r="I97" s="291"/>
      <c r="J97" s="288"/>
      <c r="K97" s="289"/>
      <c r="L97" s="289"/>
      <c r="M97" s="317"/>
      <c r="N97" s="291"/>
      <c r="O97" s="288"/>
      <c r="P97" s="289"/>
      <c r="Q97" s="289"/>
      <c r="R97" s="317"/>
      <c r="S97" s="291"/>
      <c r="T97" s="288"/>
      <c r="U97" s="289"/>
      <c r="V97" s="289"/>
      <c r="W97" s="317"/>
      <c r="X97" s="291"/>
      <c r="Y97" s="316"/>
      <c r="Z97" s="302"/>
      <c r="AA97" s="302"/>
      <c r="AB97" s="317"/>
      <c r="AC97" s="291"/>
      <c r="AD97" s="316"/>
      <c r="AE97" s="302"/>
      <c r="AF97" s="302"/>
      <c r="AG97" s="317"/>
      <c r="AH97" s="291"/>
      <c r="AI97" s="316"/>
      <c r="AJ97" s="302"/>
      <c r="AK97" s="302"/>
      <c r="AL97" s="317"/>
      <c r="AM97" s="291"/>
      <c r="AN97" s="316"/>
      <c r="AO97" s="302"/>
      <c r="AP97" s="302"/>
      <c r="AQ97" s="317"/>
      <c r="AR97" s="291"/>
      <c r="AS97" s="316"/>
      <c r="AT97" s="302"/>
      <c r="AU97" s="302"/>
      <c r="AV97" s="317"/>
      <c r="AW97" s="291"/>
      <c r="AX97" s="316"/>
      <c r="AY97" s="312"/>
      <c r="AZ97" s="312"/>
      <c r="BA97" s="317"/>
      <c r="BB97" s="308"/>
      <c r="BC97" s="316"/>
      <c r="BD97" s="312"/>
      <c r="BE97" s="312"/>
      <c r="BF97" s="317"/>
      <c r="BG97" s="308"/>
      <c r="BH97" s="316"/>
      <c r="BI97" s="312"/>
      <c r="BJ97" s="312"/>
      <c r="BK97" s="317"/>
      <c r="BL97" s="308"/>
      <c r="BM97" s="316"/>
      <c r="BN97" s="312"/>
      <c r="BO97" s="312"/>
      <c r="BP97" s="317"/>
      <c r="BQ97" s="308"/>
      <c r="BR97" s="308"/>
      <c r="BS97" s="1998"/>
      <c r="BT97" s="1997"/>
      <c r="BU97" s="1997"/>
      <c r="BV97" s="1997"/>
      <c r="BW97" s="1990"/>
      <c r="BX97" s="490"/>
      <c r="BY97" s="497"/>
    </row>
    <row r="98" spans="1:77" s="221" customFormat="1">
      <c r="A98" s="202"/>
      <c r="C98" s="1186" t="s">
        <v>719</v>
      </c>
      <c r="E98" s="288"/>
      <c r="F98" s="289"/>
      <c r="G98" s="289"/>
      <c r="H98" s="299"/>
      <c r="I98" s="291"/>
      <c r="J98" s="288"/>
      <c r="K98" s="289"/>
      <c r="L98" s="289"/>
      <c r="M98" s="317"/>
      <c r="N98" s="291"/>
      <c r="O98" s="288"/>
      <c r="P98" s="289"/>
      <c r="Q98" s="289"/>
      <c r="R98" s="317"/>
      <c r="S98" s="291"/>
      <c r="T98" s="288"/>
      <c r="U98" s="289"/>
      <c r="V98" s="289"/>
      <c r="W98" s="317"/>
      <c r="X98" s="291"/>
      <c r="Y98" s="316"/>
      <c r="Z98" s="302"/>
      <c r="AA98" s="302"/>
      <c r="AB98" s="317"/>
      <c r="AC98" s="291"/>
      <c r="AD98" s="316"/>
      <c r="AE98" s="302"/>
      <c r="AF98" s="302"/>
      <c r="AG98" s="317"/>
      <c r="AH98" s="291"/>
      <c r="AI98" s="316"/>
      <c r="AJ98" s="302"/>
      <c r="AK98" s="302"/>
      <c r="AL98" s="317"/>
      <c r="AM98" s="291"/>
      <c r="AN98" s="316"/>
      <c r="AO98" s="302"/>
      <c r="AP98" s="302"/>
      <c r="AQ98" s="317"/>
      <c r="AR98" s="291"/>
      <c r="AS98" s="316"/>
      <c r="AT98" s="302"/>
      <c r="AU98" s="302"/>
      <c r="AV98" s="317"/>
      <c r="AW98" s="291"/>
      <c r="AX98" s="316"/>
      <c r="AY98" s="312"/>
      <c r="AZ98" s="312"/>
      <c r="BA98" s="317"/>
      <c r="BB98" s="308"/>
      <c r="BC98" s="316"/>
      <c r="BD98" s="312"/>
      <c r="BE98" s="312"/>
      <c r="BF98" s="317"/>
      <c r="BG98" s="308"/>
      <c r="BH98" s="316"/>
      <c r="BI98" s="312"/>
      <c r="BJ98" s="312"/>
      <c r="BK98" s="317"/>
      <c r="BL98" s="308"/>
      <c r="BM98" s="316"/>
      <c r="BN98" s="312"/>
      <c r="BO98" s="312"/>
      <c r="BP98" s="317"/>
      <c r="BQ98" s="308"/>
      <c r="BR98" s="308"/>
      <c r="BS98" s="1994" t="s">
        <v>1048</v>
      </c>
      <c r="BT98" s="298">
        <f>'Utility Detail'!AH59</f>
        <v>187</v>
      </c>
      <c r="BU98" s="298">
        <f>'Utility Detail'!AH60</f>
        <v>68</v>
      </c>
      <c r="BV98" s="298">
        <f>'Utility Detail'!AH61</f>
        <v>37.967999999999996</v>
      </c>
      <c r="BW98" s="1988">
        <f>BV98+BU98+BT98</f>
        <v>292.96799999999996</v>
      </c>
    </row>
    <row r="99" spans="1:77" s="221" customFormat="1">
      <c r="A99" s="202"/>
      <c r="C99" s="1187" t="s">
        <v>716</v>
      </c>
      <c r="E99" s="288"/>
      <c r="F99" s="289"/>
      <c r="G99" s="289"/>
      <c r="H99" s="299"/>
      <c r="I99" s="291"/>
      <c r="J99" s="288"/>
      <c r="K99" s="289"/>
      <c r="L99" s="289"/>
      <c r="M99" s="317"/>
      <c r="N99" s="291"/>
      <c r="O99" s="288">
        <v>2812</v>
      </c>
      <c r="P99" s="289">
        <v>631</v>
      </c>
      <c r="Q99" s="289">
        <v>91</v>
      </c>
      <c r="R99" s="299">
        <v>1958</v>
      </c>
      <c r="S99" s="291">
        <v>5572</v>
      </c>
      <c r="T99" s="288">
        <f>3454-U99</f>
        <v>2832</v>
      </c>
      <c r="U99" s="289">
        <v>622</v>
      </c>
      <c r="V99" s="289">
        <v>79</v>
      </c>
      <c r="W99" s="299">
        <v>1929</v>
      </c>
      <c r="X99" s="291">
        <v>5462</v>
      </c>
      <c r="Y99" s="288">
        <v>2774</v>
      </c>
      <c r="Z99" s="302">
        <v>612</v>
      </c>
      <c r="AA99" s="302">
        <v>79</v>
      </c>
      <c r="AB99" s="299">
        <v>1926</v>
      </c>
      <c r="AC99" s="291">
        <v>5391</v>
      </c>
      <c r="AD99" s="288">
        <v>2773</v>
      </c>
      <c r="AE99" s="302">
        <v>608</v>
      </c>
      <c r="AF99" s="302">
        <v>78</v>
      </c>
      <c r="AG99" s="299">
        <v>1921</v>
      </c>
      <c r="AH99" s="291">
        <v>5484</v>
      </c>
      <c r="AI99" s="288">
        <v>2777</v>
      </c>
      <c r="AJ99" s="302">
        <v>604</v>
      </c>
      <c r="AK99" s="302">
        <v>79</v>
      </c>
      <c r="AL99" s="299">
        <v>1933</v>
      </c>
      <c r="AM99" s="291">
        <v>5393</v>
      </c>
      <c r="AN99" s="288">
        <v>2841</v>
      </c>
      <c r="AO99" s="302">
        <v>595</v>
      </c>
      <c r="AP99" s="302">
        <v>74</v>
      </c>
      <c r="AQ99" s="299">
        <v>1890</v>
      </c>
      <c r="AR99" s="291">
        <v>5400</v>
      </c>
      <c r="AS99" s="288">
        <v>2779</v>
      </c>
      <c r="AT99" s="302">
        <v>592</v>
      </c>
      <c r="AU99" s="302">
        <v>71</v>
      </c>
      <c r="AV99" s="299">
        <v>1875</v>
      </c>
      <c r="AW99" s="291">
        <v>5317</v>
      </c>
      <c r="AX99" s="316"/>
      <c r="AY99" s="312"/>
      <c r="AZ99" s="312"/>
      <c r="BA99" s="317"/>
      <c r="BB99" s="308"/>
      <c r="BC99" s="316"/>
      <c r="BD99" s="312"/>
      <c r="BE99" s="312"/>
      <c r="BF99" s="317"/>
      <c r="BG99" s="308"/>
      <c r="BH99" s="316"/>
      <c r="BI99" s="312"/>
      <c r="BJ99" s="312"/>
      <c r="BK99" s="317"/>
      <c r="BL99" s="308"/>
      <c r="BM99" s="316"/>
      <c r="BN99" s="312"/>
      <c r="BO99" s="312"/>
      <c r="BP99" s="317"/>
      <c r="BQ99" s="308"/>
      <c r="BR99" s="308"/>
      <c r="BS99" s="1999" t="s">
        <v>1042</v>
      </c>
      <c r="BT99" s="2000">
        <f>BT98/(BT93*BT94)</f>
        <v>0.21225397834328394</v>
      </c>
      <c r="BU99" s="2000">
        <f>BU98/(BU93*BU94)</f>
        <v>0.10065006919396229</v>
      </c>
      <c r="BV99" s="2000">
        <f>BV98/(BV93*BV94)</f>
        <v>0.16990543684868015</v>
      </c>
      <c r="BW99" s="1991">
        <f>BW98/(BW93*BW94)</f>
        <v>0.16458011341830817</v>
      </c>
    </row>
    <row r="100" spans="1:77" s="221" customFormat="1">
      <c r="A100" s="202"/>
      <c r="C100" s="1187" t="s">
        <v>717</v>
      </c>
      <c r="E100" s="288"/>
      <c r="F100" s="289"/>
      <c r="G100" s="289"/>
      <c r="H100" s="299"/>
      <c r="I100" s="291"/>
      <c r="J100" s="288"/>
      <c r="K100" s="289"/>
      <c r="L100" s="289"/>
      <c r="M100" s="317"/>
      <c r="N100" s="291"/>
      <c r="O100" s="288">
        <v>1</v>
      </c>
      <c r="P100" s="289">
        <v>244</v>
      </c>
      <c r="Q100" s="289">
        <v>644</v>
      </c>
      <c r="R100" s="299">
        <v>12</v>
      </c>
      <c r="S100" s="291">
        <v>897</v>
      </c>
      <c r="T100" s="288">
        <f>251-U100</f>
        <v>1</v>
      </c>
      <c r="U100" s="289">
        <v>250</v>
      </c>
      <c r="V100" s="289">
        <v>655</v>
      </c>
      <c r="W100" s="299">
        <v>12</v>
      </c>
      <c r="X100" s="291">
        <v>918</v>
      </c>
      <c r="Y100" s="288">
        <v>2</v>
      </c>
      <c r="Z100" s="302">
        <v>259</v>
      </c>
      <c r="AA100" s="302">
        <v>664</v>
      </c>
      <c r="AB100" s="299">
        <v>12</v>
      </c>
      <c r="AC100" s="291">
        <v>937</v>
      </c>
      <c r="AD100" s="288">
        <v>0</v>
      </c>
      <c r="AE100" s="302">
        <v>262</v>
      </c>
      <c r="AF100" s="302">
        <v>659</v>
      </c>
      <c r="AG100" s="299">
        <v>14</v>
      </c>
      <c r="AH100" s="291">
        <v>967</v>
      </c>
      <c r="AI100" s="288">
        <v>2</v>
      </c>
      <c r="AJ100" s="302">
        <v>260</v>
      </c>
      <c r="AK100" s="302">
        <v>657</v>
      </c>
      <c r="AL100" s="299">
        <v>14</v>
      </c>
      <c r="AM100" s="291">
        <v>933</v>
      </c>
      <c r="AN100" s="288">
        <v>2</v>
      </c>
      <c r="AO100" s="302">
        <v>265</v>
      </c>
      <c r="AP100" s="302">
        <v>656</v>
      </c>
      <c r="AQ100" s="299">
        <v>14</v>
      </c>
      <c r="AR100" s="291">
        <v>937</v>
      </c>
      <c r="AS100" s="288">
        <v>2</v>
      </c>
      <c r="AT100" s="302">
        <v>266</v>
      </c>
      <c r="AU100" s="302">
        <v>676</v>
      </c>
      <c r="AV100" s="299">
        <v>15</v>
      </c>
      <c r="AW100" s="291">
        <v>959</v>
      </c>
      <c r="AX100" s="316"/>
      <c r="AY100" s="312"/>
      <c r="AZ100" s="312"/>
      <c r="BA100" s="317"/>
      <c r="BB100" s="308"/>
      <c r="BC100" s="316"/>
      <c r="BD100" s="312"/>
      <c r="BE100" s="312"/>
      <c r="BF100" s="317"/>
      <c r="BG100" s="308"/>
      <c r="BH100" s="316"/>
      <c r="BI100" s="312"/>
      <c r="BJ100" s="312"/>
      <c r="BK100" s="317"/>
      <c r="BL100" s="308"/>
      <c r="BM100" s="316"/>
      <c r="BN100" s="312"/>
      <c r="BO100" s="312"/>
      <c r="BP100" s="317"/>
      <c r="BQ100" s="308"/>
      <c r="BR100" s="308"/>
      <c r="BV100" s="1986" t="s">
        <v>1049</v>
      </c>
      <c r="BW100" s="490">
        <v>215.99392062811918</v>
      </c>
    </row>
    <row r="101" spans="1:77" s="673" customFormat="1">
      <c r="A101" s="201"/>
      <c r="C101" s="1228"/>
      <c r="E101" s="783"/>
      <c r="F101" s="784"/>
      <c r="G101" s="784"/>
      <c r="H101" s="785"/>
      <c r="I101" s="786"/>
      <c r="J101" s="783"/>
      <c r="K101" s="784"/>
      <c r="L101" s="784"/>
      <c r="M101" s="676"/>
      <c r="N101" s="786"/>
      <c r="O101" s="783"/>
      <c r="P101" s="784"/>
      <c r="Q101" s="784"/>
      <c r="R101" s="676"/>
      <c r="S101" s="786"/>
      <c r="T101" s="783"/>
      <c r="U101" s="784"/>
      <c r="V101" s="784"/>
      <c r="W101" s="676"/>
      <c r="X101" s="677"/>
      <c r="Y101" s="674"/>
      <c r="Z101" s="1578"/>
      <c r="AA101" s="1578"/>
      <c r="AB101" s="676"/>
      <c r="AC101" s="677"/>
      <c r="AD101" s="674"/>
      <c r="AE101" s="675"/>
      <c r="AF101" s="675"/>
      <c r="AG101" s="676"/>
      <c r="AH101" s="677"/>
      <c r="AI101" s="674"/>
      <c r="AJ101" s="675"/>
      <c r="AK101" s="675"/>
      <c r="AL101" s="676"/>
      <c r="AM101" s="677"/>
      <c r="AN101" s="674"/>
      <c r="AO101" s="675"/>
      <c r="AP101" s="675"/>
      <c r="AQ101" s="676"/>
      <c r="AR101" s="677"/>
      <c r="AS101" s="674"/>
      <c r="AT101" s="675"/>
      <c r="AU101" s="675"/>
      <c r="AV101" s="676"/>
      <c r="AW101" s="677"/>
      <c r="AX101" s="674"/>
      <c r="AY101" s="675"/>
      <c r="AZ101" s="675"/>
      <c r="BA101" s="676"/>
      <c r="BB101" s="677"/>
      <c r="BC101" s="674"/>
      <c r="BD101" s="675"/>
      <c r="BE101" s="675"/>
      <c r="BF101" s="676"/>
      <c r="BG101" s="677"/>
      <c r="BH101" s="674"/>
      <c r="BI101" s="675"/>
      <c r="BJ101" s="675"/>
      <c r="BK101" s="676"/>
      <c r="BL101" s="677"/>
      <c r="BM101" s="674"/>
      <c r="BN101" s="675"/>
      <c r="BO101" s="675"/>
      <c r="BP101" s="676"/>
      <c r="BQ101" s="677"/>
      <c r="BR101" s="677"/>
      <c r="BS101" s="221"/>
      <c r="BT101" s="221"/>
      <c r="BU101" s="221"/>
      <c r="BV101" s="1986" t="s">
        <v>1050</v>
      </c>
      <c r="BW101" s="1985">
        <f>(BW100+BW98)/(BW93*BW94)</f>
        <v>0.28591863487676411</v>
      </c>
      <c r="BX101" s="221"/>
      <c r="BY101" s="221"/>
    </row>
    <row r="102" spans="1:77" s="673" customFormat="1">
      <c r="A102" s="201"/>
      <c r="C102" s="1192" t="s">
        <v>628</v>
      </c>
      <c r="E102" s="783"/>
      <c r="F102" s="784"/>
      <c r="G102" s="784"/>
      <c r="H102" s="785"/>
      <c r="I102" s="786"/>
      <c r="J102" s="783"/>
      <c r="K102" s="784"/>
      <c r="L102" s="784"/>
      <c r="M102" s="676"/>
      <c r="N102" s="786"/>
      <c r="O102" s="696">
        <f t="shared" ref="O102:U102" si="190">SUM(O95:O96)/SUM(O99:O100)-1</f>
        <v>3.4127266263775269E-2</v>
      </c>
      <c r="P102" s="697">
        <f t="shared" si="190"/>
        <v>-5.7142857142857162E-2</v>
      </c>
      <c r="Q102" s="697">
        <f t="shared" si="190"/>
        <v>0.21768707482993199</v>
      </c>
      <c r="R102" s="698">
        <f t="shared" si="190"/>
        <v>-0.1695431472081218</v>
      </c>
      <c r="S102" s="853">
        <f t="shared" si="190"/>
        <v>-3.1380429741845739E-2</v>
      </c>
      <c r="T102" s="696">
        <f t="shared" si="190"/>
        <v>-0.22308506883162726</v>
      </c>
      <c r="U102" s="697">
        <f t="shared" si="190"/>
        <v>-4.3577981651376163E-2</v>
      </c>
      <c r="V102" s="697">
        <f t="shared" ref="V102:AA102" si="191">SUM(V95:V96)/SUM(V99:V100)-1</f>
        <v>0.21117166212534055</v>
      </c>
      <c r="W102" s="676">
        <f t="shared" si="191"/>
        <v>-4.4307058217413653E-2</v>
      </c>
      <c r="X102" s="853">
        <f t="shared" si="191"/>
        <v>-9.404388714733547E-2</v>
      </c>
      <c r="Y102" s="674">
        <f t="shared" si="191"/>
        <v>2.3414985590778148E-2</v>
      </c>
      <c r="Z102" s="697">
        <f t="shared" si="191"/>
        <v>-3.4443168771527422E-3</v>
      </c>
      <c r="AA102" s="697">
        <f t="shared" si="191"/>
        <v>-4.0376850605652326E-3</v>
      </c>
      <c r="AB102" s="676">
        <f t="shared" ref="AB102:AJ102" si="192">SUM(AB95:AB96)/SUM(AB99:AB100)-1</f>
        <v>3.302373581011353E-2</v>
      </c>
      <c r="AC102" s="853">
        <f t="shared" si="192"/>
        <v>1.9437420986093468E-2</v>
      </c>
      <c r="AD102" s="674">
        <f t="shared" si="192"/>
        <v>0.19365308330328168</v>
      </c>
      <c r="AE102" s="697">
        <f t="shared" si="192"/>
        <v>-6.2068965517241392E-2</v>
      </c>
      <c r="AF102" s="697">
        <f t="shared" si="192"/>
        <v>-0.14518317503392131</v>
      </c>
      <c r="AG102" s="687">
        <f t="shared" si="192"/>
        <v>5.1679586563306845E-3</v>
      </c>
      <c r="AH102" s="853">
        <f t="shared" si="192"/>
        <v>3.875368159975201E-2</v>
      </c>
      <c r="AI102" s="674">
        <f t="shared" si="192"/>
        <v>0.20978769341489745</v>
      </c>
      <c r="AJ102" s="697">
        <f t="shared" si="192"/>
        <v>-4.398148148148151E-2</v>
      </c>
      <c r="AK102" s="697">
        <f t="shared" ref="AK102:AP102" si="193">SUM(AK95:AK96)/SUM(AK99:AK100)-1</f>
        <v>5.0271739130434812E-2</v>
      </c>
      <c r="AL102" s="687">
        <f t="shared" si="193"/>
        <v>-0.29738058551617874</v>
      </c>
      <c r="AM102" s="853">
        <f t="shared" si="193"/>
        <v>4.7423332279472596E-4</v>
      </c>
      <c r="AN102" s="674">
        <f t="shared" si="193"/>
        <v>-0.10728104115371084</v>
      </c>
      <c r="AO102" s="697">
        <f t="shared" si="193"/>
        <v>9.0697674418604546E-2</v>
      </c>
      <c r="AP102" s="697">
        <f t="shared" si="193"/>
        <v>0.33835616438356175</v>
      </c>
      <c r="AQ102" s="687">
        <f t="shared" ref="AQ102:AU102" si="194">SUM(AQ95:AQ96)/SUM(AQ99:AQ100)-1</f>
        <v>-8.0357142857142905E-2</v>
      </c>
      <c r="AR102" s="853">
        <f t="shared" si="194"/>
        <v>-2.0987849139971648E-2</v>
      </c>
      <c r="AS102" s="674">
        <f t="shared" si="194"/>
        <v>-0.15821646889608054</v>
      </c>
      <c r="AT102" s="697">
        <f t="shared" si="194"/>
        <v>-0.13403263403263399</v>
      </c>
      <c r="AU102" s="697">
        <f t="shared" si="194"/>
        <v>2.6773761713521083E-3</v>
      </c>
      <c r="AV102" s="687">
        <f t="shared" ref="AV102:AW102" si="195">SUM(AV95:AV96)/SUM(AV99:AV100)-1</f>
        <v>1.7460317460317398E-2</v>
      </c>
      <c r="AW102" s="853">
        <f t="shared" si="195"/>
        <v>-8.285532186105804E-2</v>
      </c>
      <c r="AX102" s="674"/>
      <c r="AY102" s="675"/>
      <c r="AZ102" s="675"/>
      <c r="BA102" s="676"/>
      <c r="BB102" s="677"/>
      <c r="BC102" s="674"/>
      <c r="BD102" s="675"/>
      <c r="BE102" s="675"/>
      <c r="BF102" s="676"/>
      <c r="BG102" s="677"/>
      <c r="BH102" s="674"/>
      <c r="BI102" s="675"/>
      <c r="BJ102" s="675"/>
      <c r="BK102" s="676"/>
      <c r="BL102" s="677"/>
      <c r="BM102" s="674"/>
      <c r="BN102" s="675"/>
      <c r="BO102" s="675"/>
      <c r="BP102" s="676"/>
      <c r="BQ102" s="677"/>
      <c r="BR102" s="677"/>
      <c r="BS102" s="489"/>
      <c r="BT102" s="221"/>
      <c r="BU102" s="221"/>
      <c r="BV102" s="221"/>
      <c r="BW102" s="221"/>
      <c r="BX102" s="221"/>
      <c r="BY102" s="221"/>
    </row>
    <row r="103" spans="1:77" s="497" customFormat="1">
      <c r="C103" s="1192" t="s">
        <v>629</v>
      </c>
      <c r="E103" s="141"/>
      <c r="F103" s="84"/>
      <c r="G103" s="84"/>
      <c r="H103" s="142"/>
      <c r="I103" s="498"/>
      <c r="J103" s="141"/>
      <c r="K103" s="84"/>
      <c r="L103" s="84"/>
      <c r="M103" s="142"/>
      <c r="N103" s="498"/>
      <c r="O103" s="696">
        <f>O102/10</f>
        <v>3.4127266263775267E-3</v>
      </c>
      <c r="P103" s="697">
        <f t="shared" ref="P103:AA103" si="196">P102/10</f>
        <v>-5.714285714285716E-3</v>
      </c>
      <c r="Q103" s="697">
        <f t="shared" si="196"/>
        <v>2.1768707482993199E-2</v>
      </c>
      <c r="R103" s="142">
        <f t="shared" si="196"/>
        <v>-1.6954314720812179E-2</v>
      </c>
      <c r="S103" s="853">
        <f t="shared" si="196"/>
        <v>-3.1380429741845739E-3</v>
      </c>
      <c r="T103" s="696">
        <f t="shared" si="196"/>
        <v>-2.2308506883162726E-2</v>
      </c>
      <c r="U103" s="697">
        <f t="shared" si="196"/>
        <v>-4.3577981651376167E-3</v>
      </c>
      <c r="V103" s="697">
        <f t="shared" si="196"/>
        <v>2.1117166212534056E-2</v>
      </c>
      <c r="W103" s="142">
        <f t="shared" si="196"/>
        <v>-4.4307058217413651E-3</v>
      </c>
      <c r="X103" s="498">
        <f t="shared" si="196"/>
        <v>-9.4043887147335463E-3</v>
      </c>
      <c r="Y103" s="141">
        <f t="shared" si="196"/>
        <v>2.3414985590778149E-3</v>
      </c>
      <c r="Z103" s="697">
        <f t="shared" si="196"/>
        <v>-3.4443168771527424E-4</v>
      </c>
      <c r="AA103" s="697">
        <f t="shared" si="196"/>
        <v>-4.0376850605652328E-4</v>
      </c>
      <c r="AB103" s="142">
        <f t="shared" ref="AB103:AI103" si="197">AB102/10</f>
        <v>3.3023735810113531E-3</v>
      </c>
      <c r="AC103" s="498">
        <f t="shared" si="197"/>
        <v>1.9437420986093469E-3</v>
      </c>
      <c r="AD103" s="141">
        <f t="shared" si="197"/>
        <v>1.9365308330328169E-2</v>
      </c>
      <c r="AE103" s="697">
        <f t="shared" si="197"/>
        <v>-6.2068965517241394E-3</v>
      </c>
      <c r="AF103" s="697">
        <f t="shared" si="197"/>
        <v>-1.4518317503392131E-2</v>
      </c>
      <c r="AG103" s="142">
        <f t="shared" si="197"/>
        <v>5.167958656330685E-4</v>
      </c>
      <c r="AH103" s="498">
        <f t="shared" si="197"/>
        <v>3.8753681599752012E-3</v>
      </c>
      <c r="AI103" s="141">
        <f t="shared" si="197"/>
        <v>2.0978769341489744E-2</v>
      </c>
      <c r="AJ103" s="697">
        <f>AJ102/10</f>
        <v>-4.398148148148151E-3</v>
      </c>
      <c r="AK103" s="1886">
        <v>0</v>
      </c>
      <c r="AL103" s="142">
        <f>AL102/10</f>
        <v>-2.9738058551617874E-2</v>
      </c>
      <c r="AM103" s="498">
        <f t="shared" ref="AM103" si="198">AM102/10</f>
        <v>4.7423332279472596E-5</v>
      </c>
      <c r="AN103" s="1887">
        <f>AN102/15</f>
        <v>-7.1520694102473895E-3</v>
      </c>
      <c r="AO103" s="697">
        <v>-5.0000000000000001E-3</v>
      </c>
      <c r="AP103" s="1886">
        <f>AP102/6</f>
        <v>5.6392694063926961E-2</v>
      </c>
      <c r="AQ103" s="2253">
        <v>0</v>
      </c>
      <c r="AR103" s="498">
        <f t="shared" ref="AR103" si="199">AR102/10</f>
        <v>-2.0987849139971647E-3</v>
      </c>
      <c r="AS103" s="1887">
        <f>AS102/10</f>
        <v>-1.5821646889608056E-2</v>
      </c>
      <c r="AT103" s="1886">
        <v>-0.01</v>
      </c>
      <c r="AU103" s="1886">
        <f>AU102/10</f>
        <v>2.6773761713521081E-4</v>
      </c>
      <c r="AV103" s="2253">
        <v>0</v>
      </c>
      <c r="AW103" s="498">
        <f t="shared" ref="AW103" si="200">AW102/10</f>
        <v>-8.2855321861058043E-3</v>
      </c>
      <c r="AX103" s="141"/>
      <c r="AY103" s="84"/>
      <c r="AZ103" s="84"/>
      <c r="BA103" s="142"/>
      <c r="BB103" s="498"/>
      <c r="BC103" s="141"/>
      <c r="BD103" s="84"/>
      <c r="BE103" s="84"/>
      <c r="BF103" s="142"/>
      <c r="BG103" s="498"/>
      <c r="BH103" s="141"/>
      <c r="BI103" s="84"/>
      <c r="BJ103" s="84"/>
      <c r="BK103" s="142"/>
      <c r="BL103" s="498"/>
      <c r="BM103" s="141"/>
      <c r="BN103" s="84"/>
      <c r="BO103" s="84"/>
      <c r="BP103" s="142"/>
      <c r="BQ103" s="498"/>
      <c r="BR103" s="498"/>
      <c r="BS103" s="489"/>
      <c r="BW103" s="221"/>
      <c r="BX103" s="221"/>
      <c r="BY103" s="221"/>
    </row>
    <row r="104" spans="1:77" s="221" customFormat="1">
      <c r="A104" s="202"/>
      <c r="B104" s="491"/>
      <c r="C104" s="1187"/>
      <c r="E104" s="316"/>
      <c r="F104" s="312"/>
      <c r="G104" s="312"/>
      <c r="H104" s="317"/>
      <c r="I104" s="308"/>
      <c r="J104" s="316"/>
      <c r="K104" s="312"/>
      <c r="L104" s="312"/>
      <c r="M104" s="317"/>
      <c r="N104" s="308"/>
      <c r="O104" s="316"/>
      <c r="P104" s="312"/>
      <c r="Q104" s="312"/>
      <c r="R104" s="317"/>
      <c r="S104" s="308"/>
      <c r="T104" s="316"/>
      <c r="U104" s="312"/>
      <c r="V104" s="312"/>
      <c r="W104" s="317"/>
      <c r="X104" s="308"/>
      <c r="Y104" s="316"/>
      <c r="Z104" s="312"/>
      <c r="AA104" s="312"/>
      <c r="AB104" s="317"/>
      <c r="AC104" s="308"/>
      <c r="AD104" s="316"/>
      <c r="AE104" s="312"/>
      <c r="AF104" s="312"/>
      <c r="AG104" s="317"/>
      <c r="AH104" s="308"/>
      <c r="AI104" s="316"/>
      <c r="AJ104" s="312"/>
      <c r="AK104" s="312"/>
      <c r="AL104" s="317"/>
      <c r="AM104" s="308"/>
      <c r="AN104" s="316"/>
      <c r="AO104" s="312"/>
      <c r="AP104" s="312"/>
      <c r="AQ104" s="317"/>
      <c r="AR104" s="308"/>
      <c r="AS104" s="316"/>
      <c r="AT104" s="312"/>
      <c r="AU104" s="312"/>
      <c r="AV104" s="317"/>
      <c r="AW104" s="308"/>
      <c r="AX104" s="316"/>
      <c r="AY104" s="312"/>
      <c r="AZ104" s="312"/>
      <c r="BA104" s="317"/>
      <c r="BB104" s="308"/>
      <c r="BC104" s="316"/>
      <c r="BD104" s="312"/>
      <c r="BE104" s="312"/>
      <c r="BF104" s="317"/>
      <c r="BG104" s="308"/>
      <c r="BH104" s="316"/>
      <c r="BI104" s="312"/>
      <c r="BJ104" s="312"/>
      <c r="BK104" s="317"/>
      <c r="BL104" s="308"/>
      <c r="BM104" s="316"/>
      <c r="BN104" s="312"/>
      <c r="BO104" s="312"/>
      <c r="BP104" s="317"/>
      <c r="BQ104" s="308"/>
      <c r="BR104" s="308"/>
      <c r="BS104" s="489"/>
    </row>
    <row r="105" spans="1:77" s="221" customFormat="1">
      <c r="A105" s="202"/>
      <c r="B105" s="491"/>
      <c r="C105" s="1187"/>
      <c r="E105" s="316"/>
      <c r="F105" s="312"/>
      <c r="G105" s="312"/>
      <c r="H105" s="317"/>
      <c r="I105" s="308"/>
      <c r="J105" s="316"/>
      <c r="K105" s="312"/>
      <c r="L105" s="312"/>
      <c r="M105" s="317"/>
      <c r="N105" s="308"/>
      <c r="O105" s="316"/>
      <c r="P105" s="312"/>
      <c r="Q105" s="312"/>
      <c r="R105" s="317"/>
      <c r="S105" s="308"/>
      <c r="T105" s="316"/>
      <c r="U105" s="312"/>
      <c r="V105" s="312"/>
      <c r="W105" s="317"/>
      <c r="X105" s="308"/>
      <c r="Y105" s="316"/>
      <c r="Z105" s="312"/>
      <c r="AA105" s="312"/>
      <c r="AB105" s="317"/>
      <c r="AC105" s="308"/>
      <c r="AD105" s="316"/>
      <c r="AE105" s="312"/>
      <c r="AF105" s="312"/>
      <c r="AG105" s="317"/>
      <c r="AH105" s="308"/>
      <c r="AI105" s="316"/>
      <c r="AJ105" s="312"/>
      <c r="AK105" s="312"/>
      <c r="AL105" s="317"/>
      <c r="AM105" s="308"/>
      <c r="AN105" s="316"/>
      <c r="AO105" s="312"/>
      <c r="AP105" s="312"/>
      <c r="AQ105" s="317"/>
      <c r="AR105" s="308"/>
      <c r="AS105" s="316"/>
      <c r="AT105" s="312"/>
      <c r="AU105" s="312"/>
      <c r="AV105" s="317"/>
      <c r="AW105" s="308"/>
      <c r="AX105" s="316"/>
      <c r="AY105" s="312"/>
      <c r="AZ105" s="312"/>
      <c r="BA105" s="317"/>
      <c r="BB105" s="308"/>
      <c r="BC105" s="316"/>
      <c r="BD105" s="312"/>
      <c r="BE105" s="312"/>
      <c r="BF105" s="317"/>
      <c r="BG105" s="308"/>
      <c r="BH105" s="316"/>
      <c r="BI105" s="312"/>
      <c r="BJ105" s="312"/>
      <c r="BK105" s="317"/>
      <c r="BL105" s="308"/>
      <c r="BM105" s="316"/>
      <c r="BN105" s="312"/>
      <c r="BO105" s="312"/>
      <c r="BP105" s="317"/>
      <c r="BQ105" s="308"/>
      <c r="BR105" s="308"/>
      <c r="BS105" s="678"/>
      <c r="BW105" s="673"/>
      <c r="BX105" s="673"/>
      <c r="BY105" s="673"/>
    </row>
    <row r="106" spans="1:77" s="221" customFormat="1">
      <c r="A106" s="202"/>
      <c r="B106" s="126" t="s">
        <v>663</v>
      </c>
      <c r="C106" s="1185"/>
      <c r="D106" s="666"/>
      <c r="E106" s="316"/>
      <c r="F106" s="312"/>
      <c r="G106" s="312"/>
      <c r="H106" s="317"/>
      <c r="I106" s="308"/>
      <c r="J106" s="316"/>
      <c r="K106" s="312"/>
      <c r="L106" s="312"/>
      <c r="M106" s="317"/>
      <c r="N106" s="308"/>
      <c r="O106" s="316"/>
      <c r="P106" s="312"/>
      <c r="Q106" s="312"/>
      <c r="R106" s="317"/>
      <c r="S106" s="308"/>
      <c r="T106" s="316"/>
      <c r="U106" s="312"/>
      <c r="V106" s="312"/>
      <c r="W106" s="317"/>
      <c r="X106" s="308"/>
      <c r="Y106" s="316"/>
      <c r="Z106" s="312"/>
      <c r="AA106" s="312"/>
      <c r="AB106" s="317"/>
      <c r="AC106" s="308"/>
      <c r="AD106" s="316"/>
      <c r="AE106" s="312"/>
      <c r="AF106" s="312"/>
      <c r="AG106" s="317"/>
      <c r="AH106" s="308"/>
      <c r="AI106" s="316"/>
      <c r="AJ106" s="312"/>
      <c r="AK106" s="312"/>
      <c r="AL106" s="317"/>
      <c r="AM106" s="308"/>
      <c r="AN106" s="316"/>
      <c r="AO106" s="312"/>
      <c r="AP106" s="312"/>
      <c r="AQ106" s="317"/>
      <c r="AR106" s="308"/>
      <c r="AS106" s="316"/>
      <c r="AT106" s="312"/>
      <c r="AU106" s="312"/>
      <c r="AV106" s="317"/>
      <c r="AW106" s="308"/>
      <c r="AX106" s="316"/>
      <c r="AY106" s="312"/>
      <c r="AZ106" s="312"/>
      <c r="BA106" s="317"/>
      <c r="BB106" s="308"/>
      <c r="BC106" s="316"/>
      <c r="BD106" s="312"/>
      <c r="BE106" s="312"/>
      <c r="BF106" s="317"/>
      <c r="BG106" s="308"/>
      <c r="BH106" s="316"/>
      <c r="BI106" s="312"/>
      <c r="BJ106" s="312"/>
      <c r="BK106" s="317"/>
      <c r="BL106" s="308"/>
      <c r="BM106" s="316"/>
      <c r="BN106" s="312"/>
      <c r="BO106" s="312"/>
      <c r="BP106" s="317"/>
      <c r="BQ106" s="308"/>
      <c r="BR106" s="308"/>
      <c r="BS106" s="678"/>
      <c r="BW106" s="673"/>
      <c r="BX106" s="673"/>
      <c r="BY106" s="673"/>
    </row>
    <row r="107" spans="1:77" s="490" customFormat="1">
      <c r="B107" s="93"/>
      <c r="C107" s="1186" t="s">
        <v>914</v>
      </c>
      <c r="E107" s="305"/>
      <c r="F107" s="306"/>
      <c r="G107" s="306"/>
      <c r="H107" s="307"/>
      <c r="I107" s="308"/>
      <c r="J107" s="305">
        <f>J12</f>
        <v>359</v>
      </c>
      <c r="K107" s="306">
        <f>K12</f>
        <v>331</v>
      </c>
      <c r="L107" s="306">
        <f>L12</f>
        <v>400</v>
      </c>
      <c r="M107" s="307">
        <f>M12</f>
        <v>230</v>
      </c>
      <c r="N107" s="308">
        <f>SUM(J107:M107)</f>
        <v>1320</v>
      </c>
      <c r="O107" s="305">
        <f>O12</f>
        <v>351</v>
      </c>
      <c r="P107" s="306">
        <f>P12</f>
        <v>402</v>
      </c>
      <c r="Q107" s="306">
        <f>Q12</f>
        <v>459</v>
      </c>
      <c r="R107" s="307">
        <f>R12</f>
        <v>457</v>
      </c>
      <c r="S107" s="308">
        <f>SUM(O107:R107)</f>
        <v>1669</v>
      </c>
      <c r="T107" s="305">
        <f>T12</f>
        <v>467</v>
      </c>
      <c r="U107" s="306">
        <f>U12</f>
        <v>393</v>
      </c>
      <c r="V107" s="306">
        <f>V12</f>
        <v>398</v>
      </c>
      <c r="W107" s="307">
        <f>W12</f>
        <v>705</v>
      </c>
      <c r="X107" s="308">
        <f>SUM(T107:W107)</f>
        <v>1963</v>
      </c>
      <c r="Y107" s="305">
        <f>Y12</f>
        <v>415</v>
      </c>
      <c r="Z107" s="306">
        <f t="shared" ref="Z107:AF107" si="201">Z12</f>
        <v>402</v>
      </c>
      <c r="AA107" s="306">
        <f t="shared" si="201"/>
        <v>457</v>
      </c>
      <c r="AB107" s="307">
        <f t="shared" si="201"/>
        <v>499</v>
      </c>
      <c r="AC107" s="308">
        <f t="shared" si="201"/>
        <v>1773</v>
      </c>
      <c r="AD107" s="305">
        <f t="shared" si="201"/>
        <v>627</v>
      </c>
      <c r="AE107" s="306">
        <f t="shared" si="201"/>
        <v>480</v>
      </c>
      <c r="AF107" s="306">
        <f t="shared" si="201"/>
        <v>473</v>
      </c>
      <c r="AG107" s="307">
        <f>AG12</f>
        <v>501</v>
      </c>
      <c r="AH107" s="308">
        <f>AH12</f>
        <v>2081</v>
      </c>
      <c r="AI107" s="305">
        <f>AI12</f>
        <v>597</v>
      </c>
      <c r="AJ107" s="306">
        <f>AJ12</f>
        <v>538</v>
      </c>
      <c r="AK107" s="306">
        <f t="shared" ref="AK107" si="202">AK12</f>
        <v>542</v>
      </c>
      <c r="AL107" s="307">
        <f t="shared" ref="AL107:AS107" si="203">AL12</f>
        <v>565</v>
      </c>
      <c r="AM107" s="308">
        <f t="shared" si="203"/>
        <v>2242</v>
      </c>
      <c r="AN107" s="305">
        <f t="shared" si="203"/>
        <v>648</v>
      </c>
      <c r="AO107" s="306">
        <f t="shared" si="203"/>
        <v>580</v>
      </c>
      <c r="AP107" s="306">
        <f t="shared" si="203"/>
        <v>615</v>
      </c>
      <c r="AQ107" s="307">
        <f t="shared" si="203"/>
        <v>593</v>
      </c>
      <c r="AR107" s="308">
        <f t="shared" si="203"/>
        <v>2436</v>
      </c>
      <c r="AS107" s="305">
        <f t="shared" si="203"/>
        <v>624</v>
      </c>
      <c r="AT107" s="306">
        <f t="shared" ref="AT107:AW107" si="204">AT12</f>
        <v>627</v>
      </c>
      <c r="AU107" s="306">
        <f t="shared" si="204"/>
        <v>620</v>
      </c>
      <c r="AV107" s="307">
        <f t="shared" si="204"/>
        <v>646</v>
      </c>
      <c r="AW107" s="308">
        <f t="shared" si="204"/>
        <v>2517</v>
      </c>
      <c r="AX107" s="305">
        <f>AX109+AX108</f>
        <v>622.16</v>
      </c>
      <c r="AY107" s="306">
        <f>AY109+AY108</f>
        <v>624.17999999999995</v>
      </c>
      <c r="AZ107" s="306">
        <f>AZ109+AZ108</f>
        <v>618.12</v>
      </c>
      <c r="BA107" s="307">
        <f>BA109+BA108</f>
        <v>644.38</v>
      </c>
      <c r="BB107" s="308">
        <f>SUM(AX107:BA107)</f>
        <v>2508.84</v>
      </c>
      <c r="BC107" s="305">
        <f>BC109+BC108</f>
        <v>628.38159999999993</v>
      </c>
      <c r="BD107" s="306">
        <f>BD109+BD108</f>
        <v>630.42179999999996</v>
      </c>
      <c r="BE107" s="306">
        <f>BE109+BE108</f>
        <v>624.30119999999999</v>
      </c>
      <c r="BF107" s="307">
        <f>BF109+BF108</f>
        <v>650.82380000000001</v>
      </c>
      <c r="BG107" s="308">
        <f>SUM(BC107:BF107)</f>
        <v>2533.9283999999998</v>
      </c>
      <c r="BH107" s="305">
        <f>BH109+BH108</f>
        <v>634.66541599999994</v>
      </c>
      <c r="BI107" s="306">
        <f>BI109+BI108</f>
        <v>636.72601799999995</v>
      </c>
      <c r="BJ107" s="306">
        <f>BJ109+BJ108</f>
        <v>630.54421200000002</v>
      </c>
      <c r="BK107" s="307">
        <f>BK109+BK108</f>
        <v>657.33203800000001</v>
      </c>
      <c r="BL107" s="308">
        <f>SUM(BH107:BK107)</f>
        <v>2559.2676839999999</v>
      </c>
      <c r="BM107" s="305">
        <f>BM109+BM108</f>
        <v>641.01207015999989</v>
      </c>
      <c r="BN107" s="306">
        <f>BN109+BN108</f>
        <v>643.09327817999997</v>
      </c>
      <c r="BO107" s="306">
        <f>BO109+BO108</f>
        <v>636.84965411999997</v>
      </c>
      <c r="BP107" s="307">
        <f>BP109+BP108</f>
        <v>663.90535838000005</v>
      </c>
      <c r="BQ107" s="308">
        <f>SUM(BM107:BP107)</f>
        <v>2584.8603608399999</v>
      </c>
      <c r="BR107" s="308"/>
      <c r="BS107" s="499"/>
      <c r="BW107" s="497"/>
      <c r="BX107" s="497"/>
      <c r="BY107" s="497"/>
    </row>
    <row r="108" spans="1:77" s="491" customFormat="1">
      <c r="B108" s="96"/>
      <c r="C108" s="1179" t="s">
        <v>915</v>
      </c>
      <c r="E108" s="309"/>
      <c r="F108" s="310"/>
      <c r="G108" s="310"/>
      <c r="H108" s="311"/>
      <c r="I108" s="285"/>
      <c r="J108" s="301">
        <f>5+9</f>
        <v>14</v>
      </c>
      <c r="K108" s="302">
        <f>4-7</f>
        <v>-3</v>
      </c>
      <c r="L108" s="302">
        <f>12+9</f>
        <v>21</v>
      </c>
      <c r="M108" s="102">
        <f>N108-SUM(J108:L108)</f>
        <v>19</v>
      </c>
      <c r="N108" s="300">
        <f>17+41-7</f>
        <v>51</v>
      </c>
      <c r="O108" s="301">
        <f>12+72</f>
        <v>84</v>
      </c>
      <c r="P108" s="302">
        <v>8</v>
      </c>
      <c r="Q108" s="302">
        <f>2</f>
        <v>2</v>
      </c>
      <c r="R108" s="102">
        <f>S108-SUM(O108:Q108)</f>
        <v>-3</v>
      </c>
      <c r="S108" s="300">
        <f>(13+78)</f>
        <v>91</v>
      </c>
      <c r="T108" s="301">
        <f>6+1</f>
        <v>7</v>
      </c>
      <c r="U108" s="302">
        <f>9+2</f>
        <v>11</v>
      </c>
      <c r="V108" s="302">
        <f>(21+1+5)</f>
        <v>27</v>
      </c>
      <c r="W108" s="102">
        <f>X108-SUM(T108:V108)</f>
        <v>411</v>
      </c>
      <c r="X108" s="300">
        <f>43+4+17+17+5+370</f>
        <v>456</v>
      </c>
      <c r="Y108" s="301">
        <v>12</v>
      </c>
      <c r="Z108" s="302">
        <f>12-2</f>
        <v>10</v>
      </c>
      <c r="AA108" s="302">
        <f>-3</f>
        <v>-3</v>
      </c>
      <c r="AB108" s="102">
        <f>AC108-SUM(Y108:AA108)</f>
        <v>34</v>
      </c>
      <c r="AC108" s="300">
        <f>52-2-2+5</f>
        <v>53</v>
      </c>
      <c r="AD108" s="301">
        <v>10</v>
      </c>
      <c r="AE108" s="302">
        <v>11</v>
      </c>
      <c r="AF108" s="302">
        <v>10</v>
      </c>
      <c r="AG108" s="102">
        <f>AH108-SUM(AD108:AF108)</f>
        <v>11</v>
      </c>
      <c r="AH108" s="300">
        <v>42</v>
      </c>
      <c r="AI108" s="301">
        <v>13</v>
      </c>
      <c r="AJ108" s="302">
        <v>11</v>
      </c>
      <c r="AK108" s="302">
        <f>10+8</f>
        <v>18</v>
      </c>
      <c r="AL108" s="102">
        <f>AM108-SUM(AI108:AK108)</f>
        <v>-1</v>
      </c>
      <c r="AM108" s="300">
        <v>41</v>
      </c>
      <c r="AN108" s="301">
        <v>61</v>
      </c>
      <c r="AO108" s="302">
        <v>10</v>
      </c>
      <c r="AP108" s="302">
        <v>8</v>
      </c>
      <c r="AQ108" s="102">
        <f>AR108-SUM(AN108:AP108)</f>
        <v>8</v>
      </c>
      <c r="AR108" s="300">
        <v>87</v>
      </c>
      <c r="AS108" s="301">
        <v>8</v>
      </c>
      <c r="AT108" s="302">
        <v>9</v>
      </c>
      <c r="AU108" s="302">
        <v>8</v>
      </c>
      <c r="AV108" s="102">
        <f>AW108-SUM(AS108:AU108)</f>
        <v>8</v>
      </c>
      <c r="AW108" s="300">
        <v>33</v>
      </c>
      <c r="AX108" s="504">
        <v>0</v>
      </c>
      <c r="AY108" s="505">
        <v>0</v>
      </c>
      <c r="AZ108" s="505">
        <v>0</v>
      </c>
      <c r="BA108" s="506">
        <v>0</v>
      </c>
      <c r="BB108" s="285">
        <f>SUM(AX108:BA108)</f>
        <v>0</v>
      </c>
      <c r="BC108" s="504">
        <v>0</v>
      </c>
      <c r="BD108" s="505">
        <v>0</v>
      </c>
      <c r="BE108" s="505">
        <v>0</v>
      </c>
      <c r="BF108" s="506">
        <v>0</v>
      </c>
      <c r="BG108" s="285">
        <f>SUM(BC108:BF108)</f>
        <v>0</v>
      </c>
      <c r="BH108" s="504">
        <v>0</v>
      </c>
      <c r="BI108" s="505">
        <v>0</v>
      </c>
      <c r="BJ108" s="505">
        <v>0</v>
      </c>
      <c r="BK108" s="506">
        <v>0</v>
      </c>
      <c r="BL108" s="285">
        <f>SUM(BH108:BK108)</f>
        <v>0</v>
      </c>
      <c r="BM108" s="504">
        <v>0</v>
      </c>
      <c r="BN108" s="505">
        <v>0</v>
      </c>
      <c r="BO108" s="505">
        <v>0</v>
      </c>
      <c r="BP108" s="506">
        <v>0</v>
      </c>
      <c r="BQ108" s="285">
        <f>SUM(BM108:BP108)</f>
        <v>0</v>
      </c>
      <c r="BR108" s="285"/>
      <c r="BS108" s="489"/>
      <c r="BW108" s="221"/>
      <c r="BX108" s="221"/>
      <c r="BY108" s="221"/>
    </row>
    <row r="109" spans="1:77" s="491" customFormat="1">
      <c r="B109" s="96"/>
      <c r="C109" s="1179" t="s">
        <v>922</v>
      </c>
      <c r="E109" s="309"/>
      <c r="F109" s="310"/>
      <c r="G109" s="310"/>
      <c r="H109" s="311"/>
      <c r="I109" s="285"/>
      <c r="J109" s="309">
        <f>J107-J108</f>
        <v>345</v>
      </c>
      <c r="K109" s="310">
        <f>K107-K108</f>
        <v>334</v>
      </c>
      <c r="L109" s="310">
        <f>L107-L108</f>
        <v>379</v>
      </c>
      <c r="M109" s="311">
        <f>M107-M108</f>
        <v>211</v>
      </c>
      <c r="N109" s="285">
        <f>SUM(J109:M109)</f>
        <v>1269</v>
      </c>
      <c r="O109" s="309">
        <f>O107-O108</f>
        <v>267</v>
      </c>
      <c r="P109" s="310">
        <f>P107-P108</f>
        <v>394</v>
      </c>
      <c r="Q109" s="310">
        <f>Q107-Q108</f>
        <v>457</v>
      </c>
      <c r="R109" s="311">
        <f>R107-R108</f>
        <v>460</v>
      </c>
      <c r="S109" s="285">
        <f>SUM(O109:R109)</f>
        <v>1578</v>
      </c>
      <c r="T109" s="309">
        <f t="shared" ref="T109:Y109" si="205">T107-T108</f>
        <v>460</v>
      </c>
      <c r="U109" s="310">
        <f t="shared" si="205"/>
        <v>382</v>
      </c>
      <c r="V109" s="505">
        <f>V107-V108+40</f>
        <v>411</v>
      </c>
      <c r="W109" s="311">
        <f t="shared" si="205"/>
        <v>294</v>
      </c>
      <c r="X109" s="285">
        <f t="shared" si="205"/>
        <v>1507</v>
      </c>
      <c r="Y109" s="296">
        <f t="shared" si="205"/>
        <v>403</v>
      </c>
      <c r="Z109" s="297">
        <f t="shared" ref="Z109:AF109" si="206">Z107-Z108</f>
        <v>392</v>
      </c>
      <c r="AA109" s="297">
        <f t="shared" si="206"/>
        <v>460</v>
      </c>
      <c r="AB109" s="290">
        <f t="shared" si="206"/>
        <v>465</v>
      </c>
      <c r="AC109" s="298">
        <f t="shared" si="206"/>
        <v>1720</v>
      </c>
      <c r="AD109" s="296">
        <f t="shared" si="206"/>
        <v>617</v>
      </c>
      <c r="AE109" s="297">
        <f t="shared" si="206"/>
        <v>469</v>
      </c>
      <c r="AF109" s="297">
        <f t="shared" si="206"/>
        <v>463</v>
      </c>
      <c r="AG109" s="290">
        <f>AG107-AG108</f>
        <v>490</v>
      </c>
      <c r="AH109" s="298">
        <f>AH107-AH108</f>
        <v>2039</v>
      </c>
      <c r="AI109" s="296">
        <f>AI107-AI108</f>
        <v>584</v>
      </c>
      <c r="AJ109" s="297">
        <f>AJ107-AJ108</f>
        <v>527</v>
      </c>
      <c r="AK109" s="297">
        <f t="shared" ref="AK109" si="207">AK107-AK108</f>
        <v>524</v>
      </c>
      <c r="AL109" s="290">
        <f t="shared" ref="AL109:AR109" si="208">AL107-AL108</f>
        <v>566</v>
      </c>
      <c r="AM109" s="298">
        <f t="shared" si="208"/>
        <v>2201</v>
      </c>
      <c r="AN109" s="296">
        <f t="shared" si="208"/>
        <v>587</v>
      </c>
      <c r="AO109" s="297">
        <f t="shared" si="208"/>
        <v>570</v>
      </c>
      <c r="AP109" s="297">
        <f t="shared" si="208"/>
        <v>607</v>
      </c>
      <c r="AQ109" s="290">
        <f t="shared" si="208"/>
        <v>585</v>
      </c>
      <c r="AR109" s="298">
        <f t="shared" si="208"/>
        <v>2349</v>
      </c>
      <c r="AS109" s="296">
        <f t="shared" ref="AS109:AW109" si="209">AS107-AS108</f>
        <v>616</v>
      </c>
      <c r="AT109" s="297">
        <f t="shared" si="209"/>
        <v>618</v>
      </c>
      <c r="AU109" s="297">
        <f t="shared" si="209"/>
        <v>612</v>
      </c>
      <c r="AV109" s="290">
        <f t="shared" si="209"/>
        <v>638</v>
      </c>
      <c r="AW109" s="298">
        <f t="shared" si="209"/>
        <v>2484</v>
      </c>
      <c r="AX109" s="309">
        <f>AS109*(1+AX110)+AX111</f>
        <v>622.16</v>
      </c>
      <c r="AY109" s="310">
        <f t="shared" ref="AY109:BA109" si="210">AT109*(1+AY110)+AY111</f>
        <v>624.17999999999995</v>
      </c>
      <c r="AZ109" s="310">
        <f t="shared" si="210"/>
        <v>618.12</v>
      </c>
      <c r="BA109" s="311">
        <f t="shared" si="210"/>
        <v>644.38</v>
      </c>
      <c r="BB109" s="285">
        <f>SUM(AX109:BA109)</f>
        <v>2508.84</v>
      </c>
      <c r="BC109" s="309">
        <f>AX109*(1+BC110)+BC111</f>
        <v>628.38159999999993</v>
      </c>
      <c r="BD109" s="310">
        <f t="shared" ref="BD109" si="211">AY109*(1+BD110)+BD111</f>
        <v>630.42179999999996</v>
      </c>
      <c r="BE109" s="310">
        <f t="shared" ref="BE109" si="212">AZ109*(1+BE110)+BE111</f>
        <v>624.30119999999999</v>
      </c>
      <c r="BF109" s="311">
        <f t="shared" ref="BF109" si="213">BA109*(1+BF110)+BF111</f>
        <v>650.82380000000001</v>
      </c>
      <c r="BG109" s="285">
        <f>SUM(BC109:BF109)</f>
        <v>2533.9283999999998</v>
      </c>
      <c r="BH109" s="309">
        <f>BC109*(1+BH110)+BH111</f>
        <v>634.66541599999994</v>
      </c>
      <c r="BI109" s="310">
        <f t="shared" ref="BI109" si="214">BD109*(1+BI110)+BI111</f>
        <v>636.72601799999995</v>
      </c>
      <c r="BJ109" s="310">
        <f t="shared" ref="BJ109" si="215">BE109*(1+BJ110)+BJ111</f>
        <v>630.54421200000002</v>
      </c>
      <c r="BK109" s="311">
        <f t="shared" ref="BK109" si="216">BF109*(1+BK110)+BK111</f>
        <v>657.33203800000001</v>
      </c>
      <c r="BL109" s="285">
        <f>SUM(BH109:BK109)</f>
        <v>2559.2676839999999</v>
      </c>
      <c r="BM109" s="309">
        <f>BH109*(1+BM110)+BM111</f>
        <v>641.01207015999989</v>
      </c>
      <c r="BN109" s="310">
        <f t="shared" ref="BN109" si="217">BI109*(1+BN110)+BN111</f>
        <v>643.09327817999997</v>
      </c>
      <c r="BO109" s="310">
        <f t="shared" ref="BO109" si="218">BJ109*(1+BO110)+BO111</f>
        <v>636.84965411999997</v>
      </c>
      <c r="BP109" s="311">
        <f t="shared" ref="BP109" si="219">BK109*(1+BP110)+BP111</f>
        <v>663.90535838000005</v>
      </c>
      <c r="BQ109" s="285">
        <f>SUM(BM109:BP109)</f>
        <v>2584.8603608399999</v>
      </c>
      <c r="BR109" s="285"/>
      <c r="BS109" s="489"/>
      <c r="BT109" s="221"/>
      <c r="BU109" s="221"/>
      <c r="BV109" s="221"/>
      <c r="BW109" s="221"/>
      <c r="BX109" s="221"/>
      <c r="BY109" s="221"/>
    </row>
    <row r="110" spans="1:77" s="513" customFormat="1">
      <c r="B110" s="512"/>
      <c r="C110" s="1194" t="s">
        <v>923</v>
      </c>
      <c r="E110" s="514"/>
      <c r="F110" s="515"/>
      <c r="G110" s="515"/>
      <c r="H110" s="516"/>
      <c r="I110" s="512"/>
      <c r="J110" s="514"/>
      <c r="K110" s="515"/>
      <c r="L110" s="515"/>
      <c r="M110" s="516"/>
      <c r="N110" s="512"/>
      <c r="O110" s="514">
        <f t="shared" ref="O110:AP110" si="220">O109/J109-1</f>
        <v>-0.22608695652173916</v>
      </c>
      <c r="P110" s="515">
        <f t="shared" si="220"/>
        <v>0.17964071856287434</v>
      </c>
      <c r="Q110" s="515">
        <f t="shared" si="220"/>
        <v>0.20580474934036941</v>
      </c>
      <c r="R110" s="516">
        <f t="shared" si="220"/>
        <v>1.1800947867298577</v>
      </c>
      <c r="S110" s="512">
        <f t="shared" si="220"/>
        <v>0.24349881796690309</v>
      </c>
      <c r="T110" s="514">
        <f t="shared" si="220"/>
        <v>0.72284644194756553</v>
      </c>
      <c r="U110" s="515">
        <f t="shared" si="220"/>
        <v>-3.0456852791878153E-2</v>
      </c>
      <c r="V110" s="515">
        <f t="shared" si="220"/>
        <v>-0.10065645514223198</v>
      </c>
      <c r="W110" s="516">
        <f t="shared" si="220"/>
        <v>-0.36086956521739133</v>
      </c>
      <c r="X110" s="512">
        <f t="shared" si="220"/>
        <v>-4.4993662864385331E-2</v>
      </c>
      <c r="Y110" s="514">
        <f t="shared" si="220"/>
        <v>-0.12391304347826082</v>
      </c>
      <c r="Z110" s="515">
        <f t="shared" si="220"/>
        <v>2.6178010471204161E-2</v>
      </c>
      <c r="AA110" s="515">
        <f t="shared" si="220"/>
        <v>0.11922141119221408</v>
      </c>
      <c r="AB110" s="516">
        <f t="shared" si="220"/>
        <v>0.58163265306122458</v>
      </c>
      <c r="AC110" s="512">
        <f t="shared" si="220"/>
        <v>0.14134041141340403</v>
      </c>
      <c r="AD110" s="514">
        <f t="shared" si="220"/>
        <v>0.53101736972704705</v>
      </c>
      <c r="AE110" s="515">
        <f t="shared" si="220"/>
        <v>0.1964285714285714</v>
      </c>
      <c r="AF110" s="515">
        <f t="shared" si="220"/>
        <v>6.521739130434856E-3</v>
      </c>
      <c r="AG110" s="516">
        <f t="shared" si="220"/>
        <v>5.3763440860215006E-2</v>
      </c>
      <c r="AH110" s="512">
        <f t="shared" si="220"/>
        <v>0.1854651162790697</v>
      </c>
      <c r="AI110" s="514">
        <f t="shared" si="220"/>
        <v>-5.3484602917342028E-2</v>
      </c>
      <c r="AJ110" s="515">
        <f t="shared" si="220"/>
        <v>0.12366737739872069</v>
      </c>
      <c r="AK110" s="515">
        <f t="shared" si="220"/>
        <v>0.13174946004319654</v>
      </c>
      <c r="AL110" s="516">
        <f t="shared" si="220"/>
        <v>0.15510204081632661</v>
      </c>
      <c r="AM110" s="512">
        <f t="shared" si="220"/>
        <v>7.9450711132908358E-2</v>
      </c>
      <c r="AN110" s="514">
        <f t="shared" si="220"/>
        <v>5.1369863013699391E-3</v>
      </c>
      <c r="AO110" s="515">
        <f t="shared" si="220"/>
        <v>8.1593927893738094E-2</v>
      </c>
      <c r="AP110" s="515">
        <f t="shared" si="220"/>
        <v>0.15839694656488557</v>
      </c>
      <c r="AQ110" s="516">
        <f t="shared" ref="AQ110" si="221">AQ109/AL109-1</f>
        <v>3.3568904593639592E-2</v>
      </c>
      <c r="AR110" s="512">
        <f t="shared" ref="AR110:AT110" si="222">AR109/AM109-1</f>
        <v>6.7242162653339488E-2</v>
      </c>
      <c r="AS110" s="514">
        <f t="shared" si="222"/>
        <v>4.9403747870528036E-2</v>
      </c>
      <c r="AT110" s="515">
        <f t="shared" si="222"/>
        <v>8.4210526315789513E-2</v>
      </c>
      <c r="AU110" s="515">
        <f t="shared" ref="AU110" si="223">AU109/AP109-1</f>
        <v>8.2372322899506578E-3</v>
      </c>
      <c r="AV110" s="516">
        <f t="shared" ref="AV110" si="224">AV109/AQ109-1</f>
        <v>9.0598290598290498E-2</v>
      </c>
      <c r="AW110" s="512">
        <f t="shared" ref="AW110" si="225">AW109/AR109-1</f>
        <v>5.7471264367816133E-2</v>
      </c>
      <c r="AX110" s="514">
        <f>AX64</f>
        <v>0.01</v>
      </c>
      <c r="AY110" s="515">
        <f>AY64</f>
        <v>0.01</v>
      </c>
      <c r="AZ110" s="515">
        <f>AZ64</f>
        <v>0.01</v>
      </c>
      <c r="BA110" s="516">
        <f>BA64</f>
        <v>0.01</v>
      </c>
      <c r="BB110" s="512">
        <f>BB109/AW109-1</f>
        <v>1.0000000000000009E-2</v>
      </c>
      <c r="BC110" s="514">
        <f>BC64</f>
        <v>0.01</v>
      </c>
      <c r="BD110" s="515">
        <f>BD64</f>
        <v>0.01</v>
      </c>
      <c r="BE110" s="515">
        <f>BE64</f>
        <v>0.01</v>
      </c>
      <c r="BF110" s="516">
        <f>BF64</f>
        <v>0.01</v>
      </c>
      <c r="BG110" s="512">
        <f>BG109/BB109-1</f>
        <v>9.9999999999997868E-3</v>
      </c>
      <c r="BH110" s="514">
        <f>BH64</f>
        <v>0.01</v>
      </c>
      <c r="BI110" s="515">
        <f>BI64</f>
        <v>0.01</v>
      </c>
      <c r="BJ110" s="515">
        <f>BJ64</f>
        <v>0.01</v>
      </c>
      <c r="BK110" s="516">
        <f>BK64</f>
        <v>0.01</v>
      </c>
      <c r="BL110" s="512">
        <f>BL109/BG109-1</f>
        <v>1.0000000000000009E-2</v>
      </c>
      <c r="BM110" s="514">
        <f>BM64</f>
        <v>0.01</v>
      </c>
      <c r="BN110" s="515">
        <f>BN64</f>
        <v>0.01</v>
      </c>
      <c r="BO110" s="515">
        <f>BO64</f>
        <v>0.01</v>
      </c>
      <c r="BP110" s="516">
        <f>BP64</f>
        <v>0.01</v>
      </c>
      <c r="BQ110" s="512">
        <f>BQ109/BL109-1</f>
        <v>1.0000000000000009E-2</v>
      </c>
      <c r="BR110" s="512"/>
      <c r="BS110" s="2254"/>
      <c r="BT110" s="221"/>
      <c r="BU110" s="221"/>
      <c r="BV110" s="221"/>
      <c r="BW110" s="221"/>
      <c r="BX110" s="221"/>
      <c r="BY110" s="221"/>
    </row>
    <row r="111" spans="1:77" s="513" customFormat="1">
      <c r="B111" s="512"/>
      <c r="C111" s="1194" t="s">
        <v>1024</v>
      </c>
      <c r="E111" s="514"/>
      <c r="F111" s="515"/>
      <c r="G111" s="515"/>
      <c r="H111" s="516"/>
      <c r="I111" s="512"/>
      <c r="J111" s="514"/>
      <c r="K111" s="515"/>
      <c r="L111" s="515"/>
      <c r="M111" s="516"/>
      <c r="N111" s="512"/>
      <c r="O111" s="514"/>
      <c r="P111" s="515"/>
      <c r="Q111" s="515"/>
      <c r="R111" s="516"/>
      <c r="S111" s="512"/>
      <c r="T111" s="514"/>
      <c r="U111" s="515"/>
      <c r="V111" s="515"/>
      <c r="W111" s="516"/>
      <c r="X111" s="512"/>
      <c r="Y111" s="514"/>
      <c r="Z111" s="515"/>
      <c r="AA111" s="515"/>
      <c r="AB111" s="516"/>
      <c r="AC111" s="512"/>
      <c r="AD111" s="514"/>
      <c r="AE111" s="515"/>
      <c r="AF111" s="515"/>
      <c r="AG111" s="516"/>
      <c r="AH111" s="512"/>
      <c r="AI111" s="1962">
        <f>AM111/4</f>
        <v>0</v>
      </c>
      <c r="AJ111" s="297">
        <f>(AM111-AI111)/3</f>
        <v>0</v>
      </c>
      <c r="AK111" s="297">
        <f>(AM111-SUM(AI111:AJ111))/2</f>
        <v>0</v>
      </c>
      <c r="AL111" s="290">
        <f>AM111-SUM(AI111:AK111)</f>
        <v>0</v>
      </c>
      <c r="AM111" s="1917">
        <v>0</v>
      </c>
      <c r="AN111" s="1962">
        <f>AR111/4</f>
        <v>0</v>
      </c>
      <c r="AO111" s="297">
        <f>(AR111-AN111)/3</f>
        <v>0</v>
      </c>
      <c r="AP111" s="297">
        <f>(AR111-SUM(AN111:AO111))/2</f>
        <v>0</v>
      </c>
      <c r="AQ111" s="290">
        <f>AR111-SUM(AN111:AP111)</f>
        <v>0</v>
      </c>
      <c r="AR111" s="1917">
        <v>0</v>
      </c>
      <c r="AS111" s="1962">
        <f>AW111/4</f>
        <v>0</v>
      </c>
      <c r="AT111" s="297">
        <f>(AW111-AS111)/3</f>
        <v>0</v>
      </c>
      <c r="AU111" s="297">
        <f>(AW111-SUM(AS111:AT111))/2</f>
        <v>0</v>
      </c>
      <c r="AV111" s="290">
        <f>AW111-SUM(AS111:AU111)</f>
        <v>0</v>
      </c>
      <c r="AW111" s="1917">
        <v>0</v>
      </c>
      <c r="AX111" s="1962">
        <f>BB111/4</f>
        <v>0</v>
      </c>
      <c r="AY111" s="297">
        <f>(BB111-AX111)/3</f>
        <v>0</v>
      </c>
      <c r="AZ111" s="297">
        <f>(BB111-SUM(AX111:AY111))/2</f>
        <v>0</v>
      </c>
      <c r="BA111" s="290">
        <f>BB111-SUM(AX111:AZ111)</f>
        <v>0</v>
      </c>
      <c r="BB111" s="1917">
        <v>0</v>
      </c>
      <c r="BC111" s="1962">
        <f>BG111/4</f>
        <v>0</v>
      </c>
      <c r="BD111" s="297">
        <f>(BG111-BC111)/3</f>
        <v>0</v>
      </c>
      <c r="BE111" s="297">
        <f>(BG111-SUM(BC111:BD111))/2</f>
        <v>0</v>
      </c>
      <c r="BF111" s="290">
        <f>BG111-SUM(BC111:BE111)</f>
        <v>0</v>
      </c>
      <c r="BG111" s="1917">
        <v>0</v>
      </c>
      <c r="BH111" s="1962">
        <f>BL111/4</f>
        <v>0</v>
      </c>
      <c r="BI111" s="297">
        <f>(BL111-BH111)/3</f>
        <v>0</v>
      </c>
      <c r="BJ111" s="297">
        <f>(BL111-SUM(BH111:BI111))/2</f>
        <v>0</v>
      </c>
      <c r="BK111" s="290">
        <f>BL111-SUM(BH111:BJ111)</f>
        <v>0</v>
      </c>
      <c r="BL111" s="1917">
        <v>0</v>
      </c>
      <c r="BM111" s="1962">
        <f>BQ111/4</f>
        <v>0</v>
      </c>
      <c r="BN111" s="297">
        <f>(BQ111-BM111)/3</f>
        <v>0</v>
      </c>
      <c r="BO111" s="297">
        <f>(BQ111-SUM(BM111:BN111))/2</f>
        <v>0</v>
      </c>
      <c r="BP111" s="290">
        <f>BQ111-SUM(BM111:BO111)</f>
        <v>0</v>
      </c>
      <c r="BQ111" s="1917">
        <v>0</v>
      </c>
      <c r="BR111" s="512"/>
      <c r="BS111" s="489"/>
      <c r="BT111" s="490"/>
      <c r="BU111" s="490"/>
      <c r="BV111" s="490"/>
      <c r="BW111" s="490"/>
      <c r="BX111" s="490"/>
      <c r="BY111" s="490"/>
    </row>
    <row r="112" spans="1:77" s="92" customFormat="1">
      <c r="A112" s="139"/>
      <c r="B112" s="87"/>
      <c r="C112" s="1179"/>
      <c r="E112" s="133"/>
      <c r="F112" s="134"/>
      <c r="G112" s="134"/>
      <c r="H112" s="135"/>
      <c r="I112" s="125"/>
      <c r="J112" s="133"/>
      <c r="K112" s="134"/>
      <c r="L112" s="134"/>
      <c r="M112" s="135"/>
      <c r="N112" s="125"/>
      <c r="O112" s="133"/>
      <c r="P112" s="134"/>
      <c r="Q112" s="134"/>
      <c r="R112" s="135"/>
      <c r="S112" s="125"/>
      <c r="T112" s="133"/>
      <c r="U112" s="134"/>
      <c r="V112" s="134"/>
      <c r="W112" s="135"/>
      <c r="X112" s="125"/>
      <c r="Y112" s="133"/>
      <c r="Z112" s="134"/>
      <c r="AA112" s="134"/>
      <c r="AB112" s="135"/>
      <c r="AC112" s="125"/>
      <c r="AD112" s="133"/>
      <c r="AE112" s="134"/>
      <c r="AF112" s="134"/>
      <c r="AG112" s="135"/>
      <c r="AH112" s="125"/>
      <c r="AI112" s="133"/>
      <c r="AJ112" s="134"/>
      <c r="AK112" s="134"/>
      <c r="AL112" s="135"/>
      <c r="AM112" s="125"/>
      <c r="AN112" s="133"/>
      <c r="AO112" s="134"/>
      <c r="AP112" s="134"/>
      <c r="AQ112" s="135"/>
      <c r="AR112" s="125"/>
      <c r="AS112" s="133"/>
      <c r="AT112" s="134"/>
      <c r="AU112" s="134"/>
      <c r="AV112" s="135"/>
      <c r="AW112" s="125"/>
      <c r="AX112" s="133"/>
      <c r="AY112" s="134"/>
      <c r="AZ112" s="134"/>
      <c r="BA112" s="135"/>
      <c r="BB112" s="125"/>
      <c r="BC112" s="133"/>
      <c r="BD112" s="134"/>
      <c r="BE112" s="134"/>
      <c r="BF112" s="135"/>
      <c r="BG112" s="125"/>
      <c r="BH112" s="133"/>
      <c r="BI112" s="134"/>
      <c r="BJ112" s="134"/>
      <c r="BK112" s="135"/>
      <c r="BL112" s="125"/>
      <c r="BM112" s="133"/>
      <c r="BN112" s="134"/>
      <c r="BO112" s="134"/>
      <c r="BP112" s="135"/>
      <c r="BQ112" s="125"/>
      <c r="BR112" s="125"/>
      <c r="BS112" s="503"/>
      <c r="BT112" s="491"/>
      <c r="BU112" s="491"/>
      <c r="BV112" s="491"/>
      <c r="BW112" s="491"/>
      <c r="BX112" s="491"/>
      <c r="BY112" s="491"/>
    </row>
    <row r="113" spans="1:89" s="491" customFormat="1">
      <c r="B113" s="96"/>
      <c r="C113" s="1179" t="s">
        <v>194</v>
      </c>
      <c r="E113" s="309"/>
      <c r="F113" s="310"/>
      <c r="G113" s="310"/>
      <c r="H113" s="311"/>
      <c r="I113" s="285"/>
      <c r="J113" s="309">
        <f t="shared" ref="J113:AM113" si="226">J15</f>
        <v>154</v>
      </c>
      <c r="K113" s="310">
        <f t="shared" si="226"/>
        <v>138</v>
      </c>
      <c r="L113" s="310">
        <f t="shared" si="226"/>
        <v>167</v>
      </c>
      <c r="M113" s="311">
        <f t="shared" si="226"/>
        <v>146</v>
      </c>
      <c r="N113" s="285">
        <f t="shared" si="226"/>
        <v>605</v>
      </c>
      <c r="O113" s="309">
        <f t="shared" si="226"/>
        <v>176</v>
      </c>
      <c r="P113" s="310">
        <f t="shared" si="226"/>
        <v>177</v>
      </c>
      <c r="Q113" s="310">
        <f t="shared" si="226"/>
        <v>198</v>
      </c>
      <c r="R113" s="311">
        <f t="shared" si="226"/>
        <v>166</v>
      </c>
      <c r="S113" s="285">
        <f t="shared" si="226"/>
        <v>717</v>
      </c>
      <c r="T113" s="309">
        <f t="shared" si="226"/>
        <v>190</v>
      </c>
      <c r="U113" s="310">
        <f t="shared" si="226"/>
        <v>167</v>
      </c>
      <c r="V113" s="310">
        <f t="shared" si="226"/>
        <v>186</v>
      </c>
      <c r="W113" s="311">
        <f t="shared" si="226"/>
        <v>163</v>
      </c>
      <c r="X113" s="285">
        <f t="shared" si="226"/>
        <v>706</v>
      </c>
      <c r="Y113" s="309">
        <f t="shared" si="226"/>
        <v>182</v>
      </c>
      <c r="Z113" s="297">
        <f t="shared" si="226"/>
        <v>172</v>
      </c>
      <c r="AA113" s="297">
        <f t="shared" si="226"/>
        <v>173</v>
      </c>
      <c r="AB113" s="311">
        <f t="shared" si="226"/>
        <v>170</v>
      </c>
      <c r="AC113" s="285">
        <f t="shared" si="226"/>
        <v>697</v>
      </c>
      <c r="AD113" s="309">
        <f t="shared" si="226"/>
        <v>187</v>
      </c>
      <c r="AE113" s="310">
        <f t="shared" si="226"/>
        <v>166</v>
      </c>
      <c r="AF113" s="310">
        <f t="shared" si="226"/>
        <v>175</v>
      </c>
      <c r="AG113" s="311">
        <f t="shared" si="226"/>
        <v>165</v>
      </c>
      <c r="AH113" s="285">
        <f t="shared" si="226"/>
        <v>693</v>
      </c>
      <c r="AI113" s="309">
        <f t="shared" si="226"/>
        <v>190</v>
      </c>
      <c r="AJ113" s="310">
        <f t="shared" si="226"/>
        <v>174</v>
      </c>
      <c r="AK113" s="310">
        <f t="shared" si="226"/>
        <v>172</v>
      </c>
      <c r="AL113" s="311">
        <f t="shared" si="226"/>
        <v>167</v>
      </c>
      <c r="AM113" s="285">
        <f t="shared" si="226"/>
        <v>703</v>
      </c>
      <c r="AN113" s="309">
        <f t="shared" ref="AN113:AR113" si="227">AN15</f>
        <v>185</v>
      </c>
      <c r="AO113" s="310">
        <f t="shared" si="227"/>
        <v>170</v>
      </c>
      <c r="AP113" s="310">
        <f t="shared" si="227"/>
        <v>190</v>
      </c>
      <c r="AQ113" s="311">
        <f t="shared" si="227"/>
        <v>175</v>
      </c>
      <c r="AR113" s="285">
        <f t="shared" si="227"/>
        <v>720</v>
      </c>
      <c r="AS113" s="309">
        <f t="shared" ref="AS113:AT113" si="228">AS15</f>
        <v>184</v>
      </c>
      <c r="AT113" s="310">
        <f t="shared" si="228"/>
        <v>175</v>
      </c>
      <c r="AU113" s="310">
        <f t="shared" ref="AU113:AW113" si="229">AU15</f>
        <v>187</v>
      </c>
      <c r="AV113" s="311">
        <f t="shared" si="229"/>
        <v>181</v>
      </c>
      <c r="AW113" s="285">
        <f t="shared" si="229"/>
        <v>727</v>
      </c>
      <c r="AX113" s="309">
        <f>AS113*(1+AX114)</f>
        <v>185.84</v>
      </c>
      <c r="AY113" s="310">
        <f>AT113*(1+AY114)</f>
        <v>176.75</v>
      </c>
      <c r="AZ113" s="310">
        <f>AU113*(1+AZ114)</f>
        <v>188.87</v>
      </c>
      <c r="BA113" s="311">
        <f>AV113*(1+BA114)</f>
        <v>182.81</v>
      </c>
      <c r="BB113" s="285">
        <f>SUM(AX113:BA113)</f>
        <v>734.27</v>
      </c>
      <c r="BC113" s="309">
        <f>AX113*(1+BC114)</f>
        <v>187.69839999999999</v>
      </c>
      <c r="BD113" s="310">
        <f>AY113*(1+BD114)</f>
        <v>178.51750000000001</v>
      </c>
      <c r="BE113" s="310">
        <f>AZ113*(1+BE114)</f>
        <v>190.7587</v>
      </c>
      <c r="BF113" s="311">
        <f>BA113*(1+BF114)</f>
        <v>184.63810000000001</v>
      </c>
      <c r="BG113" s="285">
        <f>SUM(BC113:BF113)</f>
        <v>741.61270000000002</v>
      </c>
      <c r="BH113" s="309">
        <f>BC113*(1+BH114)</f>
        <v>189.57538399999999</v>
      </c>
      <c r="BI113" s="310">
        <f>BD113*(1+BI114)</f>
        <v>180.30267500000002</v>
      </c>
      <c r="BJ113" s="310">
        <f>BE113*(1+BJ114)</f>
        <v>192.66628700000001</v>
      </c>
      <c r="BK113" s="311">
        <f>BF113*(1+BK114)</f>
        <v>186.48448100000002</v>
      </c>
      <c r="BL113" s="285">
        <f>SUM(BH113:BK113)</f>
        <v>749.02882700000009</v>
      </c>
      <c r="BM113" s="309">
        <f>BH113*(1+BM114)</f>
        <v>191.47113783999998</v>
      </c>
      <c r="BN113" s="310">
        <f>BI113*(1+BN114)</f>
        <v>182.10570175000004</v>
      </c>
      <c r="BO113" s="310">
        <f>BJ113*(1+BO114)</f>
        <v>194.59294987000001</v>
      </c>
      <c r="BP113" s="311">
        <f>BK113*(1+BP114)</f>
        <v>188.34932581000001</v>
      </c>
      <c r="BQ113" s="285">
        <f>SUM(BM113:BP113)</f>
        <v>756.51911527000004</v>
      </c>
      <c r="BR113" s="285"/>
      <c r="BS113" s="2254"/>
    </row>
    <row r="114" spans="1:89" s="513" customFormat="1">
      <c r="B114" s="512"/>
      <c r="C114" s="1194" t="s">
        <v>923</v>
      </c>
      <c r="E114" s="514"/>
      <c r="F114" s="515"/>
      <c r="G114" s="515"/>
      <c r="H114" s="516"/>
      <c r="I114" s="512"/>
      <c r="J114" s="514"/>
      <c r="K114" s="515"/>
      <c r="L114" s="515"/>
      <c r="M114" s="516"/>
      <c r="N114" s="512"/>
      <c r="O114" s="514">
        <f t="shared" ref="O114:V114" si="230">O113/J113-1</f>
        <v>0.14285714285714279</v>
      </c>
      <c r="P114" s="515">
        <f t="shared" si="230"/>
        <v>0.28260869565217384</v>
      </c>
      <c r="Q114" s="515">
        <f t="shared" si="230"/>
        <v>0.18562874251497008</v>
      </c>
      <c r="R114" s="516">
        <f t="shared" si="230"/>
        <v>0.13698630136986312</v>
      </c>
      <c r="S114" s="512">
        <f t="shared" si="230"/>
        <v>0.18512396694214872</v>
      </c>
      <c r="T114" s="514">
        <f t="shared" si="230"/>
        <v>7.9545454545454586E-2</v>
      </c>
      <c r="U114" s="515">
        <f t="shared" si="230"/>
        <v>-5.6497175141242972E-2</v>
      </c>
      <c r="V114" s="515">
        <f t="shared" si="230"/>
        <v>-6.0606060606060552E-2</v>
      </c>
      <c r="W114" s="516">
        <f>W113/R113-1</f>
        <v>-1.8072289156626509E-2</v>
      </c>
      <c r="X114" s="512">
        <f>X113/S113-1</f>
        <v>-1.5341701534170138E-2</v>
      </c>
      <c r="Y114" s="514">
        <f>Y113/T113-1</f>
        <v>-4.2105263157894757E-2</v>
      </c>
      <c r="Z114" s="515">
        <f t="shared" ref="Z114:AF114" si="231">Z113/U113-1</f>
        <v>2.9940119760478945E-2</v>
      </c>
      <c r="AA114" s="515">
        <f t="shared" si="231"/>
        <v>-6.9892473118279619E-2</v>
      </c>
      <c r="AB114" s="516">
        <f t="shared" si="231"/>
        <v>4.2944785276073594E-2</v>
      </c>
      <c r="AC114" s="512">
        <f t="shared" si="231"/>
        <v>-1.2747875354107596E-2</v>
      </c>
      <c r="AD114" s="514">
        <f t="shared" si="231"/>
        <v>2.7472527472527375E-2</v>
      </c>
      <c r="AE114" s="515">
        <f t="shared" si="231"/>
        <v>-3.4883720930232509E-2</v>
      </c>
      <c r="AF114" s="515">
        <f t="shared" si="231"/>
        <v>1.1560693641618602E-2</v>
      </c>
      <c r="AG114" s="516">
        <f>AG113/AB113-1</f>
        <v>-2.9411764705882359E-2</v>
      </c>
      <c r="AH114" s="512">
        <f>AH113/AC113-1</f>
        <v>-5.7388809182209455E-3</v>
      </c>
      <c r="AI114" s="514">
        <f>AI113/AD113-1</f>
        <v>1.6042780748663166E-2</v>
      </c>
      <c r="AJ114" s="515">
        <f>AJ113/AE113-1</f>
        <v>4.8192771084337283E-2</v>
      </c>
      <c r="AK114" s="515">
        <f t="shared" ref="AK114" si="232">AK113/AF113-1</f>
        <v>-1.7142857142857126E-2</v>
      </c>
      <c r="AL114" s="516">
        <f>AL113/AG113-1</f>
        <v>1.2121212121212199E-2</v>
      </c>
      <c r="AM114" s="512">
        <f>AM113/AH113-1</f>
        <v>1.4430014430014459E-2</v>
      </c>
      <c r="AN114" s="514">
        <f>AN113/AI113-1</f>
        <v>-2.6315789473684181E-2</v>
      </c>
      <c r="AO114" s="515">
        <f>AO113/AJ113-1</f>
        <v>-2.2988505747126409E-2</v>
      </c>
      <c r="AP114" s="515">
        <f t="shared" ref="AP114" si="233">AP113/AK113-1</f>
        <v>0.10465116279069764</v>
      </c>
      <c r="AQ114" s="516">
        <f>AQ113/AL113-1</f>
        <v>4.7904191616766401E-2</v>
      </c>
      <c r="AR114" s="512">
        <f>AR113/AM113-1</f>
        <v>2.4182076813655806E-2</v>
      </c>
      <c r="AS114" s="514">
        <f>AS113/AN113-1</f>
        <v>-5.4054054054053502E-3</v>
      </c>
      <c r="AT114" s="515">
        <f>AT113/AO113-1</f>
        <v>2.9411764705882248E-2</v>
      </c>
      <c r="AU114" s="515">
        <f t="shared" ref="AU114" si="234">AU113/AP113-1</f>
        <v>-1.5789473684210575E-2</v>
      </c>
      <c r="AV114" s="516">
        <f>AV113/AQ113-1</f>
        <v>3.4285714285714253E-2</v>
      </c>
      <c r="AW114" s="512">
        <f>AW113/AR113-1</f>
        <v>9.7222222222221877E-3</v>
      </c>
      <c r="AX114" s="514">
        <f>AX65</f>
        <v>0.01</v>
      </c>
      <c r="AY114" s="515">
        <f>AY65</f>
        <v>0.01</v>
      </c>
      <c r="AZ114" s="515">
        <f>AZ65</f>
        <v>0.01</v>
      </c>
      <c r="BA114" s="516">
        <f>BA65</f>
        <v>0.01</v>
      </c>
      <c r="BB114" s="512">
        <f>BB113/AW113-1</f>
        <v>1.0000000000000009E-2</v>
      </c>
      <c r="BC114" s="514">
        <f>BC65</f>
        <v>0.01</v>
      </c>
      <c r="BD114" s="515">
        <f>BD65</f>
        <v>0.01</v>
      </c>
      <c r="BE114" s="515">
        <f>BE65</f>
        <v>0.01</v>
      </c>
      <c r="BF114" s="516">
        <f>BF65</f>
        <v>0.01</v>
      </c>
      <c r="BG114" s="512">
        <f>BG113/BB113-1</f>
        <v>1.0000000000000009E-2</v>
      </c>
      <c r="BH114" s="514">
        <f>BH65</f>
        <v>0.01</v>
      </c>
      <c r="BI114" s="515">
        <f>BI65</f>
        <v>0.01</v>
      </c>
      <c r="BJ114" s="515">
        <f>BJ65</f>
        <v>0.01</v>
      </c>
      <c r="BK114" s="516">
        <f>BK65</f>
        <v>0.01</v>
      </c>
      <c r="BL114" s="512">
        <f>BL113/BG113-1</f>
        <v>1.0000000000000009E-2</v>
      </c>
      <c r="BM114" s="514">
        <f>BM65</f>
        <v>0.01</v>
      </c>
      <c r="BN114" s="515">
        <f>BN65</f>
        <v>0.01</v>
      </c>
      <c r="BO114" s="515">
        <f>BO65</f>
        <v>0.01</v>
      </c>
      <c r="BP114" s="516">
        <f>BP65</f>
        <v>0.01</v>
      </c>
      <c r="BQ114" s="512">
        <f>BQ113/BL113-1</f>
        <v>1.0000000000000009E-2</v>
      </c>
      <c r="BR114" s="512"/>
      <c r="BS114" s="2254"/>
    </row>
    <row r="115" spans="1:89" s="92" customFormat="1">
      <c r="A115" s="139"/>
      <c r="B115" s="91"/>
      <c r="C115" s="1187"/>
      <c r="E115" s="133"/>
      <c r="F115" s="134"/>
      <c r="G115" s="134"/>
      <c r="H115" s="135"/>
      <c r="I115" s="125"/>
      <c r="J115" s="133"/>
      <c r="K115" s="134"/>
      <c r="L115" s="134"/>
      <c r="M115" s="135"/>
      <c r="N115" s="125"/>
      <c r="O115" s="133"/>
      <c r="P115" s="134"/>
      <c r="Q115" s="134"/>
      <c r="R115" s="135"/>
      <c r="S115" s="125"/>
      <c r="T115" s="133"/>
      <c r="U115" s="134"/>
      <c r="V115" s="134"/>
      <c r="W115" s="135"/>
      <c r="X115" s="125"/>
      <c r="Y115" s="133"/>
      <c r="Z115" s="134"/>
      <c r="AA115" s="134"/>
      <c r="AB115" s="135"/>
      <c r="AC115" s="125"/>
      <c r="AD115" s="133"/>
      <c r="AE115" s="134"/>
      <c r="AF115" s="134"/>
      <c r="AG115" s="135"/>
      <c r="AH115" s="125"/>
      <c r="AI115" s="133"/>
      <c r="AJ115" s="134"/>
      <c r="AK115" s="134"/>
      <c r="AL115" s="135"/>
      <c r="AM115" s="125"/>
      <c r="AN115" s="133"/>
      <c r="AO115" s="134"/>
      <c r="AP115" s="134"/>
      <c r="AQ115" s="135"/>
      <c r="AR115" s="125"/>
      <c r="AS115" s="133"/>
      <c r="AT115" s="134"/>
      <c r="AU115" s="134"/>
      <c r="AV115" s="135"/>
      <c r="AW115" s="125"/>
      <c r="AX115" s="133"/>
      <c r="AY115" s="134"/>
      <c r="AZ115" s="134"/>
      <c r="BA115" s="135"/>
      <c r="BB115" s="125"/>
      <c r="BC115" s="133"/>
      <c r="BD115" s="134"/>
      <c r="BE115" s="134"/>
      <c r="BF115" s="135"/>
      <c r="BG115" s="125"/>
      <c r="BH115" s="133"/>
      <c r="BI115" s="134"/>
      <c r="BJ115" s="134"/>
      <c r="BK115" s="135"/>
      <c r="BL115" s="125"/>
      <c r="BM115" s="133"/>
      <c r="BN115" s="134"/>
      <c r="BO115" s="134"/>
      <c r="BP115" s="135"/>
      <c r="BQ115" s="125"/>
      <c r="BR115" s="125"/>
      <c r="BS115" s="517"/>
      <c r="BT115" s="513"/>
      <c r="BU115" s="513"/>
      <c r="BV115" s="513"/>
      <c r="BW115" s="513"/>
      <c r="BX115" s="513"/>
      <c r="BY115" s="513"/>
    </row>
    <row r="116" spans="1:89" s="92" customFormat="1">
      <c r="A116" s="139"/>
      <c r="B116" s="91"/>
      <c r="C116" s="1187"/>
      <c r="E116" s="133"/>
      <c r="F116" s="134"/>
      <c r="G116" s="134"/>
      <c r="H116" s="135"/>
      <c r="I116" s="125"/>
      <c r="J116" s="133"/>
      <c r="K116" s="134"/>
      <c r="L116" s="134"/>
      <c r="M116" s="135"/>
      <c r="N116" s="125"/>
      <c r="O116" s="133"/>
      <c r="P116" s="134"/>
      <c r="Q116" s="134"/>
      <c r="R116" s="135"/>
      <c r="S116" s="125"/>
      <c r="T116" s="133"/>
      <c r="U116" s="134"/>
      <c r="V116" s="134"/>
      <c r="W116" s="135"/>
      <c r="X116" s="125"/>
      <c r="Y116" s="133"/>
      <c r="Z116" s="134"/>
      <c r="AA116" s="134"/>
      <c r="AB116" s="135"/>
      <c r="AC116" s="125"/>
      <c r="AD116" s="133"/>
      <c r="AE116" s="134"/>
      <c r="AF116" s="134"/>
      <c r="AG116" s="135"/>
      <c r="AH116" s="125"/>
      <c r="AI116" s="133"/>
      <c r="AJ116" s="134"/>
      <c r="AK116" s="134"/>
      <c r="AL116" s="135"/>
      <c r="AM116" s="125"/>
      <c r="AN116" s="133"/>
      <c r="AO116" s="134"/>
      <c r="AP116" s="134"/>
      <c r="AQ116" s="135"/>
      <c r="AR116" s="125"/>
      <c r="AS116" s="133"/>
      <c r="AT116" s="134"/>
      <c r="AU116" s="134"/>
      <c r="AV116" s="135"/>
      <c r="AW116" s="125"/>
      <c r="AX116" s="133"/>
      <c r="AY116" s="134"/>
      <c r="AZ116" s="134"/>
      <c r="BA116" s="135"/>
      <c r="BB116" s="125"/>
      <c r="BC116" s="133"/>
      <c r="BD116" s="134"/>
      <c r="BE116" s="134"/>
      <c r="BF116" s="135"/>
      <c r="BG116" s="125"/>
      <c r="BH116" s="133"/>
      <c r="BI116" s="134"/>
      <c r="BJ116" s="134"/>
      <c r="BK116" s="135"/>
      <c r="BL116" s="125"/>
      <c r="BM116" s="133"/>
      <c r="BN116" s="134"/>
      <c r="BO116" s="134"/>
      <c r="BP116" s="135"/>
      <c r="BQ116" s="125"/>
      <c r="BR116" s="125"/>
      <c r="BS116" s="276"/>
      <c r="BT116" s="177"/>
      <c r="BU116" s="177"/>
      <c r="BV116" s="177"/>
      <c r="BW116" s="177"/>
      <c r="BX116" s="177"/>
    </row>
    <row r="117" spans="1:89">
      <c r="A117" s="89"/>
      <c r="B117" s="126" t="s">
        <v>902</v>
      </c>
      <c r="C117" s="1185"/>
      <c r="D117" s="128"/>
      <c r="E117" s="133"/>
      <c r="F117" s="134"/>
      <c r="G117" s="134"/>
      <c r="H117" s="135"/>
      <c r="I117" s="233"/>
      <c r="J117" s="133"/>
      <c r="K117" s="134"/>
      <c r="L117" s="134"/>
      <c r="M117" s="135"/>
      <c r="N117" s="233"/>
      <c r="O117" s="133"/>
      <c r="P117" s="134"/>
      <c r="Q117" s="134"/>
      <c r="R117" s="135"/>
      <c r="S117" s="233"/>
      <c r="T117" s="833"/>
      <c r="U117" s="134"/>
      <c r="V117" s="134"/>
      <c r="W117" s="135"/>
      <c r="X117" s="233"/>
      <c r="Y117" s="133"/>
      <c r="Z117" s="134"/>
      <c r="AA117" s="134"/>
      <c r="AB117" s="135"/>
      <c r="AC117" s="233"/>
      <c r="AD117" s="133"/>
      <c r="AE117" s="134"/>
      <c r="AF117" s="134"/>
      <c r="AG117" s="135"/>
      <c r="AH117" s="233"/>
      <c r="AI117" s="133"/>
      <c r="AJ117" s="134"/>
      <c r="AK117" s="134"/>
      <c r="AL117" s="135"/>
      <c r="AM117" s="233"/>
      <c r="AN117" s="133"/>
      <c r="AO117" s="134"/>
      <c r="AP117" s="134"/>
      <c r="AQ117" s="135"/>
      <c r="AR117" s="233"/>
      <c r="AS117" s="133"/>
      <c r="AT117" s="134"/>
      <c r="AU117" s="134"/>
      <c r="AV117" s="135"/>
      <c r="AW117" s="233"/>
      <c r="AX117" s="133"/>
      <c r="AY117" s="134"/>
      <c r="AZ117" s="134"/>
      <c r="BA117" s="135"/>
      <c r="BB117" s="233"/>
      <c r="BC117" s="133"/>
      <c r="BD117" s="134"/>
      <c r="BE117" s="134"/>
      <c r="BF117" s="135"/>
      <c r="BG117" s="233"/>
      <c r="BH117" s="133"/>
      <c r="BI117" s="134"/>
      <c r="BJ117" s="134"/>
      <c r="BK117" s="135"/>
      <c r="BL117" s="233"/>
      <c r="BM117" s="133"/>
      <c r="BN117" s="134"/>
      <c r="BO117" s="134"/>
      <c r="BP117" s="135"/>
      <c r="BQ117" s="233"/>
      <c r="BR117" s="177"/>
      <c r="BS117" s="503"/>
      <c r="BT117" s="491"/>
      <c r="BU117" s="491"/>
      <c r="BV117" s="491"/>
      <c r="BW117" s="491"/>
      <c r="BX117" s="491"/>
      <c r="BY117" s="491"/>
      <c r="CB117" s="92"/>
      <c r="CC117" s="92"/>
      <c r="CD117" s="92"/>
      <c r="CE117" s="92"/>
      <c r="CF117" s="92"/>
      <c r="CG117" s="92"/>
      <c r="CH117" s="92"/>
      <c r="CI117" s="92"/>
      <c r="CJ117" s="92"/>
      <c r="CK117" s="92"/>
    </row>
    <row r="118" spans="1:89" s="81" customFormat="1">
      <c r="A118" s="315"/>
      <c r="B118" s="315"/>
      <c r="C118" s="1187"/>
      <c r="E118" s="288"/>
      <c r="F118" s="289"/>
      <c r="G118" s="289"/>
      <c r="H118" s="299"/>
      <c r="I118" s="300"/>
      <c r="J118" s="301"/>
      <c r="K118" s="302"/>
      <c r="L118" s="302"/>
      <c r="M118" s="303"/>
      <c r="N118" s="298"/>
      <c r="O118" s="301"/>
      <c r="P118" s="302"/>
      <c r="Q118" s="302"/>
      <c r="R118" s="303"/>
      <c r="S118" s="298"/>
      <c r="T118" s="316"/>
      <c r="U118" s="312"/>
      <c r="V118" s="312"/>
      <c r="W118" s="317"/>
      <c r="X118" s="298"/>
      <c r="Y118" s="316"/>
      <c r="Z118" s="312"/>
      <c r="AA118" s="312"/>
      <c r="AB118" s="317"/>
      <c r="AC118" s="298"/>
      <c r="AD118" s="316"/>
      <c r="AE118" s="312"/>
      <c r="AF118" s="312"/>
      <c r="AG118" s="317"/>
      <c r="AH118" s="298"/>
      <c r="AI118" s="316"/>
      <c r="AJ118" s="312"/>
      <c r="AK118" s="686"/>
      <c r="AL118" s="317"/>
      <c r="AM118" s="298"/>
      <c r="AN118" s="316"/>
      <c r="AO118" s="312"/>
      <c r="AP118" s="686"/>
      <c r="AQ118" s="317"/>
      <c r="AR118" s="298"/>
      <c r="AS118" s="316"/>
      <c r="AT118" s="312"/>
      <c r="AU118" s="312"/>
      <c r="AV118" s="317"/>
      <c r="AW118" s="298"/>
      <c r="AX118" s="316"/>
      <c r="AY118" s="312"/>
      <c r="AZ118" s="312"/>
      <c r="BA118" s="317"/>
      <c r="BB118" s="298"/>
      <c r="BC118" s="316"/>
      <c r="BD118" s="312"/>
      <c r="BE118" s="312"/>
      <c r="BF118" s="317"/>
      <c r="BG118" s="298"/>
      <c r="BH118" s="316"/>
      <c r="BI118" s="312"/>
      <c r="BJ118" s="312"/>
      <c r="BK118" s="317"/>
      <c r="BL118" s="298"/>
      <c r="BM118" s="316"/>
      <c r="BN118" s="312"/>
      <c r="BO118" s="312"/>
      <c r="BP118" s="317"/>
      <c r="BQ118" s="298"/>
      <c r="BR118" s="221"/>
      <c r="BS118" s="517"/>
      <c r="BT118" s="513"/>
      <c r="BU118" s="513"/>
      <c r="BV118" s="513"/>
      <c r="BW118" s="513"/>
      <c r="BX118" s="513"/>
      <c r="BY118" s="513"/>
    </row>
    <row r="119" spans="1:89" s="81" customFormat="1">
      <c r="A119" s="315"/>
      <c r="B119" s="315"/>
      <c r="C119" s="1195" t="s">
        <v>903</v>
      </c>
      <c r="E119" s="288"/>
      <c r="F119" s="289"/>
      <c r="G119" s="289"/>
      <c r="H119" s="299"/>
      <c r="I119" s="300"/>
      <c r="J119" s="301"/>
      <c r="K119" s="302"/>
      <c r="L119" s="302"/>
      <c r="M119" s="303"/>
      <c r="N119" s="298"/>
      <c r="O119" s="301"/>
      <c r="P119" s="302"/>
      <c r="Q119" s="302"/>
      <c r="R119" s="303"/>
      <c r="S119" s="298"/>
      <c r="T119" s="316"/>
      <c r="U119" s="312"/>
      <c r="V119" s="312"/>
      <c r="W119" s="317"/>
      <c r="X119" s="298"/>
      <c r="Y119" s="316"/>
      <c r="Z119" s="312"/>
      <c r="AA119" s="312"/>
      <c r="AB119" s="317"/>
      <c r="AC119" s="298"/>
      <c r="AD119" s="316"/>
      <c r="AE119" s="312"/>
      <c r="AF119" s="312"/>
      <c r="AG119" s="317"/>
      <c r="AH119" s="298"/>
      <c r="AI119" s="316"/>
      <c r="AJ119" s="312"/>
      <c r="AK119" s="312"/>
      <c r="AL119" s="317"/>
      <c r="AM119" s="298"/>
      <c r="AN119" s="316"/>
      <c r="AO119" s="312"/>
      <c r="AP119" s="312"/>
      <c r="AQ119" s="317"/>
      <c r="AR119" s="298"/>
      <c r="AS119" s="316"/>
      <c r="AT119" s="312"/>
      <c r="AU119" s="312"/>
      <c r="AV119" s="317"/>
      <c r="AW119" s="298"/>
      <c r="AX119" s="316"/>
      <c r="AY119" s="312"/>
      <c r="AZ119" s="312"/>
      <c r="BA119" s="317"/>
      <c r="BB119" s="298"/>
      <c r="BC119" s="316"/>
      <c r="BD119" s="312"/>
      <c r="BE119" s="312"/>
      <c r="BF119" s="317"/>
      <c r="BG119" s="298"/>
      <c r="BH119" s="316"/>
      <c r="BI119" s="312"/>
      <c r="BJ119" s="312"/>
      <c r="BK119" s="317"/>
      <c r="BL119" s="298"/>
      <c r="BM119" s="316"/>
      <c r="BN119" s="312"/>
      <c r="BO119" s="312"/>
      <c r="BP119" s="317"/>
      <c r="BQ119" s="298"/>
      <c r="BR119" s="221"/>
      <c r="BS119" s="276"/>
      <c r="BT119" s="177"/>
      <c r="BU119" s="177"/>
      <c r="BV119" s="177"/>
      <c r="BW119" s="177"/>
      <c r="BX119" s="177"/>
      <c r="BY119" s="92"/>
    </row>
    <row r="120" spans="1:89" s="81" customFormat="1">
      <c r="A120" s="315"/>
      <c r="B120" s="315"/>
      <c r="C120" s="1178" t="s">
        <v>873</v>
      </c>
      <c r="E120" s="288"/>
      <c r="F120" s="289"/>
      <c r="G120" s="289"/>
      <c r="H120" s="299"/>
      <c r="I120" s="300"/>
      <c r="J120" s="301"/>
      <c r="K120" s="302"/>
      <c r="L120" s="302"/>
      <c r="M120" s="303"/>
      <c r="N120" s="298"/>
      <c r="O120" s="301"/>
      <c r="P120" s="302"/>
      <c r="Q120" s="302"/>
      <c r="R120" s="303"/>
      <c r="S120" s="298"/>
      <c r="T120" s="169"/>
      <c r="U120" s="167"/>
      <c r="V120" s="167"/>
      <c r="W120" s="317"/>
      <c r="X120" s="298"/>
      <c r="Y120" s="169">
        <f t="shared" ref="Y120:AM120" si="235">Y13</f>
        <v>144</v>
      </c>
      <c r="Z120" s="312">
        <f t="shared" si="235"/>
        <v>151</v>
      </c>
      <c r="AA120" s="312">
        <f t="shared" si="235"/>
        <v>151</v>
      </c>
      <c r="AB120" s="317">
        <f t="shared" si="235"/>
        <v>160</v>
      </c>
      <c r="AC120" s="298">
        <f t="shared" si="235"/>
        <v>606</v>
      </c>
      <c r="AD120" s="316">
        <f t="shared" si="235"/>
        <v>162</v>
      </c>
      <c r="AE120" s="312">
        <f t="shared" si="235"/>
        <v>164</v>
      </c>
      <c r="AF120" s="312">
        <f t="shared" si="235"/>
        <v>165</v>
      </c>
      <c r="AG120" s="317">
        <f t="shared" si="235"/>
        <v>167</v>
      </c>
      <c r="AH120" s="298">
        <f t="shared" si="235"/>
        <v>658</v>
      </c>
      <c r="AI120" s="316">
        <f t="shared" si="235"/>
        <v>172</v>
      </c>
      <c r="AJ120" s="312">
        <f t="shared" si="235"/>
        <v>170</v>
      </c>
      <c r="AK120" s="312">
        <f t="shared" si="235"/>
        <v>174</v>
      </c>
      <c r="AL120" s="317">
        <f t="shared" si="235"/>
        <v>156</v>
      </c>
      <c r="AM120" s="298">
        <f t="shared" si="235"/>
        <v>672</v>
      </c>
      <c r="AN120" s="316">
        <f t="shared" ref="AN120:AR120" si="236">AN13</f>
        <v>169</v>
      </c>
      <c r="AO120" s="312">
        <f t="shared" si="236"/>
        <v>170</v>
      </c>
      <c r="AP120" s="312">
        <f t="shared" si="236"/>
        <v>171</v>
      </c>
      <c r="AQ120" s="317">
        <f t="shared" si="236"/>
        <v>166</v>
      </c>
      <c r="AR120" s="298">
        <f t="shared" si="236"/>
        <v>676</v>
      </c>
      <c r="AS120" s="316">
        <f t="shared" ref="AS120:AT120" si="237">AS13</f>
        <v>178</v>
      </c>
      <c r="AT120" s="312">
        <f t="shared" si="237"/>
        <v>179</v>
      </c>
      <c r="AU120" s="312">
        <f t="shared" ref="AU120:AW120" si="238">AU13</f>
        <v>183</v>
      </c>
      <c r="AV120" s="317">
        <f t="shared" si="238"/>
        <v>184</v>
      </c>
      <c r="AW120" s="298">
        <f t="shared" si="238"/>
        <v>724</v>
      </c>
      <c r="AX120" s="316">
        <f>+AX122*AX121/4</f>
        <v>186.421875</v>
      </c>
      <c r="AY120" s="312">
        <f>+AY122*AY121/4</f>
        <v>188.84375</v>
      </c>
      <c r="AZ120" s="312">
        <f>+AZ122*AZ121/4</f>
        <v>191.265625</v>
      </c>
      <c r="BA120" s="317">
        <f>+BA122*BA121/4</f>
        <v>193.6875</v>
      </c>
      <c r="BB120" s="298">
        <f>SUM(AX120:BA120)</f>
        <v>760.21875</v>
      </c>
      <c r="BC120" s="316">
        <f>+BC122*BC121/4</f>
        <v>196.109375</v>
      </c>
      <c r="BD120" s="312">
        <f>+BD122*BD121/4</f>
        <v>198.53125</v>
      </c>
      <c r="BE120" s="312">
        <f>+BE122*BE121/4</f>
        <v>200.953125</v>
      </c>
      <c r="BF120" s="317">
        <f>+BF122*BF121/4</f>
        <v>203.375</v>
      </c>
      <c r="BG120" s="298">
        <f>SUM(BC120:BF120)</f>
        <v>798.96875</v>
      </c>
      <c r="BH120" s="316">
        <f>+BH122*BH121/4</f>
        <v>205.796875</v>
      </c>
      <c r="BI120" s="312">
        <f>+BI122*BI121/4</f>
        <v>208.21875</v>
      </c>
      <c r="BJ120" s="312">
        <f>+BJ122*BJ121/4</f>
        <v>210.640625</v>
      </c>
      <c r="BK120" s="317">
        <f>+BK122*BK121/4</f>
        <v>213.0625</v>
      </c>
      <c r="BL120" s="298">
        <f>SUM(BH120:BK120)</f>
        <v>837.71875</v>
      </c>
      <c r="BM120" s="316">
        <f>+BM122*BM121/4</f>
        <v>215.484375</v>
      </c>
      <c r="BN120" s="312">
        <f>+BN122*BN121/4</f>
        <v>217.90625</v>
      </c>
      <c r="BO120" s="312">
        <f>+BO122*BO121/4</f>
        <v>220.328125</v>
      </c>
      <c r="BP120" s="317">
        <f>+BP122*BP121/4</f>
        <v>222.75</v>
      </c>
      <c r="BQ120" s="298">
        <f>SUM(BM120:BP120)</f>
        <v>876.46875</v>
      </c>
      <c r="BR120" s="221"/>
      <c r="BS120" s="276"/>
      <c r="BT120" s="177"/>
      <c r="BU120" s="177"/>
      <c r="BV120" s="177"/>
      <c r="BW120" s="177"/>
      <c r="BX120" s="177"/>
      <c r="BY120" s="92"/>
    </row>
    <row r="121" spans="1:89" s="81" customFormat="1">
      <c r="A121" s="315"/>
      <c r="B121" s="315"/>
      <c r="C121" s="1178" t="s">
        <v>25</v>
      </c>
      <c r="E121" s="288"/>
      <c r="F121" s="289"/>
      <c r="G121" s="289"/>
      <c r="H121" s="299"/>
      <c r="I121" s="300"/>
      <c r="J121" s="301"/>
      <c r="K121" s="302"/>
      <c r="L121" s="302"/>
      <c r="M121" s="303"/>
      <c r="N121" s="300"/>
      <c r="O121" s="301"/>
      <c r="P121" s="302"/>
      <c r="Q121" s="302"/>
      <c r="R121" s="311"/>
      <c r="S121" s="300"/>
      <c r="T121" s="504"/>
      <c r="U121" s="505"/>
      <c r="V121" s="505"/>
      <c r="W121" s="506"/>
      <c r="X121" s="298"/>
      <c r="Y121" s="504">
        <f>Y120/Y122*4</f>
        <v>20945.454545454544</v>
      </c>
      <c r="Z121" s="312">
        <f>Z120/Z122*4</f>
        <v>21963.636363636364</v>
      </c>
      <c r="AA121" s="312">
        <f>AA120/AA122*4</f>
        <v>21963.636363636364</v>
      </c>
      <c r="AB121" s="317">
        <f>AB120/AB122*4</f>
        <v>23272.727272727272</v>
      </c>
      <c r="AC121" s="298">
        <f>+AB121</f>
        <v>23272.727272727272</v>
      </c>
      <c r="AD121" s="316">
        <f>AD120/AD122*4</f>
        <v>23563.636363636364</v>
      </c>
      <c r="AE121" s="312">
        <f>AE120/AE122*4</f>
        <v>23854.545454545456</v>
      </c>
      <c r="AF121" s="312">
        <f>AF120/AF122*4</f>
        <v>24000</v>
      </c>
      <c r="AG121" s="317">
        <f>AG120/AG122*4</f>
        <v>24290.909090909092</v>
      </c>
      <c r="AH121" s="298">
        <f>+AG121</f>
        <v>24290.909090909092</v>
      </c>
      <c r="AI121" s="316">
        <f>AI120/AI122*4</f>
        <v>25018.18181818182</v>
      </c>
      <c r="AJ121" s="312">
        <f>AJ120/AJ122*4</f>
        <v>24727.272727272728</v>
      </c>
      <c r="AK121" s="312">
        <f>AK120/AK122*4</f>
        <v>25309.090909090908</v>
      </c>
      <c r="AL121" s="317">
        <f>AL120/AL122*4</f>
        <v>24960</v>
      </c>
      <c r="AM121" s="298">
        <f>+AL121</f>
        <v>24960</v>
      </c>
      <c r="AN121" s="316">
        <f>AN120/AN122*4</f>
        <v>27040</v>
      </c>
      <c r="AO121" s="312">
        <f>AO120/AO122*4</f>
        <v>27200</v>
      </c>
      <c r="AP121" s="312">
        <f>AP120/AP122*4</f>
        <v>27360</v>
      </c>
      <c r="AQ121" s="317">
        <f>AQ120/AQ122*4</f>
        <v>26560</v>
      </c>
      <c r="AR121" s="298">
        <f>+AQ121</f>
        <v>26560</v>
      </c>
      <c r="AS121" s="316">
        <f>AS120/AS122*4</f>
        <v>28480</v>
      </c>
      <c r="AT121" s="312">
        <f>AT120/AT122*4</f>
        <v>28640</v>
      </c>
      <c r="AU121" s="312">
        <f t="shared" ref="AU121" si="239">AU120/AU122*4</f>
        <v>29280</v>
      </c>
      <c r="AV121" s="317">
        <f>AV120/AV122*4</f>
        <v>29440</v>
      </c>
      <c r="AW121" s="298">
        <f>+AV121</f>
        <v>29440</v>
      </c>
      <c r="AX121" s="316">
        <f>+AW121+AX127</f>
        <v>29827.5</v>
      </c>
      <c r="AY121" s="312">
        <f>+AX121+AY127</f>
        <v>30215</v>
      </c>
      <c r="AZ121" s="312">
        <f>+AY121+AZ127</f>
        <v>30602.5</v>
      </c>
      <c r="BA121" s="317">
        <f>+AZ121+BA127</f>
        <v>30990</v>
      </c>
      <c r="BB121" s="298">
        <f>+BA121</f>
        <v>30990</v>
      </c>
      <c r="BC121" s="316">
        <f>+BB121+BC127</f>
        <v>31377.5</v>
      </c>
      <c r="BD121" s="312">
        <f>+BC121+BD127</f>
        <v>31765</v>
      </c>
      <c r="BE121" s="312">
        <f>+BD121+BE127</f>
        <v>32152.5</v>
      </c>
      <c r="BF121" s="317">
        <f>+BE121+BF127</f>
        <v>32540</v>
      </c>
      <c r="BG121" s="298">
        <f>+BF121</f>
        <v>32540</v>
      </c>
      <c r="BH121" s="316">
        <f>+BG121+BH127</f>
        <v>32927.5</v>
      </c>
      <c r="BI121" s="312">
        <f>+BH121+BI127</f>
        <v>33315</v>
      </c>
      <c r="BJ121" s="312">
        <f>+BI121+BJ127</f>
        <v>33702.5</v>
      </c>
      <c r="BK121" s="317">
        <f>+BJ121+BK127</f>
        <v>34090</v>
      </c>
      <c r="BL121" s="298">
        <f>+BK121</f>
        <v>34090</v>
      </c>
      <c r="BM121" s="316">
        <f>+BL121+BM127</f>
        <v>34477.5</v>
      </c>
      <c r="BN121" s="312">
        <f>+BM121+BN127</f>
        <v>34865</v>
      </c>
      <c r="BO121" s="312">
        <f>+BN121+BO127</f>
        <v>35252.5</v>
      </c>
      <c r="BP121" s="317">
        <f>+BO121+BP127</f>
        <v>35640</v>
      </c>
      <c r="BQ121" s="298">
        <f>+BP121</f>
        <v>35640</v>
      </c>
      <c r="BR121" s="221"/>
      <c r="BS121"/>
      <c r="BT121"/>
      <c r="BU121"/>
      <c r="BV121"/>
      <c r="BW121"/>
      <c r="BX121"/>
      <c r="BY121"/>
    </row>
    <row r="122" spans="1:89" s="60" customFormat="1">
      <c r="A122" s="308"/>
      <c r="B122" s="308"/>
      <c r="C122" s="1178" t="s">
        <v>901</v>
      </c>
      <c r="E122" s="478"/>
      <c r="F122" s="479"/>
      <c r="G122" s="479"/>
      <c r="H122" s="480"/>
      <c r="I122" s="477"/>
      <c r="J122" s="478"/>
      <c r="K122" s="479"/>
      <c r="L122" s="479"/>
      <c r="M122" s="307"/>
      <c r="N122" s="308"/>
      <c r="O122" s="305"/>
      <c r="P122" s="306"/>
      <c r="Q122" s="306"/>
      <c r="R122" s="307"/>
      <c r="S122" s="850"/>
      <c r="T122" s="846"/>
      <c r="U122" s="847"/>
      <c r="V122" s="847"/>
      <c r="W122" s="848"/>
      <c r="X122" s="850">
        <v>2.75E-2</v>
      </c>
      <c r="Y122" s="846">
        <f>+X122</f>
        <v>2.75E-2</v>
      </c>
      <c r="Z122" s="1579">
        <f>+Y122</f>
        <v>2.75E-2</v>
      </c>
      <c r="AA122" s="1579">
        <f>+Z122</f>
        <v>2.75E-2</v>
      </c>
      <c r="AB122" s="848">
        <f>+AA122</f>
        <v>2.75E-2</v>
      </c>
      <c r="AC122" s="849">
        <f>+AB122</f>
        <v>2.75E-2</v>
      </c>
      <c r="AD122" s="846">
        <f>AC122</f>
        <v>2.75E-2</v>
      </c>
      <c r="AE122" s="847">
        <f>AD122</f>
        <v>2.75E-2</v>
      </c>
      <c r="AF122" s="847">
        <f>AE122</f>
        <v>2.75E-2</v>
      </c>
      <c r="AG122" s="848">
        <f>+AF122</f>
        <v>2.75E-2</v>
      </c>
      <c r="AH122" s="849">
        <f>+AG122</f>
        <v>2.75E-2</v>
      </c>
      <c r="AI122" s="846">
        <f>AH122</f>
        <v>2.75E-2</v>
      </c>
      <c r="AJ122" s="847">
        <f>AI122</f>
        <v>2.75E-2</v>
      </c>
      <c r="AK122" s="847">
        <f>AJ122</f>
        <v>2.75E-2</v>
      </c>
      <c r="AL122" s="1959">
        <v>2.5000000000000001E-2</v>
      </c>
      <c r="AM122" s="849">
        <f>+AL122</f>
        <v>2.5000000000000001E-2</v>
      </c>
      <c r="AN122" s="846">
        <f>AM122</f>
        <v>2.5000000000000001E-2</v>
      </c>
      <c r="AO122" s="847">
        <f>AN122</f>
        <v>2.5000000000000001E-2</v>
      </c>
      <c r="AP122" s="847">
        <f>AO122</f>
        <v>2.5000000000000001E-2</v>
      </c>
      <c r="AQ122" s="848">
        <f>+AP122</f>
        <v>2.5000000000000001E-2</v>
      </c>
      <c r="AR122" s="849">
        <f>+AQ122</f>
        <v>2.5000000000000001E-2</v>
      </c>
      <c r="AS122" s="846">
        <f>AR122</f>
        <v>2.5000000000000001E-2</v>
      </c>
      <c r="AT122" s="847">
        <f>AS122</f>
        <v>2.5000000000000001E-2</v>
      </c>
      <c r="AU122" s="847">
        <f t="shared" ref="AU122" si="240">AT122</f>
        <v>2.5000000000000001E-2</v>
      </c>
      <c r="AV122" s="848">
        <f>+AU122</f>
        <v>2.5000000000000001E-2</v>
      </c>
      <c r="AW122" s="849">
        <f>+AV122</f>
        <v>2.5000000000000001E-2</v>
      </c>
      <c r="AX122" s="846">
        <f>+AW122</f>
        <v>2.5000000000000001E-2</v>
      </c>
      <c r="AY122" s="847">
        <f>+AX122</f>
        <v>2.5000000000000001E-2</v>
      </c>
      <c r="AZ122" s="847">
        <f>+AY122</f>
        <v>2.5000000000000001E-2</v>
      </c>
      <c r="BA122" s="848">
        <f>+AZ122</f>
        <v>2.5000000000000001E-2</v>
      </c>
      <c r="BB122" s="849">
        <f>+BA122</f>
        <v>2.5000000000000001E-2</v>
      </c>
      <c r="BC122" s="846">
        <f>+BB122</f>
        <v>2.5000000000000001E-2</v>
      </c>
      <c r="BD122" s="847">
        <f>+BC122</f>
        <v>2.5000000000000001E-2</v>
      </c>
      <c r="BE122" s="847">
        <f>+BD122</f>
        <v>2.5000000000000001E-2</v>
      </c>
      <c r="BF122" s="848">
        <f>+BE122</f>
        <v>2.5000000000000001E-2</v>
      </c>
      <c r="BG122" s="849">
        <f>+BF122</f>
        <v>2.5000000000000001E-2</v>
      </c>
      <c r="BH122" s="846">
        <f>+BG122</f>
        <v>2.5000000000000001E-2</v>
      </c>
      <c r="BI122" s="847">
        <f>+BH122</f>
        <v>2.5000000000000001E-2</v>
      </c>
      <c r="BJ122" s="847">
        <f>+BI122</f>
        <v>2.5000000000000001E-2</v>
      </c>
      <c r="BK122" s="848">
        <f>+BJ122</f>
        <v>2.5000000000000001E-2</v>
      </c>
      <c r="BL122" s="849">
        <f>+BK122</f>
        <v>2.5000000000000001E-2</v>
      </c>
      <c r="BM122" s="846">
        <f>+BL122</f>
        <v>2.5000000000000001E-2</v>
      </c>
      <c r="BN122" s="847">
        <f>+BM122</f>
        <v>2.5000000000000001E-2</v>
      </c>
      <c r="BO122" s="847">
        <f>+BN122</f>
        <v>2.5000000000000001E-2</v>
      </c>
      <c r="BP122" s="848">
        <f>+BO122</f>
        <v>2.5000000000000001E-2</v>
      </c>
      <c r="BQ122" s="849">
        <f>+BP122</f>
        <v>2.5000000000000001E-2</v>
      </c>
      <c r="BR122" s="490"/>
      <c r="BS122" s="81"/>
      <c r="BT122" s="81"/>
      <c r="BU122" s="81"/>
      <c r="BV122" s="81"/>
      <c r="BW122" s="81"/>
      <c r="BX122" s="81"/>
      <c r="BY122" s="81"/>
    </row>
    <row r="123" spans="1:89" s="81" customFormat="1">
      <c r="A123" s="315"/>
      <c r="B123" s="315"/>
      <c r="C123" s="1186"/>
      <c r="E123" s="288"/>
      <c r="F123" s="289"/>
      <c r="G123" s="289"/>
      <c r="H123" s="299"/>
      <c r="I123" s="300"/>
      <c r="J123" s="301"/>
      <c r="K123" s="302"/>
      <c r="L123" s="302"/>
      <c r="M123" s="307"/>
      <c r="N123" s="308"/>
      <c r="O123" s="305"/>
      <c r="P123" s="306"/>
      <c r="Q123" s="306"/>
      <c r="R123" s="307"/>
      <c r="S123" s="308"/>
      <c r="T123" s="305"/>
      <c r="U123" s="306"/>
      <c r="V123" s="306"/>
      <c r="W123" s="317"/>
      <c r="X123" s="315"/>
      <c r="Y123" s="316"/>
      <c r="Z123" s="312"/>
      <c r="AA123" s="312"/>
      <c r="AB123" s="317"/>
      <c r="AC123" s="315"/>
      <c r="AD123" s="685"/>
      <c r="AE123" s="1818"/>
      <c r="AF123" s="1818"/>
      <c r="AG123" s="317"/>
      <c r="AH123" s="315"/>
      <c r="AI123" s="685"/>
      <c r="AJ123" s="1818"/>
      <c r="AK123" s="1818"/>
      <c r="AL123" s="317"/>
      <c r="AM123" s="315"/>
      <c r="AN123" s="316"/>
      <c r="AO123" s="312"/>
      <c r="AP123" s="312"/>
      <c r="AQ123" s="317"/>
      <c r="AR123" s="315"/>
      <c r="AS123" s="316"/>
      <c r="AT123" s="312"/>
      <c r="AU123" s="312"/>
      <c r="AV123" s="317"/>
      <c r="AW123" s="315"/>
      <c r="AX123" s="316"/>
      <c r="AY123" s="312"/>
      <c r="AZ123" s="312"/>
      <c r="BA123" s="317"/>
      <c r="BB123" s="315"/>
      <c r="BC123" s="316"/>
      <c r="BD123" s="312"/>
      <c r="BE123" s="312"/>
      <c r="BF123" s="317"/>
      <c r="BG123" s="315"/>
      <c r="BH123" s="316"/>
      <c r="BI123" s="312"/>
      <c r="BJ123" s="312"/>
      <c r="BK123" s="317"/>
      <c r="BL123" s="315"/>
      <c r="BM123" s="316"/>
      <c r="BN123" s="312"/>
      <c r="BO123" s="312"/>
      <c r="BP123" s="317"/>
      <c r="BQ123" s="315"/>
      <c r="BR123" s="221"/>
    </row>
    <row r="124" spans="1:89" s="673" customFormat="1">
      <c r="A124" s="201"/>
      <c r="B124" s="682"/>
      <c r="C124" s="1229"/>
      <c r="E124" s="674"/>
      <c r="F124" s="675"/>
      <c r="G124" s="675"/>
      <c r="H124" s="676"/>
      <c r="I124" s="677"/>
      <c r="J124" s="674"/>
      <c r="K124" s="675"/>
      <c r="L124" s="675"/>
      <c r="M124" s="680"/>
      <c r="N124" s="679"/>
      <c r="O124" s="674"/>
      <c r="P124" s="675"/>
      <c r="Q124" s="675"/>
      <c r="R124" s="680"/>
      <c r="S124" s="679"/>
      <c r="T124" s="674"/>
      <c r="U124" s="675"/>
      <c r="V124" s="675"/>
      <c r="W124" s="701"/>
      <c r="X124" s="679"/>
      <c r="Y124" s="674"/>
      <c r="Z124" s="675"/>
      <c r="AA124" s="675"/>
      <c r="AB124" s="701"/>
      <c r="AC124" s="679"/>
      <c r="AD124" s="699"/>
      <c r="AE124" s="700"/>
      <c r="AF124" s="700"/>
      <c r="AG124" s="701"/>
      <c r="AH124" s="679"/>
      <c r="AI124" s="699"/>
      <c r="AJ124" s="700"/>
      <c r="AK124" s="700"/>
      <c r="AL124" s="701"/>
      <c r="AM124" s="679"/>
      <c r="AN124" s="699"/>
      <c r="AO124" s="700"/>
      <c r="AP124" s="700"/>
      <c r="AQ124" s="701"/>
      <c r="AR124" s="679"/>
      <c r="AS124" s="699"/>
      <c r="AT124" s="700"/>
      <c r="AU124" s="700"/>
      <c r="AV124" s="701"/>
      <c r="AW124" s="679"/>
      <c r="AX124" s="699"/>
      <c r="AY124" s="700"/>
      <c r="AZ124" s="700"/>
      <c r="BA124" s="701"/>
      <c r="BB124" s="679"/>
      <c r="BC124" s="699"/>
      <c r="BD124" s="700"/>
      <c r="BE124" s="700"/>
      <c r="BF124" s="701"/>
      <c r="BG124" s="679"/>
      <c r="BH124" s="699"/>
      <c r="BI124" s="700"/>
      <c r="BJ124" s="700"/>
      <c r="BK124" s="701"/>
      <c r="BL124" s="679"/>
      <c r="BM124" s="699"/>
      <c r="BN124" s="700"/>
      <c r="BO124" s="700"/>
      <c r="BP124" s="701"/>
      <c r="BQ124" s="679"/>
      <c r="BR124" s="677"/>
      <c r="BS124" s="81"/>
      <c r="BT124" s="81"/>
      <c r="BU124" s="81"/>
      <c r="BV124" s="81"/>
      <c r="BW124" s="81"/>
      <c r="BX124" s="81"/>
      <c r="BY124" s="81"/>
    </row>
    <row r="125" spans="1:89" s="673" customFormat="1">
      <c r="A125" s="201"/>
      <c r="B125" s="682"/>
      <c r="C125" s="1229" t="s">
        <v>783</v>
      </c>
      <c r="E125" s="674"/>
      <c r="F125" s="675"/>
      <c r="G125" s="675"/>
      <c r="H125" s="676"/>
      <c r="I125" s="677"/>
      <c r="J125" s="674"/>
      <c r="K125" s="675"/>
      <c r="L125" s="675"/>
      <c r="M125" s="680"/>
      <c r="N125" s="679"/>
      <c r="O125" s="674"/>
      <c r="P125" s="675"/>
      <c r="Q125" s="675"/>
      <c r="R125" s="680"/>
      <c r="S125" s="96"/>
      <c r="T125" s="674"/>
      <c r="U125" s="675"/>
      <c r="V125" s="675"/>
      <c r="W125" s="105"/>
      <c r="X125" s="891"/>
      <c r="Y125" s="674"/>
      <c r="Z125" s="675"/>
      <c r="AA125" s="675"/>
      <c r="AB125" s="105"/>
      <c r="AC125" s="891"/>
      <c r="AD125" s="114"/>
      <c r="AE125" s="115"/>
      <c r="AF125" s="115"/>
      <c r="AG125" s="105"/>
      <c r="AH125" s="891"/>
      <c r="AI125" s="114"/>
      <c r="AJ125" s="115"/>
      <c r="AK125" s="115"/>
      <c r="AL125" s="105"/>
      <c r="AM125" s="891"/>
      <c r="AN125" s="114"/>
      <c r="AO125" s="115"/>
      <c r="AP125" s="115"/>
      <c r="AQ125" s="105"/>
      <c r="AR125" s="891"/>
      <c r="AS125" s="114"/>
      <c r="AT125" s="115"/>
      <c r="AU125" s="115"/>
      <c r="AV125" s="105"/>
      <c r="AW125" s="891"/>
      <c r="AX125" s="114"/>
      <c r="AY125" s="115"/>
      <c r="AZ125" s="115"/>
      <c r="BA125" s="105"/>
      <c r="BB125" s="1888">
        <v>970</v>
      </c>
      <c r="BC125" s="114"/>
      <c r="BD125" s="115"/>
      <c r="BE125" s="115"/>
      <c r="BF125" s="105"/>
      <c r="BG125" s="1888">
        <v>925</v>
      </c>
      <c r="BH125" s="114"/>
      <c r="BI125" s="115"/>
      <c r="BJ125" s="115"/>
      <c r="BK125" s="105"/>
      <c r="BL125" s="1888">
        <v>935</v>
      </c>
      <c r="BM125" s="114"/>
      <c r="BN125" s="115"/>
      <c r="BO125" s="115"/>
      <c r="BP125" s="105"/>
      <c r="BQ125" s="1888">
        <v>925</v>
      </c>
      <c r="BR125" s="677"/>
      <c r="BS125" s="81"/>
      <c r="BT125" s="81"/>
      <c r="BU125" s="81"/>
      <c r="BV125" s="81"/>
      <c r="BW125" s="81"/>
      <c r="BX125" s="81"/>
      <c r="BY125" s="81"/>
    </row>
    <row r="126" spans="1:89" s="673" customFormat="1">
      <c r="A126" s="201"/>
      <c r="B126" s="682"/>
      <c r="C126" s="1229" t="s">
        <v>375</v>
      </c>
      <c r="E126" s="674"/>
      <c r="F126" s="675"/>
      <c r="G126" s="675"/>
      <c r="H126" s="676"/>
      <c r="I126" s="677"/>
      <c r="J126" s="674"/>
      <c r="K126" s="675"/>
      <c r="L126" s="675"/>
      <c r="M126" s="680"/>
      <c r="N126" s="679"/>
      <c r="O126" s="674"/>
      <c r="P126" s="675"/>
      <c r="Q126" s="675"/>
      <c r="R126" s="680"/>
      <c r="S126" s="96"/>
      <c r="T126" s="674"/>
      <c r="U126" s="675"/>
      <c r="V126" s="675"/>
      <c r="W126" s="105"/>
      <c r="X126" s="891"/>
      <c r="Y126" s="674"/>
      <c r="Z126" s="675"/>
      <c r="AA126" s="675"/>
      <c r="AB126" s="105"/>
      <c r="AC126" s="891"/>
      <c r="AD126" s="114"/>
      <c r="AE126" s="115"/>
      <c r="AF126" s="115"/>
      <c r="AG126" s="105"/>
      <c r="AH126" s="891"/>
      <c r="AI126" s="114"/>
      <c r="AJ126" s="115"/>
      <c r="AK126" s="115"/>
      <c r="AL126" s="105"/>
      <c r="AM126" s="891"/>
      <c r="AN126" s="114"/>
      <c r="AO126" s="115"/>
      <c r="AP126" s="115"/>
      <c r="AQ126" s="105"/>
      <c r="AR126" s="891"/>
      <c r="AS126" s="114"/>
      <c r="AT126" s="115"/>
      <c r="AU126" s="115"/>
      <c r="AV126" s="105"/>
      <c r="AW126" s="891"/>
      <c r="AX126" s="114"/>
      <c r="AY126" s="115"/>
      <c r="AZ126" s="115"/>
      <c r="BA126" s="105"/>
      <c r="BB126" s="1888">
        <v>580</v>
      </c>
      <c r="BC126" s="114"/>
      <c r="BD126" s="115"/>
      <c r="BE126" s="115"/>
      <c r="BF126" s="105"/>
      <c r="BG126" s="1888">
        <v>625</v>
      </c>
      <c r="BH126" s="114"/>
      <c r="BI126" s="115"/>
      <c r="BJ126" s="115"/>
      <c r="BK126" s="105"/>
      <c r="BL126" s="1888">
        <v>615</v>
      </c>
      <c r="BM126" s="114"/>
      <c r="BN126" s="115"/>
      <c r="BO126" s="115"/>
      <c r="BP126" s="105"/>
      <c r="BQ126" s="1888">
        <v>625</v>
      </c>
      <c r="BR126" s="677"/>
      <c r="BS126" s="2318"/>
      <c r="BT126" s="60"/>
      <c r="BU126" s="60"/>
      <c r="BV126" s="60"/>
      <c r="BW126" s="60"/>
      <c r="BX126" s="60"/>
      <c r="BY126" s="60"/>
    </row>
    <row r="127" spans="1:89" s="693" customFormat="1">
      <c r="C127" s="1230" t="s">
        <v>351</v>
      </c>
      <c r="E127" s="487"/>
      <c r="F127" s="694"/>
      <c r="G127" s="694"/>
      <c r="H127" s="695"/>
      <c r="I127" s="477">
        <v>718</v>
      </c>
      <c r="J127" s="305"/>
      <c r="K127" s="306"/>
      <c r="L127" s="306"/>
      <c r="M127" s="307"/>
      <c r="N127" s="477">
        <v>681</v>
      </c>
      <c r="O127" s="305"/>
      <c r="P127" s="306"/>
      <c r="Q127" s="306"/>
      <c r="R127" s="307"/>
      <c r="S127" s="477">
        <v>868</v>
      </c>
      <c r="T127" s="478">
        <f>443-U127</f>
        <v>266</v>
      </c>
      <c r="U127" s="479">
        <v>177</v>
      </c>
      <c r="V127" s="479">
        <v>308</v>
      </c>
      <c r="W127" s="695">
        <f>X127-SUM(T127:V127)</f>
        <v>323</v>
      </c>
      <c r="X127" s="477">
        <v>1074</v>
      </c>
      <c r="Y127" s="478">
        <f>443-Z127</f>
        <v>266</v>
      </c>
      <c r="Z127" s="479">
        <v>177</v>
      </c>
      <c r="AA127" s="479">
        <v>308</v>
      </c>
      <c r="AB127" s="695">
        <f>AC127-SUM(Y127:AA127)</f>
        <v>152</v>
      </c>
      <c r="AC127" s="477">
        <v>903</v>
      </c>
      <c r="AD127" s="478">
        <v>269</v>
      </c>
      <c r="AE127" s="479">
        <v>340</v>
      </c>
      <c r="AF127" s="479">
        <v>271</v>
      </c>
      <c r="AG127" s="695">
        <f>AH127-SUM(AD127:AF127)</f>
        <v>92</v>
      </c>
      <c r="AH127" s="477">
        <v>972</v>
      </c>
      <c r="AI127" s="478">
        <v>280</v>
      </c>
      <c r="AJ127" s="479">
        <v>312</v>
      </c>
      <c r="AK127" s="479">
        <v>292</v>
      </c>
      <c r="AL127" s="695">
        <f>AM127-SUM(AI127:AK127)</f>
        <v>224</v>
      </c>
      <c r="AM127" s="477">
        <v>1108</v>
      </c>
      <c r="AN127" s="478">
        <v>262</v>
      </c>
      <c r="AO127" s="479">
        <v>313</v>
      </c>
      <c r="AP127" s="479">
        <v>303</v>
      </c>
      <c r="AQ127" s="695">
        <f>AR127-SUM(AN127:AP127)</f>
        <v>185</v>
      </c>
      <c r="AR127" s="477">
        <v>1063</v>
      </c>
      <c r="AS127" s="478">
        <v>264</v>
      </c>
      <c r="AT127" s="479">
        <v>304</v>
      </c>
      <c r="AU127" s="479">
        <v>286</v>
      </c>
      <c r="AV127" s="695">
        <f>AW127-SUM(AS127:AU127)</f>
        <v>337</v>
      </c>
      <c r="AW127" s="477">
        <v>1191</v>
      </c>
      <c r="AX127" s="487">
        <f>BB127/4</f>
        <v>387.5</v>
      </c>
      <c r="AY127" s="306">
        <f>(BB127-AX127)/3</f>
        <v>387.5</v>
      </c>
      <c r="AZ127" s="306">
        <f>(BB127-SUM(AX127:AY127))/2</f>
        <v>387.5</v>
      </c>
      <c r="BA127" s="307">
        <f>BB127-SUM(AX127:AZ127)</f>
        <v>387.5</v>
      </c>
      <c r="BB127" s="691">
        <f>SUM(BB125:BB126)</f>
        <v>1550</v>
      </c>
      <c r="BC127" s="487">
        <f>BG127/4</f>
        <v>387.5</v>
      </c>
      <c r="BD127" s="306">
        <f>(BG127-BC127)/3</f>
        <v>387.5</v>
      </c>
      <c r="BE127" s="306">
        <f>(BG127-SUM(BC127:BD127))/2</f>
        <v>387.5</v>
      </c>
      <c r="BF127" s="307">
        <f>BG127-SUM(BC127:BE127)</f>
        <v>387.5</v>
      </c>
      <c r="BG127" s="691">
        <f>SUM(BG125:BG126)</f>
        <v>1550</v>
      </c>
      <c r="BH127" s="487">
        <f>BL127/4</f>
        <v>387.5</v>
      </c>
      <c r="BI127" s="306">
        <f>(BL127-BH127)/3</f>
        <v>387.5</v>
      </c>
      <c r="BJ127" s="306">
        <f>(BL127-SUM(BH127:BI127))/2</f>
        <v>387.5</v>
      </c>
      <c r="BK127" s="307">
        <f>BL127-SUM(BH127:BJ127)</f>
        <v>387.5</v>
      </c>
      <c r="BL127" s="691">
        <f>SUM(BL125:BL126)</f>
        <v>1550</v>
      </c>
      <c r="BM127" s="487">
        <f>BQ127/4</f>
        <v>387.5</v>
      </c>
      <c r="BN127" s="306">
        <f>(BQ127-BM127)/3</f>
        <v>387.5</v>
      </c>
      <c r="BO127" s="306">
        <f>(BQ127-SUM(BM127:BN127))/2</f>
        <v>387.5</v>
      </c>
      <c r="BP127" s="307">
        <f>BQ127-SUM(BM127:BO127)</f>
        <v>387.5</v>
      </c>
      <c r="BQ127" s="691">
        <f>SUM(BQ125:BQ126)</f>
        <v>1550</v>
      </c>
      <c r="BR127" s="691"/>
      <c r="BS127" s="81"/>
      <c r="BT127" s="81"/>
      <c r="BU127" s="81"/>
      <c r="BV127" s="81"/>
      <c r="BW127" s="81"/>
      <c r="BX127" s="81"/>
      <c r="BY127" s="81"/>
    </row>
    <row r="128" spans="1:89" s="682" customFormat="1">
      <c r="C128" s="1229"/>
      <c r="E128" s="702"/>
      <c r="F128" s="703"/>
      <c r="G128" s="703"/>
      <c r="H128" s="704"/>
      <c r="I128" s="679"/>
      <c r="J128" s="702"/>
      <c r="K128" s="703"/>
      <c r="L128" s="703"/>
      <c r="M128" s="704"/>
      <c r="N128" s="679"/>
      <c r="O128" s="702"/>
      <c r="P128" s="703"/>
      <c r="Q128" s="703"/>
      <c r="R128" s="704"/>
      <c r="S128" s="679"/>
      <c r="T128" s="702"/>
      <c r="U128" s="703"/>
      <c r="V128" s="703"/>
      <c r="W128" s="704"/>
      <c r="X128" s="679"/>
      <c r="Y128" s="702"/>
      <c r="Z128" s="700"/>
      <c r="AA128" s="700"/>
      <c r="AB128" s="704"/>
      <c r="AC128" s="679"/>
      <c r="AD128" s="702"/>
      <c r="AE128" s="703"/>
      <c r="AF128" s="703"/>
      <c r="AG128" s="704"/>
      <c r="AH128" s="827"/>
      <c r="AI128" s="702"/>
      <c r="AJ128" s="703"/>
      <c r="AK128" s="703"/>
      <c r="AL128" s="704"/>
      <c r="AM128" s="827"/>
      <c r="AN128" s="702"/>
      <c r="AO128" s="703"/>
      <c r="AP128" s="703"/>
      <c r="AQ128" s="704"/>
      <c r="AR128" s="827"/>
      <c r="AS128" s="702"/>
      <c r="AT128" s="703"/>
      <c r="AU128" s="703"/>
      <c r="AV128" s="704"/>
      <c r="AW128" s="827"/>
      <c r="AX128" s="702"/>
      <c r="AY128" s="703"/>
      <c r="AZ128" s="703"/>
      <c r="BA128" s="704"/>
      <c r="BB128" s="827"/>
      <c r="BC128" s="702"/>
      <c r="BD128" s="703"/>
      <c r="BE128" s="703"/>
      <c r="BF128" s="704"/>
      <c r="BG128" s="827"/>
      <c r="BH128" s="702"/>
      <c r="BI128" s="703"/>
      <c r="BJ128" s="703"/>
      <c r="BK128" s="704"/>
      <c r="BL128" s="827"/>
      <c r="BM128" s="702"/>
      <c r="BN128" s="703"/>
      <c r="BO128" s="703"/>
      <c r="BP128" s="704"/>
      <c r="BQ128" s="827"/>
      <c r="BR128" s="679"/>
      <c r="BS128" s="678"/>
      <c r="BT128" s="673"/>
      <c r="BU128" s="673"/>
      <c r="BV128" s="673"/>
      <c r="BW128" s="673"/>
      <c r="BX128" s="673"/>
      <c r="BY128" s="673"/>
    </row>
    <row r="129" spans="1:84" s="221" customFormat="1">
      <c r="A129" s="202"/>
      <c r="B129" s="491"/>
      <c r="C129" s="1187"/>
      <c r="E129" s="316"/>
      <c r="F129" s="312"/>
      <c r="G129" s="312"/>
      <c r="H129" s="317"/>
      <c r="I129" s="308"/>
      <c r="J129" s="316"/>
      <c r="K129" s="312"/>
      <c r="L129" s="312"/>
      <c r="M129" s="323"/>
      <c r="N129" s="285"/>
      <c r="O129" s="674"/>
      <c r="P129" s="675"/>
      <c r="Q129" s="675"/>
      <c r="R129" s="680"/>
      <c r="S129" s="679"/>
      <c r="T129" s="674"/>
      <c r="U129" s="675"/>
      <c r="V129" s="675"/>
      <c r="W129" s="317"/>
      <c r="X129" s="308"/>
      <c r="Y129" s="316"/>
      <c r="Z129" s="312"/>
      <c r="AA129" s="312"/>
      <c r="AB129" s="317"/>
      <c r="AC129" s="308"/>
      <c r="AD129" s="316"/>
      <c r="AE129" s="312"/>
      <c r="AF129" s="312"/>
      <c r="AG129" s="317"/>
      <c r="AH129" s="308"/>
      <c r="AI129" s="316"/>
      <c r="AJ129" s="312"/>
      <c r="AK129" s="312"/>
      <c r="AL129" s="317"/>
      <c r="AM129" s="308"/>
      <c r="AN129" s="316"/>
      <c r="AO129" s="312"/>
      <c r="AP129" s="312"/>
      <c r="AQ129" s="317"/>
      <c r="AR129" s="308"/>
      <c r="AS129" s="316"/>
      <c r="AT129" s="312"/>
      <c r="AU129" s="312"/>
      <c r="AV129" s="317"/>
      <c r="AW129" s="308"/>
      <c r="AX129" s="316"/>
      <c r="AY129" s="312"/>
      <c r="AZ129" s="312"/>
      <c r="BA129" s="317"/>
      <c r="BB129" s="308"/>
      <c r="BC129" s="316"/>
      <c r="BD129" s="312"/>
      <c r="BE129" s="312"/>
      <c r="BF129" s="317"/>
      <c r="BG129" s="308"/>
      <c r="BH129" s="316"/>
      <c r="BI129" s="312"/>
      <c r="BJ129" s="312"/>
      <c r="BK129" s="317"/>
      <c r="BL129" s="308"/>
      <c r="BM129" s="316"/>
      <c r="BN129" s="312"/>
      <c r="BO129" s="312"/>
      <c r="BP129" s="317"/>
      <c r="BQ129" s="308"/>
      <c r="BR129" s="308"/>
      <c r="BS129" s="678"/>
      <c r="BT129" s="673"/>
      <c r="BU129" s="673"/>
      <c r="BV129" s="673"/>
      <c r="BW129" s="673"/>
      <c r="BX129" s="673"/>
      <c r="BY129" s="673"/>
    </row>
    <row r="130" spans="1:84" s="92" customFormat="1">
      <c r="A130" s="139"/>
      <c r="B130" s="668" t="s">
        <v>168</v>
      </c>
      <c r="C130" s="1185"/>
      <c r="D130" s="11"/>
      <c r="E130" s="133"/>
      <c r="F130" s="134"/>
      <c r="G130" s="134"/>
      <c r="H130" s="135"/>
      <c r="I130" s="125"/>
      <c r="J130" s="133"/>
      <c r="K130" s="134"/>
      <c r="L130" s="134"/>
      <c r="M130" s="135"/>
      <c r="N130" s="125"/>
      <c r="O130" s="133"/>
      <c r="P130" s="134"/>
      <c r="Q130" s="134"/>
      <c r="R130" s="135"/>
      <c r="S130" s="125"/>
      <c r="T130" s="133"/>
      <c r="U130" s="134"/>
      <c r="V130" s="134"/>
      <c r="W130" s="135"/>
      <c r="X130" s="125"/>
      <c r="Y130" s="133"/>
      <c r="Z130" s="134"/>
      <c r="AA130" s="134"/>
      <c r="AB130" s="135"/>
      <c r="AC130" s="125"/>
      <c r="AD130" s="133"/>
      <c r="AE130" s="134"/>
      <c r="AF130" s="134"/>
      <c r="AG130" s="135"/>
      <c r="AH130" s="125"/>
      <c r="AI130" s="133"/>
      <c r="AJ130" s="134"/>
      <c r="AK130" s="134"/>
      <c r="AL130" s="135"/>
      <c r="AM130" s="125"/>
      <c r="AN130" s="133"/>
      <c r="AO130" s="134"/>
      <c r="AP130" s="134"/>
      <c r="AQ130" s="135"/>
      <c r="AR130" s="125"/>
      <c r="AS130" s="133"/>
      <c r="AT130" s="134"/>
      <c r="AU130" s="134"/>
      <c r="AV130" s="135"/>
      <c r="AW130" s="125"/>
      <c r="AX130" s="133"/>
      <c r="AY130" s="134"/>
      <c r="AZ130" s="134"/>
      <c r="BA130" s="135"/>
      <c r="BB130" s="125"/>
      <c r="BC130" s="133"/>
      <c r="BD130" s="134"/>
      <c r="BE130" s="134"/>
      <c r="BF130" s="135"/>
      <c r="BG130" s="125"/>
      <c r="BH130" s="133"/>
      <c r="BI130" s="134"/>
      <c r="BJ130" s="134"/>
      <c r="BK130" s="135"/>
      <c r="BL130" s="125"/>
      <c r="BM130" s="133"/>
      <c r="BN130" s="134"/>
      <c r="BO130" s="134"/>
      <c r="BP130" s="135"/>
      <c r="BQ130" s="125"/>
      <c r="BR130" s="125"/>
      <c r="BS130"/>
      <c r="BT130"/>
      <c r="BU130"/>
      <c r="BV130" s="673"/>
      <c r="BW130" s="673"/>
      <c r="BX130" s="673"/>
      <c r="BY130" s="673"/>
    </row>
    <row r="131" spans="1:84" s="221" customFormat="1">
      <c r="A131" s="202"/>
      <c r="B131" s="285"/>
      <c r="C131" s="1197" t="s">
        <v>207</v>
      </c>
      <c r="E131" s="316"/>
      <c r="F131" s="312"/>
      <c r="G131" s="312"/>
      <c r="H131" s="317"/>
      <c r="I131" s="308"/>
      <c r="J131" s="316"/>
      <c r="K131" s="312"/>
      <c r="L131" s="312"/>
      <c r="M131" s="317"/>
      <c r="N131" s="308"/>
      <c r="O131" s="316"/>
      <c r="P131" s="312"/>
      <c r="Q131" s="312"/>
      <c r="R131" s="317"/>
      <c r="S131" s="308"/>
      <c r="T131" s="316"/>
      <c r="U131" s="312"/>
      <c r="V131" s="312"/>
      <c r="W131" s="317"/>
      <c r="X131" s="308"/>
      <c r="Y131" s="316"/>
      <c r="Z131" s="312"/>
      <c r="AA131" s="312"/>
      <c r="AB131" s="317"/>
      <c r="AC131" s="308"/>
      <c r="AD131" s="316"/>
      <c r="AE131" s="312"/>
      <c r="AF131" s="312"/>
      <c r="AG131" s="317"/>
      <c r="AH131" s="308"/>
      <c r="AI131" s="316"/>
      <c r="AJ131" s="312"/>
      <c r="AK131" s="312"/>
      <c r="AL131" s="317"/>
      <c r="AM131" s="308"/>
      <c r="AN131" s="316"/>
      <c r="AO131" s="312"/>
      <c r="AP131" s="312"/>
      <c r="AQ131" s="317"/>
      <c r="AR131" s="308"/>
      <c r="AS131" s="316"/>
      <c r="AT131" s="312"/>
      <c r="AU131" s="312"/>
      <c r="AV131" s="317"/>
      <c r="AW131" s="308"/>
      <c r="AX131" s="316"/>
      <c r="AY131" s="312"/>
      <c r="AZ131" s="312"/>
      <c r="BA131" s="317"/>
      <c r="BB131" s="308"/>
      <c r="BC131" s="316"/>
      <c r="BD131" s="312"/>
      <c r="BE131" s="312"/>
      <c r="BF131" s="317"/>
      <c r="BG131" s="308"/>
      <c r="BH131" s="316"/>
      <c r="BI131" s="312"/>
      <c r="BJ131" s="312"/>
      <c r="BK131" s="317"/>
      <c r="BL131" s="308"/>
      <c r="BM131" s="316"/>
      <c r="BN131" s="312"/>
      <c r="BO131" s="312"/>
      <c r="BP131" s="317"/>
      <c r="BQ131" s="308"/>
      <c r="BR131" s="308"/>
      <c r="BS131"/>
      <c r="BT131"/>
      <c r="BU131"/>
      <c r="BV131"/>
      <c r="BW131" s="693"/>
      <c r="BX131" s="693"/>
      <c r="BY131" s="693"/>
    </row>
    <row r="132" spans="1:84" s="491" customFormat="1">
      <c r="B132" s="96"/>
      <c r="C132" s="1198" t="s">
        <v>208</v>
      </c>
      <c r="E132" s="309"/>
      <c r="F132" s="310"/>
      <c r="G132" s="310"/>
      <c r="H132" s="311"/>
      <c r="I132" s="285"/>
      <c r="J132" s="309"/>
      <c r="K132" s="310"/>
      <c r="L132" s="310"/>
      <c r="M132" s="311"/>
      <c r="N132" s="285"/>
      <c r="O132" s="309"/>
      <c r="P132" s="310"/>
      <c r="Q132" s="310"/>
      <c r="R132" s="311"/>
      <c r="S132" s="285"/>
      <c r="T132" s="309"/>
      <c r="U132" s="310"/>
      <c r="V132" s="310"/>
      <c r="W132" s="311"/>
      <c r="X132" s="782"/>
      <c r="Y132" s="309">
        <f>Debt!V258</f>
        <v>0</v>
      </c>
      <c r="Z132" s="310">
        <f>Debt!W258</f>
        <v>0</v>
      </c>
      <c r="AA132" s="310">
        <f>Debt!X258</f>
        <v>0</v>
      </c>
      <c r="AB132" s="311">
        <f>Debt!Y258</f>
        <v>0</v>
      </c>
      <c r="AC132" s="298">
        <f>Debt!Z258</f>
        <v>0</v>
      </c>
      <c r="AD132" s="296">
        <f>Debt!AA258</f>
        <v>0</v>
      </c>
      <c r="AE132" s="297">
        <f>Debt!AB258</f>
        <v>0</v>
      </c>
      <c r="AF132" s="297">
        <f>Debt!AC258</f>
        <v>0</v>
      </c>
      <c r="AG132" s="290">
        <f>Debt!AD258</f>
        <v>0</v>
      </c>
      <c r="AH132" s="298">
        <f>Debt!AE258</f>
        <v>0</v>
      </c>
      <c r="AI132" s="296">
        <f>Debt!AF258</f>
        <v>0</v>
      </c>
      <c r="AJ132" s="297">
        <f>Debt!AG258</f>
        <v>0</v>
      </c>
      <c r="AK132" s="297">
        <f>Debt!AH258</f>
        <v>0</v>
      </c>
      <c r="AL132" s="290">
        <f>Debt!AI258</f>
        <v>0</v>
      </c>
      <c r="AM132" s="298">
        <f>Debt!AJ258</f>
        <v>0</v>
      </c>
      <c r="AN132" s="296">
        <f>Debt!AK258</f>
        <v>0</v>
      </c>
      <c r="AO132" s="297">
        <f>Debt!AL258</f>
        <v>0</v>
      </c>
      <c r="AP132" s="297">
        <f>Debt!AM258</f>
        <v>0</v>
      </c>
      <c r="AQ132" s="290">
        <f>Debt!AN258</f>
        <v>0</v>
      </c>
      <c r="AR132" s="298">
        <f>Debt!AO258</f>
        <v>0</v>
      </c>
      <c r="AS132" s="296">
        <f>Debt!AP258</f>
        <v>0</v>
      </c>
      <c r="AT132" s="297">
        <f>Debt!AQ258</f>
        <v>250</v>
      </c>
      <c r="AU132" s="297">
        <f>Debt!AR258</f>
        <v>550</v>
      </c>
      <c r="AV132" s="290">
        <f>Debt!AS258</f>
        <v>625</v>
      </c>
      <c r="AW132" s="298">
        <f>Debt!AT258</f>
        <v>1425</v>
      </c>
      <c r="AX132" s="309">
        <f>Debt!AU258</f>
        <v>0</v>
      </c>
      <c r="AY132" s="310">
        <f>Debt!AV258</f>
        <v>0</v>
      </c>
      <c r="AZ132" s="310">
        <f>Debt!AW258</f>
        <v>800</v>
      </c>
      <c r="BA132" s="311">
        <f>Debt!AX258</f>
        <v>0</v>
      </c>
      <c r="BB132" s="782">
        <v>800</v>
      </c>
      <c r="BC132" s="309">
        <f>Debt!AZ258</f>
        <v>0</v>
      </c>
      <c r="BD132" s="310">
        <f>Debt!BA258</f>
        <v>1400</v>
      </c>
      <c r="BE132" s="310">
        <f>Debt!BB258</f>
        <v>0</v>
      </c>
      <c r="BF132" s="311">
        <f>Debt!BC258</f>
        <v>0</v>
      </c>
      <c r="BG132" s="782">
        <v>1400</v>
      </c>
      <c r="BH132" s="309">
        <f>Debt!BE258</f>
        <v>0</v>
      </c>
      <c r="BI132" s="310">
        <f>Debt!BF258</f>
        <v>1300</v>
      </c>
      <c r="BJ132" s="310">
        <f>Debt!BG258</f>
        <v>0</v>
      </c>
      <c r="BK132" s="311">
        <f>Debt!BH258</f>
        <v>0</v>
      </c>
      <c r="BL132" s="782">
        <v>1300</v>
      </c>
      <c r="BM132" s="309">
        <f>Debt!BJ258</f>
        <v>0</v>
      </c>
      <c r="BN132" s="310">
        <f>Debt!BK258</f>
        <v>700</v>
      </c>
      <c r="BO132" s="310">
        <f>Debt!BL258</f>
        <v>0</v>
      </c>
      <c r="BP132" s="311">
        <f>Debt!BM258</f>
        <v>0</v>
      </c>
      <c r="BQ132" s="782">
        <v>700</v>
      </c>
      <c r="BR132" s="285"/>
      <c r="BS132"/>
      <c r="BT132"/>
      <c r="BU132"/>
      <c r="BV132" s="682"/>
      <c r="BW132" s="682"/>
      <c r="BX132" s="682"/>
      <c r="BY132" s="682"/>
    </row>
    <row r="133" spans="1:84" s="491" customFormat="1">
      <c r="B133" s="96"/>
      <c r="C133" s="1198" t="s">
        <v>210</v>
      </c>
      <c r="E133" s="309"/>
      <c r="F133" s="310"/>
      <c r="G133" s="310"/>
      <c r="H133" s="311"/>
      <c r="I133" s="285"/>
      <c r="J133" s="309"/>
      <c r="K133" s="310"/>
      <c r="L133" s="310"/>
      <c r="M133" s="311"/>
      <c r="N133" s="285"/>
      <c r="O133" s="309"/>
      <c r="P133" s="310"/>
      <c r="Q133" s="310"/>
      <c r="R133" s="311"/>
      <c r="S133" s="285"/>
      <c r="T133" s="309"/>
      <c r="U133" s="310"/>
      <c r="V133" s="310"/>
      <c r="W133" s="311"/>
      <c r="X133" s="285"/>
      <c r="Y133" s="309">
        <f>Debt!V244</f>
        <v>0</v>
      </c>
      <c r="Z133" s="310">
        <f>Debt!W244</f>
        <v>0</v>
      </c>
      <c r="AA133" s="310">
        <f>Debt!X244</f>
        <v>0</v>
      </c>
      <c r="AB133" s="311">
        <f>Debt!Y244</f>
        <v>0</v>
      </c>
      <c r="AC133" s="298">
        <f>Debt!Z244</f>
        <v>0</v>
      </c>
      <c r="AD133" s="296">
        <f>Debt!AA244</f>
        <v>0</v>
      </c>
      <c r="AE133" s="297">
        <f>Debt!AB244</f>
        <v>0</v>
      </c>
      <c r="AF133" s="297">
        <f>Debt!AC244</f>
        <v>0</v>
      </c>
      <c r="AG133" s="290">
        <f>Debt!AD244</f>
        <v>0</v>
      </c>
      <c r="AH133" s="298">
        <f>Debt!AE244</f>
        <v>0</v>
      </c>
      <c r="AI133" s="296">
        <f>Debt!AF244</f>
        <v>0</v>
      </c>
      <c r="AJ133" s="297">
        <f>Debt!AG244</f>
        <v>0</v>
      </c>
      <c r="AK133" s="297">
        <f>Debt!AH244</f>
        <v>0</v>
      </c>
      <c r="AL133" s="290">
        <f>Debt!AI244</f>
        <v>0</v>
      </c>
      <c r="AM133" s="298">
        <f>Debt!AJ244</f>
        <v>0</v>
      </c>
      <c r="AN133" s="296">
        <f>Debt!AK244</f>
        <v>0</v>
      </c>
      <c r="AO133" s="297">
        <f>Debt!AL244</f>
        <v>0</v>
      </c>
      <c r="AP133" s="297">
        <f>Debt!AM244</f>
        <v>0</v>
      </c>
      <c r="AQ133" s="290">
        <f>Debt!AN244</f>
        <v>0</v>
      </c>
      <c r="AR133" s="298">
        <f>Debt!AO244</f>
        <v>0</v>
      </c>
      <c r="AS133" s="296">
        <f>Debt!AP244</f>
        <v>-155.89433700000001</v>
      </c>
      <c r="AT133" s="297">
        <f>Debt!AQ244</f>
        <v>-14.681081000000001</v>
      </c>
      <c r="AU133" s="297">
        <f>Debt!AR244</f>
        <v>-680</v>
      </c>
      <c r="AV133" s="290">
        <f>Debt!AS244</f>
        <v>-575</v>
      </c>
      <c r="AW133" s="298">
        <f>Debt!AT244</f>
        <v>-1425.5754179999999</v>
      </c>
      <c r="AX133" s="309">
        <f>Debt!AU244</f>
        <v>0</v>
      </c>
      <c r="AY133" s="310">
        <f>Debt!AV244</f>
        <v>-154.60229200000001</v>
      </c>
      <c r="AZ133" s="310">
        <f>Debt!AW244</f>
        <v>0</v>
      </c>
      <c r="BA133" s="311">
        <f>Debt!AX244</f>
        <v>-325</v>
      </c>
      <c r="BB133" s="285">
        <f>Debt!AY244</f>
        <v>-479.60229199999998</v>
      </c>
      <c r="BC133" s="309">
        <f>Debt!AZ244</f>
        <v>-600</v>
      </c>
      <c r="BD133" s="310">
        <f>Debt!BA244</f>
        <v>-125</v>
      </c>
      <c r="BE133" s="310">
        <f>Debt!BB244</f>
        <v>-40.962215999999998</v>
      </c>
      <c r="BF133" s="311">
        <f>Debt!BC244</f>
        <v>-1.9610000000000001</v>
      </c>
      <c r="BG133" s="285">
        <f>Debt!BD244</f>
        <v>-767.92321600000002</v>
      </c>
      <c r="BH133" s="309">
        <f>Debt!BE244</f>
        <v>-102.95805300000001</v>
      </c>
      <c r="BI133" s="310">
        <f>Debt!BF244</f>
        <v>-250</v>
      </c>
      <c r="BJ133" s="310">
        <f>Debt!BG244</f>
        <v>0</v>
      </c>
      <c r="BK133" s="311">
        <f>Debt!BH244</f>
        <v>0</v>
      </c>
      <c r="BL133" s="285">
        <f>Debt!BI244</f>
        <v>-352.95805300000001</v>
      </c>
      <c r="BM133" s="309">
        <f>Debt!BJ244</f>
        <v>0</v>
      </c>
      <c r="BN133" s="310">
        <f>Debt!BK244</f>
        <v>-51.139000000000003</v>
      </c>
      <c r="BO133" s="310">
        <f>Debt!BL244</f>
        <v>0</v>
      </c>
      <c r="BP133" s="311">
        <f>Debt!BM244</f>
        <v>0</v>
      </c>
      <c r="BQ133" s="285">
        <f>Debt!BN244</f>
        <v>-51.139000000000003</v>
      </c>
      <c r="BR133" s="285"/>
      <c r="BS133"/>
      <c r="BT133"/>
      <c r="BU133"/>
      <c r="BV133" s="221"/>
      <c r="BW133" s="221"/>
      <c r="BX133" s="221"/>
      <c r="BY133" s="221"/>
    </row>
    <row r="134" spans="1:84" s="491" customFormat="1">
      <c r="B134" s="285"/>
      <c r="C134" s="1198"/>
      <c r="E134" s="309"/>
      <c r="F134" s="310"/>
      <c r="G134" s="310"/>
      <c r="H134" s="311"/>
      <c r="I134" s="285"/>
      <c r="J134" s="309"/>
      <c r="K134" s="310"/>
      <c r="L134" s="310"/>
      <c r="M134" s="311"/>
      <c r="N134" s="285"/>
      <c r="O134" s="309"/>
      <c r="P134" s="310"/>
      <c r="Q134" s="310"/>
      <c r="R134" s="311"/>
      <c r="S134" s="285"/>
      <c r="T134" s="309"/>
      <c r="U134" s="310"/>
      <c r="V134" s="310"/>
      <c r="W134" s="311"/>
      <c r="X134" s="285"/>
      <c r="Y134" s="309"/>
      <c r="Z134" s="297"/>
      <c r="AA134" s="297"/>
      <c r="AB134" s="311"/>
      <c r="AC134" s="285"/>
      <c r="AD134" s="309"/>
      <c r="AE134" s="310"/>
      <c r="AF134" s="310"/>
      <c r="AG134" s="311"/>
      <c r="AH134" s="285"/>
      <c r="AI134" s="309"/>
      <c r="AJ134" s="310"/>
      <c r="AK134" s="310"/>
      <c r="AL134" s="311"/>
      <c r="AM134" s="285"/>
      <c r="AN134" s="309"/>
      <c r="AO134" s="310"/>
      <c r="AP134" s="310"/>
      <c r="AQ134" s="311"/>
      <c r="AR134" s="285"/>
      <c r="AS134" s="309"/>
      <c r="AT134" s="310"/>
      <c r="AU134" s="310"/>
      <c r="AV134" s="311"/>
      <c r="AW134" s="285"/>
      <c r="AX134" s="309"/>
      <c r="AY134" s="310"/>
      <c r="AZ134" s="310"/>
      <c r="BA134" s="311"/>
      <c r="BB134" s="285"/>
      <c r="BC134" s="309"/>
      <c r="BD134" s="310"/>
      <c r="BE134" s="310"/>
      <c r="BF134" s="311"/>
      <c r="BG134" s="285"/>
      <c r="BH134" s="309"/>
      <c r="BI134" s="310"/>
      <c r="BJ134" s="310"/>
      <c r="BK134" s="311"/>
      <c r="BL134" s="285"/>
      <c r="BM134" s="309"/>
      <c r="BN134" s="310"/>
      <c r="BO134" s="310"/>
      <c r="BP134" s="311"/>
      <c r="BQ134" s="285"/>
      <c r="BR134" s="285"/>
      <c r="BS134"/>
      <c r="BT134"/>
      <c r="BU134"/>
      <c r="BV134" s="177"/>
      <c r="BW134" s="177"/>
      <c r="BX134" s="177"/>
      <c r="BY134" s="92"/>
    </row>
    <row r="135" spans="1:84" s="491" customFormat="1">
      <c r="B135" s="285"/>
      <c r="C135" s="1197" t="s">
        <v>200</v>
      </c>
      <c r="E135" s="309"/>
      <c r="F135" s="310"/>
      <c r="G135" s="310"/>
      <c r="H135" s="311"/>
      <c r="I135" s="285"/>
      <c r="J135" s="309"/>
      <c r="K135" s="310"/>
      <c r="L135" s="310"/>
      <c r="M135" s="311"/>
      <c r="N135" s="285"/>
      <c r="O135" s="309"/>
      <c r="P135" s="310"/>
      <c r="Q135" s="310"/>
      <c r="R135" s="311"/>
      <c r="S135" s="285"/>
      <c r="T135" s="309"/>
      <c r="U135" s="310"/>
      <c r="V135" s="310"/>
      <c r="W135" s="311"/>
      <c r="X135" s="285"/>
      <c r="Y135" s="309"/>
      <c r="Z135" s="297"/>
      <c r="AA135" s="297"/>
      <c r="AB135" s="311"/>
      <c r="AC135" s="285"/>
      <c r="AD135" s="309"/>
      <c r="AE135" s="310"/>
      <c r="AF135" s="310"/>
      <c r="AG135" s="311"/>
      <c r="AH135" s="285"/>
      <c r="AI135" s="309"/>
      <c r="AJ135" s="310"/>
      <c r="AK135" s="310"/>
      <c r="AL135" s="311"/>
      <c r="AM135" s="285"/>
      <c r="AN135" s="309"/>
      <c r="AO135" s="310"/>
      <c r="AP135" s="310"/>
      <c r="AQ135" s="311"/>
      <c r="AR135" s="285"/>
      <c r="AS135" s="309"/>
      <c r="AT135" s="310"/>
      <c r="AU135" s="310"/>
      <c r="AV135" s="311"/>
      <c r="AW135" s="285"/>
      <c r="AX135" s="309"/>
      <c r="AY135" s="310"/>
      <c r="AZ135" s="310"/>
      <c r="BA135" s="311"/>
      <c r="BB135" s="285"/>
      <c r="BC135" s="309"/>
      <c r="BD135" s="310"/>
      <c r="BE135" s="310"/>
      <c r="BF135" s="311"/>
      <c r="BG135" s="285"/>
      <c r="BH135" s="309"/>
      <c r="BI135" s="310"/>
      <c r="BJ135" s="310"/>
      <c r="BK135" s="311"/>
      <c r="BL135" s="285"/>
      <c r="BM135" s="309"/>
      <c r="BN135" s="310"/>
      <c r="BO135" s="310"/>
      <c r="BP135" s="311"/>
      <c r="BQ135" s="285"/>
      <c r="BR135" s="285"/>
      <c r="BS135"/>
      <c r="BT135"/>
      <c r="BU135"/>
      <c r="BV135" s="221"/>
      <c r="BW135" s="221"/>
      <c r="BX135" s="221"/>
      <c r="BY135" s="221"/>
    </row>
    <row r="136" spans="1:84" s="491" customFormat="1">
      <c r="B136" s="96"/>
      <c r="C136" s="1198" t="s">
        <v>396</v>
      </c>
      <c r="E136" s="309"/>
      <c r="F136" s="310"/>
      <c r="G136" s="310"/>
      <c r="H136" s="311"/>
      <c r="I136" s="285"/>
      <c r="J136" s="309"/>
      <c r="K136" s="310"/>
      <c r="L136" s="310"/>
      <c r="M136" s="311"/>
      <c r="N136" s="285"/>
      <c r="O136" s="309"/>
      <c r="P136" s="310"/>
      <c r="Q136" s="310"/>
      <c r="R136" s="311"/>
      <c r="S136" s="285"/>
      <c r="T136" s="309"/>
      <c r="U136" s="310"/>
      <c r="V136" s="310"/>
      <c r="W136" s="311"/>
      <c r="X136" s="285"/>
      <c r="Y136" s="309"/>
      <c r="Z136" s="297"/>
      <c r="AA136" s="297"/>
      <c r="AB136" s="311"/>
      <c r="AC136" s="285"/>
      <c r="AD136" s="309"/>
      <c r="AE136" s="310"/>
      <c r="AF136" s="310"/>
      <c r="AG136" s="311"/>
      <c r="AH136" s="285"/>
      <c r="AI136" s="309"/>
      <c r="AJ136" s="310"/>
      <c r="AK136" s="310"/>
      <c r="AL136" s="311"/>
      <c r="AM136" s="285"/>
      <c r="AN136" s="309"/>
      <c r="AO136" s="310"/>
      <c r="AP136" s="310"/>
      <c r="AQ136" s="311"/>
      <c r="AR136" s="285"/>
      <c r="AS136" s="309"/>
      <c r="AT136" s="310"/>
      <c r="AU136" s="310"/>
      <c r="AV136" s="311"/>
      <c r="AW136" s="285"/>
      <c r="AX136" s="309">
        <f>(((AW169-AS169)*AX141)/4)-((AW167-AS167)*(AX141-1%)/4)</f>
        <v>-2.7274799999999999</v>
      </c>
      <c r="AY136" s="310">
        <f>(((AX169-AT169)*AY141)/4)-((AX167-AT167)*(AY141-1%)/4)</f>
        <v>-2.4754187892470068</v>
      </c>
      <c r="AZ136" s="310">
        <f>(((AY169-AU169)*AZ141)/4)-((AY167-AU167)*(AZ141-1%)/4)</f>
        <v>2.986108057419814</v>
      </c>
      <c r="BA136" s="311">
        <f>(((AZ169-AV169)*BA141)/4)-((AZ167-AV167)*(BA141-1%)/4)</f>
        <v>-0.69194089767924827</v>
      </c>
      <c r="BB136" s="285">
        <f>SUM(AX136:BA136)</f>
        <v>-2.9087316295064412</v>
      </c>
      <c r="BC136" s="309">
        <f>(((BB169-AX169)*BC141)/4)-((BB167-AX167)*(BC141-1%)/4)</f>
        <v>2.2462106745755444</v>
      </c>
      <c r="BD136" s="310">
        <f>(((BC169-AY169)*BD141)/4)-((BC167-AY167)*(BD141-1%)/4)</f>
        <v>3.9388070642947937</v>
      </c>
      <c r="BE136" s="310">
        <f>(((BD169-AZ169)*BE141)/4)-((BD167-AZ167)*(BE141-1%)/4)</f>
        <v>1.7033995364288861</v>
      </c>
      <c r="BF136" s="311">
        <f>(((BE169-BA169)*BF141)/4)-((BE167-BA167)*(BF141-1%)/4)</f>
        <v>-0.15680463501153896</v>
      </c>
      <c r="BG136" s="285">
        <f>SUM(BC136:BF136)</f>
        <v>7.7316126402876852</v>
      </c>
      <c r="BH136" s="309">
        <f>(((BG169-BC169)*BH141)/4)-((BG167-BC167)*(BH141-1%)/4)</f>
        <v>-3.0733015834959012</v>
      </c>
      <c r="BI136" s="310">
        <f>(((BH169-BD169)*BI141)/4)-((BH167-BD167)*(BI141-1%)/4)</f>
        <v>3.4562019518335791</v>
      </c>
      <c r="BJ136" s="310">
        <f>(((BI169-BE169)*BJ141)/4)-((BI167-BE167)*(BJ141-1%)/4)</f>
        <v>-1.5819096035229201</v>
      </c>
      <c r="BK136" s="311">
        <f>(((BJ169-BF169)*BK141)/4)-((BJ167-BF167)*(BK141-1%)/4)</f>
        <v>-1.9481549100138069</v>
      </c>
      <c r="BL136" s="285">
        <f>SUM(BH136:BK136)</f>
        <v>-3.1471641451990493</v>
      </c>
      <c r="BM136" s="309">
        <f>(((BL169-BH169)*BM141)/4)-((BL167-BH167)*(BM141-1%)/4)</f>
        <v>-2.386314140670502</v>
      </c>
      <c r="BN136" s="310">
        <f>(((BM169-BI169)*BN141)/4)-((BM167-BI167)*(BN141-1%)/4)</f>
        <v>2.4337143233916669</v>
      </c>
      <c r="BO136" s="310">
        <f>(((BN169-BJ169)*BO141)/4)-((BN167-BJ167)*(BO141-1%)/4)</f>
        <v>-0.42244113665057742</v>
      </c>
      <c r="BP136" s="311">
        <f>(((BO169-BK169)*BP141)/4)-((BO167-BK167)*(BP141-1%)/4)</f>
        <v>-0.83698004940601323</v>
      </c>
      <c r="BQ136" s="285">
        <f>SUM(BM136:BP136)</f>
        <v>-1.2120210033354257</v>
      </c>
      <c r="BR136" s="285"/>
      <c r="BS136" s="12"/>
      <c r="BT136" s="845"/>
      <c r="BU136" s="852"/>
    </row>
    <row r="137" spans="1:84" s="491" customFormat="1">
      <c r="B137" s="96"/>
      <c r="C137" s="1198" t="s">
        <v>638</v>
      </c>
      <c r="E137" s="309"/>
      <c r="F137" s="310"/>
      <c r="G137" s="310"/>
      <c r="H137" s="311"/>
      <c r="I137" s="285"/>
      <c r="J137" s="309"/>
      <c r="K137" s="310"/>
      <c r="L137" s="310"/>
      <c r="M137" s="311"/>
      <c r="N137" s="285"/>
      <c r="O137" s="309"/>
      <c r="P137" s="310"/>
      <c r="Q137" s="310"/>
      <c r="R137" s="311"/>
      <c r="S137" s="285"/>
      <c r="T137" s="309"/>
      <c r="U137" s="310"/>
      <c r="V137" s="310"/>
      <c r="W137" s="311"/>
      <c r="X137" s="285"/>
      <c r="Y137" s="309"/>
      <c r="Z137" s="297"/>
      <c r="AA137" s="297"/>
      <c r="AB137" s="311"/>
      <c r="AC137" s="285"/>
      <c r="AD137" s="309"/>
      <c r="AE137" s="310"/>
      <c r="AF137" s="310"/>
      <c r="AG137" s="311"/>
      <c r="AH137" s="285"/>
      <c r="AI137" s="309"/>
      <c r="AJ137" s="310"/>
      <c r="AK137" s="310"/>
      <c r="AL137" s="311"/>
      <c r="AM137" s="285"/>
      <c r="AN137" s="309"/>
      <c r="AO137" s="310"/>
      <c r="AP137" s="310"/>
      <c r="AQ137" s="311"/>
      <c r="AR137" s="285"/>
      <c r="AS137" s="309"/>
      <c r="AT137" s="310"/>
      <c r="AU137" s="310"/>
      <c r="AV137" s="311"/>
      <c r="AW137" s="285"/>
      <c r="AX137" s="309">
        <f>+-Transmission!AX91</f>
        <v>-1.3056220141778425</v>
      </c>
      <c r="AY137" s="310">
        <f>+-Transmission!AY91</f>
        <v>-2.600638580674989</v>
      </c>
      <c r="AZ137" s="310">
        <f>+-Transmission!AZ91</f>
        <v>-4.8850496994914536</v>
      </c>
      <c r="BA137" s="311">
        <f>+-Transmission!BA91</f>
        <v>-4.1588553706272222</v>
      </c>
      <c r="BB137" s="285">
        <f>SUM(AX137:BA137)</f>
        <v>-12.950165664971507</v>
      </c>
      <c r="BC137" s="309">
        <f>+-Transmission!BC91</f>
        <v>-5.1164335799044522</v>
      </c>
      <c r="BD137" s="310">
        <f>+-Transmission!BD91</f>
        <v>-5.0740117891816965</v>
      </c>
      <c r="BE137" s="310">
        <f>+-Transmission!BE91</f>
        <v>-5.0315899984589265</v>
      </c>
      <c r="BF137" s="311">
        <f>+-Transmission!BF91</f>
        <v>-4.9891682077361637</v>
      </c>
      <c r="BG137" s="285">
        <f>SUM(BC137:BF137)</f>
        <v>-20.211203575281239</v>
      </c>
      <c r="BH137" s="309">
        <f>+-Transmission!BH91</f>
        <v>-4.946746417013415</v>
      </c>
      <c r="BI137" s="310">
        <f>+-Transmission!BI91</f>
        <v>-4.9043246262906521</v>
      </c>
      <c r="BJ137" s="310">
        <f>+-Transmission!BJ91</f>
        <v>-4.8619028355678822</v>
      </c>
      <c r="BK137" s="311">
        <f>+-Transmission!BK91</f>
        <v>-4.8194810448451264</v>
      </c>
      <c r="BL137" s="285">
        <f>SUM(BH137:BK137)</f>
        <v>-19.532454923717076</v>
      </c>
      <c r="BM137" s="309">
        <f>+-Transmission!BM91</f>
        <v>-4.7770592541223706</v>
      </c>
      <c r="BN137" s="310">
        <f>+-Transmission!BN91</f>
        <v>-4.7346374633996149</v>
      </c>
      <c r="BO137" s="310">
        <f>+-Transmission!BO91</f>
        <v>-4.6922156726768591</v>
      </c>
      <c r="BP137" s="311">
        <f>+-Transmission!BP91</f>
        <v>-4.6497938819540963</v>
      </c>
      <c r="BQ137" s="285">
        <f>SUM(BM137:BP137)</f>
        <v>-18.853706272152941</v>
      </c>
      <c r="BR137" s="285"/>
      <c r="BS137" s="503"/>
    </row>
    <row r="138" spans="1:84" s="491" customFormat="1">
      <c r="B138" s="96"/>
      <c r="C138" s="1198" t="s">
        <v>211</v>
      </c>
      <c r="E138" s="309"/>
      <c r="F138" s="310"/>
      <c r="G138" s="310"/>
      <c r="H138" s="311"/>
      <c r="I138" s="285"/>
      <c r="J138" s="309"/>
      <c r="K138" s="310"/>
      <c r="L138" s="310"/>
      <c r="M138" s="311"/>
      <c r="N138" s="285"/>
      <c r="O138" s="309"/>
      <c r="P138" s="310"/>
      <c r="Q138" s="310"/>
      <c r="R138" s="311"/>
      <c r="S138" s="285"/>
      <c r="T138" s="309"/>
      <c r="U138" s="310"/>
      <c r="V138" s="310"/>
      <c r="W138" s="311"/>
      <c r="X138" s="285"/>
      <c r="Y138" s="309"/>
      <c r="Z138" s="297"/>
      <c r="AA138" s="297"/>
      <c r="AB138" s="311"/>
      <c r="AC138" s="285"/>
      <c r="AD138" s="309"/>
      <c r="AE138" s="310"/>
      <c r="AF138" s="310"/>
      <c r="AG138" s="311"/>
      <c r="AH138" s="285"/>
      <c r="AI138" s="309"/>
      <c r="AJ138" s="310"/>
      <c r="AK138" s="310"/>
      <c r="AL138" s="311"/>
      <c r="AM138" s="285"/>
      <c r="AN138" s="309"/>
      <c r="AO138" s="310"/>
      <c r="AP138" s="310"/>
      <c r="AQ138" s="311"/>
      <c r="AR138" s="285"/>
      <c r="AS138" s="309"/>
      <c r="AT138" s="310"/>
      <c r="AU138" s="310"/>
      <c r="AV138" s="311"/>
      <c r="AW138" s="285"/>
      <c r="AX138" s="309">
        <f>Debt!CY258</f>
        <v>12.96</v>
      </c>
      <c r="AY138" s="310">
        <f>Debt!CZ258</f>
        <v>11.480833333333333</v>
      </c>
      <c r="AZ138" s="310">
        <f>Debt!DA258</f>
        <v>18.672916666666666</v>
      </c>
      <c r="BA138" s="311">
        <f>Debt!DB258</f>
        <v>11.897500000000001</v>
      </c>
      <c r="BB138" s="285">
        <f>Debt!DC258</f>
        <v>55.011249999999997</v>
      </c>
      <c r="BC138" s="309">
        <f>Debt!DD258</f>
        <v>10</v>
      </c>
      <c r="BD138" s="310">
        <f>Debt!DE258</f>
        <v>15.833333333333332</v>
      </c>
      <c r="BE138" s="310">
        <f>Debt!DF258</f>
        <v>17.5</v>
      </c>
      <c r="BF138" s="311">
        <f>Debt!DG258</f>
        <v>17.5</v>
      </c>
      <c r="BG138" s="285">
        <f>Debt!DH258</f>
        <v>60.833333333333336</v>
      </c>
      <c r="BH138" s="309">
        <f>Debt!DI258</f>
        <v>17.5</v>
      </c>
      <c r="BI138" s="310">
        <f>Debt!DJ258</f>
        <v>17.083333333333332</v>
      </c>
      <c r="BJ138" s="310">
        <f>Debt!DK258</f>
        <v>16.25</v>
      </c>
      <c r="BK138" s="311">
        <f>Debt!DL258</f>
        <v>16.25</v>
      </c>
      <c r="BL138" s="285">
        <f>Debt!DM258</f>
        <v>67.083333333333329</v>
      </c>
      <c r="BM138" s="309">
        <f>Debt!DN258</f>
        <v>16.25</v>
      </c>
      <c r="BN138" s="310">
        <f>Debt!DO258</f>
        <v>13.75</v>
      </c>
      <c r="BO138" s="310">
        <f>Debt!DP258</f>
        <v>8.75</v>
      </c>
      <c r="BP138" s="311">
        <f>Debt!DQ258</f>
        <v>8.75</v>
      </c>
      <c r="BQ138" s="285">
        <f>Debt!DR258</f>
        <v>47.5</v>
      </c>
      <c r="BR138" s="285"/>
      <c r="BS138" s="503"/>
    </row>
    <row r="139" spans="1:84" s="491" customFormat="1">
      <c r="B139" s="96"/>
      <c r="C139" s="1198" t="s">
        <v>212</v>
      </c>
      <c r="E139" s="309"/>
      <c r="F139" s="310"/>
      <c r="G139" s="310"/>
      <c r="H139" s="311"/>
      <c r="I139" s="285"/>
      <c r="J139" s="309"/>
      <c r="K139" s="310"/>
      <c r="L139" s="310"/>
      <c r="M139" s="311"/>
      <c r="N139" s="285"/>
      <c r="O139" s="309"/>
      <c r="P139" s="310"/>
      <c r="Q139" s="310"/>
      <c r="R139" s="311"/>
      <c r="S139" s="285"/>
      <c r="T139" s="309"/>
      <c r="U139" s="310"/>
      <c r="V139" s="310"/>
      <c r="W139" s="311"/>
      <c r="X139" s="285"/>
      <c r="Y139" s="309"/>
      <c r="Z139" s="297"/>
      <c r="AA139" s="297"/>
      <c r="AB139" s="311"/>
      <c r="AC139" s="285"/>
      <c r="AD139" s="309"/>
      <c r="AE139" s="310"/>
      <c r="AF139" s="310"/>
      <c r="AG139" s="311"/>
      <c r="AH139" s="285"/>
      <c r="AI139" s="309"/>
      <c r="AJ139" s="310"/>
      <c r="AK139" s="310"/>
      <c r="AL139" s="311"/>
      <c r="AM139" s="285"/>
      <c r="AN139" s="309"/>
      <c r="AO139" s="310"/>
      <c r="AP139" s="310"/>
      <c r="AQ139" s="311"/>
      <c r="AR139" s="285"/>
      <c r="AS139" s="309"/>
      <c r="AT139" s="310"/>
      <c r="AU139" s="310"/>
      <c r="AV139" s="311"/>
      <c r="AW139" s="285"/>
      <c r="AX139" s="309">
        <f>Debt!CY244</f>
        <v>-21.572963647400002</v>
      </c>
      <c r="AY139" s="310">
        <f>Debt!CZ244</f>
        <v>-20.693771308133332</v>
      </c>
      <c r="AZ139" s="310">
        <f>Debt!DA244</f>
        <v>-18.478303296266667</v>
      </c>
      <c r="BA139" s="311">
        <f>Debt!DB244</f>
        <v>-11.513719962933333</v>
      </c>
      <c r="BB139" s="285">
        <f>Debt!DC244</f>
        <v>-72.258758214733334</v>
      </c>
      <c r="BC139" s="309">
        <f>Debt!DD244</f>
        <v>-18.485386629600001</v>
      </c>
      <c r="BD139" s="310">
        <f>Debt!DE244</f>
        <v>-21.772028586399998</v>
      </c>
      <c r="BE139" s="310">
        <f>Debt!DF244</f>
        <v>-21.065524488050002</v>
      </c>
      <c r="BF139" s="311">
        <f>Debt!DG244</f>
        <v>-16.144233054716665</v>
      </c>
      <c r="BG139" s="285">
        <f>Debt!DH244</f>
        <v>-77.467172758766665</v>
      </c>
      <c r="BH139" s="309">
        <f>Debt!DI244</f>
        <v>-5.0219971700783326</v>
      </c>
      <c r="BI139" s="310">
        <f>Debt!DJ244</f>
        <v>-4.9683513367450001</v>
      </c>
      <c r="BJ139" s="310">
        <f>Debt!DK244</f>
        <v>-4.4325143486950003</v>
      </c>
      <c r="BK139" s="311">
        <f>Debt!DL244</f>
        <v>-4.400680782028334</v>
      </c>
      <c r="BL139" s="285">
        <f>Debt!DM244</f>
        <v>-18.82354363754667</v>
      </c>
      <c r="BM139" s="309">
        <f>Debt!DN244</f>
        <v>-3.854166666666667</v>
      </c>
      <c r="BN139" s="310">
        <f>Debt!DO244</f>
        <v>-0.23907482500000002</v>
      </c>
      <c r="BO139" s="310">
        <f>Debt!DP244</f>
        <v>-0.71722447500000008</v>
      </c>
      <c r="BP139" s="311">
        <f>Debt!DQ244</f>
        <v>-0.71722447500000008</v>
      </c>
      <c r="BQ139" s="285">
        <f>Debt!DR244</f>
        <v>-5.5276904416666675</v>
      </c>
      <c r="BR139" s="285"/>
      <c r="BS139" s="503"/>
    </row>
    <row r="140" spans="1:84" s="491" customFormat="1">
      <c r="B140" s="285"/>
      <c r="C140" s="1179"/>
      <c r="E140" s="309"/>
      <c r="F140" s="310"/>
      <c r="G140" s="310"/>
      <c r="H140" s="311"/>
      <c r="I140" s="285"/>
      <c r="J140" s="309"/>
      <c r="K140" s="310"/>
      <c r="L140" s="310"/>
      <c r="M140" s="311"/>
      <c r="N140" s="285"/>
      <c r="O140" s="309"/>
      <c r="P140" s="310"/>
      <c r="Q140" s="310"/>
      <c r="R140" s="311"/>
      <c r="S140" s="285"/>
      <c r="T140" s="309"/>
      <c r="U140" s="310"/>
      <c r="V140" s="310"/>
      <c r="W140" s="311"/>
      <c r="X140" s="285"/>
      <c r="Y140" s="309"/>
      <c r="Z140" s="297"/>
      <c r="AA140" s="297"/>
      <c r="AB140" s="311"/>
      <c r="AC140" s="285"/>
      <c r="AD140" s="309"/>
      <c r="AE140" s="310"/>
      <c r="AF140" s="310"/>
      <c r="AG140" s="311"/>
      <c r="AH140" s="285"/>
      <c r="AI140" s="309"/>
      <c r="AJ140" s="310"/>
      <c r="AK140" s="310"/>
      <c r="AL140" s="311"/>
      <c r="AM140" s="285"/>
      <c r="AN140" s="309"/>
      <c r="AO140" s="310"/>
      <c r="AP140" s="310"/>
      <c r="AQ140" s="311"/>
      <c r="AR140" s="285"/>
      <c r="AS140" s="309"/>
      <c r="AT140" s="310"/>
      <c r="AU140" s="310"/>
      <c r="AV140" s="311"/>
      <c r="AW140" s="285"/>
      <c r="AX140" s="309"/>
      <c r="AY140" s="310"/>
      <c r="AZ140" s="310"/>
      <c r="BA140" s="311"/>
      <c r="BB140" s="285"/>
      <c r="BC140" s="309"/>
      <c r="BD140" s="310"/>
      <c r="BE140" s="310"/>
      <c r="BF140" s="311"/>
      <c r="BG140" s="285"/>
      <c r="BH140" s="309"/>
      <c r="BI140" s="310"/>
      <c r="BJ140" s="310"/>
      <c r="BK140" s="311"/>
      <c r="BL140" s="285"/>
      <c r="BM140" s="309"/>
      <c r="BN140" s="310"/>
      <c r="BO140" s="310"/>
      <c r="BP140" s="311"/>
      <c r="BQ140" s="285"/>
      <c r="BR140" s="285"/>
      <c r="BS140" s="503"/>
    </row>
    <row r="141" spans="1:84" s="497" customFormat="1">
      <c r="B141" s="498"/>
      <c r="C141" s="1229" t="s">
        <v>214</v>
      </c>
      <c r="E141" s="141"/>
      <c r="F141" s="84"/>
      <c r="G141" s="84"/>
      <c r="H141" s="142"/>
      <c r="I141" s="498"/>
      <c r="J141" s="141"/>
      <c r="K141" s="84"/>
      <c r="L141" s="84"/>
      <c r="M141" s="142"/>
      <c r="N141" s="498"/>
      <c r="O141" s="141"/>
      <c r="P141" s="84"/>
      <c r="Q141" s="84"/>
      <c r="R141" s="142"/>
      <c r="S141" s="498"/>
      <c r="T141" s="141"/>
      <c r="U141" s="84"/>
      <c r="V141" s="84"/>
      <c r="W141" s="142"/>
      <c r="X141" s="498"/>
      <c r="Y141" s="141"/>
      <c r="Z141" s="697"/>
      <c r="AA141" s="697"/>
      <c r="AB141" s="142"/>
      <c r="AC141" s="498"/>
      <c r="AD141" s="141"/>
      <c r="AE141" s="84"/>
      <c r="AF141" s="84"/>
      <c r="AG141" s="142"/>
      <c r="AH141" s="498"/>
      <c r="AI141" s="141"/>
      <c r="AJ141" s="84"/>
      <c r="AK141" s="84"/>
      <c r="AL141" s="142"/>
      <c r="AM141" s="498"/>
      <c r="AN141" s="141"/>
      <c r="AO141" s="84"/>
      <c r="AP141" s="84"/>
      <c r="AQ141" s="142"/>
      <c r="AR141" s="498"/>
      <c r="AS141" s="141"/>
      <c r="AT141" s="84"/>
      <c r="AU141" s="84"/>
      <c r="AV141" s="142"/>
      <c r="AW141" s="498"/>
      <c r="AX141" s="141">
        <v>0.02</v>
      </c>
      <c r="AY141" s="84">
        <v>0.02</v>
      </c>
      <c r="AZ141" s="84">
        <v>0.02</v>
      </c>
      <c r="BA141" s="142">
        <v>0.02</v>
      </c>
      <c r="BB141" s="498">
        <v>0.02</v>
      </c>
      <c r="BC141" s="141">
        <v>0.02</v>
      </c>
      <c r="BD141" s="84">
        <v>0.02</v>
      </c>
      <c r="BE141" s="84">
        <v>0.02</v>
      </c>
      <c r="BF141" s="142">
        <v>0.02</v>
      </c>
      <c r="BG141" s="498">
        <v>0.02</v>
      </c>
      <c r="BH141" s="141">
        <v>0.02</v>
      </c>
      <c r="BI141" s="84">
        <v>0.02</v>
      </c>
      <c r="BJ141" s="84">
        <v>0.02</v>
      </c>
      <c r="BK141" s="142">
        <v>0.02</v>
      </c>
      <c r="BL141" s="498">
        <v>0.02</v>
      </c>
      <c r="BM141" s="141">
        <v>0.02</v>
      </c>
      <c r="BN141" s="84">
        <v>0.02</v>
      </c>
      <c r="BO141" s="84">
        <v>0.02</v>
      </c>
      <c r="BP141" s="142">
        <v>0.02</v>
      </c>
      <c r="BQ141" s="498">
        <v>0.02</v>
      </c>
      <c r="BR141" s="498"/>
      <c r="BS141" s="503"/>
      <c r="BT141" s="491"/>
      <c r="BU141" s="491"/>
      <c r="BV141" s="491"/>
      <c r="BW141" s="491"/>
      <c r="BX141" s="491"/>
      <c r="BY141" s="491"/>
    </row>
    <row r="142" spans="1:84" s="497" customFormat="1">
      <c r="B142" s="498"/>
      <c r="C142" s="1231"/>
      <c r="E142" s="141"/>
      <c r="F142" s="84"/>
      <c r="G142" s="84"/>
      <c r="H142" s="142"/>
      <c r="I142" s="498"/>
      <c r="J142" s="141"/>
      <c r="K142" s="84"/>
      <c r="L142" s="84"/>
      <c r="M142" s="142"/>
      <c r="N142" s="498"/>
      <c r="O142" s="141"/>
      <c r="P142" s="84"/>
      <c r="Q142" s="84"/>
      <c r="R142" s="142"/>
      <c r="S142" s="498"/>
      <c r="T142" s="141"/>
      <c r="U142" s="84"/>
      <c r="V142" s="84"/>
      <c r="W142" s="142"/>
      <c r="X142" s="498"/>
      <c r="Y142" s="141"/>
      <c r="Z142" s="697"/>
      <c r="AA142" s="697"/>
      <c r="AB142" s="142"/>
      <c r="AC142" s="498"/>
      <c r="AD142" s="141"/>
      <c r="AE142" s="84"/>
      <c r="AF142" s="84"/>
      <c r="AG142" s="142"/>
      <c r="AH142" s="498"/>
      <c r="AI142" s="141"/>
      <c r="AJ142" s="84"/>
      <c r="AK142" s="84"/>
      <c r="AL142" s="142"/>
      <c r="AM142" s="498"/>
      <c r="AN142" s="141"/>
      <c r="AO142" s="84"/>
      <c r="AP142" s="84"/>
      <c r="AQ142" s="142"/>
      <c r="AR142" s="498"/>
      <c r="AS142" s="141"/>
      <c r="AT142" s="84"/>
      <c r="AU142" s="84"/>
      <c r="AV142" s="142"/>
      <c r="AW142" s="498"/>
      <c r="AX142" s="141"/>
      <c r="AY142" s="84"/>
      <c r="AZ142" s="84"/>
      <c r="BA142" s="142"/>
      <c r="BB142" s="498"/>
      <c r="BC142" s="141"/>
      <c r="BD142" s="84"/>
      <c r="BE142" s="84"/>
      <c r="BF142" s="142"/>
      <c r="BG142" s="498"/>
      <c r="BH142" s="141"/>
      <c r="BI142" s="84"/>
      <c r="BJ142" s="84"/>
      <c r="BK142" s="142"/>
      <c r="BL142" s="498"/>
      <c r="BM142" s="141"/>
      <c r="BN142" s="84"/>
      <c r="BO142" s="84"/>
      <c r="BP142" s="142"/>
      <c r="BQ142" s="498"/>
      <c r="BR142" s="498"/>
      <c r="BS142" s="503"/>
      <c r="BT142" s="491"/>
      <c r="BU142" s="491"/>
      <c r="BV142" s="491"/>
      <c r="BW142" s="491"/>
      <c r="BX142" s="491"/>
      <c r="BY142" s="491"/>
    </row>
    <row r="143" spans="1:84" s="497" customFormat="1">
      <c r="B143" s="498"/>
      <c r="C143" s="1231"/>
      <c r="E143" s="141"/>
      <c r="F143" s="84"/>
      <c r="G143" s="84"/>
      <c r="H143" s="142"/>
      <c r="I143" s="498"/>
      <c r="J143" s="141"/>
      <c r="K143" s="84"/>
      <c r="L143" s="84"/>
      <c r="M143" s="142"/>
      <c r="N143" s="498"/>
      <c r="O143" s="141"/>
      <c r="P143" s="84"/>
      <c r="Q143" s="84"/>
      <c r="R143" s="142"/>
      <c r="S143" s="498"/>
      <c r="T143" s="141"/>
      <c r="U143" s="84"/>
      <c r="V143" s="84"/>
      <c r="W143" s="142"/>
      <c r="X143" s="498"/>
      <c r="Y143" s="141"/>
      <c r="Z143" s="697"/>
      <c r="AA143" s="697"/>
      <c r="AB143" s="142"/>
      <c r="AC143" s="498"/>
      <c r="AD143" s="141"/>
      <c r="AE143" s="84"/>
      <c r="AF143" s="84"/>
      <c r="AG143" s="142"/>
      <c r="AH143" s="498"/>
      <c r="AI143" s="141"/>
      <c r="AJ143" s="84"/>
      <c r="AK143" s="84"/>
      <c r="AL143" s="142"/>
      <c r="AM143" s="498"/>
      <c r="AN143" s="141"/>
      <c r="AO143" s="84"/>
      <c r="AP143" s="84"/>
      <c r="AQ143" s="142"/>
      <c r="AR143" s="498"/>
      <c r="AS143" s="141"/>
      <c r="AT143" s="84"/>
      <c r="AU143" s="84"/>
      <c r="AV143" s="142"/>
      <c r="AW143" s="2268"/>
      <c r="AX143" s="141"/>
      <c r="AY143" s="84"/>
      <c r="AZ143" s="84"/>
      <c r="BA143" s="142"/>
      <c r="BB143" s="498"/>
      <c r="BC143" s="141"/>
      <c r="BD143" s="84"/>
      <c r="BE143" s="84"/>
      <c r="BF143" s="142"/>
      <c r="BG143" s="498"/>
      <c r="BH143" s="141"/>
      <c r="BI143" s="84"/>
      <c r="BJ143" s="84"/>
      <c r="BK143" s="142"/>
      <c r="BL143" s="498"/>
      <c r="BM143" s="141"/>
      <c r="BN143" s="84"/>
      <c r="BO143" s="84"/>
      <c r="BP143" s="142"/>
      <c r="BQ143" s="498"/>
      <c r="BR143" s="498"/>
      <c r="BS143" s="503"/>
      <c r="BT143" s="491"/>
      <c r="BU143" s="491"/>
      <c r="BV143" s="491"/>
      <c r="BW143" s="491"/>
      <c r="BX143" s="491"/>
      <c r="BY143" s="491"/>
    </row>
    <row r="144" spans="1:84">
      <c r="A144" s="139"/>
      <c r="B144" s="279" t="s">
        <v>634</v>
      </c>
      <c r="C144" s="1232"/>
      <c r="D144" s="277"/>
      <c r="E144" s="152"/>
      <c r="F144" s="153"/>
      <c r="G144" s="153"/>
      <c r="H144" s="154"/>
      <c r="I144" s="89"/>
      <c r="J144" s="152"/>
      <c r="K144" s="153"/>
      <c r="L144" s="153"/>
      <c r="M144" s="154"/>
      <c r="N144" s="89"/>
      <c r="O144" s="152"/>
      <c r="P144" s="153"/>
      <c r="Q144" s="153"/>
      <c r="R144" s="154"/>
      <c r="S144" s="89"/>
      <c r="T144" s="152"/>
      <c r="U144" s="153"/>
      <c r="V144" s="153"/>
      <c r="W144" s="154"/>
      <c r="X144" s="89"/>
      <c r="Y144" s="152"/>
      <c r="Z144" s="153"/>
      <c r="AA144" s="153"/>
      <c r="AB144" s="154"/>
      <c r="AC144" s="89"/>
      <c r="AD144" s="152"/>
      <c r="AE144" s="153"/>
      <c r="AF144" s="153"/>
      <c r="AG144" s="154"/>
      <c r="AH144" s="89"/>
      <c r="AI144" s="152"/>
      <c r="AJ144" s="153"/>
      <c r="AK144" s="153"/>
      <c r="AL144" s="154"/>
      <c r="AM144" s="89"/>
      <c r="AN144" s="152"/>
      <c r="AO144" s="153"/>
      <c r="AP144" s="153"/>
      <c r="AQ144" s="154"/>
      <c r="AR144" s="89"/>
      <c r="AS144" s="152"/>
      <c r="AT144" s="153"/>
      <c r="AU144" s="153"/>
      <c r="AV144" s="154"/>
      <c r="AW144" s="89"/>
      <c r="AX144" s="152"/>
      <c r="AY144" s="153"/>
      <c r="AZ144" s="153"/>
      <c r="BA144" s="154"/>
      <c r="BB144" s="89"/>
      <c r="BC144" s="152"/>
      <c r="BD144" s="153"/>
      <c r="BE144" s="153"/>
      <c r="BF144" s="154"/>
      <c r="BG144" s="89"/>
      <c r="BH144" s="152"/>
      <c r="BI144" s="153"/>
      <c r="BJ144" s="153"/>
      <c r="BK144" s="154"/>
      <c r="BL144" s="89"/>
      <c r="BM144" s="152"/>
      <c r="BN144" s="153"/>
      <c r="BO144" s="153"/>
      <c r="BP144" s="154"/>
      <c r="BQ144" s="89"/>
      <c r="BR144" s="89"/>
      <c r="BS144" s="503"/>
      <c r="BT144" s="491"/>
      <c r="BU144" s="491"/>
      <c r="BV144" s="491"/>
      <c r="BW144" s="491"/>
      <c r="BX144" s="491"/>
      <c r="BY144" s="491"/>
      <c r="BZ144" s="497"/>
      <c r="CA144" s="497"/>
      <c r="CB144" s="497"/>
      <c r="CC144" s="497"/>
      <c r="CD144" s="497"/>
      <c r="CE144" s="497"/>
      <c r="CF144" s="497"/>
    </row>
    <row r="145" spans="1:84" s="81" customFormat="1">
      <c r="A145" s="202"/>
      <c r="B145" s="490"/>
      <c r="C145" s="1187" t="s">
        <v>220</v>
      </c>
      <c r="E145" s="288"/>
      <c r="F145" s="289"/>
      <c r="G145" s="289"/>
      <c r="H145" s="299"/>
      <c r="I145" s="298"/>
      <c r="J145" s="296"/>
      <c r="K145" s="297"/>
      <c r="L145" s="297"/>
      <c r="M145" s="290"/>
      <c r="N145" s="298"/>
      <c r="O145" s="296"/>
      <c r="P145" s="297"/>
      <c r="Q145" s="297"/>
      <c r="R145" s="290"/>
      <c r="S145" s="298"/>
      <c r="T145" s="296"/>
      <c r="U145" s="297"/>
      <c r="V145" s="297"/>
      <c r="W145" s="317"/>
      <c r="X145" s="315"/>
      <c r="Y145" s="316">
        <f>Y33+Transmission!Y33</f>
        <v>261</v>
      </c>
      <c r="Z145" s="312">
        <f>Z33+Transmission!Z33</f>
        <v>230</v>
      </c>
      <c r="AA145" s="312">
        <f>AA33+Transmission!AA33</f>
        <v>139</v>
      </c>
      <c r="AB145" s="317">
        <f>AB33+Transmission!AB33</f>
        <v>85</v>
      </c>
      <c r="AC145" s="315">
        <f>SUM(Y145:AB145)</f>
        <v>715</v>
      </c>
      <c r="AD145" s="316">
        <f>AD33+Transmission!AD33</f>
        <v>265</v>
      </c>
      <c r="AE145" s="312">
        <f>AE33+Transmission!AE33</f>
        <v>221</v>
      </c>
      <c r="AF145" s="312">
        <f>AF33+Transmission!AF33</f>
        <v>282</v>
      </c>
      <c r="AG145" s="317">
        <f>AG33+Transmission!AG33</f>
        <v>-77</v>
      </c>
      <c r="AH145" s="315">
        <f>SUM(AD145:AG145)</f>
        <v>691</v>
      </c>
      <c r="AI145" s="316">
        <f>AI33+Transmission!AI33</f>
        <v>280</v>
      </c>
      <c r="AJ145" s="312">
        <f>AJ33+Transmission!AJ33</f>
        <v>245</v>
      </c>
      <c r="AK145" s="312">
        <f>AK33+Transmission!AK33</f>
        <v>304</v>
      </c>
      <c r="AL145" s="317">
        <f>AL33+Transmission!AL33</f>
        <v>89</v>
      </c>
      <c r="AM145" s="315">
        <f>SUM(AI145:AL145)</f>
        <v>918</v>
      </c>
      <c r="AN145" s="316">
        <f>AN33+Transmission!AN33</f>
        <v>239</v>
      </c>
      <c r="AO145" s="312">
        <f>AO33+Transmission!AO33</f>
        <v>217</v>
      </c>
      <c r="AP145" s="312">
        <f>AP33+Transmission!AP33</f>
        <v>361</v>
      </c>
      <c r="AQ145" s="317">
        <f>AQ33+Transmission!AQ33</f>
        <v>166</v>
      </c>
      <c r="AR145" s="315">
        <f>SUM(AN145:AQ145)</f>
        <v>983</v>
      </c>
      <c r="AS145" s="316">
        <f>AS33+Transmission!AS33</f>
        <v>325</v>
      </c>
      <c r="AT145" s="312">
        <f>AT33+Transmission!AT33</f>
        <v>297</v>
      </c>
      <c r="AU145" s="312">
        <f>AU33+Transmission!AU33</f>
        <v>406</v>
      </c>
      <c r="AV145" s="2186">
        <f>AV33+Transmission!AV33</f>
        <v>255</v>
      </c>
      <c r="AW145" s="2187">
        <f>SUM(AS145:AV145)</f>
        <v>1283</v>
      </c>
      <c r="AX145" s="316">
        <f>AX33+Transmission!AX33</f>
        <v>406.45346618273459</v>
      </c>
      <c r="AY145" s="312">
        <f>AY33+Transmission!AY33</f>
        <v>350.19967266663593</v>
      </c>
      <c r="AZ145" s="312">
        <f>AZ33+Transmission!AZ33</f>
        <v>441.85676222232865</v>
      </c>
      <c r="BA145" s="317">
        <f>BA33+Transmission!BA33</f>
        <v>384.8755971959265</v>
      </c>
      <c r="BB145" s="315">
        <f>SUM(AX145:BA145)</f>
        <v>1583.3854982676257</v>
      </c>
      <c r="BC145" s="316">
        <f>BC33+Transmission!BC33</f>
        <v>430.20622772278608</v>
      </c>
      <c r="BD145" s="312">
        <f>BD33+Transmission!BD33</f>
        <v>370.81521325966048</v>
      </c>
      <c r="BE145" s="312">
        <f>BE33+Transmission!BE33</f>
        <v>462.25795201986114</v>
      </c>
      <c r="BF145" s="317">
        <f>BF33+Transmission!BF33</f>
        <v>402.90724241965859</v>
      </c>
      <c r="BG145" s="315">
        <f>SUM(BC145:BF145)</f>
        <v>1666.1866354219662</v>
      </c>
      <c r="BH145" s="316">
        <f>BH33+Transmission!BH33</f>
        <v>412.3756841937643</v>
      </c>
      <c r="BI145" s="312">
        <f>BI33+Transmission!BI33</f>
        <v>348.42117209116088</v>
      </c>
      <c r="BJ145" s="312">
        <f>BJ33+Transmission!BJ33</f>
        <v>443.69842871783595</v>
      </c>
      <c r="BK145" s="317">
        <f>BK33+Transmission!BK33</f>
        <v>384.49010232510341</v>
      </c>
      <c r="BL145" s="315">
        <f>SUM(BH145:BK145)</f>
        <v>1588.9853873278646</v>
      </c>
      <c r="BM145" s="316">
        <f>BM33+Transmission!BM33</f>
        <v>434.35610427872723</v>
      </c>
      <c r="BN145" s="312">
        <f>BN33+Transmission!BN33</f>
        <v>366.00914572628483</v>
      </c>
      <c r="BO145" s="312">
        <f>BO33+Transmission!BO33</f>
        <v>467.33850987619053</v>
      </c>
      <c r="BP145" s="317">
        <f>BP33+Transmission!BP33</f>
        <v>408.33111794249726</v>
      </c>
      <c r="BQ145" s="315">
        <f>SUM(BM145:BP145)</f>
        <v>1676.0348778236998</v>
      </c>
      <c r="BR145" s="315"/>
      <c r="BS145" s="499"/>
      <c r="BT145" s="497"/>
      <c r="BU145" s="497"/>
      <c r="BV145" s="497"/>
      <c r="BW145" s="497"/>
      <c r="BX145" s="497"/>
      <c r="BY145" s="497"/>
      <c r="BZ145" s="497"/>
      <c r="CA145" s="497"/>
      <c r="CB145" s="497"/>
      <c r="CC145" s="497"/>
      <c r="CD145" s="497"/>
      <c r="CE145" s="497"/>
      <c r="CF145" s="497"/>
    </row>
    <row r="146" spans="1:84" s="81" customFormat="1">
      <c r="A146" s="202"/>
      <c r="B146" s="221"/>
      <c r="C146" s="1187" t="s">
        <v>873</v>
      </c>
      <c r="E146" s="288"/>
      <c r="F146" s="289"/>
      <c r="G146" s="289"/>
      <c r="H146" s="299"/>
      <c r="I146" s="298"/>
      <c r="J146" s="296"/>
      <c r="K146" s="297"/>
      <c r="L146" s="297"/>
      <c r="M146" s="290"/>
      <c r="N146" s="298"/>
      <c r="O146" s="296"/>
      <c r="P146" s="297"/>
      <c r="Q146" s="297"/>
      <c r="R146" s="290"/>
      <c r="S146" s="298"/>
      <c r="T146" s="296"/>
      <c r="U146" s="297"/>
      <c r="V146" s="297"/>
      <c r="W146" s="317"/>
      <c r="X146" s="315"/>
      <c r="Y146" s="316">
        <f>Y13+Transmission!Y11</f>
        <v>172</v>
      </c>
      <c r="Z146" s="312">
        <f>Z13+Transmission!Z11</f>
        <v>179</v>
      </c>
      <c r="AA146" s="312">
        <f>AA13+Transmission!AA11</f>
        <v>179</v>
      </c>
      <c r="AB146" s="317">
        <f>AB13+Transmission!AB11</f>
        <v>190</v>
      </c>
      <c r="AC146" s="315">
        <f>AC13+Transmission!AC11</f>
        <v>720</v>
      </c>
      <c r="AD146" s="316">
        <f>AD13+Transmission!AD11</f>
        <v>192</v>
      </c>
      <c r="AE146" s="312">
        <f>AE13+Transmission!AE11</f>
        <v>194</v>
      </c>
      <c r="AF146" s="312">
        <f>AF13+Transmission!AF11</f>
        <v>198</v>
      </c>
      <c r="AG146" s="317">
        <f>AG13+Transmission!AG11</f>
        <v>201</v>
      </c>
      <c r="AH146" s="315">
        <f>AH13+Transmission!AH11</f>
        <v>785</v>
      </c>
      <c r="AI146" s="316">
        <f>AI13+Transmission!AI11</f>
        <v>209</v>
      </c>
      <c r="AJ146" s="312">
        <f>AJ13+Transmission!AJ11</f>
        <v>208</v>
      </c>
      <c r="AK146" s="312">
        <f>AK13+Transmission!AK11</f>
        <v>215</v>
      </c>
      <c r="AL146" s="317">
        <f>AL13+Transmission!AL11</f>
        <v>196</v>
      </c>
      <c r="AM146" s="315">
        <f>AM13+Transmission!AM11</f>
        <v>828</v>
      </c>
      <c r="AN146" s="316">
        <f>AN13+Transmission!AN11</f>
        <v>212</v>
      </c>
      <c r="AO146" s="312">
        <f>AO13+Transmission!AO11</f>
        <v>214</v>
      </c>
      <c r="AP146" s="312">
        <f>AP13+Transmission!AP11</f>
        <v>216</v>
      </c>
      <c r="AQ146" s="317">
        <f>AQ13+Transmission!AQ11</f>
        <v>221</v>
      </c>
      <c r="AR146" s="315">
        <f>AR13+Transmission!AR11</f>
        <v>863</v>
      </c>
      <c r="AS146" s="316">
        <f>AS13+Transmission!AS11</f>
        <v>229</v>
      </c>
      <c r="AT146" s="312">
        <f>AT13+Transmission!AT11</f>
        <v>233</v>
      </c>
      <c r="AU146" s="312">
        <f>AU13+Transmission!AU11</f>
        <v>242</v>
      </c>
      <c r="AV146" s="2186">
        <f>AV13+Transmission!AV11</f>
        <v>244</v>
      </c>
      <c r="AW146" s="2187">
        <f>AW13+Transmission!AW11</f>
        <v>948</v>
      </c>
      <c r="AX146" s="316">
        <f>AX13+Transmission!AX11</f>
        <v>244.18645833333335</v>
      </c>
      <c r="AY146" s="312">
        <f>AY13+Transmission!AY11</f>
        <v>248.37291666666667</v>
      </c>
      <c r="AZ146" s="312">
        <f>AZ13+Transmission!AZ11</f>
        <v>252.55937499999999</v>
      </c>
      <c r="BA146" s="317">
        <f>BA13+Transmission!BA11</f>
        <v>256.74583333333334</v>
      </c>
      <c r="BB146" s="315">
        <f>BB13+Transmission!BB11</f>
        <v>1001.8645833333333</v>
      </c>
      <c r="BC146" s="316">
        <f>BC13+Transmission!BC11</f>
        <v>260.93229166666663</v>
      </c>
      <c r="BD146" s="312">
        <f>BD13+Transmission!BD11</f>
        <v>265.11874999999998</v>
      </c>
      <c r="BE146" s="312">
        <f>BE13+Transmission!BE11</f>
        <v>269.30520833333333</v>
      </c>
      <c r="BF146" s="317">
        <f>BF13+Transmission!BF11</f>
        <v>273.49166666666667</v>
      </c>
      <c r="BG146" s="315">
        <f>BG13+Transmission!BG11</f>
        <v>1068.8479166666666</v>
      </c>
      <c r="BH146" s="316">
        <f>BH13+Transmission!BH11</f>
        <v>277.67812500000002</v>
      </c>
      <c r="BI146" s="312">
        <f>BI13+Transmission!BI11</f>
        <v>281.86458333333331</v>
      </c>
      <c r="BJ146" s="312">
        <f>BJ13+Transmission!BJ11</f>
        <v>286.05104166666666</v>
      </c>
      <c r="BK146" s="317">
        <f>BK13+Transmission!BK11</f>
        <v>290.23750000000001</v>
      </c>
      <c r="BL146" s="315">
        <f>BL13+Transmission!BL11</f>
        <v>1135.83125</v>
      </c>
      <c r="BM146" s="316">
        <f>BM13+Transmission!BM11</f>
        <v>294.4239583333333</v>
      </c>
      <c r="BN146" s="312">
        <f>BN13+Transmission!BN11</f>
        <v>298.61041666666665</v>
      </c>
      <c r="BO146" s="312">
        <f>BO13+Transmission!BO11</f>
        <v>302.796875</v>
      </c>
      <c r="BP146" s="317">
        <f>BP13+Transmission!BP11</f>
        <v>306.98333333333335</v>
      </c>
      <c r="BQ146" s="315">
        <f>BQ13+Transmission!BQ11</f>
        <v>1202.8145833333333</v>
      </c>
      <c r="BR146" s="315"/>
      <c r="BS146" s="497"/>
      <c r="BT146" s="497"/>
      <c r="BU146" s="497"/>
      <c r="BV146" s="497"/>
      <c r="BW146" s="497"/>
      <c r="BX146" s="497"/>
      <c r="BY146" s="497"/>
      <c r="BZ146" s="497"/>
      <c r="CA146" s="497"/>
      <c r="CB146" s="497"/>
      <c r="CC146" s="497"/>
      <c r="CD146" s="497"/>
      <c r="CE146" s="497"/>
      <c r="CF146" s="497"/>
    </row>
    <row r="147" spans="1:84" s="81" customFormat="1">
      <c r="A147" s="202"/>
      <c r="B147" s="221"/>
      <c r="C147" s="1187" t="s">
        <v>222</v>
      </c>
      <c r="E147" s="288"/>
      <c r="F147" s="289"/>
      <c r="G147" s="289"/>
      <c r="H147" s="299"/>
      <c r="I147" s="315"/>
      <c r="J147" s="667"/>
      <c r="K147" s="485"/>
      <c r="L147" s="485"/>
      <c r="M147" s="486"/>
      <c r="N147" s="315"/>
      <c r="O147" s="667"/>
      <c r="P147" s="485"/>
      <c r="Q147" s="485"/>
      <c r="R147" s="486"/>
      <c r="S147" s="315"/>
      <c r="T147" s="296"/>
      <c r="U147" s="297"/>
      <c r="V147" s="297"/>
      <c r="W147" s="486"/>
      <c r="X147" s="315"/>
      <c r="Y147" s="296">
        <f>AC147/4</f>
        <v>43.71875</v>
      </c>
      <c r="Z147" s="297">
        <f>AC147/4</f>
        <v>43.71875</v>
      </c>
      <c r="AA147" s="297">
        <f>AC147/4</f>
        <v>43.71875</v>
      </c>
      <c r="AB147" s="290">
        <f>AC147/4</f>
        <v>43.71875</v>
      </c>
      <c r="AC147" s="730">
        <f>(AC127+Transmission!AC83)*0.5*0.25</f>
        <v>174.875</v>
      </c>
      <c r="AD147" s="296">
        <f>AH147/4</f>
        <v>71.90625</v>
      </c>
      <c r="AE147" s="297">
        <f>AH147/4</f>
        <v>71.90625</v>
      </c>
      <c r="AF147" s="297">
        <f>AH147/4</f>
        <v>71.90625</v>
      </c>
      <c r="AG147" s="290">
        <f>AH147/4</f>
        <v>71.90625</v>
      </c>
      <c r="AH147" s="730">
        <f>(AH127+Transmission!AH83)*0.5*0.25</f>
        <v>287.625</v>
      </c>
      <c r="AI147" s="296">
        <f>AM147/4</f>
        <v>0</v>
      </c>
      <c r="AJ147" s="297">
        <f>AM147/4</f>
        <v>0</v>
      </c>
      <c r="AK147" s="297">
        <f>AM147/4</f>
        <v>0</v>
      </c>
      <c r="AL147" s="486">
        <v>0</v>
      </c>
      <c r="AM147" s="730">
        <v>0</v>
      </c>
      <c r="AN147" s="296">
        <f>AR147/4</f>
        <v>0</v>
      </c>
      <c r="AO147" s="297">
        <f>AR147/4</f>
        <v>0</v>
      </c>
      <c r="AP147" s="297">
        <f>AR147/4</f>
        <v>0</v>
      </c>
      <c r="AQ147" s="486">
        <v>0</v>
      </c>
      <c r="AR147" s="730">
        <v>0</v>
      </c>
      <c r="AS147" s="296">
        <f>AW147/4</f>
        <v>97.168749999999989</v>
      </c>
      <c r="AT147" s="312">
        <f>AS147</f>
        <v>97.168749999999989</v>
      </c>
      <c r="AU147" s="297">
        <f>AT147</f>
        <v>97.168749999999989</v>
      </c>
      <c r="AV147" s="2306">
        <f>AW147-SUM(AS147:AU147)</f>
        <v>97.168749999999989</v>
      </c>
      <c r="AW147" s="2310">
        <f>-AW151*0.5*0.35</f>
        <v>388.67499999999995</v>
      </c>
      <c r="AX147" s="296">
        <f>BB147/4</f>
        <v>92.75</v>
      </c>
      <c r="AY147" s="297">
        <f>(BB147-AX147)/3</f>
        <v>92.75</v>
      </c>
      <c r="AZ147" s="297">
        <f>(BB147-SUM(AX147:AY147))/2</f>
        <v>92.75</v>
      </c>
      <c r="BA147" s="290">
        <f>BB147-SUM(AX147:AZ147)</f>
        <v>92.75</v>
      </c>
      <c r="BB147" s="730">
        <f>-BB151*0.4*0.35</f>
        <v>371</v>
      </c>
      <c r="BC147" s="296">
        <f>BG147/4</f>
        <v>69.5625</v>
      </c>
      <c r="BD147" s="297">
        <f>(BG147-BC147)/3</f>
        <v>69.5625</v>
      </c>
      <c r="BE147" s="297">
        <f>(BG147-SUM(BC147:BD147))/2</f>
        <v>69.5625</v>
      </c>
      <c r="BF147" s="290">
        <f>BG147-SUM(BC147:BE147)</f>
        <v>69.5625</v>
      </c>
      <c r="BG147" s="730">
        <f>-BG151*0.3*0.35</f>
        <v>278.25</v>
      </c>
      <c r="BH147" s="667">
        <v>0</v>
      </c>
      <c r="BI147" s="485">
        <v>0</v>
      </c>
      <c r="BJ147" s="485">
        <v>0</v>
      </c>
      <c r="BK147" s="486">
        <v>0</v>
      </c>
      <c r="BL147" s="730">
        <v>0</v>
      </c>
      <c r="BM147" s="667">
        <v>0</v>
      </c>
      <c r="BN147" s="485">
        <v>0</v>
      </c>
      <c r="BO147" s="485">
        <v>0</v>
      </c>
      <c r="BP147" s="486">
        <v>0</v>
      </c>
      <c r="BQ147" s="730">
        <v>0</v>
      </c>
      <c r="BR147" s="315"/>
      <c r="BS147" s="497"/>
      <c r="BT147" s="497"/>
      <c r="BU147" s="497"/>
      <c r="BV147" s="497"/>
      <c r="BW147" s="497"/>
      <c r="BX147" s="497"/>
      <c r="BY147" s="497"/>
      <c r="BZ147" s="497"/>
      <c r="CA147" s="497"/>
      <c r="CB147" s="497"/>
      <c r="CC147" s="497"/>
      <c r="CD147" s="497"/>
      <c r="CE147" s="497"/>
      <c r="CF147" s="497"/>
    </row>
    <row r="148" spans="1:84" s="81" customFormat="1">
      <c r="A148" s="202"/>
      <c r="B148" s="221"/>
      <c r="C148" s="1187" t="s">
        <v>844</v>
      </c>
      <c r="E148" s="288"/>
      <c r="F148" s="289"/>
      <c r="G148" s="289"/>
      <c r="H148" s="299"/>
      <c r="I148" s="298"/>
      <c r="J148" s="296"/>
      <c r="K148" s="297"/>
      <c r="L148" s="297"/>
      <c r="M148" s="290"/>
      <c r="N148" s="298"/>
      <c r="O148" s="296"/>
      <c r="P148" s="297"/>
      <c r="Q148" s="297"/>
      <c r="R148" s="290"/>
      <c r="S148" s="298"/>
      <c r="T148" s="296"/>
      <c r="U148" s="297"/>
      <c r="V148" s="297"/>
      <c r="W148" s="290"/>
      <c r="X148" s="315"/>
      <c r="Y148" s="504">
        <f>Y14</f>
        <v>58</v>
      </c>
      <c r="Z148" s="505">
        <f>Z14</f>
        <v>69</v>
      </c>
      <c r="AA148" s="505">
        <f>AA14</f>
        <v>55</v>
      </c>
      <c r="AB148" s="506">
        <f>AB14</f>
        <v>347</v>
      </c>
      <c r="AC148" s="315">
        <f>SUM(Y148:AB148)</f>
        <v>529</v>
      </c>
      <c r="AD148" s="504">
        <f>AD14</f>
        <v>-31</v>
      </c>
      <c r="AE148" s="505">
        <f>AE14</f>
        <v>16</v>
      </c>
      <c r="AF148" s="505">
        <f>AF14</f>
        <v>33</v>
      </c>
      <c r="AG148" s="506">
        <f>AG14</f>
        <v>-17</v>
      </c>
      <c r="AH148" s="315">
        <f>SUM(AD148:AG148)</f>
        <v>1</v>
      </c>
      <c r="AI148" s="504">
        <f>AI14</f>
        <v>29</v>
      </c>
      <c r="AJ148" s="505">
        <f>AJ14</f>
        <v>57</v>
      </c>
      <c r="AK148" s="505">
        <f>AK14</f>
        <v>110</v>
      </c>
      <c r="AL148" s="506">
        <f>AL14</f>
        <v>65</v>
      </c>
      <c r="AM148" s="315">
        <f>SUM(AI148:AL148)</f>
        <v>261</v>
      </c>
      <c r="AN148" s="504">
        <f>AN14</f>
        <v>59</v>
      </c>
      <c r="AO148" s="505">
        <f>AO14</f>
        <v>61</v>
      </c>
      <c r="AP148" s="505">
        <f>AP14</f>
        <v>98</v>
      </c>
      <c r="AQ148" s="506">
        <f>AQ14</f>
        <v>95</v>
      </c>
      <c r="AR148" s="315">
        <f>SUM(AN148:AQ148)</f>
        <v>313</v>
      </c>
      <c r="AS148" s="504">
        <f>AS14</f>
        <v>57</v>
      </c>
      <c r="AT148" s="505">
        <f t="shared" ref="AT148:AU148" si="241">AT14</f>
        <v>62</v>
      </c>
      <c r="AU148" s="505">
        <f t="shared" si="241"/>
        <v>85</v>
      </c>
      <c r="AV148" s="2311">
        <f>AV14</f>
        <v>88</v>
      </c>
      <c r="AW148" s="2187">
        <f>SUM(AS148:AV148)</f>
        <v>292</v>
      </c>
      <c r="AX148" s="296">
        <f>BB148/4</f>
        <v>-69.166666666666671</v>
      </c>
      <c r="AY148" s="297">
        <f>(BB148-AX148)/3</f>
        <v>-69.166666666666671</v>
      </c>
      <c r="AZ148" s="297">
        <f>(BB148-SUM(AX148:AY148))/2</f>
        <v>-69.166666666666671</v>
      </c>
      <c r="BA148" s="290">
        <f>BB148-SUM(AX148:AZ148)</f>
        <v>-69.166666666666686</v>
      </c>
      <c r="BB148" s="730">
        <f>-200-(2300/30)</f>
        <v>-276.66666666666669</v>
      </c>
      <c r="BC148" s="296">
        <f>BG148/4</f>
        <v>-69.166666666666671</v>
      </c>
      <c r="BD148" s="297">
        <f>(BG148-BC148)/3</f>
        <v>-69.166666666666671</v>
      </c>
      <c r="BE148" s="297">
        <f>(BG148-SUM(BC148:BD148))/2</f>
        <v>-69.166666666666671</v>
      </c>
      <c r="BF148" s="290">
        <f>BG148-SUM(BC148:BE148)</f>
        <v>-69.166666666666686</v>
      </c>
      <c r="BG148" s="730">
        <f>-200-(2300/30)</f>
        <v>-276.66666666666669</v>
      </c>
      <c r="BH148" s="296">
        <f>BL148/4</f>
        <v>-19.166666666666668</v>
      </c>
      <c r="BI148" s="297">
        <f>(BL148-BH148)/3</f>
        <v>-19.166666666666668</v>
      </c>
      <c r="BJ148" s="297">
        <f>(BL148-SUM(BH148:BI148))/2</f>
        <v>-19.166666666666668</v>
      </c>
      <c r="BK148" s="290">
        <f>BL148-SUM(BH148:BJ148)</f>
        <v>-19.166666666666671</v>
      </c>
      <c r="BL148" s="730">
        <f>-(2300/30)</f>
        <v>-76.666666666666671</v>
      </c>
      <c r="BM148" s="296">
        <f>BQ148/4</f>
        <v>-19.166666666666668</v>
      </c>
      <c r="BN148" s="297">
        <f>(BQ148-BM148)/3</f>
        <v>-19.166666666666668</v>
      </c>
      <c r="BO148" s="297">
        <f>(BQ148-SUM(BM148:BN148))/2</f>
        <v>-19.166666666666668</v>
      </c>
      <c r="BP148" s="290">
        <f>BQ148-SUM(BM148:BO148)</f>
        <v>-19.166666666666671</v>
      </c>
      <c r="BQ148" s="730">
        <f>-(2300/30)</f>
        <v>-76.666666666666671</v>
      </c>
      <c r="BR148" s="315"/>
      <c r="BS148"/>
      <c r="BT148" s="497"/>
      <c r="BU148" s="497"/>
      <c r="BV148" s="497"/>
      <c r="BW148" s="497"/>
      <c r="BX148" s="497"/>
      <c r="BY148" s="497"/>
      <c r="BZ148" s="497"/>
      <c r="CA148" s="497"/>
      <c r="CB148" s="497"/>
      <c r="CC148" s="497"/>
      <c r="CD148" s="497"/>
      <c r="CE148" s="497"/>
      <c r="CF148" s="497"/>
    </row>
    <row r="149" spans="1:84" s="81" customFormat="1">
      <c r="A149" s="202"/>
      <c r="B149" s="221"/>
      <c r="C149" s="1197" t="s">
        <v>224</v>
      </c>
      <c r="E149" s="305"/>
      <c r="F149" s="306"/>
      <c r="G149" s="306"/>
      <c r="H149" s="307"/>
      <c r="I149" s="320"/>
      <c r="J149" s="318"/>
      <c r="K149" s="319"/>
      <c r="L149" s="319"/>
      <c r="M149" s="314"/>
      <c r="N149" s="320"/>
      <c r="O149" s="318"/>
      <c r="P149" s="319"/>
      <c r="Q149" s="319"/>
      <c r="R149" s="314"/>
      <c r="S149" s="320"/>
      <c r="T149" s="318"/>
      <c r="U149" s="319"/>
      <c r="V149" s="319"/>
      <c r="W149" s="307"/>
      <c r="X149" s="308"/>
      <c r="Y149" s="305">
        <f t="shared" ref="Y149:AM149" si="242">+SUM(Y145:Y148)</f>
        <v>534.71875</v>
      </c>
      <c r="Z149" s="306">
        <f t="shared" si="242"/>
        <v>521.71875</v>
      </c>
      <c r="AA149" s="306">
        <f t="shared" si="242"/>
        <v>416.71875</v>
      </c>
      <c r="AB149" s="307">
        <f>+SUM(AB145:AB148)</f>
        <v>665.71875</v>
      </c>
      <c r="AC149" s="308">
        <f>+SUM(AC145:AC148)</f>
        <v>2138.875</v>
      </c>
      <c r="AD149" s="305">
        <f t="shared" si="242"/>
        <v>497.90625</v>
      </c>
      <c r="AE149" s="306">
        <f t="shared" si="242"/>
        <v>502.90625</v>
      </c>
      <c r="AF149" s="306">
        <f>+SUM(AF145:AF148)</f>
        <v>584.90625</v>
      </c>
      <c r="AG149" s="307">
        <f>+SUM(AG145:AG148)</f>
        <v>178.90625</v>
      </c>
      <c r="AH149" s="308">
        <f t="shared" si="242"/>
        <v>1764.625</v>
      </c>
      <c r="AI149" s="305">
        <f>+SUM(AI145:AI148)</f>
        <v>518</v>
      </c>
      <c r="AJ149" s="306">
        <f>+SUM(AJ145:AJ148)</f>
        <v>510</v>
      </c>
      <c r="AK149" s="306">
        <f>+SUM(AK145:AK148)</f>
        <v>629</v>
      </c>
      <c r="AL149" s="307">
        <f t="shared" si="242"/>
        <v>350</v>
      </c>
      <c r="AM149" s="308">
        <f t="shared" si="242"/>
        <v>2007</v>
      </c>
      <c r="AN149" s="305">
        <f>+SUM(AN145:AN148)</f>
        <v>510</v>
      </c>
      <c r="AO149" s="306">
        <f>+SUM(AO145:AO148)</f>
        <v>492</v>
      </c>
      <c r="AP149" s="306">
        <f>+SUM(AP145:AP148)</f>
        <v>675</v>
      </c>
      <c r="AQ149" s="307">
        <f t="shared" ref="AQ149:AS149" si="243">+SUM(AQ145:AQ148)</f>
        <v>482</v>
      </c>
      <c r="AR149" s="308">
        <f t="shared" si="243"/>
        <v>2159</v>
      </c>
      <c r="AS149" s="305">
        <f t="shared" si="243"/>
        <v>708.16875000000005</v>
      </c>
      <c r="AT149" s="306">
        <f t="shared" ref="AT149:AW149" si="244">+SUM(AT145:AT148)</f>
        <v>689.16875000000005</v>
      </c>
      <c r="AU149" s="306">
        <f t="shared" si="244"/>
        <v>830.16875000000005</v>
      </c>
      <c r="AV149" s="2309">
        <f t="shared" si="244"/>
        <v>684.16875000000005</v>
      </c>
      <c r="AW149" s="2308">
        <f t="shared" si="244"/>
        <v>2911.6750000000002</v>
      </c>
      <c r="AX149" s="305">
        <f t="shared" ref="AX149:BB149" si="245">+SUM(AX145:AX148)</f>
        <v>674.22325784940131</v>
      </c>
      <c r="AY149" s="306">
        <f t="shared" si="245"/>
        <v>622.155922666636</v>
      </c>
      <c r="AZ149" s="306">
        <f t="shared" si="245"/>
        <v>717.99947055566201</v>
      </c>
      <c r="BA149" s="307">
        <f t="shared" si="245"/>
        <v>665.20476386259315</v>
      </c>
      <c r="BB149" s="308">
        <f t="shared" si="245"/>
        <v>2679.5834149342923</v>
      </c>
      <c r="BC149" s="305">
        <f t="shared" ref="BC149:BL149" si="246">+SUM(BC145:BC148)</f>
        <v>691.53435272278614</v>
      </c>
      <c r="BD149" s="306">
        <f t="shared" si="246"/>
        <v>636.32979659299383</v>
      </c>
      <c r="BE149" s="306">
        <f t="shared" si="246"/>
        <v>731.95899368652783</v>
      </c>
      <c r="BF149" s="307">
        <f t="shared" si="246"/>
        <v>676.79474241965863</v>
      </c>
      <c r="BG149" s="308">
        <f t="shared" si="246"/>
        <v>2736.6178854219665</v>
      </c>
      <c r="BH149" s="305">
        <f t="shared" si="246"/>
        <v>670.88714252709769</v>
      </c>
      <c r="BI149" s="306">
        <f t="shared" si="246"/>
        <v>611.11908875782763</v>
      </c>
      <c r="BJ149" s="306">
        <f t="shared" si="246"/>
        <v>710.58280371783599</v>
      </c>
      <c r="BK149" s="307">
        <f t="shared" si="246"/>
        <v>655.56093565843673</v>
      </c>
      <c r="BL149" s="308">
        <f t="shared" si="246"/>
        <v>2648.149970661198</v>
      </c>
      <c r="BM149" s="305">
        <f t="shared" ref="BM149:BQ149" si="247">+SUM(BM145:BM148)</f>
        <v>709.6133959453939</v>
      </c>
      <c r="BN149" s="306">
        <f t="shared" si="247"/>
        <v>645.45289572628485</v>
      </c>
      <c r="BO149" s="306">
        <f t="shared" si="247"/>
        <v>750.9687182095239</v>
      </c>
      <c r="BP149" s="307">
        <f t="shared" si="247"/>
        <v>696.14778460916398</v>
      </c>
      <c r="BQ149" s="308">
        <f t="shared" si="247"/>
        <v>2802.1827944903666</v>
      </c>
      <c r="BR149" s="308"/>
      <c r="BT149" s="497"/>
      <c r="BU149" s="497"/>
      <c r="BV149" s="497"/>
      <c r="BW149" s="497"/>
      <c r="BX149" s="497"/>
      <c r="BY149" s="497"/>
      <c r="BZ149" s="497"/>
      <c r="CA149" s="497"/>
      <c r="CB149" s="497"/>
      <c r="CC149" s="497"/>
      <c r="CD149" s="497"/>
      <c r="CE149" s="497"/>
      <c r="CF149" s="497"/>
    </row>
    <row r="150" spans="1:84" s="81" customFormat="1">
      <c r="A150" s="202"/>
      <c r="B150" s="737"/>
      <c r="C150" s="1187"/>
      <c r="E150" s="316"/>
      <c r="F150" s="312"/>
      <c r="G150" s="312"/>
      <c r="H150" s="317"/>
      <c r="I150" s="324"/>
      <c r="J150" s="321"/>
      <c r="K150" s="322"/>
      <c r="L150" s="322"/>
      <c r="M150" s="323"/>
      <c r="N150" s="324"/>
      <c r="O150" s="321"/>
      <c r="P150" s="322"/>
      <c r="Q150" s="322"/>
      <c r="R150" s="323"/>
      <c r="S150" s="324"/>
      <c r="T150" s="321"/>
      <c r="U150" s="322"/>
      <c r="V150" s="322"/>
      <c r="W150" s="317"/>
      <c r="X150" s="315"/>
      <c r="Y150" s="316"/>
      <c r="Z150" s="312"/>
      <c r="AA150" s="312"/>
      <c r="AB150" s="317"/>
      <c r="AC150" s="315"/>
      <c r="AD150" s="316"/>
      <c r="AE150" s="312"/>
      <c r="AF150" s="312"/>
      <c r="AG150" s="317"/>
      <c r="AH150" s="315"/>
      <c r="AI150" s="316"/>
      <c r="AJ150" s="312"/>
      <c r="AK150" s="312"/>
      <c r="AL150" s="317"/>
      <c r="AM150" s="315"/>
      <c r="AN150" s="316"/>
      <c r="AO150" s="312"/>
      <c r="AP150" s="312"/>
      <c r="AQ150" s="317"/>
      <c r="AR150" s="315"/>
      <c r="AS150" s="316"/>
      <c r="AT150" s="312"/>
      <c r="AU150" s="312"/>
      <c r="AV150" s="2186"/>
      <c r="AW150" s="2187"/>
      <c r="AX150" s="316"/>
      <c r="AY150" s="312"/>
      <c r="AZ150" s="312"/>
      <c r="BA150" s="317"/>
      <c r="BB150" s="315"/>
      <c r="BC150" s="316"/>
      <c r="BD150" s="312"/>
      <c r="BE150" s="312"/>
      <c r="BF150" s="317"/>
      <c r="BG150" s="315"/>
      <c r="BH150" s="316"/>
      <c r="BI150" s="312"/>
      <c r="BJ150" s="312"/>
      <c r="BK150" s="317"/>
      <c r="BL150" s="315"/>
      <c r="BM150" s="316"/>
      <c r="BN150" s="312"/>
      <c r="BO150" s="312"/>
      <c r="BP150" s="317"/>
      <c r="BQ150" s="315"/>
      <c r="BR150" s="315"/>
      <c r="BT150" s="497"/>
      <c r="BU150" s="497"/>
      <c r="BV150" s="497"/>
      <c r="BW150" s="497"/>
      <c r="BX150" s="497"/>
      <c r="BY150" s="497"/>
      <c r="BZ150" s="497"/>
      <c r="CA150" s="497"/>
      <c r="CB150" s="497"/>
      <c r="CC150" s="497"/>
      <c r="CD150" s="497"/>
      <c r="CE150" s="497"/>
      <c r="CF150" s="497"/>
    </row>
    <row r="151" spans="1:84" s="81" customFormat="1">
      <c r="A151" s="202"/>
      <c r="B151" s="490"/>
      <c r="C151" s="1187" t="s">
        <v>256</v>
      </c>
      <c r="E151" s="288"/>
      <c r="F151" s="289"/>
      <c r="G151" s="289"/>
      <c r="H151" s="299"/>
      <c r="I151" s="298"/>
      <c r="J151" s="296"/>
      <c r="K151" s="297"/>
      <c r="L151" s="297"/>
      <c r="M151" s="290"/>
      <c r="N151" s="298"/>
      <c r="O151" s="296"/>
      <c r="P151" s="297"/>
      <c r="Q151" s="297"/>
      <c r="R151" s="290"/>
      <c r="S151" s="298"/>
      <c r="T151" s="296"/>
      <c r="U151" s="297"/>
      <c r="V151" s="297"/>
      <c r="W151" s="317"/>
      <c r="X151" s="315"/>
      <c r="Y151" s="316">
        <f>-Y127+-Transmission!Y83</f>
        <v>-355</v>
      </c>
      <c r="Z151" s="312">
        <f>-Z127+-Transmission!Z83</f>
        <v>-274</v>
      </c>
      <c r="AA151" s="312">
        <f>-AA127+-Transmission!AA83</f>
        <v>-413</v>
      </c>
      <c r="AB151" s="317">
        <f>-AB127+-Transmission!AB83</f>
        <v>-357</v>
      </c>
      <c r="AC151" s="315">
        <f>SUM(Y151:AB151)</f>
        <v>-1399</v>
      </c>
      <c r="AD151" s="316">
        <f>-AD127+-Transmission!AD83</f>
        <v>-486</v>
      </c>
      <c r="AE151" s="312">
        <f>-AE127+-Transmission!AE83</f>
        <v>-724</v>
      </c>
      <c r="AF151" s="312">
        <f>-AF127+-Transmission!AF83</f>
        <v>-550</v>
      </c>
      <c r="AG151" s="317">
        <f>-AG127+-Transmission!AG83</f>
        <v>-541</v>
      </c>
      <c r="AH151" s="315">
        <f>SUM(AD151:AG151)</f>
        <v>-2301</v>
      </c>
      <c r="AI151" s="316">
        <f>-AI127+-Transmission!AI83</f>
        <v>-534</v>
      </c>
      <c r="AJ151" s="312">
        <f>-AJ127+-Transmission!AJ83</f>
        <v>-609</v>
      </c>
      <c r="AK151" s="312">
        <f>-AK127+-Transmission!AK83</f>
        <v>-441</v>
      </c>
      <c r="AL151" s="317">
        <f>-AL127+-Transmission!AL83</f>
        <v>-476</v>
      </c>
      <c r="AM151" s="315">
        <f>SUM(AI151:AL151)</f>
        <v>-2060</v>
      </c>
      <c r="AN151" s="316">
        <f>-AN127+-Transmission!AN83</f>
        <v>-520</v>
      </c>
      <c r="AO151" s="312">
        <f>-AO127+-Transmission!AO83</f>
        <v>-564</v>
      </c>
      <c r="AP151" s="312">
        <f>-AP127+-Transmission!AP83</f>
        <v>-549</v>
      </c>
      <c r="AQ151" s="317">
        <f>-AQ127+-Transmission!AQ83</f>
        <v>-531</v>
      </c>
      <c r="AR151" s="315">
        <f>SUM(AN151:AQ151)</f>
        <v>-2164</v>
      </c>
      <c r="AS151" s="316">
        <f>-AS127+-Transmission!AS83</f>
        <v>-488</v>
      </c>
      <c r="AT151" s="312">
        <f>-AT127+-Transmission!AT83</f>
        <v>-549</v>
      </c>
      <c r="AU151" s="312">
        <f>-AU127+-Transmission!AU83</f>
        <v>-534</v>
      </c>
      <c r="AV151" s="2186">
        <f>-AV127+-Transmission!AV83</f>
        <v>-650</v>
      </c>
      <c r="AW151" s="2187">
        <f>SUM(AS151:AV151)</f>
        <v>-2221</v>
      </c>
      <c r="AX151" s="316">
        <f>-AX127+-Transmission!AX83</f>
        <v>-662.5</v>
      </c>
      <c r="AY151" s="312">
        <f>-AY127+-Transmission!AY83</f>
        <v>-662.5</v>
      </c>
      <c r="AZ151" s="312">
        <f>-AZ127+-Transmission!AZ83</f>
        <v>-662.5</v>
      </c>
      <c r="BA151" s="317">
        <f>-BA127+-Transmission!BA83</f>
        <v>-662.5</v>
      </c>
      <c r="BB151" s="315">
        <f>SUM(AX151:BA151)</f>
        <v>-2650</v>
      </c>
      <c r="BC151" s="316">
        <f>-BC127+-Transmission!BC83</f>
        <v>-662.5</v>
      </c>
      <c r="BD151" s="312">
        <f>-BD127+-Transmission!BD83</f>
        <v>-662.5</v>
      </c>
      <c r="BE151" s="312">
        <f>-BE127+-Transmission!BE83</f>
        <v>-662.5</v>
      </c>
      <c r="BF151" s="317">
        <f>-BF127+-Transmission!BF83</f>
        <v>-662.5</v>
      </c>
      <c r="BG151" s="315">
        <f>SUM(BC151:BF151)</f>
        <v>-2650</v>
      </c>
      <c r="BH151" s="316">
        <f>-BH127+-Transmission!BH83</f>
        <v>-662.5</v>
      </c>
      <c r="BI151" s="312">
        <f>-BI127+-Transmission!BI83</f>
        <v>-662.5</v>
      </c>
      <c r="BJ151" s="312">
        <f>-BJ127+-Transmission!BJ83</f>
        <v>-662.5</v>
      </c>
      <c r="BK151" s="317">
        <f>-BK127+-Transmission!BK83</f>
        <v>-662.5</v>
      </c>
      <c r="BL151" s="315">
        <f>SUM(BH151:BK151)</f>
        <v>-2650</v>
      </c>
      <c r="BM151" s="316">
        <f>-BM127+-Transmission!BM83</f>
        <v>-662.5</v>
      </c>
      <c r="BN151" s="312">
        <f>-BN127+-Transmission!BN83</f>
        <v>-662.5</v>
      </c>
      <c r="BO151" s="312">
        <f>-BO127+-Transmission!BO83</f>
        <v>-662.5</v>
      </c>
      <c r="BP151" s="317">
        <f>-BP127+-Transmission!BP83</f>
        <v>-662.5</v>
      </c>
      <c r="BQ151" s="315">
        <f>SUM(BM151:BP151)</f>
        <v>-2650</v>
      </c>
      <c r="BR151" s="315"/>
      <c r="BT151" s="497"/>
      <c r="BU151" s="497"/>
      <c r="BV151" s="497"/>
      <c r="BW151" s="497"/>
      <c r="BX151" s="497"/>
      <c r="BY151" s="497"/>
      <c r="BZ151" s="497"/>
      <c r="CA151" s="497"/>
      <c r="CB151" s="497"/>
      <c r="CC151" s="497"/>
      <c r="CD151" s="497"/>
      <c r="CE151" s="497"/>
      <c r="CF151" s="497"/>
    </row>
    <row r="152" spans="1:84" s="81" customFormat="1">
      <c r="A152" s="202"/>
      <c r="B152" s="221"/>
      <c r="C152" s="1187" t="s">
        <v>257</v>
      </c>
      <c r="E152" s="288"/>
      <c r="F152" s="289"/>
      <c r="G152" s="289"/>
      <c r="H152" s="299"/>
      <c r="I152" s="298"/>
      <c r="J152" s="296"/>
      <c r="K152" s="297"/>
      <c r="L152" s="297"/>
      <c r="M152" s="290"/>
      <c r="N152" s="298"/>
      <c r="O152" s="296"/>
      <c r="P152" s="297"/>
      <c r="Q152" s="297"/>
      <c r="R152" s="290"/>
      <c r="S152" s="298"/>
      <c r="T152" s="296"/>
      <c r="U152" s="297"/>
      <c r="V152" s="297"/>
      <c r="W152" s="290"/>
      <c r="X152" s="730"/>
      <c r="Y152" s="296">
        <f>AC152/4</f>
        <v>0</v>
      </c>
      <c r="Z152" s="297">
        <f>(AC152-Y152)/3</f>
        <v>0</v>
      </c>
      <c r="AA152" s="297">
        <f>(AC152-SUM(Y152:Z152))/2</f>
        <v>0</v>
      </c>
      <c r="AB152" s="290">
        <f>AC152-SUM(Y152:AA152)</f>
        <v>0</v>
      </c>
      <c r="AC152" s="730">
        <v>0</v>
      </c>
      <c r="AD152" s="296">
        <f>AH152/4</f>
        <v>0</v>
      </c>
      <c r="AE152" s="297">
        <f>(AH152-AD152)/3</f>
        <v>0</v>
      </c>
      <c r="AF152" s="297">
        <f>(AH152-SUM(AD152:AE152))/2</f>
        <v>0</v>
      </c>
      <c r="AG152" s="290">
        <f>AH152-SUM(AD152:AF152)</f>
        <v>0</v>
      </c>
      <c r="AH152" s="730">
        <v>0</v>
      </c>
      <c r="AI152" s="296">
        <f>AM152/4</f>
        <v>0</v>
      </c>
      <c r="AJ152" s="297">
        <f>(AM152-AI152)/3</f>
        <v>0</v>
      </c>
      <c r="AK152" s="297">
        <f>(AM152-SUM(AI152:AJ152))/2</f>
        <v>0</v>
      </c>
      <c r="AL152" s="290">
        <f>AM152-SUM(AI152:AK152)</f>
        <v>0</v>
      </c>
      <c r="AM152" s="730">
        <v>0</v>
      </c>
      <c r="AN152" s="296">
        <f>AR152/4</f>
        <v>0</v>
      </c>
      <c r="AO152" s="297">
        <f>(AR152-AN152)/3</f>
        <v>0</v>
      </c>
      <c r="AP152" s="297">
        <f>(AR152-SUM(AN152:AO152))/2</f>
        <v>0</v>
      </c>
      <c r="AQ152" s="290">
        <f>AR152-SUM(AN152:AP152)</f>
        <v>0</v>
      </c>
      <c r="AR152" s="730">
        <v>0</v>
      </c>
      <c r="AS152" s="296">
        <f>AW152/4</f>
        <v>0</v>
      </c>
      <c r="AT152" s="297">
        <f>(AW152-AS152)/3</f>
        <v>0</v>
      </c>
      <c r="AU152" s="297">
        <f>(AW152-SUM(AS152:AT152))/2</f>
        <v>0</v>
      </c>
      <c r="AV152" s="2306">
        <f>AW152-SUM(AS152:AU152)</f>
        <v>0</v>
      </c>
      <c r="AW152" s="2310">
        <v>0</v>
      </c>
      <c r="AX152" s="296">
        <f>BB152/4</f>
        <v>0</v>
      </c>
      <c r="AY152" s="297">
        <f>(BB152-AX152)/3</f>
        <v>0</v>
      </c>
      <c r="AZ152" s="297">
        <f>(BB152-SUM(AX152:AY152))/2</f>
        <v>0</v>
      </c>
      <c r="BA152" s="290">
        <f>BB152-SUM(AX152:AZ152)</f>
        <v>0</v>
      </c>
      <c r="BB152" s="730">
        <v>0</v>
      </c>
      <c r="BC152" s="296">
        <f>BG152/4</f>
        <v>0</v>
      </c>
      <c r="BD152" s="297">
        <f>(BG152-BC152)/3</f>
        <v>0</v>
      </c>
      <c r="BE152" s="297">
        <f>(BG152-SUM(BC152:BD152))/2</f>
        <v>0</v>
      </c>
      <c r="BF152" s="290">
        <f>BG152-SUM(BC152:BE152)</f>
        <v>0</v>
      </c>
      <c r="BG152" s="730">
        <v>0</v>
      </c>
      <c r="BH152" s="296">
        <f>BL152/4</f>
        <v>0</v>
      </c>
      <c r="BI152" s="297">
        <f>(BL152-BH152)/3</f>
        <v>0</v>
      </c>
      <c r="BJ152" s="297">
        <f>(BL152-SUM(BH152:BI152))/2</f>
        <v>0</v>
      </c>
      <c r="BK152" s="290">
        <f>BL152-SUM(BH152:BJ152)</f>
        <v>0</v>
      </c>
      <c r="BL152" s="730">
        <v>0</v>
      </c>
      <c r="BM152" s="296">
        <f>BQ152/4</f>
        <v>0</v>
      </c>
      <c r="BN152" s="297">
        <f>(BQ152-BM152)/3</f>
        <v>0</v>
      </c>
      <c r="BO152" s="297">
        <f>(BQ152-SUM(BM152:BN152))/2</f>
        <v>0</v>
      </c>
      <c r="BP152" s="290">
        <f>BQ152-SUM(BM152:BO152)</f>
        <v>0</v>
      </c>
      <c r="BQ152" s="730">
        <v>0</v>
      </c>
      <c r="BR152" s="315"/>
      <c r="BT152" s="497"/>
      <c r="BU152" s="497"/>
      <c r="BV152" s="497"/>
      <c r="BW152" s="497"/>
      <c r="BX152" s="497"/>
      <c r="BY152" s="497"/>
      <c r="BZ152" s="497"/>
      <c r="CA152" s="497"/>
      <c r="CB152" s="497"/>
      <c r="CC152" s="497"/>
      <c r="CD152" s="497"/>
      <c r="CE152" s="497"/>
      <c r="CF152" s="497"/>
    </row>
    <row r="153" spans="1:84" s="81" customFormat="1">
      <c r="A153" s="202"/>
      <c r="B153" s="221"/>
      <c r="C153" s="1197" t="s">
        <v>225</v>
      </c>
      <c r="E153" s="305"/>
      <c r="F153" s="306"/>
      <c r="G153" s="306"/>
      <c r="H153" s="307"/>
      <c r="I153" s="320"/>
      <c r="J153" s="318"/>
      <c r="K153" s="319"/>
      <c r="L153" s="319"/>
      <c r="M153" s="314"/>
      <c r="N153" s="320"/>
      <c r="O153" s="318"/>
      <c r="P153" s="319"/>
      <c r="Q153" s="319"/>
      <c r="R153" s="314"/>
      <c r="S153" s="320"/>
      <c r="T153" s="318"/>
      <c r="U153" s="319"/>
      <c r="V153" s="319"/>
      <c r="W153" s="307"/>
      <c r="X153" s="308"/>
      <c r="Y153" s="305">
        <f t="shared" ref="Y153:AM153" si="248">+SUM(Y151:Y152)</f>
        <v>-355</v>
      </c>
      <c r="Z153" s="306">
        <f t="shared" si="248"/>
        <v>-274</v>
      </c>
      <c r="AA153" s="306">
        <f t="shared" si="248"/>
        <v>-413</v>
      </c>
      <c r="AB153" s="307">
        <f>+SUM(AB151:AB152)</f>
        <v>-357</v>
      </c>
      <c r="AC153" s="308">
        <f>+SUM(AC151:AC152)</f>
        <v>-1399</v>
      </c>
      <c r="AD153" s="305">
        <f t="shared" si="248"/>
        <v>-486</v>
      </c>
      <c r="AE153" s="306">
        <f t="shared" si="248"/>
        <v>-724</v>
      </c>
      <c r="AF153" s="306">
        <f>+SUM(AF151:AF152)</f>
        <v>-550</v>
      </c>
      <c r="AG153" s="307">
        <f>+SUM(AG151:AG152)</f>
        <v>-541</v>
      </c>
      <c r="AH153" s="308">
        <f t="shared" si="248"/>
        <v>-2301</v>
      </c>
      <c r="AI153" s="305">
        <f>+SUM(AI151:AI152)</f>
        <v>-534</v>
      </c>
      <c r="AJ153" s="306">
        <f>+SUM(AJ151:AJ152)</f>
        <v>-609</v>
      </c>
      <c r="AK153" s="306">
        <f>+SUM(AK151:AK152)</f>
        <v>-441</v>
      </c>
      <c r="AL153" s="307">
        <f t="shared" si="248"/>
        <v>-476</v>
      </c>
      <c r="AM153" s="308">
        <f t="shared" si="248"/>
        <v>-2060</v>
      </c>
      <c r="AN153" s="305">
        <f>+SUM(AN151:AN152)</f>
        <v>-520</v>
      </c>
      <c r="AO153" s="306">
        <f>+SUM(AO151:AO152)</f>
        <v>-564</v>
      </c>
      <c r="AP153" s="306">
        <f>+SUM(AP151:AP152)</f>
        <v>-549</v>
      </c>
      <c r="AQ153" s="307">
        <f t="shared" ref="AQ153:AS153" si="249">+SUM(AQ151:AQ152)</f>
        <v>-531</v>
      </c>
      <c r="AR153" s="308">
        <f t="shared" si="249"/>
        <v>-2164</v>
      </c>
      <c r="AS153" s="305">
        <f t="shared" si="249"/>
        <v>-488</v>
      </c>
      <c r="AT153" s="306">
        <f t="shared" ref="AT153:AW153" si="250">+SUM(AT151:AT152)</f>
        <v>-549</v>
      </c>
      <c r="AU153" s="306">
        <f t="shared" si="250"/>
        <v>-534</v>
      </c>
      <c r="AV153" s="2309">
        <f t="shared" si="250"/>
        <v>-650</v>
      </c>
      <c r="AW153" s="2308">
        <f t="shared" si="250"/>
        <v>-2221</v>
      </c>
      <c r="AX153" s="305">
        <f t="shared" ref="AX153:BB153" si="251">+SUM(AX151:AX152)</f>
        <v>-662.5</v>
      </c>
      <c r="AY153" s="306">
        <f t="shared" si="251"/>
        <v>-662.5</v>
      </c>
      <c r="AZ153" s="306">
        <f t="shared" si="251"/>
        <v>-662.5</v>
      </c>
      <c r="BA153" s="307">
        <f t="shared" si="251"/>
        <v>-662.5</v>
      </c>
      <c r="BB153" s="308">
        <f t="shared" si="251"/>
        <v>-2650</v>
      </c>
      <c r="BC153" s="305">
        <f t="shared" ref="BC153:BL153" si="252">+SUM(BC151:BC152)</f>
        <v>-662.5</v>
      </c>
      <c r="BD153" s="306">
        <f t="shared" si="252"/>
        <v>-662.5</v>
      </c>
      <c r="BE153" s="306">
        <f t="shared" si="252"/>
        <v>-662.5</v>
      </c>
      <c r="BF153" s="307">
        <f t="shared" si="252"/>
        <v>-662.5</v>
      </c>
      <c r="BG153" s="308">
        <f t="shared" si="252"/>
        <v>-2650</v>
      </c>
      <c r="BH153" s="305">
        <f t="shared" si="252"/>
        <v>-662.5</v>
      </c>
      <c r="BI153" s="306">
        <f t="shared" si="252"/>
        <v>-662.5</v>
      </c>
      <c r="BJ153" s="306">
        <f t="shared" si="252"/>
        <v>-662.5</v>
      </c>
      <c r="BK153" s="307">
        <f t="shared" si="252"/>
        <v>-662.5</v>
      </c>
      <c r="BL153" s="308">
        <f t="shared" si="252"/>
        <v>-2650</v>
      </c>
      <c r="BM153" s="305">
        <f t="shared" ref="BM153:BQ153" si="253">+SUM(BM151:BM152)</f>
        <v>-662.5</v>
      </c>
      <c r="BN153" s="306">
        <f t="shared" si="253"/>
        <v>-662.5</v>
      </c>
      <c r="BO153" s="306">
        <f t="shared" si="253"/>
        <v>-662.5</v>
      </c>
      <c r="BP153" s="307">
        <f t="shared" si="253"/>
        <v>-662.5</v>
      </c>
      <c r="BQ153" s="308">
        <f t="shared" si="253"/>
        <v>-2650</v>
      </c>
      <c r="BR153" s="308"/>
      <c r="BT153" s="497"/>
      <c r="BU153" s="497"/>
      <c r="BV153" s="497"/>
      <c r="BW153" s="497"/>
      <c r="BX153" s="497"/>
      <c r="BY153" s="497"/>
      <c r="BZ153" s="497"/>
      <c r="CA153" s="497"/>
      <c r="CB153" s="497"/>
      <c r="CC153" s="497"/>
      <c r="CD153" s="497"/>
      <c r="CE153" s="497"/>
      <c r="CF153" s="497"/>
    </row>
    <row r="154" spans="1:84" s="81" customFormat="1">
      <c r="A154" s="202"/>
      <c r="B154" s="221"/>
      <c r="C154" s="1187"/>
      <c r="E154" s="316"/>
      <c r="F154" s="312"/>
      <c r="G154" s="312"/>
      <c r="H154" s="317"/>
      <c r="I154" s="324"/>
      <c r="J154" s="321"/>
      <c r="K154" s="322"/>
      <c r="L154" s="322"/>
      <c r="M154" s="323"/>
      <c r="N154" s="324"/>
      <c r="O154" s="321"/>
      <c r="P154" s="322"/>
      <c r="Q154" s="322"/>
      <c r="R154" s="323"/>
      <c r="S154" s="324"/>
      <c r="T154" s="321"/>
      <c r="U154" s="322"/>
      <c r="V154" s="322"/>
      <c r="W154" s="317"/>
      <c r="X154" s="315"/>
      <c r="Y154" s="316"/>
      <c r="Z154" s="312"/>
      <c r="AA154" s="312"/>
      <c r="AB154" s="317"/>
      <c r="AC154" s="315"/>
      <c r="AD154" s="316"/>
      <c r="AE154" s="312"/>
      <c r="AF154" s="312"/>
      <c r="AG154" s="317"/>
      <c r="AH154" s="315"/>
      <c r="AI154" s="316"/>
      <c r="AJ154" s="312"/>
      <c r="AK154" s="312"/>
      <c r="AL154" s="317"/>
      <c r="AM154" s="315"/>
      <c r="AN154" s="316"/>
      <c r="AO154" s="312"/>
      <c r="AP154" s="312"/>
      <c r="AQ154" s="317"/>
      <c r="AR154" s="315"/>
      <c r="AS154" s="316"/>
      <c r="AT154" s="312"/>
      <c r="AU154" s="312"/>
      <c r="AV154" s="2186"/>
      <c r="AW154" s="2187"/>
      <c r="AX154" s="316"/>
      <c r="AY154" s="312"/>
      <c r="AZ154" s="312"/>
      <c r="BA154" s="317"/>
      <c r="BB154" s="315"/>
      <c r="BC154" s="316"/>
      <c r="BD154" s="312"/>
      <c r="BE154" s="312"/>
      <c r="BF154" s="317"/>
      <c r="BG154" s="315"/>
      <c r="BH154" s="316"/>
      <c r="BI154" s="312"/>
      <c r="BJ154" s="312"/>
      <c r="BK154" s="317"/>
      <c r="BL154" s="315"/>
      <c r="BM154" s="316"/>
      <c r="BN154" s="312"/>
      <c r="BO154" s="312"/>
      <c r="BP154" s="317"/>
      <c r="BQ154" s="315"/>
      <c r="BR154" s="315"/>
      <c r="BT154" s="497"/>
      <c r="BU154" s="497"/>
      <c r="BV154" s="497"/>
      <c r="BW154" s="497"/>
      <c r="BX154" s="497"/>
      <c r="BY154" s="497"/>
      <c r="BZ154" s="497"/>
      <c r="CA154" s="497"/>
      <c r="CB154" s="497"/>
      <c r="CC154" s="497"/>
      <c r="CD154" s="497"/>
      <c r="CE154" s="497"/>
      <c r="CF154" s="497"/>
    </row>
    <row r="155" spans="1:84" s="81" customFormat="1">
      <c r="A155" s="202"/>
      <c r="B155" s="490"/>
      <c r="C155" s="1187" t="s">
        <v>226</v>
      </c>
      <c r="E155" s="288"/>
      <c r="F155" s="289"/>
      <c r="G155" s="289"/>
      <c r="H155" s="299"/>
      <c r="I155" s="298"/>
      <c r="J155" s="296"/>
      <c r="K155" s="297"/>
      <c r="L155" s="297"/>
      <c r="M155" s="290"/>
      <c r="N155" s="298"/>
      <c r="O155" s="296"/>
      <c r="P155" s="297"/>
      <c r="Q155" s="297"/>
      <c r="R155" s="290"/>
      <c r="S155" s="298"/>
      <c r="T155" s="296"/>
      <c r="U155" s="297"/>
      <c r="V155" s="297"/>
      <c r="W155" s="317"/>
      <c r="X155" s="315"/>
      <c r="Y155" s="316">
        <f t="shared" ref="Y155:AB156" si="254">Y132</f>
        <v>0</v>
      </c>
      <c r="Z155" s="312">
        <f t="shared" si="254"/>
        <v>0</v>
      </c>
      <c r="AA155" s="312">
        <f t="shared" si="254"/>
        <v>0</v>
      </c>
      <c r="AB155" s="317">
        <f t="shared" si="254"/>
        <v>0</v>
      </c>
      <c r="AC155" s="315">
        <f>SUM(Y155:AB155)</f>
        <v>0</v>
      </c>
      <c r="AD155" s="316">
        <f t="shared" ref="AD155:AG156" si="255">AD132</f>
        <v>0</v>
      </c>
      <c r="AE155" s="312">
        <f t="shared" si="255"/>
        <v>0</v>
      </c>
      <c r="AF155" s="312">
        <f t="shared" si="255"/>
        <v>0</v>
      </c>
      <c r="AG155" s="317">
        <f t="shared" si="255"/>
        <v>0</v>
      </c>
      <c r="AH155" s="315">
        <f>SUM(AD155:AG155)</f>
        <v>0</v>
      </c>
      <c r="AI155" s="316">
        <f t="shared" ref="AI155:AL156" si="256">AI132</f>
        <v>0</v>
      </c>
      <c r="AJ155" s="312">
        <f t="shared" si="256"/>
        <v>0</v>
      </c>
      <c r="AK155" s="312">
        <f t="shared" si="256"/>
        <v>0</v>
      </c>
      <c r="AL155" s="317">
        <f t="shared" si="256"/>
        <v>0</v>
      </c>
      <c r="AM155" s="315">
        <f>SUM(AI155:AL155)</f>
        <v>0</v>
      </c>
      <c r="AN155" s="316">
        <f t="shared" ref="AN155" si="257">AN132</f>
        <v>0</v>
      </c>
      <c r="AO155" s="312">
        <f>AO132</f>
        <v>0</v>
      </c>
      <c r="AP155" s="312">
        <f t="shared" ref="AP155:AQ155" si="258">AP132</f>
        <v>0</v>
      </c>
      <c r="AQ155" s="317">
        <f t="shared" si="258"/>
        <v>0</v>
      </c>
      <c r="AR155" s="315">
        <f>SUM(AN155:AQ155)</f>
        <v>0</v>
      </c>
      <c r="AS155" s="316">
        <f t="shared" ref="AS155" si="259">AS132</f>
        <v>0</v>
      </c>
      <c r="AT155" s="312">
        <f t="shared" ref="AT155:AV156" si="260">AT132</f>
        <v>250</v>
      </c>
      <c r="AU155" s="312">
        <f t="shared" si="260"/>
        <v>550</v>
      </c>
      <c r="AV155" s="2186">
        <f t="shared" si="260"/>
        <v>625</v>
      </c>
      <c r="AW155" s="2187">
        <f>SUM(AS155:AV155)</f>
        <v>1425</v>
      </c>
      <c r="AX155" s="316">
        <f t="shared" ref="AX155:BA156" si="261">AX132</f>
        <v>0</v>
      </c>
      <c r="AY155" s="312">
        <f t="shared" si="261"/>
        <v>0</v>
      </c>
      <c r="AZ155" s="312">
        <f t="shared" si="261"/>
        <v>800</v>
      </c>
      <c r="BA155" s="317">
        <f t="shared" si="261"/>
        <v>0</v>
      </c>
      <c r="BB155" s="315">
        <f>SUM(AX155:BA155)</f>
        <v>800</v>
      </c>
      <c r="BC155" s="316">
        <f t="shared" ref="BC155:BF156" si="262">BC132</f>
        <v>0</v>
      </c>
      <c r="BD155" s="312">
        <f t="shared" si="262"/>
        <v>1400</v>
      </c>
      <c r="BE155" s="312">
        <f t="shared" si="262"/>
        <v>0</v>
      </c>
      <c r="BF155" s="317">
        <f t="shared" si="262"/>
        <v>0</v>
      </c>
      <c r="BG155" s="315">
        <f>SUM(BC155:BF155)</f>
        <v>1400</v>
      </c>
      <c r="BH155" s="316">
        <f t="shared" ref="BH155:BK156" si="263">BH132</f>
        <v>0</v>
      </c>
      <c r="BI155" s="312">
        <f t="shared" si="263"/>
        <v>1300</v>
      </c>
      <c r="BJ155" s="312">
        <f t="shared" si="263"/>
        <v>0</v>
      </c>
      <c r="BK155" s="317">
        <f t="shared" si="263"/>
        <v>0</v>
      </c>
      <c r="BL155" s="315">
        <f>SUM(BH155:BK155)</f>
        <v>1300</v>
      </c>
      <c r="BM155" s="316">
        <f t="shared" ref="BM155:BP155" si="264">BM132</f>
        <v>0</v>
      </c>
      <c r="BN155" s="312">
        <f t="shared" si="264"/>
        <v>700</v>
      </c>
      <c r="BO155" s="312">
        <f t="shared" si="264"/>
        <v>0</v>
      </c>
      <c r="BP155" s="317">
        <f t="shared" si="264"/>
        <v>0</v>
      </c>
      <c r="BQ155" s="315">
        <f>SUM(BM155:BP155)</f>
        <v>700</v>
      </c>
      <c r="BR155" s="315"/>
      <c r="BT155" s="497"/>
      <c r="BU155" s="497"/>
      <c r="BV155" s="497"/>
      <c r="BW155" s="497"/>
      <c r="BX155" s="497"/>
      <c r="BY155" s="497"/>
      <c r="BZ155" s="497"/>
      <c r="CA155" s="497"/>
      <c r="CB155" s="497"/>
      <c r="CC155" s="497"/>
      <c r="CD155" s="497"/>
      <c r="CE155" s="497"/>
      <c r="CF155" s="497"/>
    </row>
    <row r="156" spans="1:84" s="81" customFormat="1">
      <c r="A156" s="202"/>
      <c r="B156" s="221"/>
      <c r="C156" s="1187" t="s">
        <v>227</v>
      </c>
      <c r="E156" s="288"/>
      <c r="F156" s="289"/>
      <c r="G156" s="289"/>
      <c r="H156" s="299"/>
      <c r="I156" s="298"/>
      <c r="J156" s="296"/>
      <c r="K156" s="297"/>
      <c r="L156" s="297"/>
      <c r="M156" s="290"/>
      <c r="N156" s="298"/>
      <c r="O156" s="296"/>
      <c r="P156" s="297"/>
      <c r="Q156" s="297"/>
      <c r="R156" s="290"/>
      <c r="S156" s="298"/>
      <c r="T156" s="296"/>
      <c r="U156" s="297"/>
      <c r="V156" s="297"/>
      <c r="W156" s="317"/>
      <c r="X156" s="315"/>
      <c r="Y156" s="316">
        <f t="shared" si="254"/>
        <v>0</v>
      </c>
      <c r="Z156" s="312">
        <f t="shared" si="254"/>
        <v>0</v>
      </c>
      <c r="AA156" s="312">
        <f t="shared" si="254"/>
        <v>0</v>
      </c>
      <c r="AB156" s="317">
        <f>AB133</f>
        <v>0</v>
      </c>
      <c r="AC156" s="315">
        <f>SUM(Y156:AB156)</f>
        <v>0</v>
      </c>
      <c r="AD156" s="316">
        <f t="shared" si="255"/>
        <v>0</v>
      </c>
      <c r="AE156" s="312">
        <f t="shared" si="255"/>
        <v>0</v>
      </c>
      <c r="AF156" s="312">
        <f t="shared" si="255"/>
        <v>0</v>
      </c>
      <c r="AG156" s="317">
        <f>AG133</f>
        <v>0</v>
      </c>
      <c r="AH156" s="315">
        <f>SUM(AD156:AG156)</f>
        <v>0</v>
      </c>
      <c r="AI156" s="316">
        <f t="shared" si="256"/>
        <v>0</v>
      </c>
      <c r="AJ156" s="312">
        <f t="shared" si="256"/>
        <v>0</v>
      </c>
      <c r="AK156" s="312">
        <f t="shared" si="256"/>
        <v>0</v>
      </c>
      <c r="AL156" s="317">
        <f t="shared" si="256"/>
        <v>0</v>
      </c>
      <c r="AM156" s="315">
        <f>SUM(AI156:AL156)</f>
        <v>0</v>
      </c>
      <c r="AN156" s="316">
        <f t="shared" ref="AN156" si="265">AN133</f>
        <v>0</v>
      </c>
      <c r="AO156" s="312">
        <f>AO133</f>
        <v>0</v>
      </c>
      <c r="AP156" s="312">
        <f t="shared" ref="AP156:AQ156" si="266">AP133</f>
        <v>0</v>
      </c>
      <c r="AQ156" s="317">
        <f t="shared" si="266"/>
        <v>0</v>
      </c>
      <c r="AR156" s="315">
        <f>SUM(AN156:AQ156)</f>
        <v>0</v>
      </c>
      <c r="AS156" s="316">
        <f t="shared" ref="AS156" si="267">AS133</f>
        <v>-155.89433700000001</v>
      </c>
      <c r="AT156" s="312">
        <f t="shared" ref="AT156:AU156" si="268">AT133</f>
        <v>-14.681081000000001</v>
      </c>
      <c r="AU156" s="312">
        <f t="shared" si="268"/>
        <v>-680</v>
      </c>
      <c r="AV156" s="2186">
        <f t="shared" si="260"/>
        <v>-575</v>
      </c>
      <c r="AW156" s="2187">
        <f>SUM(AS156:AV156)</f>
        <v>-1425.5754179999999</v>
      </c>
      <c r="AX156" s="316">
        <f t="shared" si="261"/>
        <v>0</v>
      </c>
      <c r="AY156" s="312">
        <f t="shared" si="261"/>
        <v>-154.60229200000001</v>
      </c>
      <c r="AZ156" s="312">
        <f t="shared" si="261"/>
        <v>0</v>
      </c>
      <c r="BA156" s="317">
        <f t="shared" si="261"/>
        <v>-325</v>
      </c>
      <c r="BB156" s="315">
        <f>SUM(AX156:BA156)</f>
        <v>-479.60229200000003</v>
      </c>
      <c r="BC156" s="316">
        <f t="shared" si="262"/>
        <v>-600</v>
      </c>
      <c r="BD156" s="312">
        <f t="shared" si="262"/>
        <v>-125</v>
      </c>
      <c r="BE156" s="312">
        <f t="shared" si="262"/>
        <v>-40.962215999999998</v>
      </c>
      <c r="BF156" s="317">
        <f t="shared" si="262"/>
        <v>-1.9610000000000001</v>
      </c>
      <c r="BG156" s="315">
        <f>SUM(BC156:BF156)</f>
        <v>-767.92321600000002</v>
      </c>
      <c r="BH156" s="316">
        <f t="shared" si="263"/>
        <v>-102.95805300000001</v>
      </c>
      <c r="BI156" s="312">
        <f t="shared" si="263"/>
        <v>-250</v>
      </c>
      <c r="BJ156" s="312">
        <f t="shared" si="263"/>
        <v>0</v>
      </c>
      <c r="BK156" s="317">
        <f t="shared" si="263"/>
        <v>0</v>
      </c>
      <c r="BL156" s="315">
        <f>SUM(BH156:BK156)</f>
        <v>-352.95805300000001</v>
      </c>
      <c r="BM156" s="316">
        <f t="shared" ref="BM156:BP156" si="269">BM133</f>
        <v>0</v>
      </c>
      <c r="BN156" s="312">
        <f t="shared" si="269"/>
        <v>-51.139000000000003</v>
      </c>
      <c r="BO156" s="312">
        <f t="shared" si="269"/>
        <v>0</v>
      </c>
      <c r="BP156" s="317">
        <f t="shared" si="269"/>
        <v>0</v>
      </c>
      <c r="BQ156" s="315">
        <f>SUM(BM156:BP156)</f>
        <v>-51.139000000000003</v>
      </c>
      <c r="BR156" s="315"/>
      <c r="BT156" s="497"/>
      <c r="BU156" s="497"/>
      <c r="BV156" s="497"/>
      <c r="BW156" s="497"/>
      <c r="BX156" s="497"/>
      <c r="BY156" s="497"/>
      <c r="BZ156" s="497"/>
      <c r="CA156" s="497"/>
      <c r="CB156" s="497"/>
      <c r="CC156" s="497"/>
      <c r="CD156" s="497"/>
      <c r="CE156" s="497"/>
      <c r="CF156" s="497"/>
    </row>
    <row r="157" spans="1:84" s="81" customFormat="1">
      <c r="A157" s="202"/>
      <c r="B157" s="221"/>
      <c r="C157" s="1187" t="s">
        <v>265</v>
      </c>
      <c r="E157" s="288"/>
      <c r="F157" s="289"/>
      <c r="G157" s="289"/>
      <c r="H157" s="299"/>
      <c r="I157" s="298"/>
      <c r="J157" s="296"/>
      <c r="K157" s="297"/>
      <c r="L157" s="297"/>
      <c r="M157" s="290"/>
      <c r="N157" s="298"/>
      <c r="O157" s="296"/>
      <c r="P157" s="297"/>
      <c r="Q157" s="297"/>
      <c r="R157" s="290"/>
      <c r="S157" s="298"/>
      <c r="T157" s="296"/>
      <c r="U157" s="297"/>
      <c r="V157" s="297"/>
      <c r="W157" s="486"/>
      <c r="X157" s="315"/>
      <c r="Y157" s="667">
        <v>0</v>
      </c>
      <c r="Z157" s="505">
        <v>0</v>
      </c>
      <c r="AA157" s="505">
        <v>0</v>
      </c>
      <c r="AB157" s="486">
        <v>0</v>
      </c>
      <c r="AC157" s="315">
        <f>SUM(Y157:AB157)</f>
        <v>0</v>
      </c>
      <c r="AD157" s="667">
        <v>0</v>
      </c>
      <c r="AE157" s="485">
        <v>0</v>
      </c>
      <c r="AF157" s="505">
        <v>0</v>
      </c>
      <c r="AG157" s="486">
        <v>0</v>
      </c>
      <c r="AH157" s="315">
        <f>SUM(AD157:AG157)</f>
        <v>0</v>
      </c>
      <c r="AI157" s="667">
        <v>0</v>
      </c>
      <c r="AJ157" s="485">
        <v>0</v>
      </c>
      <c r="AK157" s="505">
        <v>0</v>
      </c>
      <c r="AL157" s="486">
        <v>0</v>
      </c>
      <c r="AM157" s="315">
        <f>SUM(AI157:AL157)</f>
        <v>0</v>
      </c>
      <c r="AN157" s="667">
        <v>0</v>
      </c>
      <c r="AO157" s="485">
        <v>0</v>
      </c>
      <c r="AP157" s="505">
        <v>0</v>
      </c>
      <c r="AQ157" s="486">
        <v>0</v>
      </c>
      <c r="AR157" s="315">
        <f>SUM(AN157:AQ157)</f>
        <v>0</v>
      </c>
      <c r="AS157" s="667">
        <v>0</v>
      </c>
      <c r="AT157" s="485">
        <v>0</v>
      </c>
      <c r="AU157" s="505">
        <v>0</v>
      </c>
      <c r="AV157" s="2311">
        <v>0</v>
      </c>
      <c r="AW157" s="2187">
        <f>SUM(AS157:AV157)</f>
        <v>0</v>
      </c>
      <c r="AX157" s="667">
        <v>0</v>
      </c>
      <c r="AY157" s="485">
        <v>0</v>
      </c>
      <c r="AZ157" s="485">
        <v>0</v>
      </c>
      <c r="BA157" s="486">
        <v>0</v>
      </c>
      <c r="BB157" s="315">
        <f>SUM(AX157:BA157)</f>
        <v>0</v>
      </c>
      <c r="BC157" s="667">
        <v>0</v>
      </c>
      <c r="BD157" s="485">
        <v>0</v>
      </c>
      <c r="BE157" s="485">
        <v>0</v>
      </c>
      <c r="BF157" s="486">
        <v>0</v>
      </c>
      <c r="BG157" s="315">
        <f>SUM(BC157:BF157)</f>
        <v>0</v>
      </c>
      <c r="BH157" s="667">
        <v>0</v>
      </c>
      <c r="BI157" s="485">
        <v>0</v>
      </c>
      <c r="BJ157" s="485">
        <v>0</v>
      </c>
      <c r="BK157" s="486">
        <v>0</v>
      </c>
      <c r="BL157" s="315">
        <f>SUM(BH157:BK157)</f>
        <v>0</v>
      </c>
      <c r="BM157" s="667">
        <v>0</v>
      </c>
      <c r="BN157" s="485">
        <v>0</v>
      </c>
      <c r="BO157" s="485">
        <v>0</v>
      </c>
      <c r="BP157" s="486">
        <v>0</v>
      </c>
      <c r="BQ157" s="315">
        <f>SUM(BM157:BP157)</f>
        <v>0</v>
      </c>
      <c r="BR157" s="315"/>
      <c r="BT157" s="497"/>
      <c r="BU157" s="497"/>
      <c r="BV157" s="497"/>
      <c r="BW157" s="497"/>
      <c r="BX157" s="497"/>
      <c r="BY157" s="497"/>
      <c r="BZ157" s="497"/>
      <c r="CA157" s="497"/>
      <c r="CB157" s="497"/>
      <c r="CC157" s="497"/>
      <c r="CD157" s="497"/>
      <c r="CE157" s="497"/>
      <c r="CF157" s="497"/>
    </row>
    <row r="158" spans="1:84" s="81" customFormat="1">
      <c r="A158" s="202"/>
      <c r="B158" s="221"/>
      <c r="C158" s="1187" t="s">
        <v>266</v>
      </c>
      <c r="E158" s="288"/>
      <c r="F158" s="289"/>
      <c r="G158" s="289"/>
      <c r="H158" s="299"/>
      <c r="I158" s="298"/>
      <c r="J158" s="296"/>
      <c r="K158" s="297"/>
      <c r="L158" s="297"/>
      <c r="M158" s="290"/>
      <c r="N158" s="298"/>
      <c r="O158" s="296"/>
      <c r="P158" s="297"/>
      <c r="Q158" s="297"/>
      <c r="R158" s="290"/>
      <c r="S158" s="298"/>
      <c r="T158" s="296"/>
      <c r="U158" s="297"/>
      <c r="V158" s="297"/>
      <c r="W158" s="290"/>
      <c r="X158" s="730"/>
      <c r="Y158" s="296">
        <f>AC158/4</f>
        <v>0</v>
      </c>
      <c r="Z158" s="297">
        <f>(AC158-Y158)/3</f>
        <v>0</v>
      </c>
      <c r="AA158" s="297">
        <f>(AC158-SUM(Y158:Z158))/2</f>
        <v>0</v>
      </c>
      <c r="AB158" s="290">
        <f>AC158-SUM(Y158:AA158)</f>
        <v>0</v>
      </c>
      <c r="AC158" s="730">
        <v>0</v>
      </c>
      <c r="AD158" s="296">
        <f>AH158/4</f>
        <v>-175</v>
      </c>
      <c r="AE158" s="297">
        <f>(AH158-AD158)/3</f>
        <v>-175</v>
      </c>
      <c r="AF158" s="297">
        <f>(AH158-SUM(AD158:AE158))/2</f>
        <v>-175</v>
      </c>
      <c r="AG158" s="290">
        <f>AH158-SUM(AD158:AF158)</f>
        <v>-175</v>
      </c>
      <c r="AH158" s="730">
        <v>-700</v>
      </c>
      <c r="AI158" s="296">
        <f>AM158/4</f>
        <v>-250</v>
      </c>
      <c r="AJ158" s="297">
        <f>(AM158-AI158)/3</f>
        <v>-250</v>
      </c>
      <c r="AK158" s="297">
        <f>(AM158-SUM(AI158:AJ158))/2</f>
        <v>-250</v>
      </c>
      <c r="AL158" s="290">
        <f>AM158-SUM(AI158:AK158)</f>
        <v>-250</v>
      </c>
      <c r="AM158" s="730">
        <v>-1000</v>
      </c>
      <c r="AN158" s="296">
        <f>AR158/4</f>
        <v>0</v>
      </c>
      <c r="AO158" s="297">
        <f>(AR158-AN158)/3</f>
        <v>0</v>
      </c>
      <c r="AP158" s="297">
        <f>(AR158-SUM(AN158:AO158))/2</f>
        <v>0</v>
      </c>
      <c r="AQ158" s="290">
        <f>AR158-SUM(AN158:AP158)</f>
        <v>0</v>
      </c>
      <c r="AR158" s="730">
        <v>0</v>
      </c>
      <c r="AS158" s="296">
        <f>AW158/4</f>
        <v>-250</v>
      </c>
      <c r="AT158" s="297">
        <f>AW158/4</f>
        <v>-250</v>
      </c>
      <c r="AU158" s="297">
        <f>AW158/4</f>
        <v>-250</v>
      </c>
      <c r="AV158" s="2306">
        <f>AW158-SUM(AS158:AU158)</f>
        <v>-250</v>
      </c>
      <c r="AW158" s="2310">
        <v>-1000</v>
      </c>
      <c r="AX158" s="296">
        <f>BB158/4</f>
        <v>-262.5</v>
      </c>
      <c r="AY158" s="297">
        <f>(BB158-AX158)/3</f>
        <v>-262.5</v>
      </c>
      <c r="AZ158" s="297">
        <f>(BB158-SUM(AX158:AY158))/2</f>
        <v>-262.5</v>
      </c>
      <c r="BA158" s="290">
        <f>BB158-SUM(AX158:AZ158)</f>
        <v>-262.5</v>
      </c>
      <c r="BB158" s="730">
        <v>-1050</v>
      </c>
      <c r="BC158" s="296">
        <f>BG158/4</f>
        <v>-225</v>
      </c>
      <c r="BD158" s="297">
        <f>(BG158-BC158)/3</f>
        <v>-225</v>
      </c>
      <c r="BE158" s="297">
        <f>(BG158-SUM(BC158:BD158))/2</f>
        <v>-225</v>
      </c>
      <c r="BF158" s="290">
        <f>BG158-SUM(BC158:BE158)</f>
        <v>-225</v>
      </c>
      <c r="BG158" s="730">
        <v>-900</v>
      </c>
      <c r="BH158" s="296">
        <f>BL158/4</f>
        <v>-187.5</v>
      </c>
      <c r="BI158" s="297">
        <f>(BL158-BH158)/3</f>
        <v>-187.5</v>
      </c>
      <c r="BJ158" s="297">
        <f>(BL158-SUM(BH158:BI158))/2</f>
        <v>-187.5</v>
      </c>
      <c r="BK158" s="290">
        <f>BL158-SUM(BH158:BJ158)</f>
        <v>-187.5</v>
      </c>
      <c r="BL158" s="730">
        <v>-750</v>
      </c>
      <c r="BM158" s="296">
        <f>BQ158/4</f>
        <v>-200</v>
      </c>
      <c r="BN158" s="297">
        <f>(BQ158-BM158)/3</f>
        <v>-200</v>
      </c>
      <c r="BO158" s="297">
        <f>(BQ158-SUM(BM158:BN158))/2</f>
        <v>-200</v>
      </c>
      <c r="BP158" s="290">
        <f>BQ158-SUM(BM158:BO158)</f>
        <v>-200</v>
      </c>
      <c r="BQ158" s="730">
        <v>-800</v>
      </c>
      <c r="BR158" s="730"/>
      <c r="BT158" s="497"/>
      <c r="BU158" s="497"/>
      <c r="BV158" s="497"/>
      <c r="BW158" s="497"/>
      <c r="BX158" s="497"/>
      <c r="BY158" s="497"/>
      <c r="BZ158" s="497"/>
      <c r="CA158" s="497"/>
      <c r="CB158" s="497"/>
      <c r="CC158" s="497"/>
      <c r="CD158" s="497"/>
      <c r="CE158" s="497"/>
      <c r="CF158" s="497"/>
    </row>
    <row r="159" spans="1:84" s="81" customFormat="1">
      <c r="A159" s="202"/>
      <c r="B159" s="221"/>
      <c r="C159" s="1197" t="s">
        <v>228</v>
      </c>
      <c r="E159" s="305"/>
      <c r="F159" s="306"/>
      <c r="G159" s="306"/>
      <c r="H159" s="307"/>
      <c r="I159" s="320"/>
      <c r="J159" s="318"/>
      <c r="K159" s="319"/>
      <c r="L159" s="319"/>
      <c r="M159" s="314"/>
      <c r="N159" s="320"/>
      <c r="O159" s="318"/>
      <c r="P159" s="319"/>
      <c r="Q159" s="319"/>
      <c r="R159" s="314"/>
      <c r="S159" s="320"/>
      <c r="T159" s="318"/>
      <c r="U159" s="319"/>
      <c r="V159" s="319"/>
      <c r="W159" s="307"/>
      <c r="X159" s="308"/>
      <c r="Y159" s="305">
        <f t="shared" ref="Y159:AM159" si="270">SUM(Y155:Y158)</f>
        <v>0</v>
      </c>
      <c r="Z159" s="306">
        <f t="shared" si="270"/>
        <v>0</v>
      </c>
      <c r="AA159" s="306">
        <f t="shared" si="270"/>
        <v>0</v>
      </c>
      <c r="AB159" s="307">
        <f>SUM(AB155:AB158)</f>
        <v>0</v>
      </c>
      <c r="AC159" s="308">
        <f>SUM(AC155:AC158)</f>
        <v>0</v>
      </c>
      <c r="AD159" s="305">
        <f t="shared" si="270"/>
        <v>-175</v>
      </c>
      <c r="AE159" s="306">
        <f t="shared" si="270"/>
        <v>-175</v>
      </c>
      <c r="AF159" s="306">
        <f>SUM(AF155:AF158)</f>
        <v>-175</v>
      </c>
      <c r="AG159" s="307">
        <f>SUM(AG155:AG158)</f>
        <v>-175</v>
      </c>
      <c r="AH159" s="308">
        <f t="shared" si="270"/>
        <v>-700</v>
      </c>
      <c r="AI159" s="305">
        <f>SUM(AI155:AI158)</f>
        <v>-250</v>
      </c>
      <c r="AJ159" s="306">
        <f>SUM(AJ155:AJ158)</f>
        <v>-250</v>
      </c>
      <c r="AK159" s="306">
        <f>SUM(AK155:AK158)</f>
        <v>-250</v>
      </c>
      <c r="AL159" s="307">
        <f t="shared" si="270"/>
        <v>-250</v>
      </c>
      <c r="AM159" s="308">
        <f t="shared" si="270"/>
        <v>-1000</v>
      </c>
      <c r="AN159" s="305">
        <f>SUM(AN155:AN158)</f>
        <v>0</v>
      </c>
      <c r="AO159" s="306">
        <f>SUM(AO155:AO158)</f>
        <v>0</v>
      </c>
      <c r="AP159" s="306">
        <f>SUM(AP155:AP158)</f>
        <v>0</v>
      </c>
      <c r="AQ159" s="307">
        <f t="shared" ref="AQ159:AS159" si="271">SUM(AQ155:AQ158)</f>
        <v>0</v>
      </c>
      <c r="AR159" s="308">
        <f t="shared" si="271"/>
        <v>0</v>
      </c>
      <c r="AS159" s="305">
        <f t="shared" si="271"/>
        <v>-405.89433700000001</v>
      </c>
      <c r="AT159" s="306">
        <f t="shared" ref="AT159:AW159" si="272">SUM(AT155:AT158)</f>
        <v>-14.681081000000006</v>
      </c>
      <c r="AU159" s="306">
        <f t="shared" si="272"/>
        <v>-380</v>
      </c>
      <c r="AV159" s="2309">
        <f t="shared" si="272"/>
        <v>-200</v>
      </c>
      <c r="AW159" s="2308">
        <f t="shared" si="272"/>
        <v>-1000.5754179999999</v>
      </c>
      <c r="AX159" s="305">
        <f t="shared" ref="AX159:BB159" si="273">SUM(AX155:AX158)</f>
        <v>-262.5</v>
      </c>
      <c r="AY159" s="306">
        <f t="shared" si="273"/>
        <v>-417.10229200000003</v>
      </c>
      <c r="AZ159" s="306">
        <f t="shared" si="273"/>
        <v>537.5</v>
      </c>
      <c r="BA159" s="307">
        <f t="shared" si="273"/>
        <v>-587.5</v>
      </c>
      <c r="BB159" s="308">
        <f t="shared" si="273"/>
        <v>-729.60229200000003</v>
      </c>
      <c r="BC159" s="305">
        <f t="shared" ref="BC159:BL159" si="274">SUM(BC155:BC158)</f>
        <v>-825</v>
      </c>
      <c r="BD159" s="306">
        <f t="shared" si="274"/>
        <v>1050</v>
      </c>
      <c r="BE159" s="306">
        <f t="shared" si="274"/>
        <v>-265.96221600000001</v>
      </c>
      <c r="BF159" s="307">
        <f t="shared" si="274"/>
        <v>-226.96100000000001</v>
      </c>
      <c r="BG159" s="308">
        <f t="shared" si="274"/>
        <v>-267.92321600000002</v>
      </c>
      <c r="BH159" s="305">
        <f t="shared" si="274"/>
        <v>-290.45805300000001</v>
      </c>
      <c r="BI159" s="306">
        <f t="shared" si="274"/>
        <v>862.5</v>
      </c>
      <c r="BJ159" s="306">
        <f t="shared" si="274"/>
        <v>-187.5</v>
      </c>
      <c r="BK159" s="307">
        <f t="shared" si="274"/>
        <v>-187.5</v>
      </c>
      <c r="BL159" s="308">
        <f t="shared" si="274"/>
        <v>197.04194699999994</v>
      </c>
      <c r="BM159" s="305">
        <f t="shared" ref="BM159:BQ159" si="275">SUM(BM155:BM158)</f>
        <v>-200</v>
      </c>
      <c r="BN159" s="306">
        <f t="shared" si="275"/>
        <v>448.86099999999999</v>
      </c>
      <c r="BO159" s="306">
        <f t="shared" si="275"/>
        <v>-200</v>
      </c>
      <c r="BP159" s="307">
        <f t="shared" si="275"/>
        <v>-200</v>
      </c>
      <c r="BQ159" s="308">
        <f t="shared" si="275"/>
        <v>-151.13900000000001</v>
      </c>
      <c r="BR159" s="308"/>
      <c r="BT159" s="497"/>
      <c r="BU159" s="497"/>
      <c r="BV159" s="497"/>
      <c r="BW159" s="497"/>
      <c r="BX159" s="497"/>
      <c r="BY159" s="497"/>
      <c r="BZ159" s="497"/>
      <c r="CA159" s="497"/>
      <c r="CB159" s="497"/>
      <c r="CC159" s="497"/>
      <c r="CD159" s="497"/>
      <c r="CE159" s="497"/>
      <c r="CF159" s="497"/>
    </row>
    <row r="160" spans="1:84" s="81" customFormat="1">
      <c r="A160" s="202"/>
      <c r="B160" s="221"/>
      <c r="C160" s="1187"/>
      <c r="E160" s="316"/>
      <c r="F160" s="312"/>
      <c r="G160" s="312"/>
      <c r="H160" s="317"/>
      <c r="I160" s="324"/>
      <c r="J160" s="321"/>
      <c r="K160" s="322"/>
      <c r="L160" s="322"/>
      <c r="M160" s="323"/>
      <c r="N160" s="324"/>
      <c r="O160" s="321"/>
      <c r="P160" s="322"/>
      <c r="Q160" s="322"/>
      <c r="R160" s="323"/>
      <c r="S160" s="324"/>
      <c r="T160" s="321"/>
      <c r="U160" s="322"/>
      <c r="V160" s="322"/>
      <c r="W160" s="317"/>
      <c r="X160" s="315"/>
      <c r="Y160" s="316"/>
      <c r="Z160" s="312"/>
      <c r="AA160" s="312"/>
      <c r="AB160" s="317"/>
      <c r="AC160" s="315"/>
      <c r="AD160" s="316"/>
      <c r="AE160" s="312"/>
      <c r="AF160" s="312"/>
      <c r="AG160" s="317"/>
      <c r="AH160" s="315"/>
      <c r="AI160" s="316"/>
      <c r="AJ160" s="312"/>
      <c r="AK160" s="312"/>
      <c r="AL160" s="317"/>
      <c r="AM160" s="315"/>
      <c r="AN160" s="316"/>
      <c r="AO160" s="312"/>
      <c r="AP160" s="312"/>
      <c r="AQ160" s="317"/>
      <c r="AR160" s="315"/>
      <c r="AS160" s="316"/>
      <c r="AT160" s="312"/>
      <c r="AU160" s="312"/>
      <c r="AV160" s="2186"/>
      <c r="AW160" s="2187"/>
      <c r="AX160" s="316"/>
      <c r="AY160" s="312"/>
      <c r="AZ160" s="312"/>
      <c r="BA160" s="317"/>
      <c r="BB160" s="315"/>
      <c r="BC160" s="316"/>
      <c r="BD160" s="312"/>
      <c r="BE160" s="312"/>
      <c r="BF160" s="317"/>
      <c r="BG160" s="315"/>
      <c r="BH160" s="316"/>
      <c r="BI160" s="312"/>
      <c r="BJ160" s="312"/>
      <c r="BK160" s="317"/>
      <c r="BL160" s="315"/>
      <c r="BM160" s="316"/>
      <c r="BN160" s="312"/>
      <c r="BO160" s="312"/>
      <c r="BP160" s="317"/>
      <c r="BQ160" s="315"/>
      <c r="BR160" s="315"/>
      <c r="BT160" s="497"/>
      <c r="BU160" s="497"/>
      <c r="BV160" s="497"/>
      <c r="BW160" s="497"/>
      <c r="BX160" s="497"/>
      <c r="BY160" s="497"/>
      <c r="BZ160" s="497"/>
      <c r="CA160" s="497"/>
      <c r="CB160" s="497"/>
      <c r="CC160" s="497"/>
      <c r="CD160" s="497"/>
      <c r="CE160" s="497"/>
      <c r="CF160" s="497"/>
    </row>
    <row r="161" spans="1:99" s="81" customFormat="1">
      <c r="A161" s="202"/>
      <c r="B161" s="221"/>
      <c r="C161" s="1197" t="s">
        <v>229</v>
      </c>
      <c r="E161" s="305"/>
      <c r="F161" s="306"/>
      <c r="G161" s="306"/>
      <c r="H161" s="307"/>
      <c r="I161" s="320"/>
      <c r="J161" s="318"/>
      <c r="K161" s="319"/>
      <c r="L161" s="319"/>
      <c r="M161" s="314"/>
      <c r="N161" s="320"/>
      <c r="O161" s="318"/>
      <c r="P161" s="319"/>
      <c r="Q161" s="319"/>
      <c r="R161" s="314"/>
      <c r="S161" s="320"/>
      <c r="T161" s="318"/>
      <c r="U161" s="319"/>
      <c r="V161" s="319"/>
      <c r="W161" s="307"/>
      <c r="X161" s="308"/>
      <c r="Y161" s="305">
        <f t="shared" ref="Y161:AM161" si="276">Y149+Y153+Y159</f>
        <v>179.71875</v>
      </c>
      <c r="Z161" s="306">
        <f t="shared" si="276"/>
        <v>247.71875</v>
      </c>
      <c r="AA161" s="306">
        <f t="shared" si="276"/>
        <v>3.71875</v>
      </c>
      <c r="AB161" s="307">
        <f>AB149+AB153+AB159</f>
        <v>308.71875</v>
      </c>
      <c r="AC161" s="308">
        <f>AC149+AC153+AC159</f>
        <v>739.875</v>
      </c>
      <c r="AD161" s="305">
        <f t="shared" si="276"/>
        <v>-163.09375</v>
      </c>
      <c r="AE161" s="306">
        <f t="shared" si="276"/>
        <v>-396.09375</v>
      </c>
      <c r="AF161" s="306">
        <f>AF149+AF153+AF159</f>
        <v>-140.09375</v>
      </c>
      <c r="AG161" s="307">
        <f>AG149+AG153+AG159</f>
        <v>-537.09375</v>
      </c>
      <c r="AH161" s="308">
        <f t="shared" si="276"/>
        <v>-1236.375</v>
      </c>
      <c r="AI161" s="305">
        <f>AI149+AI153+AI159</f>
        <v>-266</v>
      </c>
      <c r="AJ161" s="306">
        <f>AJ149+AJ153+AJ159</f>
        <v>-349</v>
      </c>
      <c r="AK161" s="306">
        <f>AK149+AK153+AK159</f>
        <v>-62</v>
      </c>
      <c r="AL161" s="307">
        <f t="shared" si="276"/>
        <v>-376</v>
      </c>
      <c r="AM161" s="308">
        <f t="shared" si="276"/>
        <v>-1053</v>
      </c>
      <c r="AN161" s="305">
        <f>AN149+AN153+AN159</f>
        <v>-10</v>
      </c>
      <c r="AO161" s="306">
        <f>AO149+AO153+AO159</f>
        <v>-72</v>
      </c>
      <c r="AP161" s="306">
        <f>AP149+AP153+AP159</f>
        <v>126</v>
      </c>
      <c r="AQ161" s="307">
        <f t="shared" ref="AQ161:AS161" si="277">AQ149+AQ153+AQ159</f>
        <v>-49</v>
      </c>
      <c r="AR161" s="308">
        <f t="shared" si="277"/>
        <v>-5</v>
      </c>
      <c r="AS161" s="305">
        <f t="shared" si="277"/>
        <v>-185.72558699999996</v>
      </c>
      <c r="AT161" s="306">
        <f t="shared" ref="AT161:AW161" si="278">AT149+AT153+AT159</f>
        <v>125.48766900000004</v>
      </c>
      <c r="AU161" s="306">
        <f t="shared" si="278"/>
        <v>-83.831249999999955</v>
      </c>
      <c r="AV161" s="2309">
        <f t="shared" si="278"/>
        <v>-165.83124999999995</v>
      </c>
      <c r="AW161" s="2308">
        <f t="shared" si="278"/>
        <v>-309.90041799999972</v>
      </c>
      <c r="AX161" s="305">
        <f t="shared" ref="AX161:BB161" si="279">AX149+AX153+AX159</f>
        <v>-250.77674215059869</v>
      </c>
      <c r="AY161" s="306">
        <f>AY149+AY153+AY159</f>
        <v>-457.44636933336403</v>
      </c>
      <c r="AZ161" s="306">
        <f>AZ149+AZ153+AZ159</f>
        <v>592.99947055566201</v>
      </c>
      <c r="BA161" s="307">
        <f t="shared" si="279"/>
        <v>-584.79523613740685</v>
      </c>
      <c r="BB161" s="308">
        <f t="shared" si="279"/>
        <v>-700.01887706570778</v>
      </c>
      <c r="BC161" s="305">
        <f t="shared" ref="BC161:BL161" si="280">BC149+BC153+BC159</f>
        <v>-795.96564727721386</v>
      </c>
      <c r="BD161" s="306">
        <f t="shared" si="280"/>
        <v>1023.8297965929938</v>
      </c>
      <c r="BE161" s="306">
        <f t="shared" si="280"/>
        <v>-196.50322231347218</v>
      </c>
      <c r="BF161" s="307">
        <f t="shared" si="280"/>
        <v>-212.66625758034138</v>
      </c>
      <c r="BG161" s="308">
        <f t="shared" si="280"/>
        <v>-181.30533057803348</v>
      </c>
      <c r="BH161" s="305">
        <f t="shared" si="280"/>
        <v>-282.07091047290231</v>
      </c>
      <c r="BI161" s="306">
        <f t="shared" si="280"/>
        <v>811.11908875782763</v>
      </c>
      <c r="BJ161" s="306">
        <f t="shared" si="280"/>
        <v>-139.41719628216401</v>
      </c>
      <c r="BK161" s="307">
        <f t="shared" si="280"/>
        <v>-194.43906434156327</v>
      </c>
      <c r="BL161" s="308">
        <f t="shared" si="280"/>
        <v>195.19191766119798</v>
      </c>
      <c r="BM161" s="305">
        <f t="shared" ref="BM161:BQ161" si="281">BM149+BM153+BM159</f>
        <v>-152.8866040546061</v>
      </c>
      <c r="BN161" s="306">
        <f t="shared" si="281"/>
        <v>431.81389572628484</v>
      </c>
      <c r="BO161" s="306">
        <f t="shared" si="281"/>
        <v>-111.5312817904761</v>
      </c>
      <c r="BP161" s="307">
        <f t="shared" si="281"/>
        <v>-166.35221539083602</v>
      </c>
      <c r="BQ161" s="308">
        <f t="shared" si="281"/>
        <v>1.0437944903666221</v>
      </c>
      <c r="BR161" s="308"/>
      <c r="BT161" s="497"/>
      <c r="BU161" s="497"/>
      <c r="BV161" s="497"/>
      <c r="BW161" s="497"/>
      <c r="BX161" s="497"/>
      <c r="BY161" s="497"/>
      <c r="BZ161" s="497"/>
      <c r="CA161" s="497"/>
      <c r="CB161" s="497"/>
      <c r="CC161" s="497"/>
      <c r="CD161" s="497"/>
      <c r="CE161" s="497"/>
      <c r="CF161" s="497"/>
    </row>
    <row r="162" spans="1:99" s="173" customFormat="1">
      <c r="A162" s="491"/>
      <c r="B162" s="491"/>
      <c r="C162" s="1198" t="s">
        <v>348</v>
      </c>
      <c r="E162" s="309"/>
      <c r="F162" s="310"/>
      <c r="G162" s="310"/>
      <c r="H162" s="311"/>
      <c r="I162" s="285"/>
      <c r="J162" s="309"/>
      <c r="K162" s="310"/>
      <c r="L162" s="310"/>
      <c r="M162" s="311"/>
      <c r="N162" s="285"/>
      <c r="O162" s="309"/>
      <c r="P162" s="310"/>
      <c r="Q162" s="310"/>
      <c r="R162" s="311"/>
      <c r="S162" s="285"/>
      <c r="T162" s="309"/>
      <c r="U162" s="310"/>
      <c r="V162" s="310"/>
      <c r="W162" s="311"/>
      <c r="X162" s="285"/>
      <c r="Y162" s="309">
        <f>IF((Y161+X167)&gt;=X169,-X169,-(X167+Y161))</f>
        <v>-253.97774999999999</v>
      </c>
      <c r="Z162" s="297">
        <f>IF((Z161+Y167)&gt;=Y169,-Y169,-(Y167+Z161))</f>
        <v>-250.49775</v>
      </c>
      <c r="AA162" s="297">
        <f>IF((AA161+Z167)&gt;=Z169,-Z169,-(Z167+AA161))</f>
        <v>-38.388750000000002</v>
      </c>
      <c r="AB162" s="311">
        <f>IF((AB161+AA167)&gt;=AA169,-AA169,-(AA167+AB161))</f>
        <v>-408.52975000000004</v>
      </c>
      <c r="AC162" s="285">
        <f>SUM(Y162:AB162)</f>
        <v>-951.39400000000001</v>
      </c>
      <c r="AD162" s="309">
        <f>IF((AD161+AC167)&gt;=AC169,-AC169,-(AC167+AD161))+AD167</f>
        <v>167.94475</v>
      </c>
      <c r="AE162" s="310">
        <f>IF((AE161+AD167)&gt;=AD169,-AD169,-(AD167+AE161))+AE167</f>
        <v>401.70275000000004</v>
      </c>
      <c r="AF162" s="297">
        <f>IF((AF161+AE167)&gt;=AE169,-AE169,-(AE167+AF161))+AF167</f>
        <v>144.03874999999999</v>
      </c>
      <c r="AG162" s="311">
        <f>IF((AG161+AF167)&gt;=AF169,-AF169,-(AF167+AG161))+AG167</f>
        <v>532.58574999999996</v>
      </c>
      <c r="AH162" s="285">
        <f>IF((AH161+AC167)&gt;=AC169,-AC169,-(AC167+AH161))+AH167</f>
        <v>1246.2720000000002</v>
      </c>
      <c r="AI162" s="309">
        <f>IF((AI161+AH167)&gt;=AH169,-AH169,-(AH167+AI161))+AI167</f>
        <v>259.99799999999999</v>
      </c>
      <c r="AJ162" s="310">
        <f>IF((AJ161+AI167)&gt;=AI169,-AI169,-(AI167+AJ161))+AJ167</f>
        <v>352.99699999999996</v>
      </c>
      <c r="AK162" s="297">
        <f>IF((AK161+AJ167)&gt;=AJ169,-AJ169,-(AJ167+AK161))+AK167</f>
        <v>64.998000000000005</v>
      </c>
      <c r="AL162" s="311">
        <f>IF((AL161+AK167)&gt;=AK169,-AK169,-(AK167+AL161))+AL167</f>
        <v>378.99799999999999</v>
      </c>
      <c r="AM162" s="285">
        <f>SUM(AI162:AL162)</f>
        <v>1056.991</v>
      </c>
      <c r="AN162" s="309">
        <f>IF((AN161+AM167)&gt;=AM169,-AM169,-(AM167+AN161))+AN167</f>
        <v>13.997</v>
      </c>
      <c r="AO162" s="310">
        <f>IF((AO161+AN167)&gt;=AN169,-AN169,-(AN167+AO161))</f>
        <v>9.2560000000000002</v>
      </c>
      <c r="AP162" s="297">
        <f>IF((AP161+AO167)&gt;=AO169,-AO169,-(AO167+AP161))+AP167</f>
        <v>201.99699999999996</v>
      </c>
      <c r="AQ162" s="311">
        <f>IF((AQ161+AP167)&gt;=AP169,-AP169,-(AP167+AQ161))+AQ167</f>
        <v>-387.00299999999999</v>
      </c>
      <c r="AR162" s="285">
        <f>SUM(AN162:AQ162)</f>
        <v>-161.75300000000004</v>
      </c>
      <c r="AS162" s="309">
        <f>IF((AS161+AR167)&gt;=AR169,-AR169,-(AR167+AS161))</f>
        <v>111.98958699999996</v>
      </c>
      <c r="AT162" s="310">
        <f t="shared" ref="AT162" si="282">IF((AT161+AS167)&gt;=AS169,-AS169,-(AS167+AT161))</f>
        <v>-202.22166900000002</v>
      </c>
      <c r="AU162" s="297">
        <f t="shared" ref="AU162" si="283">IF((AU161+AT167)&gt;=AT169,-AT169,-(AT167+AU161))</f>
        <v>4.10024999999996</v>
      </c>
      <c r="AV162" s="311">
        <f>IF((AV161+AU167)&gt;=AU169,-AU169,-(AU167+AV161))+AV167</f>
        <v>390.58600000000001</v>
      </c>
      <c r="AW162" s="2307">
        <f>SUM(AS162:AV162)</f>
        <v>304.45416799999992</v>
      </c>
      <c r="AX162" s="309">
        <f>IF((AX161+AW167)&gt;=AW169,-AW169,-(AW167+AX161))</f>
        <v>-288.94925784940131</v>
      </c>
      <c r="AY162" s="310">
        <f>IF((AY161+AX167)&gt;=AX169,-AX169,-(AX167+AY161))</f>
        <v>457.44636933336403</v>
      </c>
      <c r="AZ162" s="310">
        <f>IF((AZ161+AY167)&gt;=AY169,-AY169,-(AY167+AZ161))</f>
        <v>-560.49711148396273</v>
      </c>
      <c r="BA162" s="311">
        <f>IF((BA161+AZ167)&gt;=AZ169,-AZ169,-(AZ167+BA161))</f>
        <v>552.29287706570756</v>
      </c>
      <c r="BB162" s="285">
        <f>SUM(AX162:BA162)</f>
        <v>160.29287706570756</v>
      </c>
      <c r="BC162" s="309">
        <f>IF((BC161+BB167)&gt;=BB169,-BB169,-(BB167+BC161))</f>
        <v>795.96564727721386</v>
      </c>
      <c r="BD162" s="310">
        <f>IF((BD161+BC167)&gt;=BC169,-BC169,-(BC167+BD161))</f>
        <v>-1023.8297965929938</v>
      </c>
      <c r="BE162" s="310">
        <f>IF((BE161+BD167)&gt;=BD169,-BD169,-(BD167+BE161))</f>
        <v>196.50322231347218</v>
      </c>
      <c r="BF162" s="311">
        <f>IF((BF161+BE167)&gt;=BE169,-BE169,-(BE167+BF161))</f>
        <v>212.66625758034138</v>
      </c>
      <c r="BG162" s="285">
        <f>SUM(BC162:BF162)</f>
        <v>181.30533057803359</v>
      </c>
      <c r="BH162" s="309">
        <f>IF((BH161+BG167)&gt;=BG169,-BG169,-(BG167+BH161))</f>
        <v>282.07091047290231</v>
      </c>
      <c r="BI162" s="310">
        <f>IF((BI161+BH167)&gt;=BH169,-BH169,-(BH167+BI161))</f>
        <v>-811.11908875782763</v>
      </c>
      <c r="BJ162" s="310">
        <f>IF((BJ161+BI167)&gt;=BI169,-BI169,-(BI167+BJ161))</f>
        <v>139.41719628216401</v>
      </c>
      <c r="BK162" s="311">
        <f>IF((BK161+BJ167)&gt;=BJ169,-BJ169,-(BJ167+BK161))</f>
        <v>194.43906434156327</v>
      </c>
      <c r="BL162" s="285">
        <f>SUM(BH162:BK162)</f>
        <v>-195.19191766119809</v>
      </c>
      <c r="BM162" s="309">
        <f>IF((BM161+BL167)&gt;=BL169,-BL169,-(BL167+BM161))</f>
        <v>152.8866040546061</v>
      </c>
      <c r="BN162" s="310">
        <f>IF((BN161+BM167)&gt;=BM169,-BM169,-(BM167+BN161))</f>
        <v>-431.81389572628484</v>
      </c>
      <c r="BO162" s="310">
        <f>IF((BO161+BN167)&gt;=BN169,-BN169,-(BN167+BO161))</f>
        <v>111.5312817904761</v>
      </c>
      <c r="BP162" s="311">
        <f>IF((BP161+BO167)&gt;=BO169,-BO169,-(BO167+BP161))</f>
        <v>166.35221539083602</v>
      </c>
      <c r="BQ162" s="285">
        <f>SUM(BM162:BP162)</f>
        <v>-1.0437944903666221</v>
      </c>
      <c r="BR162" s="285"/>
      <c r="BS162" s="81"/>
      <c r="BT162" s="497"/>
      <c r="BU162" s="497"/>
      <c r="BV162" s="497"/>
      <c r="BW162" s="497"/>
      <c r="BX162" s="497"/>
      <c r="BY162" s="497"/>
    </row>
    <row r="163" spans="1:99">
      <c r="A163" s="96"/>
      <c r="B163" s="96"/>
      <c r="C163" s="1237" t="s">
        <v>233</v>
      </c>
      <c r="D163" s="96"/>
      <c r="E163" s="106"/>
      <c r="F163" s="76"/>
      <c r="G163" s="76"/>
      <c r="H163" s="107"/>
      <c r="I163" s="1236"/>
      <c r="J163" s="106"/>
      <c r="K163" s="76"/>
      <c r="L163" s="76"/>
      <c r="M163" s="107"/>
      <c r="N163" s="1236"/>
      <c r="O163" s="106"/>
      <c r="P163" s="76"/>
      <c r="Q163" s="76"/>
      <c r="R163" s="107"/>
      <c r="S163" s="1236">
        <f t="shared" ref="S163:AD163" si="284">+S167</f>
        <v>0</v>
      </c>
      <c r="T163" s="106">
        <f t="shared" si="284"/>
        <v>0</v>
      </c>
      <c r="U163" s="76">
        <f t="shared" si="284"/>
        <v>0</v>
      </c>
      <c r="V163" s="76">
        <f t="shared" si="284"/>
        <v>0</v>
      </c>
      <c r="W163" s="107">
        <f t="shared" si="284"/>
        <v>0</v>
      </c>
      <c r="X163" s="93">
        <f t="shared" si="284"/>
        <v>74.258999999999986</v>
      </c>
      <c r="Y163" s="106">
        <f t="shared" si="284"/>
        <v>2.7789999999999999</v>
      </c>
      <c r="Z163" s="76">
        <f t="shared" si="284"/>
        <v>34.67</v>
      </c>
      <c r="AA163" s="76">
        <f t="shared" si="284"/>
        <v>99.811000000000007</v>
      </c>
      <c r="AB163" s="107">
        <f t="shared" si="284"/>
        <v>44.859000000000002</v>
      </c>
      <c r="AC163" s="93">
        <f>+AB163</f>
        <v>44.859000000000002</v>
      </c>
      <c r="AD163" s="106">
        <f t="shared" si="284"/>
        <v>49.71</v>
      </c>
      <c r="AE163" s="76">
        <f>+AE167</f>
        <v>55.319000000000003</v>
      </c>
      <c r="AF163" s="76">
        <f>+AF167</f>
        <v>59.263999999999996</v>
      </c>
      <c r="AG163" s="107">
        <f>+AG167</f>
        <v>54.756</v>
      </c>
      <c r="AH163" s="93">
        <f>+AG163</f>
        <v>54.756</v>
      </c>
      <c r="AI163" s="106">
        <f>+AI167</f>
        <v>48.753999999999998</v>
      </c>
      <c r="AJ163" s="76">
        <f>+AJ167</f>
        <v>52.750999999999998</v>
      </c>
      <c r="AK163" s="76">
        <f>+AK167</f>
        <v>55.749000000000002</v>
      </c>
      <c r="AL163" s="107">
        <f>AL162+AK163+AL161</f>
        <v>58.747000000000014</v>
      </c>
      <c r="AM163" s="93">
        <f>+AL163</f>
        <v>58.747000000000014</v>
      </c>
      <c r="AN163" s="106">
        <f>+AN167</f>
        <v>62.744</v>
      </c>
      <c r="AO163" s="76">
        <f>AO162+AN163+AO161</f>
        <v>0</v>
      </c>
      <c r="AP163" s="76">
        <f>+AP167</f>
        <v>509.73899999999998</v>
      </c>
      <c r="AQ163" s="107">
        <f>AQ162+AP163+AQ161</f>
        <v>73.73599999999999</v>
      </c>
      <c r="AR163" s="93">
        <f>+AQ163</f>
        <v>73.73599999999999</v>
      </c>
      <c r="AS163" s="106">
        <f>AS167</f>
        <v>76.733999999999995</v>
      </c>
      <c r="AT163" s="76">
        <f t="shared" ref="AT163:AU163" si="285">AT167</f>
        <v>79.730999999999995</v>
      </c>
      <c r="AU163" s="76">
        <f t="shared" si="285"/>
        <v>371.72900000000004</v>
      </c>
      <c r="AV163" s="107">
        <f>AV167</f>
        <v>539.726</v>
      </c>
      <c r="AW163" s="2312">
        <f>+AV163</f>
        <v>539.726</v>
      </c>
      <c r="AX163" s="106">
        <f>AX162+AW163+AX161</f>
        <v>0</v>
      </c>
      <c r="AY163" s="76">
        <f>AY162+AX163+AY161</f>
        <v>0</v>
      </c>
      <c r="AZ163" s="76">
        <f>AZ162+AY163+AZ161</f>
        <v>32.502359071699289</v>
      </c>
      <c r="BA163" s="107">
        <f>BA162+AZ163+BA161</f>
        <v>0</v>
      </c>
      <c r="BB163" s="93">
        <f>+BA163</f>
        <v>0</v>
      </c>
      <c r="BC163" s="106">
        <f>BC162+BB163+BC161</f>
        <v>0</v>
      </c>
      <c r="BD163" s="76">
        <f>BD162+BC163+BD161</f>
        <v>0</v>
      </c>
      <c r="BE163" s="76">
        <f>BE162+BD163+BE161</f>
        <v>0</v>
      </c>
      <c r="BF163" s="107">
        <f>BF162+BE163+BF161</f>
        <v>0</v>
      </c>
      <c r="BG163" s="93">
        <f>+BF163</f>
        <v>0</v>
      </c>
      <c r="BH163" s="106">
        <f>BH162+BG163+BH161</f>
        <v>0</v>
      </c>
      <c r="BI163" s="76">
        <f>BI162+BH163+BI161</f>
        <v>0</v>
      </c>
      <c r="BJ163" s="76">
        <f>BJ162+BI163+BJ161</f>
        <v>0</v>
      </c>
      <c r="BK163" s="107">
        <f>BK162+BJ163+BK161</f>
        <v>0</v>
      </c>
      <c r="BL163" s="93">
        <f>+BK163</f>
        <v>0</v>
      </c>
      <c r="BM163" s="106">
        <f>BM162+BL163+BM161</f>
        <v>0</v>
      </c>
      <c r="BN163" s="76">
        <f>BN162+BM163+BN161</f>
        <v>0</v>
      </c>
      <c r="BO163" s="76">
        <f>BO162+BN163+BO161</f>
        <v>0</v>
      </c>
      <c r="BP163" s="107">
        <f>BP162+BO163+BP161</f>
        <v>0</v>
      </c>
      <c r="BQ163" s="93">
        <f>+BP163</f>
        <v>0</v>
      </c>
      <c r="BR163" s="96"/>
      <c r="BS163" s="81"/>
      <c r="BT163" s="497"/>
      <c r="BU163" s="497"/>
      <c r="BV163" s="497"/>
      <c r="BW163" s="497"/>
      <c r="BX163" s="497"/>
      <c r="BY163" s="497"/>
      <c r="BZ163" s="96"/>
      <c r="CA163" s="96"/>
      <c r="CB163" s="96"/>
      <c r="CC163" s="96"/>
      <c r="CD163" s="96"/>
      <c r="CE163" s="96"/>
      <c r="CF163" s="96"/>
      <c r="CG163" s="93"/>
      <c r="CH163" s="93"/>
      <c r="CI163" s="93"/>
      <c r="CJ163" s="93"/>
      <c r="CK163" s="93"/>
      <c r="CL163" s="93"/>
      <c r="CM163" s="93"/>
      <c r="CN163" s="93"/>
      <c r="CO163" s="93"/>
      <c r="CP163" s="93"/>
      <c r="CQ163" s="93"/>
      <c r="CR163" s="93"/>
      <c r="CS163" s="93"/>
      <c r="CT163" s="93"/>
      <c r="CU163" s="93"/>
    </row>
    <row r="164" spans="1:99">
      <c r="A164" s="139"/>
      <c r="B164" s="92"/>
      <c r="C164" s="1222"/>
      <c r="E164" s="231"/>
      <c r="F164" s="232"/>
      <c r="G164" s="232"/>
      <c r="H164" s="234"/>
      <c r="I164" s="320"/>
      <c r="J164" s="318"/>
      <c r="K164" s="319"/>
      <c r="L164" s="319"/>
      <c r="M164" s="314"/>
      <c r="N164" s="320"/>
      <c r="O164" s="318"/>
      <c r="P164" s="319"/>
      <c r="Q164" s="319"/>
      <c r="R164" s="314"/>
      <c r="S164" s="320"/>
      <c r="T164" s="318"/>
      <c r="U164" s="319"/>
      <c r="V164" s="319"/>
      <c r="W164" s="234"/>
      <c r="X164" s="233"/>
      <c r="Y164" s="231"/>
      <c r="Z164" s="232"/>
      <c r="AA164" s="232"/>
      <c r="AB164" s="234"/>
      <c r="AC164" s="233"/>
      <c r="AD164" s="231"/>
      <c r="AE164" s="232"/>
      <c r="AF164" s="232"/>
      <c r="AG164" s="234"/>
      <c r="AH164" s="233"/>
      <c r="AI164" s="231"/>
      <c r="AJ164" s="232"/>
      <c r="AK164" s="232"/>
      <c r="AL164" s="234"/>
      <c r="AM164" s="233"/>
      <c r="AN164" s="231"/>
      <c r="AO164" s="232"/>
      <c r="AP164" s="232"/>
      <c r="AQ164" s="234"/>
      <c r="AR164" s="233"/>
      <c r="AS164" s="231"/>
      <c r="AT164" s="232"/>
      <c r="AU164" s="232"/>
      <c r="AV164" s="234"/>
      <c r="AW164" s="233"/>
      <c r="AX164" s="231"/>
      <c r="AY164" s="232"/>
      <c r="AZ164" s="232"/>
      <c r="BA164" s="234"/>
      <c r="BB164" s="233"/>
      <c r="BC164" s="231"/>
      <c r="BD164" s="232"/>
      <c r="BE164" s="232"/>
      <c r="BF164" s="234"/>
      <c r="BG164" s="233"/>
      <c r="BH164" s="231"/>
      <c r="BI164" s="232"/>
      <c r="BJ164" s="232"/>
      <c r="BK164" s="234"/>
      <c r="BL164" s="233"/>
      <c r="BM164" s="231"/>
      <c r="BN164" s="232"/>
      <c r="BO164" s="232"/>
      <c r="BP164" s="234"/>
      <c r="BQ164" s="233"/>
      <c r="BR164" s="233"/>
      <c r="BS164" s="81"/>
      <c r="BT164" s="497"/>
      <c r="BU164" s="497"/>
      <c r="BV164" s="497"/>
      <c r="BW164" s="497"/>
      <c r="BX164" s="497"/>
      <c r="BY164" s="497"/>
      <c r="BZ164" s="325"/>
      <c r="CA164" s="325"/>
      <c r="CB164" s="325"/>
      <c r="CC164" s="325"/>
      <c r="CD164" s="162"/>
      <c r="CE164" s="162"/>
    </row>
    <row r="165" spans="1:99">
      <c r="A165" s="139"/>
      <c r="B165" s="92"/>
      <c r="C165" s="1222"/>
      <c r="E165" s="231"/>
      <c r="F165" s="232"/>
      <c r="G165" s="232"/>
      <c r="H165" s="234"/>
      <c r="I165" s="320"/>
      <c r="J165" s="318"/>
      <c r="K165" s="319"/>
      <c r="L165" s="319"/>
      <c r="M165" s="314"/>
      <c r="N165" s="320"/>
      <c r="O165" s="318"/>
      <c r="P165" s="319"/>
      <c r="Q165" s="319"/>
      <c r="R165" s="314"/>
      <c r="S165" s="320"/>
      <c r="T165" s="318"/>
      <c r="U165" s="319"/>
      <c r="V165" s="319"/>
      <c r="W165" s="234"/>
      <c r="X165" s="233"/>
      <c r="Y165" s="231"/>
      <c r="Z165" s="232"/>
      <c r="AA165" s="232"/>
      <c r="AB165" s="234"/>
      <c r="AC165" s="233"/>
      <c r="AD165" s="231"/>
      <c r="AE165" s="232"/>
      <c r="AF165" s="232"/>
      <c r="AG165" s="234"/>
      <c r="AH165" s="233"/>
      <c r="AI165" s="231"/>
      <c r="AJ165" s="232"/>
      <c r="AK165" s="232"/>
      <c r="AL165" s="234"/>
      <c r="AM165" s="233"/>
      <c r="AN165" s="231"/>
      <c r="AO165" s="232"/>
      <c r="AP165" s="232"/>
      <c r="AQ165" s="234"/>
      <c r="AR165" s="233"/>
      <c r="AS165" s="231"/>
      <c r="AT165" s="1091"/>
      <c r="AU165" s="232"/>
      <c r="AV165" s="234"/>
      <c r="AW165" s="233"/>
      <c r="AX165" s="231"/>
      <c r="AY165" s="232"/>
      <c r="AZ165" s="232"/>
      <c r="BA165" s="234"/>
      <c r="BB165" s="233"/>
      <c r="BC165" s="231"/>
      <c r="BD165" s="232"/>
      <c r="BE165" s="232"/>
      <c r="BF165" s="234"/>
      <c r="BG165" s="233"/>
      <c r="BH165" s="231"/>
      <c r="BI165" s="232"/>
      <c r="BJ165" s="232"/>
      <c r="BK165" s="234"/>
      <c r="BL165" s="233"/>
      <c r="BM165" s="231"/>
      <c r="BN165" s="232"/>
      <c r="BO165" s="232"/>
      <c r="BP165" s="234"/>
      <c r="BQ165" s="233"/>
      <c r="BR165" s="233"/>
      <c r="BS165" s="81"/>
      <c r="BT165" s="497"/>
      <c r="BU165" s="497"/>
      <c r="BV165" s="497"/>
      <c r="BW165" s="497"/>
      <c r="BX165" s="497"/>
      <c r="BY165" s="497"/>
      <c r="BZ165" s="325"/>
      <c r="CA165" s="325"/>
      <c r="CB165" s="325"/>
      <c r="CC165" s="325"/>
      <c r="CD165" s="162"/>
      <c r="CE165" s="162"/>
    </row>
    <row r="166" spans="1:99" s="221" customFormat="1">
      <c r="A166" s="202"/>
      <c r="B166" s="671" t="s">
        <v>635</v>
      </c>
      <c r="C166" s="1185"/>
      <c r="D166" s="666"/>
      <c r="E166" s="316"/>
      <c r="F166" s="312"/>
      <c r="G166" s="312"/>
      <c r="H166" s="317"/>
      <c r="I166" s="308"/>
      <c r="J166" s="316"/>
      <c r="K166" s="312"/>
      <c r="L166" s="312"/>
      <c r="M166" s="323"/>
      <c r="N166" s="285"/>
      <c r="O166" s="316"/>
      <c r="P166" s="312"/>
      <c r="Q166" s="312"/>
      <c r="R166" s="323"/>
      <c r="S166" s="285"/>
      <c r="T166" s="316"/>
      <c r="U166" s="312"/>
      <c r="V166" s="312"/>
      <c r="W166" s="317"/>
      <c r="X166" s="308"/>
      <c r="Y166" s="316"/>
      <c r="Z166" s="312"/>
      <c r="AA166" s="312"/>
      <c r="AB166" s="317"/>
      <c r="AC166" s="308"/>
      <c r="AD166" s="316"/>
      <c r="AE166" s="312"/>
      <c r="AF166" s="312"/>
      <c r="AG166" s="317"/>
      <c r="AH166" s="308"/>
      <c r="AI166" s="316"/>
      <c r="AJ166" s="312"/>
      <c r="AK166" s="312"/>
      <c r="AL166" s="317"/>
      <c r="AM166" s="308"/>
      <c r="AN166" s="316"/>
      <c r="AO166" s="312"/>
      <c r="AP166" s="312"/>
      <c r="AQ166" s="317"/>
      <c r="AR166" s="308"/>
      <c r="AS166" s="316"/>
      <c r="AT166" s="312"/>
      <c r="AU166" s="312"/>
      <c r="AV166" s="317"/>
      <c r="AW166" s="308"/>
      <c r="AX166" s="316"/>
      <c r="AY166" s="312"/>
      <c r="AZ166" s="312"/>
      <c r="BA166" s="317"/>
      <c r="BB166" s="308"/>
      <c r="BC166" s="316"/>
      <c r="BD166" s="312"/>
      <c r="BE166" s="312"/>
      <c r="BF166" s="317"/>
      <c r="BG166" s="308"/>
      <c r="BH166" s="316"/>
      <c r="BI166" s="312"/>
      <c r="BJ166" s="312"/>
      <c r="BK166" s="317"/>
      <c r="BL166" s="308"/>
      <c r="BM166" s="316"/>
      <c r="BN166" s="312"/>
      <c r="BO166" s="312"/>
      <c r="BP166" s="317"/>
      <c r="BQ166" s="308"/>
      <c r="BR166" s="308"/>
      <c r="BS166" s="491"/>
      <c r="BT166" s="173"/>
      <c r="BU166" s="173"/>
      <c r="BV166" s="173"/>
      <c r="BW166" s="173"/>
      <c r="BX166" s="173"/>
      <c r="BY166" s="173"/>
    </row>
    <row r="167" spans="1:99" s="491" customFormat="1">
      <c r="B167" s="96"/>
      <c r="C167" s="1198" t="s">
        <v>405</v>
      </c>
      <c r="E167" s="309"/>
      <c r="F167" s="310"/>
      <c r="G167" s="310"/>
      <c r="H167" s="311"/>
      <c r="I167" s="285"/>
      <c r="J167" s="309"/>
      <c r="K167" s="310"/>
      <c r="L167" s="310"/>
      <c r="M167" s="311"/>
      <c r="N167" s="300"/>
      <c r="O167" s="301"/>
      <c r="P167" s="302"/>
      <c r="Q167" s="302"/>
      <c r="R167" s="311"/>
      <c r="S167" s="300"/>
      <c r="T167" s="301"/>
      <c r="U167" s="302"/>
      <c r="V167" s="302"/>
      <c r="W167" s="311"/>
      <c r="X167" s="300">
        <f>50+0+22.252+0.405+0.157+0.002+1.359+0.063+0.021</f>
        <v>74.258999999999986</v>
      </c>
      <c r="Y167" s="301">
        <f>0.252+0.773+0.157+0.002+1.405+0.177+0.013</f>
        <v>2.7789999999999999</v>
      </c>
      <c r="Z167" s="302">
        <f>0+0.252+0.77+0+0.157+0.001+0.99+0.052+0.015+32.433</f>
        <v>34.67</v>
      </c>
      <c r="AA167" s="302">
        <f>60+0.252+0.768+0.157+0.001+1.008+0.06+0.009+37.556</f>
        <v>99.811000000000007</v>
      </c>
      <c r="AB167" s="311">
        <f>+AC167</f>
        <v>44.859000000000002</v>
      </c>
      <c r="AC167" s="300">
        <f>0+0.152+0.766+0.157+0.001+0.984+0.051+0.068+42.68</f>
        <v>44.859000000000002</v>
      </c>
      <c r="AD167" s="301">
        <f>0+0.152+0.764+0+0.158+0.001+0.986+0.059+0.063+47.527</f>
        <v>49.71</v>
      </c>
      <c r="AE167" s="302">
        <f>0+0.152+0.761+1+0.157+0.001+0.809+0.042+52.34+0.057</f>
        <v>55.319000000000003</v>
      </c>
      <c r="AF167" s="302">
        <f>0+0.152+0.759+0+0.157+0.001+0.93+0.06+0.052+57.153</f>
        <v>59.263999999999996</v>
      </c>
      <c r="AG167" s="311">
        <f>+AH167</f>
        <v>54.756</v>
      </c>
      <c r="AH167" s="300">
        <f>0.756+1+53</f>
        <v>54.756</v>
      </c>
      <c r="AI167" s="301">
        <f>0.754+1+47</f>
        <v>48.753999999999998</v>
      </c>
      <c r="AJ167" s="302">
        <f>0.751+1+51</f>
        <v>52.750999999999998</v>
      </c>
      <c r="AK167" s="302">
        <f>0.749+1+54</f>
        <v>55.749000000000002</v>
      </c>
      <c r="AL167" s="311">
        <f>+AM167</f>
        <v>58.747</v>
      </c>
      <c r="AM167" s="300">
        <f>0.747+1+57</f>
        <v>58.747</v>
      </c>
      <c r="AN167" s="301">
        <f>0.744+1+61</f>
        <v>62.744</v>
      </c>
      <c r="AO167" s="302">
        <f>115+0+0.742+1+65</f>
        <v>181.74200000000002</v>
      </c>
      <c r="AP167" s="302">
        <f>365+45+30.739+1+68</f>
        <v>509.73899999999998</v>
      </c>
      <c r="AQ167" s="311">
        <f>+AR167</f>
        <v>73.736000000000004</v>
      </c>
      <c r="AR167" s="300">
        <f>0+0+0.736+0+0+0+1+0+72</f>
        <v>73.736000000000004</v>
      </c>
      <c r="AS167" s="301">
        <f>0+0+0.734+0+0+0+1+0+0+75</f>
        <v>76.733999999999995</v>
      </c>
      <c r="AT167" s="302">
        <f>0.731+1+78</f>
        <v>79.730999999999995</v>
      </c>
      <c r="AU167" s="302">
        <f>240+0.729+1+130</f>
        <v>371.72900000000004</v>
      </c>
      <c r="AV167" s="311">
        <f>+AW167</f>
        <v>539.726</v>
      </c>
      <c r="AW167" s="300">
        <f>330+50+0.726+0+0+0+76+0+0+83</f>
        <v>539.726</v>
      </c>
      <c r="AX167" s="309">
        <f t="shared" ref="AX167:BB167" si="286">+AX163</f>
        <v>0</v>
      </c>
      <c r="AY167" s="310">
        <f t="shared" si="286"/>
        <v>0</v>
      </c>
      <c r="AZ167" s="310">
        <f t="shared" si="286"/>
        <v>32.502359071699289</v>
      </c>
      <c r="BA167" s="311">
        <f t="shared" si="286"/>
        <v>0</v>
      </c>
      <c r="BB167" s="285">
        <f t="shared" si="286"/>
        <v>0</v>
      </c>
      <c r="BC167" s="309">
        <f t="shared" ref="BC167:BL167" si="287">+BC163</f>
        <v>0</v>
      </c>
      <c r="BD167" s="310">
        <f t="shared" si="287"/>
        <v>0</v>
      </c>
      <c r="BE167" s="310">
        <f t="shared" si="287"/>
        <v>0</v>
      </c>
      <c r="BF167" s="311">
        <f t="shared" si="287"/>
        <v>0</v>
      </c>
      <c r="BG167" s="285">
        <f t="shared" si="287"/>
        <v>0</v>
      </c>
      <c r="BH167" s="309">
        <f t="shared" si="287"/>
        <v>0</v>
      </c>
      <c r="BI167" s="310">
        <f t="shared" si="287"/>
        <v>0</v>
      </c>
      <c r="BJ167" s="310">
        <f t="shared" si="287"/>
        <v>0</v>
      </c>
      <c r="BK167" s="311">
        <f t="shared" si="287"/>
        <v>0</v>
      </c>
      <c r="BL167" s="285">
        <f t="shared" si="287"/>
        <v>0</v>
      </c>
      <c r="BM167" s="309">
        <f t="shared" ref="BM167:BQ167" si="288">+BM163</f>
        <v>0</v>
      </c>
      <c r="BN167" s="310">
        <f t="shared" si="288"/>
        <v>0</v>
      </c>
      <c r="BO167" s="310">
        <f t="shared" si="288"/>
        <v>0</v>
      </c>
      <c r="BP167" s="311">
        <f t="shared" si="288"/>
        <v>0</v>
      </c>
      <c r="BQ167" s="285">
        <f t="shared" si="288"/>
        <v>0</v>
      </c>
      <c r="BR167" s="285"/>
      <c r="BS167" s="96"/>
      <c r="BT167" s="96"/>
      <c r="BU167" s="96"/>
      <c r="BV167" s="96"/>
      <c r="BW167" s="96"/>
      <c r="BX167" s="96"/>
      <c r="BY167" s="96"/>
    </row>
    <row r="168" spans="1:99" s="221" customFormat="1">
      <c r="A168" s="202"/>
      <c r="B168" s="96"/>
      <c r="C168" s="1198"/>
      <c r="E168" s="316"/>
      <c r="F168" s="312"/>
      <c r="G168" s="312"/>
      <c r="H168" s="317"/>
      <c r="I168" s="308"/>
      <c r="J168" s="316"/>
      <c r="K168" s="312"/>
      <c r="L168" s="312"/>
      <c r="M168" s="290"/>
      <c r="N168" s="300"/>
      <c r="O168" s="301"/>
      <c r="P168" s="302"/>
      <c r="Q168" s="302"/>
      <c r="R168" s="311"/>
      <c r="S168" s="300"/>
      <c r="T168" s="301"/>
      <c r="U168" s="302"/>
      <c r="V168" s="302"/>
      <c r="W168" s="311"/>
      <c r="X168" s="300"/>
      <c r="Y168" s="301"/>
      <c r="Z168" s="302"/>
      <c r="AA168" s="302"/>
      <c r="AB168" s="317"/>
      <c r="AC168" s="300"/>
      <c r="AD168" s="301"/>
      <c r="AE168" s="302"/>
      <c r="AF168" s="302"/>
      <c r="AG168" s="317"/>
      <c r="AH168" s="300"/>
      <c r="AI168" s="301"/>
      <c r="AJ168" s="302"/>
      <c r="AK168" s="302"/>
      <c r="AL168" s="317"/>
      <c r="AM168" s="300"/>
      <c r="AN168" s="301"/>
      <c r="AO168" s="302"/>
      <c r="AP168" s="302"/>
      <c r="AQ168" s="317"/>
      <c r="AR168" s="300"/>
      <c r="AS168" s="301"/>
      <c r="AT168" s="302"/>
      <c r="AU168" s="302"/>
      <c r="AV168" s="317"/>
      <c r="AW168" s="300"/>
      <c r="AX168" s="316"/>
      <c r="AY168" s="312"/>
      <c r="AZ168" s="312"/>
      <c r="BA168" s="317"/>
      <c r="BB168" s="308"/>
      <c r="BC168" s="316"/>
      <c r="BD168" s="312"/>
      <c r="BE168" s="312"/>
      <c r="BF168" s="317"/>
      <c r="BG168" s="308"/>
      <c r="BH168" s="316"/>
      <c r="BI168" s="312"/>
      <c r="BJ168" s="312"/>
      <c r="BK168" s="317"/>
      <c r="BL168" s="308"/>
      <c r="BM168" s="316"/>
      <c r="BN168" s="312"/>
      <c r="BO168" s="312"/>
      <c r="BP168" s="317"/>
      <c r="BQ168" s="308"/>
      <c r="BR168" s="308"/>
      <c r="BT168" s="325"/>
      <c r="BU168" s="325"/>
      <c r="BV168" s="325"/>
      <c r="BW168" s="325"/>
      <c r="BX168" s="325"/>
      <c r="BY168" s="325"/>
    </row>
    <row r="169" spans="1:99" s="491" customFormat="1">
      <c r="B169" s="96"/>
      <c r="C169" s="1198" t="s">
        <v>406</v>
      </c>
      <c r="E169" s="309"/>
      <c r="F169" s="310"/>
      <c r="G169" s="310"/>
      <c r="H169" s="311"/>
      <c r="I169" s="285"/>
      <c r="J169" s="309"/>
      <c r="K169" s="310"/>
      <c r="L169" s="310"/>
      <c r="M169" s="311"/>
      <c r="N169" s="300"/>
      <c r="O169" s="301"/>
      <c r="P169" s="302"/>
      <c r="Q169" s="302"/>
      <c r="R169" s="311"/>
      <c r="S169" s="300"/>
      <c r="T169" s="301"/>
      <c r="U169" s="302"/>
      <c r="V169" s="302"/>
      <c r="W169" s="311"/>
      <c r="X169" s="300">
        <f>0+365+140+26.262+219.023+17.475+78.805+1000+69.734</f>
        <v>1916.299</v>
      </c>
      <c r="Y169" s="301">
        <f>1.768+642+91.306+50.442+4.182+19.71+74.41+1000+155.791</f>
        <v>2039.6090000000002</v>
      </c>
      <c r="Z169" s="302">
        <f>0+1.768+0+793+45.92+0+4.157+16.473+41.293+155.143+1000</f>
        <v>2057.7539999999999</v>
      </c>
      <c r="AA169" s="302">
        <f>0+1.768+35.195+209+1.361+0+0+0.178+0.267+126.592+1000</f>
        <v>1374.3609999999999</v>
      </c>
      <c r="AB169" s="311">
        <f>+AC169</f>
        <v>2054.75</v>
      </c>
      <c r="AC169" s="300">
        <f>31+50+18.939+75+29.159+50+81+200+23.281+50+33.524+125+0+33.63+11.093+50+193.124+1000</f>
        <v>2054.75</v>
      </c>
      <c r="AD169" s="301">
        <f>48+25+85.252+75+100+10+230+61.845+75+150+15.833+60.205+50+750+3.746</f>
        <v>1739.8810000000001</v>
      </c>
      <c r="AE169" s="302">
        <f>41+50+64.597+150+6.261+150+107+250+75+49.485+30.32+115+51.797</f>
        <v>1140.46</v>
      </c>
      <c r="AF169" s="302">
        <f>31+99.866+75+47.092+100+135+150+15.927+27.541+33.082+75+43.173+75</f>
        <v>907.68100000000004</v>
      </c>
      <c r="AG169" s="311">
        <f>+AH169</f>
        <v>731.00400000000002</v>
      </c>
      <c r="AH169" s="300">
        <f>37+124+49.004+50+233+33+11+4+89+101</f>
        <v>731.00400000000002</v>
      </c>
      <c r="AI169" s="301">
        <f>43+83+50+85.206+39+250+89+30+34+128+50+2+50</f>
        <v>933.20600000000002</v>
      </c>
      <c r="AJ169" s="302">
        <f>49+84+125+11.336+150+82+325+85+67+40+35+150+30+50</f>
        <v>1283.336</v>
      </c>
      <c r="AK169" s="302">
        <f>45+176+140.793+24+45+38+39+50+102</f>
        <v>659.79300000000001</v>
      </c>
      <c r="AL169" s="311">
        <f>+AM169</f>
        <v>589</v>
      </c>
      <c r="AM169" s="300">
        <f>43+190+21+54+80+196+5</f>
        <v>589</v>
      </c>
      <c r="AN169" s="301">
        <f>41+153+53+127+41+20+103</f>
        <v>538</v>
      </c>
      <c r="AO169" s="302">
        <f>41+98+159+21+193+55+12+16+150</f>
        <v>745</v>
      </c>
      <c r="AP169" s="302">
        <f>0+2+82+139+24+111+250</f>
        <v>608</v>
      </c>
      <c r="AQ169" s="311">
        <f>+AR169</f>
        <v>662</v>
      </c>
      <c r="AR169" s="300">
        <f>0+2+0+98+46+31+195+17+103+170</f>
        <v>662</v>
      </c>
      <c r="AS169" s="301">
        <f>8+2+0+55+65+43+297+0+109+127</f>
        <v>706</v>
      </c>
      <c r="AT169" s="302">
        <f>10+114+156+50+51+54+119+75+9</f>
        <v>638</v>
      </c>
      <c r="AU169" s="302">
        <f>107+11.14+10+21</f>
        <v>149.13999999999999</v>
      </c>
      <c r="AV169" s="311">
        <f>+AW169</f>
        <v>392</v>
      </c>
      <c r="AW169" s="300">
        <f>9+2+0+0+0+23+0+0+0+358</f>
        <v>392</v>
      </c>
      <c r="AX169" s="309">
        <f>AW169+AX162</f>
        <v>103.05074215059869</v>
      </c>
      <c r="AY169" s="310">
        <f>AX169+AY162</f>
        <v>560.49711148396273</v>
      </c>
      <c r="AZ169" s="310">
        <f>AY169+AZ162</f>
        <v>0</v>
      </c>
      <c r="BA169" s="311">
        <f>AZ169+BA162</f>
        <v>552.29287706570756</v>
      </c>
      <c r="BB169" s="285">
        <f>BA169</f>
        <v>552.29287706570756</v>
      </c>
      <c r="BC169" s="309">
        <f>BB169+BC162</f>
        <v>1348.2585243429214</v>
      </c>
      <c r="BD169" s="310">
        <f>BC169+BD162</f>
        <v>324.42872774992759</v>
      </c>
      <c r="BE169" s="310">
        <f>BD169+BE162</f>
        <v>520.93195006339977</v>
      </c>
      <c r="BF169" s="311">
        <f>BE169+BF162</f>
        <v>733.59820764374115</v>
      </c>
      <c r="BG169" s="285">
        <f>BF169</f>
        <v>733.59820764374115</v>
      </c>
      <c r="BH169" s="309">
        <f>BG169+BH162</f>
        <v>1015.6691181166434</v>
      </c>
      <c r="BI169" s="310">
        <f>BH169+BI162</f>
        <v>204.55002935881578</v>
      </c>
      <c r="BJ169" s="310">
        <f>BI169+BJ162</f>
        <v>343.96722564097979</v>
      </c>
      <c r="BK169" s="311">
        <f>BJ169+BK162</f>
        <v>538.40628998254306</v>
      </c>
      <c r="BL169" s="285">
        <f>BK169</f>
        <v>538.40628998254306</v>
      </c>
      <c r="BM169" s="309">
        <f>BL169+BM162</f>
        <v>691.29289403714915</v>
      </c>
      <c r="BN169" s="310">
        <f>BM169+BN162</f>
        <v>259.47899831086431</v>
      </c>
      <c r="BO169" s="310">
        <f>BN169+BO162</f>
        <v>371.01028010134041</v>
      </c>
      <c r="BP169" s="311">
        <f>BO169+BP162</f>
        <v>537.36249549217644</v>
      </c>
      <c r="BQ169" s="285">
        <f>BP169</f>
        <v>537.36249549217644</v>
      </c>
      <c r="BR169" s="285"/>
      <c r="BS169" s="221"/>
      <c r="BT169" s="325"/>
      <c r="BU169" s="325"/>
      <c r="BV169" s="325"/>
      <c r="BW169" s="325"/>
      <c r="BX169" s="325"/>
      <c r="BY169" s="325"/>
    </row>
    <row r="170" spans="1:99" s="491" customFormat="1">
      <c r="B170" s="96"/>
      <c r="C170" s="1198" t="s">
        <v>367</v>
      </c>
      <c r="E170" s="309"/>
      <c r="F170" s="310"/>
      <c r="G170" s="310"/>
      <c r="H170" s="311"/>
      <c r="I170" s="285"/>
      <c r="J170" s="309"/>
      <c r="K170" s="310"/>
      <c r="L170" s="310"/>
      <c r="M170" s="311"/>
      <c r="N170" s="300"/>
      <c r="O170" s="301"/>
      <c r="P170" s="302"/>
      <c r="Q170" s="302"/>
      <c r="R170" s="311"/>
      <c r="S170" s="300"/>
      <c r="T170" s="301"/>
      <c r="U170" s="302"/>
      <c r="V170" s="302"/>
      <c r="W170" s="311"/>
      <c r="X170" s="300">
        <f>4+1172+36+1701+302.169+1521.342+1+606.755+180.887+567.82+47.771+1093.673+316.377+743.458+7.122+569.548+4.317+568.498+855.078</f>
        <v>10298.814999999999</v>
      </c>
      <c r="Y170" s="301">
        <f>4+1171+302.206+1464.209+1.007+606.58+37+1692+30.908+866.924+47.792+1093.183+328.034+717.784+7.02+564.334+4.26+565.64+854.431</f>
        <v>10358.312000000002</v>
      </c>
      <c r="Z170" s="302">
        <f>17+1176+91.445+1681.581+1.405+614.553+37+1684+280.926+616.341+197.811+942.55+451.21+586.641+7.839+560.306+4.115+562.756+853.784</f>
        <v>10367.263000000001</v>
      </c>
      <c r="AA170" s="302">
        <f>32+912+32.43+1545.446+2.003+399.866+38+2171+281.008+616.47+197.867+942.191+446.079+577.514+7.888+554.929+4.106+560.1+853.136</f>
        <v>10174.033000000001</v>
      </c>
      <c r="AB170" s="311">
        <f>+AC170</f>
        <v>10580.651000000002</v>
      </c>
      <c r="AC170" s="300">
        <f>33+917+33.042+1550.056+2.436+403.023+38+2160+181.47+619.546+49.124+952.612+19.213+1647.613+186.669+373.701+4.109+557.548+852.489</f>
        <v>10580.651000000002</v>
      </c>
      <c r="AD170" s="301">
        <f>914+22+28.582+1539.67+2.68+402.069+2151+39+182.491+617.841+49.153+951.705+19.209+1638.677+369.689+185.488+3.992+554.842+452.064+399.778</f>
        <v>10523.930000000002</v>
      </c>
      <c r="AE170" s="302">
        <f>913+22+28.64+1538.921+2.691+401.71+2142+40+3.013+867.406+4.185+1150.171+1636.526+18.942+184.224+367.851+3.949+551.977+451.41+1397.979</f>
        <v>11726.595000000001</v>
      </c>
      <c r="AF170" s="302">
        <f>910+9+1528.888+22.054+400.739+2.72+2132+40+866.665+3.035+1149.189+4.217+1628.317+18.082+216.73+330.045+549.009+4.038+1794.032+450.756</f>
        <v>12059.516</v>
      </c>
      <c r="AG170" s="311">
        <f>+AH170</f>
        <v>12165.105</v>
      </c>
      <c r="AH170" s="300">
        <f>909+9+1528+22+400.374+2.731+2121+41+866+3+1149+4+89+1556+416+154+547+4+2344</f>
        <v>12165.105</v>
      </c>
      <c r="AI170" s="301">
        <f>906+9+1519+22+399.372+2.751+2111+41+865+3+1147+4+1547+89+413+153+544+4+2344</f>
        <v>12123.123</v>
      </c>
      <c r="AJ170" s="302">
        <f>904+9+1518+22+399.001+2.762+1801+342+864+3+1146+4+1545+88+412+153+542+4+2344</f>
        <v>12102.763000000001</v>
      </c>
      <c r="AK170" s="302">
        <f>9+902+22+1508+2.776+398.016+343+2040+3+864+4+1146+88+1536+7+553+151+541+2344</f>
        <v>12461.791999999999</v>
      </c>
      <c r="AL170" s="311">
        <f>+AM170</f>
        <v>12595.428</v>
      </c>
      <c r="AM170" s="300">
        <f>9+900+22+1507+2.788+397.64+343+2028+3+863+4+1145+18+1535+109+451+150+539+2569</f>
        <v>12595.428</v>
      </c>
      <c r="AN170" s="301">
        <f>9+894+22+1492+2.784+394.542+344+2010+3+858+4+1139+171+1361+108+444+149+537+2550</f>
        <v>12492.326000000001</v>
      </c>
      <c r="AO170" s="302">
        <f>8+893+152+1361+2.766+394.214+294+1749+3+859+4+1138+170+1361+108+443+148+535+2550</f>
        <v>12172.98</v>
      </c>
      <c r="AP170" s="302">
        <f>8+940+152+1351+2.762+393.26+287+1746+3+857+304+837+169+1352+107+440+3+533+2552</f>
        <v>12037.022000000001</v>
      </c>
      <c r="AQ170" s="311">
        <f>+AR170</f>
        <v>12172.671</v>
      </c>
      <c r="AR170" s="300">
        <f>8+938+452+1051+2.742+392.929+279+1743+3+856+304+837+169+1351+594+7+282+352+2551</f>
        <v>12172.671</v>
      </c>
      <c r="AS170" s="301">
        <f>8+936+452+1042+2.746+391.953+272+1740+3+856+304+837+19+1343+7+591+281+352+2552</f>
        <v>11989.699000000001</v>
      </c>
      <c r="AT170" s="302">
        <f>943+1362+2.745+391.626+1760+859+1139+1609+598+631+2552</f>
        <v>11847.370999999999</v>
      </c>
      <c r="AU170" s="302">
        <f>940+1357+390.661+2.756+1756+857+1136+1600+594+729+2702</f>
        <v>12064.416999999999</v>
      </c>
      <c r="AV170" s="311">
        <f>+AW170</f>
        <v>12100.085999999999</v>
      </c>
      <c r="AW170" s="300">
        <f>906+33+1082+322+2.756+390.33+1587+165+855+2+1131+4+1580+19+587+7+723+2+2702</f>
        <v>12100.085999999999</v>
      </c>
      <c r="AX170" s="309">
        <f>AW170+AX155+AX156</f>
        <v>12100.085999999999</v>
      </c>
      <c r="AY170" s="310">
        <f>AX170+AY155+AY156</f>
        <v>11945.483708</v>
      </c>
      <c r="AZ170" s="310">
        <f>AY170+AZ155+AZ156</f>
        <v>12745.483708</v>
      </c>
      <c r="BA170" s="311">
        <f>AZ170+BA155+BA156</f>
        <v>12420.483708</v>
      </c>
      <c r="BB170" s="285">
        <f>BA170</f>
        <v>12420.483708</v>
      </c>
      <c r="BC170" s="309">
        <f>BB170+BC155+BC156</f>
        <v>11820.483708</v>
      </c>
      <c r="BD170" s="310">
        <f>BC170+BD155+BD156</f>
        <v>13095.483708</v>
      </c>
      <c r="BE170" s="310">
        <f>BD170+BE155+BE156</f>
        <v>13054.521492</v>
      </c>
      <c r="BF170" s="311">
        <f>BE170+BF155+BF156</f>
        <v>13052.560492000001</v>
      </c>
      <c r="BG170" s="285">
        <f>BF170</f>
        <v>13052.560492000001</v>
      </c>
      <c r="BH170" s="309">
        <f>BG170+BH155+BH156</f>
        <v>12949.602439</v>
      </c>
      <c r="BI170" s="310">
        <f>BH170+BI155+BI156</f>
        <v>13999.602439</v>
      </c>
      <c r="BJ170" s="310">
        <f>BI170+BJ155+BJ156</f>
        <v>13999.602439</v>
      </c>
      <c r="BK170" s="311">
        <f>BJ170+BK155+BK156</f>
        <v>13999.602439</v>
      </c>
      <c r="BL170" s="285">
        <f>BK170</f>
        <v>13999.602439</v>
      </c>
      <c r="BM170" s="309">
        <f>BL170+BM155+BM156</f>
        <v>13999.602439</v>
      </c>
      <c r="BN170" s="310">
        <f>BM170+BN155+BN156</f>
        <v>14648.463439000001</v>
      </c>
      <c r="BO170" s="310">
        <f>BN170+BO155+BO156</f>
        <v>14648.463439000001</v>
      </c>
      <c r="BP170" s="311">
        <f>BO170+BP155+BP156</f>
        <v>14648.463439000001</v>
      </c>
      <c r="BQ170" s="285">
        <f>BP170</f>
        <v>14648.463439000001</v>
      </c>
      <c r="BR170" s="285"/>
      <c r="BS170" s="489"/>
      <c r="BT170" s="221"/>
      <c r="BU170" s="221"/>
      <c r="BV170" s="221"/>
      <c r="BW170" s="221"/>
      <c r="BX170" s="221"/>
      <c r="BY170" s="221"/>
    </row>
    <row r="171" spans="1:99" s="490" customFormat="1">
      <c r="B171" s="93"/>
      <c r="C171" s="1197" t="s">
        <v>32</v>
      </c>
      <c r="E171" s="305"/>
      <c r="F171" s="306"/>
      <c r="G171" s="306"/>
      <c r="H171" s="307"/>
      <c r="I171" s="308"/>
      <c r="J171" s="305"/>
      <c r="K171" s="306"/>
      <c r="L171" s="306"/>
      <c r="M171" s="314"/>
      <c r="N171" s="308"/>
      <c r="O171" s="305"/>
      <c r="P171" s="306"/>
      <c r="Q171" s="306"/>
      <c r="R171" s="314"/>
      <c r="S171" s="308"/>
      <c r="T171" s="305"/>
      <c r="U171" s="306"/>
      <c r="V171" s="306"/>
      <c r="W171" s="314"/>
      <c r="X171" s="308">
        <f t="shared" ref="X171:AO171" si="289">SUM(X169:X170)</f>
        <v>12215.113999999998</v>
      </c>
      <c r="Y171" s="305">
        <f t="shared" si="289"/>
        <v>12397.921000000002</v>
      </c>
      <c r="Z171" s="306">
        <f t="shared" ref="Z171:AE171" si="290">SUM(Z169:Z170)</f>
        <v>12425.017</v>
      </c>
      <c r="AA171" s="306">
        <f t="shared" si="290"/>
        <v>11548.394</v>
      </c>
      <c r="AB171" s="307">
        <f t="shared" si="290"/>
        <v>12635.401000000002</v>
      </c>
      <c r="AC171" s="308">
        <f t="shared" si="290"/>
        <v>12635.401000000002</v>
      </c>
      <c r="AD171" s="305">
        <f t="shared" si="290"/>
        <v>12263.811000000002</v>
      </c>
      <c r="AE171" s="306">
        <f t="shared" si="290"/>
        <v>12867.055</v>
      </c>
      <c r="AF171" s="306">
        <f t="shared" ref="AF171:AK171" si="291">SUM(AF169:AF170)</f>
        <v>12967.197</v>
      </c>
      <c r="AG171" s="307">
        <f t="shared" si="291"/>
        <v>12896.109</v>
      </c>
      <c r="AH171" s="308">
        <f t="shared" si="291"/>
        <v>12896.109</v>
      </c>
      <c r="AI171" s="305">
        <f t="shared" si="291"/>
        <v>13056.329</v>
      </c>
      <c r="AJ171" s="306">
        <f t="shared" si="291"/>
        <v>13386.099</v>
      </c>
      <c r="AK171" s="306">
        <f t="shared" si="291"/>
        <v>13121.584999999999</v>
      </c>
      <c r="AL171" s="307">
        <f t="shared" ref="AL171:AN171" si="292">SUM(AL169:AL170)</f>
        <v>13184.428</v>
      </c>
      <c r="AM171" s="308">
        <f t="shared" si="292"/>
        <v>13184.428</v>
      </c>
      <c r="AN171" s="305">
        <f t="shared" si="292"/>
        <v>13030.326000000001</v>
      </c>
      <c r="AO171" s="306">
        <f t="shared" si="289"/>
        <v>12917.98</v>
      </c>
      <c r="AP171" s="306">
        <f t="shared" ref="AP171:AQ171" si="293">SUM(AP169:AP170)</f>
        <v>12645.022000000001</v>
      </c>
      <c r="AQ171" s="307">
        <f t="shared" si="293"/>
        <v>12834.671</v>
      </c>
      <c r="AR171" s="308">
        <f t="shared" ref="AR171:AV171" si="294">SUM(AR169:AR170)</f>
        <v>12834.671</v>
      </c>
      <c r="AS171" s="305">
        <f t="shared" si="294"/>
        <v>12695.699000000001</v>
      </c>
      <c r="AT171" s="306">
        <f t="shared" si="294"/>
        <v>12485.370999999999</v>
      </c>
      <c r="AU171" s="306">
        <f t="shared" si="294"/>
        <v>12213.556999999999</v>
      </c>
      <c r="AV171" s="307">
        <f t="shared" si="294"/>
        <v>12492.085999999999</v>
      </c>
      <c r="AW171" s="308">
        <f>SUM(AW169:AW170)</f>
        <v>12492.085999999999</v>
      </c>
      <c r="AX171" s="305">
        <f t="shared" ref="AX171:BB171" si="295">SUM(AX169:AX170)</f>
        <v>12203.136742150598</v>
      </c>
      <c r="AY171" s="306">
        <f t="shared" si="295"/>
        <v>12505.980819483962</v>
      </c>
      <c r="AZ171" s="306">
        <f t="shared" si="295"/>
        <v>12745.483708</v>
      </c>
      <c r="BA171" s="307">
        <f t="shared" si="295"/>
        <v>12972.776585065707</v>
      </c>
      <c r="BB171" s="308">
        <f t="shared" si="295"/>
        <v>12972.776585065707</v>
      </c>
      <c r="BC171" s="305">
        <f t="shared" ref="BC171:BL171" si="296">SUM(BC169:BC170)</f>
        <v>13168.742232342922</v>
      </c>
      <c r="BD171" s="306">
        <f t="shared" si="296"/>
        <v>13419.912435749928</v>
      </c>
      <c r="BE171" s="306">
        <f t="shared" si="296"/>
        <v>13575.453442063399</v>
      </c>
      <c r="BF171" s="307">
        <f t="shared" si="296"/>
        <v>13786.158699643742</v>
      </c>
      <c r="BG171" s="308">
        <f t="shared" si="296"/>
        <v>13786.158699643742</v>
      </c>
      <c r="BH171" s="305">
        <f t="shared" si="296"/>
        <v>13965.271557116645</v>
      </c>
      <c r="BI171" s="306">
        <f t="shared" si="296"/>
        <v>14204.152468358816</v>
      </c>
      <c r="BJ171" s="306">
        <f t="shared" si="296"/>
        <v>14343.56966464098</v>
      </c>
      <c r="BK171" s="307">
        <f t="shared" si="296"/>
        <v>14538.008728982542</v>
      </c>
      <c r="BL171" s="308">
        <f t="shared" si="296"/>
        <v>14538.008728982542</v>
      </c>
      <c r="BM171" s="305">
        <f t="shared" ref="BM171:BQ171" si="297">SUM(BM169:BM170)</f>
        <v>14690.89533303715</v>
      </c>
      <c r="BN171" s="306">
        <f t="shared" si="297"/>
        <v>14907.942437310865</v>
      </c>
      <c r="BO171" s="306">
        <f t="shared" si="297"/>
        <v>15019.473719101341</v>
      </c>
      <c r="BP171" s="307">
        <f t="shared" si="297"/>
        <v>15185.825934492177</v>
      </c>
      <c r="BQ171" s="308">
        <f t="shared" si="297"/>
        <v>15185.825934492177</v>
      </c>
      <c r="BR171" s="308"/>
      <c r="BS171" s="503"/>
      <c r="BT171" s="491"/>
      <c r="BU171" s="491"/>
      <c r="BV171" s="491"/>
      <c r="BW171" s="491"/>
      <c r="BX171" s="491"/>
      <c r="BY171" s="491"/>
    </row>
    <row r="172" spans="1:99" s="726" customFormat="1">
      <c r="B172" s="672"/>
      <c r="C172" s="1200" t="s">
        <v>408</v>
      </c>
      <c r="E172" s="723"/>
      <c r="F172" s="724"/>
      <c r="G172" s="724"/>
      <c r="H172" s="725"/>
      <c r="I172" s="672"/>
      <c r="J172" s="723"/>
      <c r="K172" s="724"/>
      <c r="L172" s="724"/>
      <c r="M172" s="725"/>
      <c r="N172" s="672"/>
      <c r="O172" s="723"/>
      <c r="P172" s="724"/>
      <c r="Q172" s="724"/>
      <c r="R172" s="725"/>
      <c r="S172" s="672"/>
      <c r="T172" s="723"/>
      <c r="U172" s="724"/>
      <c r="V172" s="724"/>
      <c r="W172" s="725"/>
      <c r="X172" s="672">
        <f t="shared" ref="X172:AV172" si="298">X171/X180</f>
        <v>0.58452622545868138</v>
      </c>
      <c r="Y172" s="723">
        <f t="shared" si="298"/>
        <v>0.58481184250112017</v>
      </c>
      <c r="Z172" s="724">
        <f t="shared" ref="Z172:AE172" si="299">Z171/Z180</f>
        <v>0.57969519691577376</v>
      </c>
      <c r="AA172" s="724">
        <f t="shared" si="299"/>
        <v>0.55775552691851349</v>
      </c>
      <c r="AB172" s="725">
        <f t="shared" si="299"/>
        <v>0.5708246697758721</v>
      </c>
      <c r="AC172" s="672">
        <f t="shared" si="299"/>
        <v>0.5708246697758721</v>
      </c>
      <c r="AD172" s="723">
        <f t="shared" si="299"/>
        <v>0.55960120772416722</v>
      </c>
      <c r="AE172" s="724">
        <f t="shared" si="299"/>
        <v>0.56640481505863538</v>
      </c>
      <c r="AF172" s="724">
        <f t="shared" ref="AF172:AK172" si="300">AF171/AF180</f>
        <v>0.5606384600960711</v>
      </c>
      <c r="AG172" s="725">
        <f t="shared" si="300"/>
        <v>0.55766752857340851</v>
      </c>
      <c r="AH172" s="672">
        <f t="shared" si="300"/>
        <v>0.55766752857340851</v>
      </c>
      <c r="AI172" s="723">
        <f t="shared" si="300"/>
        <v>0.55482274187288672</v>
      </c>
      <c r="AJ172" s="724">
        <f t="shared" si="300"/>
        <v>0.55709431641899121</v>
      </c>
      <c r="AK172" s="724">
        <f t="shared" si="300"/>
        <v>0.54522953322812051</v>
      </c>
      <c r="AL172" s="725">
        <f t="shared" ref="AL172:AO172" si="301">AL171/AL180</f>
        <v>0.55054785123981786</v>
      </c>
      <c r="AM172" s="672">
        <f t="shared" si="301"/>
        <v>0.55054785123981786</v>
      </c>
      <c r="AN172" s="723">
        <f t="shared" si="301"/>
        <v>0.54238693648583103</v>
      </c>
      <c r="AO172" s="724">
        <f t="shared" si="301"/>
        <v>0.53109904658980889</v>
      </c>
      <c r="AP172" s="724">
        <f t="shared" ref="AP172:AQ172" si="302">AP171/AP180</f>
        <v>0.51753497110117586</v>
      </c>
      <c r="AQ172" s="725">
        <f t="shared" si="302"/>
        <v>0.51772291437026696</v>
      </c>
      <c r="AR172" s="672">
        <f t="shared" si="298"/>
        <v>0.51772291437026696</v>
      </c>
      <c r="AS172" s="723">
        <f t="shared" si="298"/>
        <v>0.51117844846978833</v>
      </c>
      <c r="AT172" s="724">
        <f t="shared" si="298"/>
        <v>0.49759935869180011</v>
      </c>
      <c r="AU172" s="724">
        <f t="shared" si="298"/>
        <v>0.4881592117033921</v>
      </c>
      <c r="AV172" s="725">
        <f t="shared" si="298"/>
        <v>0.48572706370757285</v>
      </c>
      <c r="AW172" s="672">
        <f>AW171/AW180</f>
        <v>0.48572706370757285</v>
      </c>
      <c r="AX172" s="723">
        <f t="shared" ref="AX172:BB172" si="303">AX171/AX180</f>
        <v>0.47718218930041656</v>
      </c>
      <c r="AY172" s="724">
        <f t="shared" si="303"/>
        <v>0.48166856004965225</v>
      </c>
      <c r="AZ172" s="724">
        <f t="shared" si="303"/>
        <v>0.4830994719143285</v>
      </c>
      <c r="BA172" s="725">
        <f t="shared" si="303"/>
        <v>0.4852828980796885</v>
      </c>
      <c r="BB172" s="512">
        <f t="shared" si="303"/>
        <v>0.4852828980796885</v>
      </c>
      <c r="BC172" s="723">
        <f t="shared" ref="BC172:BL172" si="304">BC171/BC180</f>
        <v>0.48533021205483051</v>
      </c>
      <c r="BD172" s="724">
        <f t="shared" si="304"/>
        <v>0.4874551667426939</v>
      </c>
      <c r="BE172" s="724">
        <f t="shared" si="304"/>
        <v>0.48616839895631686</v>
      </c>
      <c r="BF172" s="725">
        <f t="shared" si="304"/>
        <v>0.48693747795499442</v>
      </c>
      <c r="BG172" s="672">
        <f t="shared" si="304"/>
        <v>0.48693747795499442</v>
      </c>
      <c r="BH172" s="723">
        <f t="shared" si="304"/>
        <v>0.48632442842650103</v>
      </c>
      <c r="BI172" s="724">
        <f t="shared" si="304"/>
        <v>0.48785100346380933</v>
      </c>
      <c r="BJ172" s="724">
        <f t="shared" si="304"/>
        <v>0.48603528721172889</v>
      </c>
      <c r="BK172" s="725">
        <f t="shared" si="304"/>
        <v>0.4861754304860067</v>
      </c>
      <c r="BL172" s="512">
        <f t="shared" si="304"/>
        <v>0.4861754304860067</v>
      </c>
      <c r="BM172" s="723">
        <f t="shared" ref="BM172:BQ172" si="305">BM171/BM180</f>
        <v>0.48500734757017006</v>
      </c>
      <c r="BN172" s="724">
        <f t="shared" si="305"/>
        <v>0.48602654697359216</v>
      </c>
      <c r="BO172" s="724">
        <f t="shared" si="305"/>
        <v>0.48368822551473101</v>
      </c>
      <c r="BP172" s="725">
        <f t="shared" si="305"/>
        <v>0.48321481526448656</v>
      </c>
      <c r="BQ172" s="512">
        <f t="shared" si="305"/>
        <v>0.48321481526448656</v>
      </c>
      <c r="BR172" s="672"/>
      <c r="BS172" s="489"/>
      <c r="BT172" s="221"/>
      <c r="BU172" s="221"/>
      <c r="BV172" s="221"/>
      <c r="BW172" s="221"/>
      <c r="BX172" s="221"/>
      <c r="BY172" s="221"/>
    </row>
    <row r="173" spans="1:99" s="221" customFormat="1">
      <c r="A173" s="202"/>
      <c r="B173" s="285"/>
      <c r="C173" s="1198"/>
      <c r="E173" s="316"/>
      <c r="F173" s="312"/>
      <c r="G173" s="312"/>
      <c r="H173" s="317"/>
      <c r="I173" s="308"/>
      <c r="J173" s="316"/>
      <c r="K173" s="312"/>
      <c r="L173" s="312"/>
      <c r="M173" s="290"/>
      <c r="N173" s="285"/>
      <c r="O173" s="316"/>
      <c r="P173" s="312"/>
      <c r="Q173" s="312"/>
      <c r="R173" s="290"/>
      <c r="S173" s="285"/>
      <c r="T173" s="316"/>
      <c r="U173" s="312"/>
      <c r="V173" s="312"/>
      <c r="W173" s="290"/>
      <c r="X173" s="285"/>
      <c r="Y173" s="316"/>
      <c r="Z173" s="312"/>
      <c r="AA173" s="312"/>
      <c r="AB173" s="317"/>
      <c r="AC173" s="285"/>
      <c r="AD173" s="316"/>
      <c r="AE173" s="312"/>
      <c r="AF173" s="312"/>
      <c r="AG173" s="317"/>
      <c r="AH173" s="285"/>
      <c r="AI173" s="316"/>
      <c r="AJ173" s="312"/>
      <c r="AK173" s="312"/>
      <c r="AL173" s="317"/>
      <c r="AM173" s="285"/>
      <c r="AN173" s="316"/>
      <c r="AO173" s="312"/>
      <c r="AP173" s="312"/>
      <c r="AQ173" s="317"/>
      <c r="AR173" s="285"/>
      <c r="AS173" s="316"/>
      <c r="AT173" s="312"/>
      <c r="AU173" s="312"/>
      <c r="AV173" s="317"/>
      <c r="AW173" s="285"/>
      <c r="AX173" s="316"/>
      <c r="AY173" s="312"/>
      <c r="AZ173" s="312"/>
      <c r="BA173" s="317"/>
      <c r="BB173" s="308"/>
      <c r="BC173" s="316"/>
      <c r="BD173" s="312"/>
      <c r="BE173" s="312"/>
      <c r="BF173" s="317"/>
      <c r="BG173" s="308"/>
      <c r="BH173" s="316"/>
      <c r="BI173" s="312"/>
      <c r="BJ173" s="312"/>
      <c r="BK173" s="317"/>
      <c r="BL173" s="308"/>
      <c r="BM173" s="316"/>
      <c r="BN173" s="312"/>
      <c r="BO173" s="312"/>
      <c r="BP173" s="317"/>
      <c r="BQ173" s="308"/>
      <c r="BR173" s="308"/>
      <c r="BS173" s="503"/>
      <c r="BT173" s="491"/>
      <c r="BU173" s="491"/>
      <c r="BV173" s="491"/>
      <c r="BW173" s="491"/>
      <c r="BX173" s="491"/>
      <c r="BY173" s="491"/>
    </row>
    <row r="174" spans="1:99" s="221" customFormat="1">
      <c r="A174" s="202"/>
      <c r="B174" s="93"/>
      <c r="C174" s="1197" t="s">
        <v>349</v>
      </c>
      <c r="E174" s="316"/>
      <c r="F174" s="312"/>
      <c r="G174" s="312"/>
      <c r="H174" s="317"/>
      <c r="I174" s="308"/>
      <c r="J174" s="316"/>
      <c r="K174" s="312"/>
      <c r="L174" s="312"/>
      <c r="M174" s="290"/>
      <c r="N174" s="300"/>
      <c r="O174" s="288"/>
      <c r="P174" s="289"/>
      <c r="Q174" s="289"/>
      <c r="R174" s="290"/>
      <c r="S174" s="300"/>
      <c r="T174" s="288"/>
      <c r="U174" s="289"/>
      <c r="V174" s="289"/>
      <c r="W174" s="290"/>
      <c r="X174" s="300">
        <v>0</v>
      </c>
      <c r="Y174" s="288">
        <v>0</v>
      </c>
      <c r="Z174" s="302">
        <v>0</v>
      </c>
      <c r="AA174" s="302">
        <v>0</v>
      </c>
      <c r="AB174" s="311">
        <f>+AC174</f>
        <v>0</v>
      </c>
      <c r="AC174" s="300">
        <v>0</v>
      </c>
      <c r="AD174" s="288">
        <v>0</v>
      </c>
      <c r="AE174" s="302">
        <v>0</v>
      </c>
      <c r="AF174" s="302">
        <v>0</v>
      </c>
      <c r="AG174" s="311">
        <f>+AH174</f>
        <v>0</v>
      </c>
      <c r="AH174" s="300">
        <v>0</v>
      </c>
      <c r="AI174" s="288">
        <v>0</v>
      </c>
      <c r="AJ174" s="302">
        <v>0</v>
      </c>
      <c r="AK174" s="302">
        <v>0</v>
      </c>
      <c r="AL174" s="311">
        <f>+AM174</f>
        <v>0</v>
      </c>
      <c r="AM174" s="300">
        <v>0</v>
      </c>
      <c r="AN174" s="288">
        <v>0</v>
      </c>
      <c r="AO174" s="302">
        <v>0</v>
      </c>
      <c r="AP174" s="302">
        <v>0</v>
      </c>
      <c r="AQ174" s="311">
        <f>+AR174</f>
        <v>0</v>
      </c>
      <c r="AR174" s="300">
        <v>0</v>
      </c>
      <c r="AS174" s="288">
        <v>0</v>
      </c>
      <c r="AT174" s="289">
        <v>0</v>
      </c>
      <c r="AU174" s="302">
        <v>0</v>
      </c>
      <c r="AV174" s="311">
        <f>+AW174</f>
        <v>0</v>
      </c>
      <c r="AW174" s="300">
        <v>0</v>
      </c>
      <c r="AX174" s="296">
        <f t="shared" ref="AX174:BB174" si="306">AW174</f>
        <v>0</v>
      </c>
      <c r="AY174" s="297">
        <f t="shared" si="306"/>
        <v>0</v>
      </c>
      <c r="AZ174" s="297">
        <f t="shared" si="306"/>
        <v>0</v>
      </c>
      <c r="BA174" s="290">
        <f t="shared" si="306"/>
        <v>0</v>
      </c>
      <c r="BB174" s="298">
        <f t="shared" si="306"/>
        <v>0</v>
      </c>
      <c r="BC174" s="296">
        <f t="shared" ref="BC174:BL174" si="307">BB174</f>
        <v>0</v>
      </c>
      <c r="BD174" s="297">
        <f t="shared" si="307"/>
        <v>0</v>
      </c>
      <c r="BE174" s="297">
        <f t="shared" si="307"/>
        <v>0</v>
      </c>
      <c r="BF174" s="290">
        <f t="shared" si="307"/>
        <v>0</v>
      </c>
      <c r="BG174" s="298">
        <f t="shared" si="307"/>
        <v>0</v>
      </c>
      <c r="BH174" s="296">
        <f t="shared" si="307"/>
        <v>0</v>
      </c>
      <c r="BI174" s="297">
        <f t="shared" si="307"/>
        <v>0</v>
      </c>
      <c r="BJ174" s="297">
        <f t="shared" si="307"/>
        <v>0</v>
      </c>
      <c r="BK174" s="290">
        <f t="shared" si="307"/>
        <v>0</v>
      </c>
      <c r="BL174" s="298">
        <f t="shared" si="307"/>
        <v>0</v>
      </c>
      <c r="BM174" s="296">
        <f t="shared" ref="BM174" si="308">BL174</f>
        <v>0</v>
      </c>
      <c r="BN174" s="297">
        <f t="shared" ref="BN174" si="309">BM174</f>
        <v>0</v>
      </c>
      <c r="BO174" s="297">
        <f t="shared" ref="BO174" si="310">BN174</f>
        <v>0</v>
      </c>
      <c r="BP174" s="290">
        <f t="shared" ref="BP174" si="311">BO174</f>
        <v>0</v>
      </c>
      <c r="BQ174" s="298">
        <f t="shared" ref="BQ174" si="312">BP174</f>
        <v>0</v>
      </c>
      <c r="BR174" s="308"/>
      <c r="BS174" s="503"/>
      <c r="BT174" s="491"/>
      <c r="BU174" s="491"/>
      <c r="BV174" s="491"/>
      <c r="BW174" s="491"/>
      <c r="BX174" s="491"/>
      <c r="BY174" s="491"/>
    </row>
    <row r="175" spans="1:99" s="726" customFormat="1">
      <c r="B175" s="672"/>
      <c r="C175" s="1200" t="s">
        <v>408</v>
      </c>
      <c r="E175" s="723"/>
      <c r="F175" s="724"/>
      <c r="G175" s="724"/>
      <c r="H175" s="725"/>
      <c r="I175" s="728"/>
      <c r="J175" s="723"/>
      <c r="K175" s="724"/>
      <c r="L175" s="724"/>
      <c r="M175" s="725"/>
      <c r="N175" s="672"/>
      <c r="O175" s="723"/>
      <c r="P175" s="724"/>
      <c r="Q175" s="724"/>
      <c r="R175" s="725"/>
      <c r="S175" s="672"/>
      <c r="T175" s="723"/>
      <c r="U175" s="724"/>
      <c r="V175" s="724"/>
      <c r="W175" s="725"/>
      <c r="X175" s="672">
        <f t="shared" ref="X175:AV175" si="313">X174/X180</f>
        <v>0</v>
      </c>
      <c r="Y175" s="723">
        <f t="shared" si="313"/>
        <v>0</v>
      </c>
      <c r="Z175" s="724">
        <f t="shared" ref="Z175:AE175" si="314">Z174/Z180</f>
        <v>0</v>
      </c>
      <c r="AA175" s="724">
        <f t="shared" si="314"/>
        <v>0</v>
      </c>
      <c r="AB175" s="725">
        <f t="shared" si="314"/>
        <v>0</v>
      </c>
      <c r="AC175" s="672">
        <f t="shared" si="314"/>
        <v>0</v>
      </c>
      <c r="AD175" s="723">
        <f t="shared" si="314"/>
        <v>0</v>
      </c>
      <c r="AE175" s="724">
        <f t="shared" si="314"/>
        <v>0</v>
      </c>
      <c r="AF175" s="724">
        <f t="shared" ref="AF175:AK175" si="315">AF174/AF180</f>
        <v>0</v>
      </c>
      <c r="AG175" s="725">
        <f t="shared" si="315"/>
        <v>0</v>
      </c>
      <c r="AH175" s="672">
        <f t="shared" si="315"/>
        <v>0</v>
      </c>
      <c r="AI175" s="723">
        <f t="shared" si="315"/>
        <v>0</v>
      </c>
      <c r="AJ175" s="724">
        <f t="shared" si="315"/>
        <v>0</v>
      </c>
      <c r="AK175" s="724">
        <f t="shared" si="315"/>
        <v>0</v>
      </c>
      <c r="AL175" s="725">
        <f t="shared" ref="AL175:AO175" si="316">AL174/AL180</f>
        <v>0</v>
      </c>
      <c r="AM175" s="672">
        <f t="shared" si="316"/>
        <v>0</v>
      </c>
      <c r="AN175" s="723">
        <f t="shared" si="316"/>
        <v>0</v>
      </c>
      <c r="AO175" s="724">
        <f t="shared" si="316"/>
        <v>0</v>
      </c>
      <c r="AP175" s="724">
        <f t="shared" ref="AP175:AQ175" si="317">AP174/AP180</f>
        <v>0</v>
      </c>
      <c r="AQ175" s="725">
        <f t="shared" si="317"/>
        <v>0</v>
      </c>
      <c r="AR175" s="672">
        <f t="shared" si="313"/>
        <v>0</v>
      </c>
      <c r="AS175" s="723">
        <f t="shared" si="313"/>
        <v>0</v>
      </c>
      <c r="AT175" s="724">
        <f t="shared" si="313"/>
        <v>0</v>
      </c>
      <c r="AU175" s="724">
        <f t="shared" si="313"/>
        <v>0</v>
      </c>
      <c r="AV175" s="725">
        <f t="shared" si="313"/>
        <v>0</v>
      </c>
      <c r="AW175" s="672">
        <f>AW174/AW180</f>
        <v>0</v>
      </c>
      <c r="AX175" s="723">
        <f t="shared" ref="AX175:BB175" si="318">AX174/AX180</f>
        <v>0</v>
      </c>
      <c r="AY175" s="724">
        <f t="shared" si="318"/>
        <v>0</v>
      </c>
      <c r="AZ175" s="724">
        <f t="shared" si="318"/>
        <v>0</v>
      </c>
      <c r="BA175" s="725">
        <f t="shared" si="318"/>
        <v>0</v>
      </c>
      <c r="BB175" s="672">
        <f t="shared" si="318"/>
        <v>0</v>
      </c>
      <c r="BC175" s="723">
        <f t="shared" ref="BC175:BL175" si="319">BC174/BC180</f>
        <v>0</v>
      </c>
      <c r="BD175" s="724">
        <f t="shared" si="319"/>
        <v>0</v>
      </c>
      <c r="BE175" s="724">
        <f t="shared" si="319"/>
        <v>0</v>
      </c>
      <c r="BF175" s="725">
        <f t="shared" si="319"/>
        <v>0</v>
      </c>
      <c r="BG175" s="672">
        <f t="shared" si="319"/>
        <v>0</v>
      </c>
      <c r="BH175" s="723">
        <f t="shared" si="319"/>
        <v>0</v>
      </c>
      <c r="BI175" s="724">
        <f t="shared" si="319"/>
        <v>0</v>
      </c>
      <c r="BJ175" s="724">
        <f t="shared" si="319"/>
        <v>0</v>
      </c>
      <c r="BK175" s="725">
        <f t="shared" si="319"/>
        <v>0</v>
      </c>
      <c r="BL175" s="672">
        <f t="shared" si="319"/>
        <v>0</v>
      </c>
      <c r="BM175" s="723">
        <f t="shared" ref="BM175:BQ175" si="320">BM174/BM180</f>
        <v>0</v>
      </c>
      <c r="BN175" s="724">
        <f t="shared" si="320"/>
        <v>0</v>
      </c>
      <c r="BO175" s="724">
        <f t="shared" si="320"/>
        <v>0</v>
      </c>
      <c r="BP175" s="725">
        <f t="shared" si="320"/>
        <v>0</v>
      </c>
      <c r="BQ175" s="672">
        <f t="shared" si="320"/>
        <v>0</v>
      </c>
      <c r="BR175" s="728"/>
      <c r="BS175" s="489"/>
      <c r="BT175" s="490"/>
      <c r="BU175" s="490"/>
      <c r="BV175" s="490"/>
      <c r="BW175" s="490"/>
      <c r="BX175" s="490"/>
      <c r="BY175" s="490"/>
    </row>
    <row r="176" spans="1:99" s="221" customFormat="1">
      <c r="A176" s="202"/>
      <c r="B176" s="285"/>
      <c r="C176" s="1198"/>
      <c r="E176" s="316"/>
      <c r="F176" s="312"/>
      <c r="G176" s="312"/>
      <c r="H176" s="317"/>
      <c r="I176" s="308"/>
      <c r="J176" s="316"/>
      <c r="K176" s="312"/>
      <c r="L176" s="312"/>
      <c r="M176" s="290"/>
      <c r="N176" s="477"/>
      <c r="O176" s="478"/>
      <c r="P176" s="479"/>
      <c r="Q176" s="479"/>
      <c r="R176" s="307"/>
      <c r="S176" s="477"/>
      <c r="T176" s="478"/>
      <c r="U176" s="479"/>
      <c r="V176" s="479"/>
      <c r="W176" s="307"/>
      <c r="X176" s="477"/>
      <c r="Y176" s="478"/>
      <c r="Z176" s="479"/>
      <c r="AA176" s="479"/>
      <c r="AB176" s="317"/>
      <c r="AC176" s="477"/>
      <c r="AD176" s="478"/>
      <c r="AE176" s="479"/>
      <c r="AF176" s="479"/>
      <c r="AG176" s="317"/>
      <c r="AH176" s="477"/>
      <c r="AI176" s="478"/>
      <c r="AJ176" s="479"/>
      <c r="AK176" s="479"/>
      <c r="AL176" s="317"/>
      <c r="AM176" s="477"/>
      <c r="AN176" s="478"/>
      <c r="AO176" s="479"/>
      <c r="AP176" s="479"/>
      <c r="AQ176" s="317"/>
      <c r="AR176" s="477"/>
      <c r="AS176" s="478"/>
      <c r="AT176" s="479"/>
      <c r="AU176" s="479"/>
      <c r="AV176" s="317"/>
      <c r="AW176" s="477"/>
      <c r="AX176" s="316"/>
      <c r="AY176" s="312"/>
      <c r="AZ176" s="312"/>
      <c r="BA176" s="317"/>
      <c r="BB176" s="308"/>
      <c r="BC176" s="316"/>
      <c r="BD176" s="312"/>
      <c r="BE176" s="312"/>
      <c r="BF176" s="317"/>
      <c r="BG176" s="308"/>
      <c r="BH176" s="316"/>
      <c r="BI176" s="312"/>
      <c r="BJ176" s="312"/>
      <c r="BK176" s="317"/>
      <c r="BL176" s="308"/>
      <c r="BM176" s="316"/>
      <c r="BN176" s="312"/>
      <c r="BO176" s="312"/>
      <c r="BP176" s="317"/>
      <c r="BQ176" s="308"/>
      <c r="BR176" s="308"/>
      <c r="BS176" s="727"/>
      <c r="BT176" s="726"/>
      <c r="BU176" s="726"/>
      <c r="BV176" s="726"/>
      <c r="BW176" s="726"/>
      <c r="BX176" s="726"/>
      <c r="BY176" s="726"/>
    </row>
    <row r="177" spans="1:77" s="490" customFormat="1">
      <c r="B177" s="93"/>
      <c r="C177" s="1197" t="s">
        <v>35</v>
      </c>
      <c r="E177" s="305"/>
      <c r="F177" s="306"/>
      <c r="G177" s="306"/>
      <c r="H177" s="307"/>
      <c r="I177" s="308"/>
      <c r="J177" s="305"/>
      <c r="K177" s="306"/>
      <c r="L177" s="306"/>
      <c r="M177" s="314"/>
      <c r="N177" s="477"/>
      <c r="O177" s="478"/>
      <c r="P177" s="479"/>
      <c r="Q177" s="479"/>
      <c r="R177" s="314"/>
      <c r="S177" s="477"/>
      <c r="T177" s="478"/>
      <c r="U177" s="479"/>
      <c r="V177" s="479"/>
      <c r="W177" s="314"/>
      <c r="X177" s="477">
        <f>720+2243+1080.646+361.891+799.726+902.647+579.387+384.182+581.405+1029.463</f>
        <v>8682.3469999999979</v>
      </c>
      <c r="Y177" s="478">
        <f>756+1092.244+368.431+2270+788.885+888.785+625.403+406.623+577.759+1027.795</f>
        <v>8801.9249999999993</v>
      </c>
      <c r="Z177" s="479">
        <f>788+1105.302+373.805+2300+804.717+905.053+652.308+422.559+595.911+1061.035</f>
        <v>9008.69</v>
      </c>
      <c r="AA177" s="479">
        <f>833+1130.814+385.349+2365+709.99+888.623+681.895+438.061+617.71+1106.282</f>
        <v>9156.7240000000002</v>
      </c>
      <c r="AB177" s="307">
        <f>+AC177</f>
        <v>9499.9440000000013</v>
      </c>
      <c r="AC177" s="477">
        <f>751+1119.292+376.455+2332+798.023+998.444+1055.765+418.105+604.245+1046.615</f>
        <v>9499.9440000000013</v>
      </c>
      <c r="AD177" s="478">
        <f>794+1070.867+350.966+2357+818.835+1014.86+1098.86+439.532+629.752+1076.786</f>
        <v>9651.4580000000005</v>
      </c>
      <c r="AE177" s="479">
        <f>827+1081.057+359.38+2385+834.593+1025.738+1123.436+450.287+1118.054+645.465</f>
        <v>9850.01</v>
      </c>
      <c r="AF177" s="479">
        <f>874+1119.292+371.17+2459+858.049+1043.376+1151.273+462.512+667.054+1156.416</f>
        <v>10162.142</v>
      </c>
      <c r="AG177" s="307">
        <f>+AH177</f>
        <v>10228.976000000001</v>
      </c>
      <c r="AH177" s="477">
        <f>1094+1086+359.976+2413+795+1022+1156+470+638+1195</f>
        <v>10228.976000000001</v>
      </c>
      <c r="AI177" s="478">
        <f>1140+1105+369.104+2436+811+1039+1198+470+662+1246</f>
        <v>10476.103999999999</v>
      </c>
      <c r="AJ177" s="479">
        <f>1178+1057+374.326+2455+828+1056+1209+481+687+1317</f>
        <v>10642.326000000001</v>
      </c>
      <c r="AK177" s="479">
        <f>1229+1081+379.582+2505+855+1079+1239+497+711+1369</f>
        <v>10944.582</v>
      </c>
      <c r="AL177" s="307">
        <f>+AM177</f>
        <v>10763.404999999999</v>
      </c>
      <c r="AM177" s="477">
        <f>1120+1091+533.405+2461+797+1024+1175+476+667+1419</f>
        <v>10763.404999999999</v>
      </c>
      <c r="AN177" s="478">
        <f>1145+1088+537.715+2466+821+1050+1209+497+708+1472</f>
        <v>10993.715</v>
      </c>
      <c r="AO177" s="479">
        <f>1153+1200+549.129+2737+839+1067+1147+480+730+1503</f>
        <v>11405.129000000001</v>
      </c>
      <c r="AP177" s="479">
        <f>1142+1332+561.152+2801+868+1090+1178+496+761+1559</f>
        <v>11788.152</v>
      </c>
      <c r="AQ177" s="307">
        <f>+AR177</f>
        <v>11955.947</v>
      </c>
      <c r="AR177" s="477">
        <f>1124+1376+569.947+2822+859+1209+1182+502+700+1612</f>
        <v>11955.947</v>
      </c>
      <c r="AS177" s="478">
        <f>1081+1393+583.44+2840+893+1243+1184+516+730+1677</f>
        <v>12140.44</v>
      </c>
      <c r="AT177" s="479">
        <f>1084+1423+559.841+3115+919+1274+1202+524+757+1748</f>
        <v>12605.841</v>
      </c>
      <c r="AU177" s="479">
        <f>1060+1410+479.061+3185+931+1281+1231+527+791+1911</f>
        <v>12806.061</v>
      </c>
      <c r="AV177" s="307">
        <f>+AW177</f>
        <v>13226.238000000001</v>
      </c>
      <c r="AW177" s="477">
        <f>1188+1541+525.238+3190+932+1220+1278+533+813+2006</f>
        <v>13226.238000000001</v>
      </c>
      <c r="AX177" s="305">
        <f>AW177+AX145+AX158</f>
        <v>13370.191466182736</v>
      </c>
      <c r="AY177" s="306">
        <f>AX177+AY145+AY158</f>
        <v>13457.891138849373</v>
      </c>
      <c r="AZ177" s="306">
        <f>AY177+AZ145+AZ158</f>
        <v>13637.247901071702</v>
      </c>
      <c r="BA177" s="307">
        <f>AZ177+BA145+BA158</f>
        <v>13759.623498267629</v>
      </c>
      <c r="BB177" s="308">
        <f>BA177</f>
        <v>13759.623498267629</v>
      </c>
      <c r="BC177" s="305">
        <f>BB177+BC145+BC158</f>
        <v>13964.829725990416</v>
      </c>
      <c r="BD177" s="306">
        <f>BC177+BD145+BD158</f>
        <v>14110.644939250076</v>
      </c>
      <c r="BE177" s="306">
        <f>BD177+BE145+BE158</f>
        <v>14347.902891269938</v>
      </c>
      <c r="BF177" s="307">
        <f>BE177+BF145+BF158</f>
        <v>14525.810133689596</v>
      </c>
      <c r="BG177" s="308">
        <f>BF177</f>
        <v>14525.810133689596</v>
      </c>
      <c r="BH177" s="305">
        <f>BG177+BH145+BH158</f>
        <v>14750.685817883361</v>
      </c>
      <c r="BI177" s="306">
        <f>BH177+BI145+BI158</f>
        <v>14911.606989974522</v>
      </c>
      <c r="BJ177" s="306">
        <f>BI177+BJ145+BJ158</f>
        <v>15167.805418692358</v>
      </c>
      <c r="BK177" s="307">
        <f>BJ177+BK145+BK158</f>
        <v>15364.795521017462</v>
      </c>
      <c r="BL177" s="308">
        <f>BK177</f>
        <v>15364.795521017462</v>
      </c>
      <c r="BM177" s="305">
        <f>BL177+BM145+BM158</f>
        <v>15599.15162529619</v>
      </c>
      <c r="BN177" s="306">
        <f>BM177+BN145+BN158</f>
        <v>15765.160771022474</v>
      </c>
      <c r="BO177" s="306">
        <f>BN177+BO145+BO158</f>
        <v>16032.499280898664</v>
      </c>
      <c r="BP177" s="307">
        <f>BO177+BP145+BP158</f>
        <v>16240.830398841161</v>
      </c>
      <c r="BQ177" s="308">
        <f>BP177</f>
        <v>16240.830398841161</v>
      </c>
      <c r="BR177" s="308"/>
      <c r="BS177" s="489"/>
      <c r="BT177" s="221"/>
      <c r="BU177" s="221"/>
      <c r="BV177" s="221"/>
      <c r="BW177" s="221"/>
      <c r="BX177" s="221"/>
      <c r="BY177" s="221"/>
    </row>
    <row r="178" spans="1:77" s="726" customFormat="1">
      <c r="B178" s="672"/>
      <c r="C178" s="1201" t="s">
        <v>408</v>
      </c>
      <c r="E178" s="723"/>
      <c r="F178" s="724"/>
      <c r="G178" s="724"/>
      <c r="H178" s="725"/>
      <c r="I178" s="672"/>
      <c r="J178" s="723"/>
      <c r="K178" s="724"/>
      <c r="L178" s="724"/>
      <c r="M178" s="725"/>
      <c r="N178" s="672"/>
      <c r="O178" s="723"/>
      <c r="P178" s="724"/>
      <c r="Q178" s="724"/>
      <c r="R178" s="725"/>
      <c r="S178" s="672"/>
      <c r="T178" s="723"/>
      <c r="U178" s="724"/>
      <c r="V178" s="724"/>
      <c r="W178" s="725"/>
      <c r="X178" s="672">
        <f t="shared" ref="X178:AV178" si="321">X177/X180</f>
        <v>0.41547377454131867</v>
      </c>
      <c r="Y178" s="723">
        <f t="shared" si="321"/>
        <v>0.41518815749887988</v>
      </c>
      <c r="Z178" s="724">
        <f t="shared" ref="Z178:AE178" si="322">Z177/Z180</f>
        <v>0.42030480308422613</v>
      </c>
      <c r="AA178" s="724">
        <f t="shared" si="322"/>
        <v>0.4422444730814864</v>
      </c>
      <c r="AB178" s="725">
        <f t="shared" si="322"/>
        <v>0.42917533022412802</v>
      </c>
      <c r="AC178" s="672">
        <f t="shared" si="322"/>
        <v>0.42917533022412802</v>
      </c>
      <c r="AD178" s="723">
        <f t="shared" si="322"/>
        <v>0.4403987922758329</v>
      </c>
      <c r="AE178" s="724">
        <f t="shared" si="322"/>
        <v>0.43359518494136451</v>
      </c>
      <c r="AF178" s="724">
        <f t="shared" ref="AF178:AK178" si="323">AF177/AF180</f>
        <v>0.43936153990392895</v>
      </c>
      <c r="AG178" s="725">
        <f t="shared" si="323"/>
        <v>0.44233247142659154</v>
      </c>
      <c r="AH178" s="672">
        <f t="shared" si="323"/>
        <v>0.44233247142659154</v>
      </c>
      <c r="AI178" s="723">
        <f t="shared" si="323"/>
        <v>0.44517725812711334</v>
      </c>
      <c r="AJ178" s="724">
        <f t="shared" si="323"/>
        <v>0.44290568358100874</v>
      </c>
      <c r="AK178" s="724">
        <f t="shared" si="323"/>
        <v>0.45477046677187938</v>
      </c>
      <c r="AL178" s="725">
        <f t="shared" ref="AL178:AN178" si="324">AL177/AL180</f>
        <v>0.44945214876018214</v>
      </c>
      <c r="AM178" s="672">
        <f t="shared" si="324"/>
        <v>0.44945214876018214</v>
      </c>
      <c r="AN178" s="723">
        <f t="shared" si="324"/>
        <v>0.45761306351416897</v>
      </c>
      <c r="AO178" s="724">
        <f t="shared" si="321"/>
        <v>0.46890095341019111</v>
      </c>
      <c r="AP178" s="724">
        <f t="shared" ref="AP178:AQ178" si="325">AP177/AP180</f>
        <v>0.4824650288988242</v>
      </c>
      <c r="AQ178" s="725">
        <f t="shared" si="325"/>
        <v>0.48227708562973293</v>
      </c>
      <c r="AR178" s="672">
        <f t="shared" si="321"/>
        <v>0.48227708562973293</v>
      </c>
      <c r="AS178" s="723">
        <f t="shared" si="321"/>
        <v>0.48882155153021162</v>
      </c>
      <c r="AT178" s="724">
        <f t="shared" si="321"/>
        <v>0.50240064130819984</v>
      </c>
      <c r="AU178" s="724">
        <f t="shared" si="321"/>
        <v>0.51184078829660795</v>
      </c>
      <c r="AV178" s="725">
        <f t="shared" si="321"/>
        <v>0.51427293629242721</v>
      </c>
      <c r="AW178" s="672">
        <f>AW177/AW180</f>
        <v>0.51427293629242721</v>
      </c>
      <c r="AX178" s="723">
        <f t="shared" ref="AX178:BB178" si="326">AX177/AX180</f>
        <v>0.52281781069958355</v>
      </c>
      <c r="AY178" s="724">
        <f t="shared" si="326"/>
        <v>0.51833143995034769</v>
      </c>
      <c r="AZ178" s="724">
        <f t="shared" si="326"/>
        <v>0.51690052808567155</v>
      </c>
      <c r="BA178" s="725">
        <f t="shared" si="326"/>
        <v>0.5147171019203115</v>
      </c>
      <c r="BB178" s="672">
        <f t="shared" si="326"/>
        <v>0.5147171019203115</v>
      </c>
      <c r="BC178" s="723">
        <f t="shared" ref="BC178:BL178" si="327">BC177/BC180</f>
        <v>0.51466978794516949</v>
      </c>
      <c r="BD178" s="724">
        <f t="shared" si="327"/>
        <v>0.51254483325730615</v>
      </c>
      <c r="BE178" s="724">
        <f t="shared" si="327"/>
        <v>0.51383160104368308</v>
      </c>
      <c r="BF178" s="725">
        <f t="shared" si="327"/>
        <v>0.51306252204500558</v>
      </c>
      <c r="BG178" s="672">
        <f t="shared" si="327"/>
        <v>0.51306252204500558</v>
      </c>
      <c r="BH178" s="723">
        <f t="shared" si="327"/>
        <v>0.51367557157349897</v>
      </c>
      <c r="BI178" s="724">
        <f t="shared" si="327"/>
        <v>0.51214899653619073</v>
      </c>
      <c r="BJ178" s="724">
        <f t="shared" si="327"/>
        <v>0.51396471278827105</v>
      </c>
      <c r="BK178" s="725">
        <f t="shared" si="327"/>
        <v>0.51382456951399336</v>
      </c>
      <c r="BL178" s="672">
        <f t="shared" si="327"/>
        <v>0.51382456951399336</v>
      </c>
      <c r="BM178" s="723">
        <f t="shared" ref="BM178:BQ178" si="328">BM177/BM180</f>
        <v>0.51499265242982994</v>
      </c>
      <c r="BN178" s="724">
        <f t="shared" si="328"/>
        <v>0.51397345302640773</v>
      </c>
      <c r="BO178" s="724">
        <f t="shared" si="328"/>
        <v>0.51631177448526899</v>
      </c>
      <c r="BP178" s="725">
        <f t="shared" si="328"/>
        <v>0.51678518473551338</v>
      </c>
      <c r="BQ178" s="672">
        <f t="shared" si="328"/>
        <v>0.51678518473551338</v>
      </c>
      <c r="BR178" s="672"/>
      <c r="BS178" s="489"/>
      <c r="BT178" s="221"/>
      <c r="BU178" s="221"/>
      <c r="BV178" s="221"/>
      <c r="BW178" s="221"/>
      <c r="BX178" s="221"/>
      <c r="BY178" s="221"/>
    </row>
    <row r="179" spans="1:77" s="92" customFormat="1">
      <c r="A179" s="139"/>
      <c r="B179" s="87"/>
      <c r="C179" s="1202"/>
      <c r="E179" s="133"/>
      <c r="F179" s="134"/>
      <c r="G179" s="134"/>
      <c r="H179" s="135"/>
      <c r="I179" s="125"/>
      <c r="J179" s="133"/>
      <c r="K179" s="134"/>
      <c r="L179" s="134"/>
      <c r="M179" s="132"/>
      <c r="N179" s="352"/>
      <c r="O179" s="133"/>
      <c r="P179" s="134"/>
      <c r="Q179" s="134"/>
      <c r="R179" s="132"/>
      <c r="S179" s="352"/>
      <c r="T179" s="133"/>
      <c r="U179" s="134"/>
      <c r="V179" s="134"/>
      <c r="W179" s="132"/>
      <c r="X179" s="352"/>
      <c r="Y179" s="133"/>
      <c r="Z179" s="134"/>
      <c r="AA179" s="134"/>
      <c r="AB179" s="135"/>
      <c r="AC179" s="352"/>
      <c r="AD179" s="133"/>
      <c r="AE179" s="134"/>
      <c r="AF179" s="134"/>
      <c r="AG179" s="135"/>
      <c r="AH179" s="352"/>
      <c r="AI179" s="133"/>
      <c r="AJ179" s="134"/>
      <c r="AK179" s="134"/>
      <c r="AL179" s="135"/>
      <c r="AM179" s="352"/>
      <c r="AN179" s="133"/>
      <c r="AO179" s="134"/>
      <c r="AP179" s="134"/>
      <c r="AQ179" s="135"/>
      <c r="AR179" s="352"/>
      <c r="AS179" s="133"/>
      <c r="AT179" s="134"/>
      <c r="AU179" s="134"/>
      <c r="AV179" s="135"/>
      <c r="AW179" s="352"/>
      <c r="AX179" s="133"/>
      <c r="AY179" s="134"/>
      <c r="AZ179" s="134"/>
      <c r="BA179" s="135"/>
      <c r="BB179" s="125"/>
      <c r="BC179" s="133"/>
      <c r="BD179" s="134"/>
      <c r="BE179" s="134"/>
      <c r="BF179" s="135"/>
      <c r="BG179" s="125"/>
      <c r="BH179" s="133"/>
      <c r="BI179" s="134"/>
      <c r="BJ179" s="134"/>
      <c r="BK179" s="135"/>
      <c r="BL179" s="125"/>
      <c r="BM179" s="133"/>
      <c r="BN179" s="134"/>
      <c r="BO179" s="134"/>
      <c r="BP179" s="135"/>
      <c r="BQ179" s="125"/>
      <c r="BR179" s="125"/>
      <c r="BS179" s="729"/>
      <c r="BT179" s="726"/>
      <c r="BU179" s="726"/>
      <c r="BV179" s="726"/>
      <c r="BW179" s="726"/>
      <c r="BX179" s="726"/>
      <c r="BY179" s="726"/>
    </row>
    <row r="180" spans="1:77" s="490" customFormat="1">
      <c r="B180" s="93"/>
      <c r="C180" s="1197" t="s">
        <v>38</v>
      </c>
      <c r="E180" s="305"/>
      <c r="F180" s="306"/>
      <c r="G180" s="306"/>
      <c r="H180" s="307"/>
      <c r="I180" s="308"/>
      <c r="J180" s="305"/>
      <c r="K180" s="306"/>
      <c r="L180" s="306"/>
      <c r="M180" s="314"/>
      <c r="N180" s="308"/>
      <c r="O180" s="305"/>
      <c r="P180" s="306"/>
      <c r="Q180" s="306"/>
      <c r="R180" s="314"/>
      <c r="S180" s="308"/>
      <c r="T180" s="305"/>
      <c r="U180" s="306"/>
      <c r="V180" s="306"/>
      <c r="W180" s="314"/>
      <c r="X180" s="308">
        <f t="shared" ref="X180:Y180" si="329">X177+X174+X171</f>
        <v>20897.460999999996</v>
      </c>
      <c r="Y180" s="305">
        <f t="shared" si="329"/>
        <v>21199.846000000001</v>
      </c>
      <c r="Z180" s="306">
        <f t="shared" ref="Z180:AE180" si="330">Z177+Z174+Z171</f>
        <v>21433.707000000002</v>
      </c>
      <c r="AA180" s="306">
        <f t="shared" si="330"/>
        <v>20705.118000000002</v>
      </c>
      <c r="AB180" s="314">
        <f t="shared" si="330"/>
        <v>22135.345000000001</v>
      </c>
      <c r="AC180" s="308">
        <f t="shared" si="330"/>
        <v>22135.345000000001</v>
      </c>
      <c r="AD180" s="305">
        <f t="shared" si="330"/>
        <v>21915.269</v>
      </c>
      <c r="AE180" s="306">
        <f t="shared" si="330"/>
        <v>22717.065000000002</v>
      </c>
      <c r="AF180" s="306">
        <f t="shared" ref="AF180:AK180" si="331">AF177+AF174+AF171</f>
        <v>23129.339</v>
      </c>
      <c r="AG180" s="314">
        <f t="shared" si="331"/>
        <v>23125.084999999999</v>
      </c>
      <c r="AH180" s="308">
        <f t="shared" si="331"/>
        <v>23125.084999999999</v>
      </c>
      <c r="AI180" s="305">
        <f t="shared" si="331"/>
        <v>23532.432999999997</v>
      </c>
      <c r="AJ180" s="306">
        <f t="shared" si="331"/>
        <v>24028.425000000003</v>
      </c>
      <c r="AK180" s="306">
        <f t="shared" si="331"/>
        <v>24066.167000000001</v>
      </c>
      <c r="AL180" s="314">
        <f t="shared" ref="AL180:AO180" si="332">AL177+AL174+AL171</f>
        <v>23947.832999999999</v>
      </c>
      <c r="AM180" s="308">
        <f t="shared" si="332"/>
        <v>23947.832999999999</v>
      </c>
      <c r="AN180" s="305">
        <f t="shared" si="332"/>
        <v>24024.041000000001</v>
      </c>
      <c r="AO180" s="306">
        <f t="shared" si="332"/>
        <v>24323.109</v>
      </c>
      <c r="AP180" s="306">
        <f t="shared" ref="AP180:AQ180" si="333">AP177+AP174+AP171</f>
        <v>24433.173999999999</v>
      </c>
      <c r="AQ180" s="314">
        <f t="shared" si="333"/>
        <v>24790.618000000002</v>
      </c>
      <c r="AR180" s="308">
        <f>AR177+AR174+AR171</f>
        <v>24790.618000000002</v>
      </c>
      <c r="AS180" s="305">
        <f t="shared" ref="AS180" si="334">AS177+AS174+AS171</f>
        <v>24836.139000000003</v>
      </c>
      <c r="AT180" s="306">
        <f>AT177+AT174+AT171</f>
        <v>25091.212</v>
      </c>
      <c r="AU180" s="306">
        <f>AU177+AU174+AU171</f>
        <v>25019.617999999999</v>
      </c>
      <c r="AV180" s="314">
        <f t="shared" ref="AV180" si="335">AV177+AV174+AV171</f>
        <v>25718.324000000001</v>
      </c>
      <c r="AW180" s="308">
        <f>AW177+AW174+AW171</f>
        <v>25718.324000000001</v>
      </c>
      <c r="AX180" s="305">
        <f t="shared" ref="AX180:BB180" si="336">AX177+AX174+AX171</f>
        <v>25573.328208333332</v>
      </c>
      <c r="AY180" s="306">
        <f t="shared" si="336"/>
        <v>25963.871958333337</v>
      </c>
      <c r="AZ180" s="306">
        <f t="shared" si="336"/>
        <v>26382.731609071699</v>
      </c>
      <c r="BA180" s="314">
        <f t="shared" si="336"/>
        <v>26732.400083333334</v>
      </c>
      <c r="BB180" s="308">
        <f t="shared" si="336"/>
        <v>26732.400083333334</v>
      </c>
      <c r="BC180" s="305">
        <f t="shared" ref="BC180:BL180" si="337">BC177+BC174+BC171</f>
        <v>27133.571958333338</v>
      </c>
      <c r="BD180" s="306">
        <f t="shared" si="337"/>
        <v>27530.557375000004</v>
      </c>
      <c r="BE180" s="306">
        <f t="shared" si="337"/>
        <v>27923.356333333337</v>
      </c>
      <c r="BF180" s="314">
        <f t="shared" si="337"/>
        <v>28311.96883333334</v>
      </c>
      <c r="BG180" s="308">
        <f t="shared" si="337"/>
        <v>28311.96883333334</v>
      </c>
      <c r="BH180" s="305">
        <f t="shared" si="337"/>
        <v>28715.957375000005</v>
      </c>
      <c r="BI180" s="306">
        <f t="shared" si="337"/>
        <v>29115.759458333338</v>
      </c>
      <c r="BJ180" s="306">
        <f t="shared" si="337"/>
        <v>29511.37508333334</v>
      </c>
      <c r="BK180" s="314">
        <f t="shared" si="337"/>
        <v>29902.804250000005</v>
      </c>
      <c r="BL180" s="308">
        <f t="shared" si="337"/>
        <v>29902.804250000005</v>
      </c>
      <c r="BM180" s="305">
        <f t="shared" ref="BM180:BQ180" si="338">BM177+BM174+BM171</f>
        <v>30290.04695833334</v>
      </c>
      <c r="BN180" s="306">
        <f t="shared" si="338"/>
        <v>30673.103208333341</v>
      </c>
      <c r="BO180" s="306">
        <f t="shared" si="338"/>
        <v>31051.973000000005</v>
      </c>
      <c r="BP180" s="314">
        <f t="shared" si="338"/>
        <v>31426.65633333334</v>
      </c>
      <c r="BQ180" s="308">
        <f t="shared" si="338"/>
        <v>31426.65633333334</v>
      </c>
      <c r="BR180" s="308"/>
      <c r="BS180" s="489"/>
      <c r="BT180" s="221"/>
      <c r="BU180" s="221"/>
      <c r="BV180" s="221"/>
      <c r="BW180" s="221"/>
      <c r="BX180" s="221"/>
      <c r="BY180" s="221"/>
    </row>
    <row r="181" spans="1:77" s="726" customFormat="1">
      <c r="B181" s="672"/>
      <c r="C181" s="1201" t="s">
        <v>408</v>
      </c>
      <c r="E181" s="723"/>
      <c r="F181" s="724"/>
      <c r="G181" s="724"/>
      <c r="H181" s="725"/>
      <c r="I181" s="728"/>
      <c r="J181" s="723"/>
      <c r="K181" s="724"/>
      <c r="L181" s="724"/>
      <c r="M181" s="725"/>
      <c r="N181" s="672"/>
      <c r="O181" s="723"/>
      <c r="P181" s="724"/>
      <c r="Q181" s="724"/>
      <c r="R181" s="725"/>
      <c r="S181" s="672"/>
      <c r="T181" s="723"/>
      <c r="U181" s="724"/>
      <c r="V181" s="724"/>
      <c r="W181" s="725"/>
      <c r="X181" s="672">
        <f t="shared" ref="X181:AV181" si="339">(X171+X174+X177)/X180</f>
        <v>1</v>
      </c>
      <c r="Y181" s="723">
        <f t="shared" si="339"/>
        <v>1</v>
      </c>
      <c r="Z181" s="724">
        <f t="shared" ref="Z181:AE181" si="340">(Z171+Z174+Z177)/Z180</f>
        <v>1</v>
      </c>
      <c r="AA181" s="724">
        <f t="shared" si="340"/>
        <v>1</v>
      </c>
      <c r="AB181" s="725">
        <f t="shared" si="340"/>
        <v>1</v>
      </c>
      <c r="AC181" s="672">
        <f t="shared" si="340"/>
        <v>1</v>
      </c>
      <c r="AD181" s="723">
        <f t="shared" si="340"/>
        <v>1</v>
      </c>
      <c r="AE181" s="724">
        <f t="shared" si="340"/>
        <v>1</v>
      </c>
      <c r="AF181" s="724">
        <f t="shared" ref="AF181:AK181" si="341">(AF171+AF174+AF177)/AF180</f>
        <v>1</v>
      </c>
      <c r="AG181" s="725">
        <f t="shared" si="341"/>
        <v>1</v>
      </c>
      <c r="AH181" s="672">
        <f t="shared" si="341"/>
        <v>1</v>
      </c>
      <c r="AI181" s="723">
        <f t="shared" si="341"/>
        <v>1</v>
      </c>
      <c r="AJ181" s="724">
        <f t="shared" si="341"/>
        <v>1</v>
      </c>
      <c r="AK181" s="724">
        <f t="shared" si="341"/>
        <v>1</v>
      </c>
      <c r="AL181" s="725">
        <f t="shared" ref="AL181:AO181" si="342">(AL171+AL174+AL177)/AL180</f>
        <v>1</v>
      </c>
      <c r="AM181" s="672">
        <f t="shared" si="342"/>
        <v>1</v>
      </c>
      <c r="AN181" s="723">
        <f t="shared" si="342"/>
        <v>1</v>
      </c>
      <c r="AO181" s="724">
        <f t="shared" si="342"/>
        <v>1</v>
      </c>
      <c r="AP181" s="724">
        <f t="shared" ref="AP181:AQ181" si="343">(AP171+AP174+AP177)/AP180</f>
        <v>1</v>
      </c>
      <c r="AQ181" s="725">
        <f t="shared" si="343"/>
        <v>1</v>
      </c>
      <c r="AR181" s="672">
        <f t="shared" si="339"/>
        <v>1</v>
      </c>
      <c r="AS181" s="723">
        <f t="shared" si="339"/>
        <v>1</v>
      </c>
      <c r="AT181" s="724">
        <f t="shared" si="339"/>
        <v>1</v>
      </c>
      <c r="AU181" s="724">
        <f t="shared" si="339"/>
        <v>1</v>
      </c>
      <c r="AV181" s="725">
        <f t="shared" si="339"/>
        <v>1</v>
      </c>
      <c r="AW181" s="672">
        <f>(AW171+AW174+AW177)/AW180</f>
        <v>1</v>
      </c>
      <c r="AX181" s="723">
        <f t="shared" ref="AX181:BB181" si="344">(AX171+AX174+AX177)/AX180</f>
        <v>1</v>
      </c>
      <c r="AY181" s="724">
        <f t="shared" si="344"/>
        <v>1</v>
      </c>
      <c r="AZ181" s="724">
        <f t="shared" si="344"/>
        <v>1</v>
      </c>
      <c r="BA181" s="725">
        <f t="shared" si="344"/>
        <v>1</v>
      </c>
      <c r="BB181" s="672">
        <f t="shared" si="344"/>
        <v>1</v>
      </c>
      <c r="BC181" s="723">
        <f t="shared" ref="BC181:BL181" si="345">(BC171+BC174+BC177)/BC180</f>
        <v>1</v>
      </c>
      <c r="BD181" s="724">
        <f t="shared" si="345"/>
        <v>1</v>
      </c>
      <c r="BE181" s="724">
        <f t="shared" si="345"/>
        <v>1</v>
      </c>
      <c r="BF181" s="725">
        <f t="shared" si="345"/>
        <v>1</v>
      </c>
      <c r="BG181" s="672">
        <f t="shared" si="345"/>
        <v>1</v>
      </c>
      <c r="BH181" s="723">
        <f t="shared" si="345"/>
        <v>1</v>
      </c>
      <c r="BI181" s="724">
        <f t="shared" si="345"/>
        <v>1</v>
      </c>
      <c r="BJ181" s="724">
        <f t="shared" si="345"/>
        <v>1</v>
      </c>
      <c r="BK181" s="725">
        <f t="shared" si="345"/>
        <v>1</v>
      </c>
      <c r="BL181" s="672">
        <f t="shared" si="345"/>
        <v>1</v>
      </c>
      <c r="BM181" s="723">
        <f t="shared" ref="BM181:BQ181" si="346">(BM171+BM174+BM177)/BM180</f>
        <v>1</v>
      </c>
      <c r="BN181" s="724">
        <f t="shared" si="346"/>
        <v>1</v>
      </c>
      <c r="BO181" s="724">
        <f t="shared" si="346"/>
        <v>1</v>
      </c>
      <c r="BP181" s="725">
        <f t="shared" si="346"/>
        <v>1</v>
      </c>
      <c r="BQ181" s="672">
        <f t="shared" si="346"/>
        <v>1</v>
      </c>
      <c r="BR181" s="728"/>
      <c r="BS181" s="489"/>
      <c r="BT181" s="490"/>
      <c r="BU181" s="490"/>
      <c r="BV181" s="490"/>
      <c r="BW181" s="490"/>
      <c r="BX181" s="490"/>
      <c r="BY181" s="490"/>
    </row>
    <row r="182" spans="1:77" s="673" customFormat="1">
      <c r="A182" s="201"/>
      <c r="B182" s="672"/>
      <c r="C182" s="1201"/>
      <c r="E182" s="674"/>
      <c r="F182" s="675"/>
      <c r="G182" s="675"/>
      <c r="H182" s="676"/>
      <c r="I182" s="677"/>
      <c r="J182" s="674"/>
      <c r="K182" s="675"/>
      <c r="L182" s="675"/>
      <c r="M182" s="680"/>
      <c r="N182" s="679"/>
      <c r="O182" s="674"/>
      <c r="P182" s="675"/>
      <c r="Q182" s="675"/>
      <c r="R182" s="680"/>
      <c r="S182" s="679"/>
      <c r="T182" s="674"/>
      <c r="U182" s="675"/>
      <c r="V182" s="675"/>
      <c r="W182" s="680"/>
      <c r="X182" s="679"/>
      <c r="Y182" s="674"/>
      <c r="Z182" s="675"/>
      <c r="AA182" s="675"/>
      <c r="AB182" s="680"/>
      <c r="AC182" s="679"/>
      <c r="AD182" s="674"/>
      <c r="AE182" s="675"/>
      <c r="AF182" s="675"/>
      <c r="AG182" s="680"/>
      <c r="AH182" s="679"/>
      <c r="AI182" s="674"/>
      <c r="AJ182" s="675"/>
      <c r="AK182" s="675"/>
      <c r="AL182" s="680"/>
      <c r="AM182" s="679"/>
      <c r="AN182" s="674"/>
      <c r="AO182" s="675"/>
      <c r="AP182" s="675"/>
      <c r="AQ182" s="680"/>
      <c r="AR182" s="679"/>
      <c r="AS182" s="674"/>
      <c r="AT182" s="675"/>
      <c r="AU182" s="675"/>
      <c r="AV182" s="680"/>
      <c r="AW182" s="679"/>
      <c r="AX182" s="674"/>
      <c r="AY182" s="675"/>
      <c r="AZ182" s="675"/>
      <c r="BA182" s="680"/>
      <c r="BB182" s="679"/>
      <c r="BC182" s="674"/>
      <c r="BD182" s="675"/>
      <c r="BE182" s="675"/>
      <c r="BF182" s="680"/>
      <c r="BG182" s="679"/>
      <c r="BH182" s="674"/>
      <c r="BI182" s="675"/>
      <c r="BJ182" s="675"/>
      <c r="BK182" s="680"/>
      <c r="BL182" s="679"/>
      <c r="BM182" s="674"/>
      <c r="BN182" s="675"/>
      <c r="BO182" s="675"/>
      <c r="BP182" s="680"/>
      <c r="BQ182" s="679"/>
      <c r="BR182" s="677"/>
      <c r="BS182" s="727"/>
      <c r="BT182" s="726"/>
      <c r="BU182" s="726"/>
      <c r="BV182" s="726"/>
      <c r="BW182" s="726"/>
      <c r="BX182" s="726"/>
      <c r="BY182" s="726"/>
    </row>
    <row r="183" spans="1:77" s="673" customFormat="1">
      <c r="A183" s="201"/>
      <c r="B183" s="672"/>
      <c r="C183" s="1201"/>
      <c r="E183" s="674"/>
      <c r="F183" s="675"/>
      <c r="G183" s="675"/>
      <c r="H183" s="676"/>
      <c r="I183" s="677"/>
      <c r="J183" s="674"/>
      <c r="K183" s="675"/>
      <c r="L183" s="675"/>
      <c r="M183" s="680"/>
      <c r="N183" s="679"/>
      <c r="O183" s="674"/>
      <c r="P183" s="675"/>
      <c r="Q183" s="675"/>
      <c r="R183" s="680"/>
      <c r="S183" s="679"/>
      <c r="T183" s="674"/>
      <c r="U183" s="675"/>
      <c r="V183" s="675"/>
      <c r="W183" s="680"/>
      <c r="X183" s="679"/>
      <c r="Y183" s="674"/>
      <c r="Z183" s="675"/>
      <c r="AA183" s="675"/>
      <c r="AB183" s="680"/>
      <c r="AC183" s="679"/>
      <c r="AD183" s="674"/>
      <c r="AE183" s="675"/>
      <c r="AF183" s="675"/>
      <c r="AG183" s="680"/>
      <c r="AH183" s="679"/>
      <c r="AI183" s="674"/>
      <c r="AJ183" s="675"/>
      <c r="AK183" s="675"/>
      <c r="AL183" s="680"/>
      <c r="AM183" s="679"/>
      <c r="AN183" s="674"/>
      <c r="AO183" s="675"/>
      <c r="AP183" s="675"/>
      <c r="AQ183" s="680"/>
      <c r="AR183" s="679"/>
      <c r="AS183" s="674"/>
      <c r="AT183" s="675"/>
      <c r="AU183" s="675"/>
      <c r="AV183" s="680"/>
      <c r="AW183" s="679"/>
      <c r="AX183" s="674"/>
      <c r="AY183" s="675"/>
      <c r="AZ183" s="675"/>
      <c r="BA183" s="680"/>
      <c r="BB183" s="679"/>
      <c r="BC183" s="674"/>
      <c r="BD183" s="675"/>
      <c r="BE183" s="675"/>
      <c r="BF183" s="680"/>
      <c r="BG183" s="679"/>
      <c r="BH183" s="674"/>
      <c r="BI183" s="675"/>
      <c r="BJ183" s="675"/>
      <c r="BK183" s="680"/>
      <c r="BL183" s="679"/>
      <c r="BM183" s="674"/>
      <c r="BN183" s="675"/>
      <c r="BO183" s="675"/>
      <c r="BP183" s="680"/>
      <c r="BQ183" s="679"/>
      <c r="BR183" s="677"/>
      <c r="BS183" s="276"/>
      <c r="BT183" s="177"/>
      <c r="BU183" s="177"/>
      <c r="BV183" s="177"/>
      <c r="BW183" s="177"/>
      <c r="BX183" s="177"/>
      <c r="BY183" s="92"/>
    </row>
    <row r="184" spans="1:77" s="673" customFormat="1">
      <c r="A184" s="201"/>
      <c r="B184" s="126" t="s">
        <v>409</v>
      </c>
      <c r="C184" s="1185"/>
      <c r="D184" s="773"/>
      <c r="E184" s="674"/>
      <c r="F184" s="675"/>
      <c r="G184" s="675"/>
      <c r="H184" s="676"/>
      <c r="I184" s="677"/>
      <c r="J184" s="674"/>
      <c r="K184" s="675"/>
      <c r="L184" s="675"/>
      <c r="M184" s="680"/>
      <c r="N184" s="679"/>
      <c r="O184" s="674"/>
      <c r="P184" s="675"/>
      <c r="Q184" s="675"/>
      <c r="R184" s="680"/>
      <c r="S184" s="679"/>
      <c r="T184" s="674"/>
      <c r="U184" s="675"/>
      <c r="V184" s="675"/>
      <c r="W184" s="680"/>
      <c r="X184" s="679"/>
      <c r="Y184" s="674"/>
      <c r="Z184" s="675"/>
      <c r="AA184" s="675"/>
      <c r="AB184" s="680"/>
      <c r="AC184" s="679"/>
      <c r="AD184" s="674"/>
      <c r="AE184" s="675"/>
      <c r="AF184" s="675"/>
      <c r="AG184" s="680"/>
      <c r="AH184" s="679"/>
      <c r="AI184" s="674"/>
      <c r="AJ184" s="675"/>
      <c r="AK184" s="675"/>
      <c r="AL184" s="680"/>
      <c r="AM184" s="679"/>
      <c r="AN184" s="674"/>
      <c r="AO184" s="675"/>
      <c r="AP184" s="675"/>
      <c r="AQ184" s="680"/>
      <c r="AR184" s="679"/>
      <c r="AS184" s="674"/>
      <c r="AT184" s="675"/>
      <c r="AU184" s="675"/>
      <c r="AV184" s="680"/>
      <c r="AW184" s="679"/>
      <c r="AX184" s="674"/>
      <c r="AY184" s="675"/>
      <c r="AZ184" s="675"/>
      <c r="BA184" s="680"/>
      <c r="BB184" s="679"/>
      <c r="BC184" s="674"/>
      <c r="BD184" s="675"/>
      <c r="BE184" s="675"/>
      <c r="BF184" s="680"/>
      <c r="BG184" s="679"/>
      <c r="BH184" s="674"/>
      <c r="BI184" s="675"/>
      <c r="BJ184" s="675"/>
      <c r="BK184" s="680"/>
      <c r="BL184" s="679"/>
      <c r="BM184" s="674"/>
      <c r="BN184" s="675"/>
      <c r="BO184" s="675"/>
      <c r="BP184" s="680"/>
      <c r="BQ184" s="679"/>
      <c r="BR184" s="677"/>
      <c r="BS184" s="489"/>
      <c r="BT184" s="490"/>
      <c r="BU184" s="490"/>
      <c r="BV184" s="490"/>
      <c r="BW184" s="490"/>
      <c r="BX184" s="490"/>
      <c r="BY184" s="490"/>
    </row>
    <row r="185" spans="1:77" s="732" customFormat="1">
      <c r="A185" s="731"/>
      <c r="B185" s="96"/>
      <c r="C185" s="1198" t="s">
        <v>410</v>
      </c>
      <c r="E185" s="715"/>
      <c r="F185" s="716"/>
      <c r="G185" s="716"/>
      <c r="H185" s="733"/>
      <c r="I185" s="691"/>
      <c r="J185" s="715"/>
      <c r="K185" s="716"/>
      <c r="L185" s="716"/>
      <c r="M185" s="717">
        <f>SUM(J35:M35,J13:M13)</f>
        <v>1131</v>
      </c>
      <c r="N185" s="718"/>
      <c r="O185" s="715"/>
      <c r="P185" s="716"/>
      <c r="Q185" s="716"/>
      <c r="R185" s="717"/>
      <c r="S185" s="718"/>
      <c r="T185" s="715">
        <f>SUM(T35,P35:R35,T13,P13:R13)</f>
        <v>1358</v>
      </c>
      <c r="U185" s="716">
        <f>SUM(T35:U35,Q35:R35,T13:U13,Q13:R13)</f>
        <v>1366</v>
      </c>
      <c r="V185" s="716">
        <f>SUM(U35:V35,R35:S35,U13:V13,R13:S13)</f>
        <v>2391</v>
      </c>
      <c r="W185" s="717">
        <f>SUM(T35:W35,T13:W13)</f>
        <v>1422</v>
      </c>
      <c r="X185" s="718">
        <f>X35+X13</f>
        <v>1422</v>
      </c>
      <c r="Y185" s="715">
        <f>SUM(Y35,U35:W35,Y13,U13:W13)</f>
        <v>1474</v>
      </c>
      <c r="Z185" s="716">
        <f>SUM(Y35:Z35,V35:W35,Y13:Z13,V13:W13)</f>
        <v>1485</v>
      </c>
      <c r="AA185" s="716">
        <f>SUM(Y35:AA35,W35,Y13:AA13,W13)</f>
        <v>1435</v>
      </c>
      <c r="AB185" s="717">
        <f>SUM(Y35:AB35,Y13:AB13)</f>
        <v>1462</v>
      </c>
      <c r="AC185" s="718">
        <f>AC35+AC13</f>
        <v>1462</v>
      </c>
      <c r="AD185" s="715">
        <f>SUM(AD35,Z35:AB35,AD13,Z13:AB13)</f>
        <v>1483</v>
      </c>
      <c r="AE185" s="716">
        <f>SUM(AD35:AE35,AA35:AB35,AD13:AE13,AA13:AB13)</f>
        <v>1471</v>
      </c>
      <c r="AF185" s="716">
        <f>SUM(AD35:AF35,AB35,AD13:AF13,AB13)</f>
        <v>1469</v>
      </c>
      <c r="AG185" s="717">
        <f>SUM(AD35:AG35,AD13:AG13)</f>
        <v>1467</v>
      </c>
      <c r="AH185" s="718">
        <f>AH35+AH13</f>
        <v>1467</v>
      </c>
      <c r="AI185" s="715">
        <f>SUM(AI35,AE35:AG35,AI13,AE13:AG13)</f>
        <v>1473</v>
      </c>
      <c r="AJ185" s="716">
        <f>SUM(AI35:AJ35,AF35:AG35,AI13:AJ13,AF13:AG13)</f>
        <v>1478</v>
      </c>
      <c r="AK185" s="716">
        <f>SUM(AI35:AK35,AG35,AI13:AK13,AG13)</f>
        <v>1501</v>
      </c>
      <c r="AL185" s="717">
        <f>SUM(AI35:AL35,AI13:AL13)</f>
        <v>1439</v>
      </c>
      <c r="AM185" s="718">
        <f>AM35+AM13</f>
        <v>1439</v>
      </c>
      <c r="AN185" s="715">
        <f>SUM(AN35,AJ35:AL35,AN13,AJ13:AL13)</f>
        <v>1423</v>
      </c>
      <c r="AO185" s="716">
        <f>SUM(AN35:AO35,AK35:AL35,AN13:AO13,AK13:AL13)</f>
        <v>1411</v>
      </c>
      <c r="AP185" s="716">
        <f>SUM(AN35:AP35,AL35,AN13:AP13,AL13)</f>
        <v>1446</v>
      </c>
      <c r="AQ185" s="717">
        <f>SUM(AN35:AQ35,AN13:AQ13)</f>
        <v>1447</v>
      </c>
      <c r="AR185" s="718">
        <f>AR35+AR13</f>
        <v>1447</v>
      </c>
      <c r="AS185" s="715">
        <f>SUM(AS35,AO35:AQ35,AS13,AO13:AQ13)</f>
        <v>1493</v>
      </c>
      <c r="AT185" s="716">
        <f>SUM(AS35:AT35,AP35:AQ35,AS13:AT13,AP13:AQ13)</f>
        <v>1561</v>
      </c>
      <c r="AU185" s="716">
        <f>SUM(AS35:AU35,AQ35,AS13:AU13,AQ13)</f>
        <v>1604</v>
      </c>
      <c r="AV185" s="717">
        <f>SUM(AS35:AV35,AS13:AV13)</f>
        <v>1754</v>
      </c>
      <c r="AW185" s="718">
        <f>AW35+AW13</f>
        <v>1754</v>
      </c>
      <c r="AX185" s="715">
        <f>SUM(AX35,AT35:AV35,AX13,AT13:AV13)</f>
        <v>1829.7800333630564</v>
      </c>
      <c r="AY185" s="716">
        <f>SUM(AX35:AY35,AU35:AV35,AX13:AY13,AU13:AV13)</f>
        <v>1878.708500147909</v>
      </c>
      <c r="AZ185" s="716">
        <f>SUM(AX35:AZ35,AV35,AX13:AZ13,AV13)</f>
        <v>1908.5621080487872</v>
      </c>
      <c r="BA185" s="717">
        <f>SUM(AX35:BA35,AX13:BA13)</f>
        <v>1940.7430271060341</v>
      </c>
      <c r="BB185" s="718">
        <f>BB35+BB13</f>
        <v>1940.7430271060332</v>
      </c>
      <c r="BC185" s="715">
        <f>SUM(BC35,AY35:BA35,BC13,AY13:BA13)</f>
        <v>1964.7169781618816</v>
      </c>
      <c r="BD185" s="716">
        <f>SUM(BC35:BD35,AZ35:BA35,BC13:BD13,AZ13:BA13)</f>
        <v>1985.5747821455673</v>
      </c>
      <c r="BE185" s="716">
        <f>SUM(BC35:BE35,BA35,BC13:BE13,BA13)</f>
        <v>2006.2544052086259</v>
      </c>
      <c r="BF185" s="717">
        <f>SUM(BC35:BF35,BC13:BF13)</f>
        <v>2024.4879515727496</v>
      </c>
      <c r="BG185" s="718">
        <f>BG35+BG13</f>
        <v>2024.4879515727496</v>
      </c>
      <c r="BH185" s="715">
        <f>SUM(BH35,BD35:BF35,BH13,BD13:BF13)</f>
        <v>2005.3800729989844</v>
      </c>
      <c r="BI185" s="716">
        <f>SUM(BH35:BI35,BE35:BF35,BH13:BI13,BE13:BF13)</f>
        <v>1981.7304462806064</v>
      </c>
      <c r="BJ185" s="716">
        <f>SUM(BH35:BJ35,BF35,BH13:BJ13,BF13)</f>
        <v>1961.9524848435683</v>
      </c>
      <c r="BK185" s="717">
        <f>SUM(BH35:BK35,BH13:BK13)</f>
        <v>1942.2396211688651</v>
      </c>
      <c r="BL185" s="718">
        <f>BL35+BL13</f>
        <v>1942.2396211688649</v>
      </c>
      <c r="BM185" s="715">
        <f>SUM(BM35,BI35:BK35,BM13,BI13:BK13)</f>
        <v>1963.1807188943453</v>
      </c>
      <c r="BN185" s="716">
        <f>SUM(BM35:BN35,BJ35:BK35,BM13:BN13,BJ13:BK13)</f>
        <v>1979.7518050602516</v>
      </c>
      <c r="BO185" s="716">
        <f>SUM(BM35:BO35,BK35,BM13:BO13,BK13)</f>
        <v>2002.4131395180536</v>
      </c>
      <c r="BP185" s="717">
        <f>SUM(BM35:BP35,BM13:BP13)</f>
        <v>2025.1973560981601</v>
      </c>
      <c r="BQ185" s="718">
        <f>BQ35+BQ13</f>
        <v>2025.1973560981608</v>
      </c>
      <c r="BR185" s="691"/>
      <c r="BS185" s="729"/>
      <c r="BT185" s="726"/>
      <c r="BU185" s="726"/>
      <c r="BV185" s="726"/>
      <c r="BW185" s="726"/>
      <c r="BX185" s="726"/>
      <c r="BY185" s="726"/>
    </row>
    <row r="186" spans="1:77" s="732" customFormat="1">
      <c r="A186" s="731"/>
      <c r="B186" s="96"/>
      <c r="C186" s="1198" t="s">
        <v>411</v>
      </c>
      <c r="E186" s="715"/>
      <c r="F186" s="716"/>
      <c r="G186" s="716"/>
      <c r="H186" s="733"/>
      <c r="I186" s="691"/>
      <c r="J186" s="715"/>
      <c r="K186" s="716"/>
      <c r="L186" s="716"/>
      <c r="M186" s="717">
        <f>SUM(J18:M18)</f>
        <v>1367</v>
      </c>
      <c r="N186" s="718"/>
      <c r="O186" s="715"/>
      <c r="P186" s="716"/>
      <c r="Q186" s="716"/>
      <c r="R186" s="717"/>
      <c r="S186" s="718"/>
      <c r="T186" s="715">
        <f>SUM(T18,P18:R18)</f>
        <v>1535</v>
      </c>
      <c r="U186" s="716">
        <f>SUM(Q18:R18,T18:U18)</f>
        <v>1523</v>
      </c>
      <c r="V186" s="716">
        <f>SUM(R18:S18,U18:V18)</f>
        <v>2608</v>
      </c>
      <c r="W186" s="717">
        <f>SUM(T18:W18)</f>
        <v>1301</v>
      </c>
      <c r="X186" s="718">
        <f>X18</f>
        <v>1301</v>
      </c>
      <c r="Y186" s="715">
        <f>SUM(Y18,U18:W18)</f>
        <v>1392</v>
      </c>
      <c r="Z186" s="716">
        <f>SUM(V18:W18,Y18:Z18)</f>
        <v>1434</v>
      </c>
      <c r="AA186" s="716">
        <f>SUM(Y18:AA18,W18)</f>
        <v>1374</v>
      </c>
      <c r="AB186" s="717">
        <f>SUM(Y18:AB18)</f>
        <v>1448</v>
      </c>
      <c r="AC186" s="718">
        <f>AC18</f>
        <v>1448</v>
      </c>
      <c r="AD186" s="715">
        <f>SUM(AD18,Z18:AB18)</f>
        <v>1470</v>
      </c>
      <c r="AE186" s="716">
        <f>SUM(AA18:AB18,AD18:AE18)</f>
        <v>1424</v>
      </c>
      <c r="AF186" s="716">
        <f>SUM(AD18:AF18,AB18)</f>
        <v>1397</v>
      </c>
      <c r="AG186" s="717">
        <f>SUM(AD18:AG18)</f>
        <v>1717</v>
      </c>
      <c r="AH186" s="718">
        <f>AH18</f>
        <v>1717</v>
      </c>
      <c r="AI186" s="715">
        <f>SUM(AI18,AE18:AG18)</f>
        <v>1697</v>
      </c>
      <c r="AJ186" s="716">
        <f>SUM(AF18:AG18,AI18:AJ18)</f>
        <v>1707</v>
      </c>
      <c r="AK186" s="716">
        <f>SUM(AI18:AK18,AG18)</f>
        <v>1734</v>
      </c>
      <c r="AL186" s="717">
        <f>SUM(AI18:AL18)</f>
        <v>1666</v>
      </c>
      <c r="AM186" s="718">
        <f>AM18</f>
        <v>1666</v>
      </c>
      <c r="AN186" s="715">
        <f>SUM(AN18,AJ18:AL18)</f>
        <v>1608</v>
      </c>
      <c r="AO186" s="716">
        <f>SUM(AK18:AL18,AN18:AO18)</f>
        <v>1591</v>
      </c>
      <c r="AP186" s="716">
        <f>SUM(AN18:AP18,AL18)</f>
        <v>1655</v>
      </c>
      <c r="AQ186" s="717">
        <f>SUM(AN18:AQ18)</f>
        <v>1644</v>
      </c>
      <c r="AR186" s="718">
        <f>AR18</f>
        <v>1644</v>
      </c>
      <c r="AS186" s="715">
        <f>SUM(AS18,AO18:AQ18)</f>
        <v>1742</v>
      </c>
      <c r="AT186" s="716">
        <f>SUM(AP18:AQ18,AS18:AT18)</f>
        <v>1826</v>
      </c>
      <c r="AU186" s="716">
        <f>SUM(AS18:AU18,AQ18)</f>
        <v>1868</v>
      </c>
      <c r="AV186" s="717">
        <f>SUM(AS18:AV18)</f>
        <v>2057</v>
      </c>
      <c r="AW186" s="718">
        <f>AW18</f>
        <v>2057</v>
      </c>
      <c r="AX186" s="715">
        <f>SUM(AX18,AT18:AV18)</f>
        <v>2061.1554996939039</v>
      </c>
      <c r="AY186" s="716">
        <f>SUM(AU18:AV18,AX18:AY18)</f>
        <v>2032.5688243287123</v>
      </c>
      <c r="AZ186" s="716">
        <f>SUM(AX18:AZ18,AV18)</f>
        <v>1967.8685270041733</v>
      </c>
      <c r="BA186" s="717">
        <f>SUM(AX18:BA18)</f>
        <v>1916.196671661105</v>
      </c>
      <c r="BB186" s="718">
        <f>BB18</f>
        <v>1916.1966716611041</v>
      </c>
      <c r="BC186" s="715">
        <f>SUM(BC18,AY18:BA18)</f>
        <v>1924.1470770665105</v>
      </c>
      <c r="BD186" s="716">
        <f>SUM(AZ18:BA18,BC18:BD18)</f>
        <v>1932.168182471916</v>
      </c>
      <c r="BE186" s="716">
        <f>SUM(BC18:BE18,BA18)</f>
        <v>1940.1286878773208</v>
      </c>
      <c r="BF186" s="717">
        <f>SUM(BC18:BF18)</f>
        <v>1947.887193282726</v>
      </c>
      <c r="BG186" s="718">
        <f>BG18</f>
        <v>1947.887193282726</v>
      </c>
      <c r="BH186" s="715">
        <f>SUM(BH18,BD18:BF18)</f>
        <v>1913.4324743638072</v>
      </c>
      <c r="BI186" s="716">
        <f>SUM(BE18:BF18,BH18:BI18)</f>
        <v>1879.0491624448873</v>
      </c>
      <c r="BJ186" s="716">
        <f>SUM(BH18:BJ18,BF18)</f>
        <v>1844.6046445259688</v>
      </c>
      <c r="BK186" s="717">
        <f>SUM(BH18:BK18)</f>
        <v>1809.9561066070503</v>
      </c>
      <c r="BL186" s="718">
        <f>BL18</f>
        <v>1809.9561066070501</v>
      </c>
      <c r="BM186" s="715">
        <f>SUM(BM18,BI18:BK18)</f>
        <v>1830.3961310394827</v>
      </c>
      <c r="BN186" s="716">
        <f>SUM(BJ18:BK18,BM18:BN18)</f>
        <v>1850.9082765419157</v>
      </c>
      <c r="BO186" s="716">
        <f>SUM(BM18:BO18,BK18)</f>
        <v>1871.3586039843478</v>
      </c>
      <c r="BP186" s="717">
        <f>SUM(BM18:BP18)</f>
        <v>1891.6028712267803</v>
      </c>
      <c r="BQ186" s="718">
        <f>BQ18</f>
        <v>1891.6028712267807</v>
      </c>
      <c r="BR186" s="691"/>
      <c r="BS186" s="678"/>
      <c r="BT186" s="673"/>
      <c r="BU186" s="673"/>
      <c r="BV186" s="673"/>
      <c r="BW186" s="673"/>
      <c r="BX186" s="673"/>
      <c r="BY186" s="673"/>
    </row>
    <row r="187" spans="1:77" s="732" customFormat="1">
      <c r="A187" s="731"/>
      <c r="B187" s="96"/>
      <c r="C187" s="1198" t="s">
        <v>412</v>
      </c>
      <c r="E187" s="715"/>
      <c r="F187" s="716"/>
      <c r="G187" s="716"/>
      <c r="H187" s="733"/>
      <c r="I187" s="691"/>
      <c r="J187" s="715"/>
      <c r="K187" s="716"/>
      <c r="L187" s="716"/>
      <c r="M187" s="717">
        <f>SUM(J23:M23)</f>
        <v>1820</v>
      </c>
      <c r="N187" s="718"/>
      <c r="O187" s="715"/>
      <c r="P187" s="716"/>
      <c r="Q187" s="716"/>
      <c r="R187" s="717"/>
      <c r="S187" s="718"/>
      <c r="T187" s="715">
        <f>SUM(T23,P23:R23)</f>
        <v>1953</v>
      </c>
      <c r="U187" s="716">
        <f>SUM(Q23:R23,T23:U23)</f>
        <v>1941</v>
      </c>
      <c r="V187" s="716">
        <f>SUM(R23:S23,U23:V23)</f>
        <v>3235</v>
      </c>
      <c r="W187" s="717">
        <f>SUM(T23:W23)</f>
        <v>1921</v>
      </c>
      <c r="X187" s="718">
        <f>X23</f>
        <v>1921</v>
      </c>
      <c r="Y187" s="715">
        <f>SUM(Y23,U23:W23)</f>
        <v>2010</v>
      </c>
      <c r="Z187" s="716">
        <f>SUM(V23:W23,Y23:Z23)</f>
        <v>2042</v>
      </c>
      <c r="AA187" s="716">
        <f>SUM(Y23:AA23,W23)</f>
        <v>1731</v>
      </c>
      <c r="AB187" s="717">
        <f>SUM(Y23:AB23)</f>
        <v>1938</v>
      </c>
      <c r="AC187" s="718">
        <f>AC23</f>
        <v>1938</v>
      </c>
      <c r="AD187" s="715">
        <f>SUM(AD23,Z23:AB23)</f>
        <v>1975</v>
      </c>
      <c r="AE187" s="716">
        <f>SUM(AA23:AB23,AD23:AE23)</f>
        <v>1948</v>
      </c>
      <c r="AF187" s="716">
        <f>SUM(AD23:AF23,AB23)</f>
        <v>2189</v>
      </c>
      <c r="AG187" s="717">
        <f>SUM(AD23:AG23)</f>
        <v>1925</v>
      </c>
      <c r="AH187" s="718">
        <f>AH23</f>
        <v>1925</v>
      </c>
      <c r="AI187" s="715">
        <f>SUM(AI23,AE23:AG23)</f>
        <v>1913</v>
      </c>
      <c r="AJ187" s="716">
        <f>SUM(AF23:AG23,AI23:AJ23)</f>
        <v>1926</v>
      </c>
      <c r="AK187" s="716">
        <f>SUM(AI23:AK23,AG23)</f>
        <v>1956</v>
      </c>
      <c r="AL187" s="717">
        <f>SUM(AI23:AL23)</f>
        <v>2193</v>
      </c>
      <c r="AM187" s="718">
        <f>AM23</f>
        <v>2193</v>
      </c>
      <c r="AN187" s="715">
        <f>SUM(AN23,AJ23:AL23)</f>
        <v>2130</v>
      </c>
      <c r="AO187" s="716">
        <f>SUM(AK23:AL23,AN23:AO23)</f>
        <v>2114</v>
      </c>
      <c r="AP187" s="716">
        <f>SUM(AN23:AP23,AL23)</f>
        <v>2180</v>
      </c>
      <c r="AQ187" s="717">
        <f>SUM(AN23:AQ23)</f>
        <v>2268</v>
      </c>
      <c r="AR187" s="718">
        <f>AR23</f>
        <v>2268</v>
      </c>
      <c r="AS187" s="715">
        <f>SUM(AS23,AO23:AQ23)</f>
        <v>2378</v>
      </c>
      <c r="AT187" s="716">
        <f>SUM(AP23:AQ23,AS23:AT23)</f>
        <v>2472</v>
      </c>
      <c r="AU187" s="716">
        <f>SUM(AS23:AU23,AQ23)</f>
        <v>2526</v>
      </c>
      <c r="AV187" s="717">
        <f>SUM(AS23:AV23)</f>
        <v>2733</v>
      </c>
      <c r="AW187" s="718">
        <f>AW23</f>
        <v>2733</v>
      </c>
      <c r="AX187" s="715">
        <f>SUM(AX23,AT23:AV23)</f>
        <v>2771.8273746939039</v>
      </c>
      <c r="AY187" s="716">
        <f>SUM(AU23:AV23,AX23:AY23)</f>
        <v>2779.3344493287123</v>
      </c>
      <c r="AZ187" s="716">
        <f>SUM(AX23:AZ23,AV23)</f>
        <v>2749.1497770041733</v>
      </c>
      <c r="BA187" s="717">
        <f>SUM(AX23:BA23)</f>
        <v>2835.415421661105</v>
      </c>
      <c r="BB187" s="718">
        <f>BB23</f>
        <v>2835.4154216611041</v>
      </c>
      <c r="BC187" s="715">
        <f>SUM(BC23,AY23:BA23)</f>
        <v>2853.0533270665105</v>
      </c>
      <c r="BD187" s="716">
        <f>SUM(AZ23:BA23,BC23:BD23)</f>
        <v>2870.7619324719158</v>
      </c>
      <c r="BE187" s="716">
        <f>SUM(BC23:BE23,BA23)</f>
        <v>2888.4099378773208</v>
      </c>
      <c r="BF187" s="717">
        <f>SUM(BC23:BF23)</f>
        <v>2905.855943282726</v>
      </c>
      <c r="BG187" s="718">
        <f>BG23</f>
        <v>2905.855943282726</v>
      </c>
      <c r="BH187" s="715">
        <f>SUM(BH23,BD23:BF23)</f>
        <v>2881.0887243638072</v>
      </c>
      <c r="BI187" s="716">
        <f>SUM(BE23:BF23,BH23:BI23)</f>
        <v>2856.3929124448873</v>
      </c>
      <c r="BJ187" s="716">
        <f>SUM(BH23:BJ23,BF23)</f>
        <v>2831.635894525969</v>
      </c>
      <c r="BK187" s="717">
        <f>SUM(BH23:BK23)</f>
        <v>2806.6748566070505</v>
      </c>
      <c r="BL187" s="718">
        <f>BL23</f>
        <v>2806.6748566070501</v>
      </c>
      <c r="BM187" s="715">
        <f>SUM(BM23,BI23:BK23)</f>
        <v>2836.802381039483</v>
      </c>
      <c r="BN187" s="716">
        <f>SUM(BJ23:BK23,BM23:BN23)</f>
        <v>2867.0020265419153</v>
      </c>
      <c r="BO187" s="716">
        <f>SUM(BM23:BO23,BK23)</f>
        <v>2897.1398539843481</v>
      </c>
      <c r="BP187" s="717">
        <f>SUM(BM23:BP23)</f>
        <v>2927.0716212267807</v>
      </c>
      <c r="BQ187" s="718">
        <f>BQ23</f>
        <v>2927.0716212267807</v>
      </c>
      <c r="BR187" s="691"/>
      <c r="BS187" s="678"/>
      <c r="BT187" s="673"/>
      <c r="BU187" s="673"/>
      <c r="BV187" s="673"/>
      <c r="BW187" s="673"/>
      <c r="BX187" s="673"/>
      <c r="BY187" s="673"/>
    </row>
    <row r="188" spans="1:77" s="732" customFormat="1">
      <c r="A188" s="731"/>
      <c r="B188" s="96"/>
      <c r="C188" s="1198" t="s">
        <v>413</v>
      </c>
      <c r="E188" s="715"/>
      <c r="F188" s="716"/>
      <c r="G188" s="716"/>
      <c r="H188" s="733"/>
      <c r="I188" s="691"/>
      <c r="J188" s="715"/>
      <c r="K188" s="716"/>
      <c r="L188" s="716"/>
      <c r="M188" s="717">
        <f>SUM(J25:M25)</f>
        <v>500</v>
      </c>
      <c r="N188" s="718"/>
      <c r="O188" s="715"/>
      <c r="P188" s="716"/>
      <c r="Q188" s="716"/>
      <c r="R188" s="717"/>
      <c r="S188" s="718"/>
      <c r="T188" s="715">
        <f>SUM(T25,P25:R25)</f>
        <v>541</v>
      </c>
      <c r="U188" s="716">
        <f>SUM(Q25:R25,T25:U25)</f>
        <v>540</v>
      </c>
      <c r="V188" s="716">
        <f>SUM(R25:S25,U25:V25)</f>
        <v>935</v>
      </c>
      <c r="W188" s="717">
        <f>SUM(T25:W25)</f>
        <v>540</v>
      </c>
      <c r="X188" s="718">
        <f>X25</f>
        <v>540</v>
      </c>
      <c r="Y188" s="715">
        <f>SUM(Y25,U25:W25)</f>
        <v>541</v>
      </c>
      <c r="Z188" s="716">
        <f>SUM(V25:W25,Y25:Z25)</f>
        <v>541</v>
      </c>
      <c r="AA188" s="716">
        <f>SUM(Y25:AA25,W25)</f>
        <v>540</v>
      </c>
      <c r="AB188" s="717">
        <f>SUM(Y25:AB25)</f>
        <v>543</v>
      </c>
      <c r="AC188" s="718">
        <f>AC25</f>
        <v>543</v>
      </c>
      <c r="AD188" s="715">
        <f>SUM(AD25,Z25:AB25)</f>
        <v>559</v>
      </c>
      <c r="AE188" s="716">
        <f>SUM(AA25:AB25,AD25:AE25)</f>
        <v>571</v>
      </c>
      <c r="AF188" s="716">
        <f>SUM(AD25:AF25,AB25)</f>
        <v>584</v>
      </c>
      <c r="AG188" s="717">
        <f>SUM(AD25:AG25)</f>
        <v>589</v>
      </c>
      <c r="AH188" s="718">
        <f>AH25</f>
        <v>589</v>
      </c>
      <c r="AI188" s="715">
        <f>SUM(AI25,AE25:AG25)</f>
        <v>582</v>
      </c>
      <c r="AJ188" s="716">
        <f>SUM(AF25:AG25,AI25:AJ25)</f>
        <v>581</v>
      </c>
      <c r="AK188" s="716">
        <f>SUM(AI25:AK25,AG25)</f>
        <v>583</v>
      </c>
      <c r="AL188" s="717">
        <f>SUM(AI25:AL25)</f>
        <v>586</v>
      </c>
      <c r="AM188" s="718">
        <f>AM25</f>
        <v>586</v>
      </c>
      <c r="AN188" s="715">
        <f>SUM(AN25,AJ25:AL25)</f>
        <v>589</v>
      </c>
      <c r="AO188" s="716">
        <f>SUM(AK25:AL25,AN25:AO25)</f>
        <v>588</v>
      </c>
      <c r="AP188" s="716">
        <f>SUM(AN25:AP25,AL25)</f>
        <v>578</v>
      </c>
      <c r="AQ188" s="717">
        <f>SUM(AN25:AQ25)</f>
        <v>586</v>
      </c>
      <c r="AR188" s="718">
        <f>AR25</f>
        <v>586</v>
      </c>
      <c r="AS188" s="715">
        <f>SUM(AS25,AO25:AQ25)</f>
        <v>577</v>
      </c>
      <c r="AT188" s="716">
        <f>SUM(AP25:AQ25,AS25:AT25)</f>
        <v>566</v>
      </c>
      <c r="AU188" s="716">
        <f>SUM(AS25:AU25,AQ25)</f>
        <v>560</v>
      </c>
      <c r="AV188" s="717">
        <f>SUM(AS25:AV25)</f>
        <v>535</v>
      </c>
      <c r="AW188" s="718">
        <f>AW25</f>
        <v>535</v>
      </c>
      <c r="AX188" s="715">
        <f>SUM(AX25,AT25:AV25)</f>
        <v>522.35393433842216</v>
      </c>
      <c r="AY188" s="716">
        <f>SUM(AU25:AV25,AX25:AY25)</f>
        <v>508.06493899370014</v>
      </c>
      <c r="AZ188" s="716">
        <f>SUM(AX25:AZ25,AV25)</f>
        <v>506.36061072202853</v>
      </c>
      <c r="BA188" s="717">
        <f>SUM(AX25:BA25)</f>
        <v>501.8935944907887</v>
      </c>
      <c r="BB188" s="718">
        <f>BB25</f>
        <v>501.8935944907887</v>
      </c>
      <c r="BC188" s="715">
        <f>SUM(BC25,AY25:BA25)</f>
        <v>490.53798495585988</v>
      </c>
      <c r="BD188" s="716">
        <f>SUM(AZ25:BA25,BC25:BD25)</f>
        <v>483.46408497790623</v>
      </c>
      <c r="BE188" s="716">
        <f>SUM(BC25:BE25,BA25)</f>
        <v>476.57037002782624</v>
      </c>
      <c r="BF188" s="717">
        <f>SUM(BC25:BF25)</f>
        <v>472.78016413036187</v>
      </c>
      <c r="BG188" s="718">
        <f>BG25</f>
        <v>472.78016413036187</v>
      </c>
      <c r="BH188" s="715">
        <f>SUM(BH25,BD25:BF25)</f>
        <v>477.23811895977417</v>
      </c>
      <c r="BI188" s="716">
        <f>SUM(BE25:BF25,BH25:BI25)</f>
        <v>487.90497828190547</v>
      </c>
      <c r="BJ188" s="716">
        <f>SUM(BH25:BJ25,BF25)</f>
        <v>493.27865149411969</v>
      </c>
      <c r="BK188" s="717">
        <f>SUM(BH25:BK25)</f>
        <v>498.36033475723241</v>
      </c>
      <c r="BL188" s="718">
        <f>BL25</f>
        <v>498.36033475723241</v>
      </c>
      <c r="BM188" s="715">
        <f>SUM(BM25,BI25:BK25)</f>
        <v>503.59279469577285</v>
      </c>
      <c r="BN188" s="716">
        <f>SUM(BJ25:BK25,BM25:BN25)</f>
        <v>514.80279673076495</v>
      </c>
      <c r="BO188" s="716">
        <f>SUM(BM25:BO25,BK25)</f>
        <v>517.7209154464374</v>
      </c>
      <c r="BP188" s="717">
        <f>SUM(BM25:BP25)</f>
        <v>520.26691704007737</v>
      </c>
      <c r="BQ188" s="718">
        <f>BQ25</f>
        <v>520.26691704007737</v>
      </c>
      <c r="BR188" s="691"/>
      <c r="BS188" s="678"/>
      <c r="BT188" s="673"/>
      <c r="BU188" s="673"/>
      <c r="BV188" s="673"/>
      <c r="BW188" s="673"/>
      <c r="BX188" s="673"/>
      <c r="BY188" s="673"/>
    </row>
    <row r="189" spans="1:77" s="732" customFormat="1">
      <c r="A189" s="731"/>
      <c r="B189" s="96"/>
      <c r="C189" s="1198" t="s">
        <v>414</v>
      </c>
      <c r="E189" s="715"/>
      <c r="F189" s="716"/>
      <c r="G189" s="716"/>
      <c r="H189" s="733"/>
      <c r="I189" s="691"/>
      <c r="J189" s="715"/>
      <c r="K189" s="716"/>
      <c r="L189" s="716"/>
      <c r="M189" s="717">
        <f>SUM(J35:M35)</f>
        <v>698</v>
      </c>
      <c r="N189" s="718"/>
      <c r="O189" s="715"/>
      <c r="P189" s="716"/>
      <c r="Q189" s="716"/>
      <c r="R189" s="717"/>
      <c r="S189" s="718"/>
      <c r="T189" s="715">
        <f>SUM(T35,P35:R35)</f>
        <v>807</v>
      </c>
      <c r="U189" s="716">
        <f>SUM(Q35:R35,T35:U35)</f>
        <v>809</v>
      </c>
      <c r="V189" s="716">
        <f>SUM(R35:S35,U35:V35)</f>
        <v>1461</v>
      </c>
      <c r="W189" s="717">
        <f>SUM(T35:W35)</f>
        <v>864</v>
      </c>
      <c r="X189" s="718">
        <f>X35</f>
        <v>864</v>
      </c>
      <c r="Y189" s="715">
        <f>SUM(Y35,U35:W35)</f>
        <v>913</v>
      </c>
      <c r="Z189" s="716">
        <f>SUM(V35:W35,Y35:Z35)</f>
        <v>924</v>
      </c>
      <c r="AA189" s="716">
        <f>SUM(Y35:AA35,W35)</f>
        <v>865</v>
      </c>
      <c r="AB189" s="717">
        <f>SUM(Y35:AB35)</f>
        <v>856</v>
      </c>
      <c r="AC189" s="718">
        <f>AC35</f>
        <v>856</v>
      </c>
      <c r="AD189" s="715">
        <f>SUM(AD35,Z35:AB35)</f>
        <v>859</v>
      </c>
      <c r="AE189" s="716">
        <f>SUM(AA35:AB35,AD35:AE35)</f>
        <v>834</v>
      </c>
      <c r="AF189" s="716">
        <f>SUM(AD35:AF35,AB35)</f>
        <v>818</v>
      </c>
      <c r="AG189" s="717">
        <f>SUM(AD35:AG35)</f>
        <v>809</v>
      </c>
      <c r="AH189" s="718">
        <f>AH35</f>
        <v>809</v>
      </c>
      <c r="AI189" s="715">
        <f>SUM(AI35,AE35:AG35)</f>
        <v>805</v>
      </c>
      <c r="AJ189" s="716">
        <f>SUM(AF35:AG35,AI35:AJ35)</f>
        <v>804</v>
      </c>
      <c r="AK189" s="716">
        <f>SUM(AI35:AK35,AG35)</f>
        <v>818</v>
      </c>
      <c r="AL189" s="717">
        <f>SUM(AI35:AL35)</f>
        <v>767</v>
      </c>
      <c r="AM189" s="718">
        <f>AM35</f>
        <v>767</v>
      </c>
      <c r="AN189" s="715">
        <f>SUM(AN35,AJ35:AL35)</f>
        <v>754</v>
      </c>
      <c r="AO189" s="716">
        <f>SUM(AK35:AL35,AN35:AO35)</f>
        <v>742</v>
      </c>
      <c r="AP189" s="716">
        <f>SUM(AN35:AP35,AL35)</f>
        <v>780</v>
      </c>
      <c r="AQ189" s="717">
        <f>SUM(AN35:AQ35)</f>
        <v>771</v>
      </c>
      <c r="AR189" s="718">
        <f>AR35</f>
        <v>771</v>
      </c>
      <c r="AS189" s="715">
        <f>SUM(AS35,AO35:AQ35)</f>
        <v>808</v>
      </c>
      <c r="AT189" s="716">
        <f>SUM(AP35:AQ35,AS35:AT35)</f>
        <v>867</v>
      </c>
      <c r="AU189" s="716">
        <f>SUM(AS35:AU35,AQ35)</f>
        <v>898</v>
      </c>
      <c r="AV189" s="717">
        <f>SUM(AS35:AV35)</f>
        <v>1030</v>
      </c>
      <c r="AW189" s="718">
        <f>AW35</f>
        <v>1030</v>
      </c>
      <c r="AX189" s="715">
        <f>SUM(AX35,AT35:AV35)</f>
        <v>1097.3581583630564</v>
      </c>
      <c r="AY189" s="716">
        <f>SUM(AU35:AV35,AX35:AY35)</f>
        <v>1136.442875147909</v>
      </c>
      <c r="AZ189" s="716">
        <f>SUM(AX35:AZ35,AV35)</f>
        <v>1158.0308580487872</v>
      </c>
      <c r="BA189" s="717">
        <f>SUM(AX35:BA35)</f>
        <v>1180.5242771060341</v>
      </c>
      <c r="BB189" s="718">
        <f>BB35</f>
        <v>1180.5242771060332</v>
      </c>
      <c r="BC189" s="715">
        <f>SUM(BC35,AY35:BA35)</f>
        <v>1194.8107281618816</v>
      </c>
      <c r="BD189" s="716">
        <f>SUM(AZ35:BA35,BC35:BD35)</f>
        <v>1205.9810321455673</v>
      </c>
      <c r="BE189" s="716">
        <f>SUM(BC35:BE35,BA35)</f>
        <v>1216.9731552086259</v>
      </c>
      <c r="BF189" s="717">
        <f>SUM(BC35:BF35)</f>
        <v>1225.5192015727496</v>
      </c>
      <c r="BG189" s="718">
        <f>BG35</f>
        <v>1225.5192015727496</v>
      </c>
      <c r="BH189" s="715">
        <f>SUM(BH35,BD35:BF35)</f>
        <v>1196.7238229989844</v>
      </c>
      <c r="BI189" s="716">
        <f>SUM(BE35:BF35,BH35:BI35)</f>
        <v>1163.3866962806064</v>
      </c>
      <c r="BJ189" s="716">
        <f>SUM(BH35:BJ35,BF35)</f>
        <v>1133.9212348435683</v>
      </c>
      <c r="BK189" s="717">
        <f>SUM(BH35:BK35)</f>
        <v>1104.5208711688651</v>
      </c>
      <c r="BL189" s="718">
        <f>BL35</f>
        <v>1104.5208711688649</v>
      </c>
      <c r="BM189" s="715">
        <f>SUM(BM35,BI35:BK35)</f>
        <v>1115.7744688943453</v>
      </c>
      <c r="BN189" s="716">
        <f>SUM(BJ35:BK35,BM35:BN35)</f>
        <v>1122.6580550602516</v>
      </c>
      <c r="BO189" s="716">
        <f>SUM(BM35:BO35,BK35)</f>
        <v>1135.6318895180536</v>
      </c>
      <c r="BP189" s="717">
        <f>SUM(BM35:BP35)</f>
        <v>1148.7286060981601</v>
      </c>
      <c r="BQ189" s="718">
        <f>BQ35</f>
        <v>1148.7286060981608</v>
      </c>
      <c r="BR189" s="691"/>
      <c r="BS189" s="692"/>
    </row>
    <row r="190" spans="1:77" s="673" customFormat="1">
      <c r="A190" s="201"/>
      <c r="B190" s="100"/>
      <c r="C190" s="1179"/>
      <c r="E190" s="674"/>
      <c r="F190" s="675"/>
      <c r="G190" s="675"/>
      <c r="H190" s="676"/>
      <c r="I190" s="677"/>
      <c r="J190" s="674"/>
      <c r="K190" s="675"/>
      <c r="L190" s="675"/>
      <c r="M190" s="680"/>
      <c r="N190" s="679"/>
      <c r="O190" s="674"/>
      <c r="P190" s="675"/>
      <c r="Q190" s="675"/>
      <c r="R190" s="680"/>
      <c r="S190" s="679"/>
      <c r="T190" s="674"/>
      <c r="U190" s="675"/>
      <c r="V190" s="675"/>
      <c r="W190" s="680"/>
      <c r="X190" s="679"/>
      <c r="Y190" s="674"/>
      <c r="Z190" s="675"/>
      <c r="AA190" s="675"/>
      <c r="AB190" s="680"/>
      <c r="AC190" s="679"/>
      <c r="AD190" s="674"/>
      <c r="AE190" s="675"/>
      <c r="AF190" s="675"/>
      <c r="AG190" s="680"/>
      <c r="AH190" s="679"/>
      <c r="AI190" s="674"/>
      <c r="AJ190" s="675"/>
      <c r="AK190" s="675"/>
      <c r="AL190" s="680"/>
      <c r="AM190" s="679"/>
      <c r="AN190" s="674"/>
      <c r="AO190" s="675"/>
      <c r="AP190" s="675"/>
      <c r="AQ190" s="680"/>
      <c r="AR190" s="679"/>
      <c r="AS190" s="674"/>
      <c r="AT190" s="675"/>
      <c r="AU190" s="675"/>
      <c r="AV190" s="680"/>
      <c r="AW190" s="679"/>
      <c r="AX190" s="674"/>
      <c r="AY190" s="675"/>
      <c r="AZ190" s="675"/>
      <c r="BA190" s="680"/>
      <c r="BB190" s="679"/>
      <c r="BC190" s="674"/>
      <c r="BD190" s="675"/>
      <c r="BE190" s="675"/>
      <c r="BF190" s="680"/>
      <c r="BG190" s="679"/>
      <c r="BH190" s="674"/>
      <c r="BI190" s="675"/>
      <c r="BJ190" s="675"/>
      <c r="BK190" s="680"/>
      <c r="BL190" s="679"/>
      <c r="BM190" s="674"/>
      <c r="BN190" s="675"/>
      <c r="BO190" s="675"/>
      <c r="BP190" s="680"/>
      <c r="BQ190" s="679"/>
      <c r="BR190" s="677"/>
      <c r="BS190" s="692"/>
      <c r="BT190" s="732"/>
      <c r="BU190" s="732"/>
      <c r="BV190" s="732"/>
      <c r="BW190" s="732"/>
      <c r="BX190" s="732"/>
      <c r="BY190" s="732"/>
    </row>
    <row r="191" spans="1:77" s="673" customFormat="1">
      <c r="A191" s="201"/>
      <c r="B191" s="100"/>
      <c r="C191" s="1233" t="s">
        <v>40</v>
      </c>
      <c r="E191" s="674"/>
      <c r="F191" s="675"/>
      <c r="G191" s="675"/>
      <c r="H191" s="676"/>
      <c r="I191" s="677"/>
      <c r="J191" s="674"/>
      <c r="K191" s="675"/>
      <c r="L191" s="675"/>
      <c r="M191" s="680"/>
      <c r="N191" s="679"/>
      <c r="O191" s="674"/>
      <c r="P191" s="675"/>
      <c r="Q191" s="675"/>
      <c r="R191" s="680"/>
      <c r="S191" s="679"/>
      <c r="T191" s="674"/>
      <c r="U191" s="675"/>
      <c r="V191" s="675"/>
      <c r="W191" s="680"/>
      <c r="X191" s="679"/>
      <c r="Y191" s="674"/>
      <c r="Z191" s="675"/>
      <c r="AA191" s="675"/>
      <c r="AB191" s="680"/>
      <c r="AC191" s="679"/>
      <c r="AD191" s="674"/>
      <c r="AE191" s="675"/>
      <c r="AF191" s="675"/>
      <c r="AG191" s="680"/>
      <c r="AH191" s="679"/>
      <c r="AI191" s="674"/>
      <c r="AJ191" s="675"/>
      <c r="AK191" s="675"/>
      <c r="AL191" s="680"/>
      <c r="AM191" s="679"/>
      <c r="AN191" s="674"/>
      <c r="AO191" s="675"/>
      <c r="AP191" s="675"/>
      <c r="AQ191" s="680"/>
      <c r="AR191" s="679"/>
      <c r="AS191" s="674"/>
      <c r="AT191" s="675"/>
      <c r="AU191" s="675"/>
      <c r="AV191" s="680"/>
      <c r="AW191" s="679"/>
      <c r="AX191" s="674"/>
      <c r="AY191" s="675"/>
      <c r="AZ191" s="675"/>
      <c r="BA191" s="680"/>
      <c r="BB191" s="679"/>
      <c r="BC191" s="674"/>
      <c r="BD191" s="675"/>
      <c r="BE191" s="675"/>
      <c r="BF191" s="680"/>
      <c r="BG191" s="679"/>
      <c r="BH191" s="674"/>
      <c r="BI191" s="675"/>
      <c r="BJ191" s="675"/>
      <c r="BK191" s="680"/>
      <c r="BL191" s="679"/>
      <c r="BM191" s="674"/>
      <c r="BN191" s="675"/>
      <c r="BO191" s="675"/>
      <c r="BP191" s="680"/>
      <c r="BQ191" s="679"/>
      <c r="BR191" s="677"/>
      <c r="BS191" s="692"/>
      <c r="BT191" s="732"/>
      <c r="BU191" s="732"/>
      <c r="BV191" s="732"/>
      <c r="BW191" s="732"/>
      <c r="BX191" s="732"/>
      <c r="BY191" s="732"/>
    </row>
    <row r="192" spans="1:77" s="673" customFormat="1">
      <c r="A192" s="201"/>
      <c r="B192" s="87"/>
      <c r="C192" s="1229" t="s">
        <v>415</v>
      </c>
      <c r="E192" s="674"/>
      <c r="F192" s="675"/>
      <c r="G192" s="675"/>
      <c r="H192" s="676"/>
      <c r="I192" s="677"/>
      <c r="J192" s="674"/>
      <c r="K192" s="675"/>
      <c r="L192" s="675"/>
      <c r="M192" s="680"/>
      <c r="N192" s="679"/>
      <c r="O192" s="674"/>
      <c r="P192" s="675"/>
      <c r="Q192" s="675"/>
      <c r="R192" s="680"/>
      <c r="S192" s="679"/>
      <c r="T192" s="674"/>
      <c r="U192" s="675"/>
      <c r="V192" s="675"/>
      <c r="W192" s="680"/>
      <c r="X192" s="679">
        <f>X170/X180</f>
        <v>0.49282613806528941</v>
      </c>
      <c r="Y192" s="674"/>
      <c r="Z192" s="675"/>
      <c r="AA192" s="675"/>
      <c r="AB192" s="680"/>
      <c r="AC192" s="679">
        <f>AC170/AC180</f>
        <v>0.47799801629475397</v>
      </c>
      <c r="AD192" s="674"/>
      <c r="AE192" s="675"/>
      <c r="AF192" s="675"/>
      <c r="AG192" s="680"/>
      <c r="AH192" s="679">
        <f>AH170/AH180</f>
        <v>0.52605666098092185</v>
      </c>
      <c r="AI192" s="674"/>
      <c r="AJ192" s="675"/>
      <c r="AK192" s="675"/>
      <c r="AL192" s="680"/>
      <c r="AM192" s="679">
        <f>AM170/AM180</f>
        <v>0.52595272398968207</v>
      </c>
      <c r="AN192" s="674"/>
      <c r="AO192" s="675"/>
      <c r="AP192" s="675"/>
      <c r="AQ192" s="680"/>
      <c r="AR192" s="679">
        <f>AR170/AR180</f>
        <v>0.49101926381988537</v>
      </c>
      <c r="AS192" s="674"/>
      <c r="AT192" s="675"/>
      <c r="AU192" s="675"/>
      <c r="AV192" s="680"/>
      <c r="AW192" s="679">
        <f>AW170/AW180</f>
        <v>0.47048501294252298</v>
      </c>
      <c r="AX192" s="674"/>
      <c r="AY192" s="675"/>
      <c r="AZ192" s="675"/>
      <c r="BA192" s="680"/>
      <c r="BB192" s="679">
        <f>BB170/BB180</f>
        <v>0.46462284229180428</v>
      </c>
      <c r="BC192" s="674"/>
      <c r="BD192" s="675"/>
      <c r="BE192" s="675"/>
      <c r="BF192" s="680"/>
      <c r="BG192" s="679">
        <f>BG170/BG180</f>
        <v>0.46102623836716211</v>
      </c>
      <c r="BH192" s="674"/>
      <c r="BI192" s="675"/>
      <c r="BJ192" s="675"/>
      <c r="BK192" s="680"/>
      <c r="BL192" s="679">
        <f>BL170/BL180</f>
        <v>0.46817021982144025</v>
      </c>
      <c r="BM192" s="674"/>
      <c r="BN192" s="675"/>
      <c r="BO192" s="675"/>
      <c r="BP192" s="680"/>
      <c r="BQ192" s="679">
        <f>BQ170/BQ180</f>
        <v>0.46611587575935665</v>
      </c>
      <c r="BR192" s="677"/>
      <c r="BS192" s="692"/>
      <c r="BT192" s="732"/>
      <c r="BU192" s="732"/>
      <c r="BV192" s="732"/>
      <c r="BW192" s="732"/>
      <c r="BX192" s="732"/>
      <c r="BY192" s="732"/>
    </row>
    <row r="193" spans="1:88" s="673" customFormat="1">
      <c r="A193" s="201"/>
      <c r="B193" s="87"/>
      <c r="C193" s="1229" t="s">
        <v>416</v>
      </c>
      <c r="E193" s="674"/>
      <c r="F193" s="675"/>
      <c r="G193" s="675"/>
      <c r="H193" s="676"/>
      <c r="I193" s="677"/>
      <c r="J193" s="674"/>
      <c r="K193" s="675"/>
      <c r="L193" s="675"/>
      <c r="M193" s="680"/>
      <c r="N193" s="679"/>
      <c r="O193" s="674"/>
      <c r="P193" s="675"/>
      <c r="Q193" s="675"/>
      <c r="R193" s="680"/>
      <c r="S193" s="679"/>
      <c r="T193" s="674"/>
      <c r="U193" s="675"/>
      <c r="V193" s="675"/>
      <c r="W193" s="680"/>
      <c r="X193" s="679">
        <f>X171/X180</f>
        <v>0.58452622545868138</v>
      </c>
      <c r="Y193" s="674"/>
      <c r="Z193" s="675"/>
      <c r="AA193" s="675"/>
      <c r="AB193" s="680"/>
      <c r="AC193" s="679">
        <f>AC171/AC180</f>
        <v>0.5708246697758721</v>
      </c>
      <c r="AD193" s="674"/>
      <c r="AE193" s="675"/>
      <c r="AF193" s="675"/>
      <c r="AG193" s="680"/>
      <c r="AH193" s="679">
        <f>AH171/AH180</f>
        <v>0.55766752857340851</v>
      </c>
      <c r="AI193" s="674"/>
      <c r="AJ193" s="675"/>
      <c r="AK193" s="675"/>
      <c r="AL193" s="680"/>
      <c r="AM193" s="679">
        <f>AM171/AM180</f>
        <v>0.55054785123981786</v>
      </c>
      <c r="AN193" s="674"/>
      <c r="AO193" s="675"/>
      <c r="AP193" s="675"/>
      <c r="AQ193" s="680"/>
      <c r="AR193" s="679">
        <f>AR171/AR180</f>
        <v>0.51772291437026696</v>
      </c>
      <c r="AS193" s="674"/>
      <c r="AT193" s="675"/>
      <c r="AU193" s="675"/>
      <c r="AV193" s="680"/>
      <c r="AW193" s="679">
        <f>AW171/AW180</f>
        <v>0.48572706370757285</v>
      </c>
      <c r="AX193" s="674"/>
      <c r="AY193" s="675"/>
      <c r="AZ193" s="675"/>
      <c r="BA193" s="680"/>
      <c r="BB193" s="679">
        <f>BB171/BB180</f>
        <v>0.4852828980796885</v>
      </c>
      <c r="BC193" s="674"/>
      <c r="BD193" s="675"/>
      <c r="BE193" s="675"/>
      <c r="BF193" s="680"/>
      <c r="BG193" s="679">
        <f>BG171/BG180</f>
        <v>0.48693747795499442</v>
      </c>
      <c r="BH193" s="674"/>
      <c r="BI193" s="675"/>
      <c r="BJ193" s="675"/>
      <c r="BK193" s="680"/>
      <c r="BL193" s="679">
        <f>BL171/BL180</f>
        <v>0.4861754304860067</v>
      </c>
      <c r="BM193" s="674"/>
      <c r="BN193" s="675"/>
      <c r="BO193" s="675"/>
      <c r="BP193" s="680"/>
      <c r="BQ193" s="679">
        <f>BQ171/BQ180</f>
        <v>0.48321481526448656</v>
      </c>
      <c r="BR193" s="677"/>
      <c r="BS193" s="692"/>
      <c r="BT193" s="732"/>
      <c r="BU193" s="732"/>
      <c r="BV193" s="732"/>
      <c r="BW193" s="732"/>
      <c r="BX193" s="732"/>
      <c r="BY193" s="732"/>
    </row>
    <row r="194" spans="1:88" s="673" customFormat="1">
      <c r="A194" s="201"/>
      <c r="B194" s="100"/>
      <c r="C194" s="1229" t="s">
        <v>45</v>
      </c>
      <c r="E194" s="674"/>
      <c r="F194" s="675"/>
      <c r="G194" s="675"/>
      <c r="H194" s="676"/>
      <c r="I194" s="677"/>
      <c r="J194" s="374"/>
      <c r="K194" s="375"/>
      <c r="L194" s="375"/>
      <c r="M194" s="372"/>
      <c r="N194" s="373"/>
      <c r="O194" s="374"/>
      <c r="P194" s="375"/>
      <c r="Q194" s="375"/>
      <c r="R194" s="372"/>
      <c r="S194" s="373"/>
      <c r="T194" s="374"/>
      <c r="U194" s="375"/>
      <c r="V194" s="375"/>
      <c r="W194" s="372"/>
      <c r="X194" s="373">
        <f>(X171-X167)/X187</f>
        <v>6.3200702758979688</v>
      </c>
      <c r="Y194" s="374"/>
      <c r="Z194" s="1580"/>
      <c r="AA194" s="1580"/>
      <c r="AB194" s="372"/>
      <c r="AC194" s="373">
        <f>(AC171-AC167)/AC187</f>
        <v>6.4966676986584115</v>
      </c>
      <c r="AD194" s="374"/>
      <c r="AE194" s="375"/>
      <c r="AF194" s="375"/>
      <c r="AG194" s="372"/>
      <c r="AH194" s="373">
        <f>(AH171-AH167)/AH187</f>
        <v>6.6708327272727281</v>
      </c>
      <c r="AI194" s="374"/>
      <c r="AJ194" s="375"/>
      <c r="AK194" s="375"/>
      <c r="AL194" s="372"/>
      <c r="AM194" s="373">
        <f>(AM171-AM167)/AM187</f>
        <v>5.9852626538987694</v>
      </c>
      <c r="AN194" s="374"/>
      <c r="AO194" s="375"/>
      <c r="AP194" s="375"/>
      <c r="AQ194" s="372"/>
      <c r="AR194" s="373">
        <f>(AR171-AR167)/AR187</f>
        <v>5.6265145502645497</v>
      </c>
      <c r="AS194" s="374"/>
      <c r="AT194" s="375"/>
      <c r="AU194" s="375"/>
      <c r="AV194" s="372"/>
      <c r="AW194" s="373">
        <f>(AW171-AW167)/AW187</f>
        <v>4.3733479692645441</v>
      </c>
      <c r="AX194" s="374"/>
      <c r="AY194" s="375"/>
      <c r="AZ194" s="375"/>
      <c r="BA194" s="372"/>
      <c r="BB194" s="373">
        <f>(BB171-BB167)/BB187</f>
        <v>4.5752648751080418</v>
      </c>
      <c r="BC194" s="374"/>
      <c r="BD194" s="375"/>
      <c r="BE194" s="375"/>
      <c r="BF194" s="372"/>
      <c r="BG194" s="373">
        <f>(BG171-BG167)/BG187</f>
        <v>4.7442677712610939</v>
      </c>
      <c r="BH194" s="374"/>
      <c r="BI194" s="375"/>
      <c r="BJ194" s="375"/>
      <c r="BK194" s="372"/>
      <c r="BL194" s="373">
        <f>(BL171-BL167)/BL187</f>
        <v>5.179797971524688</v>
      </c>
      <c r="BM194" s="374"/>
      <c r="BN194" s="375"/>
      <c r="BO194" s="375"/>
      <c r="BP194" s="372"/>
      <c r="BQ194" s="373">
        <f>(BQ171-BQ167)/BQ187</f>
        <v>5.1880609358398839</v>
      </c>
      <c r="BR194" s="677"/>
      <c r="BS194" s="678"/>
    </row>
    <row r="195" spans="1:88" s="673" customFormat="1">
      <c r="A195" s="201"/>
      <c r="B195" s="87"/>
      <c r="C195" s="1229" t="s">
        <v>46</v>
      </c>
      <c r="E195" s="674"/>
      <c r="F195" s="675"/>
      <c r="G195" s="675"/>
      <c r="H195" s="676"/>
      <c r="I195" s="677"/>
      <c r="J195" s="674"/>
      <c r="K195" s="675"/>
      <c r="L195" s="675"/>
      <c r="M195" s="680"/>
      <c r="N195" s="679"/>
      <c r="O195" s="674"/>
      <c r="P195" s="675"/>
      <c r="Q195" s="675"/>
      <c r="R195" s="680"/>
      <c r="S195" s="679"/>
      <c r="T195" s="674"/>
      <c r="U195" s="675"/>
      <c r="V195" s="675"/>
      <c r="W195" s="680"/>
      <c r="X195" s="679">
        <f>X185/X171</f>
        <v>0.1164131583217316</v>
      </c>
      <c r="Y195" s="674"/>
      <c r="Z195" s="675"/>
      <c r="AA195" s="675"/>
      <c r="AB195" s="680"/>
      <c r="AC195" s="679">
        <f>AC185/AC171</f>
        <v>0.11570665624304284</v>
      </c>
      <c r="AD195" s="674"/>
      <c r="AE195" s="675"/>
      <c r="AF195" s="675"/>
      <c r="AG195" s="680"/>
      <c r="AH195" s="679">
        <f>AH185/AH171</f>
        <v>0.11375524198810665</v>
      </c>
      <c r="AI195" s="674"/>
      <c r="AJ195" s="675"/>
      <c r="AK195" s="675"/>
      <c r="AL195" s="680"/>
      <c r="AM195" s="679">
        <f>AM185/AM171</f>
        <v>0.10914390825297844</v>
      </c>
      <c r="AN195" s="674"/>
      <c r="AO195" s="675"/>
      <c r="AP195" s="675"/>
      <c r="AQ195" s="680"/>
      <c r="AR195" s="679">
        <f>AR185/AR171</f>
        <v>0.11274149528258262</v>
      </c>
      <c r="AS195" s="674"/>
      <c r="AT195" s="675"/>
      <c r="AU195" s="675"/>
      <c r="AV195" s="680"/>
      <c r="AW195" s="679">
        <f>AW185/AW171</f>
        <v>0.14040889568003295</v>
      </c>
      <c r="AX195" s="674"/>
      <c r="AY195" s="675"/>
      <c r="AZ195" s="675"/>
      <c r="BA195" s="680"/>
      <c r="BB195" s="679">
        <f>BB185/BB171</f>
        <v>0.14960120637090302</v>
      </c>
      <c r="BC195" s="674"/>
      <c r="BD195" s="675"/>
      <c r="BE195" s="675"/>
      <c r="BF195" s="680"/>
      <c r="BG195" s="679">
        <f>BG185/BG171</f>
        <v>0.14684931427817277</v>
      </c>
      <c r="BH195" s="674"/>
      <c r="BI195" s="675"/>
      <c r="BJ195" s="675"/>
      <c r="BK195" s="680"/>
      <c r="BL195" s="679">
        <f>BL185/BL171</f>
        <v>0.13359736242948278</v>
      </c>
      <c r="BM195" s="674"/>
      <c r="BN195" s="675"/>
      <c r="BO195" s="675"/>
      <c r="BP195" s="680"/>
      <c r="BQ195" s="679">
        <f>BQ185/BQ171</f>
        <v>0.13336102789761659</v>
      </c>
      <c r="BR195" s="677"/>
      <c r="BS195" s="678"/>
    </row>
    <row r="196" spans="1:88" s="673" customFormat="1">
      <c r="A196" s="201"/>
      <c r="B196" s="100"/>
      <c r="C196" s="1179"/>
      <c r="E196" s="674"/>
      <c r="F196" s="675"/>
      <c r="G196" s="675"/>
      <c r="H196" s="676"/>
      <c r="I196" s="677"/>
      <c r="J196" s="674"/>
      <c r="K196" s="675"/>
      <c r="L196" s="675"/>
      <c r="M196" s="680"/>
      <c r="N196" s="679"/>
      <c r="O196" s="674"/>
      <c r="P196" s="675"/>
      <c r="Q196" s="675"/>
      <c r="R196" s="680"/>
      <c r="S196" s="679"/>
      <c r="T196" s="674"/>
      <c r="U196" s="675"/>
      <c r="V196" s="675"/>
      <c r="W196" s="680"/>
      <c r="X196" s="679"/>
      <c r="Y196" s="674"/>
      <c r="Z196" s="675"/>
      <c r="AA196" s="675"/>
      <c r="AB196" s="680"/>
      <c r="AC196" s="679"/>
      <c r="AD196" s="674"/>
      <c r="AE196" s="675"/>
      <c r="AF196" s="675"/>
      <c r="AG196" s="680"/>
      <c r="AH196" s="679"/>
      <c r="AI196" s="674"/>
      <c r="AJ196" s="675"/>
      <c r="AK196" s="675"/>
      <c r="AL196" s="680"/>
      <c r="AM196" s="679"/>
      <c r="AN196" s="674"/>
      <c r="AO196" s="675"/>
      <c r="AP196" s="675"/>
      <c r="AQ196" s="680"/>
      <c r="AR196" s="679"/>
      <c r="AS196" s="674"/>
      <c r="AT196" s="675"/>
      <c r="AU196" s="675"/>
      <c r="AV196" s="680"/>
      <c r="AW196" s="679"/>
      <c r="AX196" s="674"/>
      <c r="AY196" s="675"/>
      <c r="AZ196" s="675"/>
      <c r="BA196" s="680"/>
      <c r="BB196" s="679"/>
      <c r="BC196" s="674"/>
      <c r="BD196" s="675"/>
      <c r="BE196" s="675"/>
      <c r="BF196" s="680"/>
      <c r="BG196" s="679"/>
      <c r="BH196" s="674"/>
      <c r="BI196" s="675"/>
      <c r="BJ196" s="675"/>
      <c r="BK196" s="680"/>
      <c r="BL196" s="679"/>
      <c r="BM196" s="674"/>
      <c r="BN196" s="675"/>
      <c r="BO196" s="675"/>
      <c r="BP196" s="680"/>
      <c r="BQ196" s="679"/>
      <c r="BR196" s="677"/>
      <c r="BS196" s="678"/>
    </row>
    <row r="197" spans="1:88" s="673" customFormat="1">
      <c r="A197" s="201"/>
      <c r="B197" s="100"/>
      <c r="C197" s="1233" t="s">
        <v>47</v>
      </c>
      <c r="E197" s="674"/>
      <c r="F197" s="675"/>
      <c r="G197" s="675"/>
      <c r="H197" s="676"/>
      <c r="I197" s="677"/>
      <c r="J197" s="674"/>
      <c r="K197" s="675"/>
      <c r="L197" s="675"/>
      <c r="M197" s="680"/>
      <c r="N197" s="679"/>
      <c r="O197" s="674"/>
      <c r="P197" s="675"/>
      <c r="Q197" s="675"/>
      <c r="R197" s="680"/>
      <c r="S197" s="679"/>
      <c r="T197" s="674"/>
      <c r="U197" s="675"/>
      <c r="V197" s="675"/>
      <c r="W197" s="680"/>
      <c r="X197" s="679"/>
      <c r="Y197" s="674"/>
      <c r="Z197" s="675"/>
      <c r="AA197" s="675"/>
      <c r="AB197" s="680"/>
      <c r="AC197" s="679"/>
      <c r="AD197" s="674"/>
      <c r="AE197" s="675"/>
      <c r="AF197" s="675"/>
      <c r="AG197" s="680"/>
      <c r="AH197" s="679"/>
      <c r="AI197" s="674"/>
      <c r="AJ197" s="675"/>
      <c r="AK197" s="675"/>
      <c r="AL197" s="680"/>
      <c r="AM197" s="679"/>
      <c r="AN197" s="674"/>
      <c r="AO197" s="675"/>
      <c r="AP197" s="675"/>
      <c r="AQ197" s="680"/>
      <c r="AR197" s="679"/>
      <c r="AS197" s="674"/>
      <c r="AT197" s="675"/>
      <c r="AU197" s="675"/>
      <c r="AV197" s="680"/>
      <c r="AW197" s="679"/>
      <c r="AX197" s="674"/>
      <c r="AY197" s="675"/>
      <c r="AZ197" s="675"/>
      <c r="BA197" s="680"/>
      <c r="BB197" s="679"/>
      <c r="BC197" s="674"/>
      <c r="BD197" s="675"/>
      <c r="BE197" s="675"/>
      <c r="BF197" s="680"/>
      <c r="BG197" s="679"/>
      <c r="BH197" s="674"/>
      <c r="BI197" s="675"/>
      <c r="BJ197" s="675"/>
      <c r="BK197" s="680"/>
      <c r="BL197" s="679"/>
      <c r="BM197" s="674"/>
      <c r="BN197" s="675"/>
      <c r="BO197" s="675"/>
      <c r="BP197" s="680"/>
      <c r="BQ197" s="679"/>
      <c r="BR197" s="677"/>
      <c r="BS197" s="678"/>
    </row>
    <row r="198" spans="1:88" s="673" customFormat="1">
      <c r="A198" s="201"/>
      <c r="B198" s="100"/>
      <c r="C198" s="1229" t="s">
        <v>49</v>
      </c>
      <c r="E198" s="674"/>
      <c r="F198" s="675"/>
      <c r="G198" s="675"/>
      <c r="H198" s="676"/>
      <c r="I198" s="677"/>
      <c r="J198" s="374"/>
      <c r="K198" s="375"/>
      <c r="L198" s="375"/>
      <c r="M198" s="372"/>
      <c r="N198" s="373"/>
      <c r="O198" s="374"/>
      <c r="P198" s="375"/>
      <c r="Q198" s="375"/>
      <c r="R198" s="372"/>
      <c r="S198" s="373"/>
      <c r="T198" s="374"/>
      <c r="U198" s="375"/>
      <c r="V198" s="375"/>
      <c r="W198" s="372"/>
      <c r="X198" s="373">
        <f>(X185+X188)/X188</f>
        <v>3.6333333333333333</v>
      </c>
      <c r="Y198" s="374"/>
      <c r="Z198" s="1580"/>
      <c r="AA198" s="1580"/>
      <c r="AB198" s="372"/>
      <c r="AC198" s="373">
        <f>(AC185+AC188)/AC188</f>
        <v>3.6924493554327809</v>
      </c>
      <c r="AD198" s="374"/>
      <c r="AE198" s="375"/>
      <c r="AF198" s="375"/>
      <c r="AG198" s="372"/>
      <c r="AH198" s="373">
        <f>(AH185+AH188)/AH188</f>
        <v>3.4906621392190154</v>
      </c>
      <c r="AI198" s="374"/>
      <c r="AJ198" s="375"/>
      <c r="AK198" s="375"/>
      <c r="AL198" s="372"/>
      <c r="AM198" s="373">
        <f>(AM185+AM188)/AM188</f>
        <v>3.4556313993174061</v>
      </c>
      <c r="AN198" s="374"/>
      <c r="AO198" s="375"/>
      <c r="AP198" s="375"/>
      <c r="AQ198" s="372"/>
      <c r="AR198" s="373">
        <f>(AR185+AR188)/AR188</f>
        <v>3.4692832764505122</v>
      </c>
      <c r="AS198" s="374"/>
      <c r="AT198" s="375"/>
      <c r="AU198" s="375"/>
      <c r="AV198" s="372"/>
      <c r="AW198" s="373">
        <f>(AW185+AW188)/AW188</f>
        <v>4.2785046728971965</v>
      </c>
      <c r="AX198" s="374"/>
      <c r="AY198" s="375"/>
      <c r="AZ198" s="375"/>
      <c r="BA198" s="372"/>
      <c r="BB198" s="373">
        <f>(BB185+BB188)/BB188</f>
        <v>4.866841594332505</v>
      </c>
      <c r="BC198" s="374"/>
      <c r="BD198" s="375"/>
      <c r="BE198" s="375"/>
      <c r="BF198" s="372"/>
      <c r="BG198" s="373">
        <f>(BG185+BG188)/BG188</f>
        <v>5.2820915621462667</v>
      </c>
      <c r="BH198" s="374"/>
      <c r="BI198" s="375"/>
      <c r="BJ198" s="375"/>
      <c r="BK198" s="372"/>
      <c r="BL198" s="373">
        <f>(BL185+BL188)/BL188</f>
        <v>4.8972596447006422</v>
      </c>
      <c r="BM198" s="374"/>
      <c r="BN198" s="375"/>
      <c r="BO198" s="375"/>
      <c r="BP198" s="372"/>
      <c r="BQ198" s="373">
        <f>(BQ185+BQ188)/BQ188</f>
        <v>4.8926122145532371</v>
      </c>
      <c r="BR198" s="677"/>
      <c r="BS198" s="678"/>
    </row>
    <row r="199" spans="1:88" s="673" customFormat="1">
      <c r="A199" s="201"/>
      <c r="B199" s="100"/>
      <c r="C199" s="1229" t="s">
        <v>50</v>
      </c>
      <c r="E199" s="674"/>
      <c r="F199" s="675"/>
      <c r="G199" s="675"/>
      <c r="H199" s="676"/>
      <c r="I199" s="677"/>
      <c r="J199" s="374"/>
      <c r="K199" s="375"/>
      <c r="L199" s="375"/>
      <c r="M199" s="372"/>
      <c r="N199" s="373"/>
      <c r="O199" s="374"/>
      <c r="P199" s="375"/>
      <c r="Q199" s="375"/>
      <c r="R199" s="372"/>
      <c r="S199" s="373"/>
      <c r="T199" s="374"/>
      <c r="U199" s="375"/>
      <c r="V199" s="375"/>
      <c r="W199" s="372"/>
      <c r="X199" s="373">
        <f>X186/X188</f>
        <v>2.4092592592592594</v>
      </c>
      <c r="Y199" s="374"/>
      <c r="Z199" s="1580"/>
      <c r="AA199" s="1580"/>
      <c r="AB199" s="372"/>
      <c r="AC199" s="373">
        <f>AC186/AC188</f>
        <v>2.6666666666666665</v>
      </c>
      <c r="AD199" s="374"/>
      <c r="AE199" s="375"/>
      <c r="AF199" s="375"/>
      <c r="AG199" s="372"/>
      <c r="AH199" s="373">
        <f>AH186/AH188</f>
        <v>2.9151103565365024</v>
      </c>
      <c r="AI199" s="374"/>
      <c r="AJ199" s="375"/>
      <c r="AK199" s="375"/>
      <c r="AL199" s="372"/>
      <c r="AM199" s="373">
        <f>AM186/AM188</f>
        <v>2.8430034129692832</v>
      </c>
      <c r="AN199" s="374"/>
      <c r="AO199" s="375"/>
      <c r="AP199" s="375"/>
      <c r="AQ199" s="372"/>
      <c r="AR199" s="373">
        <f>AR186/AR188</f>
        <v>2.8054607508532423</v>
      </c>
      <c r="AS199" s="374"/>
      <c r="AT199" s="375"/>
      <c r="AU199" s="375"/>
      <c r="AV199" s="372"/>
      <c r="AW199" s="373">
        <f>AW186/AW188</f>
        <v>3.8448598130841121</v>
      </c>
      <c r="AX199" s="374"/>
      <c r="AY199" s="375"/>
      <c r="AZ199" s="375"/>
      <c r="BA199" s="372"/>
      <c r="BB199" s="373">
        <f>BB186/BB188</f>
        <v>3.8179341053460529</v>
      </c>
      <c r="BC199" s="374"/>
      <c r="BD199" s="375"/>
      <c r="BE199" s="375"/>
      <c r="BF199" s="372"/>
      <c r="BG199" s="373">
        <f>BG186/BG188</f>
        <v>4.1200696244642492</v>
      </c>
      <c r="BH199" s="374"/>
      <c r="BI199" s="375"/>
      <c r="BJ199" s="375"/>
      <c r="BK199" s="372"/>
      <c r="BL199" s="373">
        <f>BL186/BL188</f>
        <v>3.6318221583359733</v>
      </c>
      <c r="BM199" s="374"/>
      <c r="BN199" s="375"/>
      <c r="BO199" s="375"/>
      <c r="BP199" s="372"/>
      <c r="BQ199" s="373">
        <f>BQ186/BQ188</f>
        <v>3.6358315496756179</v>
      </c>
      <c r="BR199" s="677"/>
      <c r="BS199" s="678"/>
    </row>
    <row r="200" spans="1:88" s="673" customFormat="1">
      <c r="A200" s="201"/>
      <c r="B200" s="100"/>
      <c r="C200" s="1179"/>
      <c r="E200" s="674"/>
      <c r="F200" s="675"/>
      <c r="G200" s="675"/>
      <c r="H200" s="676"/>
      <c r="I200" s="677"/>
      <c r="J200" s="674"/>
      <c r="K200" s="675"/>
      <c r="L200" s="675"/>
      <c r="M200" s="680"/>
      <c r="N200" s="679"/>
      <c r="O200" s="674"/>
      <c r="P200" s="675"/>
      <c r="Q200" s="675"/>
      <c r="R200" s="680"/>
      <c r="S200" s="679"/>
      <c r="T200" s="674"/>
      <c r="U200" s="675"/>
      <c r="V200" s="675"/>
      <c r="W200" s="680"/>
      <c r="X200" s="679"/>
      <c r="Y200" s="674"/>
      <c r="Z200" s="675"/>
      <c r="AA200" s="675"/>
      <c r="AB200" s="680"/>
      <c r="AC200" s="679"/>
      <c r="AD200" s="674"/>
      <c r="AE200" s="675"/>
      <c r="AF200" s="675"/>
      <c r="AG200" s="680"/>
      <c r="AH200" s="679"/>
      <c r="AI200" s="674"/>
      <c r="AJ200" s="675"/>
      <c r="AK200" s="675"/>
      <c r="AL200" s="680"/>
      <c r="AM200" s="679"/>
      <c r="AN200" s="674"/>
      <c r="AO200" s="675"/>
      <c r="AP200" s="675"/>
      <c r="AQ200" s="680"/>
      <c r="AR200" s="679"/>
      <c r="AS200" s="674"/>
      <c r="AT200" s="675"/>
      <c r="AU200" s="675"/>
      <c r="AV200" s="680"/>
      <c r="AW200" s="679"/>
      <c r="AX200" s="674"/>
      <c r="AY200" s="675"/>
      <c r="AZ200" s="675"/>
      <c r="BA200" s="680"/>
      <c r="BB200" s="679"/>
      <c r="BC200" s="674"/>
      <c r="BD200" s="675"/>
      <c r="BE200" s="675"/>
      <c r="BF200" s="680"/>
      <c r="BG200" s="679"/>
      <c r="BH200" s="674"/>
      <c r="BI200" s="675"/>
      <c r="BJ200" s="675"/>
      <c r="BK200" s="680"/>
      <c r="BL200" s="679"/>
      <c r="BM200" s="674"/>
      <c r="BN200" s="675"/>
      <c r="BO200" s="675"/>
      <c r="BP200" s="680"/>
      <c r="BQ200" s="679"/>
      <c r="BR200" s="677"/>
      <c r="BS200" s="678"/>
    </row>
    <row r="201" spans="1:88" s="673" customFormat="1">
      <c r="A201" s="201"/>
      <c r="B201" s="100"/>
      <c r="C201" s="1179"/>
      <c r="E201" s="674"/>
      <c r="F201" s="675"/>
      <c r="G201" s="675"/>
      <c r="H201" s="676"/>
      <c r="I201" s="677"/>
      <c r="J201" s="674"/>
      <c r="K201" s="675"/>
      <c r="L201" s="675"/>
      <c r="M201" s="680"/>
      <c r="N201" s="679"/>
      <c r="O201" s="674"/>
      <c r="P201" s="675"/>
      <c r="Q201" s="675"/>
      <c r="R201" s="680"/>
      <c r="S201" s="679"/>
      <c r="T201" s="674"/>
      <c r="U201" s="675"/>
      <c r="V201" s="675"/>
      <c r="W201" s="680"/>
      <c r="X201" s="679"/>
      <c r="Y201" s="674"/>
      <c r="Z201" s="675"/>
      <c r="AA201" s="675"/>
      <c r="AB201" s="680"/>
      <c r="AC201" s="679"/>
      <c r="AD201" s="674"/>
      <c r="AE201" s="675"/>
      <c r="AF201" s="675"/>
      <c r="AG201" s="680"/>
      <c r="AH201" s="679"/>
      <c r="AI201" s="674"/>
      <c r="AJ201" s="675"/>
      <c r="AK201" s="675"/>
      <c r="AL201" s="680"/>
      <c r="AM201" s="679"/>
      <c r="AN201" s="674"/>
      <c r="AO201" s="675"/>
      <c r="AP201" s="675"/>
      <c r="AQ201" s="680"/>
      <c r="AR201" s="679"/>
      <c r="AS201" s="674"/>
      <c r="AT201" s="675"/>
      <c r="AU201" s="675"/>
      <c r="AV201" s="680"/>
      <c r="AW201" s="679"/>
      <c r="AX201" s="674"/>
      <c r="AY201" s="675"/>
      <c r="AZ201" s="675"/>
      <c r="BA201" s="680"/>
      <c r="BB201" s="679"/>
      <c r="BC201" s="674"/>
      <c r="BD201" s="675"/>
      <c r="BE201" s="675"/>
      <c r="BF201" s="680"/>
      <c r="BG201" s="679"/>
      <c r="BH201" s="674"/>
      <c r="BI201" s="675"/>
      <c r="BJ201" s="675"/>
      <c r="BK201" s="680"/>
      <c r="BL201" s="679"/>
      <c r="BM201" s="674"/>
      <c r="BN201" s="675"/>
      <c r="BO201" s="675"/>
      <c r="BP201" s="680"/>
      <c r="BQ201" s="679"/>
      <c r="BR201" s="677"/>
      <c r="BS201" s="678"/>
    </row>
    <row r="202" spans="1:88" s="673" customFormat="1">
      <c r="A202" s="201"/>
      <c r="B202" s="668" t="s">
        <v>714</v>
      </c>
      <c r="C202" s="1185"/>
      <c r="D202" s="773"/>
      <c r="E202" s="674"/>
      <c r="F202" s="675"/>
      <c r="G202" s="675"/>
      <c r="H202" s="676"/>
      <c r="I202" s="677"/>
      <c r="J202" s="674"/>
      <c r="K202" s="675"/>
      <c r="L202" s="675"/>
      <c r="M202" s="680"/>
      <c r="N202" s="679"/>
      <c r="O202" s="674"/>
      <c r="P202" s="675"/>
      <c r="Q202" s="675"/>
      <c r="R202" s="680"/>
      <c r="S202" s="679"/>
      <c r="T202" s="674"/>
      <c r="U202" s="675"/>
      <c r="V202" s="675"/>
      <c r="W202" s="680"/>
      <c r="X202" s="679"/>
      <c r="Y202" s="674"/>
      <c r="Z202" s="675"/>
      <c r="AA202" s="675"/>
      <c r="AB202" s="680"/>
      <c r="AC202" s="679"/>
      <c r="AD202" s="674"/>
      <c r="AE202" s="675"/>
      <c r="AF202" s="675"/>
      <c r="AG202" s="680"/>
      <c r="AH202" s="679"/>
      <c r="AI202" s="674"/>
      <c r="AJ202" s="675"/>
      <c r="AK202" s="675"/>
      <c r="AL202" s="680"/>
      <c r="AM202" s="679"/>
      <c r="AN202" s="674"/>
      <c r="AO202" s="675"/>
      <c r="AP202" s="675"/>
      <c r="AQ202" s="680"/>
      <c r="AR202" s="679"/>
      <c r="AS202" s="674"/>
      <c r="AT202" s="675"/>
      <c r="AU202" s="675"/>
      <c r="AV202" s="680"/>
      <c r="AW202" s="679"/>
      <c r="AX202" s="674"/>
      <c r="AY202" s="675"/>
      <c r="AZ202" s="675"/>
      <c r="BA202" s="680"/>
      <c r="BB202" s="679"/>
      <c r="BC202" s="674"/>
      <c r="BD202" s="675"/>
      <c r="BE202" s="675"/>
      <c r="BF202" s="680"/>
      <c r="BG202" s="679"/>
      <c r="BH202" s="674"/>
      <c r="BI202" s="675"/>
      <c r="BJ202" s="675"/>
      <c r="BK202" s="680"/>
      <c r="BL202" s="679"/>
      <c r="BM202" s="674"/>
      <c r="BN202" s="675"/>
      <c r="BO202" s="675"/>
      <c r="BP202" s="680"/>
      <c r="BQ202" s="679"/>
      <c r="BR202" s="677"/>
      <c r="BS202" s="678"/>
    </row>
    <row r="203" spans="1:88" s="693" customFormat="1">
      <c r="B203" s="93"/>
      <c r="C203" s="1233" t="s">
        <v>353</v>
      </c>
      <c r="E203" s="795"/>
      <c r="F203" s="694"/>
      <c r="G203" s="694"/>
      <c r="H203" s="695"/>
      <c r="I203" s="691"/>
      <c r="J203" s="487"/>
      <c r="K203" s="694"/>
      <c r="L203" s="694"/>
      <c r="M203" s="695"/>
      <c r="N203" s="691"/>
      <c r="O203" s="487"/>
      <c r="P203" s="694"/>
      <c r="Q203" s="694"/>
      <c r="R203" s="695"/>
      <c r="S203" s="691"/>
      <c r="T203" s="487">
        <f>S208</f>
        <v>11000</v>
      </c>
      <c r="U203" s="694">
        <f>T208</f>
        <v>11075.79</v>
      </c>
      <c r="V203" s="694">
        <f>U208</f>
        <v>11069.045</v>
      </c>
      <c r="W203" s="695">
        <f>V208</f>
        <v>11178.065000000001</v>
      </c>
      <c r="X203" s="691">
        <f>T203</f>
        <v>11000</v>
      </c>
      <c r="Y203" s="487">
        <f>X208</f>
        <v>11317.31</v>
      </c>
      <c r="Z203" s="694">
        <f>Y208</f>
        <v>11390.1</v>
      </c>
      <c r="AA203" s="694">
        <f>Z208</f>
        <v>11383.355</v>
      </c>
      <c r="AB203" s="695">
        <f>AA208</f>
        <v>11483.375</v>
      </c>
      <c r="AC203" s="691">
        <f>Y203</f>
        <v>11317.31</v>
      </c>
      <c r="AD203" s="487">
        <f>AC208</f>
        <v>11475.375</v>
      </c>
      <c r="AE203" s="694">
        <f>AD208</f>
        <v>11582.375</v>
      </c>
      <c r="AF203" s="694">
        <f>AE208</f>
        <v>11758.375</v>
      </c>
      <c r="AG203" s="695">
        <f>AF208</f>
        <v>11864.375</v>
      </c>
      <c r="AH203" s="691">
        <f>AD203</f>
        <v>11475.375</v>
      </c>
      <c r="AI203" s="487">
        <f>AH208</f>
        <v>13276.809000000001</v>
      </c>
      <c r="AJ203" s="694">
        <f>AI208</f>
        <v>13384.809000000001</v>
      </c>
      <c r="AK203" s="694">
        <f>AJ208</f>
        <v>13526.809000000001</v>
      </c>
      <c r="AL203" s="695">
        <f>AK208</f>
        <v>13644.809000000001</v>
      </c>
      <c r="AM203" s="691">
        <f>AI203</f>
        <v>13276.809000000001</v>
      </c>
      <c r="AN203" s="487">
        <f>AM208</f>
        <v>13712.809000000001</v>
      </c>
      <c r="AO203" s="694">
        <f>AN208</f>
        <v>13805.809000000001</v>
      </c>
      <c r="AP203" s="694">
        <f>AO208</f>
        <v>13948.809000000001</v>
      </c>
      <c r="AQ203" s="695">
        <f>AP208</f>
        <v>14080.809000000001</v>
      </c>
      <c r="AR203" s="691">
        <f>AN203</f>
        <v>13712.809000000001</v>
      </c>
      <c r="AS203" s="487">
        <f>AR208</f>
        <v>14099.809000000001</v>
      </c>
      <c r="AT203" s="694">
        <f>AS208</f>
        <v>14088.64025</v>
      </c>
      <c r="AU203" s="694">
        <f t="shared" ref="AU203" si="347">AT208</f>
        <v>14116.4715</v>
      </c>
      <c r="AV203" s="695">
        <f>AU208</f>
        <v>14122.302749999999</v>
      </c>
      <c r="AW203" s="691">
        <f>AS203</f>
        <v>14099.809000000001</v>
      </c>
      <c r="AX203" s="487">
        <f>AW208</f>
        <v>14328.134000000002</v>
      </c>
      <c r="AY203" s="694">
        <f>AX208</f>
        <v>14505.628791666668</v>
      </c>
      <c r="AZ203" s="694">
        <f>AY208</f>
        <v>14680.701708333334</v>
      </c>
      <c r="BA203" s="695">
        <f>AZ208</f>
        <v>14853.35275</v>
      </c>
      <c r="BB203" s="691">
        <f>AX203</f>
        <v>14328.134000000002</v>
      </c>
      <c r="BC203" s="487">
        <f>BB208</f>
        <v>15098.581916666668</v>
      </c>
      <c r="BD203" s="694">
        <f>BC208</f>
        <v>15289.576708333334</v>
      </c>
      <c r="BE203" s="694">
        <f>BD208</f>
        <v>15478.149625</v>
      </c>
      <c r="BF203" s="695">
        <f>BE208</f>
        <v>15664.300666666666</v>
      </c>
      <c r="BG203" s="691">
        <f>BC203</f>
        <v>15098.581916666668</v>
      </c>
      <c r="BH203" s="487">
        <f>BG208</f>
        <v>15648.029833333336</v>
      </c>
      <c r="BI203" s="694">
        <f>BH208</f>
        <v>15848.899625000002</v>
      </c>
      <c r="BJ203" s="694">
        <f>BI208</f>
        <v>16047.347541666668</v>
      </c>
      <c r="BK203" s="695">
        <f>BJ208</f>
        <v>16243.373583333336</v>
      </c>
      <c r="BL203" s="691">
        <f>BH203</f>
        <v>15648.029833333336</v>
      </c>
      <c r="BM203" s="487">
        <f>BL208</f>
        <v>16436.977750000002</v>
      </c>
      <c r="BN203" s="694">
        <f>BM208</f>
        <v>16628.16004166667</v>
      </c>
      <c r="BO203" s="694">
        <f>BN208</f>
        <v>16816.920458333338</v>
      </c>
      <c r="BP203" s="695">
        <f>BO208</f>
        <v>17003.259000000005</v>
      </c>
      <c r="BQ203" s="691">
        <f>BM203</f>
        <v>16436.977750000002</v>
      </c>
      <c r="BR203" s="691"/>
      <c r="BS203" s="678"/>
      <c r="BT203" s="673"/>
      <c r="BU203" s="673"/>
      <c r="BV203" s="673"/>
      <c r="BW203" s="673"/>
      <c r="BX203" s="673"/>
      <c r="BY203" s="673"/>
      <c r="CA203" s="15"/>
      <c r="CB203" s="15"/>
      <c r="CC203" s="684"/>
      <c r="CD203" s="684"/>
      <c r="CE203" s="684"/>
      <c r="CF203" s="684"/>
      <c r="CG203" s="684"/>
      <c r="CH203" s="684"/>
      <c r="CI203" s="684"/>
      <c r="CJ203" s="684"/>
    </row>
    <row r="204" spans="1:88" s="732" customFormat="1">
      <c r="A204" s="731"/>
      <c r="B204" s="96"/>
      <c r="C204" s="1229" t="s">
        <v>354</v>
      </c>
      <c r="E204" s="715"/>
      <c r="F204" s="716"/>
      <c r="G204" s="716"/>
      <c r="H204" s="733"/>
      <c r="I204" s="691"/>
      <c r="J204" s="715"/>
      <c r="K204" s="716"/>
      <c r="L204" s="716"/>
      <c r="M204" s="717"/>
      <c r="N204" s="718"/>
      <c r="O204" s="715"/>
      <c r="P204" s="716"/>
      <c r="Q204" s="716"/>
      <c r="R204" s="717"/>
      <c r="S204" s="718"/>
      <c r="T204" s="715">
        <f>T127</f>
        <v>266</v>
      </c>
      <c r="U204" s="716">
        <f>U127</f>
        <v>177</v>
      </c>
      <c r="V204" s="716">
        <f>V127</f>
        <v>308</v>
      </c>
      <c r="W204" s="717">
        <f>W127</f>
        <v>323</v>
      </c>
      <c r="X204" s="718">
        <f>SUM(T204:W204)</f>
        <v>1074</v>
      </c>
      <c r="Y204" s="715">
        <f>Y127</f>
        <v>266</v>
      </c>
      <c r="Z204" s="716">
        <f>Z127</f>
        <v>177</v>
      </c>
      <c r="AA204" s="716">
        <f>AA127</f>
        <v>308</v>
      </c>
      <c r="AB204" s="717">
        <f>AB127</f>
        <v>152</v>
      </c>
      <c r="AC204" s="718">
        <f>SUM(Y204:AB204)</f>
        <v>903</v>
      </c>
      <c r="AD204" s="715">
        <f>AD127</f>
        <v>269</v>
      </c>
      <c r="AE204" s="716">
        <f>AE127</f>
        <v>340</v>
      </c>
      <c r="AF204" s="716">
        <f>AF127</f>
        <v>271</v>
      </c>
      <c r="AG204" s="717">
        <f>AG127</f>
        <v>92</v>
      </c>
      <c r="AH204" s="718">
        <f>SUM(AD204:AG204)</f>
        <v>972</v>
      </c>
      <c r="AI204" s="715">
        <f>AI127</f>
        <v>280</v>
      </c>
      <c r="AJ204" s="716">
        <f>AJ127</f>
        <v>312</v>
      </c>
      <c r="AK204" s="716">
        <f>AK127</f>
        <v>292</v>
      </c>
      <c r="AL204" s="717">
        <f>AL127</f>
        <v>224</v>
      </c>
      <c r="AM204" s="718">
        <f>SUM(AI204:AL204)</f>
        <v>1108</v>
      </c>
      <c r="AN204" s="715">
        <f>AN127</f>
        <v>262</v>
      </c>
      <c r="AO204" s="716">
        <f>AO127</f>
        <v>313</v>
      </c>
      <c r="AP204" s="716">
        <f>AP127</f>
        <v>303</v>
      </c>
      <c r="AQ204" s="717">
        <f>AQ127</f>
        <v>185</v>
      </c>
      <c r="AR204" s="718">
        <f>SUM(AN204:AQ204)</f>
        <v>1063</v>
      </c>
      <c r="AS204" s="715">
        <f>AS127</f>
        <v>264</v>
      </c>
      <c r="AT204" s="716">
        <f>AT127</f>
        <v>304</v>
      </c>
      <c r="AU204" s="716">
        <f t="shared" ref="AU204" si="348">AU127</f>
        <v>286</v>
      </c>
      <c r="AV204" s="717">
        <f>AV127</f>
        <v>337</v>
      </c>
      <c r="AW204" s="718">
        <f>SUM(AS204:AV204)</f>
        <v>1191</v>
      </c>
      <c r="AX204" s="715">
        <f>AX127</f>
        <v>387.5</v>
      </c>
      <c r="AY204" s="716">
        <f>AY127</f>
        <v>387.5</v>
      </c>
      <c r="AZ204" s="716">
        <f>AZ127</f>
        <v>387.5</v>
      </c>
      <c r="BA204" s="717">
        <f>BA127</f>
        <v>387.5</v>
      </c>
      <c r="BB204" s="718">
        <f>SUM(AX204:BA204)</f>
        <v>1550</v>
      </c>
      <c r="BC204" s="715">
        <f>BC127</f>
        <v>387.5</v>
      </c>
      <c r="BD204" s="716">
        <f>BD127</f>
        <v>387.5</v>
      </c>
      <c r="BE204" s="716">
        <f>BE127</f>
        <v>387.5</v>
      </c>
      <c r="BF204" s="717">
        <f>BF127</f>
        <v>387.5</v>
      </c>
      <c r="BG204" s="718">
        <f>SUM(BC204:BF204)</f>
        <v>1550</v>
      </c>
      <c r="BH204" s="715">
        <f>BH127</f>
        <v>387.5</v>
      </c>
      <c r="BI204" s="716">
        <f>BI127</f>
        <v>387.5</v>
      </c>
      <c r="BJ204" s="716">
        <f>BJ127</f>
        <v>387.5</v>
      </c>
      <c r="BK204" s="717">
        <f>BK127</f>
        <v>387.5</v>
      </c>
      <c r="BL204" s="718">
        <f>SUM(BH204:BK204)</f>
        <v>1550</v>
      </c>
      <c r="BM204" s="715">
        <f>BM127</f>
        <v>387.5</v>
      </c>
      <c r="BN204" s="716">
        <f>BN127</f>
        <v>387.5</v>
      </c>
      <c r="BO204" s="716">
        <f>BO127</f>
        <v>387.5</v>
      </c>
      <c r="BP204" s="717">
        <f>BP127</f>
        <v>387.5</v>
      </c>
      <c r="BQ204" s="718">
        <f>SUM(BM204:BP204)</f>
        <v>1550</v>
      </c>
      <c r="BR204" s="691"/>
      <c r="BS204" s="678"/>
      <c r="BT204" s="673"/>
      <c r="BU204" s="673"/>
      <c r="BV204" s="673"/>
      <c r="BW204" s="673"/>
      <c r="BX204" s="673"/>
      <c r="BY204" s="673"/>
      <c r="CA204"/>
      <c r="CB204"/>
      <c r="CC204" s="684"/>
      <c r="CD204" s="684"/>
      <c r="CE204" s="684"/>
      <c r="CF204" s="684"/>
      <c r="CG204" s="684"/>
      <c r="CH204" s="684"/>
      <c r="CI204" s="684"/>
      <c r="CJ204" s="684"/>
    </row>
    <row r="205" spans="1:88" s="732" customFormat="1">
      <c r="A205" s="731"/>
      <c r="B205" s="96"/>
      <c r="C205" s="1229" t="s">
        <v>221</v>
      </c>
      <c r="E205" s="715"/>
      <c r="F205" s="716"/>
      <c r="G205" s="716"/>
      <c r="H205" s="733"/>
      <c r="I205" s="691"/>
      <c r="J205" s="715"/>
      <c r="K205" s="716"/>
      <c r="L205" s="716"/>
      <c r="M205" s="717"/>
      <c r="N205" s="718"/>
      <c r="O205" s="715"/>
      <c r="P205" s="716"/>
      <c r="Q205" s="716"/>
      <c r="R205" s="717"/>
      <c r="S205" s="718"/>
      <c r="T205" s="715">
        <f>-T13</f>
        <v>-141</v>
      </c>
      <c r="U205" s="716">
        <f>-U13</f>
        <v>-151</v>
      </c>
      <c r="V205" s="716">
        <f>-V13</f>
        <v>-142</v>
      </c>
      <c r="W205" s="717">
        <f>-W13</f>
        <v>-124</v>
      </c>
      <c r="X205" s="718">
        <f>SUM(T205:W205)</f>
        <v>-558</v>
      </c>
      <c r="Y205" s="715">
        <f>-Y13</f>
        <v>-144</v>
      </c>
      <c r="Z205" s="716">
        <f>-Z13</f>
        <v>-151</v>
      </c>
      <c r="AA205" s="716">
        <f>-AA13</f>
        <v>-151</v>
      </c>
      <c r="AB205" s="717">
        <f>-AB13</f>
        <v>-160</v>
      </c>
      <c r="AC205" s="718">
        <f>SUM(Y205:AB205)</f>
        <v>-606</v>
      </c>
      <c r="AD205" s="715">
        <f>-AD13</f>
        <v>-162</v>
      </c>
      <c r="AE205" s="716">
        <f>-AE13</f>
        <v>-164</v>
      </c>
      <c r="AF205" s="716">
        <f>-AF13</f>
        <v>-165</v>
      </c>
      <c r="AG205" s="717">
        <f>-AG13</f>
        <v>-167</v>
      </c>
      <c r="AH205" s="718">
        <f>SUM(AD205:AG205)</f>
        <v>-658</v>
      </c>
      <c r="AI205" s="715">
        <f>-AI13</f>
        <v>-172</v>
      </c>
      <c r="AJ205" s="716">
        <f>-AJ13</f>
        <v>-170</v>
      </c>
      <c r="AK205" s="716">
        <f>-AK13</f>
        <v>-174</v>
      </c>
      <c r="AL205" s="717">
        <f>-AL13</f>
        <v>-156</v>
      </c>
      <c r="AM205" s="718">
        <f>SUM(AI205:AL205)</f>
        <v>-672</v>
      </c>
      <c r="AN205" s="715">
        <f>-AN13</f>
        <v>-169</v>
      </c>
      <c r="AO205" s="716">
        <f>-AO13</f>
        <v>-170</v>
      </c>
      <c r="AP205" s="716">
        <f>-AP13</f>
        <v>-171</v>
      </c>
      <c r="AQ205" s="717">
        <f>-AQ13</f>
        <v>-166</v>
      </c>
      <c r="AR205" s="718">
        <f>SUM(AN205:AQ205)</f>
        <v>-676</v>
      </c>
      <c r="AS205" s="715">
        <f>-AS13</f>
        <v>-178</v>
      </c>
      <c r="AT205" s="716">
        <f>-AT13</f>
        <v>-179</v>
      </c>
      <c r="AU205" s="716">
        <f t="shared" ref="AU205" si="349">-AU13</f>
        <v>-183</v>
      </c>
      <c r="AV205" s="717">
        <f>-AV13</f>
        <v>-184</v>
      </c>
      <c r="AW205" s="718">
        <f>SUM(AS205:AV205)</f>
        <v>-724</v>
      </c>
      <c r="AX205" s="715">
        <f>-AX13</f>
        <v>-186.421875</v>
      </c>
      <c r="AY205" s="716">
        <f>-AY13</f>
        <v>-188.84375</v>
      </c>
      <c r="AZ205" s="716">
        <f>-AZ13</f>
        <v>-191.265625</v>
      </c>
      <c r="BA205" s="717">
        <f>-BA13</f>
        <v>-193.6875</v>
      </c>
      <c r="BB205" s="718">
        <f>SUM(AX205:BA205)</f>
        <v>-760.21875</v>
      </c>
      <c r="BC205" s="715">
        <f>-BC13</f>
        <v>-196.109375</v>
      </c>
      <c r="BD205" s="716">
        <f>-BD13</f>
        <v>-198.53125</v>
      </c>
      <c r="BE205" s="716">
        <f>-BE13</f>
        <v>-200.953125</v>
      </c>
      <c r="BF205" s="717">
        <f>-BF13</f>
        <v>-203.375</v>
      </c>
      <c r="BG205" s="718">
        <f>SUM(BC205:BF205)</f>
        <v>-798.96875</v>
      </c>
      <c r="BH205" s="715">
        <f>-BH13</f>
        <v>-205.796875</v>
      </c>
      <c r="BI205" s="716">
        <f>-BI13</f>
        <v>-208.21875</v>
      </c>
      <c r="BJ205" s="716">
        <f>-BJ13</f>
        <v>-210.640625</v>
      </c>
      <c r="BK205" s="717">
        <f>-BK13</f>
        <v>-213.0625</v>
      </c>
      <c r="BL205" s="718">
        <f>SUM(BH205:BK205)</f>
        <v>-837.71875</v>
      </c>
      <c r="BM205" s="715">
        <f>-BM13</f>
        <v>-215.484375</v>
      </c>
      <c r="BN205" s="716">
        <f>-BN13</f>
        <v>-217.90625</v>
      </c>
      <c r="BO205" s="716">
        <f>-BO13</f>
        <v>-220.328125</v>
      </c>
      <c r="BP205" s="717">
        <f>-BP13</f>
        <v>-222.75</v>
      </c>
      <c r="BQ205" s="718">
        <f>SUM(BM205:BP205)</f>
        <v>-876.46875</v>
      </c>
      <c r="BR205" s="691"/>
      <c r="BS205" s="684"/>
      <c r="BT205" s="684"/>
      <c r="BU205" s="684"/>
      <c r="BV205" s="684"/>
      <c r="BW205" s="684"/>
      <c r="BX205" s="684"/>
      <c r="BY205" s="684"/>
      <c r="CA205"/>
      <c r="CB205"/>
      <c r="CC205" s="684"/>
      <c r="CD205" s="684"/>
      <c r="CE205" s="684"/>
      <c r="CF205" s="684"/>
      <c r="CG205" s="684"/>
      <c r="CH205" s="684"/>
      <c r="CI205" s="684"/>
      <c r="CJ205" s="684"/>
    </row>
    <row r="206" spans="1:88" s="732" customFormat="1">
      <c r="A206" s="731"/>
      <c r="B206" s="96"/>
      <c r="C206" s="1229" t="s">
        <v>230</v>
      </c>
      <c r="E206" s="715"/>
      <c r="F206" s="716"/>
      <c r="G206" s="716"/>
      <c r="H206" s="733"/>
      <c r="I206" s="691"/>
      <c r="J206" s="734"/>
      <c r="K206" s="735"/>
      <c r="L206" s="735"/>
      <c r="M206" s="736"/>
      <c r="N206" s="718"/>
      <c r="O206" s="734"/>
      <c r="P206" s="735"/>
      <c r="Q206" s="735"/>
      <c r="R206" s="736"/>
      <c r="S206" s="718"/>
      <c r="T206" s="734">
        <f>-T204*0.5*0.37</f>
        <v>-49.21</v>
      </c>
      <c r="U206" s="735">
        <f>-U204*0.5*0.37</f>
        <v>-32.744999999999997</v>
      </c>
      <c r="V206" s="735">
        <f>-V204*0.5*0.37</f>
        <v>-56.98</v>
      </c>
      <c r="W206" s="736">
        <f>-W204*0.5*0.37</f>
        <v>-59.755000000000003</v>
      </c>
      <c r="X206" s="718">
        <f>SUM(T206:W206)</f>
        <v>-198.69</v>
      </c>
      <c r="Y206" s="734">
        <f>-Y204*0.5*0.37</f>
        <v>-49.21</v>
      </c>
      <c r="Z206" s="1581">
        <f>-Z204*0.5*0.37</f>
        <v>-32.744999999999997</v>
      </c>
      <c r="AA206" s="1581">
        <f>-AA204*0.5*0.37</f>
        <v>-56.98</v>
      </c>
      <c r="AB206" s="736">
        <v>0</v>
      </c>
      <c r="AC206" s="718">
        <f>SUM(Y206:AB206)</f>
        <v>-138.935</v>
      </c>
      <c r="AD206" s="734">
        <v>0</v>
      </c>
      <c r="AE206" s="735">
        <v>0</v>
      </c>
      <c r="AF206" s="735">
        <v>0</v>
      </c>
      <c r="AG206" s="736">
        <v>0</v>
      </c>
      <c r="AH206" s="718">
        <f>SUM(AD206:AG206)</f>
        <v>0</v>
      </c>
      <c r="AI206" s="734">
        <v>0</v>
      </c>
      <c r="AJ206" s="735">
        <v>0</v>
      </c>
      <c r="AK206" s="735">
        <v>0</v>
      </c>
      <c r="AL206" s="736">
        <v>0</v>
      </c>
      <c r="AM206" s="718">
        <f>SUM(AI206:AL206)</f>
        <v>0</v>
      </c>
      <c r="AN206" s="734">
        <v>0</v>
      </c>
      <c r="AO206" s="735">
        <v>0</v>
      </c>
      <c r="AP206" s="735">
        <v>0</v>
      </c>
      <c r="AQ206" s="736">
        <v>0</v>
      </c>
      <c r="AR206" s="718">
        <f>SUM(AN206:AQ206)</f>
        <v>0</v>
      </c>
      <c r="AS206" s="734">
        <f>-AS147</f>
        <v>-97.168749999999989</v>
      </c>
      <c r="AT206" s="735">
        <f t="shared" ref="AT206:AW206" si="350">-AT147</f>
        <v>-97.168749999999989</v>
      </c>
      <c r="AU206" s="735">
        <f t="shared" ref="AU206" si="351">-AU147</f>
        <v>-97.168749999999989</v>
      </c>
      <c r="AV206" s="736">
        <f t="shared" si="350"/>
        <v>-97.168749999999989</v>
      </c>
      <c r="AW206" s="718">
        <f t="shared" si="350"/>
        <v>-388.67499999999995</v>
      </c>
      <c r="AX206" s="734">
        <f t="shared" ref="AX206:BA206" si="352">-AX147-AX148</f>
        <v>-23.583333333333329</v>
      </c>
      <c r="AY206" s="735">
        <f t="shared" si="352"/>
        <v>-23.583333333333329</v>
      </c>
      <c r="AZ206" s="735">
        <f t="shared" si="352"/>
        <v>-23.583333333333329</v>
      </c>
      <c r="BA206" s="736">
        <f t="shared" si="352"/>
        <v>-23.583333333333314</v>
      </c>
      <c r="BB206" s="718">
        <f>-BB147-BB148</f>
        <v>-94.333333333333314</v>
      </c>
      <c r="BC206" s="734">
        <f t="shared" ref="BC206:BQ206" si="353">-BC147-BC148</f>
        <v>-0.3958333333333286</v>
      </c>
      <c r="BD206" s="735">
        <f t="shared" si="353"/>
        <v>-0.3958333333333286</v>
      </c>
      <c r="BE206" s="735">
        <f t="shared" si="353"/>
        <v>-0.3958333333333286</v>
      </c>
      <c r="BF206" s="736">
        <f t="shared" si="353"/>
        <v>-0.39583333333331439</v>
      </c>
      <c r="BG206" s="718">
        <f t="shared" si="353"/>
        <v>-1.5833333333333144</v>
      </c>
      <c r="BH206" s="734">
        <f t="shared" si="353"/>
        <v>19.166666666666668</v>
      </c>
      <c r="BI206" s="735">
        <f t="shared" si="353"/>
        <v>19.166666666666668</v>
      </c>
      <c r="BJ206" s="735">
        <f t="shared" si="353"/>
        <v>19.166666666666668</v>
      </c>
      <c r="BK206" s="736">
        <f t="shared" si="353"/>
        <v>19.166666666666671</v>
      </c>
      <c r="BL206" s="718">
        <f t="shared" si="353"/>
        <v>76.666666666666671</v>
      </c>
      <c r="BM206" s="734">
        <f t="shared" si="353"/>
        <v>19.166666666666668</v>
      </c>
      <c r="BN206" s="735">
        <f t="shared" si="353"/>
        <v>19.166666666666668</v>
      </c>
      <c r="BO206" s="735">
        <f t="shared" si="353"/>
        <v>19.166666666666668</v>
      </c>
      <c r="BP206" s="736">
        <f t="shared" si="353"/>
        <v>19.166666666666671</v>
      </c>
      <c r="BQ206" s="718">
        <f t="shared" si="353"/>
        <v>76.666666666666671</v>
      </c>
      <c r="BR206" s="691"/>
      <c r="BS206" s="684"/>
      <c r="BT206" s="684"/>
      <c r="BU206" s="684"/>
      <c r="BV206" s="684"/>
      <c r="BW206" s="684"/>
      <c r="BX206" s="684"/>
      <c r="BY206" s="684"/>
      <c r="CA206"/>
      <c r="CB206"/>
      <c r="CC206" s="720"/>
      <c r="CD206" s="720"/>
      <c r="CE206" s="720"/>
      <c r="CF206" s="720"/>
      <c r="CG206" s="720"/>
      <c r="CH206" s="720"/>
      <c r="CI206" s="720"/>
      <c r="CJ206" s="720"/>
    </row>
    <row r="207" spans="1:88" s="732" customFormat="1">
      <c r="A207" s="731"/>
      <c r="B207" s="96"/>
      <c r="C207" s="1229" t="s">
        <v>231</v>
      </c>
      <c r="E207" s="715"/>
      <c r="F207" s="716"/>
      <c r="G207" s="716"/>
      <c r="H207" s="733"/>
      <c r="I207" s="691"/>
      <c r="J207" s="734"/>
      <c r="K207" s="735"/>
      <c r="L207" s="735"/>
      <c r="M207" s="736"/>
      <c r="N207" s="718"/>
      <c r="O207" s="734"/>
      <c r="P207" s="735"/>
      <c r="Q207" s="735"/>
      <c r="R207" s="736"/>
      <c r="S207" s="718"/>
      <c r="T207" s="734">
        <v>0</v>
      </c>
      <c r="U207" s="735">
        <v>0</v>
      </c>
      <c r="V207" s="735">
        <v>0</v>
      </c>
      <c r="W207" s="736">
        <v>0</v>
      </c>
      <c r="X207" s="718">
        <f>SUM(T207:W207)</f>
        <v>0</v>
      </c>
      <c r="Y207" s="734">
        <v>0</v>
      </c>
      <c r="Z207" s="1581">
        <v>0</v>
      </c>
      <c r="AA207" s="1581">
        <v>0</v>
      </c>
      <c r="AB207" s="736">
        <v>0</v>
      </c>
      <c r="AC207" s="718">
        <f>SUM(Y207:AB207)</f>
        <v>0</v>
      </c>
      <c r="AD207" s="734">
        <v>0</v>
      </c>
      <c r="AE207" s="735">
        <v>0</v>
      </c>
      <c r="AF207" s="735">
        <v>0</v>
      </c>
      <c r="AG207" s="736">
        <v>0</v>
      </c>
      <c r="AH207" s="718">
        <f>SUM(AD207:AG207)</f>
        <v>0</v>
      </c>
      <c r="AI207" s="734">
        <v>0</v>
      </c>
      <c r="AJ207" s="735">
        <v>0</v>
      </c>
      <c r="AK207" s="735">
        <v>0</v>
      </c>
      <c r="AL207" s="736">
        <v>0</v>
      </c>
      <c r="AM207" s="718">
        <f>SUM(AI207:AL207)</f>
        <v>0</v>
      </c>
      <c r="AN207" s="734">
        <v>0</v>
      </c>
      <c r="AO207" s="735">
        <v>0</v>
      </c>
      <c r="AP207" s="735">
        <v>0</v>
      </c>
      <c r="AQ207" s="736">
        <v>0</v>
      </c>
      <c r="AR207" s="718">
        <f>SUM(AN207:AQ207)</f>
        <v>0</v>
      </c>
      <c r="AS207" s="734">
        <v>0</v>
      </c>
      <c r="AT207" s="735">
        <v>0</v>
      </c>
      <c r="AU207" s="735">
        <v>0</v>
      </c>
      <c r="AV207" s="736">
        <v>150</v>
      </c>
      <c r="AW207" s="718">
        <f>SUM(AS207:AV207)</f>
        <v>150</v>
      </c>
      <c r="AX207" s="734">
        <v>0</v>
      </c>
      <c r="AY207" s="735">
        <v>0</v>
      </c>
      <c r="AZ207" s="735">
        <v>0</v>
      </c>
      <c r="BA207" s="736">
        <v>75</v>
      </c>
      <c r="BB207" s="718">
        <f>SUM(AX207:BA207)</f>
        <v>75</v>
      </c>
      <c r="BC207" s="734">
        <v>0</v>
      </c>
      <c r="BD207" s="735">
        <v>0</v>
      </c>
      <c r="BE207" s="735">
        <v>0</v>
      </c>
      <c r="BF207" s="736">
        <v>-200</v>
      </c>
      <c r="BG207" s="718">
        <f>SUM(BC207:BF207)</f>
        <v>-200</v>
      </c>
      <c r="BH207" s="734">
        <v>0</v>
      </c>
      <c r="BI207" s="735">
        <v>0</v>
      </c>
      <c r="BJ207" s="735">
        <v>0</v>
      </c>
      <c r="BK207" s="736">
        <v>0</v>
      </c>
      <c r="BL207" s="718">
        <f>SUM(BH207:BK207)</f>
        <v>0</v>
      </c>
      <c r="BM207" s="734">
        <v>0</v>
      </c>
      <c r="BN207" s="735">
        <v>0</v>
      </c>
      <c r="BO207" s="735">
        <v>0</v>
      </c>
      <c r="BP207" s="736">
        <v>-400</v>
      </c>
      <c r="BQ207" s="718">
        <f>SUM(BM207:BP207)</f>
        <v>-400</v>
      </c>
      <c r="BR207" s="691"/>
      <c r="BS207" s="684"/>
      <c r="BT207" s="684"/>
      <c r="BU207" s="684"/>
      <c r="BV207" s="684"/>
      <c r="BW207" s="684"/>
      <c r="BX207" s="684"/>
      <c r="BY207" s="684"/>
    </row>
    <row r="208" spans="1:88" s="693" customFormat="1">
      <c r="B208" s="93"/>
      <c r="C208" s="1233" t="s">
        <v>355</v>
      </c>
      <c r="E208" s="487"/>
      <c r="F208" s="694"/>
      <c r="G208" s="694"/>
      <c r="H208" s="695"/>
      <c r="I208" s="691"/>
      <c r="J208" s="487"/>
      <c r="K208" s="694"/>
      <c r="L208" s="694"/>
      <c r="M208" s="695"/>
      <c r="N208" s="691"/>
      <c r="O208" s="487"/>
      <c r="P208" s="694"/>
      <c r="Q208" s="694"/>
      <c r="R208" s="695"/>
      <c r="S208" s="794">
        <v>11000</v>
      </c>
      <c r="T208" s="487">
        <f>SUM(T203:T207)</f>
        <v>11075.79</v>
      </c>
      <c r="U208" s="694">
        <f t="shared" ref="U208:AQ208" si="354">SUM(U203:U207)</f>
        <v>11069.045</v>
      </c>
      <c r="V208" s="694">
        <f t="shared" si="354"/>
        <v>11178.065000000001</v>
      </c>
      <c r="W208" s="695">
        <f t="shared" si="354"/>
        <v>11317.310000000001</v>
      </c>
      <c r="X208" s="691">
        <f t="shared" si="354"/>
        <v>11317.31</v>
      </c>
      <c r="Y208" s="487">
        <f t="shared" si="354"/>
        <v>11390.1</v>
      </c>
      <c r="Z208" s="694">
        <f t="shared" si="354"/>
        <v>11383.355</v>
      </c>
      <c r="AA208" s="694">
        <f t="shared" si="354"/>
        <v>11483.375</v>
      </c>
      <c r="AB208" s="695">
        <f t="shared" si="354"/>
        <v>11475.375</v>
      </c>
      <c r="AC208" s="691">
        <f t="shared" si="354"/>
        <v>11475.375</v>
      </c>
      <c r="AD208" s="487">
        <f t="shared" si="354"/>
        <v>11582.375</v>
      </c>
      <c r="AE208" s="694">
        <f t="shared" si="354"/>
        <v>11758.375</v>
      </c>
      <c r="AF208" s="694">
        <f t="shared" si="354"/>
        <v>11864.375</v>
      </c>
      <c r="AG208" s="695">
        <f t="shared" si="354"/>
        <v>11789.375</v>
      </c>
      <c r="AH208" s="1942">
        <f>SUM('Utility Detail'!AC11:AC20)-Transmission!AH100</f>
        <v>13276.809000000001</v>
      </c>
      <c r="AI208" s="487">
        <f>SUM(AI203:AI207)</f>
        <v>13384.809000000001</v>
      </c>
      <c r="AJ208" s="694">
        <f>SUM(AJ203:AJ207)</f>
        <v>13526.809000000001</v>
      </c>
      <c r="AK208" s="694">
        <f>SUM(AK203:AK207)</f>
        <v>13644.809000000001</v>
      </c>
      <c r="AL208" s="695">
        <f>SUM(AL203:AL207)</f>
        <v>13712.809000000001</v>
      </c>
      <c r="AM208" s="691">
        <f>SUM(AM203:AM207)</f>
        <v>13712.809000000001</v>
      </c>
      <c r="AN208" s="487">
        <f t="shared" si="354"/>
        <v>13805.809000000001</v>
      </c>
      <c r="AO208" s="694">
        <f>SUM(AO203:AO207)</f>
        <v>13948.809000000001</v>
      </c>
      <c r="AP208" s="694">
        <f>SUM(AP203:AP207)</f>
        <v>14080.809000000001</v>
      </c>
      <c r="AQ208" s="695">
        <f t="shared" si="354"/>
        <v>14099.809000000001</v>
      </c>
      <c r="AR208" s="691">
        <f>SUM(AR203:AR207)</f>
        <v>14099.809000000001</v>
      </c>
      <c r="AS208" s="487">
        <f t="shared" ref="AS208" si="355">SUM(AS203:AS207)</f>
        <v>14088.64025</v>
      </c>
      <c r="AT208" s="694">
        <f>SUM(AT203:AT207)</f>
        <v>14116.4715</v>
      </c>
      <c r="AU208" s="694">
        <f t="shared" ref="AU208" si="356">SUM(AU203:AU207)</f>
        <v>14122.302749999999</v>
      </c>
      <c r="AV208" s="695">
        <f t="shared" ref="AV208" si="357">SUM(AV203:AV207)</f>
        <v>14328.133999999998</v>
      </c>
      <c r="AW208" s="691">
        <f>SUM(AW203:AW207)</f>
        <v>14328.134000000002</v>
      </c>
      <c r="AX208" s="487">
        <f t="shared" ref="AX208:BA208" si="358">SUM(AX203:AX207)</f>
        <v>14505.628791666668</v>
      </c>
      <c r="AY208" s="694">
        <f t="shared" si="358"/>
        <v>14680.701708333334</v>
      </c>
      <c r="AZ208" s="694">
        <f t="shared" si="358"/>
        <v>14853.35275</v>
      </c>
      <c r="BA208" s="695">
        <f t="shared" si="358"/>
        <v>15098.581916666666</v>
      </c>
      <c r="BB208" s="691">
        <f>SUM(BB203:BB207)</f>
        <v>15098.581916666668</v>
      </c>
      <c r="BC208" s="487">
        <f t="shared" ref="BC208:BL208" si="359">SUM(BC203:BC207)</f>
        <v>15289.576708333334</v>
      </c>
      <c r="BD208" s="694">
        <f t="shared" si="359"/>
        <v>15478.149625</v>
      </c>
      <c r="BE208" s="694">
        <f t="shared" si="359"/>
        <v>15664.300666666666</v>
      </c>
      <c r="BF208" s="695">
        <f t="shared" si="359"/>
        <v>15648.029833333332</v>
      </c>
      <c r="BG208" s="691">
        <f t="shared" si="359"/>
        <v>15648.029833333336</v>
      </c>
      <c r="BH208" s="487">
        <f t="shared" si="359"/>
        <v>15848.899625000002</v>
      </c>
      <c r="BI208" s="694">
        <f t="shared" si="359"/>
        <v>16047.347541666668</v>
      </c>
      <c r="BJ208" s="694">
        <f t="shared" si="359"/>
        <v>16243.373583333336</v>
      </c>
      <c r="BK208" s="695">
        <f t="shared" si="359"/>
        <v>16436.977750000002</v>
      </c>
      <c r="BL208" s="691">
        <f t="shared" si="359"/>
        <v>16436.977750000002</v>
      </c>
      <c r="BM208" s="487">
        <f t="shared" ref="BM208:BQ208" si="360">SUM(BM203:BM207)</f>
        <v>16628.16004166667</v>
      </c>
      <c r="BN208" s="694">
        <f t="shared" si="360"/>
        <v>16816.920458333338</v>
      </c>
      <c r="BO208" s="694">
        <f t="shared" si="360"/>
        <v>17003.259000000005</v>
      </c>
      <c r="BP208" s="695">
        <f t="shared" si="360"/>
        <v>16787.175666666673</v>
      </c>
      <c r="BQ208" s="691">
        <f t="shared" si="360"/>
        <v>16787.17566666667</v>
      </c>
      <c r="BR208" s="691"/>
      <c r="BS208" s="684"/>
      <c r="BT208" s="684"/>
      <c r="BU208" s="684"/>
      <c r="BV208" s="684"/>
      <c r="BW208" s="684"/>
      <c r="BX208" s="684"/>
      <c r="BY208" s="684"/>
    </row>
    <row r="209" spans="1:77" s="732" customFormat="1">
      <c r="A209" s="731"/>
      <c r="B209" s="96"/>
      <c r="C209" s="1197"/>
      <c r="E209" s="715"/>
      <c r="F209" s="716"/>
      <c r="G209" s="716"/>
      <c r="H209" s="733"/>
      <c r="I209" s="691"/>
      <c r="J209" s="715"/>
      <c r="K209" s="716"/>
      <c r="L209" s="716"/>
      <c r="M209" s="717"/>
      <c r="N209" s="718"/>
      <c r="O209" s="715"/>
      <c r="P209" s="716"/>
      <c r="Q209" s="716"/>
      <c r="R209" s="717"/>
      <c r="S209" s="718"/>
      <c r="T209" s="715"/>
      <c r="U209" s="716"/>
      <c r="V209" s="716"/>
      <c r="W209" s="717"/>
      <c r="X209" s="718"/>
      <c r="Y209" s="715"/>
      <c r="Z209" s="716"/>
      <c r="AA209" s="716"/>
      <c r="AB209" s="717"/>
      <c r="AC209" s="718"/>
      <c r="AD209" s="715"/>
      <c r="AE209" s="716"/>
      <c r="AF209" s="716"/>
      <c r="AG209" s="717"/>
      <c r="AH209" s="718"/>
      <c r="AI209" s="715"/>
      <c r="AJ209" s="716"/>
      <c r="AK209" s="716"/>
      <c r="AL209" s="717"/>
      <c r="AM209" s="718"/>
      <c r="AN209" s="715"/>
      <c r="AO209" s="716"/>
      <c r="AP209" s="716"/>
      <c r="AQ209" s="717"/>
      <c r="AR209" s="718"/>
      <c r="AS209" s="715"/>
      <c r="AT209" s="716"/>
      <c r="AU209" s="716"/>
      <c r="AV209" s="717"/>
      <c r="AW209" s="718"/>
      <c r="AX209" s="715"/>
      <c r="AY209" s="716"/>
      <c r="AZ209" s="716"/>
      <c r="BA209" s="717"/>
      <c r="BB209" s="718"/>
      <c r="BC209" s="715"/>
      <c r="BD209" s="716"/>
      <c r="BE209" s="716"/>
      <c r="BF209" s="717"/>
      <c r="BG209" s="718"/>
      <c r="BH209" s="715"/>
      <c r="BI209" s="716"/>
      <c r="BJ209" s="716"/>
      <c r="BK209" s="717"/>
      <c r="BL209" s="718"/>
      <c r="BM209" s="715"/>
      <c r="BN209" s="716"/>
      <c r="BO209" s="716"/>
      <c r="BP209" s="717"/>
      <c r="BQ209" s="718"/>
      <c r="BR209" s="691"/>
      <c r="BS209" s="684"/>
      <c r="BT209" s="684"/>
      <c r="BU209" s="684"/>
      <c r="BV209" s="684"/>
      <c r="BW209" s="684"/>
      <c r="BX209" s="684"/>
      <c r="BY209" s="684"/>
    </row>
    <row r="210" spans="1:77" s="693" customFormat="1">
      <c r="B210" s="93"/>
      <c r="C210" s="1233" t="s">
        <v>368</v>
      </c>
      <c r="E210" s="487"/>
      <c r="F210" s="694"/>
      <c r="G210" s="694"/>
      <c r="H210" s="695"/>
      <c r="I210" s="691"/>
      <c r="J210" s="487"/>
      <c r="K210" s="694"/>
      <c r="L210" s="694"/>
      <c r="M210" s="695"/>
      <c r="N210" s="691"/>
      <c r="O210" s="487"/>
      <c r="P210" s="694"/>
      <c r="Q210" s="694"/>
      <c r="R210" s="695"/>
      <c r="S210" s="691">
        <f>AVERAGE(S208,N208)</f>
        <v>11000</v>
      </c>
      <c r="T210" s="487"/>
      <c r="U210" s="694"/>
      <c r="V210" s="694"/>
      <c r="W210" s="695"/>
      <c r="X210" s="691">
        <f>AVERAGE(X208,S208)</f>
        <v>11158.654999999999</v>
      </c>
      <c r="Y210" s="487"/>
      <c r="Z210" s="694"/>
      <c r="AA210" s="694"/>
      <c r="AB210" s="695"/>
      <c r="AC210" s="691">
        <f>AVERAGE(AC208,X208)</f>
        <v>11396.342499999999</v>
      </c>
      <c r="AD210" s="487"/>
      <c r="AE210" s="694"/>
      <c r="AF210" s="694"/>
      <c r="AG210" s="695"/>
      <c r="AH210" s="691">
        <f>AVERAGE(AH208,AC208)</f>
        <v>12376.092000000001</v>
      </c>
      <c r="AI210" s="487"/>
      <c r="AJ210" s="694"/>
      <c r="AK210" s="694"/>
      <c r="AL210" s="695"/>
      <c r="AM210" s="691">
        <f>AVERAGE(AM208,AH208)</f>
        <v>13494.809000000001</v>
      </c>
      <c r="AN210" s="487"/>
      <c r="AO210" s="694"/>
      <c r="AP210" s="694"/>
      <c r="AQ210" s="695"/>
      <c r="AR210" s="691">
        <f>AVERAGE(AR208,AM208)</f>
        <v>13906.309000000001</v>
      </c>
      <c r="AS210" s="487"/>
      <c r="AT210" s="694"/>
      <c r="AU210" s="694"/>
      <c r="AV210" s="695"/>
      <c r="AW210" s="691">
        <f>AVERAGE(AW208,AR208)</f>
        <v>14213.971500000001</v>
      </c>
      <c r="AX210" s="487"/>
      <c r="AY210" s="694"/>
      <c r="AZ210" s="694"/>
      <c r="BA210" s="695"/>
      <c r="BB210" s="691">
        <f>AVERAGE(BB208,AW208)</f>
        <v>14713.357958333334</v>
      </c>
      <c r="BC210" s="487"/>
      <c r="BD210" s="694"/>
      <c r="BE210" s="694"/>
      <c r="BF210" s="695"/>
      <c r="BG210" s="691">
        <f>AVERAGE(BG208,BB208)</f>
        <v>15373.305875000002</v>
      </c>
      <c r="BH210" s="487"/>
      <c r="BI210" s="694"/>
      <c r="BJ210" s="694"/>
      <c r="BK210" s="695"/>
      <c r="BL210" s="691">
        <f>AVERAGE(BL208,BG208)</f>
        <v>16042.50379166667</v>
      </c>
      <c r="BM210" s="487"/>
      <c r="BN210" s="694"/>
      <c r="BO210" s="694"/>
      <c r="BP210" s="695"/>
      <c r="BQ210" s="691">
        <f>AVERAGE(BQ208,BL208)</f>
        <v>16612.076708333334</v>
      </c>
      <c r="BR210" s="691"/>
      <c r="BS210" s="684"/>
      <c r="BT210" s="684"/>
      <c r="BU210" s="684"/>
      <c r="BV210" s="684"/>
      <c r="BW210" s="684"/>
      <c r="BX210" s="684"/>
      <c r="BY210" s="684"/>
    </row>
    <row r="211" spans="1:77" s="732" customFormat="1">
      <c r="A211" s="731"/>
      <c r="B211" s="96"/>
      <c r="C211" s="1197"/>
      <c r="E211" s="715"/>
      <c r="F211" s="716"/>
      <c r="G211" s="716"/>
      <c r="H211" s="733"/>
      <c r="I211" s="691"/>
      <c r="J211" s="715"/>
      <c r="K211" s="716"/>
      <c r="L211" s="716"/>
      <c r="M211" s="717"/>
      <c r="N211" s="718"/>
      <c r="O211" s="715"/>
      <c r="P211" s="716"/>
      <c r="Q211" s="716"/>
      <c r="R211" s="717"/>
      <c r="S211" s="718"/>
      <c r="T211" s="715"/>
      <c r="U211" s="716"/>
      <c r="V211" s="716"/>
      <c r="W211" s="717"/>
      <c r="X211" s="718"/>
      <c r="Y211" s="715"/>
      <c r="Z211" s="716"/>
      <c r="AA211" s="716"/>
      <c r="AB211" s="717"/>
      <c r="AC211" s="1258">
        <f>+AC210/X210-1</f>
        <v>2.1300730240338073E-2</v>
      </c>
      <c r="AD211" s="715"/>
      <c r="AE211" s="716"/>
      <c r="AF211" s="716"/>
      <c r="AG211" s="717"/>
      <c r="AH211" s="1258">
        <f>+AH210/AC210-1</f>
        <v>8.5970520805249695E-2</v>
      </c>
      <c r="AI211" s="715"/>
      <c r="AJ211" s="716"/>
      <c r="AK211" s="716"/>
      <c r="AL211" s="717"/>
      <c r="AM211" s="1258">
        <f>+AM210/AH210-1</f>
        <v>9.0393397204868942E-2</v>
      </c>
      <c r="AN211" s="715"/>
      <c r="AO211" s="716"/>
      <c r="AP211" s="716"/>
      <c r="AQ211" s="717"/>
      <c r="AR211" s="1258">
        <f>+AR210/AM210-1</f>
        <v>3.0493206684140572E-2</v>
      </c>
      <c r="AS211" s="715"/>
      <c r="AT211" s="716"/>
      <c r="AU211" s="716"/>
      <c r="AV211" s="717"/>
      <c r="AW211" s="1258">
        <f>+AW210/AR210-1</f>
        <v>2.212395107860754E-2</v>
      </c>
      <c r="AX211" s="715"/>
      <c r="AY211" s="716"/>
      <c r="AZ211" s="716"/>
      <c r="BA211" s="717"/>
      <c r="BB211" s="1258">
        <f>+BB210/AW210-1</f>
        <v>3.5133492306026692E-2</v>
      </c>
      <c r="BC211" s="715"/>
      <c r="BD211" s="716"/>
      <c r="BE211" s="716"/>
      <c r="BF211" s="717"/>
      <c r="BG211" s="1258">
        <f>+BG210/BB210-1</f>
        <v>4.4853657372815325E-2</v>
      </c>
      <c r="BH211" s="715"/>
      <c r="BI211" s="716"/>
      <c r="BJ211" s="716"/>
      <c r="BK211" s="717"/>
      <c r="BL211" s="1258">
        <f>+BL210/BG210-1</f>
        <v>4.3529864175467559E-2</v>
      </c>
      <c r="BM211" s="715"/>
      <c r="BN211" s="716"/>
      <c r="BO211" s="716"/>
      <c r="BP211" s="717"/>
      <c r="BQ211" s="1258">
        <f>+BQ210/BL210-1</f>
        <v>3.5503991400801738E-2</v>
      </c>
      <c r="BR211" s="691"/>
      <c r="BS211" s="684"/>
      <c r="BT211" s="684"/>
      <c r="BU211" s="684"/>
      <c r="BV211" s="684"/>
      <c r="BW211" s="684"/>
      <c r="BX211" s="684"/>
      <c r="BY211" s="684"/>
    </row>
    <row r="212" spans="1:77" s="673" customFormat="1">
      <c r="A212" s="201"/>
      <c r="B212" s="96"/>
      <c r="C212" s="1233" t="s">
        <v>293</v>
      </c>
      <c r="E212" s="674"/>
      <c r="F212" s="675"/>
      <c r="G212" s="675"/>
      <c r="H212" s="676"/>
      <c r="I212" s="677"/>
      <c r="J212" s="674"/>
      <c r="K212" s="675"/>
      <c r="L212" s="675"/>
      <c r="M212" s="680"/>
      <c r="N212" s="679"/>
      <c r="O212" s="674"/>
      <c r="P212" s="675"/>
      <c r="Q212" s="675"/>
      <c r="R212" s="680"/>
      <c r="S212" s="679"/>
      <c r="T212" s="674"/>
      <c r="U212" s="675"/>
      <c r="V212" s="675"/>
      <c r="W212" s="680"/>
      <c r="X212" s="679"/>
      <c r="Y212" s="674"/>
      <c r="Z212" s="675"/>
      <c r="AA212" s="675"/>
      <c r="AB212" s="680"/>
      <c r="AC212" s="679"/>
      <c r="AD212" s="674"/>
      <c r="AE212" s="675"/>
      <c r="AF212" s="675"/>
      <c r="AG212" s="680"/>
      <c r="AH212" s="679"/>
      <c r="AI212" s="674"/>
      <c r="AJ212" s="675"/>
      <c r="AK212" s="675"/>
      <c r="AL212" s="680"/>
      <c r="AM212" s="679"/>
      <c r="AN212" s="674"/>
      <c r="AO212" s="675"/>
      <c r="AP212" s="675"/>
      <c r="AQ212" s="680"/>
      <c r="AR212" s="679"/>
      <c r="AS212" s="674"/>
      <c r="AT212" s="675"/>
      <c r="AU212" s="675"/>
      <c r="AV212" s="680"/>
      <c r="AW212" s="679"/>
      <c r="AX212" s="674"/>
      <c r="AY212" s="675"/>
      <c r="AZ212" s="675"/>
      <c r="BA212" s="680"/>
      <c r="BB212" s="679"/>
      <c r="BC212" s="674"/>
      <c r="BD212" s="675"/>
      <c r="BE212" s="675"/>
      <c r="BF212" s="680"/>
      <c r="BG212" s="679"/>
      <c r="BH212" s="674"/>
      <c r="BI212" s="675"/>
      <c r="BJ212" s="675"/>
      <c r="BK212" s="680"/>
      <c r="BL212" s="679"/>
      <c r="BM212" s="674"/>
      <c r="BN212" s="675"/>
      <c r="BO212" s="675"/>
      <c r="BP212" s="680"/>
      <c r="BQ212" s="679"/>
      <c r="BR212" s="677"/>
      <c r="BS212" s="684"/>
      <c r="BT212" s="684"/>
      <c r="BU212" s="684"/>
      <c r="BV212" s="684"/>
      <c r="BW212" s="684"/>
      <c r="BX212" s="684"/>
      <c r="BY212" s="684"/>
    </row>
    <row r="213" spans="1:77" s="684" customFormat="1">
      <c r="A213" s="683"/>
      <c r="B213" s="498"/>
      <c r="C213" s="1229" t="s">
        <v>642</v>
      </c>
      <c r="E213" s="685"/>
      <c r="F213" s="686"/>
      <c r="G213" s="686"/>
      <c r="H213" s="687"/>
      <c r="I213" s="688"/>
      <c r="J213" s="788"/>
      <c r="K213" s="753"/>
      <c r="L213" s="753"/>
      <c r="M213" s="789"/>
      <c r="N213" s="796"/>
      <c r="O213" s="788"/>
      <c r="P213" s="753"/>
      <c r="Q213" s="753"/>
      <c r="R213" s="789"/>
      <c r="S213" s="796">
        <v>0.5</v>
      </c>
      <c r="T213" s="696">
        <f>+S213</f>
        <v>0.5</v>
      </c>
      <c r="U213" s="697">
        <f t="shared" ref="U213:AT213" si="361">+T213</f>
        <v>0.5</v>
      </c>
      <c r="V213" s="697">
        <f t="shared" si="361"/>
        <v>0.5</v>
      </c>
      <c r="W213" s="698">
        <f t="shared" si="361"/>
        <v>0.5</v>
      </c>
      <c r="X213" s="853">
        <f t="shared" si="361"/>
        <v>0.5</v>
      </c>
      <c r="Y213" s="696">
        <f t="shared" si="361"/>
        <v>0.5</v>
      </c>
      <c r="Z213" s="697">
        <f t="shared" si="361"/>
        <v>0.5</v>
      </c>
      <c r="AA213" s="697">
        <f t="shared" si="361"/>
        <v>0.5</v>
      </c>
      <c r="AB213" s="698">
        <f t="shared" si="361"/>
        <v>0.5</v>
      </c>
      <c r="AC213" s="853">
        <f t="shared" si="361"/>
        <v>0.5</v>
      </c>
      <c r="AD213" s="696">
        <f t="shared" si="361"/>
        <v>0.5</v>
      </c>
      <c r="AE213" s="697">
        <f t="shared" si="361"/>
        <v>0.5</v>
      </c>
      <c r="AF213" s="697">
        <f t="shared" si="361"/>
        <v>0.5</v>
      </c>
      <c r="AG213" s="698">
        <f t="shared" si="361"/>
        <v>0.5</v>
      </c>
      <c r="AH213" s="853">
        <f t="shared" si="361"/>
        <v>0.5</v>
      </c>
      <c r="AI213" s="696">
        <f t="shared" si="361"/>
        <v>0.5</v>
      </c>
      <c r="AJ213" s="697">
        <f t="shared" si="361"/>
        <v>0.5</v>
      </c>
      <c r="AK213" s="697">
        <f t="shared" si="361"/>
        <v>0.5</v>
      </c>
      <c r="AL213" s="698">
        <f t="shared" si="361"/>
        <v>0.5</v>
      </c>
      <c r="AM213" s="853">
        <f t="shared" si="361"/>
        <v>0.5</v>
      </c>
      <c r="AN213" s="696">
        <f t="shared" si="361"/>
        <v>0.5</v>
      </c>
      <c r="AO213" s="697">
        <f t="shared" si="361"/>
        <v>0.5</v>
      </c>
      <c r="AP213" s="697">
        <f t="shared" si="361"/>
        <v>0.5</v>
      </c>
      <c r="AQ213" s="698">
        <f t="shared" si="361"/>
        <v>0.5</v>
      </c>
      <c r="AR213" s="853">
        <f t="shared" si="361"/>
        <v>0.5</v>
      </c>
      <c r="AS213" s="696">
        <f t="shared" si="361"/>
        <v>0.5</v>
      </c>
      <c r="AT213" s="697">
        <f t="shared" si="361"/>
        <v>0.5</v>
      </c>
      <c r="AU213" s="697">
        <f t="shared" ref="AU213" si="362">+AT213</f>
        <v>0.5</v>
      </c>
      <c r="AV213" s="698">
        <f t="shared" ref="AV213" si="363">+AU213</f>
        <v>0.5</v>
      </c>
      <c r="AW213" s="853">
        <f t="shared" ref="AW213" si="364">+AV213</f>
        <v>0.5</v>
      </c>
      <c r="AX213" s="696">
        <f t="shared" ref="AX213:BB213" si="365">+AW213</f>
        <v>0.5</v>
      </c>
      <c r="AY213" s="697">
        <f t="shared" si="365"/>
        <v>0.5</v>
      </c>
      <c r="AZ213" s="697">
        <f t="shared" si="365"/>
        <v>0.5</v>
      </c>
      <c r="BA213" s="698">
        <f t="shared" si="365"/>
        <v>0.5</v>
      </c>
      <c r="BB213" s="853">
        <f t="shared" si="365"/>
        <v>0.5</v>
      </c>
      <c r="BC213" s="696">
        <f t="shared" ref="BC213:BL213" si="366">+BB213</f>
        <v>0.5</v>
      </c>
      <c r="BD213" s="697">
        <f t="shared" si="366"/>
        <v>0.5</v>
      </c>
      <c r="BE213" s="697">
        <f t="shared" si="366"/>
        <v>0.5</v>
      </c>
      <c r="BF213" s="698">
        <f t="shared" si="366"/>
        <v>0.5</v>
      </c>
      <c r="BG213" s="853">
        <f t="shared" si="366"/>
        <v>0.5</v>
      </c>
      <c r="BH213" s="696">
        <f t="shared" si="366"/>
        <v>0.5</v>
      </c>
      <c r="BI213" s="697">
        <f t="shared" si="366"/>
        <v>0.5</v>
      </c>
      <c r="BJ213" s="697">
        <f t="shared" si="366"/>
        <v>0.5</v>
      </c>
      <c r="BK213" s="698">
        <f t="shared" si="366"/>
        <v>0.5</v>
      </c>
      <c r="BL213" s="853">
        <f t="shared" si="366"/>
        <v>0.5</v>
      </c>
      <c r="BM213" s="696">
        <f t="shared" ref="BM213" si="367">+BL213</f>
        <v>0.5</v>
      </c>
      <c r="BN213" s="697">
        <f t="shared" ref="BN213" si="368">+BM213</f>
        <v>0.5</v>
      </c>
      <c r="BO213" s="697">
        <f t="shared" ref="BO213" si="369">+BN213</f>
        <v>0.5</v>
      </c>
      <c r="BP213" s="698">
        <f t="shared" ref="BP213" si="370">+BO213</f>
        <v>0.5</v>
      </c>
      <c r="BQ213" s="853">
        <f t="shared" ref="BQ213" si="371">+BP213</f>
        <v>0.5</v>
      </c>
      <c r="BR213" s="688"/>
    </row>
    <row r="214" spans="1:77" s="684" customFormat="1">
      <c r="A214" s="683"/>
      <c r="B214" s="498"/>
      <c r="C214" s="1229" t="s">
        <v>755</v>
      </c>
      <c r="E214" s="685"/>
      <c r="F214" s="686"/>
      <c r="G214" s="686"/>
      <c r="H214" s="687"/>
      <c r="I214" s="688"/>
      <c r="J214" s="685"/>
      <c r="K214" s="686"/>
      <c r="L214" s="686"/>
      <c r="M214" s="689"/>
      <c r="N214" s="498"/>
      <c r="O214" s="685"/>
      <c r="P214" s="686"/>
      <c r="Q214" s="686"/>
      <c r="R214" s="689"/>
      <c r="S214" s="498"/>
      <c r="T214" s="685">
        <f t="shared" ref="T214:AR214" si="372">T178</f>
        <v>0</v>
      </c>
      <c r="U214" s="686">
        <f t="shared" si="372"/>
        <v>0</v>
      </c>
      <c r="V214" s="686">
        <f t="shared" si="372"/>
        <v>0</v>
      </c>
      <c r="W214" s="689">
        <f t="shared" si="372"/>
        <v>0</v>
      </c>
      <c r="X214" s="498">
        <f>X178</f>
        <v>0.41547377454131867</v>
      </c>
      <c r="Y214" s="685">
        <f t="shared" si="372"/>
        <v>0.41518815749887988</v>
      </c>
      <c r="Z214" s="686">
        <f t="shared" si="372"/>
        <v>0.42030480308422613</v>
      </c>
      <c r="AA214" s="686">
        <f t="shared" si="372"/>
        <v>0.4422444730814864</v>
      </c>
      <c r="AB214" s="689">
        <f>AB178</f>
        <v>0.42917533022412802</v>
      </c>
      <c r="AC214" s="498">
        <f t="shared" si="372"/>
        <v>0.42917533022412802</v>
      </c>
      <c r="AD214" s="685">
        <f t="shared" si="372"/>
        <v>0.4403987922758329</v>
      </c>
      <c r="AE214" s="686">
        <f t="shared" si="372"/>
        <v>0.43359518494136451</v>
      </c>
      <c r="AF214" s="686">
        <f t="shared" si="372"/>
        <v>0.43936153990392895</v>
      </c>
      <c r="AG214" s="689">
        <f t="shared" si="372"/>
        <v>0.44233247142659154</v>
      </c>
      <c r="AH214" s="498">
        <f t="shared" si="372"/>
        <v>0.44233247142659154</v>
      </c>
      <c r="AI214" s="685">
        <f t="shared" si="372"/>
        <v>0.44517725812711334</v>
      </c>
      <c r="AJ214" s="686">
        <f t="shared" si="372"/>
        <v>0.44290568358100874</v>
      </c>
      <c r="AK214" s="686">
        <f t="shared" si="372"/>
        <v>0.45477046677187938</v>
      </c>
      <c r="AL214" s="689">
        <f t="shared" si="372"/>
        <v>0.44945214876018214</v>
      </c>
      <c r="AM214" s="498">
        <f t="shared" si="372"/>
        <v>0.44945214876018214</v>
      </c>
      <c r="AN214" s="685">
        <f t="shared" si="372"/>
        <v>0.45761306351416897</v>
      </c>
      <c r="AO214" s="686">
        <f t="shared" ref="AO214:AP214" si="373">AO178</f>
        <v>0.46890095341019111</v>
      </c>
      <c r="AP214" s="686">
        <f t="shared" si="373"/>
        <v>0.4824650288988242</v>
      </c>
      <c r="AQ214" s="689">
        <f t="shared" si="372"/>
        <v>0.48227708562973293</v>
      </c>
      <c r="AR214" s="498">
        <f t="shared" si="372"/>
        <v>0.48227708562973293</v>
      </c>
      <c r="AS214" s="685">
        <f t="shared" ref="AS214:AT214" si="374">AS178</f>
        <v>0.48882155153021162</v>
      </c>
      <c r="AT214" s="686">
        <f t="shared" si="374"/>
        <v>0.50240064130819984</v>
      </c>
      <c r="AU214" s="686">
        <f t="shared" ref="AU214:AW214" si="375">AU178</f>
        <v>0.51184078829660795</v>
      </c>
      <c r="AV214" s="689">
        <f t="shared" si="375"/>
        <v>0.51427293629242721</v>
      </c>
      <c r="AW214" s="498">
        <f t="shared" si="375"/>
        <v>0.51427293629242721</v>
      </c>
      <c r="AX214" s="685">
        <f t="shared" ref="AX214:BB214" si="376">AX178</f>
        <v>0.52281781069958355</v>
      </c>
      <c r="AY214" s="686">
        <f t="shared" si="376"/>
        <v>0.51833143995034769</v>
      </c>
      <c r="AZ214" s="686">
        <f t="shared" si="376"/>
        <v>0.51690052808567155</v>
      </c>
      <c r="BA214" s="689">
        <f t="shared" si="376"/>
        <v>0.5147171019203115</v>
      </c>
      <c r="BB214" s="498">
        <f t="shared" si="376"/>
        <v>0.5147171019203115</v>
      </c>
      <c r="BC214" s="685">
        <f t="shared" ref="BC214:BL214" si="377">BC178</f>
        <v>0.51466978794516949</v>
      </c>
      <c r="BD214" s="686">
        <f t="shared" si="377"/>
        <v>0.51254483325730615</v>
      </c>
      <c r="BE214" s="686">
        <f t="shared" si="377"/>
        <v>0.51383160104368308</v>
      </c>
      <c r="BF214" s="689">
        <f t="shared" si="377"/>
        <v>0.51306252204500558</v>
      </c>
      <c r="BG214" s="498">
        <f t="shared" si="377"/>
        <v>0.51306252204500558</v>
      </c>
      <c r="BH214" s="685">
        <f t="shared" si="377"/>
        <v>0.51367557157349897</v>
      </c>
      <c r="BI214" s="686">
        <f t="shared" si="377"/>
        <v>0.51214899653619073</v>
      </c>
      <c r="BJ214" s="686">
        <f t="shared" si="377"/>
        <v>0.51396471278827105</v>
      </c>
      <c r="BK214" s="689">
        <f t="shared" si="377"/>
        <v>0.51382456951399336</v>
      </c>
      <c r="BL214" s="498">
        <f t="shared" si="377"/>
        <v>0.51382456951399336</v>
      </c>
      <c r="BM214" s="685">
        <f t="shared" ref="BM214:BQ214" si="378">BM178</f>
        <v>0.51499265242982994</v>
      </c>
      <c r="BN214" s="686">
        <f t="shared" si="378"/>
        <v>0.51397345302640773</v>
      </c>
      <c r="BO214" s="686">
        <f t="shared" si="378"/>
        <v>0.51631177448526899</v>
      </c>
      <c r="BP214" s="689">
        <f t="shared" si="378"/>
        <v>0.51678518473551338</v>
      </c>
      <c r="BQ214" s="498">
        <f t="shared" si="378"/>
        <v>0.51678518473551338</v>
      </c>
      <c r="BR214" s="688"/>
    </row>
    <row r="215" spans="1:77" s="684" customFormat="1">
      <c r="A215" s="683"/>
      <c r="B215" s="498"/>
      <c r="C215" s="1192"/>
      <c r="E215" s="685"/>
      <c r="F215" s="686"/>
      <c r="G215" s="686"/>
      <c r="H215" s="687"/>
      <c r="I215" s="688"/>
      <c r="J215" s="685"/>
      <c r="K215" s="686"/>
      <c r="L215" s="686"/>
      <c r="M215" s="689"/>
      <c r="N215" s="498"/>
      <c r="O215" s="685"/>
      <c r="P215" s="686"/>
      <c r="Q215" s="686"/>
      <c r="R215" s="689"/>
      <c r="S215" s="498"/>
      <c r="T215" s="685"/>
      <c r="U215" s="686"/>
      <c r="V215" s="686"/>
      <c r="W215" s="689"/>
      <c r="X215" s="498"/>
      <c r="Y215" s="685"/>
      <c r="Z215" s="686"/>
      <c r="AA215" s="686"/>
      <c r="AB215" s="689"/>
      <c r="AC215" s="498"/>
      <c r="AD215" s="685"/>
      <c r="AE215" s="686"/>
      <c r="AF215" s="686"/>
      <c r="AG215" s="689"/>
      <c r="AH215" s="498"/>
      <c r="AI215" s="685"/>
      <c r="AJ215" s="686"/>
      <c r="AK215" s="686"/>
      <c r="AL215" s="689"/>
      <c r="AM215" s="498"/>
      <c r="AN215" s="685"/>
      <c r="AO215" s="686"/>
      <c r="AP215" s="686"/>
      <c r="AQ215" s="689"/>
      <c r="AR215" s="498"/>
      <c r="AS215" s="685"/>
      <c r="AT215" s="686"/>
      <c r="AU215" s="686"/>
      <c r="AV215" s="689"/>
      <c r="AW215" s="498"/>
      <c r="AX215" s="685"/>
      <c r="AY215" s="686"/>
      <c r="AZ215" s="686"/>
      <c r="BA215" s="689"/>
      <c r="BB215" s="498"/>
      <c r="BC215" s="685"/>
      <c r="BD215" s="686"/>
      <c r="BE215" s="686"/>
      <c r="BF215" s="689"/>
      <c r="BG215" s="498"/>
      <c r="BH215" s="685"/>
      <c r="BI215" s="686"/>
      <c r="BJ215" s="686"/>
      <c r="BK215" s="689"/>
      <c r="BL215" s="498"/>
      <c r="BM215" s="685"/>
      <c r="BN215" s="686"/>
      <c r="BO215" s="686"/>
      <c r="BP215" s="689"/>
      <c r="BQ215" s="498"/>
      <c r="BR215" s="688"/>
    </row>
    <row r="216" spans="1:77" s="684" customFormat="1">
      <c r="A216" s="683"/>
      <c r="B216" s="498"/>
      <c r="C216" s="1233" t="s">
        <v>365</v>
      </c>
      <c r="E216" s="685"/>
      <c r="F216" s="686"/>
      <c r="G216" s="686"/>
      <c r="H216" s="687"/>
      <c r="I216" s="688"/>
      <c r="J216" s="685"/>
      <c r="K216" s="686"/>
      <c r="L216" s="686"/>
      <c r="M216" s="689"/>
      <c r="N216" s="498"/>
      <c r="O216" s="685"/>
      <c r="P216" s="686"/>
      <c r="Q216" s="686"/>
      <c r="R216" s="689"/>
      <c r="S216" s="498"/>
      <c r="T216" s="685"/>
      <c r="U216" s="686"/>
      <c r="V216" s="686"/>
      <c r="W216" s="689"/>
      <c r="X216" s="498"/>
      <c r="Y216" s="685"/>
      <c r="Z216" s="686"/>
      <c r="AA216" s="686"/>
      <c r="AB216" s="689"/>
      <c r="AC216" s="498"/>
      <c r="AD216" s="685"/>
      <c r="AE216" s="686"/>
      <c r="AF216" s="686"/>
      <c r="AG216" s="689"/>
      <c r="AH216" s="498"/>
      <c r="AI216" s="685"/>
      <c r="AJ216" s="686"/>
      <c r="AK216" s="686"/>
      <c r="AL216" s="689"/>
      <c r="AM216" s="498"/>
      <c r="AN216" s="685"/>
      <c r="AO216" s="686"/>
      <c r="AP216" s="686"/>
      <c r="AQ216" s="689"/>
      <c r="AR216" s="498"/>
      <c r="AS216" s="685"/>
      <c r="AT216" s="686"/>
      <c r="AU216" s="686"/>
      <c r="AV216" s="689"/>
      <c r="AW216" s="498"/>
      <c r="AX216" s="685"/>
      <c r="AY216" s="686"/>
      <c r="AZ216" s="686"/>
      <c r="BA216" s="689"/>
      <c r="BB216" s="498"/>
      <c r="BC216" s="685"/>
      <c r="BD216" s="686"/>
      <c r="BE216" s="686"/>
      <c r="BF216" s="689"/>
      <c r="BG216" s="498"/>
      <c r="BH216" s="685"/>
      <c r="BI216" s="686"/>
      <c r="BJ216" s="686"/>
      <c r="BK216" s="689"/>
      <c r="BL216" s="498"/>
      <c r="BM216" s="685"/>
      <c r="BN216" s="686"/>
      <c r="BO216" s="686"/>
      <c r="BP216" s="689"/>
      <c r="BQ216" s="498"/>
      <c r="BR216" s="688"/>
    </row>
    <row r="217" spans="1:77" s="684" customFormat="1">
      <c r="A217" s="683"/>
      <c r="B217" s="498"/>
      <c r="C217" s="1179" t="s">
        <v>366</v>
      </c>
      <c r="E217" s="685"/>
      <c r="F217" s="686"/>
      <c r="G217" s="686"/>
      <c r="H217" s="687"/>
      <c r="I217" s="688"/>
      <c r="J217" s="788"/>
      <c r="K217" s="753"/>
      <c r="L217" s="753"/>
      <c r="M217" s="789"/>
      <c r="N217" s="796"/>
      <c r="O217" s="788"/>
      <c r="P217" s="753"/>
      <c r="Q217" s="753"/>
      <c r="R217" s="789"/>
      <c r="S217" s="796">
        <v>0.105</v>
      </c>
      <c r="T217" s="788">
        <v>0.105</v>
      </c>
      <c r="U217" s="753">
        <v>0.105</v>
      </c>
      <c r="V217" s="753">
        <v>0.105</v>
      </c>
      <c r="W217" s="789">
        <v>0.105</v>
      </c>
      <c r="X217" s="796">
        <v>0.105</v>
      </c>
      <c r="Y217" s="788">
        <v>0.105</v>
      </c>
      <c r="Z217" s="877">
        <v>0.105</v>
      </c>
      <c r="AA217" s="877">
        <v>0.105</v>
      </c>
      <c r="AB217" s="789">
        <v>0.105</v>
      </c>
      <c r="AC217" s="796">
        <v>0.105</v>
      </c>
      <c r="AD217" s="788">
        <v>0.105</v>
      </c>
      <c r="AE217" s="753">
        <v>0.105</v>
      </c>
      <c r="AF217" s="753">
        <v>0.105</v>
      </c>
      <c r="AG217" s="789">
        <v>0.105</v>
      </c>
      <c r="AH217" s="796">
        <v>0.105</v>
      </c>
      <c r="AI217" s="788">
        <v>0.105</v>
      </c>
      <c r="AJ217" s="753">
        <v>0.105</v>
      </c>
      <c r="AK217" s="753">
        <v>0.105</v>
      </c>
      <c r="AL217" s="789">
        <v>0.105</v>
      </c>
      <c r="AM217" s="796">
        <v>0.105</v>
      </c>
      <c r="AN217" s="788">
        <v>0.105</v>
      </c>
      <c r="AO217" s="753">
        <v>0.105</v>
      </c>
      <c r="AP217" s="753">
        <v>0.105</v>
      </c>
      <c r="AQ217" s="789">
        <v>0.105</v>
      </c>
      <c r="AR217" s="796">
        <v>0.105</v>
      </c>
      <c r="AS217" s="788">
        <v>0.105</v>
      </c>
      <c r="AT217" s="753">
        <v>0.105</v>
      </c>
      <c r="AU217" s="753">
        <v>0.105</v>
      </c>
      <c r="AV217" s="789">
        <v>0.105</v>
      </c>
      <c r="AW217" s="796">
        <v>0.105</v>
      </c>
      <c r="AX217" s="788">
        <v>0.105</v>
      </c>
      <c r="AY217" s="753">
        <v>0.105</v>
      </c>
      <c r="AZ217" s="753">
        <v>0.105</v>
      </c>
      <c r="BA217" s="789">
        <v>0.105</v>
      </c>
      <c r="BB217" s="796">
        <v>0.105</v>
      </c>
      <c r="BC217" s="788">
        <v>0.105</v>
      </c>
      <c r="BD217" s="753">
        <v>0.105</v>
      </c>
      <c r="BE217" s="753">
        <v>0.105</v>
      </c>
      <c r="BF217" s="789">
        <v>0.105</v>
      </c>
      <c r="BG217" s="796">
        <v>0.105</v>
      </c>
      <c r="BH217" s="788">
        <v>0.105</v>
      </c>
      <c r="BI217" s="753">
        <v>0.105</v>
      </c>
      <c r="BJ217" s="753">
        <v>0.105</v>
      </c>
      <c r="BK217" s="789">
        <v>0.105</v>
      </c>
      <c r="BL217" s="796">
        <v>0.105</v>
      </c>
      <c r="BM217" s="788">
        <v>0.105</v>
      </c>
      <c r="BN217" s="753">
        <v>0.105</v>
      </c>
      <c r="BO217" s="753">
        <v>0.105</v>
      </c>
      <c r="BP217" s="789">
        <v>0.105</v>
      </c>
      <c r="BQ217" s="796">
        <v>0.105</v>
      </c>
      <c r="BR217" s="688"/>
    </row>
    <row r="218" spans="1:77" s="684" customFormat="1">
      <c r="A218" s="683"/>
      <c r="B218" s="498"/>
      <c r="C218" s="1179" t="s">
        <v>641</v>
      </c>
      <c r="E218" s="685"/>
      <c r="F218" s="686"/>
      <c r="G218" s="686"/>
      <c r="H218" s="687"/>
      <c r="I218" s="688"/>
      <c r="J218" s="685"/>
      <c r="K218" s="686"/>
      <c r="L218" s="686"/>
      <c r="M218" s="689"/>
      <c r="N218" s="498"/>
      <c r="O218" s="685"/>
      <c r="P218" s="686"/>
      <c r="Q218" s="686"/>
      <c r="R218" s="689"/>
      <c r="S218" s="498">
        <f>S35/(S213*AVERAGE(S208,S203))</f>
        <v>0.14454545454545453</v>
      </c>
      <c r="T218" s="685"/>
      <c r="U218" s="686"/>
      <c r="V218" s="686"/>
      <c r="W218" s="689"/>
      <c r="X218" s="498">
        <f>X35/(X213*AVERAGE(X208,X203))</f>
        <v>0.15485737304361505</v>
      </c>
      <c r="Y218" s="685"/>
      <c r="Z218" s="686"/>
      <c r="AA218" s="686"/>
      <c r="AB218" s="689"/>
      <c r="AC218" s="498">
        <f>AC35/(AC213*AVERAGE(AC208,AC203))</f>
        <v>0.15022363534616481</v>
      </c>
      <c r="AD218" s="685"/>
      <c r="AE218" s="686"/>
      <c r="AF218" s="686"/>
      <c r="AG218" s="689"/>
      <c r="AH218" s="498">
        <f>AH35/(AH213*AVERAGE(AH208,AH203))</f>
        <v>0.13073593829134431</v>
      </c>
      <c r="AI218" s="685"/>
      <c r="AJ218" s="686"/>
      <c r="AK218" s="686"/>
      <c r="AL218" s="689"/>
      <c r="AM218" s="498">
        <f>AM35/(AM213*AVERAGE(AM208,AM203))</f>
        <v>0.11367333913358832</v>
      </c>
      <c r="AN218" s="685"/>
      <c r="AO218" s="686"/>
      <c r="AP218" s="686"/>
      <c r="AQ218" s="689"/>
      <c r="AR218" s="498">
        <f>AR35/(AR213*AVERAGE(AR208,AR203))</f>
        <v>0.11088492280733873</v>
      </c>
      <c r="AS218" s="685"/>
      <c r="AT218" s="686"/>
      <c r="AU218" s="686"/>
      <c r="AV218" s="689"/>
      <c r="AW218" s="498">
        <f>AW35/(AW213*AVERAGE(AW208,AW203))</f>
        <v>0.14492782682165922</v>
      </c>
      <c r="AX218" s="685"/>
      <c r="AY218" s="686"/>
      <c r="AZ218" s="686"/>
      <c r="BA218" s="689"/>
      <c r="BB218" s="498">
        <f>BB35/(BB213*AVERAGE(BB208,BB203))</f>
        <v>0.16046972831751291</v>
      </c>
      <c r="BC218" s="685"/>
      <c r="BD218" s="686"/>
      <c r="BE218" s="686"/>
      <c r="BF218" s="689"/>
      <c r="BG218" s="498">
        <f>BG35/(BG213*AVERAGE(BG208,BG203))</f>
        <v>0.15943469954184455</v>
      </c>
      <c r="BH218" s="685"/>
      <c r="BI218" s="686"/>
      <c r="BJ218" s="686"/>
      <c r="BK218" s="689"/>
      <c r="BL218" s="498">
        <f>BL35/(BL213*AVERAGE(BL208,BL203))</f>
        <v>0.13769931246550327</v>
      </c>
      <c r="BM218" s="685"/>
      <c r="BN218" s="686"/>
      <c r="BO218" s="686"/>
      <c r="BP218" s="689"/>
      <c r="BQ218" s="498">
        <f>BQ35/(BQ213*AVERAGE(BQ208,BQ203))</f>
        <v>0.13830042158689396</v>
      </c>
      <c r="BR218" s="688"/>
    </row>
    <row r="219" spans="1:77" s="684" customFormat="1">
      <c r="A219" s="683"/>
      <c r="B219" s="498"/>
      <c r="C219" s="1179" t="s">
        <v>640</v>
      </c>
      <c r="E219" s="685"/>
      <c r="F219" s="686"/>
      <c r="G219" s="686"/>
      <c r="H219" s="687"/>
      <c r="I219" s="688"/>
      <c r="J219" s="685"/>
      <c r="K219" s="686"/>
      <c r="L219" s="686"/>
      <c r="M219" s="689"/>
      <c r="N219" s="498"/>
      <c r="O219" s="685"/>
      <c r="P219" s="686"/>
      <c r="Q219" s="686"/>
      <c r="R219" s="689"/>
      <c r="S219" s="498"/>
      <c r="T219" s="685"/>
      <c r="U219" s="686"/>
      <c r="V219" s="686"/>
      <c r="W219" s="689"/>
      <c r="X219" s="498">
        <f>X35/(X214*AVERAGE(X208,X203))</f>
        <v>0.18636239220463066</v>
      </c>
      <c r="Y219" s="685"/>
      <c r="Z219" s="686"/>
      <c r="AA219" s="686"/>
      <c r="AB219" s="689"/>
      <c r="AC219" s="498">
        <f>AC35/(AC214*AVERAGE(AC208,AC203))</f>
        <v>0.17501429458644979</v>
      </c>
      <c r="AD219" s="685"/>
      <c r="AE219" s="686"/>
      <c r="AF219" s="686"/>
      <c r="AG219" s="689"/>
      <c r="AH219" s="498">
        <f>AH35/(AH214*AVERAGE(AH208,AH203))</f>
        <v>0.14778017298809246</v>
      </c>
      <c r="AI219" s="685"/>
      <c r="AJ219" s="686"/>
      <c r="AK219" s="686"/>
      <c r="AL219" s="689"/>
      <c r="AM219" s="498">
        <f>AM35/(AM214*AVERAGE(AM208,AM203))</f>
        <v>0.12645766567938019</v>
      </c>
      <c r="AN219" s="685"/>
      <c r="AO219" s="686"/>
      <c r="AP219" s="686"/>
      <c r="AQ219" s="689"/>
      <c r="AR219" s="498">
        <f>AR35/(AR214*AVERAGE(AR208,AR203))</f>
        <v>0.11495976702122478</v>
      </c>
      <c r="AS219" s="685"/>
      <c r="AT219" s="686"/>
      <c r="AU219" s="686"/>
      <c r="AV219" s="689"/>
      <c r="AW219" s="498">
        <f>AW35/(AW214*AVERAGE(AW208,AW203))</f>
        <v>0.1409055548076226</v>
      </c>
      <c r="AX219" s="685"/>
      <c r="AY219" s="686"/>
      <c r="AZ219" s="686"/>
      <c r="BA219" s="689"/>
      <c r="BB219" s="498">
        <f>BB35/(BB214*AVERAGE(BB208,BB203))</f>
        <v>0.1558814810299006</v>
      </c>
      <c r="BC219" s="685"/>
      <c r="BD219" s="686"/>
      <c r="BE219" s="686"/>
      <c r="BF219" s="689"/>
      <c r="BG219" s="498">
        <f>BG35/(BG214*AVERAGE(BG208,BG203))</f>
        <v>0.1553755075564251</v>
      </c>
      <c r="BH219" s="685"/>
      <c r="BI219" s="686"/>
      <c r="BJ219" s="686"/>
      <c r="BK219" s="689"/>
      <c r="BL219" s="498">
        <f>BL35/(BL214*AVERAGE(BL208,BL203))</f>
        <v>0.13399448044665097</v>
      </c>
      <c r="BM219" s="685"/>
      <c r="BN219" s="686"/>
      <c r="BO219" s="686"/>
      <c r="BP219" s="689"/>
      <c r="BQ219" s="498">
        <f>BQ35/(BQ214*AVERAGE(BQ208,BQ203))</f>
        <v>0.13380842337583171</v>
      </c>
      <c r="BR219" s="688"/>
    </row>
    <row r="220" spans="1:77">
      <c r="A220" s="139"/>
      <c r="B220" s="89"/>
      <c r="E220" s="709"/>
      <c r="F220" s="710"/>
      <c r="G220" s="710"/>
      <c r="H220" s="286"/>
      <c r="I220" s="308"/>
      <c r="J220" s="711"/>
      <c r="K220" s="712"/>
      <c r="L220" s="712"/>
      <c r="M220" s="713"/>
      <c r="N220" s="308"/>
      <c r="O220" s="714"/>
      <c r="P220" s="712"/>
      <c r="Q220" s="712"/>
      <c r="R220" s="713"/>
      <c r="S220" s="308"/>
      <c r="T220" s="709"/>
      <c r="U220" s="710"/>
      <c r="V220" s="710"/>
      <c r="W220" s="286"/>
      <c r="X220" s="233"/>
      <c r="Y220" s="709"/>
      <c r="Z220" s="710"/>
      <c r="AA220" s="710"/>
      <c r="AB220" s="286"/>
      <c r="AC220" s="233"/>
      <c r="AD220" s="709"/>
      <c r="AE220" s="710"/>
      <c r="AF220" s="710"/>
      <c r="AG220" s="286"/>
      <c r="AH220" s="233"/>
      <c r="AI220" s="709"/>
      <c r="AJ220" s="710"/>
      <c r="AK220" s="710"/>
      <c r="AL220" s="286"/>
      <c r="AM220" s="233"/>
      <c r="AN220" s="709"/>
      <c r="AO220" s="710"/>
      <c r="AP220" s="710"/>
      <c r="AQ220" s="286"/>
      <c r="AR220" s="233"/>
      <c r="AS220" s="709"/>
      <c r="AT220" s="710"/>
      <c r="AU220" s="710"/>
      <c r="AV220" s="286"/>
      <c r="AW220" s="233"/>
      <c r="AX220" s="709"/>
      <c r="AY220" s="710"/>
      <c r="AZ220" s="710"/>
      <c r="BA220" s="286"/>
      <c r="BB220" s="233"/>
      <c r="BC220" s="709"/>
      <c r="BD220" s="710"/>
      <c r="BE220" s="710"/>
      <c r="BF220" s="286"/>
      <c r="BG220" s="233"/>
      <c r="BH220" s="709"/>
      <c r="BI220" s="710"/>
      <c r="BJ220" s="710"/>
      <c r="BK220" s="286"/>
      <c r="BL220" s="233"/>
      <c r="BM220" s="709"/>
      <c r="BN220" s="710"/>
      <c r="BO220" s="710"/>
      <c r="BP220" s="286"/>
      <c r="BQ220" s="233"/>
      <c r="BR220" s="233"/>
      <c r="BS220" s="684"/>
      <c r="BT220" s="684"/>
      <c r="BU220" s="684"/>
      <c r="BV220" s="684"/>
      <c r="BW220" s="684"/>
      <c r="BX220" s="684"/>
      <c r="BY220" s="684"/>
    </row>
    <row r="221" spans="1:77">
      <c r="BS221" s="684"/>
      <c r="BT221" s="684"/>
      <c r="BU221" s="684"/>
      <c r="BV221" s="684"/>
      <c r="BW221" s="684"/>
      <c r="BX221" s="684"/>
      <c r="BY221" s="684"/>
    </row>
    <row r="222" spans="1:77">
      <c r="BS222" s="684"/>
      <c r="BT222" s="684"/>
      <c r="BU222" s="684"/>
      <c r="BV222" s="684"/>
      <c r="BW222" s="684"/>
      <c r="BX222" s="684"/>
      <c r="BY222" s="684"/>
    </row>
    <row r="223" spans="1:77">
      <c r="BS223" s="684"/>
      <c r="BT223" s="684"/>
      <c r="BU223" s="684"/>
      <c r="BV223" s="684"/>
      <c r="BW223" s="845"/>
      <c r="BX223" s="649"/>
      <c r="BY223" s="684"/>
    </row>
  </sheetData>
  <phoneticPr fontId="39" type="noConversion"/>
  <pageMargins left="0.75" right="0.75" top="1" bottom="1" header="0.5" footer="0.5"/>
  <pageSetup scale="47" fitToHeight="3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DB126"/>
  <sheetViews>
    <sheetView zoomScale="85" zoomScaleNormal="85" zoomScaleSheetLayoutView="70" workbookViewId="0">
      <pane xSplit="4" ySplit="5" topLeftCell="I6" activePane="bottomRight" state="frozen"/>
      <selection activeCell="X6" sqref="X6"/>
      <selection pane="topRight" activeCell="X6" sqref="X6"/>
      <selection pane="bottomLeft" activeCell="X6" sqref="X6"/>
      <selection pane="bottomRight" activeCell="I6" sqref="I6"/>
    </sheetView>
  </sheetViews>
  <sheetFormatPr defaultRowHeight="12.75" outlineLevelCol="1"/>
  <cols>
    <col min="1" max="1" width="2.7109375" style="92" customWidth="1"/>
    <col min="2" max="2" width="2.7109375" customWidth="1"/>
    <col min="3" max="3" width="45.7109375" style="1204" customWidth="1"/>
    <col min="4" max="4" width="5.85546875" customWidth="1"/>
    <col min="5" max="8" width="9.7109375" hidden="1" customWidth="1" outlineLevel="1"/>
    <col min="9" max="9" width="9.7109375" customWidth="1" collapsed="1"/>
    <col min="10" max="13" width="9.7109375" hidden="1" customWidth="1" outlineLevel="1"/>
    <col min="14" max="14" width="9.7109375" customWidth="1" collapsed="1"/>
    <col min="15" max="18" width="9.7109375" hidden="1" customWidth="1" outlineLevel="1"/>
    <col min="19" max="19" width="9.7109375" customWidth="1" collapsed="1"/>
    <col min="20" max="23" width="9.7109375" hidden="1" customWidth="1" outlineLevel="1"/>
    <col min="24" max="24" width="9.7109375" customWidth="1" collapsed="1"/>
    <col min="25" max="28" width="9.7109375" hidden="1" customWidth="1" outlineLevel="1"/>
    <col min="29" max="29" width="9.7109375" customWidth="1" collapsed="1"/>
    <col min="30" max="33" width="9.7109375" hidden="1" customWidth="1" outlineLevel="1"/>
    <col min="34" max="34" width="9.7109375" customWidth="1" collapsed="1"/>
    <col min="35" max="38" width="9.7109375" hidden="1" customWidth="1" outlineLevel="1"/>
    <col min="39" max="39" width="9.7109375" customWidth="1" collapsed="1"/>
    <col min="40" max="43" width="9.7109375" hidden="1" customWidth="1" outlineLevel="1"/>
    <col min="44" max="44" width="9.7109375" customWidth="1" collapsed="1"/>
    <col min="45" max="48" width="9.7109375" hidden="1" customWidth="1" outlineLevel="1"/>
    <col min="49" max="49" width="9.7109375" customWidth="1" collapsed="1"/>
    <col min="50" max="53" width="9.7109375" hidden="1" customWidth="1" outlineLevel="1"/>
    <col min="54" max="54" width="9.7109375" customWidth="1" collapsed="1"/>
    <col min="55" max="58" width="9.7109375" hidden="1" customWidth="1" outlineLevel="1"/>
    <col min="59" max="59" width="9.7109375" customWidth="1" collapsed="1"/>
    <col min="60" max="63" width="9.7109375" hidden="1" customWidth="1" outlineLevel="1"/>
    <col min="64" max="64" width="9.7109375" customWidth="1" collapsed="1"/>
    <col min="65" max="68" width="9.7109375" hidden="1" customWidth="1" outlineLevel="1"/>
    <col min="69" max="69" width="9.7109375" customWidth="1" collapsed="1"/>
    <col min="73" max="73" width="28.7109375" customWidth="1"/>
    <col min="74" max="74" width="9.7109375" customWidth="1"/>
    <col min="75" max="75" width="10.5703125" customWidth="1"/>
    <col min="76" max="76" width="10.85546875" customWidth="1"/>
    <col min="77" max="77" width="11" customWidth="1"/>
  </cols>
  <sheetData>
    <row r="1" spans="1:82" ht="18">
      <c r="A1" s="204"/>
      <c r="B1" s="204"/>
      <c r="C1" s="1180"/>
      <c r="D1" s="204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6"/>
      <c r="BI1" s="206"/>
      <c r="BJ1" s="206"/>
      <c r="BK1" s="206"/>
      <c r="BL1" s="206"/>
      <c r="BM1" s="206"/>
      <c r="BN1" s="206"/>
      <c r="BO1" s="206"/>
      <c r="BP1" s="206"/>
      <c r="BQ1" s="206"/>
    </row>
    <row r="2" spans="1:82" ht="18">
      <c r="A2" s="204"/>
      <c r="B2" s="204" t="s">
        <v>344</v>
      </c>
      <c r="C2" s="1180"/>
      <c r="D2" s="204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I2" s="206"/>
      <c r="BJ2" s="206"/>
      <c r="BK2" s="206"/>
      <c r="BL2" s="206"/>
      <c r="BM2" s="206"/>
      <c r="BN2" s="206"/>
      <c r="BO2" s="206"/>
      <c r="BP2" s="206"/>
      <c r="BQ2" s="206"/>
    </row>
    <row r="3" spans="1:82" ht="15.75">
      <c r="A3" s="205"/>
      <c r="B3" s="224" t="s">
        <v>339</v>
      </c>
      <c r="C3" s="1181"/>
      <c r="D3" s="205"/>
      <c r="E3" s="206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1154"/>
      <c r="U3" s="1154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206"/>
      <c r="BD3" s="206"/>
      <c r="BE3" s="206"/>
      <c r="BF3" s="206"/>
      <c r="BG3" s="206"/>
      <c r="BH3" s="206"/>
      <c r="BI3" s="206"/>
      <c r="BJ3" s="206"/>
      <c r="BK3" s="206"/>
      <c r="BL3" s="206"/>
      <c r="BM3" s="206"/>
      <c r="BN3" s="206"/>
      <c r="BO3" s="206"/>
      <c r="BP3" s="206"/>
      <c r="BQ3" s="206"/>
    </row>
    <row r="4" spans="1:82">
      <c r="A4" s="207"/>
      <c r="B4" s="7" t="s">
        <v>3</v>
      </c>
      <c r="C4" s="1182"/>
      <c r="D4" s="207"/>
      <c r="E4" s="225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1154"/>
      <c r="U4" s="1154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25"/>
      <c r="AJ4" s="225"/>
      <c r="AK4" s="225"/>
      <c r="AL4" s="225"/>
      <c r="AM4" s="225"/>
      <c r="AN4" s="225"/>
      <c r="AO4" s="225"/>
      <c r="AP4" s="225"/>
      <c r="AQ4" s="225"/>
      <c r="AR4" s="225"/>
      <c r="AS4" s="225"/>
      <c r="AT4" s="225"/>
      <c r="AU4" s="225"/>
      <c r="AV4" s="225"/>
      <c r="AW4" s="225"/>
      <c r="AX4" s="225"/>
      <c r="AY4" s="225"/>
      <c r="AZ4" s="225"/>
      <c r="BA4" s="225"/>
      <c r="BB4" s="225"/>
      <c r="BC4" s="225"/>
      <c r="BD4" s="225"/>
      <c r="BE4" s="225"/>
      <c r="BF4" s="225"/>
      <c r="BG4" s="225"/>
      <c r="BH4" s="225"/>
      <c r="BI4" s="225"/>
      <c r="BJ4" s="225"/>
      <c r="BK4" s="225"/>
      <c r="BL4" s="225"/>
      <c r="BM4" s="225"/>
      <c r="BN4" s="225"/>
      <c r="BO4" s="225"/>
      <c r="BP4" s="225"/>
      <c r="BQ4" s="225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4"/>
      <c r="CC4" s="94"/>
      <c r="CD4" s="94"/>
    </row>
    <row r="5" spans="1:82" s="91" customFormat="1">
      <c r="A5" s="247"/>
      <c r="B5" s="64" t="s">
        <v>22</v>
      </c>
      <c r="C5" s="1183"/>
      <c r="D5" s="248"/>
      <c r="E5" s="332" t="s">
        <v>165</v>
      </c>
      <c r="F5" s="333" t="s">
        <v>166</v>
      </c>
      <c r="G5" s="333" t="s">
        <v>170</v>
      </c>
      <c r="H5" s="334" t="s">
        <v>171</v>
      </c>
      <c r="I5" s="335" t="s">
        <v>275</v>
      </c>
      <c r="J5" s="332" t="s">
        <v>172</v>
      </c>
      <c r="K5" s="333" t="s">
        <v>173</v>
      </c>
      <c r="L5" s="333" t="s">
        <v>177</v>
      </c>
      <c r="M5" s="334" t="s">
        <v>178</v>
      </c>
      <c r="N5" s="335" t="s">
        <v>4</v>
      </c>
      <c r="O5" s="332" t="s">
        <v>181</v>
      </c>
      <c r="P5" s="333" t="s">
        <v>182</v>
      </c>
      <c r="Q5" s="333" t="s">
        <v>771</v>
      </c>
      <c r="R5" s="334" t="s">
        <v>218</v>
      </c>
      <c r="S5" s="335" t="s">
        <v>772</v>
      </c>
      <c r="T5" s="71" t="s">
        <v>475</v>
      </c>
      <c r="U5" s="72" t="s">
        <v>929</v>
      </c>
      <c r="V5" s="72" t="s">
        <v>742</v>
      </c>
      <c r="W5" s="73" t="s">
        <v>767</v>
      </c>
      <c r="X5" s="70" t="s">
        <v>768</v>
      </c>
      <c r="Y5" s="66" t="s">
        <v>769</v>
      </c>
      <c r="Z5" s="67" t="s">
        <v>76</v>
      </c>
      <c r="AA5" s="67" t="s">
        <v>77</v>
      </c>
      <c r="AB5" s="68" t="s">
        <v>670</v>
      </c>
      <c r="AC5" s="70" t="s">
        <v>669</v>
      </c>
      <c r="AD5" s="66" t="s">
        <v>90</v>
      </c>
      <c r="AE5" s="67" t="s">
        <v>91</v>
      </c>
      <c r="AF5" s="67" t="s">
        <v>92</v>
      </c>
      <c r="AG5" s="68" t="s">
        <v>960</v>
      </c>
      <c r="AH5" s="70" t="s">
        <v>964</v>
      </c>
      <c r="AI5" s="66" t="s">
        <v>962</v>
      </c>
      <c r="AJ5" s="67" t="s">
        <v>963</v>
      </c>
      <c r="AK5" s="67" t="s">
        <v>1005</v>
      </c>
      <c r="AL5" s="68" t="s">
        <v>1009</v>
      </c>
      <c r="AM5" s="85" t="s">
        <v>1011</v>
      </c>
      <c r="AN5" s="868" t="s">
        <v>1060</v>
      </c>
      <c r="AO5" s="72" t="s">
        <v>1062</v>
      </c>
      <c r="AP5" s="72" t="s">
        <v>1134</v>
      </c>
      <c r="AQ5" s="73" t="s">
        <v>1157</v>
      </c>
      <c r="AR5" s="85" t="s">
        <v>1158</v>
      </c>
      <c r="AS5" s="71" t="s">
        <v>1187</v>
      </c>
      <c r="AT5" s="72" t="s">
        <v>1200</v>
      </c>
      <c r="AU5" s="72" t="s">
        <v>1207</v>
      </c>
      <c r="AV5" s="73" t="s">
        <v>1218</v>
      </c>
      <c r="AW5" s="85" t="s">
        <v>1220</v>
      </c>
      <c r="AX5" s="71" t="s">
        <v>130</v>
      </c>
      <c r="AY5" s="72" t="s">
        <v>131</v>
      </c>
      <c r="AZ5" s="72" t="s">
        <v>132</v>
      </c>
      <c r="BA5" s="73" t="s">
        <v>133</v>
      </c>
      <c r="BB5" s="85" t="s">
        <v>138</v>
      </c>
      <c r="BC5" s="71" t="s">
        <v>971</v>
      </c>
      <c r="BD5" s="72" t="s">
        <v>972</v>
      </c>
      <c r="BE5" s="72" t="s">
        <v>973</v>
      </c>
      <c r="BF5" s="73" t="s">
        <v>974</v>
      </c>
      <c r="BG5" s="85" t="s">
        <v>969</v>
      </c>
      <c r="BH5" s="71" t="s">
        <v>975</v>
      </c>
      <c r="BI5" s="72" t="s">
        <v>976</v>
      </c>
      <c r="BJ5" s="72" t="s">
        <v>977</v>
      </c>
      <c r="BK5" s="73" t="s">
        <v>978</v>
      </c>
      <c r="BL5" s="85" t="s">
        <v>970</v>
      </c>
      <c r="BM5" s="71" t="s">
        <v>1137</v>
      </c>
      <c r="BN5" s="72" t="s">
        <v>1138</v>
      </c>
      <c r="BO5" s="72" t="s">
        <v>1139</v>
      </c>
      <c r="BP5" s="73" t="s">
        <v>1140</v>
      </c>
      <c r="BQ5" s="85" t="s">
        <v>1135</v>
      </c>
      <c r="BR5" s="94"/>
      <c r="BS5" s="94"/>
      <c r="BT5" s="94"/>
      <c r="BU5" s="94"/>
      <c r="BV5" s="94"/>
      <c r="BW5" s="94"/>
      <c r="BX5" s="94"/>
      <c r="BY5" s="94"/>
      <c r="BZ5" s="94"/>
      <c r="CA5" s="94"/>
      <c r="CB5" s="87"/>
      <c r="CC5" s="87"/>
      <c r="CD5" s="87"/>
    </row>
    <row r="6" spans="1:82">
      <c r="A6" s="89"/>
      <c r="B6" s="89"/>
      <c r="C6" s="1184"/>
      <c r="D6" s="1155"/>
      <c r="E6" s="228"/>
      <c r="F6" s="229"/>
      <c r="G6" s="229"/>
      <c r="H6" s="230"/>
      <c r="I6" s="89"/>
      <c r="J6" s="228"/>
      <c r="K6" s="229"/>
      <c r="L6" s="229"/>
      <c r="M6" s="230"/>
      <c r="N6" s="89"/>
      <c r="O6" s="228"/>
      <c r="P6" s="229"/>
      <c r="Q6" s="229"/>
      <c r="R6" s="230"/>
      <c r="S6" s="89"/>
      <c r="T6" s="228"/>
      <c r="U6" s="229"/>
      <c r="V6" s="229"/>
      <c r="W6" s="230"/>
      <c r="X6" s="89"/>
      <c r="Y6" s="228"/>
      <c r="Z6" s="229"/>
      <c r="AA6" s="229"/>
      <c r="AB6" s="230"/>
      <c r="AC6" s="89"/>
      <c r="AD6" s="228"/>
      <c r="AE6" s="229"/>
      <c r="AF6" s="229"/>
      <c r="AG6" s="230"/>
      <c r="AH6" s="89"/>
      <c r="AI6" s="228"/>
      <c r="AJ6" s="229"/>
      <c r="AK6" s="229"/>
      <c r="AL6" s="230"/>
      <c r="AM6" s="89"/>
      <c r="AN6" s="228"/>
      <c r="AO6" s="229"/>
      <c r="AP6" s="229"/>
      <c r="AQ6" s="230"/>
      <c r="AR6" s="89"/>
      <c r="AS6" s="228"/>
      <c r="AT6" s="229"/>
      <c r="AU6" s="229"/>
      <c r="AV6" s="230"/>
      <c r="AW6" s="89"/>
      <c r="AX6" s="228"/>
      <c r="AY6" s="229"/>
      <c r="AZ6" s="229"/>
      <c r="BA6" s="230"/>
      <c r="BB6" s="89"/>
      <c r="BC6" s="228"/>
      <c r="BD6" s="229"/>
      <c r="BE6" s="229"/>
      <c r="BF6" s="230"/>
      <c r="BG6" s="89"/>
      <c r="BH6" s="228"/>
      <c r="BI6" s="229"/>
      <c r="BJ6" s="229"/>
      <c r="BK6" s="230"/>
      <c r="BL6" s="89"/>
      <c r="BM6" s="228"/>
      <c r="BN6" s="229"/>
      <c r="BO6" s="229"/>
      <c r="BP6" s="230"/>
      <c r="BQ6" s="89"/>
      <c r="BR6" s="89"/>
      <c r="BS6" s="89"/>
      <c r="BT6" s="89"/>
      <c r="BU6" s="94"/>
      <c r="BV6" s="94"/>
      <c r="BW6" s="94"/>
      <c r="BX6" s="94"/>
      <c r="BY6" s="94"/>
      <c r="BZ6" s="94"/>
      <c r="CA6" s="94"/>
      <c r="CB6" s="94"/>
      <c r="CC6" s="94"/>
      <c r="CD6" s="94"/>
    </row>
    <row r="7" spans="1:82" ht="12.75" customHeight="1">
      <c r="A7" s="89"/>
      <c r="B7" s="126" t="s">
        <v>185</v>
      </c>
      <c r="C7" s="1185"/>
      <c r="D7" s="127"/>
      <c r="E7" s="152"/>
      <c r="F7" s="153"/>
      <c r="G7" s="153"/>
      <c r="H7" s="154"/>
      <c r="I7" s="89"/>
      <c r="J7" s="152"/>
      <c r="K7" s="153"/>
      <c r="L7" s="153"/>
      <c r="M7" s="154"/>
      <c r="N7" s="89"/>
      <c r="O7" s="152"/>
      <c r="P7" s="153"/>
      <c r="Q7" s="236"/>
      <c r="R7" s="154"/>
      <c r="S7" s="89"/>
      <c r="T7" s="152"/>
      <c r="U7" s="153"/>
      <c r="V7" s="153"/>
      <c r="W7" s="154"/>
      <c r="X7" s="89"/>
      <c r="Y7" s="152"/>
      <c r="Z7" s="153"/>
      <c r="AA7" s="153"/>
      <c r="AB7" s="154"/>
      <c r="AC7" s="89"/>
      <c r="AD7" s="152"/>
      <c r="AE7" s="153"/>
      <c r="AF7" s="153"/>
      <c r="AG7" s="154"/>
      <c r="AH7" s="89"/>
      <c r="AI7" s="152"/>
      <c r="AJ7" s="153"/>
      <c r="AK7" s="153"/>
      <c r="AL7" s="154"/>
      <c r="AM7" s="89"/>
      <c r="AN7" s="152"/>
      <c r="AO7" s="153"/>
      <c r="AP7" s="153"/>
      <c r="AQ7" s="154"/>
      <c r="AR7" s="89"/>
      <c r="AS7" s="152"/>
      <c r="AT7" s="153"/>
      <c r="AU7" s="153"/>
      <c r="AV7" s="154"/>
      <c r="AW7" s="89"/>
      <c r="AX7" s="152"/>
      <c r="AY7" s="153"/>
      <c r="AZ7" s="153"/>
      <c r="BA7" s="154"/>
      <c r="BB7" s="89"/>
      <c r="BC7" s="152"/>
      <c r="BD7" s="153"/>
      <c r="BE7" s="153"/>
      <c r="BF7" s="154"/>
      <c r="BG7" s="89"/>
      <c r="BH7" s="152"/>
      <c r="BI7" s="153"/>
      <c r="BJ7" s="153"/>
      <c r="BK7" s="154"/>
      <c r="BL7" s="89"/>
      <c r="BM7" s="152"/>
      <c r="BN7" s="153"/>
      <c r="BO7" s="153"/>
      <c r="BP7" s="154"/>
      <c r="BQ7" s="89"/>
      <c r="BR7" s="92"/>
      <c r="BS7" s="92"/>
      <c r="BT7" s="92"/>
    </row>
    <row r="8" spans="1:82" s="60" customFormat="1">
      <c r="A8" s="308"/>
      <c r="B8" s="308"/>
      <c r="C8" s="1186" t="s">
        <v>186</v>
      </c>
      <c r="E8" s="305"/>
      <c r="F8" s="306"/>
      <c r="G8" s="306"/>
      <c r="H8" s="307"/>
      <c r="I8" s="477">
        <v>223</v>
      </c>
      <c r="J8" s="478">
        <v>57</v>
      </c>
      <c r="K8" s="479">
        <v>59</v>
      </c>
      <c r="L8" s="479">
        <v>73</v>
      </c>
      <c r="M8" s="307">
        <f>+N8-L8-K8-J8</f>
        <v>53</v>
      </c>
      <c r="N8" s="722">
        <v>242</v>
      </c>
      <c r="O8" s="478">
        <f>295-P8</f>
        <v>113</v>
      </c>
      <c r="P8" s="479">
        <v>182</v>
      </c>
      <c r="Q8" s="479">
        <v>181</v>
      </c>
      <c r="R8" s="307">
        <f>+S8-Q8-P8-O8</f>
        <v>184</v>
      </c>
      <c r="S8" s="722">
        <v>660</v>
      </c>
      <c r="T8" s="478">
        <v>186</v>
      </c>
      <c r="U8" s="479">
        <v>184</v>
      </c>
      <c r="V8" s="479">
        <v>187</v>
      </c>
      <c r="W8" s="307">
        <f>+X8-V8-U8-T8</f>
        <v>183</v>
      </c>
      <c r="X8" s="722">
        <v>740</v>
      </c>
      <c r="Y8" s="478">
        <v>176</v>
      </c>
      <c r="Z8" s="479">
        <v>180</v>
      </c>
      <c r="AA8" s="479">
        <v>190</v>
      </c>
      <c r="AB8" s="307">
        <f>+AC8-AA8-Z8-Y8</f>
        <v>195</v>
      </c>
      <c r="AC8" s="722">
        <v>741</v>
      </c>
      <c r="AD8" s="478">
        <v>187</v>
      </c>
      <c r="AE8" s="479">
        <v>191</v>
      </c>
      <c r="AF8" s="479">
        <v>197</v>
      </c>
      <c r="AG8" s="307">
        <f>+AH8-AF8-AE8-AD8</f>
        <v>194</v>
      </c>
      <c r="AH8" s="722">
        <v>769</v>
      </c>
      <c r="AI8" s="478">
        <v>238</v>
      </c>
      <c r="AJ8" s="479">
        <v>269</v>
      </c>
      <c r="AK8" s="479">
        <v>248</v>
      </c>
      <c r="AL8" s="307">
        <f>+AM8-AK8-AJ8-AI8</f>
        <v>256</v>
      </c>
      <c r="AM8" s="722">
        <v>1011</v>
      </c>
      <c r="AN8" s="478">
        <v>275</v>
      </c>
      <c r="AO8" s="479">
        <v>264</v>
      </c>
      <c r="AP8" s="479">
        <v>285</v>
      </c>
      <c r="AQ8" s="307">
        <f>+AR8-AP8-AO8-AN8</f>
        <v>327</v>
      </c>
      <c r="AR8" s="722">
        <v>1151</v>
      </c>
      <c r="AS8" s="478">
        <v>313</v>
      </c>
      <c r="AT8" s="479">
        <v>327</v>
      </c>
      <c r="AU8" s="479">
        <v>342</v>
      </c>
      <c r="AV8" s="307">
        <f>+AW8-AU8-AT8-AS8</f>
        <v>343</v>
      </c>
      <c r="AW8" s="722">
        <v>1325</v>
      </c>
      <c r="AX8" s="305">
        <f>AS8*(1+AX51)+SUM(AX48:AX49)</f>
        <v>313.57008077950877</v>
      </c>
      <c r="AY8" s="306">
        <f t="shared" ref="AY8:BA8" si="0">AT8*(1+AY51)+SUM(AY48:AY49)</f>
        <v>326.78028616867044</v>
      </c>
      <c r="AZ8" s="306">
        <f t="shared" si="0"/>
        <v>341.47850148523531</v>
      </c>
      <c r="BA8" s="307">
        <f t="shared" si="0"/>
        <v>341.66418618866271</v>
      </c>
      <c r="BB8" s="308">
        <f>SUM(AX8:BA8)</f>
        <v>1323.4930546220771</v>
      </c>
      <c r="BC8" s="305">
        <f>AX8*(1+BC51)+SUM(BC48:BC49)</f>
        <v>339.84845915788713</v>
      </c>
      <c r="BD8" s="306">
        <f t="shared" ref="BD8" si="1">AY8*(1+BD51)+SUM(BD48:BD49)</f>
        <v>353.05866454704881</v>
      </c>
      <c r="BE8" s="306">
        <f t="shared" ref="BE8" si="2">AZ8*(1+BE51)+SUM(BE48:BE49)</f>
        <v>367.75687986361368</v>
      </c>
      <c r="BF8" s="307">
        <f t="shared" ref="BF8" si="3">BA8*(1+BF51)+SUM(BF48:BF49)</f>
        <v>367.94256456704107</v>
      </c>
      <c r="BG8" s="308">
        <f>SUM(BC8:BF8)</f>
        <v>1428.6065681355906</v>
      </c>
      <c r="BH8" s="305">
        <f>BC8*(1+BH51)+SUM(BH48:BH49)</f>
        <v>368.00386456329255</v>
      </c>
      <c r="BI8" s="306">
        <f t="shared" ref="BI8" si="4">BD8*(1+BI51)+SUM(BI48:BI49)</f>
        <v>381.21406995245422</v>
      </c>
      <c r="BJ8" s="306">
        <f t="shared" ref="BJ8" si="5">BE8*(1+BJ51)+SUM(BJ48:BJ49)</f>
        <v>395.91228526901909</v>
      </c>
      <c r="BK8" s="307">
        <f t="shared" ref="BK8" si="6">BF8*(1+BK51)+SUM(BK48:BK49)</f>
        <v>396.09796997244649</v>
      </c>
      <c r="BL8" s="308">
        <f>SUM(BH8:BK8)</f>
        <v>1541.2281897572122</v>
      </c>
      <c r="BM8" s="305">
        <f>BH8*(1+BM51)+SUM(BM48:BM49)</f>
        <v>395.69001321194122</v>
      </c>
      <c r="BN8" s="306">
        <f t="shared" ref="BN8" si="7">BI8*(1+BN51)+SUM(BN48:BN49)</f>
        <v>408.90021860110289</v>
      </c>
      <c r="BO8" s="306">
        <f t="shared" ref="BO8" si="8">BJ8*(1+BO51)+SUM(BO48:BO49)</f>
        <v>423.59843391766776</v>
      </c>
      <c r="BP8" s="307">
        <f t="shared" ref="BP8" si="9">BK8*(1+BP51)+SUM(BP48:BP49)</f>
        <v>423.78411862109516</v>
      </c>
      <c r="BQ8" s="308">
        <f>SUM(BM8:BP8)</f>
        <v>1651.9727843518069</v>
      </c>
      <c r="BR8" s="490"/>
      <c r="BS8" s="490"/>
      <c r="BT8" s="490"/>
    </row>
    <row r="9" spans="1:82" s="81" customFormat="1">
      <c r="A9" s="315"/>
      <c r="B9" s="315"/>
      <c r="C9" s="1184"/>
      <c r="E9" s="316"/>
      <c r="F9" s="312"/>
      <c r="G9" s="312"/>
      <c r="H9" s="317"/>
      <c r="I9" s="315"/>
      <c r="J9" s="316"/>
      <c r="K9" s="312"/>
      <c r="L9" s="312"/>
      <c r="M9" s="317"/>
      <c r="N9" s="315"/>
      <c r="O9" s="316"/>
      <c r="P9" s="312"/>
      <c r="Q9" s="312"/>
      <c r="R9" s="317"/>
      <c r="S9" s="315"/>
      <c r="T9" s="316"/>
      <c r="U9" s="312"/>
      <c r="V9" s="312"/>
      <c r="W9" s="317"/>
      <c r="X9" s="315"/>
      <c r="Y9" s="316"/>
      <c r="Z9" s="312"/>
      <c r="AA9" s="312"/>
      <c r="AB9" s="317"/>
      <c r="AC9" s="315"/>
      <c r="AD9" s="316"/>
      <c r="AE9" s="312"/>
      <c r="AF9" s="312"/>
      <c r="AG9" s="317"/>
      <c r="AH9" s="315"/>
      <c r="AI9" s="316"/>
      <c r="AJ9" s="312"/>
      <c r="AK9" s="312"/>
      <c r="AL9" s="317"/>
      <c r="AM9" s="315"/>
      <c r="AN9" s="316"/>
      <c r="AO9" s="312"/>
      <c r="AP9" s="312"/>
      <c r="AQ9" s="317"/>
      <c r="AR9" s="315"/>
      <c r="AS9" s="316"/>
      <c r="AT9" s="312"/>
      <c r="AU9" s="312"/>
      <c r="AV9" s="317"/>
      <c r="AW9" s="315"/>
      <c r="AX9" s="316"/>
      <c r="AY9" s="312"/>
      <c r="AZ9" s="312"/>
      <c r="BA9" s="317"/>
      <c r="BB9" s="315"/>
      <c r="BC9" s="316"/>
      <c r="BD9" s="312"/>
      <c r="BE9" s="312"/>
      <c r="BF9" s="317"/>
      <c r="BG9" s="315"/>
      <c r="BH9" s="316"/>
      <c r="BI9" s="312"/>
      <c r="BJ9" s="312"/>
      <c r="BK9" s="317"/>
      <c r="BL9" s="315"/>
      <c r="BM9" s="316"/>
      <c r="BN9" s="312"/>
      <c r="BO9" s="312"/>
      <c r="BP9" s="317"/>
      <c r="BQ9" s="315"/>
      <c r="BR9" s="221"/>
      <c r="BS9" s="221"/>
      <c r="BT9" s="221"/>
    </row>
    <row r="10" spans="1:82" s="81" customFormat="1">
      <c r="A10" s="315"/>
      <c r="B10" s="315"/>
      <c r="C10" s="1184" t="s">
        <v>254</v>
      </c>
      <c r="E10" s="288"/>
      <c r="F10" s="289"/>
      <c r="G10" s="289"/>
      <c r="H10" s="290"/>
      <c r="I10" s="291">
        <v>56</v>
      </c>
      <c r="J10" s="288">
        <v>14</v>
      </c>
      <c r="K10" s="289">
        <v>16</v>
      </c>
      <c r="L10" s="289">
        <v>15</v>
      </c>
      <c r="M10" s="290">
        <f>+N10-L10-K10-J10</f>
        <v>16</v>
      </c>
      <c r="N10" s="291">
        <v>61</v>
      </c>
      <c r="O10" s="288">
        <f>58-P10</f>
        <v>28</v>
      </c>
      <c r="P10" s="289">
        <v>30</v>
      </c>
      <c r="Q10" s="289">
        <v>28</v>
      </c>
      <c r="R10" s="290">
        <f>+S10-Q10-P10-O10</f>
        <v>27</v>
      </c>
      <c r="S10" s="291">
        <v>113</v>
      </c>
      <c r="T10" s="288">
        <v>27</v>
      </c>
      <c r="U10" s="289">
        <v>41</v>
      </c>
      <c r="V10" s="289">
        <v>31</v>
      </c>
      <c r="W10" s="290">
        <f>+X10-V10-U10-T10</f>
        <v>33</v>
      </c>
      <c r="X10" s="291">
        <v>132</v>
      </c>
      <c r="Y10" s="288">
        <v>30</v>
      </c>
      <c r="Z10" s="302">
        <v>33</v>
      </c>
      <c r="AA10" s="302">
        <v>35</v>
      </c>
      <c r="AB10" s="290">
        <f>+AC10-AA10-Z10-Y10</f>
        <v>33</v>
      </c>
      <c r="AC10" s="291">
        <v>131</v>
      </c>
      <c r="AD10" s="288">
        <v>34</v>
      </c>
      <c r="AE10" s="302">
        <v>31</v>
      </c>
      <c r="AF10" s="302">
        <v>38</v>
      </c>
      <c r="AG10" s="290">
        <f>+AH10-AF10-AE10-AD10</f>
        <v>36</v>
      </c>
      <c r="AH10" s="291">
        <v>139</v>
      </c>
      <c r="AI10" s="288">
        <v>35</v>
      </c>
      <c r="AJ10" s="302">
        <v>35</v>
      </c>
      <c r="AK10" s="302">
        <v>42</v>
      </c>
      <c r="AL10" s="290">
        <f>+AM10-AK10-AJ10-AI10</f>
        <v>42</v>
      </c>
      <c r="AM10" s="291">
        <v>154</v>
      </c>
      <c r="AN10" s="288">
        <v>36</v>
      </c>
      <c r="AO10" s="302">
        <v>36</v>
      </c>
      <c r="AP10" s="302">
        <v>46</v>
      </c>
      <c r="AQ10" s="290">
        <f>+AR10-AP10-AO10-AN10</f>
        <v>43</v>
      </c>
      <c r="AR10" s="291">
        <v>161</v>
      </c>
      <c r="AS10" s="288">
        <v>45</v>
      </c>
      <c r="AT10" s="302">
        <v>50</v>
      </c>
      <c r="AU10" s="302">
        <v>55</v>
      </c>
      <c r="AV10" s="290">
        <f>+AW10-AU10-AT10-AS10</f>
        <v>53</v>
      </c>
      <c r="AW10" s="291">
        <v>203</v>
      </c>
      <c r="AX10" s="316">
        <f>AX63</f>
        <v>45.45</v>
      </c>
      <c r="AY10" s="312">
        <f>AY63</f>
        <v>50.5</v>
      </c>
      <c r="AZ10" s="312">
        <f>AZ63</f>
        <v>55.55</v>
      </c>
      <c r="BA10" s="317">
        <f>BA63</f>
        <v>53.53</v>
      </c>
      <c r="BB10" s="315">
        <f>SUM(AX10:BA10)</f>
        <v>205.03</v>
      </c>
      <c r="BC10" s="316">
        <f>BC63</f>
        <v>45.904500000000006</v>
      </c>
      <c r="BD10" s="312">
        <f>BD63</f>
        <v>51.005000000000003</v>
      </c>
      <c r="BE10" s="312">
        <f>BE63</f>
        <v>56.105499999999999</v>
      </c>
      <c r="BF10" s="317">
        <f>BF63</f>
        <v>54.065300000000001</v>
      </c>
      <c r="BG10" s="315">
        <f>SUM(BC10:BF10)</f>
        <v>207.08030000000002</v>
      </c>
      <c r="BH10" s="316">
        <f>BH63</f>
        <v>46.363545000000009</v>
      </c>
      <c r="BI10" s="312">
        <f>BI63</f>
        <v>51.515050000000002</v>
      </c>
      <c r="BJ10" s="312">
        <f>BJ63</f>
        <v>56.666555000000002</v>
      </c>
      <c r="BK10" s="317">
        <f>BK63</f>
        <v>54.605953</v>
      </c>
      <c r="BL10" s="315">
        <f>SUM(BH10:BK10)</f>
        <v>209.15110300000003</v>
      </c>
      <c r="BM10" s="316">
        <f>BM63</f>
        <v>46.827180450000007</v>
      </c>
      <c r="BN10" s="312">
        <f>BN63</f>
        <v>52.030200499999999</v>
      </c>
      <c r="BO10" s="312">
        <f>BO63</f>
        <v>57.233220550000006</v>
      </c>
      <c r="BP10" s="317">
        <f>BP63</f>
        <v>55.15201253</v>
      </c>
      <c r="BQ10" s="315">
        <f>SUM(BM10:BP10)</f>
        <v>211.24261403000003</v>
      </c>
      <c r="BR10" s="221"/>
      <c r="BS10" s="221"/>
      <c r="BT10" s="221"/>
    </row>
    <row r="11" spans="1:82" s="81" customFormat="1">
      <c r="A11" s="315"/>
      <c r="B11" s="315"/>
      <c r="C11" s="1184" t="s">
        <v>873</v>
      </c>
      <c r="E11" s="288"/>
      <c r="F11" s="289"/>
      <c r="G11" s="289"/>
      <c r="H11" s="290"/>
      <c r="I11" s="291">
        <v>37</v>
      </c>
      <c r="J11" s="288">
        <v>9</v>
      </c>
      <c r="K11" s="289">
        <v>10</v>
      </c>
      <c r="L11" s="289">
        <v>9</v>
      </c>
      <c r="M11" s="290">
        <f>+N11-L11-K11-J11</f>
        <v>9</v>
      </c>
      <c r="N11" s="291">
        <v>37</v>
      </c>
      <c r="O11" s="288">
        <f>45-P11</f>
        <v>19</v>
      </c>
      <c r="P11" s="289">
        <v>26</v>
      </c>
      <c r="Q11" s="289">
        <v>29</v>
      </c>
      <c r="R11" s="290">
        <f>+S11-Q11-P11-O11</f>
        <v>30</v>
      </c>
      <c r="S11" s="291">
        <v>104</v>
      </c>
      <c r="T11" s="288">
        <v>30</v>
      </c>
      <c r="U11" s="289">
        <v>31</v>
      </c>
      <c r="V11" s="289">
        <v>27</v>
      </c>
      <c r="W11" s="290">
        <f>+X11-V11-U11-T11</f>
        <v>30</v>
      </c>
      <c r="X11" s="291">
        <v>118</v>
      </c>
      <c r="Y11" s="288">
        <v>28</v>
      </c>
      <c r="Z11" s="302">
        <v>28</v>
      </c>
      <c r="AA11" s="302">
        <v>28</v>
      </c>
      <c r="AB11" s="290">
        <f>+AC11-AA11-Z11-Y11</f>
        <v>30</v>
      </c>
      <c r="AC11" s="291">
        <v>114</v>
      </c>
      <c r="AD11" s="288">
        <v>30</v>
      </c>
      <c r="AE11" s="302">
        <v>30</v>
      </c>
      <c r="AF11" s="302">
        <v>33</v>
      </c>
      <c r="AG11" s="290">
        <f>+AH11-AF11-AE11-AD11</f>
        <v>34</v>
      </c>
      <c r="AH11" s="291">
        <v>127</v>
      </c>
      <c r="AI11" s="288">
        <v>37</v>
      </c>
      <c r="AJ11" s="302">
        <v>38</v>
      </c>
      <c r="AK11" s="302">
        <v>41</v>
      </c>
      <c r="AL11" s="290">
        <f>+AM11-AK11-AJ11-AI11</f>
        <v>40</v>
      </c>
      <c r="AM11" s="291">
        <v>156</v>
      </c>
      <c r="AN11" s="288">
        <v>43</v>
      </c>
      <c r="AO11" s="302">
        <v>44</v>
      </c>
      <c r="AP11" s="302">
        <v>45</v>
      </c>
      <c r="AQ11" s="290">
        <f>+AR11-AP11-AO11-AN11</f>
        <v>55</v>
      </c>
      <c r="AR11" s="291">
        <v>187</v>
      </c>
      <c r="AS11" s="288">
        <v>51</v>
      </c>
      <c r="AT11" s="302">
        <v>54</v>
      </c>
      <c r="AU11" s="302">
        <v>59</v>
      </c>
      <c r="AV11" s="290">
        <f>+AW11-AU11-AT11-AS11</f>
        <v>60</v>
      </c>
      <c r="AW11" s="291">
        <v>224</v>
      </c>
      <c r="AX11" s="316">
        <f>+AX75</f>
        <v>57.764583333333334</v>
      </c>
      <c r="AY11" s="312">
        <f>+AY75</f>
        <v>59.529166666666661</v>
      </c>
      <c r="AZ11" s="312">
        <f>+AZ75</f>
        <v>61.293749999999996</v>
      </c>
      <c r="BA11" s="317">
        <f>+BA75</f>
        <v>63.05833333333333</v>
      </c>
      <c r="BB11" s="315">
        <f>SUM(AX11:BA11)</f>
        <v>241.64583333333331</v>
      </c>
      <c r="BC11" s="316">
        <f>+BC75</f>
        <v>64.822916666666657</v>
      </c>
      <c r="BD11" s="312">
        <f>+BD75</f>
        <v>66.587499999999991</v>
      </c>
      <c r="BE11" s="312">
        <f>+BE75</f>
        <v>68.352083333333326</v>
      </c>
      <c r="BF11" s="317">
        <f>+BF75</f>
        <v>70.11666666666666</v>
      </c>
      <c r="BG11" s="315">
        <f>SUM(BC11:BF11)</f>
        <v>269.87916666666666</v>
      </c>
      <c r="BH11" s="316">
        <f>+BH75</f>
        <v>71.881249999999994</v>
      </c>
      <c r="BI11" s="312">
        <f>+BI75</f>
        <v>73.645833333333329</v>
      </c>
      <c r="BJ11" s="312">
        <f>+BJ75</f>
        <v>75.410416666666663</v>
      </c>
      <c r="BK11" s="317">
        <f>+BK75</f>
        <v>77.174999999999997</v>
      </c>
      <c r="BL11" s="315">
        <f>SUM(BH11:BK11)</f>
        <v>298.11250000000001</v>
      </c>
      <c r="BM11" s="316">
        <f>+BM75</f>
        <v>78.939583333333331</v>
      </c>
      <c r="BN11" s="312">
        <f>+BN75</f>
        <v>80.704166666666666</v>
      </c>
      <c r="BO11" s="312">
        <f>+BO75</f>
        <v>82.46875</v>
      </c>
      <c r="BP11" s="317">
        <f>+BP75</f>
        <v>84.233333333333334</v>
      </c>
      <c r="BQ11" s="315">
        <f>SUM(BM11:BP11)</f>
        <v>326.34583333333336</v>
      </c>
      <c r="BR11" s="221"/>
      <c r="BS11" s="221"/>
      <c r="BT11" s="221"/>
    </row>
    <row r="12" spans="1:82" s="81" customFormat="1">
      <c r="A12" s="315"/>
      <c r="B12" s="315"/>
      <c r="C12" s="1184" t="s">
        <v>250</v>
      </c>
      <c r="E12" s="288"/>
      <c r="F12" s="289"/>
      <c r="G12" s="289"/>
      <c r="H12" s="290"/>
      <c r="I12" s="291">
        <v>13</v>
      </c>
      <c r="J12" s="288">
        <v>3</v>
      </c>
      <c r="K12" s="289">
        <v>3</v>
      </c>
      <c r="L12" s="289">
        <v>0</v>
      </c>
      <c r="M12" s="290">
        <f>+N12-L12-K12-J12</f>
        <v>4</v>
      </c>
      <c r="N12" s="291">
        <v>10</v>
      </c>
      <c r="O12" s="288">
        <f>5-P12</f>
        <v>3</v>
      </c>
      <c r="P12" s="289">
        <v>2</v>
      </c>
      <c r="Q12" s="289">
        <v>2</v>
      </c>
      <c r="R12" s="290">
        <f>+S12-Q12-P12-O12</f>
        <v>-1</v>
      </c>
      <c r="S12" s="291">
        <v>6</v>
      </c>
      <c r="T12" s="288">
        <v>0</v>
      </c>
      <c r="U12" s="289">
        <v>-2</v>
      </c>
      <c r="V12" s="289">
        <v>1</v>
      </c>
      <c r="W12" s="290">
        <f>+X12-V12-U12-T12</f>
        <v>3</v>
      </c>
      <c r="X12" s="291">
        <v>2</v>
      </c>
      <c r="Y12" s="288">
        <v>1</v>
      </c>
      <c r="Z12" s="302">
        <v>3</v>
      </c>
      <c r="AA12" s="302">
        <v>3</v>
      </c>
      <c r="AB12" s="290">
        <f>+AC12-AA12-Z12-Y12</f>
        <v>3</v>
      </c>
      <c r="AC12" s="291">
        <v>10</v>
      </c>
      <c r="AD12" s="288">
        <v>3</v>
      </c>
      <c r="AE12" s="302">
        <v>3</v>
      </c>
      <c r="AF12" s="302">
        <v>3</v>
      </c>
      <c r="AG12" s="290">
        <f>+AH12-AF12-AE12-AD12</f>
        <v>2</v>
      </c>
      <c r="AH12" s="291">
        <v>11</v>
      </c>
      <c r="AI12" s="288">
        <v>3</v>
      </c>
      <c r="AJ12" s="302">
        <v>2</v>
      </c>
      <c r="AK12" s="302">
        <v>0</v>
      </c>
      <c r="AL12" s="290">
        <f>+AM12-AK12-AJ12-AI12</f>
        <v>2</v>
      </c>
      <c r="AM12" s="291">
        <v>7</v>
      </c>
      <c r="AN12" s="288">
        <v>2</v>
      </c>
      <c r="AO12" s="302">
        <v>2</v>
      </c>
      <c r="AP12" s="302">
        <v>0</v>
      </c>
      <c r="AQ12" s="290">
        <f>+AR12-AP12-AO12-AN12</f>
        <v>3</v>
      </c>
      <c r="AR12" s="291">
        <v>7</v>
      </c>
      <c r="AS12" s="288">
        <v>2</v>
      </c>
      <c r="AT12" s="302">
        <v>3</v>
      </c>
      <c r="AU12" s="302">
        <v>6</v>
      </c>
      <c r="AV12" s="290">
        <f>+AW12-AU12-AT12-AS12</f>
        <v>5</v>
      </c>
      <c r="AW12" s="291">
        <v>16</v>
      </c>
      <c r="AX12" s="296">
        <f>+AS12</f>
        <v>2</v>
      </c>
      <c r="AY12" s="297">
        <f>+AT12</f>
        <v>3</v>
      </c>
      <c r="AZ12" s="297">
        <f>+AU12</f>
        <v>6</v>
      </c>
      <c r="BA12" s="290">
        <f>+AV12</f>
        <v>5</v>
      </c>
      <c r="BB12" s="315">
        <f>SUM(AX12:BA12)</f>
        <v>16</v>
      </c>
      <c r="BC12" s="296">
        <f>+AX12</f>
        <v>2</v>
      </c>
      <c r="BD12" s="297">
        <f>+AY12</f>
        <v>3</v>
      </c>
      <c r="BE12" s="297">
        <f>+AZ12</f>
        <v>6</v>
      </c>
      <c r="BF12" s="290">
        <f>+BA12</f>
        <v>5</v>
      </c>
      <c r="BG12" s="315">
        <f>SUM(BC12:BF12)</f>
        <v>16</v>
      </c>
      <c r="BH12" s="296">
        <f>+BC12</f>
        <v>2</v>
      </c>
      <c r="BI12" s="297">
        <f>+BD12</f>
        <v>3</v>
      </c>
      <c r="BJ12" s="297">
        <f>+BE12</f>
        <v>6</v>
      </c>
      <c r="BK12" s="290">
        <f>+BF12</f>
        <v>5</v>
      </c>
      <c r="BL12" s="315">
        <f>SUM(BH12:BK12)</f>
        <v>16</v>
      </c>
      <c r="BM12" s="296">
        <f>+BH12</f>
        <v>2</v>
      </c>
      <c r="BN12" s="297">
        <f>+BI12</f>
        <v>3</v>
      </c>
      <c r="BO12" s="297">
        <f>+BJ12</f>
        <v>6</v>
      </c>
      <c r="BP12" s="290">
        <f>+BK12</f>
        <v>5</v>
      </c>
      <c r="BQ12" s="315">
        <f>SUM(BM12:BP12)</f>
        <v>16</v>
      </c>
      <c r="BR12" s="221"/>
      <c r="BS12" s="221"/>
      <c r="BT12" s="221"/>
    </row>
    <row r="13" spans="1:82" s="81" customFormat="1">
      <c r="A13" s="315"/>
      <c r="B13" s="315"/>
      <c r="C13" s="1184" t="s">
        <v>273</v>
      </c>
      <c r="E13" s="288"/>
      <c r="F13" s="289"/>
      <c r="G13" s="289"/>
      <c r="H13" s="290"/>
      <c r="I13" s="291">
        <v>32</v>
      </c>
      <c r="J13" s="288">
        <v>7</v>
      </c>
      <c r="K13" s="289">
        <v>7</v>
      </c>
      <c r="L13" s="289">
        <v>8</v>
      </c>
      <c r="M13" s="290">
        <f>+N13-L13-K13-J13</f>
        <v>8</v>
      </c>
      <c r="N13" s="291">
        <v>30</v>
      </c>
      <c r="O13" s="288">
        <f>19-P13</f>
        <v>9</v>
      </c>
      <c r="P13" s="289">
        <v>10</v>
      </c>
      <c r="Q13" s="289">
        <v>11</v>
      </c>
      <c r="R13" s="290">
        <f>+S13-Q13-P13-O13</f>
        <v>10</v>
      </c>
      <c r="S13" s="291">
        <v>40</v>
      </c>
      <c r="T13" s="288">
        <v>12</v>
      </c>
      <c r="U13" s="289">
        <v>9</v>
      </c>
      <c r="V13" s="289">
        <v>12</v>
      </c>
      <c r="W13" s="290">
        <f>+X13-V13-U13-T13</f>
        <v>11</v>
      </c>
      <c r="X13" s="291">
        <v>44</v>
      </c>
      <c r="Y13" s="288">
        <v>12</v>
      </c>
      <c r="Z13" s="302">
        <v>14</v>
      </c>
      <c r="AA13" s="302">
        <v>15</v>
      </c>
      <c r="AB13" s="290">
        <f>+AC13-AA13-Z13-Y13</f>
        <v>13</v>
      </c>
      <c r="AC13" s="291">
        <v>54</v>
      </c>
      <c r="AD13" s="288">
        <v>17</v>
      </c>
      <c r="AE13" s="302">
        <v>18</v>
      </c>
      <c r="AF13" s="302">
        <v>17</v>
      </c>
      <c r="AG13" s="290">
        <f>+AH13-AF13-AE13-AD13</f>
        <v>18</v>
      </c>
      <c r="AH13" s="291">
        <v>70</v>
      </c>
      <c r="AI13" s="288">
        <v>24</v>
      </c>
      <c r="AJ13" s="302">
        <v>26</v>
      </c>
      <c r="AK13" s="302">
        <v>23</v>
      </c>
      <c r="AL13" s="290">
        <f>+AM13-AK13-AJ13-AI13</f>
        <v>29</v>
      </c>
      <c r="AM13" s="291">
        <v>102</v>
      </c>
      <c r="AN13" s="288">
        <v>41</v>
      </c>
      <c r="AO13" s="302">
        <v>36</v>
      </c>
      <c r="AP13" s="302">
        <v>37</v>
      </c>
      <c r="AQ13" s="290">
        <f>+AR13-AP13-AO13-AN13</f>
        <v>39</v>
      </c>
      <c r="AR13" s="291">
        <v>153</v>
      </c>
      <c r="AS13" s="288">
        <v>42</v>
      </c>
      <c r="AT13" s="302">
        <v>43</v>
      </c>
      <c r="AU13" s="302">
        <v>45</v>
      </c>
      <c r="AV13" s="290">
        <f>+AW13-AU13-AT13-AS13</f>
        <v>43</v>
      </c>
      <c r="AW13" s="291">
        <v>173</v>
      </c>
      <c r="AX13" s="316">
        <f>AX68</f>
        <v>42.84</v>
      </c>
      <c r="AY13" s="312">
        <f>AY68</f>
        <v>43.86</v>
      </c>
      <c r="AZ13" s="312">
        <f>AZ68</f>
        <v>45.9</v>
      </c>
      <c r="BA13" s="317">
        <f>BA68</f>
        <v>43.86</v>
      </c>
      <c r="BB13" s="315">
        <f>SUM(AX13:BA13)</f>
        <v>176.45999999999998</v>
      </c>
      <c r="BC13" s="316">
        <f>BC68</f>
        <v>43.696800000000003</v>
      </c>
      <c r="BD13" s="312">
        <f>BD68</f>
        <v>44.737200000000001</v>
      </c>
      <c r="BE13" s="312">
        <f>BE68</f>
        <v>46.817999999999998</v>
      </c>
      <c r="BF13" s="317">
        <f>BF68</f>
        <v>44.737200000000001</v>
      </c>
      <c r="BG13" s="315">
        <f>SUM(BC13:BF13)</f>
        <v>179.98920000000001</v>
      </c>
      <c r="BH13" s="316">
        <f>BH68</f>
        <v>44.570736000000004</v>
      </c>
      <c r="BI13" s="312">
        <f>BI68</f>
        <v>45.631944000000004</v>
      </c>
      <c r="BJ13" s="312">
        <f>BJ68</f>
        <v>47.754359999999998</v>
      </c>
      <c r="BK13" s="317">
        <f>BK68</f>
        <v>45.631944000000004</v>
      </c>
      <c r="BL13" s="315">
        <f>SUM(BH13:BK13)</f>
        <v>183.58898400000001</v>
      </c>
      <c r="BM13" s="316">
        <f>BM68</f>
        <v>45.462150720000004</v>
      </c>
      <c r="BN13" s="312">
        <f>BN68</f>
        <v>46.544582880000007</v>
      </c>
      <c r="BO13" s="312">
        <f>BO68</f>
        <v>48.7094472</v>
      </c>
      <c r="BP13" s="317">
        <f>BP68</f>
        <v>46.544582880000007</v>
      </c>
      <c r="BQ13" s="315">
        <f>SUM(BM13:BP13)</f>
        <v>187.26076368000003</v>
      </c>
      <c r="BR13" s="221"/>
      <c r="BS13" s="221"/>
      <c r="BT13" s="221"/>
    </row>
    <row r="14" spans="1:82" s="81" customFormat="1">
      <c r="A14" s="315"/>
      <c r="B14" s="315"/>
      <c r="C14" s="1186" t="s">
        <v>195</v>
      </c>
      <c r="E14" s="288"/>
      <c r="F14" s="289"/>
      <c r="G14" s="289"/>
      <c r="H14" s="290"/>
      <c r="I14" s="308">
        <f t="shared" ref="I14:AR14" si="10">SUM(I10:I13)</f>
        <v>138</v>
      </c>
      <c r="J14" s="305">
        <f t="shared" si="10"/>
        <v>33</v>
      </c>
      <c r="K14" s="306">
        <f t="shared" si="10"/>
        <v>36</v>
      </c>
      <c r="L14" s="306">
        <f t="shared" si="10"/>
        <v>32</v>
      </c>
      <c r="M14" s="307">
        <f t="shared" si="10"/>
        <v>37</v>
      </c>
      <c r="N14" s="308">
        <f t="shared" si="10"/>
        <v>138</v>
      </c>
      <c r="O14" s="305">
        <f t="shared" si="10"/>
        <v>59</v>
      </c>
      <c r="P14" s="306">
        <f t="shared" si="10"/>
        <v>68</v>
      </c>
      <c r="Q14" s="306">
        <f t="shared" si="10"/>
        <v>70</v>
      </c>
      <c r="R14" s="307">
        <f t="shared" si="10"/>
        <v>66</v>
      </c>
      <c r="S14" s="308">
        <f t="shared" si="10"/>
        <v>263</v>
      </c>
      <c r="T14" s="305">
        <f t="shared" si="10"/>
        <v>69</v>
      </c>
      <c r="U14" s="306">
        <f t="shared" si="10"/>
        <v>79</v>
      </c>
      <c r="V14" s="306">
        <f t="shared" si="10"/>
        <v>71</v>
      </c>
      <c r="W14" s="307">
        <f t="shared" si="10"/>
        <v>77</v>
      </c>
      <c r="X14" s="308">
        <f t="shared" si="10"/>
        <v>296</v>
      </c>
      <c r="Y14" s="305">
        <f t="shared" si="10"/>
        <v>71</v>
      </c>
      <c r="Z14" s="306">
        <f t="shared" si="10"/>
        <v>78</v>
      </c>
      <c r="AA14" s="306">
        <f t="shared" si="10"/>
        <v>81</v>
      </c>
      <c r="AB14" s="307">
        <f>SUM(AB10:AB13)</f>
        <v>79</v>
      </c>
      <c r="AC14" s="308">
        <f>SUM(AC10:AC13)</f>
        <v>309</v>
      </c>
      <c r="AD14" s="305">
        <f t="shared" si="10"/>
        <v>84</v>
      </c>
      <c r="AE14" s="306">
        <f t="shared" si="10"/>
        <v>82</v>
      </c>
      <c r="AF14" s="306">
        <f t="shared" ref="AF14:AK14" si="11">SUM(AF10:AF13)</f>
        <v>91</v>
      </c>
      <c r="AG14" s="307">
        <f t="shared" si="11"/>
        <v>90</v>
      </c>
      <c r="AH14" s="308">
        <f t="shared" si="11"/>
        <v>347</v>
      </c>
      <c r="AI14" s="305">
        <f t="shared" si="11"/>
        <v>99</v>
      </c>
      <c r="AJ14" s="306">
        <f t="shared" si="11"/>
        <v>101</v>
      </c>
      <c r="AK14" s="306">
        <f t="shared" si="11"/>
        <v>106</v>
      </c>
      <c r="AL14" s="307">
        <f t="shared" ref="AL14:AO14" si="12">SUM(AL10:AL13)</f>
        <v>113</v>
      </c>
      <c r="AM14" s="308">
        <f t="shared" si="12"/>
        <v>419</v>
      </c>
      <c r="AN14" s="305">
        <f t="shared" si="12"/>
        <v>122</v>
      </c>
      <c r="AO14" s="306">
        <f t="shared" si="12"/>
        <v>118</v>
      </c>
      <c r="AP14" s="306">
        <f t="shared" si="10"/>
        <v>128</v>
      </c>
      <c r="AQ14" s="307">
        <f t="shared" si="10"/>
        <v>140</v>
      </c>
      <c r="AR14" s="308">
        <f t="shared" si="10"/>
        <v>508</v>
      </c>
      <c r="AS14" s="305">
        <f t="shared" ref="AS14:BB14" si="13">SUM(AS10:AS13)</f>
        <v>140</v>
      </c>
      <c r="AT14" s="306">
        <f t="shared" si="13"/>
        <v>150</v>
      </c>
      <c r="AU14" s="306">
        <f t="shared" si="13"/>
        <v>165</v>
      </c>
      <c r="AV14" s="307">
        <f t="shared" si="13"/>
        <v>161</v>
      </c>
      <c r="AW14" s="308">
        <f t="shared" si="13"/>
        <v>616</v>
      </c>
      <c r="AX14" s="305">
        <f t="shared" si="13"/>
        <v>148.05458333333334</v>
      </c>
      <c r="AY14" s="306">
        <f t="shared" si="13"/>
        <v>156.88916666666665</v>
      </c>
      <c r="AZ14" s="306">
        <f t="shared" si="13"/>
        <v>168.74375000000001</v>
      </c>
      <c r="BA14" s="307">
        <f t="shared" si="13"/>
        <v>165.44833333333332</v>
      </c>
      <c r="BB14" s="308">
        <f t="shared" si="13"/>
        <v>639.13583333333327</v>
      </c>
      <c r="BC14" s="305">
        <f t="shared" ref="BC14:BL14" si="14">SUM(BC10:BC13)</f>
        <v>156.42421666666667</v>
      </c>
      <c r="BD14" s="306">
        <f t="shared" si="14"/>
        <v>165.3297</v>
      </c>
      <c r="BE14" s="306">
        <f t="shared" si="14"/>
        <v>177.27558333333332</v>
      </c>
      <c r="BF14" s="307">
        <f t="shared" si="14"/>
        <v>173.91916666666665</v>
      </c>
      <c r="BG14" s="308">
        <f t="shared" si="14"/>
        <v>672.94866666666667</v>
      </c>
      <c r="BH14" s="305">
        <f t="shared" si="14"/>
        <v>164.81553100000002</v>
      </c>
      <c r="BI14" s="306">
        <f t="shared" si="14"/>
        <v>173.79282733333335</v>
      </c>
      <c r="BJ14" s="306">
        <f t="shared" si="14"/>
        <v>185.83133166666667</v>
      </c>
      <c r="BK14" s="307">
        <f t="shared" si="14"/>
        <v>182.41289700000002</v>
      </c>
      <c r="BL14" s="308">
        <f t="shared" si="14"/>
        <v>706.85258700000009</v>
      </c>
      <c r="BM14" s="305">
        <f t="shared" ref="BM14:BQ14" si="15">SUM(BM10:BM13)</f>
        <v>173.22891450333336</v>
      </c>
      <c r="BN14" s="306">
        <f t="shared" si="15"/>
        <v>182.27895004666667</v>
      </c>
      <c r="BO14" s="306">
        <f t="shared" si="15"/>
        <v>194.41141775</v>
      </c>
      <c r="BP14" s="307">
        <f t="shared" si="15"/>
        <v>190.92992874333333</v>
      </c>
      <c r="BQ14" s="308">
        <f t="shared" si="15"/>
        <v>740.84921104333353</v>
      </c>
      <c r="BR14" s="221"/>
      <c r="BS14" s="221"/>
      <c r="BT14" s="221"/>
    </row>
    <row r="15" spans="1:82" s="81" customFormat="1">
      <c r="A15" s="315"/>
      <c r="B15" s="315"/>
      <c r="C15" s="1184"/>
      <c r="E15" s="288"/>
      <c r="F15" s="289"/>
      <c r="G15" s="289"/>
      <c r="H15" s="290"/>
      <c r="I15" s="291"/>
      <c r="J15" s="288"/>
      <c r="K15" s="289"/>
      <c r="L15" s="289"/>
      <c r="M15" s="290"/>
      <c r="N15" s="291"/>
      <c r="O15" s="288"/>
      <c r="P15" s="289"/>
      <c r="Q15" s="310"/>
      <c r="R15" s="290"/>
      <c r="S15" s="291"/>
      <c r="T15" s="288"/>
      <c r="U15" s="289"/>
      <c r="V15" s="289"/>
      <c r="W15" s="290"/>
      <c r="X15" s="291"/>
      <c r="Y15" s="288"/>
      <c r="Z15" s="302"/>
      <c r="AA15" s="302"/>
      <c r="AB15" s="290"/>
      <c r="AC15" s="291"/>
      <c r="AD15" s="288"/>
      <c r="AE15" s="302"/>
      <c r="AF15" s="302"/>
      <c r="AG15" s="290"/>
      <c r="AH15" s="291"/>
      <c r="AI15" s="288"/>
      <c r="AJ15" s="302"/>
      <c r="AK15" s="302"/>
      <c r="AL15" s="290"/>
      <c r="AM15" s="291"/>
      <c r="AN15" s="288"/>
      <c r="AO15" s="302"/>
      <c r="AP15" s="302"/>
      <c r="AQ15" s="290"/>
      <c r="AR15" s="291"/>
      <c r="AS15" s="667"/>
      <c r="AT15" s="485"/>
      <c r="AU15" s="485"/>
      <c r="AV15" s="290"/>
      <c r="AW15" s="291"/>
      <c r="AX15" s="667"/>
      <c r="AY15" s="485"/>
      <c r="AZ15" s="485"/>
      <c r="BA15" s="486"/>
      <c r="BB15" s="315"/>
      <c r="BC15" s="667"/>
      <c r="BD15" s="485"/>
      <c r="BE15" s="485"/>
      <c r="BF15" s="486"/>
      <c r="BG15" s="315"/>
      <c r="BH15" s="667"/>
      <c r="BI15" s="485"/>
      <c r="BJ15" s="485"/>
      <c r="BK15" s="486"/>
      <c r="BL15" s="315"/>
      <c r="BM15" s="667"/>
      <c r="BN15" s="485"/>
      <c r="BO15" s="485"/>
      <c r="BP15" s="486"/>
      <c r="BQ15" s="315"/>
      <c r="BR15" s="221"/>
      <c r="BS15" s="221"/>
      <c r="BT15" s="221"/>
    </row>
    <row r="16" spans="1:82" s="81" customFormat="1">
      <c r="A16" s="315"/>
      <c r="B16" s="315"/>
      <c r="C16" s="1186" t="s">
        <v>290</v>
      </c>
      <c r="E16" s="305"/>
      <c r="F16" s="306"/>
      <c r="G16" s="306"/>
      <c r="H16" s="307"/>
      <c r="I16" s="308">
        <f t="shared" ref="I16:AT16" si="16">I8-I14</f>
        <v>85</v>
      </c>
      <c r="J16" s="305">
        <f t="shared" si="16"/>
        <v>24</v>
      </c>
      <c r="K16" s="306">
        <f t="shared" si="16"/>
        <v>23</v>
      </c>
      <c r="L16" s="306">
        <f t="shared" si="16"/>
        <v>41</v>
      </c>
      <c r="M16" s="307">
        <f t="shared" si="16"/>
        <v>16</v>
      </c>
      <c r="N16" s="308">
        <f t="shared" si="16"/>
        <v>104</v>
      </c>
      <c r="O16" s="305">
        <f t="shared" si="16"/>
        <v>54</v>
      </c>
      <c r="P16" s="306">
        <f t="shared" si="16"/>
        <v>114</v>
      </c>
      <c r="Q16" s="306">
        <f t="shared" si="16"/>
        <v>111</v>
      </c>
      <c r="R16" s="307">
        <f>R8-R14</f>
        <v>118</v>
      </c>
      <c r="S16" s="308">
        <f t="shared" si="16"/>
        <v>397</v>
      </c>
      <c r="T16" s="305">
        <f t="shared" si="16"/>
        <v>117</v>
      </c>
      <c r="U16" s="306">
        <f t="shared" si="16"/>
        <v>105</v>
      </c>
      <c r="V16" s="306">
        <f>V8-V14</f>
        <v>116</v>
      </c>
      <c r="W16" s="307">
        <f>W8-W14</f>
        <v>106</v>
      </c>
      <c r="X16" s="308">
        <f t="shared" si="16"/>
        <v>444</v>
      </c>
      <c r="Y16" s="305">
        <f t="shared" si="16"/>
        <v>105</v>
      </c>
      <c r="Z16" s="306">
        <f t="shared" si="16"/>
        <v>102</v>
      </c>
      <c r="AA16" s="306">
        <f t="shared" si="16"/>
        <v>109</v>
      </c>
      <c r="AB16" s="307">
        <f>AB8-AB14</f>
        <v>116</v>
      </c>
      <c r="AC16" s="308">
        <f>AC8-AC14</f>
        <v>432</v>
      </c>
      <c r="AD16" s="305">
        <f t="shared" si="16"/>
        <v>103</v>
      </c>
      <c r="AE16" s="306">
        <f t="shared" ref="AE16:AJ16" si="17">AE8-AE14</f>
        <v>109</v>
      </c>
      <c r="AF16" s="306">
        <f t="shared" si="17"/>
        <v>106</v>
      </c>
      <c r="AG16" s="307">
        <f t="shared" si="17"/>
        <v>104</v>
      </c>
      <c r="AH16" s="308">
        <f t="shared" si="17"/>
        <v>422</v>
      </c>
      <c r="AI16" s="305">
        <f t="shared" si="17"/>
        <v>139</v>
      </c>
      <c r="AJ16" s="306">
        <f t="shared" si="17"/>
        <v>168</v>
      </c>
      <c r="AK16" s="306">
        <f t="shared" ref="AK16:AO16" si="18">AK8-AK14</f>
        <v>142</v>
      </c>
      <c r="AL16" s="307">
        <f t="shared" si="18"/>
        <v>143</v>
      </c>
      <c r="AM16" s="308">
        <f t="shared" si="18"/>
        <v>592</v>
      </c>
      <c r="AN16" s="305">
        <f t="shared" si="18"/>
        <v>153</v>
      </c>
      <c r="AO16" s="306">
        <f t="shared" si="18"/>
        <v>146</v>
      </c>
      <c r="AP16" s="306">
        <f t="shared" si="16"/>
        <v>157</v>
      </c>
      <c r="AQ16" s="307">
        <f t="shared" si="16"/>
        <v>187</v>
      </c>
      <c r="AR16" s="308">
        <f t="shared" si="16"/>
        <v>643</v>
      </c>
      <c r="AS16" s="305">
        <f t="shared" si="16"/>
        <v>173</v>
      </c>
      <c r="AT16" s="306">
        <f t="shared" si="16"/>
        <v>177</v>
      </c>
      <c r="AU16" s="306">
        <f t="shared" ref="AU16:BB16" si="19">AU8-AU14</f>
        <v>177</v>
      </c>
      <c r="AV16" s="307">
        <f t="shared" si="19"/>
        <v>182</v>
      </c>
      <c r="AW16" s="308">
        <f t="shared" si="19"/>
        <v>709</v>
      </c>
      <c r="AX16" s="305">
        <f t="shared" si="19"/>
        <v>165.51549744617543</v>
      </c>
      <c r="AY16" s="306">
        <f t="shared" si="19"/>
        <v>169.89111950200379</v>
      </c>
      <c r="AZ16" s="306">
        <f t="shared" si="19"/>
        <v>172.73475148523531</v>
      </c>
      <c r="BA16" s="307">
        <f t="shared" si="19"/>
        <v>176.21585285532939</v>
      </c>
      <c r="BB16" s="308">
        <f t="shared" si="19"/>
        <v>684.35722128874386</v>
      </c>
      <c r="BC16" s="305">
        <f t="shared" ref="BC16:BL16" si="20">BC8-BC14</f>
        <v>183.42424249122047</v>
      </c>
      <c r="BD16" s="306">
        <f t="shared" si="20"/>
        <v>187.7289645470488</v>
      </c>
      <c r="BE16" s="306">
        <f t="shared" si="20"/>
        <v>190.48129653028036</v>
      </c>
      <c r="BF16" s="307">
        <f t="shared" si="20"/>
        <v>194.02339790037442</v>
      </c>
      <c r="BG16" s="308">
        <f t="shared" si="20"/>
        <v>755.65790146892391</v>
      </c>
      <c r="BH16" s="305">
        <f t="shared" si="20"/>
        <v>203.18833356329253</v>
      </c>
      <c r="BI16" s="306">
        <f t="shared" si="20"/>
        <v>207.42124261912087</v>
      </c>
      <c r="BJ16" s="306">
        <f t="shared" si="20"/>
        <v>210.08095360235242</v>
      </c>
      <c r="BK16" s="307">
        <f t="shared" si="20"/>
        <v>213.68507297244648</v>
      </c>
      <c r="BL16" s="308">
        <f t="shared" si="20"/>
        <v>834.37560275721216</v>
      </c>
      <c r="BM16" s="305">
        <f t="shared" ref="BM16:BQ16" si="21">BM8-BM14</f>
        <v>222.46109870860786</v>
      </c>
      <c r="BN16" s="306">
        <f t="shared" si="21"/>
        <v>226.62126855443623</v>
      </c>
      <c r="BO16" s="306">
        <f t="shared" si="21"/>
        <v>229.18701616766776</v>
      </c>
      <c r="BP16" s="307">
        <f t="shared" si="21"/>
        <v>232.85418987776183</v>
      </c>
      <c r="BQ16" s="308">
        <f t="shared" si="21"/>
        <v>911.1235733084734</v>
      </c>
      <c r="BR16" s="221"/>
      <c r="BS16" s="221"/>
      <c r="BT16" s="221"/>
    </row>
    <row r="17" spans="1:72" s="81" customFormat="1">
      <c r="A17" s="315"/>
      <c r="B17" s="315"/>
      <c r="C17" s="1186"/>
      <c r="E17" s="305"/>
      <c r="F17" s="306"/>
      <c r="G17" s="306"/>
      <c r="H17" s="307"/>
      <c r="I17" s="308"/>
      <c r="J17" s="305"/>
      <c r="K17" s="306"/>
      <c r="L17" s="306"/>
      <c r="M17" s="307"/>
      <c r="N17" s="308"/>
      <c r="O17" s="305"/>
      <c r="P17" s="306"/>
      <c r="Q17" s="306"/>
      <c r="R17" s="307"/>
      <c r="S17" s="308"/>
      <c r="T17" s="305"/>
      <c r="U17" s="306"/>
      <c r="V17" s="306"/>
      <c r="W17" s="307"/>
      <c r="X17" s="308"/>
      <c r="Y17" s="305"/>
      <c r="Z17" s="306"/>
      <c r="AA17" s="306"/>
      <c r="AB17" s="307"/>
      <c r="AC17" s="308"/>
      <c r="AD17" s="305"/>
      <c r="AE17" s="306"/>
      <c r="AF17" s="306"/>
      <c r="AG17" s="307"/>
      <c r="AH17" s="308"/>
      <c r="AI17" s="305"/>
      <c r="AJ17" s="306"/>
      <c r="AK17" s="306"/>
      <c r="AL17" s="307"/>
      <c r="AM17" s="308"/>
      <c r="AN17" s="305"/>
      <c r="AO17" s="306"/>
      <c r="AP17" s="306"/>
      <c r="AQ17" s="307"/>
      <c r="AR17" s="308"/>
      <c r="AS17" s="305"/>
      <c r="AT17" s="306"/>
      <c r="AU17" s="306"/>
      <c r="AV17" s="307"/>
      <c r="AW17" s="308"/>
      <c r="AX17" s="305"/>
      <c r="AY17" s="306"/>
      <c r="AZ17" s="306"/>
      <c r="BA17" s="307"/>
      <c r="BB17" s="308"/>
      <c r="BC17" s="305"/>
      <c r="BD17" s="306"/>
      <c r="BE17" s="306"/>
      <c r="BF17" s="307"/>
      <c r="BG17" s="308"/>
      <c r="BH17" s="305"/>
      <c r="BI17" s="306"/>
      <c r="BJ17" s="306"/>
      <c r="BK17" s="307"/>
      <c r="BL17" s="308"/>
      <c r="BM17" s="305"/>
      <c r="BN17" s="306"/>
      <c r="BO17" s="306"/>
      <c r="BP17" s="307"/>
      <c r="BQ17" s="308"/>
      <c r="BR17" s="221"/>
      <c r="BS17" s="221"/>
      <c r="BT17" s="221"/>
    </row>
    <row r="18" spans="1:72" s="173" customFormat="1">
      <c r="A18" s="491"/>
      <c r="B18" s="491"/>
      <c r="C18" s="256" t="s">
        <v>644</v>
      </c>
      <c r="E18" s="309"/>
      <c r="F18" s="310"/>
      <c r="G18" s="310"/>
      <c r="H18" s="311"/>
      <c r="I18" s="300">
        <v>-2</v>
      </c>
      <c r="J18" s="301">
        <v>0</v>
      </c>
      <c r="K18" s="302">
        <v>0</v>
      </c>
      <c r="L18" s="302">
        <v>0</v>
      </c>
      <c r="M18" s="311">
        <f>+N18-L18-K18-J18</f>
        <v>2</v>
      </c>
      <c r="N18" s="300">
        <v>2</v>
      </c>
      <c r="O18" s="301">
        <v>0</v>
      </c>
      <c r="P18" s="302">
        <v>0</v>
      </c>
      <c r="Q18" s="302">
        <v>0</v>
      </c>
      <c r="R18" s="311">
        <f>+S18-Q18-P18-O18</f>
        <v>-2</v>
      </c>
      <c r="S18" s="291">
        <f>-2</f>
        <v>-2</v>
      </c>
      <c r="T18" s="301">
        <v>0</v>
      </c>
      <c r="U18" s="302">
        <v>0</v>
      </c>
      <c r="V18" s="302">
        <v>0</v>
      </c>
      <c r="W18" s="311">
        <f>+X18-V18-U18-T18</f>
        <v>4</v>
      </c>
      <c r="X18" s="291">
        <f>-2+5+1</f>
        <v>4</v>
      </c>
      <c r="Y18" s="301">
        <v>0</v>
      </c>
      <c r="Z18" s="302">
        <v>0</v>
      </c>
      <c r="AA18" s="302">
        <v>0</v>
      </c>
      <c r="AB18" s="311">
        <f>+AC18-AA18-Z18-Y18</f>
        <v>0</v>
      </c>
      <c r="AC18" s="291">
        <v>0</v>
      </c>
      <c r="AD18" s="301">
        <v>0</v>
      </c>
      <c r="AE18" s="302">
        <v>0</v>
      </c>
      <c r="AF18" s="302">
        <v>0</v>
      </c>
      <c r="AG18" s="311">
        <f>+AH18-AF18-AE18-AD18</f>
        <v>-2</v>
      </c>
      <c r="AH18" s="291">
        <v>-2</v>
      </c>
      <c r="AI18" s="301">
        <v>0</v>
      </c>
      <c r="AJ18" s="302">
        <v>0</v>
      </c>
      <c r="AK18" s="302">
        <v>0</v>
      </c>
      <c r="AL18" s="311">
        <f>+AM18-AK18-AJ18-AI18</f>
        <v>-3</v>
      </c>
      <c r="AM18" s="291">
        <v>-3</v>
      </c>
      <c r="AN18" s="301">
        <v>0</v>
      </c>
      <c r="AO18" s="302">
        <v>0</v>
      </c>
      <c r="AP18" s="302">
        <f>+AK18</f>
        <v>0</v>
      </c>
      <c r="AQ18" s="311">
        <f>+AR18-AP18-AO18-AN18</f>
        <v>-1</v>
      </c>
      <c r="AR18" s="291">
        <v>-1</v>
      </c>
      <c r="AS18" s="301">
        <v>0</v>
      </c>
      <c r="AT18" s="302">
        <v>0</v>
      </c>
      <c r="AU18" s="302">
        <v>-13</v>
      </c>
      <c r="AV18" s="311">
        <f>+AW18-AU18-AT18-AS18</f>
        <v>-28</v>
      </c>
      <c r="AW18" s="291">
        <v>-41</v>
      </c>
      <c r="AX18" s="296">
        <f>+AS18</f>
        <v>0</v>
      </c>
      <c r="AY18" s="297">
        <f>AX18</f>
        <v>0</v>
      </c>
      <c r="AZ18" s="297">
        <f>AY18</f>
        <v>0</v>
      </c>
      <c r="BA18" s="290">
        <f>AZ18</f>
        <v>0</v>
      </c>
      <c r="BB18" s="315">
        <f>SUM(AX18:BA18)</f>
        <v>0</v>
      </c>
      <c r="BC18" s="296">
        <f>+AX18</f>
        <v>0</v>
      </c>
      <c r="BD18" s="297">
        <f>+AY18</f>
        <v>0</v>
      </c>
      <c r="BE18" s="297">
        <f>+AZ18</f>
        <v>0</v>
      </c>
      <c r="BF18" s="290">
        <f>+BA18</f>
        <v>0</v>
      </c>
      <c r="BG18" s="315">
        <f>SUM(BC18:BF18)</f>
        <v>0</v>
      </c>
      <c r="BH18" s="296">
        <f>+BC18</f>
        <v>0</v>
      </c>
      <c r="BI18" s="297">
        <f>+BD18</f>
        <v>0</v>
      </c>
      <c r="BJ18" s="297">
        <f>+BE18</f>
        <v>0</v>
      </c>
      <c r="BK18" s="290">
        <f>+BF18</f>
        <v>0</v>
      </c>
      <c r="BL18" s="315">
        <f>SUM(BH18:BK18)</f>
        <v>0</v>
      </c>
      <c r="BM18" s="296">
        <f>+BH18</f>
        <v>0</v>
      </c>
      <c r="BN18" s="297">
        <f>+BI18</f>
        <v>0</v>
      </c>
      <c r="BO18" s="297">
        <f>+BJ18</f>
        <v>0</v>
      </c>
      <c r="BP18" s="290">
        <f>+BK18</f>
        <v>0</v>
      </c>
      <c r="BQ18" s="315">
        <f>SUM(BM18:BP18)</f>
        <v>0</v>
      </c>
      <c r="BR18" s="285"/>
      <c r="BS18" s="285"/>
      <c r="BT18" s="285"/>
    </row>
    <row r="19" spans="1:72" s="60" customFormat="1">
      <c r="A19" s="490"/>
      <c r="B19" s="490"/>
      <c r="C19" s="1186"/>
      <c r="E19" s="305"/>
      <c r="F19" s="306"/>
      <c r="G19" s="306"/>
      <c r="H19" s="307"/>
      <c r="I19" s="308"/>
      <c r="J19" s="305"/>
      <c r="K19" s="306"/>
      <c r="L19" s="306"/>
      <c r="M19" s="307"/>
      <c r="N19" s="308"/>
      <c r="O19" s="305"/>
      <c r="P19" s="306"/>
      <c r="Q19" s="306"/>
      <c r="R19" s="307"/>
      <c r="S19" s="308"/>
      <c r="T19" s="305"/>
      <c r="U19" s="306"/>
      <c r="V19" s="306"/>
      <c r="W19" s="307"/>
      <c r="X19" s="308"/>
      <c r="Y19" s="305"/>
      <c r="Z19" s="306"/>
      <c r="AA19" s="306"/>
      <c r="AB19" s="307"/>
      <c r="AC19" s="308"/>
      <c r="AD19" s="305"/>
      <c r="AE19" s="306"/>
      <c r="AF19" s="306"/>
      <c r="AG19" s="307"/>
      <c r="AH19" s="308"/>
      <c r="AI19" s="305"/>
      <c r="AJ19" s="306"/>
      <c r="AK19" s="306"/>
      <c r="AL19" s="307"/>
      <c r="AM19" s="308"/>
      <c r="AN19" s="305"/>
      <c r="AO19" s="306"/>
      <c r="AP19" s="306"/>
      <c r="AQ19" s="307"/>
      <c r="AR19" s="308"/>
      <c r="AS19" s="305"/>
      <c r="AT19" s="306"/>
      <c r="AU19" s="306"/>
      <c r="AV19" s="307"/>
      <c r="AW19" s="308"/>
      <c r="AX19" s="305"/>
      <c r="AY19" s="306"/>
      <c r="AZ19" s="306"/>
      <c r="BA19" s="307"/>
      <c r="BB19" s="308"/>
      <c r="BC19" s="305"/>
      <c r="BD19" s="306"/>
      <c r="BE19" s="306"/>
      <c r="BF19" s="307"/>
      <c r="BG19" s="308"/>
      <c r="BH19" s="305"/>
      <c r="BI19" s="306"/>
      <c r="BJ19" s="306"/>
      <c r="BK19" s="307"/>
      <c r="BL19" s="308"/>
      <c r="BM19" s="305"/>
      <c r="BN19" s="306"/>
      <c r="BO19" s="306"/>
      <c r="BP19" s="307"/>
      <c r="BQ19" s="308"/>
      <c r="BR19" s="308"/>
      <c r="BS19" s="308"/>
      <c r="BT19" s="308"/>
    </row>
    <row r="20" spans="1:72" s="81" customFormat="1">
      <c r="A20" s="315"/>
      <c r="B20" s="315"/>
      <c r="C20" s="1186" t="s">
        <v>198</v>
      </c>
      <c r="E20" s="305"/>
      <c r="F20" s="306"/>
      <c r="G20" s="306"/>
      <c r="H20" s="307"/>
      <c r="I20" s="308">
        <f t="shared" ref="I20:AT20" si="22">I16+I18</f>
        <v>83</v>
      </c>
      <c r="J20" s="305">
        <f t="shared" si="22"/>
        <v>24</v>
      </c>
      <c r="K20" s="306">
        <f t="shared" si="22"/>
        <v>23</v>
      </c>
      <c r="L20" s="306">
        <f t="shared" si="22"/>
        <v>41</v>
      </c>
      <c r="M20" s="307">
        <f t="shared" si="22"/>
        <v>18</v>
      </c>
      <c r="N20" s="308">
        <f t="shared" si="22"/>
        <v>106</v>
      </c>
      <c r="O20" s="305">
        <f t="shared" si="22"/>
        <v>54</v>
      </c>
      <c r="P20" s="306">
        <f t="shared" si="22"/>
        <v>114</v>
      </c>
      <c r="Q20" s="306">
        <f t="shared" si="22"/>
        <v>111</v>
      </c>
      <c r="R20" s="307">
        <f>R16+R18</f>
        <v>116</v>
      </c>
      <c r="S20" s="308">
        <f t="shared" si="22"/>
        <v>395</v>
      </c>
      <c r="T20" s="305">
        <f t="shared" si="22"/>
        <v>117</v>
      </c>
      <c r="U20" s="306">
        <f t="shared" si="22"/>
        <v>105</v>
      </c>
      <c r="V20" s="306">
        <f>V16+V18</f>
        <v>116</v>
      </c>
      <c r="W20" s="307">
        <f>W16+W18</f>
        <v>110</v>
      </c>
      <c r="X20" s="308">
        <f t="shared" si="22"/>
        <v>448</v>
      </c>
      <c r="Y20" s="305">
        <f t="shared" si="22"/>
        <v>105</v>
      </c>
      <c r="Z20" s="306">
        <f t="shared" si="22"/>
        <v>102</v>
      </c>
      <c r="AA20" s="306">
        <f t="shared" si="22"/>
        <v>109</v>
      </c>
      <c r="AB20" s="307">
        <f t="shared" ref="AB20:AJ20" si="23">AB16+AB18</f>
        <v>116</v>
      </c>
      <c r="AC20" s="308">
        <f t="shared" si="23"/>
        <v>432</v>
      </c>
      <c r="AD20" s="305">
        <f t="shared" si="23"/>
        <v>103</v>
      </c>
      <c r="AE20" s="306">
        <f t="shared" si="23"/>
        <v>109</v>
      </c>
      <c r="AF20" s="306">
        <f t="shared" si="23"/>
        <v>106</v>
      </c>
      <c r="AG20" s="307">
        <f t="shared" si="23"/>
        <v>102</v>
      </c>
      <c r="AH20" s="308">
        <f t="shared" si="23"/>
        <v>420</v>
      </c>
      <c r="AI20" s="305">
        <f t="shared" si="23"/>
        <v>139</v>
      </c>
      <c r="AJ20" s="306">
        <f t="shared" si="23"/>
        <v>168</v>
      </c>
      <c r="AK20" s="306">
        <f t="shared" ref="AK20:AO20" si="24">AK16+AK18</f>
        <v>142</v>
      </c>
      <c r="AL20" s="307">
        <f t="shared" si="24"/>
        <v>140</v>
      </c>
      <c r="AM20" s="308">
        <f t="shared" si="24"/>
        <v>589</v>
      </c>
      <c r="AN20" s="305">
        <f t="shared" si="24"/>
        <v>153</v>
      </c>
      <c r="AO20" s="306">
        <f t="shared" si="24"/>
        <v>146</v>
      </c>
      <c r="AP20" s="306">
        <f t="shared" si="22"/>
        <v>157</v>
      </c>
      <c r="AQ20" s="307">
        <f t="shared" si="22"/>
        <v>186</v>
      </c>
      <c r="AR20" s="308">
        <f t="shared" si="22"/>
        <v>642</v>
      </c>
      <c r="AS20" s="305">
        <f t="shared" si="22"/>
        <v>173</v>
      </c>
      <c r="AT20" s="306">
        <f t="shared" si="22"/>
        <v>177</v>
      </c>
      <c r="AU20" s="306">
        <f t="shared" ref="AU20:AW20" si="25">AU16+AU18</f>
        <v>164</v>
      </c>
      <c r="AV20" s="307">
        <f t="shared" si="25"/>
        <v>154</v>
      </c>
      <c r="AW20" s="308">
        <f t="shared" si="25"/>
        <v>668</v>
      </c>
      <c r="AX20" s="305">
        <f t="shared" ref="AX20:BB20" si="26">AX16+AX18</f>
        <v>165.51549744617543</v>
      </c>
      <c r="AY20" s="306">
        <f t="shared" si="26"/>
        <v>169.89111950200379</v>
      </c>
      <c r="AZ20" s="306">
        <f t="shared" si="26"/>
        <v>172.73475148523531</v>
      </c>
      <c r="BA20" s="307">
        <f t="shared" si="26"/>
        <v>176.21585285532939</v>
      </c>
      <c r="BB20" s="308">
        <f t="shared" si="26"/>
        <v>684.35722128874386</v>
      </c>
      <c r="BC20" s="305">
        <f t="shared" ref="BC20:BL20" si="27">BC16+BC18</f>
        <v>183.42424249122047</v>
      </c>
      <c r="BD20" s="306">
        <f t="shared" si="27"/>
        <v>187.7289645470488</v>
      </c>
      <c r="BE20" s="306">
        <f t="shared" si="27"/>
        <v>190.48129653028036</v>
      </c>
      <c r="BF20" s="307">
        <f t="shared" si="27"/>
        <v>194.02339790037442</v>
      </c>
      <c r="BG20" s="308">
        <f t="shared" si="27"/>
        <v>755.65790146892391</v>
      </c>
      <c r="BH20" s="305">
        <f t="shared" si="27"/>
        <v>203.18833356329253</v>
      </c>
      <c r="BI20" s="306">
        <f t="shared" si="27"/>
        <v>207.42124261912087</v>
      </c>
      <c r="BJ20" s="306">
        <f t="shared" si="27"/>
        <v>210.08095360235242</v>
      </c>
      <c r="BK20" s="307">
        <f t="shared" si="27"/>
        <v>213.68507297244648</v>
      </c>
      <c r="BL20" s="308">
        <f t="shared" si="27"/>
        <v>834.37560275721216</v>
      </c>
      <c r="BM20" s="305">
        <f t="shared" ref="BM20:BQ20" si="28">BM16+BM18</f>
        <v>222.46109870860786</v>
      </c>
      <c r="BN20" s="306">
        <f t="shared" si="28"/>
        <v>226.62126855443623</v>
      </c>
      <c r="BO20" s="306">
        <f t="shared" si="28"/>
        <v>229.18701616766776</v>
      </c>
      <c r="BP20" s="307">
        <f t="shared" si="28"/>
        <v>232.85418987776183</v>
      </c>
      <c r="BQ20" s="308">
        <f t="shared" si="28"/>
        <v>911.1235733084734</v>
      </c>
      <c r="BR20" s="221"/>
      <c r="BS20" s="221"/>
      <c r="BT20" s="221"/>
    </row>
    <row r="21" spans="1:72" s="81" customFormat="1">
      <c r="A21" s="315"/>
      <c r="B21" s="315"/>
      <c r="C21" s="1186" t="s">
        <v>649</v>
      </c>
      <c r="E21" s="305"/>
      <c r="F21" s="306"/>
      <c r="G21" s="306"/>
      <c r="H21" s="307"/>
      <c r="I21" s="308">
        <f>I20+I11</f>
        <v>120</v>
      </c>
      <c r="J21" s="305">
        <f t="shared" ref="J21:AT21" si="29">J20+J11</f>
        <v>33</v>
      </c>
      <c r="K21" s="306">
        <f t="shared" si="29"/>
        <v>33</v>
      </c>
      <c r="L21" s="306">
        <f t="shared" si="29"/>
        <v>50</v>
      </c>
      <c r="M21" s="307">
        <f t="shared" si="29"/>
        <v>27</v>
      </c>
      <c r="N21" s="308">
        <f t="shared" si="29"/>
        <v>143</v>
      </c>
      <c r="O21" s="305">
        <f t="shared" si="29"/>
        <v>73</v>
      </c>
      <c r="P21" s="306">
        <f t="shared" si="29"/>
        <v>140</v>
      </c>
      <c r="Q21" s="306">
        <f t="shared" si="29"/>
        <v>140</v>
      </c>
      <c r="R21" s="307">
        <f t="shared" si="29"/>
        <v>146</v>
      </c>
      <c r="S21" s="308">
        <f t="shared" si="29"/>
        <v>499</v>
      </c>
      <c r="T21" s="305">
        <f t="shared" si="29"/>
        <v>147</v>
      </c>
      <c r="U21" s="306">
        <f t="shared" si="29"/>
        <v>136</v>
      </c>
      <c r="V21" s="306">
        <f t="shared" si="29"/>
        <v>143</v>
      </c>
      <c r="W21" s="307">
        <f t="shared" si="29"/>
        <v>140</v>
      </c>
      <c r="X21" s="308">
        <f t="shared" si="29"/>
        <v>566</v>
      </c>
      <c r="Y21" s="305">
        <f t="shared" si="29"/>
        <v>133</v>
      </c>
      <c r="Z21" s="306">
        <f t="shared" si="29"/>
        <v>130</v>
      </c>
      <c r="AA21" s="306">
        <f t="shared" si="29"/>
        <v>137</v>
      </c>
      <c r="AB21" s="307">
        <f>AB20+AB11</f>
        <v>146</v>
      </c>
      <c r="AC21" s="308">
        <f>AC20+AC11</f>
        <v>546</v>
      </c>
      <c r="AD21" s="305">
        <f t="shared" si="29"/>
        <v>133</v>
      </c>
      <c r="AE21" s="306">
        <f t="shared" si="29"/>
        <v>139</v>
      </c>
      <c r="AF21" s="306">
        <f t="shared" ref="AF21:AK21" si="30">AF20+AF11</f>
        <v>139</v>
      </c>
      <c r="AG21" s="307">
        <f t="shared" si="30"/>
        <v>136</v>
      </c>
      <c r="AH21" s="308">
        <f t="shared" si="30"/>
        <v>547</v>
      </c>
      <c r="AI21" s="305">
        <f t="shared" si="30"/>
        <v>176</v>
      </c>
      <c r="AJ21" s="306">
        <f t="shared" si="30"/>
        <v>206</v>
      </c>
      <c r="AK21" s="306">
        <f t="shared" si="30"/>
        <v>183</v>
      </c>
      <c r="AL21" s="307">
        <f t="shared" ref="AL21:AO21" si="31">AL20+AL11</f>
        <v>180</v>
      </c>
      <c r="AM21" s="308">
        <f t="shared" si="31"/>
        <v>745</v>
      </c>
      <c r="AN21" s="305">
        <f t="shared" si="31"/>
        <v>196</v>
      </c>
      <c r="AO21" s="306">
        <f t="shared" si="31"/>
        <v>190</v>
      </c>
      <c r="AP21" s="306">
        <f t="shared" si="29"/>
        <v>202</v>
      </c>
      <c r="AQ21" s="307">
        <f t="shared" si="29"/>
        <v>241</v>
      </c>
      <c r="AR21" s="308">
        <f t="shared" si="29"/>
        <v>829</v>
      </c>
      <c r="AS21" s="305">
        <f t="shared" si="29"/>
        <v>224</v>
      </c>
      <c r="AT21" s="306">
        <f t="shared" si="29"/>
        <v>231</v>
      </c>
      <c r="AU21" s="306">
        <f t="shared" ref="AU21:AW21" si="32">AU20+AU11</f>
        <v>223</v>
      </c>
      <c r="AV21" s="307">
        <f t="shared" si="32"/>
        <v>214</v>
      </c>
      <c r="AW21" s="308">
        <f t="shared" si="32"/>
        <v>892</v>
      </c>
      <c r="AX21" s="305">
        <f t="shared" ref="AX21:BB21" si="33">AX20+AX11</f>
        <v>223.28008077950875</v>
      </c>
      <c r="AY21" s="306">
        <f t="shared" si="33"/>
        <v>229.42028616867046</v>
      </c>
      <c r="AZ21" s="306">
        <f t="shared" si="33"/>
        <v>234.0285014852353</v>
      </c>
      <c r="BA21" s="307">
        <f t="shared" si="33"/>
        <v>239.27418618866272</v>
      </c>
      <c r="BB21" s="308">
        <f t="shared" si="33"/>
        <v>926.00305462207712</v>
      </c>
      <c r="BC21" s="305">
        <f t="shared" ref="BC21:BL21" si="34">BC20+BC11</f>
        <v>248.24715915788713</v>
      </c>
      <c r="BD21" s="306">
        <f t="shared" si="34"/>
        <v>254.31646454704878</v>
      </c>
      <c r="BE21" s="306">
        <f t="shared" si="34"/>
        <v>258.83337986361369</v>
      </c>
      <c r="BF21" s="307">
        <f t="shared" si="34"/>
        <v>264.14006456704107</v>
      </c>
      <c r="BG21" s="308">
        <f t="shared" si="34"/>
        <v>1025.5370681355905</v>
      </c>
      <c r="BH21" s="305">
        <f t="shared" si="34"/>
        <v>275.06958356329255</v>
      </c>
      <c r="BI21" s="306">
        <f t="shared" si="34"/>
        <v>281.06707595245422</v>
      </c>
      <c r="BJ21" s="306">
        <f t="shared" si="34"/>
        <v>285.49137026901906</v>
      </c>
      <c r="BK21" s="307">
        <f t="shared" si="34"/>
        <v>290.86007297244646</v>
      </c>
      <c r="BL21" s="308">
        <f t="shared" si="34"/>
        <v>1132.4881027572121</v>
      </c>
      <c r="BM21" s="305">
        <f t="shared" ref="BM21:BQ21" si="35">BM20+BM11</f>
        <v>301.4006820419412</v>
      </c>
      <c r="BN21" s="306">
        <f t="shared" si="35"/>
        <v>307.32543522110291</v>
      </c>
      <c r="BO21" s="306">
        <f t="shared" si="35"/>
        <v>311.65576616766776</v>
      </c>
      <c r="BP21" s="307">
        <f t="shared" si="35"/>
        <v>317.08752321109517</v>
      </c>
      <c r="BQ21" s="308">
        <f t="shared" si="35"/>
        <v>1237.4694066418067</v>
      </c>
      <c r="BR21" s="221"/>
      <c r="BS21" s="221"/>
      <c r="BT21" s="221"/>
    </row>
    <row r="22" spans="1:72" s="81" customFormat="1">
      <c r="A22" s="315"/>
      <c r="B22" s="315"/>
      <c r="C22" s="1186"/>
      <c r="E22" s="305"/>
      <c r="F22" s="306"/>
      <c r="G22" s="306"/>
      <c r="H22" s="307"/>
      <c r="I22" s="308"/>
      <c r="J22" s="305"/>
      <c r="K22" s="306"/>
      <c r="L22" s="306"/>
      <c r="M22" s="307"/>
      <c r="N22" s="308"/>
      <c r="O22" s="305"/>
      <c r="P22" s="306"/>
      <c r="Q22" s="306"/>
      <c r="R22" s="307"/>
      <c r="S22" s="308"/>
      <c r="T22" s="305"/>
      <c r="U22" s="306"/>
      <c r="V22" s="306"/>
      <c r="W22" s="307"/>
      <c r="X22" s="308"/>
      <c r="Y22" s="305"/>
      <c r="Z22" s="306"/>
      <c r="AA22" s="306"/>
      <c r="AB22" s="307"/>
      <c r="AC22" s="308"/>
      <c r="AD22" s="305"/>
      <c r="AE22" s="306"/>
      <c r="AF22" s="306"/>
      <c r="AG22" s="307"/>
      <c r="AH22" s="308"/>
      <c r="AI22" s="305"/>
      <c r="AJ22" s="306"/>
      <c r="AK22" s="306"/>
      <c r="AL22" s="307"/>
      <c r="AM22" s="308"/>
      <c r="AN22" s="305"/>
      <c r="AO22" s="306"/>
      <c r="AP22" s="306"/>
      <c r="AQ22" s="307"/>
      <c r="AR22" s="308"/>
      <c r="AS22" s="305"/>
      <c r="AT22" s="306"/>
      <c r="AU22" s="306"/>
      <c r="AV22" s="307"/>
      <c r="AW22" s="308"/>
      <c r="AX22" s="305"/>
      <c r="AY22" s="306"/>
      <c r="AZ22" s="306"/>
      <c r="BA22" s="307"/>
      <c r="BB22" s="308"/>
      <c r="BC22" s="305"/>
      <c r="BD22" s="306"/>
      <c r="BE22" s="306"/>
      <c r="BF22" s="307"/>
      <c r="BG22" s="308"/>
      <c r="BH22" s="305"/>
      <c r="BI22" s="306"/>
      <c r="BJ22" s="306"/>
      <c r="BK22" s="307"/>
      <c r="BL22" s="308"/>
      <c r="BM22" s="305"/>
      <c r="BN22" s="306"/>
      <c r="BO22" s="306"/>
      <c r="BP22" s="307"/>
      <c r="BQ22" s="308"/>
      <c r="BR22" s="221"/>
      <c r="BS22" s="221"/>
      <c r="BT22" s="221"/>
    </row>
    <row r="23" spans="1:72" s="81" customFormat="1">
      <c r="A23" s="315"/>
      <c r="B23" s="315"/>
      <c r="C23" s="1184" t="s">
        <v>200</v>
      </c>
      <c r="E23" s="288"/>
      <c r="F23" s="289"/>
      <c r="G23" s="289"/>
      <c r="H23" s="290"/>
      <c r="I23" s="291">
        <v>19</v>
      </c>
      <c r="J23" s="288">
        <v>5</v>
      </c>
      <c r="K23" s="289">
        <v>6</v>
      </c>
      <c r="L23" s="289">
        <v>6</v>
      </c>
      <c r="M23" s="290">
        <f>+N23-L23-K23-J23</f>
        <v>5</v>
      </c>
      <c r="N23" s="291">
        <v>22</v>
      </c>
      <c r="O23" s="288">
        <f>42-P23</f>
        <v>17</v>
      </c>
      <c r="P23" s="289">
        <v>25</v>
      </c>
      <c r="Q23" s="289">
        <v>24</v>
      </c>
      <c r="R23" s="290">
        <f>+S23-Q23-P23-O23</f>
        <v>23</v>
      </c>
      <c r="S23" s="291">
        <v>89</v>
      </c>
      <c r="T23" s="288">
        <v>23</v>
      </c>
      <c r="U23" s="289">
        <v>23</v>
      </c>
      <c r="V23" s="289">
        <v>23</v>
      </c>
      <c r="W23" s="290">
        <f>+X23-V23-U23-T23</f>
        <v>23</v>
      </c>
      <c r="X23" s="291">
        <v>92</v>
      </c>
      <c r="Y23" s="288">
        <v>23</v>
      </c>
      <c r="Z23" s="302">
        <v>22</v>
      </c>
      <c r="AA23" s="302">
        <v>23</v>
      </c>
      <c r="AB23" s="290">
        <f>+AC23-AA23-Z23-Y23</f>
        <v>25</v>
      </c>
      <c r="AC23" s="291">
        <v>93</v>
      </c>
      <c r="AD23" s="288">
        <v>25</v>
      </c>
      <c r="AE23" s="302">
        <v>30</v>
      </c>
      <c r="AF23" s="302">
        <v>35</v>
      </c>
      <c r="AG23" s="290">
        <f>+AH23-AF23-AE23-AD23</f>
        <v>41</v>
      </c>
      <c r="AH23" s="291">
        <v>131</v>
      </c>
      <c r="AI23" s="288">
        <v>39</v>
      </c>
      <c r="AJ23" s="302">
        <v>40</v>
      </c>
      <c r="AK23" s="302">
        <v>40</v>
      </c>
      <c r="AL23" s="290">
        <f>+AM23-AK23-AJ23-AI23</f>
        <v>42</v>
      </c>
      <c r="AM23" s="291">
        <v>161</v>
      </c>
      <c r="AN23" s="288">
        <v>43</v>
      </c>
      <c r="AO23" s="302">
        <v>42</v>
      </c>
      <c r="AP23" s="302">
        <v>43</v>
      </c>
      <c r="AQ23" s="290">
        <f>+AR23-AP23-AO23-AN23</f>
        <v>30</v>
      </c>
      <c r="AR23" s="291">
        <v>158</v>
      </c>
      <c r="AS23" s="288">
        <v>39</v>
      </c>
      <c r="AT23" s="302">
        <v>39</v>
      </c>
      <c r="AU23" s="302">
        <v>38</v>
      </c>
      <c r="AV23" s="290">
        <f>+AW23-AU23-AT23-AS23</f>
        <v>40</v>
      </c>
      <c r="AW23" s="291">
        <v>156</v>
      </c>
      <c r="AX23" s="316">
        <f>+AS23+AX91</f>
        <v>40.305622014177843</v>
      </c>
      <c r="AY23" s="312">
        <f>+AT23+AY91</f>
        <v>41.600638580674989</v>
      </c>
      <c r="AZ23" s="312">
        <f>+AU23+AZ91</f>
        <v>42.885049699491454</v>
      </c>
      <c r="BA23" s="317">
        <f>+AV23+BA91</f>
        <v>44.158855370627222</v>
      </c>
      <c r="BB23" s="315">
        <f>SUM(AX23:BA23)</f>
        <v>168.95016566497151</v>
      </c>
      <c r="BC23" s="316">
        <f>+AX23+BC91</f>
        <v>45.422055594082295</v>
      </c>
      <c r="BD23" s="312">
        <f>+AY23+BD91</f>
        <v>46.674650369856685</v>
      </c>
      <c r="BE23" s="312">
        <f>+AZ23+BE91</f>
        <v>47.91663969795038</v>
      </c>
      <c r="BF23" s="317">
        <f>+BA23+BF91</f>
        <v>49.148023578363386</v>
      </c>
      <c r="BG23" s="315">
        <f>SUM(BC23:BF23)</f>
        <v>189.16136924025275</v>
      </c>
      <c r="BH23" s="316">
        <f>+BC23+BH91</f>
        <v>50.36880201109571</v>
      </c>
      <c r="BI23" s="312">
        <f>+BD23+BI91</f>
        <v>51.578974996147338</v>
      </c>
      <c r="BJ23" s="312">
        <f>+BE23+BJ91</f>
        <v>52.778542533518262</v>
      </c>
      <c r="BK23" s="317">
        <f>+BF23+BK91</f>
        <v>53.967504623208512</v>
      </c>
      <c r="BL23" s="315">
        <f>SUM(BH23:BK23)</f>
        <v>208.69382416396985</v>
      </c>
      <c r="BM23" s="316">
        <f>+BH23+BM91</f>
        <v>55.14586126521808</v>
      </c>
      <c r="BN23" s="312">
        <f>+BI23+BN91</f>
        <v>56.313612459546952</v>
      </c>
      <c r="BO23" s="312">
        <f>+BJ23+BO91</f>
        <v>57.470758206195121</v>
      </c>
      <c r="BP23" s="317">
        <f>+BK23+BP91</f>
        <v>58.617298505162609</v>
      </c>
      <c r="BQ23" s="315">
        <f>SUM(BM23:BP23)</f>
        <v>227.54753043612277</v>
      </c>
      <c r="BR23" s="221"/>
      <c r="BS23" s="221"/>
      <c r="BT23" s="221"/>
    </row>
    <row r="24" spans="1:72" s="81" customFormat="1">
      <c r="A24" s="315"/>
      <c r="B24" s="315"/>
      <c r="C24" s="1187" t="s">
        <v>251</v>
      </c>
      <c r="E24" s="296"/>
      <c r="F24" s="297"/>
      <c r="G24" s="297"/>
      <c r="H24" s="290"/>
      <c r="I24" s="291">
        <v>-1</v>
      </c>
      <c r="J24" s="288">
        <v>0</v>
      </c>
      <c r="K24" s="289">
        <v>-1</v>
      </c>
      <c r="L24" s="289">
        <v>0</v>
      </c>
      <c r="M24" s="290">
        <f>+N24-L24-K24-J24</f>
        <v>-1</v>
      </c>
      <c r="N24" s="291">
        <v>-2</v>
      </c>
      <c r="O24" s="288">
        <f>-1-P24</f>
        <v>0</v>
      </c>
      <c r="P24" s="289">
        <v>-1</v>
      </c>
      <c r="Q24" s="289">
        <v>-1</v>
      </c>
      <c r="R24" s="290">
        <f>+S24-Q24-P24-O24</f>
        <v>0</v>
      </c>
      <c r="S24" s="291">
        <v>-2</v>
      </c>
      <c r="T24" s="288">
        <v>0</v>
      </c>
      <c r="U24" s="289">
        <v>-1</v>
      </c>
      <c r="V24" s="289">
        <v>-1</v>
      </c>
      <c r="W24" s="290">
        <f>+X24-V24-U24-T24</f>
        <v>-1</v>
      </c>
      <c r="X24" s="291">
        <v>-3</v>
      </c>
      <c r="Y24" s="288">
        <v>0</v>
      </c>
      <c r="Z24" s="302">
        <v>-1</v>
      </c>
      <c r="AA24" s="302">
        <v>0</v>
      </c>
      <c r="AB24" s="290">
        <f>+AC24-AA24-Z24-Y24</f>
        <v>-3</v>
      </c>
      <c r="AC24" s="291">
        <v>-4</v>
      </c>
      <c r="AD24" s="288">
        <v>-3</v>
      </c>
      <c r="AE24" s="302">
        <v>-16</v>
      </c>
      <c r="AF24" s="302">
        <v>-14</v>
      </c>
      <c r="AG24" s="290">
        <f>+AH24-AF24-AE24-AD24</f>
        <v>-22</v>
      </c>
      <c r="AH24" s="291">
        <v>-55</v>
      </c>
      <c r="AI24" s="288">
        <v>-14</v>
      </c>
      <c r="AJ24" s="302">
        <v>-13</v>
      </c>
      <c r="AK24" s="302">
        <v>-9</v>
      </c>
      <c r="AL24" s="290">
        <f>+AM24-AK24-AJ24-AI24</f>
        <v>-8</v>
      </c>
      <c r="AM24" s="291">
        <v>-44</v>
      </c>
      <c r="AN24" s="288">
        <v>-7</v>
      </c>
      <c r="AO24" s="302">
        <v>-9</v>
      </c>
      <c r="AP24" s="302">
        <v>-9</v>
      </c>
      <c r="AQ24" s="290">
        <f>+AR24-AP24-AO24-AN24</f>
        <v>-9</v>
      </c>
      <c r="AR24" s="291">
        <v>-34</v>
      </c>
      <c r="AS24" s="288">
        <v>-6</v>
      </c>
      <c r="AT24" s="302">
        <v>-7</v>
      </c>
      <c r="AU24" s="302">
        <v>-7</v>
      </c>
      <c r="AV24" s="290">
        <f>+AW24-AU24-AT24-AS24</f>
        <v>-9</v>
      </c>
      <c r="AW24" s="291">
        <v>-29</v>
      </c>
      <c r="AX24" s="296">
        <f>+AS24</f>
        <v>-6</v>
      </c>
      <c r="AY24" s="297">
        <f>+AT24</f>
        <v>-7</v>
      </c>
      <c r="AZ24" s="297">
        <f>+AU24</f>
        <v>-7</v>
      </c>
      <c r="BA24" s="290">
        <f>+AV24</f>
        <v>-9</v>
      </c>
      <c r="BB24" s="315">
        <f>SUM(AX24:BA24)</f>
        <v>-29</v>
      </c>
      <c r="BC24" s="296">
        <f>+AX24</f>
        <v>-6</v>
      </c>
      <c r="BD24" s="297">
        <f>+AY24</f>
        <v>-7</v>
      </c>
      <c r="BE24" s="297">
        <f>+AZ24</f>
        <v>-7</v>
      </c>
      <c r="BF24" s="290">
        <f>+BA24</f>
        <v>-9</v>
      </c>
      <c r="BG24" s="315">
        <f>SUM(BC24:BF24)</f>
        <v>-29</v>
      </c>
      <c r="BH24" s="296">
        <f>+BC24</f>
        <v>-6</v>
      </c>
      <c r="BI24" s="297">
        <f>+BD24</f>
        <v>-7</v>
      </c>
      <c r="BJ24" s="297">
        <f>+BE24</f>
        <v>-7</v>
      </c>
      <c r="BK24" s="290">
        <f>+BF24</f>
        <v>-9</v>
      </c>
      <c r="BL24" s="315">
        <f>SUM(BH24:BK24)</f>
        <v>-29</v>
      </c>
      <c r="BM24" s="296">
        <f>+BH24</f>
        <v>-6</v>
      </c>
      <c r="BN24" s="297">
        <f>+BI24</f>
        <v>-7</v>
      </c>
      <c r="BO24" s="297">
        <f>+BJ24</f>
        <v>-7</v>
      </c>
      <c r="BP24" s="290">
        <f>+BK24</f>
        <v>-9</v>
      </c>
      <c r="BQ24" s="315">
        <f>SUM(BM24:BP24)</f>
        <v>-29</v>
      </c>
      <c r="BR24" s="221"/>
      <c r="BS24" s="221"/>
      <c r="BT24" s="221"/>
    </row>
    <row r="25" spans="1:72" s="81" customFormat="1">
      <c r="A25" s="221"/>
      <c r="B25" s="315"/>
      <c r="C25" s="1186" t="s">
        <v>400</v>
      </c>
      <c r="E25" s="305"/>
      <c r="F25" s="306"/>
      <c r="G25" s="306"/>
      <c r="H25" s="314"/>
      <c r="I25" s="308">
        <f>SUM(I23:I24)</f>
        <v>18</v>
      </c>
      <c r="J25" s="305">
        <f t="shared" ref="J25:AT25" si="36">SUM(J23:J24)</f>
        <v>5</v>
      </c>
      <c r="K25" s="306">
        <f t="shared" si="36"/>
        <v>5</v>
      </c>
      <c r="L25" s="306">
        <f t="shared" si="36"/>
        <v>6</v>
      </c>
      <c r="M25" s="314">
        <f t="shared" si="36"/>
        <v>4</v>
      </c>
      <c r="N25" s="308">
        <f t="shared" si="36"/>
        <v>20</v>
      </c>
      <c r="O25" s="305">
        <f t="shared" si="36"/>
        <v>17</v>
      </c>
      <c r="P25" s="306">
        <f t="shared" si="36"/>
        <v>24</v>
      </c>
      <c r="Q25" s="306">
        <f t="shared" si="36"/>
        <v>23</v>
      </c>
      <c r="R25" s="314">
        <f t="shared" si="36"/>
        <v>23</v>
      </c>
      <c r="S25" s="308">
        <f t="shared" si="36"/>
        <v>87</v>
      </c>
      <c r="T25" s="305">
        <f t="shared" si="36"/>
        <v>23</v>
      </c>
      <c r="U25" s="306">
        <f t="shared" si="36"/>
        <v>22</v>
      </c>
      <c r="V25" s="306">
        <f t="shared" si="36"/>
        <v>22</v>
      </c>
      <c r="W25" s="314">
        <f t="shared" si="36"/>
        <v>22</v>
      </c>
      <c r="X25" s="308">
        <f t="shared" si="36"/>
        <v>89</v>
      </c>
      <c r="Y25" s="305">
        <f t="shared" si="36"/>
        <v>23</v>
      </c>
      <c r="Z25" s="306">
        <f>SUM(Z23:Z24)</f>
        <v>21</v>
      </c>
      <c r="AA25" s="306">
        <f>SUM(AA23:AA24)</f>
        <v>23</v>
      </c>
      <c r="AB25" s="314">
        <f>SUM(AB23:AB24)</f>
        <v>22</v>
      </c>
      <c r="AC25" s="308">
        <f>SUM(AC23:AC24)</f>
        <v>89</v>
      </c>
      <c r="AD25" s="305">
        <f t="shared" si="36"/>
        <v>22</v>
      </c>
      <c r="AE25" s="306">
        <f t="shared" ref="AE25:AJ25" si="37">SUM(AE23:AE24)</f>
        <v>14</v>
      </c>
      <c r="AF25" s="306">
        <f t="shared" si="37"/>
        <v>21</v>
      </c>
      <c r="AG25" s="314">
        <f t="shared" si="37"/>
        <v>19</v>
      </c>
      <c r="AH25" s="308">
        <f t="shared" si="37"/>
        <v>76</v>
      </c>
      <c r="AI25" s="305">
        <f t="shared" si="37"/>
        <v>25</v>
      </c>
      <c r="AJ25" s="306">
        <f t="shared" si="37"/>
        <v>27</v>
      </c>
      <c r="AK25" s="306">
        <f t="shared" ref="AK25:AO25" si="38">SUM(AK23:AK24)</f>
        <v>31</v>
      </c>
      <c r="AL25" s="314">
        <f t="shared" si="38"/>
        <v>34</v>
      </c>
      <c r="AM25" s="308">
        <f t="shared" si="38"/>
        <v>117</v>
      </c>
      <c r="AN25" s="305">
        <f t="shared" si="38"/>
        <v>36</v>
      </c>
      <c r="AO25" s="306">
        <f t="shared" si="38"/>
        <v>33</v>
      </c>
      <c r="AP25" s="306">
        <f t="shared" si="36"/>
        <v>34</v>
      </c>
      <c r="AQ25" s="314">
        <f t="shared" si="36"/>
        <v>21</v>
      </c>
      <c r="AR25" s="308">
        <f t="shared" si="36"/>
        <v>124</v>
      </c>
      <c r="AS25" s="305">
        <f t="shared" si="36"/>
        <v>33</v>
      </c>
      <c r="AT25" s="306">
        <f t="shared" si="36"/>
        <v>32</v>
      </c>
      <c r="AU25" s="306">
        <f t="shared" ref="AU25:BB25" si="39">SUM(AU23:AU24)</f>
        <v>31</v>
      </c>
      <c r="AV25" s="314">
        <f t="shared" si="39"/>
        <v>31</v>
      </c>
      <c r="AW25" s="308">
        <f t="shared" si="39"/>
        <v>127</v>
      </c>
      <c r="AX25" s="305">
        <f t="shared" si="39"/>
        <v>34.305622014177843</v>
      </c>
      <c r="AY25" s="306">
        <f t="shared" si="39"/>
        <v>34.600638580674989</v>
      </c>
      <c r="AZ25" s="306">
        <f t="shared" si="39"/>
        <v>35.885049699491454</v>
      </c>
      <c r="BA25" s="307">
        <f t="shared" si="39"/>
        <v>35.158855370627222</v>
      </c>
      <c r="BB25" s="308">
        <f t="shared" si="39"/>
        <v>139.95016566497151</v>
      </c>
      <c r="BC25" s="305">
        <f t="shared" ref="BC25:BL25" si="40">SUM(BC23:BC24)</f>
        <v>39.422055594082295</v>
      </c>
      <c r="BD25" s="306">
        <f t="shared" si="40"/>
        <v>39.674650369856685</v>
      </c>
      <c r="BE25" s="306">
        <f t="shared" si="40"/>
        <v>40.91663969795038</v>
      </c>
      <c r="BF25" s="307">
        <f t="shared" si="40"/>
        <v>40.148023578363386</v>
      </c>
      <c r="BG25" s="308">
        <f t="shared" si="40"/>
        <v>160.16136924025275</v>
      </c>
      <c r="BH25" s="305">
        <f t="shared" si="40"/>
        <v>44.36880201109571</v>
      </c>
      <c r="BI25" s="306">
        <f t="shared" si="40"/>
        <v>44.578974996147338</v>
      </c>
      <c r="BJ25" s="306">
        <f t="shared" si="40"/>
        <v>45.778542533518262</v>
      </c>
      <c r="BK25" s="307">
        <f t="shared" si="40"/>
        <v>44.967504623208512</v>
      </c>
      <c r="BL25" s="308">
        <f t="shared" si="40"/>
        <v>179.69382416396985</v>
      </c>
      <c r="BM25" s="305">
        <f t="shared" ref="BM25:BQ25" si="41">SUM(BM23:BM24)</f>
        <v>49.14586126521808</v>
      </c>
      <c r="BN25" s="306">
        <f t="shared" si="41"/>
        <v>49.313612459546952</v>
      </c>
      <c r="BO25" s="306">
        <f t="shared" si="41"/>
        <v>50.470758206195121</v>
      </c>
      <c r="BP25" s="307">
        <f t="shared" si="41"/>
        <v>49.617298505162609</v>
      </c>
      <c r="BQ25" s="308">
        <f t="shared" si="41"/>
        <v>198.54753043612277</v>
      </c>
      <c r="BR25" s="308"/>
      <c r="BS25" s="308"/>
      <c r="BT25" s="308"/>
    </row>
    <row r="26" spans="1:72" s="81" customFormat="1">
      <c r="A26" s="315"/>
      <c r="B26" s="315"/>
      <c r="C26" s="1187"/>
      <c r="E26" s="296"/>
      <c r="F26" s="297"/>
      <c r="G26" s="297"/>
      <c r="H26" s="290"/>
      <c r="I26" s="291"/>
      <c r="J26" s="288"/>
      <c r="K26" s="289"/>
      <c r="L26" s="289"/>
      <c r="M26" s="290"/>
      <c r="N26" s="291"/>
      <c r="O26" s="288"/>
      <c r="P26" s="289"/>
      <c r="Q26" s="310"/>
      <c r="R26" s="290"/>
      <c r="S26" s="291"/>
      <c r="T26" s="288"/>
      <c r="U26" s="289"/>
      <c r="V26" s="289"/>
      <c r="W26" s="290"/>
      <c r="X26" s="291"/>
      <c r="Y26" s="288"/>
      <c r="Z26" s="302"/>
      <c r="AA26" s="302"/>
      <c r="AB26" s="290"/>
      <c r="AC26" s="291"/>
      <c r="AD26" s="288"/>
      <c r="AE26" s="302"/>
      <c r="AF26" s="302"/>
      <c r="AG26" s="290"/>
      <c r="AH26" s="291"/>
      <c r="AI26" s="288"/>
      <c r="AJ26" s="302"/>
      <c r="AK26" s="302"/>
      <c r="AL26" s="290"/>
      <c r="AM26" s="291"/>
      <c r="AN26" s="288"/>
      <c r="AO26" s="302"/>
      <c r="AP26" s="302"/>
      <c r="AQ26" s="290"/>
      <c r="AR26" s="291"/>
      <c r="AS26" s="296"/>
      <c r="AT26" s="302"/>
      <c r="AU26" s="297"/>
      <c r="AV26" s="290"/>
      <c r="AW26" s="291"/>
      <c r="AX26" s="296"/>
      <c r="AY26" s="297"/>
      <c r="AZ26" s="297"/>
      <c r="BA26" s="290"/>
      <c r="BB26" s="298"/>
      <c r="BC26" s="296"/>
      <c r="BD26" s="297"/>
      <c r="BE26" s="297"/>
      <c r="BF26" s="290"/>
      <c r="BG26" s="298"/>
      <c r="BH26" s="296"/>
      <c r="BI26" s="297"/>
      <c r="BJ26" s="297"/>
      <c r="BK26" s="290"/>
      <c r="BL26" s="298"/>
      <c r="BM26" s="296"/>
      <c r="BN26" s="297"/>
      <c r="BO26" s="297"/>
      <c r="BP26" s="290"/>
      <c r="BQ26" s="298"/>
      <c r="BR26" s="221"/>
      <c r="BS26" s="221"/>
      <c r="BT26" s="221"/>
    </row>
    <row r="27" spans="1:72" s="60" customFormat="1">
      <c r="A27" s="308"/>
      <c r="B27" s="308"/>
      <c r="C27" s="1186" t="s">
        <v>201</v>
      </c>
      <c r="E27" s="305"/>
      <c r="F27" s="306"/>
      <c r="G27" s="306"/>
      <c r="H27" s="307"/>
      <c r="I27" s="308">
        <f>I20-I25</f>
        <v>65</v>
      </c>
      <c r="J27" s="305">
        <f t="shared" ref="J27:AF27" si="42">J20-J25</f>
        <v>19</v>
      </c>
      <c r="K27" s="306">
        <f t="shared" si="42"/>
        <v>18</v>
      </c>
      <c r="L27" s="306">
        <f t="shared" si="42"/>
        <v>35</v>
      </c>
      <c r="M27" s="307">
        <f t="shared" si="42"/>
        <v>14</v>
      </c>
      <c r="N27" s="308">
        <f t="shared" si="42"/>
        <v>86</v>
      </c>
      <c r="O27" s="305">
        <f t="shared" si="42"/>
        <v>37</v>
      </c>
      <c r="P27" s="306">
        <f t="shared" si="42"/>
        <v>90</v>
      </c>
      <c r="Q27" s="306">
        <f t="shared" si="42"/>
        <v>88</v>
      </c>
      <c r="R27" s="307">
        <f>R20-R25</f>
        <v>93</v>
      </c>
      <c r="S27" s="308">
        <f t="shared" si="42"/>
        <v>308</v>
      </c>
      <c r="T27" s="305">
        <f t="shared" si="42"/>
        <v>94</v>
      </c>
      <c r="U27" s="306">
        <f t="shared" si="42"/>
        <v>83</v>
      </c>
      <c r="V27" s="306">
        <f>V20-V25</f>
        <v>94</v>
      </c>
      <c r="W27" s="307">
        <f>W20-W25</f>
        <v>88</v>
      </c>
      <c r="X27" s="308">
        <f t="shared" si="42"/>
        <v>359</v>
      </c>
      <c r="Y27" s="305">
        <f t="shared" si="42"/>
        <v>82</v>
      </c>
      <c r="Z27" s="306">
        <f>Z20-Z25</f>
        <v>81</v>
      </c>
      <c r="AA27" s="306">
        <f>AA20-AA25</f>
        <v>86</v>
      </c>
      <c r="AB27" s="307">
        <f>AB20-AB25</f>
        <v>94</v>
      </c>
      <c r="AC27" s="308">
        <f>AC20-AC25</f>
        <v>343</v>
      </c>
      <c r="AD27" s="305">
        <f t="shared" si="42"/>
        <v>81</v>
      </c>
      <c r="AE27" s="306">
        <f t="shared" si="42"/>
        <v>95</v>
      </c>
      <c r="AF27" s="306">
        <f t="shared" si="42"/>
        <v>85</v>
      </c>
      <c r="AG27" s="307">
        <f>AG20-AG25</f>
        <v>83</v>
      </c>
      <c r="AH27" s="308">
        <f>AH20-AH25</f>
        <v>344</v>
      </c>
      <c r="AI27" s="305">
        <f>AI20-AI25</f>
        <v>114</v>
      </c>
      <c r="AJ27" s="306">
        <f>AJ20-AJ25</f>
        <v>141</v>
      </c>
      <c r="AK27" s="306">
        <f t="shared" ref="AK27" si="43">AK20-AK25</f>
        <v>111</v>
      </c>
      <c r="AL27" s="307">
        <f t="shared" ref="AL27:AS27" si="44">AL20-AL25</f>
        <v>106</v>
      </c>
      <c r="AM27" s="308">
        <f t="shared" si="44"/>
        <v>472</v>
      </c>
      <c r="AN27" s="305">
        <f t="shared" si="44"/>
        <v>117</v>
      </c>
      <c r="AO27" s="306">
        <f t="shared" si="44"/>
        <v>113</v>
      </c>
      <c r="AP27" s="306">
        <f t="shared" si="44"/>
        <v>123</v>
      </c>
      <c r="AQ27" s="307">
        <f t="shared" si="44"/>
        <v>165</v>
      </c>
      <c r="AR27" s="308">
        <f t="shared" si="44"/>
        <v>518</v>
      </c>
      <c r="AS27" s="305">
        <f t="shared" si="44"/>
        <v>140</v>
      </c>
      <c r="AT27" s="306">
        <f t="shared" ref="AT27" si="45">AT20-AT25</f>
        <v>145</v>
      </c>
      <c r="AU27" s="306">
        <f t="shared" ref="AU27:BB27" si="46">AU20-AU25</f>
        <v>133</v>
      </c>
      <c r="AV27" s="307">
        <f t="shared" si="46"/>
        <v>123</v>
      </c>
      <c r="AW27" s="308">
        <f t="shared" si="46"/>
        <v>541</v>
      </c>
      <c r="AX27" s="305">
        <f t="shared" si="46"/>
        <v>131.2098754319976</v>
      </c>
      <c r="AY27" s="306">
        <f t="shared" si="46"/>
        <v>135.29048092132879</v>
      </c>
      <c r="AZ27" s="306">
        <f t="shared" si="46"/>
        <v>136.84970178574386</v>
      </c>
      <c r="BA27" s="307">
        <f t="shared" si="46"/>
        <v>141.05699748470215</v>
      </c>
      <c r="BB27" s="308">
        <f t="shared" si="46"/>
        <v>544.40705562377229</v>
      </c>
      <c r="BC27" s="305">
        <f t="shared" ref="BC27:BL27" si="47">BC20-BC25</f>
        <v>144.00218689713819</v>
      </c>
      <c r="BD27" s="306">
        <f t="shared" si="47"/>
        <v>148.05431417719211</v>
      </c>
      <c r="BE27" s="306">
        <f t="shared" si="47"/>
        <v>149.56465683232997</v>
      </c>
      <c r="BF27" s="307">
        <f t="shared" si="47"/>
        <v>153.87537432201103</v>
      </c>
      <c r="BG27" s="308">
        <f t="shared" si="47"/>
        <v>595.49653222867119</v>
      </c>
      <c r="BH27" s="305">
        <f t="shared" si="47"/>
        <v>158.81953155219682</v>
      </c>
      <c r="BI27" s="306">
        <f t="shared" si="47"/>
        <v>162.84226762297354</v>
      </c>
      <c r="BJ27" s="306">
        <f t="shared" si="47"/>
        <v>164.30241106883415</v>
      </c>
      <c r="BK27" s="307">
        <f t="shared" si="47"/>
        <v>168.71756834923798</v>
      </c>
      <c r="BL27" s="308">
        <f t="shared" si="47"/>
        <v>654.68177859324237</v>
      </c>
      <c r="BM27" s="305">
        <f t="shared" ref="BM27:BQ27" si="48">BM20-BM25</f>
        <v>173.31523744338978</v>
      </c>
      <c r="BN27" s="306">
        <f t="shared" si="48"/>
        <v>177.30765609488927</v>
      </c>
      <c r="BO27" s="306">
        <f t="shared" si="48"/>
        <v>178.71625796147265</v>
      </c>
      <c r="BP27" s="307">
        <f t="shared" si="48"/>
        <v>183.23689137259922</v>
      </c>
      <c r="BQ27" s="308">
        <f t="shared" si="48"/>
        <v>712.57604287235063</v>
      </c>
      <c r="BR27" s="490"/>
      <c r="BS27" s="490"/>
      <c r="BT27" s="490"/>
    </row>
    <row r="28" spans="1:72" s="81" customFormat="1">
      <c r="A28" s="315"/>
      <c r="B28" s="315"/>
      <c r="C28" s="1184"/>
      <c r="E28" s="316"/>
      <c r="F28" s="312"/>
      <c r="G28" s="312"/>
      <c r="H28" s="317"/>
      <c r="I28" s="315"/>
      <c r="J28" s="316"/>
      <c r="K28" s="312"/>
      <c r="L28" s="312"/>
      <c r="M28" s="317"/>
      <c r="N28" s="315"/>
      <c r="O28" s="316"/>
      <c r="P28" s="312"/>
      <c r="Q28" s="310"/>
      <c r="R28" s="317"/>
      <c r="S28" s="315"/>
      <c r="T28" s="316"/>
      <c r="U28" s="312"/>
      <c r="V28" s="312"/>
      <c r="W28" s="317"/>
      <c r="X28" s="315"/>
      <c r="Y28" s="316"/>
      <c r="Z28" s="312"/>
      <c r="AA28" s="312"/>
      <c r="AB28" s="317"/>
      <c r="AC28" s="315"/>
      <c r="AD28" s="316"/>
      <c r="AE28" s="312"/>
      <c r="AF28" s="312"/>
      <c r="AG28" s="317"/>
      <c r="AH28" s="315"/>
      <c r="AI28" s="316"/>
      <c r="AJ28" s="312"/>
      <c r="AK28" s="312"/>
      <c r="AL28" s="317"/>
      <c r="AM28" s="315"/>
      <c r="AN28" s="316"/>
      <c r="AO28" s="312"/>
      <c r="AP28" s="312"/>
      <c r="AQ28" s="317"/>
      <c r="AR28" s="315"/>
      <c r="AS28" s="316"/>
      <c r="AT28" s="312"/>
      <c r="AU28" s="312"/>
      <c r="AV28" s="317"/>
      <c r="AW28" s="315"/>
      <c r="AX28" s="316"/>
      <c r="AY28" s="312"/>
      <c r="AZ28" s="312"/>
      <c r="BA28" s="317"/>
      <c r="BB28" s="315"/>
      <c r="BC28" s="316"/>
      <c r="BD28" s="312"/>
      <c r="BE28" s="312"/>
      <c r="BF28" s="317"/>
      <c r="BG28" s="315"/>
      <c r="BH28" s="316"/>
      <c r="BI28" s="312"/>
      <c r="BJ28" s="312"/>
      <c r="BK28" s="317"/>
      <c r="BL28" s="315"/>
      <c r="BM28" s="316"/>
      <c r="BN28" s="312"/>
      <c r="BO28" s="312"/>
      <c r="BP28" s="317"/>
      <c r="BQ28" s="315"/>
      <c r="BR28" s="221"/>
      <c r="BS28" s="221"/>
      <c r="BT28" s="221"/>
    </row>
    <row r="29" spans="1:72" s="81" customFormat="1">
      <c r="A29" s="315"/>
      <c r="B29" s="315"/>
      <c r="C29" s="1184" t="s">
        <v>202</v>
      </c>
      <c r="E29" s="288"/>
      <c r="F29" s="289"/>
      <c r="G29" s="289"/>
      <c r="H29" s="290"/>
      <c r="I29" s="291">
        <v>26</v>
      </c>
      <c r="J29" s="288">
        <v>7</v>
      </c>
      <c r="K29" s="289">
        <v>7</v>
      </c>
      <c r="L29" s="289">
        <v>13</v>
      </c>
      <c r="M29" s="290">
        <f>+N29-L29-K29-J29</f>
        <v>5</v>
      </c>
      <c r="N29" s="291">
        <v>32</v>
      </c>
      <c r="O29" s="288">
        <f>47-P29</f>
        <v>14</v>
      </c>
      <c r="P29" s="289">
        <v>33</v>
      </c>
      <c r="Q29" s="289">
        <v>32</v>
      </c>
      <c r="R29" s="290">
        <f>+S29-Q29-P29-O29</f>
        <v>35</v>
      </c>
      <c r="S29" s="291">
        <v>114</v>
      </c>
      <c r="T29" s="288">
        <v>36</v>
      </c>
      <c r="U29" s="289">
        <v>31</v>
      </c>
      <c r="V29" s="289">
        <v>35</v>
      </c>
      <c r="W29" s="290">
        <f>+X29-V29-U29-T29</f>
        <v>31</v>
      </c>
      <c r="X29" s="291">
        <v>133</v>
      </c>
      <c r="Y29" s="288">
        <v>31</v>
      </c>
      <c r="Z29" s="302">
        <v>30</v>
      </c>
      <c r="AA29" s="302">
        <v>32</v>
      </c>
      <c r="AB29" s="290">
        <f>+AC29-AA29-Z29-Y29</f>
        <v>36</v>
      </c>
      <c r="AC29" s="291">
        <v>129</v>
      </c>
      <c r="AD29" s="288">
        <v>30</v>
      </c>
      <c r="AE29" s="302">
        <v>32</v>
      </c>
      <c r="AF29" s="302">
        <v>30</v>
      </c>
      <c r="AG29" s="290">
        <f>+AH29-AF29-AE29-AD29</f>
        <v>29</v>
      </c>
      <c r="AH29" s="291">
        <v>121</v>
      </c>
      <c r="AI29" s="288">
        <v>42</v>
      </c>
      <c r="AJ29" s="302">
        <v>52</v>
      </c>
      <c r="AK29" s="302">
        <v>41</v>
      </c>
      <c r="AL29" s="290">
        <f>+AM29-AK29-AJ29-AI29</f>
        <v>39</v>
      </c>
      <c r="AM29" s="291">
        <v>174</v>
      </c>
      <c r="AN29" s="288">
        <v>43</v>
      </c>
      <c r="AO29" s="302">
        <v>42</v>
      </c>
      <c r="AP29" s="302">
        <v>45</v>
      </c>
      <c r="AQ29" s="290">
        <f>+AR29-AP29-AO29-AN29</f>
        <v>57</v>
      </c>
      <c r="AR29" s="291">
        <v>187</v>
      </c>
      <c r="AS29" s="288">
        <v>52</v>
      </c>
      <c r="AT29" s="302">
        <v>53</v>
      </c>
      <c r="AU29" s="302">
        <v>49</v>
      </c>
      <c r="AV29" s="290">
        <f>+AW29-AU29-AT29-AS29</f>
        <v>51</v>
      </c>
      <c r="AW29" s="291">
        <v>205</v>
      </c>
      <c r="AX29" s="316">
        <f>AX27*AX56</f>
        <v>34.114567612319377</v>
      </c>
      <c r="AY29" s="312">
        <f>AY27*AY56</f>
        <v>35.175525039545491</v>
      </c>
      <c r="AZ29" s="312">
        <f>AZ27*AZ56</f>
        <v>35.580922464293408</v>
      </c>
      <c r="BA29" s="317">
        <f>BA27*BA56</f>
        <v>36.674819346022559</v>
      </c>
      <c r="BB29" s="315">
        <f>SUM(AX29:BA29)</f>
        <v>141.54583446218084</v>
      </c>
      <c r="BC29" s="316">
        <f>BC27*BC56</f>
        <v>37.440568593255932</v>
      </c>
      <c r="BD29" s="312">
        <f>BD27*BD56</f>
        <v>38.494121686069953</v>
      </c>
      <c r="BE29" s="312">
        <f>BE27*BE56</f>
        <v>38.886810776405795</v>
      </c>
      <c r="BF29" s="317">
        <f>BF27*BF56</f>
        <v>40.007597323722869</v>
      </c>
      <c r="BG29" s="315">
        <f>SUM(BC29:BF29)</f>
        <v>154.82909837945454</v>
      </c>
      <c r="BH29" s="316">
        <f>BH27*BH56</f>
        <v>41.293078203571177</v>
      </c>
      <c r="BI29" s="312">
        <f>BI27*BI56</f>
        <v>42.338989581973124</v>
      </c>
      <c r="BJ29" s="312">
        <f>BJ27*BJ56</f>
        <v>42.718626877896881</v>
      </c>
      <c r="BK29" s="317">
        <f>BK27*BK56</f>
        <v>43.866567770801879</v>
      </c>
      <c r="BL29" s="315">
        <f>SUM(BH29:BK29)</f>
        <v>170.21726243424308</v>
      </c>
      <c r="BM29" s="316">
        <f>BM27*BM56</f>
        <v>45.061961735281344</v>
      </c>
      <c r="BN29" s="312">
        <f>BN27*BN56</f>
        <v>46.099990584671211</v>
      </c>
      <c r="BO29" s="312">
        <f>BO27*BO56</f>
        <v>46.466227069982892</v>
      </c>
      <c r="BP29" s="317">
        <f>BP27*BP56</f>
        <v>47.641591756875798</v>
      </c>
      <c r="BQ29" s="315">
        <f>SUM(BM29:BP29)</f>
        <v>185.26977114681125</v>
      </c>
      <c r="BR29" s="221"/>
      <c r="BS29" s="221"/>
      <c r="BT29" s="221"/>
    </row>
    <row r="30" spans="1:72" s="81" customFormat="1">
      <c r="A30" s="315"/>
      <c r="B30" s="315"/>
      <c r="C30" s="1184"/>
      <c r="E30" s="288"/>
      <c r="F30" s="289"/>
      <c r="G30" s="289"/>
      <c r="H30" s="290"/>
      <c r="I30" s="291"/>
      <c r="J30" s="288"/>
      <c r="K30" s="289"/>
      <c r="L30" s="289"/>
      <c r="M30" s="290"/>
      <c r="N30" s="291"/>
      <c r="O30" s="288"/>
      <c r="P30" s="289"/>
      <c r="Q30" s="289"/>
      <c r="R30" s="317"/>
      <c r="S30" s="291"/>
      <c r="T30" s="288"/>
      <c r="U30" s="289"/>
      <c r="V30" s="289"/>
      <c r="W30" s="317"/>
      <c r="X30" s="291"/>
      <c r="Y30" s="288"/>
      <c r="Z30" s="302"/>
      <c r="AA30" s="302"/>
      <c r="AB30" s="317"/>
      <c r="AC30" s="291"/>
      <c r="AD30" s="288"/>
      <c r="AE30" s="302"/>
      <c r="AF30" s="302"/>
      <c r="AG30" s="317"/>
      <c r="AH30" s="291"/>
      <c r="AI30" s="288"/>
      <c r="AJ30" s="302"/>
      <c r="AK30" s="302"/>
      <c r="AL30" s="317"/>
      <c r="AM30" s="291"/>
      <c r="AN30" s="288"/>
      <c r="AO30" s="302"/>
      <c r="AP30" s="302"/>
      <c r="AQ30" s="317"/>
      <c r="AR30" s="291"/>
      <c r="AS30" s="316"/>
      <c r="AT30" s="302"/>
      <c r="AU30" s="312"/>
      <c r="AV30" s="317"/>
      <c r="AW30" s="291"/>
      <c r="AX30" s="316"/>
      <c r="AY30" s="312"/>
      <c r="AZ30" s="312"/>
      <c r="BA30" s="317"/>
      <c r="BB30" s="315"/>
      <c r="BC30" s="316"/>
      <c r="BD30" s="312"/>
      <c r="BE30" s="312"/>
      <c r="BF30" s="317"/>
      <c r="BG30" s="315"/>
      <c r="BH30" s="316"/>
      <c r="BI30" s="312"/>
      <c r="BJ30" s="312"/>
      <c r="BK30" s="317"/>
      <c r="BL30" s="315"/>
      <c r="BM30" s="316"/>
      <c r="BN30" s="312"/>
      <c r="BO30" s="312"/>
      <c r="BP30" s="317"/>
      <c r="BQ30" s="315"/>
      <c r="BR30" s="221"/>
      <c r="BS30" s="221"/>
      <c r="BT30" s="221"/>
    </row>
    <row r="31" spans="1:72" s="81" customFormat="1">
      <c r="A31" s="315"/>
      <c r="B31" s="315"/>
      <c r="C31" s="1186" t="s">
        <v>425</v>
      </c>
      <c r="E31" s="305"/>
      <c r="F31" s="306"/>
      <c r="G31" s="306"/>
      <c r="H31" s="307"/>
      <c r="I31" s="308">
        <f>I27-I29</f>
        <v>39</v>
      </c>
      <c r="J31" s="305">
        <f t="shared" ref="J31:Y31" si="49">J27-J29</f>
        <v>12</v>
      </c>
      <c r="K31" s="306">
        <f t="shared" si="49"/>
        <v>11</v>
      </c>
      <c r="L31" s="306">
        <f t="shared" si="49"/>
        <v>22</v>
      </c>
      <c r="M31" s="307">
        <f t="shared" si="49"/>
        <v>9</v>
      </c>
      <c r="N31" s="308">
        <f t="shared" si="49"/>
        <v>54</v>
      </c>
      <c r="O31" s="305">
        <f t="shared" si="49"/>
        <v>23</v>
      </c>
      <c r="P31" s="306">
        <f t="shared" si="49"/>
        <v>57</v>
      </c>
      <c r="Q31" s="306">
        <f>Q27-Q29</f>
        <v>56</v>
      </c>
      <c r="R31" s="307">
        <f>R27-R29</f>
        <v>58</v>
      </c>
      <c r="S31" s="308">
        <f t="shared" si="49"/>
        <v>194</v>
      </c>
      <c r="T31" s="305">
        <f t="shared" si="49"/>
        <v>58</v>
      </c>
      <c r="U31" s="306">
        <f t="shared" si="49"/>
        <v>52</v>
      </c>
      <c r="V31" s="306">
        <f>V27-V29</f>
        <v>59</v>
      </c>
      <c r="W31" s="307">
        <f t="shared" si="49"/>
        <v>57</v>
      </c>
      <c r="X31" s="308">
        <f t="shared" si="49"/>
        <v>226</v>
      </c>
      <c r="Y31" s="305">
        <f t="shared" si="49"/>
        <v>51</v>
      </c>
      <c r="Z31" s="306">
        <f t="shared" ref="Z31:AF31" si="50">Z27-Z29</f>
        <v>51</v>
      </c>
      <c r="AA31" s="306">
        <f t="shared" si="50"/>
        <v>54</v>
      </c>
      <c r="AB31" s="307">
        <f t="shared" si="50"/>
        <v>58</v>
      </c>
      <c r="AC31" s="308">
        <f t="shared" si="50"/>
        <v>214</v>
      </c>
      <c r="AD31" s="305">
        <f t="shared" si="50"/>
        <v>51</v>
      </c>
      <c r="AE31" s="306">
        <f t="shared" si="50"/>
        <v>63</v>
      </c>
      <c r="AF31" s="306">
        <f t="shared" si="50"/>
        <v>55</v>
      </c>
      <c r="AG31" s="307">
        <f>AG27-AG29</f>
        <v>54</v>
      </c>
      <c r="AH31" s="308">
        <f>AH27-AH29</f>
        <v>223</v>
      </c>
      <c r="AI31" s="305">
        <f>AI27-AI29</f>
        <v>72</v>
      </c>
      <c r="AJ31" s="306">
        <f>AJ27-AJ29</f>
        <v>89</v>
      </c>
      <c r="AK31" s="306">
        <f t="shared" ref="AK31" si="51">AK27-AK29</f>
        <v>70</v>
      </c>
      <c r="AL31" s="307">
        <f>AL27-AL29</f>
        <v>67</v>
      </c>
      <c r="AM31" s="308">
        <f>AM27-AM29</f>
        <v>298</v>
      </c>
      <c r="AN31" s="305">
        <f>AN27-AN29</f>
        <v>74</v>
      </c>
      <c r="AO31" s="306">
        <f>AO27-AO29</f>
        <v>71</v>
      </c>
      <c r="AP31" s="306">
        <f t="shared" ref="AP31" si="52">AP27-AP29</f>
        <v>78</v>
      </c>
      <c r="AQ31" s="307">
        <f>AQ27-AQ29</f>
        <v>108</v>
      </c>
      <c r="AR31" s="308">
        <f>AR27-AR29</f>
        <v>331</v>
      </c>
      <c r="AS31" s="305">
        <f t="shared" ref="AS31:BB31" si="53">AS27-AS29</f>
        <v>88</v>
      </c>
      <c r="AT31" s="306">
        <f>AT27-AT29</f>
        <v>92</v>
      </c>
      <c r="AU31" s="306">
        <f>AU27-AU29</f>
        <v>84</v>
      </c>
      <c r="AV31" s="307">
        <f>AV27-AV29</f>
        <v>72</v>
      </c>
      <c r="AW31" s="308">
        <f>AW27-AW29</f>
        <v>336</v>
      </c>
      <c r="AX31" s="305">
        <f t="shared" si="53"/>
        <v>97.095307819678226</v>
      </c>
      <c r="AY31" s="306">
        <f t="shared" si="53"/>
        <v>100.1149558817833</v>
      </c>
      <c r="AZ31" s="306">
        <f t="shared" si="53"/>
        <v>101.26877932145045</v>
      </c>
      <c r="BA31" s="307">
        <f t="shared" si="53"/>
        <v>104.38217813867959</v>
      </c>
      <c r="BB31" s="308">
        <f t="shared" si="53"/>
        <v>402.86122116159146</v>
      </c>
      <c r="BC31" s="305">
        <f t="shared" ref="BC31:BL31" si="54">BC27-BC29</f>
        <v>106.56161830388226</v>
      </c>
      <c r="BD31" s="306">
        <f t="shared" si="54"/>
        <v>109.56019249112217</v>
      </c>
      <c r="BE31" s="306">
        <f t="shared" si="54"/>
        <v>110.67784605592418</v>
      </c>
      <c r="BF31" s="307">
        <f t="shared" si="54"/>
        <v>113.86777699828815</v>
      </c>
      <c r="BG31" s="308">
        <f t="shared" si="54"/>
        <v>440.66743384921665</v>
      </c>
      <c r="BH31" s="305">
        <f t="shared" si="54"/>
        <v>117.52645334862564</v>
      </c>
      <c r="BI31" s="306">
        <f t="shared" si="54"/>
        <v>120.50327804100041</v>
      </c>
      <c r="BJ31" s="306">
        <f t="shared" si="54"/>
        <v>121.58378419093727</v>
      </c>
      <c r="BK31" s="307">
        <f t="shared" si="54"/>
        <v>124.8510005784361</v>
      </c>
      <c r="BL31" s="308">
        <f t="shared" si="54"/>
        <v>484.46451615899929</v>
      </c>
      <c r="BM31" s="305">
        <f t="shared" ref="BM31:BQ31" si="55">BM27-BM29</f>
        <v>128.25327570810845</v>
      </c>
      <c r="BN31" s="306">
        <f t="shared" si="55"/>
        <v>131.20766551021805</v>
      </c>
      <c r="BO31" s="306">
        <f t="shared" si="55"/>
        <v>132.25003089148976</v>
      </c>
      <c r="BP31" s="307">
        <f t="shared" si="55"/>
        <v>135.59529961572343</v>
      </c>
      <c r="BQ31" s="308">
        <f t="shared" si="55"/>
        <v>527.30627172553932</v>
      </c>
      <c r="BR31" s="221"/>
      <c r="BS31" s="221"/>
      <c r="BT31" s="221"/>
    </row>
    <row r="32" spans="1:72" s="81" customFormat="1">
      <c r="A32" s="315"/>
      <c r="B32" s="315"/>
      <c r="C32" s="1184" t="s">
        <v>432</v>
      </c>
      <c r="E32" s="288"/>
      <c r="F32" s="289"/>
      <c r="G32" s="289"/>
      <c r="H32" s="290"/>
      <c r="I32" s="291">
        <v>0</v>
      </c>
      <c r="J32" s="288">
        <f>1-K32</f>
        <v>1</v>
      </c>
      <c r="K32" s="289">
        <v>0</v>
      </c>
      <c r="L32" s="289">
        <v>1</v>
      </c>
      <c r="M32" s="290">
        <f>+N32-L32-K32-J32</f>
        <v>2</v>
      </c>
      <c r="N32" s="291">
        <f>(3+2-1)</f>
        <v>4</v>
      </c>
      <c r="O32" s="288">
        <f>3-P32</f>
        <v>2</v>
      </c>
      <c r="P32" s="289">
        <v>1</v>
      </c>
      <c r="Q32" s="289">
        <v>0</v>
      </c>
      <c r="R32" s="102">
        <f>+S32-Q32-P32-O32</f>
        <v>1</v>
      </c>
      <c r="S32" s="291">
        <f>(4+2-2)</f>
        <v>4</v>
      </c>
      <c r="T32" s="288">
        <v>0</v>
      </c>
      <c r="U32" s="289">
        <v>0</v>
      </c>
      <c r="V32" s="289">
        <v>0</v>
      </c>
      <c r="W32" s="102">
        <f>+X32-V32-U32-T32</f>
        <v>3</v>
      </c>
      <c r="X32" s="291">
        <f>(3+2-2)</f>
        <v>3</v>
      </c>
      <c r="Y32" s="288">
        <v>0</v>
      </c>
      <c r="Z32" s="302">
        <v>0</v>
      </c>
      <c r="AA32" s="302">
        <v>0</v>
      </c>
      <c r="AB32" s="102">
        <f>+AC32-AA32-Z32-Y32</f>
        <v>0</v>
      </c>
      <c r="AC32" s="291">
        <v>0</v>
      </c>
      <c r="AD32" s="288">
        <v>0</v>
      </c>
      <c r="AE32" s="302">
        <v>0</v>
      </c>
      <c r="AF32" s="302">
        <v>0</v>
      </c>
      <c r="AG32" s="102">
        <f>+AH32-AF32-AE32-AD32</f>
        <v>3</v>
      </c>
      <c r="AH32" s="291">
        <v>3</v>
      </c>
      <c r="AI32" s="288">
        <v>0</v>
      </c>
      <c r="AJ32" s="302">
        <v>0</v>
      </c>
      <c r="AK32" s="302">
        <v>0</v>
      </c>
      <c r="AL32" s="102">
        <f>+AM32-AK32-AJ32-AI32</f>
        <v>2</v>
      </c>
      <c r="AM32" s="291">
        <v>2</v>
      </c>
      <c r="AN32" s="288">
        <v>0</v>
      </c>
      <c r="AO32" s="302">
        <v>0</v>
      </c>
      <c r="AP32" s="302">
        <v>0</v>
      </c>
      <c r="AQ32" s="102">
        <f>+AR32-AP32-AO32-AN32</f>
        <v>1</v>
      </c>
      <c r="AR32" s="291">
        <v>1</v>
      </c>
      <c r="AS32" s="288">
        <v>0</v>
      </c>
      <c r="AT32" s="302">
        <v>0</v>
      </c>
      <c r="AU32" s="302">
        <v>8</v>
      </c>
      <c r="AV32" s="102">
        <f>+AW32-AU32-AT32-AS32</f>
        <v>23</v>
      </c>
      <c r="AW32" s="291">
        <v>31</v>
      </c>
      <c r="AX32" s="296">
        <f>BB32/4</f>
        <v>0</v>
      </c>
      <c r="AY32" s="297">
        <f>BB32/4</f>
        <v>0</v>
      </c>
      <c r="AZ32" s="297">
        <f>BB32/4</f>
        <v>0</v>
      </c>
      <c r="BA32" s="290">
        <f>BB32/4</f>
        <v>0</v>
      </c>
      <c r="BB32" s="730">
        <v>0</v>
      </c>
      <c r="BC32" s="296">
        <f>BG32/4</f>
        <v>0</v>
      </c>
      <c r="BD32" s="297">
        <f>BG32/4</f>
        <v>0</v>
      </c>
      <c r="BE32" s="297">
        <f>BG32/4</f>
        <v>0</v>
      </c>
      <c r="BF32" s="290">
        <f>BG32/4</f>
        <v>0</v>
      </c>
      <c r="BG32" s="730">
        <v>0</v>
      </c>
      <c r="BH32" s="296">
        <f>BL32/4</f>
        <v>0</v>
      </c>
      <c r="BI32" s="297">
        <f>BL32/4</f>
        <v>0</v>
      </c>
      <c r="BJ32" s="297">
        <f>BL32/4</f>
        <v>0</v>
      </c>
      <c r="BK32" s="290">
        <f>BL32/4</f>
        <v>0</v>
      </c>
      <c r="BL32" s="730">
        <v>0</v>
      </c>
      <c r="BM32" s="296">
        <f>BQ32/4</f>
        <v>0</v>
      </c>
      <c r="BN32" s="297">
        <f>BQ32/4</f>
        <v>0</v>
      </c>
      <c r="BO32" s="297">
        <f>BQ32/4</f>
        <v>0</v>
      </c>
      <c r="BP32" s="290">
        <f>BQ32/4</f>
        <v>0</v>
      </c>
      <c r="BQ32" s="730">
        <v>0</v>
      </c>
      <c r="BR32" s="221"/>
      <c r="BS32" s="221"/>
      <c r="BT32" s="221"/>
    </row>
    <row r="33" spans="1:106" s="81" customFormat="1">
      <c r="A33" s="315"/>
      <c r="B33" s="315"/>
      <c r="C33" s="1186" t="s">
        <v>203</v>
      </c>
      <c r="E33" s="305"/>
      <c r="F33" s="306"/>
      <c r="G33" s="306"/>
      <c r="H33" s="307"/>
      <c r="I33" s="308">
        <f>I31+I32</f>
        <v>39</v>
      </c>
      <c r="J33" s="305">
        <f>J31+J32</f>
        <v>13</v>
      </c>
      <c r="K33" s="306">
        <f t="shared" ref="K33:AD33" si="56">K31+K32</f>
        <v>11</v>
      </c>
      <c r="L33" s="306">
        <f t="shared" si="56"/>
        <v>23</v>
      </c>
      <c r="M33" s="307">
        <f t="shared" si="56"/>
        <v>11</v>
      </c>
      <c r="N33" s="308">
        <f t="shared" si="56"/>
        <v>58</v>
      </c>
      <c r="O33" s="305">
        <f t="shared" si="56"/>
        <v>25</v>
      </c>
      <c r="P33" s="306">
        <f t="shared" si="56"/>
        <v>58</v>
      </c>
      <c r="Q33" s="306">
        <f t="shared" si="56"/>
        <v>56</v>
      </c>
      <c r="R33" s="307">
        <f t="shared" si="56"/>
        <v>59</v>
      </c>
      <c r="S33" s="308">
        <f t="shared" si="56"/>
        <v>198</v>
      </c>
      <c r="T33" s="305">
        <f t="shared" si="56"/>
        <v>58</v>
      </c>
      <c r="U33" s="306">
        <f t="shared" si="56"/>
        <v>52</v>
      </c>
      <c r="V33" s="306">
        <f t="shared" si="56"/>
        <v>59</v>
      </c>
      <c r="W33" s="307">
        <f t="shared" si="56"/>
        <v>60</v>
      </c>
      <c r="X33" s="308">
        <f t="shared" si="56"/>
        <v>229</v>
      </c>
      <c r="Y33" s="305">
        <f t="shared" si="56"/>
        <v>51</v>
      </c>
      <c r="Z33" s="306">
        <f>Z31+Z32</f>
        <v>51</v>
      </c>
      <c r="AA33" s="306">
        <f>AA31+AA32</f>
        <v>54</v>
      </c>
      <c r="AB33" s="307">
        <f>AB31+AB32</f>
        <v>58</v>
      </c>
      <c r="AC33" s="308">
        <f>AC31+AC32</f>
        <v>214</v>
      </c>
      <c r="AD33" s="305">
        <f t="shared" si="56"/>
        <v>51</v>
      </c>
      <c r="AE33" s="306">
        <f t="shared" ref="AE33:AJ33" si="57">AE31+AE32</f>
        <v>63</v>
      </c>
      <c r="AF33" s="306">
        <f t="shared" si="57"/>
        <v>55</v>
      </c>
      <c r="AG33" s="307">
        <f t="shared" si="57"/>
        <v>57</v>
      </c>
      <c r="AH33" s="308">
        <f t="shared" si="57"/>
        <v>226</v>
      </c>
      <c r="AI33" s="305">
        <f t="shared" si="57"/>
        <v>72</v>
      </c>
      <c r="AJ33" s="306">
        <f t="shared" si="57"/>
        <v>89</v>
      </c>
      <c r="AK33" s="306">
        <f t="shared" ref="AK33:AO33" si="58">AK31+AK32</f>
        <v>70</v>
      </c>
      <c r="AL33" s="307">
        <f t="shared" si="58"/>
        <v>69</v>
      </c>
      <c r="AM33" s="308">
        <f t="shared" si="58"/>
        <v>300</v>
      </c>
      <c r="AN33" s="305">
        <f t="shared" si="58"/>
        <v>74</v>
      </c>
      <c r="AO33" s="306">
        <f t="shared" si="58"/>
        <v>71</v>
      </c>
      <c r="AP33" s="306">
        <f t="shared" ref="AP33:AR33" si="59">AP31+AP32</f>
        <v>78</v>
      </c>
      <c r="AQ33" s="307">
        <f t="shared" si="59"/>
        <v>109</v>
      </c>
      <c r="AR33" s="308">
        <f t="shared" si="59"/>
        <v>332</v>
      </c>
      <c r="AS33" s="305">
        <f t="shared" ref="AS33:BB33" si="60">AS31+AS32</f>
        <v>88</v>
      </c>
      <c r="AT33" s="306">
        <f t="shared" si="60"/>
        <v>92</v>
      </c>
      <c r="AU33" s="306">
        <f t="shared" ref="AU33:AW33" si="61">AU31+AU32</f>
        <v>92</v>
      </c>
      <c r="AV33" s="307">
        <f t="shared" si="61"/>
        <v>95</v>
      </c>
      <c r="AW33" s="308">
        <f t="shared" si="61"/>
        <v>367</v>
      </c>
      <c r="AX33" s="305">
        <f t="shared" si="60"/>
        <v>97.095307819678226</v>
      </c>
      <c r="AY33" s="306">
        <f t="shared" si="60"/>
        <v>100.1149558817833</v>
      </c>
      <c r="AZ33" s="306">
        <f t="shared" si="60"/>
        <v>101.26877932145045</v>
      </c>
      <c r="BA33" s="307">
        <f t="shared" si="60"/>
        <v>104.38217813867959</v>
      </c>
      <c r="BB33" s="308">
        <f t="shared" si="60"/>
        <v>402.86122116159146</v>
      </c>
      <c r="BC33" s="305">
        <f t="shared" ref="BC33:BL33" si="62">BC31+BC32</f>
        <v>106.56161830388226</v>
      </c>
      <c r="BD33" s="306">
        <f t="shared" si="62"/>
        <v>109.56019249112217</v>
      </c>
      <c r="BE33" s="306">
        <f t="shared" si="62"/>
        <v>110.67784605592418</v>
      </c>
      <c r="BF33" s="307">
        <f t="shared" si="62"/>
        <v>113.86777699828815</v>
      </c>
      <c r="BG33" s="308">
        <f t="shared" si="62"/>
        <v>440.66743384921665</v>
      </c>
      <c r="BH33" s="305">
        <f t="shared" si="62"/>
        <v>117.52645334862564</v>
      </c>
      <c r="BI33" s="306">
        <f t="shared" si="62"/>
        <v>120.50327804100041</v>
      </c>
      <c r="BJ33" s="306">
        <f t="shared" si="62"/>
        <v>121.58378419093727</v>
      </c>
      <c r="BK33" s="307">
        <f t="shared" si="62"/>
        <v>124.8510005784361</v>
      </c>
      <c r="BL33" s="308">
        <f t="shared" si="62"/>
        <v>484.46451615899929</v>
      </c>
      <c r="BM33" s="305">
        <f t="shared" ref="BM33:BQ33" si="63">BM31+BM32</f>
        <v>128.25327570810845</v>
      </c>
      <c r="BN33" s="306">
        <f t="shared" si="63"/>
        <v>131.20766551021805</v>
      </c>
      <c r="BO33" s="306">
        <f t="shared" si="63"/>
        <v>132.25003089148976</v>
      </c>
      <c r="BP33" s="307">
        <f t="shared" si="63"/>
        <v>135.59529961572343</v>
      </c>
      <c r="BQ33" s="308">
        <f t="shared" si="63"/>
        <v>527.30627172553932</v>
      </c>
      <c r="BR33" s="221"/>
      <c r="BS33" s="673"/>
      <c r="BT33" s="221"/>
    </row>
    <row r="34" spans="1:106" s="81" customFormat="1">
      <c r="A34" s="315"/>
      <c r="B34" s="315"/>
      <c r="C34" s="1188"/>
      <c r="D34" s="793"/>
      <c r="E34" s="504"/>
      <c r="F34" s="505"/>
      <c r="G34" s="505"/>
      <c r="H34" s="506"/>
      <c r="I34" s="782"/>
      <c r="J34" s="504"/>
      <c r="K34" s="505"/>
      <c r="L34" s="505"/>
      <c r="M34" s="506"/>
      <c r="N34" s="782"/>
      <c r="O34" s="504"/>
      <c r="P34" s="505"/>
      <c r="Q34" s="505"/>
      <c r="R34" s="506"/>
      <c r="S34" s="782"/>
      <c r="T34" s="504"/>
      <c r="U34" s="505"/>
      <c r="V34" s="505"/>
      <c r="W34" s="506"/>
      <c r="X34" s="782"/>
      <c r="Y34" s="504"/>
      <c r="Z34" s="505"/>
      <c r="AA34" s="505"/>
      <c r="AB34" s="506"/>
      <c r="AC34" s="782"/>
      <c r="AD34" s="504"/>
      <c r="AE34" s="505"/>
      <c r="AF34" s="505"/>
      <c r="AG34" s="506"/>
      <c r="AH34" s="782"/>
      <c r="AI34" s="504"/>
      <c r="AJ34" s="505"/>
      <c r="AK34" s="505"/>
      <c r="AL34" s="506"/>
      <c r="AM34" s="782"/>
      <c r="AN34" s="504"/>
      <c r="AO34" s="505"/>
      <c r="AP34" s="505"/>
      <c r="AQ34" s="506"/>
      <c r="AR34" s="782"/>
      <c r="AS34" s="504"/>
      <c r="AT34" s="505"/>
      <c r="AU34" s="505"/>
      <c r="AV34" s="506"/>
      <c r="AW34" s="782"/>
      <c r="AX34" s="504"/>
      <c r="AY34" s="505"/>
      <c r="AZ34" s="505"/>
      <c r="BA34" s="506"/>
      <c r="BB34" s="782"/>
      <c r="BC34" s="504"/>
      <c r="BD34" s="505"/>
      <c r="BE34" s="505"/>
      <c r="BF34" s="506"/>
      <c r="BG34" s="782"/>
      <c r="BH34" s="504"/>
      <c r="BI34" s="505"/>
      <c r="BJ34" s="505"/>
      <c r="BK34" s="506"/>
      <c r="BL34" s="782"/>
      <c r="BM34" s="504"/>
      <c r="BN34" s="505"/>
      <c r="BO34" s="505"/>
      <c r="BP34" s="506"/>
      <c r="BQ34" s="782"/>
      <c r="BR34" s="221"/>
      <c r="BS34" s="221"/>
      <c r="BT34" s="221"/>
    </row>
    <row r="35" spans="1:106" s="81" customFormat="1">
      <c r="A35" s="315"/>
      <c r="B35" s="315"/>
      <c r="C35" s="1184" t="s">
        <v>252</v>
      </c>
      <c r="E35" s="309"/>
      <c r="F35" s="310"/>
      <c r="G35" s="310"/>
      <c r="H35" s="311"/>
      <c r="I35" s="285">
        <f>FirstEnergy!I47</f>
        <v>304</v>
      </c>
      <c r="J35" s="309">
        <f>FirstEnergy!J47</f>
        <v>304</v>
      </c>
      <c r="K35" s="310">
        <f>FirstEnergy!K47</f>
        <v>304</v>
      </c>
      <c r="L35" s="310">
        <f>FirstEnergy!L47</f>
        <v>304</v>
      </c>
      <c r="M35" s="311">
        <f>FirstEnergy!M47</f>
        <v>304</v>
      </c>
      <c r="N35" s="285">
        <f>FirstEnergy!N47</f>
        <v>304</v>
      </c>
      <c r="O35" s="309">
        <f>FirstEnergy!O47</f>
        <v>342</v>
      </c>
      <c r="P35" s="310">
        <f>FirstEnergy!P47</f>
        <v>418</v>
      </c>
      <c r="Q35" s="310">
        <f>FirstEnergy!Q47</f>
        <v>418</v>
      </c>
      <c r="R35" s="311">
        <f>FirstEnergy!R47</f>
        <v>418</v>
      </c>
      <c r="S35" s="285">
        <f>FirstEnergy!S47</f>
        <v>399</v>
      </c>
      <c r="T35" s="309">
        <f>FirstEnergy!T47</f>
        <v>418</v>
      </c>
      <c r="U35" s="310">
        <f>FirstEnergy!U47</f>
        <v>417</v>
      </c>
      <c r="V35" s="310">
        <f>FirstEnergy!V47</f>
        <v>417</v>
      </c>
      <c r="W35" s="311">
        <f>FirstEnergy!W47</f>
        <v>418</v>
      </c>
      <c r="X35" s="285">
        <f>FirstEnergy!X47</f>
        <v>418</v>
      </c>
      <c r="Y35" s="309">
        <f>FirstEnergy!Y47</f>
        <v>418</v>
      </c>
      <c r="Z35" s="297">
        <f>FirstEnergy!Z47</f>
        <v>418</v>
      </c>
      <c r="AA35" s="297">
        <f>FirstEnergy!AA47</f>
        <v>418</v>
      </c>
      <c r="AB35" s="311">
        <f>FirstEnergy!AB47</f>
        <v>418</v>
      </c>
      <c r="AC35" s="285">
        <f>FirstEnergy!AC47</f>
        <v>418</v>
      </c>
      <c r="AD35" s="309">
        <f>FirstEnergy!AD47</f>
        <v>419</v>
      </c>
      <c r="AE35" s="297">
        <f>FirstEnergy!AE47</f>
        <v>420</v>
      </c>
      <c r="AF35" s="297">
        <f>FirstEnergy!AF47</f>
        <v>420</v>
      </c>
      <c r="AG35" s="311">
        <f>FirstEnergy!AG47</f>
        <v>421</v>
      </c>
      <c r="AH35" s="285">
        <f>FirstEnergy!AH47</f>
        <v>420</v>
      </c>
      <c r="AI35" s="309">
        <f>FirstEnergy!AI47</f>
        <v>421</v>
      </c>
      <c r="AJ35" s="297">
        <f>FirstEnergy!AJ47</f>
        <v>422</v>
      </c>
      <c r="AK35" s="297">
        <f>FirstEnergy!AK47</f>
        <v>423</v>
      </c>
      <c r="AL35" s="311">
        <f>FirstEnergy!AL47</f>
        <v>423</v>
      </c>
      <c r="AM35" s="285">
        <f>FirstEnergy!AM47</f>
        <v>422</v>
      </c>
      <c r="AN35" s="309">
        <f>FirstEnergy!AN47</f>
        <v>424</v>
      </c>
      <c r="AO35" s="297">
        <f>FirstEnergy!AO47</f>
        <v>425</v>
      </c>
      <c r="AP35" s="297">
        <f>FirstEnergy!AP47</f>
        <v>425</v>
      </c>
      <c r="AQ35" s="311">
        <f>FirstEnergy!AQ47</f>
        <v>431</v>
      </c>
      <c r="AR35" s="285">
        <f>FirstEnergy!AR47</f>
        <v>426</v>
      </c>
      <c r="AS35" s="309">
        <f>FirstEnergy!AS47</f>
        <v>443</v>
      </c>
      <c r="AT35" s="297">
        <f>FirstEnergy!AT47</f>
        <v>444</v>
      </c>
      <c r="AU35" s="297">
        <f>FirstEnergy!AU47</f>
        <v>444</v>
      </c>
      <c r="AV35" s="311">
        <f>FirstEnergy!AV47</f>
        <v>445</v>
      </c>
      <c r="AW35" s="285">
        <f>FirstEnergy!AW47</f>
        <v>444</v>
      </c>
      <c r="AX35" s="309">
        <f>FirstEnergy!AX47</f>
        <v>460.39435196385546</v>
      </c>
      <c r="AY35" s="310">
        <f>FirstEnergy!AY47</f>
        <v>475.45459292771085</v>
      </c>
      <c r="AZ35" s="310">
        <f>FirstEnergy!AZ47</f>
        <v>476.90386829002966</v>
      </c>
      <c r="BA35" s="311">
        <f>FirstEnergy!BA47</f>
        <v>478.35314365234854</v>
      </c>
      <c r="BB35" s="285">
        <f>FirstEnergy!BB47</f>
        <v>472.77648920848617</v>
      </c>
      <c r="BC35" s="309">
        <f>FirstEnergy!BC47</f>
        <v>478.35314365234854</v>
      </c>
      <c r="BD35" s="310">
        <f>FirstEnergy!BD47</f>
        <v>478.35314365234854</v>
      </c>
      <c r="BE35" s="310">
        <f>FirstEnergy!BE47</f>
        <v>507.89362505278615</v>
      </c>
      <c r="BF35" s="311">
        <f>FirstEnergy!BF47</f>
        <v>538.88338181554263</v>
      </c>
      <c r="BG35" s="285">
        <f>FirstEnergy!BG47</f>
        <v>500.87082354325645</v>
      </c>
      <c r="BH35" s="309">
        <f>FirstEnergy!BH47</f>
        <v>540.69497601844114</v>
      </c>
      <c r="BI35" s="310">
        <f>FirstEnergy!BI47</f>
        <v>541.4196136996004</v>
      </c>
      <c r="BJ35" s="310">
        <f>FirstEnergy!BJ47</f>
        <v>542.1442513807599</v>
      </c>
      <c r="BK35" s="311">
        <f>FirstEnergy!BK47</f>
        <v>542.86888906191916</v>
      </c>
      <c r="BL35" s="285">
        <f>FirstEnergy!BL47</f>
        <v>541.78193254018015</v>
      </c>
      <c r="BM35" s="309">
        <f>FirstEnergy!BM47</f>
        <v>543.54370790249891</v>
      </c>
      <c r="BN35" s="310">
        <f>FirstEnergy!BN47</f>
        <v>544.16870790249891</v>
      </c>
      <c r="BO35" s="310">
        <f>FirstEnergy!BO47</f>
        <v>544.79370790249891</v>
      </c>
      <c r="BP35" s="311">
        <f>FirstEnergy!BP47</f>
        <v>545.41870790249891</v>
      </c>
      <c r="BQ35" s="285">
        <f>FirstEnergy!BQ47</f>
        <v>544.48120790249891</v>
      </c>
      <c r="BR35" s="221"/>
      <c r="BS35" s="221"/>
      <c r="BT35" s="221"/>
    </row>
    <row r="36" spans="1:106" s="81" customFormat="1">
      <c r="A36" s="315"/>
      <c r="B36" s="315"/>
      <c r="C36" s="1184" t="s">
        <v>253</v>
      </c>
      <c r="E36" s="309"/>
      <c r="F36" s="310"/>
      <c r="G36" s="310"/>
      <c r="H36" s="311"/>
      <c r="I36" s="285">
        <f>FirstEnergy!I48</f>
        <v>306</v>
      </c>
      <c r="J36" s="309">
        <f>FirstEnergy!J48</f>
        <v>306</v>
      </c>
      <c r="K36" s="310">
        <f>FirstEnergy!K48</f>
        <v>305</v>
      </c>
      <c r="L36" s="310">
        <f>FirstEnergy!L48</f>
        <v>305</v>
      </c>
      <c r="M36" s="311">
        <f>FirstEnergy!M48</f>
        <v>306</v>
      </c>
      <c r="N36" s="285">
        <f>FirstEnergy!N48</f>
        <v>305</v>
      </c>
      <c r="O36" s="309">
        <f>FirstEnergy!O48</f>
        <v>343</v>
      </c>
      <c r="P36" s="310">
        <f>FirstEnergy!P48</f>
        <v>420</v>
      </c>
      <c r="Q36" s="310">
        <f>FirstEnergy!Q48</f>
        <v>420</v>
      </c>
      <c r="R36" s="311">
        <f>FirstEnergy!R48</f>
        <v>420</v>
      </c>
      <c r="S36" s="285">
        <f>FirstEnergy!S48</f>
        <v>401</v>
      </c>
      <c r="T36" s="309">
        <f>FirstEnergy!T48</f>
        <v>420</v>
      </c>
      <c r="U36" s="310">
        <f>FirstEnergy!U48</f>
        <v>419</v>
      </c>
      <c r="V36" s="310">
        <f>FirstEnergy!V48</f>
        <v>419</v>
      </c>
      <c r="W36" s="311">
        <f>FirstEnergy!W48</f>
        <v>419</v>
      </c>
      <c r="X36" s="285">
        <f>FirstEnergy!X48</f>
        <v>419</v>
      </c>
      <c r="Y36" s="309">
        <f>FirstEnergy!Y48</f>
        <v>419</v>
      </c>
      <c r="Z36" s="297">
        <f>FirstEnergy!Z48</f>
        <v>418</v>
      </c>
      <c r="AA36" s="297">
        <f>FirstEnergy!AA48</f>
        <v>419</v>
      </c>
      <c r="AB36" s="311">
        <f>FirstEnergy!AB48</f>
        <v>419</v>
      </c>
      <c r="AC36" s="285">
        <f>FirstEnergy!AC48</f>
        <v>419</v>
      </c>
      <c r="AD36" s="309">
        <f>FirstEnergy!AD48</f>
        <v>420</v>
      </c>
      <c r="AE36" s="297">
        <f>FirstEnergy!AE48</f>
        <v>421</v>
      </c>
      <c r="AF36" s="297">
        <f>FirstEnergy!AF48</f>
        <v>421</v>
      </c>
      <c r="AG36" s="311">
        <f>FirstEnergy!AG48</f>
        <v>421</v>
      </c>
      <c r="AH36" s="285">
        <f>FirstEnergy!AH48</f>
        <v>421</v>
      </c>
      <c r="AI36" s="309">
        <f>FirstEnergy!AI48</f>
        <v>423</v>
      </c>
      <c r="AJ36" s="297">
        <f>FirstEnergy!AJ48</f>
        <v>423</v>
      </c>
      <c r="AK36" s="297">
        <f>FirstEnergy!AK48</f>
        <v>424</v>
      </c>
      <c r="AL36" s="311">
        <f>FirstEnergy!AL48</f>
        <v>423</v>
      </c>
      <c r="AM36" s="285">
        <f>FirstEnergy!AM48</f>
        <v>424</v>
      </c>
      <c r="AN36" s="309">
        <f>FirstEnergy!AN48</f>
        <v>426</v>
      </c>
      <c r="AO36" s="297">
        <f>FirstEnergy!AO48</f>
        <v>425</v>
      </c>
      <c r="AP36" s="297">
        <f>FirstEnergy!AP48</f>
        <v>427</v>
      </c>
      <c r="AQ36" s="311">
        <f>FirstEnergy!AQ48</f>
        <v>431</v>
      </c>
      <c r="AR36" s="285">
        <f>FirstEnergy!AR48</f>
        <v>426</v>
      </c>
      <c r="AS36" s="309">
        <f>FirstEnergy!AS48</f>
        <v>444</v>
      </c>
      <c r="AT36" s="297">
        <f>FirstEnergy!AT48</f>
        <v>445</v>
      </c>
      <c r="AU36" s="297">
        <f>FirstEnergy!AU48</f>
        <v>446</v>
      </c>
      <c r="AV36" s="311">
        <f>FirstEnergy!AV48</f>
        <v>445</v>
      </c>
      <c r="AW36" s="285">
        <f>FirstEnergy!AW48</f>
        <v>444</v>
      </c>
      <c r="AX36" s="309">
        <f>FirstEnergy!AX48</f>
        <v>460.39435196385546</v>
      </c>
      <c r="AY36" s="310">
        <f>FirstEnergy!AY48</f>
        <v>475.45459292771085</v>
      </c>
      <c r="AZ36" s="310">
        <f>FirstEnergy!AZ48</f>
        <v>476.90386829002966</v>
      </c>
      <c r="BA36" s="311">
        <f>FirstEnergy!BA48</f>
        <v>478.35314365234854</v>
      </c>
      <c r="BB36" s="285">
        <f>FirstEnergy!BB48</f>
        <v>472.77648920848617</v>
      </c>
      <c r="BC36" s="309">
        <f>FirstEnergy!BC48</f>
        <v>478.35314365234854</v>
      </c>
      <c r="BD36" s="310">
        <f>FirstEnergy!BD48</f>
        <v>478.35314365234854</v>
      </c>
      <c r="BE36" s="310">
        <f>FirstEnergy!BE48</f>
        <v>507.89362505278615</v>
      </c>
      <c r="BF36" s="311">
        <f>FirstEnergy!BF48</f>
        <v>538.88338181554263</v>
      </c>
      <c r="BG36" s="285">
        <f>FirstEnergy!BG48</f>
        <v>500.87082354325645</v>
      </c>
      <c r="BH36" s="309">
        <f>FirstEnergy!BH48</f>
        <v>540.69497601844114</v>
      </c>
      <c r="BI36" s="310">
        <f>FirstEnergy!BI48</f>
        <v>541.4196136996004</v>
      </c>
      <c r="BJ36" s="310">
        <f>FirstEnergy!BJ48</f>
        <v>542.1442513807599</v>
      </c>
      <c r="BK36" s="311">
        <f>FirstEnergy!BK48</f>
        <v>542.86888906191916</v>
      </c>
      <c r="BL36" s="285">
        <f>FirstEnergy!BL48</f>
        <v>541.78193254018015</v>
      </c>
      <c r="BM36" s="309">
        <f>FirstEnergy!BM48</f>
        <v>543.54370790249891</v>
      </c>
      <c r="BN36" s="310">
        <f>FirstEnergy!BN48</f>
        <v>544.16870790249891</v>
      </c>
      <c r="BO36" s="310">
        <f>FirstEnergy!BO48</f>
        <v>544.79370790249891</v>
      </c>
      <c r="BP36" s="311">
        <f>FirstEnergy!BP48</f>
        <v>545.41870790249891</v>
      </c>
      <c r="BQ36" s="285">
        <f>FirstEnergy!BQ48</f>
        <v>544.48120790249891</v>
      </c>
      <c r="BR36" s="221"/>
      <c r="BS36" s="221"/>
      <c r="BT36" s="221"/>
    </row>
    <row r="37" spans="1:106">
      <c r="A37" s="89"/>
      <c r="B37" s="89"/>
      <c r="C37" s="1186"/>
      <c r="E37" s="133"/>
      <c r="F37" s="134"/>
      <c r="G37" s="134"/>
      <c r="H37" s="135"/>
      <c r="I37" s="178"/>
      <c r="J37" s="133"/>
      <c r="K37" s="134"/>
      <c r="L37" s="134"/>
      <c r="M37" s="135"/>
      <c r="N37" s="178"/>
      <c r="O37" s="133"/>
      <c r="P37" s="134"/>
      <c r="Q37" s="134"/>
      <c r="R37" s="135"/>
      <c r="S37" s="178"/>
      <c r="T37" s="133"/>
      <c r="U37" s="134"/>
      <c r="V37" s="134"/>
      <c r="W37" s="135"/>
      <c r="X37" s="178"/>
      <c r="Y37" s="133"/>
      <c r="Z37" s="134"/>
      <c r="AA37" s="134"/>
      <c r="AB37" s="135"/>
      <c r="AC37" s="178"/>
      <c r="AD37" s="133"/>
      <c r="AE37" s="134"/>
      <c r="AF37" s="134"/>
      <c r="AG37" s="135"/>
      <c r="AH37" s="178"/>
      <c r="AI37" s="133"/>
      <c r="AJ37" s="134"/>
      <c r="AK37" s="134"/>
      <c r="AL37" s="135"/>
      <c r="AM37" s="178"/>
      <c r="AN37" s="133"/>
      <c r="AO37" s="134"/>
      <c r="AP37" s="134"/>
      <c r="AQ37" s="135"/>
      <c r="AR37" s="178"/>
      <c r="AS37" s="133"/>
      <c r="AT37" s="134"/>
      <c r="AU37" s="134"/>
      <c r="AV37" s="135"/>
      <c r="AW37" s="178"/>
      <c r="AX37" s="133"/>
      <c r="AY37" s="134"/>
      <c r="AZ37" s="134"/>
      <c r="BA37" s="135"/>
      <c r="BB37" s="178"/>
      <c r="BC37" s="133"/>
      <c r="BD37" s="134"/>
      <c r="BE37" s="134"/>
      <c r="BF37" s="135"/>
      <c r="BG37" s="178"/>
      <c r="BH37" s="133"/>
      <c r="BI37" s="134"/>
      <c r="BJ37" s="134"/>
      <c r="BK37" s="135"/>
      <c r="BL37" s="178"/>
      <c r="BM37" s="133"/>
      <c r="BN37" s="134"/>
      <c r="BO37" s="134"/>
      <c r="BP37" s="135"/>
      <c r="BQ37" s="178"/>
      <c r="BR37" s="177"/>
      <c r="BS37" s="177"/>
      <c r="BT37" s="177"/>
      <c r="BU37" s="15"/>
      <c r="BV37" s="15"/>
      <c r="BW37" s="15"/>
      <c r="BX37" s="15"/>
      <c r="BY37" s="15"/>
      <c r="BZ37" s="15"/>
      <c r="CA37" s="15"/>
      <c r="CB37" s="15"/>
      <c r="CC37" s="15"/>
      <c r="CD37" s="177"/>
      <c r="CE37" s="92"/>
      <c r="CF37" s="92"/>
      <c r="CG37" s="92"/>
      <c r="CH37" s="92"/>
      <c r="CI37" s="92"/>
      <c r="CJ37" s="92"/>
      <c r="CK37" s="92"/>
      <c r="CL37" s="92"/>
      <c r="CM37" s="92"/>
    </row>
    <row r="38" spans="1:106" s="29" customFormat="1">
      <c r="A38" s="327"/>
      <c r="B38" s="327"/>
      <c r="C38" s="1184" t="s">
        <v>291</v>
      </c>
      <c r="E38" s="116"/>
      <c r="F38" s="117"/>
      <c r="G38" s="117"/>
      <c r="H38" s="118"/>
      <c r="I38" s="119">
        <f t="shared" ref="I38:X38" si="64">I31/I36</f>
        <v>0.12745098039215685</v>
      </c>
      <c r="J38" s="116">
        <f t="shared" si="64"/>
        <v>3.9215686274509803E-2</v>
      </c>
      <c r="K38" s="117">
        <f t="shared" si="64"/>
        <v>3.6065573770491806E-2</v>
      </c>
      <c r="L38" s="117">
        <f t="shared" si="64"/>
        <v>7.2131147540983612E-2</v>
      </c>
      <c r="M38" s="118">
        <f t="shared" si="64"/>
        <v>2.9411764705882353E-2</v>
      </c>
      <c r="N38" s="119">
        <f t="shared" si="64"/>
        <v>0.17704918032786884</v>
      </c>
      <c r="O38" s="116">
        <f t="shared" si="64"/>
        <v>6.7055393586005832E-2</v>
      </c>
      <c r="P38" s="117">
        <f t="shared" si="64"/>
        <v>0.1357142857142857</v>
      </c>
      <c r="Q38" s="117">
        <f>Q31/Q36</f>
        <v>0.13333333333333333</v>
      </c>
      <c r="R38" s="118">
        <f t="shared" si="64"/>
        <v>0.1380952380952381</v>
      </c>
      <c r="S38" s="119">
        <f t="shared" si="64"/>
        <v>0.48379052369077308</v>
      </c>
      <c r="T38" s="116">
        <f t="shared" si="64"/>
        <v>0.1380952380952381</v>
      </c>
      <c r="U38" s="117">
        <f t="shared" si="64"/>
        <v>0.12410501193317422</v>
      </c>
      <c r="V38" s="117">
        <f>V31/V36</f>
        <v>0.14081145584725538</v>
      </c>
      <c r="W38" s="118">
        <f t="shared" si="64"/>
        <v>0.13603818615751789</v>
      </c>
      <c r="X38" s="119">
        <f t="shared" si="64"/>
        <v>0.53937947494033411</v>
      </c>
      <c r="Y38" s="116">
        <f>Y31/Y36</f>
        <v>0.12171837708830549</v>
      </c>
      <c r="Z38" s="1576">
        <f t="shared" ref="Z38:AF38" si="65">Z31/Z36</f>
        <v>0.12200956937799043</v>
      </c>
      <c r="AA38" s="1576">
        <f t="shared" si="65"/>
        <v>0.12887828162291171</v>
      </c>
      <c r="AB38" s="118">
        <f t="shared" si="65"/>
        <v>0.13842482100238662</v>
      </c>
      <c r="AC38" s="119">
        <f t="shared" si="65"/>
        <v>0.51073985680190925</v>
      </c>
      <c r="AD38" s="116">
        <f t="shared" si="65"/>
        <v>0.12142857142857143</v>
      </c>
      <c r="AE38" s="1576">
        <f t="shared" si="65"/>
        <v>0.1496437054631829</v>
      </c>
      <c r="AF38" s="1576">
        <f t="shared" si="65"/>
        <v>0.13064133016627077</v>
      </c>
      <c r="AG38" s="118">
        <f t="shared" ref="AG38:AK38" si="66">AG31/AG36</f>
        <v>0.12826603325415678</v>
      </c>
      <c r="AH38" s="119">
        <f t="shared" si="66"/>
        <v>0.52969121140142517</v>
      </c>
      <c r="AI38" s="116">
        <f t="shared" si="66"/>
        <v>0.1702127659574468</v>
      </c>
      <c r="AJ38" s="1576">
        <f t="shared" si="66"/>
        <v>0.21040189125295508</v>
      </c>
      <c r="AK38" s="1576">
        <f t="shared" si="66"/>
        <v>0.1650943396226415</v>
      </c>
      <c r="AL38" s="118">
        <f t="shared" ref="AL38:AP38" si="67">AL31/AL36</f>
        <v>0.15839243498817968</v>
      </c>
      <c r="AM38" s="119">
        <f t="shared" si="67"/>
        <v>0.70283018867924529</v>
      </c>
      <c r="AN38" s="116">
        <f t="shared" si="67"/>
        <v>0.17370892018779344</v>
      </c>
      <c r="AO38" s="1576">
        <f t="shared" si="67"/>
        <v>0.16705882352941176</v>
      </c>
      <c r="AP38" s="1576">
        <f t="shared" si="67"/>
        <v>0.18266978922716628</v>
      </c>
      <c r="AQ38" s="118">
        <f t="shared" ref="AQ38:AT38" si="68">AQ31/AQ36</f>
        <v>0.25058004640371229</v>
      </c>
      <c r="AR38" s="119">
        <f t="shared" si="68"/>
        <v>0.77699530516431925</v>
      </c>
      <c r="AS38" s="116">
        <f t="shared" si="68"/>
        <v>0.1981981981981982</v>
      </c>
      <c r="AT38" s="1576">
        <f t="shared" si="68"/>
        <v>0.20674157303370785</v>
      </c>
      <c r="AU38" s="1576">
        <f t="shared" ref="AU38:AW38" si="69">AU31/AU36</f>
        <v>0.18834080717488788</v>
      </c>
      <c r="AV38" s="118">
        <f t="shared" si="69"/>
        <v>0.16179775280898875</v>
      </c>
      <c r="AW38" s="119">
        <f t="shared" si="69"/>
        <v>0.7567567567567568</v>
      </c>
      <c r="AX38" s="116">
        <f t="shared" ref="AX38:BB38" si="70">AX31/AX36</f>
        <v>0.21089595779250778</v>
      </c>
      <c r="AY38" s="117">
        <f t="shared" si="70"/>
        <v>0.21056680778979245</v>
      </c>
      <c r="AZ38" s="117">
        <f t="shared" si="70"/>
        <v>0.21234631558883418</v>
      </c>
      <c r="BA38" s="118">
        <f t="shared" si="70"/>
        <v>0.21821154417779087</v>
      </c>
      <c r="BB38" s="119">
        <f t="shared" si="70"/>
        <v>0.85211771388220769</v>
      </c>
      <c r="BC38" s="116">
        <f t="shared" ref="BC38:BL38" si="71">BC31/BC36</f>
        <v>0.22276767638706638</v>
      </c>
      <c r="BD38" s="117">
        <f t="shared" si="71"/>
        <v>0.22903621298399357</v>
      </c>
      <c r="BE38" s="117">
        <f t="shared" si="71"/>
        <v>0.21791540707844337</v>
      </c>
      <c r="BF38" s="118">
        <f t="shared" si="71"/>
        <v>0.21130318885443861</v>
      </c>
      <c r="BG38" s="119">
        <f t="shared" si="71"/>
        <v>0.87980256212939401</v>
      </c>
      <c r="BH38" s="116">
        <f t="shared" si="71"/>
        <v>0.21736183719342944</v>
      </c>
      <c r="BI38" s="117">
        <f t="shared" si="71"/>
        <v>0.22256910350473577</v>
      </c>
      <c r="BJ38" s="117">
        <f t="shared" si="71"/>
        <v>0.22426463783629846</v>
      </c>
      <c r="BK38" s="118">
        <f t="shared" si="71"/>
        <v>0.22998370894707082</v>
      </c>
      <c r="BL38" s="119">
        <f t="shared" si="71"/>
        <v>0.89420574415901177</v>
      </c>
      <c r="BM38" s="116">
        <f t="shared" ref="BM38:BQ38" si="72">BM31/BM36</f>
        <v>0.23595761268772625</v>
      </c>
      <c r="BN38" s="117">
        <f t="shared" si="72"/>
        <v>0.24111578560986843</v>
      </c>
      <c r="BO38" s="117">
        <f t="shared" si="72"/>
        <v>0.24275249323393139</v>
      </c>
      <c r="BP38" s="118">
        <f t="shared" si="72"/>
        <v>0.24860771669746787</v>
      </c>
      <c r="BQ38" s="119">
        <f t="shared" si="72"/>
        <v>0.96845632883617327</v>
      </c>
      <c r="BR38" s="181"/>
      <c r="BS38" s="181"/>
      <c r="BT38" s="181"/>
      <c r="CD38" s="181"/>
      <c r="CE38" s="181"/>
      <c r="CF38" s="181"/>
      <c r="CG38" s="181"/>
      <c r="CH38" s="181"/>
      <c r="CI38" s="181"/>
      <c r="CJ38" s="181"/>
      <c r="CK38" s="181"/>
      <c r="CL38" s="181"/>
      <c r="CM38" s="181"/>
    </row>
    <row r="39" spans="1:106" s="29" customFormat="1">
      <c r="A39" s="327"/>
      <c r="B39" s="327"/>
      <c r="C39" s="1189" t="s">
        <v>292</v>
      </c>
      <c r="D39" s="347"/>
      <c r="E39" s="121"/>
      <c r="F39" s="122"/>
      <c r="G39" s="122"/>
      <c r="H39" s="123"/>
      <c r="I39" s="348">
        <f t="shared" ref="I39:X39" si="73">I33/I36</f>
        <v>0.12745098039215685</v>
      </c>
      <c r="J39" s="121">
        <f t="shared" si="73"/>
        <v>4.2483660130718956E-2</v>
      </c>
      <c r="K39" s="122">
        <f>K33/K36</f>
        <v>3.6065573770491806E-2</v>
      </c>
      <c r="L39" s="122">
        <f>L33/L36</f>
        <v>7.5409836065573776E-2</v>
      </c>
      <c r="M39" s="123">
        <f t="shared" si="73"/>
        <v>3.5947712418300651E-2</v>
      </c>
      <c r="N39" s="348">
        <f t="shared" si="73"/>
        <v>0.1901639344262295</v>
      </c>
      <c r="O39" s="121">
        <f t="shared" si="73"/>
        <v>7.2886297376093298E-2</v>
      </c>
      <c r="P39" s="122">
        <f>P33/P36</f>
        <v>0.1380952380952381</v>
      </c>
      <c r="Q39" s="122">
        <f>Q33/Q36</f>
        <v>0.13333333333333333</v>
      </c>
      <c r="R39" s="123">
        <f t="shared" si="73"/>
        <v>0.14047619047619048</v>
      </c>
      <c r="S39" s="348">
        <f t="shared" si="73"/>
        <v>0.49376558603491272</v>
      </c>
      <c r="T39" s="121">
        <f t="shared" si="73"/>
        <v>0.1380952380952381</v>
      </c>
      <c r="U39" s="122">
        <f>U33/U36</f>
        <v>0.12410501193317422</v>
      </c>
      <c r="V39" s="122">
        <f>V33/V36</f>
        <v>0.14081145584725538</v>
      </c>
      <c r="W39" s="123">
        <f t="shared" si="73"/>
        <v>0.14319809069212411</v>
      </c>
      <c r="X39" s="348">
        <f t="shared" si="73"/>
        <v>0.54653937947494036</v>
      </c>
      <c r="Y39" s="121">
        <f t="shared" ref="Y39:AF39" si="74">Y33/Y36</f>
        <v>0.12171837708830549</v>
      </c>
      <c r="Z39" s="122">
        <f t="shared" si="74"/>
        <v>0.12200956937799043</v>
      </c>
      <c r="AA39" s="122">
        <f t="shared" si="74"/>
        <v>0.12887828162291171</v>
      </c>
      <c r="AB39" s="123">
        <f t="shared" si="74"/>
        <v>0.13842482100238662</v>
      </c>
      <c r="AC39" s="348">
        <f t="shared" si="74"/>
        <v>0.51073985680190925</v>
      </c>
      <c r="AD39" s="121">
        <f t="shared" si="74"/>
        <v>0.12142857142857143</v>
      </c>
      <c r="AE39" s="122">
        <f t="shared" si="74"/>
        <v>0.1496437054631829</v>
      </c>
      <c r="AF39" s="122">
        <f t="shared" si="74"/>
        <v>0.13064133016627077</v>
      </c>
      <c r="AG39" s="123">
        <f>AG33/AG36</f>
        <v>0.13539192399049882</v>
      </c>
      <c r="AH39" s="348">
        <f>AH33/AH36</f>
        <v>0.53681710213776723</v>
      </c>
      <c r="AI39" s="121">
        <f>AI33/AI36</f>
        <v>0.1702127659574468</v>
      </c>
      <c r="AJ39" s="122">
        <f>AJ33/AJ36</f>
        <v>0.21040189125295508</v>
      </c>
      <c r="AK39" s="122">
        <f t="shared" ref="AK39" si="75">AK33/AK36</f>
        <v>0.1650943396226415</v>
      </c>
      <c r="AL39" s="123">
        <f>AL33/AL36</f>
        <v>0.16312056737588654</v>
      </c>
      <c r="AM39" s="348">
        <f>AM33/AM36</f>
        <v>0.70754716981132071</v>
      </c>
      <c r="AN39" s="121">
        <f>AN33/AN36</f>
        <v>0.17370892018779344</v>
      </c>
      <c r="AO39" s="122">
        <f>AO33/AO36</f>
        <v>0.16705882352941176</v>
      </c>
      <c r="AP39" s="122">
        <f t="shared" ref="AP39" si="76">AP33/AP36</f>
        <v>0.18266978922716628</v>
      </c>
      <c r="AQ39" s="123">
        <f t="shared" ref="AQ39:AW39" si="77">AQ33/AQ36</f>
        <v>0.25290023201856149</v>
      </c>
      <c r="AR39" s="348">
        <f t="shared" si="77"/>
        <v>0.77934272300469487</v>
      </c>
      <c r="AS39" s="121">
        <f t="shared" si="77"/>
        <v>0.1981981981981982</v>
      </c>
      <c r="AT39" s="122">
        <f t="shared" si="77"/>
        <v>0.20674157303370785</v>
      </c>
      <c r="AU39" s="122">
        <f t="shared" si="77"/>
        <v>0.20627802690582961</v>
      </c>
      <c r="AV39" s="123">
        <f t="shared" si="77"/>
        <v>0.21348314606741572</v>
      </c>
      <c r="AW39" s="348">
        <f t="shared" si="77"/>
        <v>0.82657657657657657</v>
      </c>
      <c r="AX39" s="121">
        <f t="shared" ref="AX39:BL39" si="78">AX33/AX36</f>
        <v>0.21089595779250778</v>
      </c>
      <c r="AY39" s="122">
        <f t="shared" si="78"/>
        <v>0.21056680778979245</v>
      </c>
      <c r="AZ39" s="122">
        <f t="shared" si="78"/>
        <v>0.21234631558883418</v>
      </c>
      <c r="BA39" s="123">
        <f t="shared" si="78"/>
        <v>0.21821154417779087</v>
      </c>
      <c r="BB39" s="348">
        <f t="shared" si="78"/>
        <v>0.85211771388220769</v>
      </c>
      <c r="BC39" s="121">
        <f t="shared" si="78"/>
        <v>0.22276767638706638</v>
      </c>
      <c r="BD39" s="122">
        <f t="shared" si="78"/>
        <v>0.22903621298399357</v>
      </c>
      <c r="BE39" s="122">
        <f t="shared" si="78"/>
        <v>0.21791540707844337</v>
      </c>
      <c r="BF39" s="123">
        <f t="shared" si="78"/>
        <v>0.21130318885443861</v>
      </c>
      <c r="BG39" s="348">
        <f t="shared" si="78"/>
        <v>0.87980256212939401</v>
      </c>
      <c r="BH39" s="121">
        <f t="shared" si="78"/>
        <v>0.21736183719342944</v>
      </c>
      <c r="BI39" s="122">
        <f t="shared" si="78"/>
        <v>0.22256910350473577</v>
      </c>
      <c r="BJ39" s="122">
        <f t="shared" si="78"/>
        <v>0.22426463783629846</v>
      </c>
      <c r="BK39" s="123">
        <f t="shared" si="78"/>
        <v>0.22998370894707082</v>
      </c>
      <c r="BL39" s="348">
        <f t="shared" si="78"/>
        <v>0.89420574415901177</v>
      </c>
      <c r="BM39" s="121">
        <f t="shared" ref="BM39:BQ39" si="79">BM33/BM36</f>
        <v>0.23595761268772625</v>
      </c>
      <c r="BN39" s="122">
        <f t="shared" si="79"/>
        <v>0.24111578560986843</v>
      </c>
      <c r="BO39" s="122">
        <f t="shared" si="79"/>
        <v>0.24275249323393139</v>
      </c>
      <c r="BP39" s="123">
        <f t="shared" si="79"/>
        <v>0.24860771669746787</v>
      </c>
      <c r="BQ39" s="1333">
        <f t="shared" si="79"/>
        <v>0.96845632883617327</v>
      </c>
      <c r="BR39" s="181"/>
      <c r="BS39" s="181"/>
      <c r="BT39" s="181"/>
      <c r="CD39" s="181"/>
      <c r="CE39" s="181"/>
      <c r="CF39" s="181"/>
      <c r="CG39" s="181"/>
      <c r="CH39" s="181"/>
      <c r="CI39" s="181"/>
      <c r="CJ39" s="181"/>
      <c r="CK39" s="181"/>
      <c r="CL39" s="181"/>
      <c r="CM39" s="181"/>
    </row>
    <row r="40" spans="1:106" s="1286" customFormat="1">
      <c r="A40" s="1274"/>
      <c r="B40" s="1274"/>
      <c r="C40" s="1289" t="s">
        <v>698</v>
      </c>
      <c r="D40" s="1290"/>
      <c r="E40" s="1291"/>
      <c r="F40" s="1292"/>
      <c r="G40" s="1292"/>
      <c r="H40" s="1293"/>
      <c r="I40" s="1213"/>
      <c r="J40" s="1291"/>
      <c r="K40" s="1292"/>
      <c r="L40" s="1292"/>
      <c r="M40" s="1293"/>
      <c r="N40" s="1213"/>
      <c r="O40" s="1291"/>
      <c r="P40" s="1292"/>
      <c r="Q40" s="1292"/>
      <c r="R40" s="1293"/>
      <c r="S40" s="1213"/>
      <c r="T40" s="1291"/>
      <c r="U40" s="1292"/>
      <c r="V40" s="1292"/>
      <c r="W40" s="1293"/>
      <c r="X40" s="1213"/>
      <c r="Y40" s="1291"/>
      <c r="Z40" s="1292"/>
      <c r="AA40" s="1292"/>
      <c r="AB40" s="1293"/>
      <c r="AC40" s="1294">
        <f>+AC39/X39-1</f>
        <v>-6.550218340611369E-2</v>
      </c>
      <c r="AD40" s="1291"/>
      <c r="AE40" s="1292"/>
      <c r="AF40" s="1292"/>
      <c r="AG40" s="1297"/>
      <c r="AH40" s="1294">
        <f>+AH39/AC39-1</f>
        <v>5.1057784092170433E-2</v>
      </c>
      <c r="AI40" s="1295"/>
      <c r="AJ40" s="1296"/>
      <c r="AK40" s="1292"/>
      <c r="AL40" s="1297"/>
      <c r="AM40" s="1294">
        <f>+AM39/AH39-1</f>
        <v>0.31804140925029212</v>
      </c>
      <c r="AN40" s="1295"/>
      <c r="AO40" s="1296"/>
      <c r="AP40" s="1296"/>
      <c r="AQ40" s="1297"/>
      <c r="AR40" s="1294">
        <f>+AR39/AM39-1</f>
        <v>0.10147104851330213</v>
      </c>
      <c r="AS40" s="1295"/>
      <c r="AT40" s="1296"/>
      <c r="AU40" s="1296"/>
      <c r="AV40" s="1297"/>
      <c r="AW40" s="1294">
        <f>+AW39/AR39-1</f>
        <v>6.0607294041028936E-2</v>
      </c>
      <c r="AX40" s="1295"/>
      <c r="AY40" s="1296"/>
      <c r="AZ40" s="1296"/>
      <c r="BA40" s="1297"/>
      <c r="BB40" s="1294">
        <f>+BB39/AW39-1</f>
        <v>3.0899904533243205E-2</v>
      </c>
      <c r="BC40" s="1295"/>
      <c r="BD40" s="1296"/>
      <c r="BE40" s="1296"/>
      <c r="BF40" s="1297"/>
      <c r="BG40" s="1294">
        <f>+BG39/BB39-1</f>
        <v>3.248946453777557E-2</v>
      </c>
      <c r="BH40" s="1295"/>
      <c r="BI40" s="1296"/>
      <c r="BJ40" s="1296"/>
      <c r="BK40" s="1297"/>
      <c r="BL40" s="1294">
        <f>+BL39/BG39-1</f>
        <v>1.6370925307102491E-2</v>
      </c>
      <c r="BM40" s="1295"/>
      <c r="BN40" s="1296"/>
      <c r="BO40" s="1296"/>
      <c r="BP40" s="1297"/>
      <c r="BQ40" s="1294">
        <f>+BQ39/BL39-1</f>
        <v>8.3035235640309013E-2</v>
      </c>
      <c r="BR40" s="22"/>
      <c r="BS40" s="22"/>
      <c r="BT40" s="22"/>
      <c r="BU40" s="1285"/>
      <c r="BV40" s="22"/>
      <c r="BW40" s="22"/>
      <c r="BX40" s="22"/>
      <c r="BY40" s="22"/>
      <c r="CE40" s="1274"/>
      <c r="CF40" s="1274"/>
      <c r="CG40" s="1274"/>
      <c r="CH40" s="1274"/>
      <c r="CI40" s="1274"/>
      <c r="CJ40" s="1274"/>
      <c r="CK40" s="1274"/>
      <c r="CL40" s="1274"/>
    </row>
    <row r="41" spans="1:106" s="1286" customFormat="1">
      <c r="A41" s="1274"/>
      <c r="B41" s="1274"/>
      <c r="C41" s="1275"/>
      <c r="D41" s="1276"/>
      <c r="E41" s="1277"/>
      <c r="F41" s="1278"/>
      <c r="G41" s="1278"/>
      <c r="H41" s="1279"/>
      <c r="I41" s="1280"/>
      <c r="J41" s="1277"/>
      <c r="K41" s="1278"/>
      <c r="L41" s="1278"/>
      <c r="M41" s="1279"/>
      <c r="N41" s="1280"/>
      <c r="O41" s="1277"/>
      <c r="P41" s="1278"/>
      <c r="Q41" s="1278"/>
      <c r="R41" s="1279"/>
      <c r="S41" s="1280"/>
      <c r="T41" s="1277"/>
      <c r="U41" s="1278"/>
      <c r="V41" s="1278"/>
      <c r="W41" s="1279"/>
      <c r="X41" s="1280"/>
      <c r="Y41" s="1277"/>
      <c r="Z41" s="1278"/>
      <c r="AA41" s="1278"/>
      <c r="AB41" s="1279"/>
      <c r="AC41" s="1281"/>
      <c r="AD41" s="1277"/>
      <c r="AE41" s="1278"/>
      <c r="AF41" s="1278"/>
      <c r="AG41" s="1284"/>
      <c r="AH41" s="1281"/>
      <c r="AI41" s="1282"/>
      <c r="AJ41" s="1283"/>
      <c r="AK41" s="1283"/>
      <c r="AL41" s="1284"/>
      <c r="AM41" s="1281"/>
      <c r="AN41" s="1282"/>
      <c r="AO41" s="1283"/>
      <c r="AP41" s="1283"/>
      <c r="AQ41" s="1284"/>
      <c r="AR41" s="1281"/>
      <c r="AS41" s="1282"/>
      <c r="AT41" s="1283"/>
      <c r="AU41" s="1283"/>
      <c r="AV41" s="1284"/>
      <c r="AW41" s="1281"/>
      <c r="AX41" s="1282"/>
      <c r="AY41" s="1283"/>
      <c r="AZ41" s="1283"/>
      <c r="BA41" s="1284"/>
      <c r="BB41" s="1281"/>
      <c r="BC41" s="1282"/>
      <c r="BD41" s="1283"/>
      <c r="BE41" s="1283"/>
      <c r="BF41" s="1284"/>
      <c r="BG41" s="1281"/>
      <c r="BH41" s="1282"/>
      <c r="BI41" s="1283"/>
      <c r="BJ41" s="1283"/>
      <c r="BK41" s="1284"/>
      <c r="BL41" s="1281"/>
      <c r="BM41" s="1282"/>
      <c r="BN41" s="1283"/>
      <c r="BO41" s="1283"/>
      <c r="BP41" s="1284"/>
      <c r="BQ41" s="1281"/>
      <c r="BR41" s="22"/>
      <c r="BS41" s="22"/>
      <c r="BT41" s="22"/>
      <c r="BU41" s="1285"/>
      <c r="BV41" s="22"/>
      <c r="BW41" s="22"/>
      <c r="BX41" s="22"/>
      <c r="BY41" s="22"/>
      <c r="CE41" s="1274"/>
      <c r="CF41" s="1274"/>
      <c r="CG41" s="1274"/>
      <c r="CH41" s="1274"/>
      <c r="CI41" s="1274"/>
      <c r="CJ41" s="1274"/>
      <c r="CK41" s="1274"/>
      <c r="CL41" s="1274"/>
    </row>
    <row r="42" spans="1:106" s="720" customFormat="1">
      <c r="A42" s="497"/>
      <c r="B42" s="497"/>
      <c r="C42" s="376" t="s">
        <v>727</v>
      </c>
      <c r="D42" s="498"/>
      <c r="E42" s="141"/>
      <c r="F42" s="84"/>
      <c r="G42" s="84"/>
      <c r="H42" s="142"/>
      <c r="I42" s="747"/>
      <c r="J42" s="141"/>
      <c r="K42" s="84"/>
      <c r="L42" s="84"/>
      <c r="M42" s="142"/>
      <c r="N42" s="143"/>
      <c r="O42" s="141"/>
      <c r="P42" s="84"/>
      <c r="Q42" s="84"/>
      <c r="R42" s="142"/>
      <c r="S42" s="143"/>
      <c r="T42" s="141"/>
      <c r="U42" s="84"/>
      <c r="V42" s="84"/>
      <c r="W42" s="142"/>
      <c r="X42" s="143"/>
      <c r="Y42" s="141"/>
      <c r="Z42" s="84"/>
      <c r="AA42" s="84"/>
      <c r="AB42" s="142"/>
      <c r="AC42" s="143"/>
      <c r="AD42" s="141"/>
      <c r="AE42" s="84"/>
      <c r="AF42" s="84"/>
      <c r="AG42" s="142"/>
      <c r="AH42" s="143"/>
      <c r="AI42" s="141"/>
      <c r="AJ42" s="84"/>
      <c r="AK42" s="84"/>
      <c r="AL42" s="142"/>
      <c r="AM42" s="143"/>
      <c r="AN42" s="141"/>
      <c r="AO42" s="84"/>
      <c r="AP42" s="84"/>
      <c r="AQ42" s="142"/>
      <c r="AR42" s="143"/>
      <c r="AS42" s="141"/>
      <c r="AT42" s="84"/>
      <c r="AU42" s="84"/>
      <c r="AV42" s="142"/>
      <c r="AW42" s="143"/>
      <c r="AX42" s="104">
        <f>AX33/(1-0.26)-AX27</f>
        <v>0</v>
      </c>
      <c r="AY42" s="77">
        <f t="shared" ref="AY42:BA42" si="80">AY33/(1-0.26)-AY27</f>
        <v>0</v>
      </c>
      <c r="AZ42" s="77">
        <f t="shared" si="80"/>
        <v>0</v>
      </c>
      <c r="BA42" s="102">
        <f t="shared" si="80"/>
        <v>0</v>
      </c>
      <c r="BB42" s="143"/>
      <c r="BC42" s="141"/>
      <c r="BD42" s="84"/>
      <c r="BE42" s="84"/>
      <c r="BF42" s="142"/>
      <c r="BG42" s="143"/>
      <c r="BH42" s="141"/>
      <c r="BI42" s="84"/>
      <c r="BJ42" s="84"/>
      <c r="BK42" s="142"/>
      <c r="BL42" s="143"/>
      <c r="BM42" s="141"/>
      <c r="BN42" s="84"/>
      <c r="BO42" s="84"/>
      <c r="BP42" s="142"/>
      <c r="BQ42" s="143"/>
      <c r="BR42"/>
      <c r="BS42"/>
      <c r="BT42"/>
      <c r="BU42"/>
      <c r="BV42"/>
      <c r="BW42"/>
      <c r="BX42"/>
      <c r="BY42" s="497"/>
      <c r="BZ42" s="497"/>
      <c r="CA42" s="497"/>
      <c r="CB42" s="497"/>
      <c r="CC42" s="708"/>
      <c r="CD42" s="497"/>
      <c r="CE42" s="497"/>
      <c r="CF42" s="497"/>
      <c r="CG42" s="497"/>
      <c r="CH42" s="497"/>
      <c r="CI42" s="497"/>
      <c r="CJ42" s="497"/>
      <c r="CK42" s="497"/>
      <c r="CL42" s="497"/>
      <c r="CM42" s="497"/>
      <c r="CN42" s="708"/>
      <c r="CO42" s="708"/>
      <c r="CP42" s="708"/>
      <c r="CQ42" s="708"/>
      <c r="CR42" s="708"/>
      <c r="CS42" s="708"/>
      <c r="CT42" s="708"/>
      <c r="CU42" s="708"/>
      <c r="CV42" s="708"/>
      <c r="CW42" s="708"/>
      <c r="CX42" s="708"/>
      <c r="CY42" s="708"/>
      <c r="CZ42" s="708"/>
      <c r="DA42" s="708"/>
    </row>
    <row r="43" spans="1:106" s="1144" customFormat="1">
      <c r="A43" s="1134"/>
      <c r="B43" s="1134"/>
      <c r="C43" s="1135" t="s">
        <v>617</v>
      </c>
      <c r="D43" s="1135"/>
      <c r="E43" s="1136"/>
      <c r="F43" s="1137"/>
      <c r="G43" s="1137"/>
      <c r="H43" s="1138"/>
      <c r="I43" s="1139"/>
      <c r="J43" s="1140"/>
      <c r="K43" s="1141"/>
      <c r="L43" s="1141"/>
      <c r="M43" s="1142"/>
      <c r="N43" s="1139"/>
      <c r="O43" s="1140"/>
      <c r="P43" s="1141"/>
      <c r="Q43" s="1141"/>
      <c r="R43" s="1142"/>
      <c r="S43" s="1139"/>
      <c r="T43" s="1145"/>
      <c r="U43" s="1141"/>
      <c r="V43" s="1141"/>
      <c r="W43" s="1142"/>
      <c r="X43" s="1139"/>
      <c r="Y43" s="1140"/>
      <c r="Z43" s="1141"/>
      <c r="AA43" s="1141"/>
      <c r="AB43" s="1142"/>
      <c r="AC43" s="1139"/>
      <c r="AD43" s="1140"/>
      <c r="AE43" s="1141"/>
      <c r="AF43" s="1141"/>
      <c r="AG43" s="1142"/>
      <c r="AH43" s="1139"/>
      <c r="AI43" s="1140"/>
      <c r="AJ43" s="1141"/>
      <c r="AK43" s="1141"/>
      <c r="AL43" s="1142"/>
      <c r="AM43" s="1139"/>
      <c r="AN43" s="1140"/>
      <c r="AO43" s="1141"/>
      <c r="AP43" s="1141"/>
      <c r="AQ43" s="1142"/>
      <c r="AR43" s="1139"/>
      <c r="AS43" s="1140"/>
      <c r="AT43" s="1141"/>
      <c r="AU43" s="1141"/>
      <c r="AV43" s="1142"/>
      <c r="AW43" s="1139"/>
      <c r="AX43" s="1140"/>
      <c r="AY43" s="1141"/>
      <c r="AZ43" s="1141"/>
      <c r="BA43" s="1142"/>
      <c r="BB43" s="1139">
        <v>0.73</v>
      </c>
      <c r="BC43" s="1140"/>
      <c r="BD43" s="1141"/>
      <c r="BE43" s="1141"/>
      <c r="BF43" s="1142"/>
      <c r="BG43" s="1139"/>
      <c r="BH43" s="1140"/>
      <c r="BI43" s="1141"/>
      <c r="BJ43" s="1141"/>
      <c r="BK43" s="1142"/>
      <c r="BL43" s="1139"/>
      <c r="BM43" s="1140"/>
      <c r="BN43" s="1141"/>
      <c r="BO43" s="1141"/>
      <c r="BP43" s="1142"/>
      <c r="BQ43" s="1139"/>
      <c r="BR43" s="29"/>
      <c r="BS43" s="29"/>
      <c r="BT43" s="29"/>
      <c r="BU43" s="29"/>
      <c r="BV43" s="29"/>
      <c r="BW43" s="29"/>
      <c r="BX43" s="29"/>
      <c r="BY43" s="1139"/>
      <c r="BZ43" s="1139"/>
      <c r="CA43" s="1134"/>
      <c r="CB43" s="1134"/>
      <c r="CC43" s="1143"/>
      <c r="CD43" s="1134"/>
      <c r="CE43" s="1134"/>
      <c r="CF43" s="1134"/>
      <c r="CG43" s="1134"/>
      <c r="CH43" s="1134"/>
      <c r="CI43" s="1134"/>
      <c r="CJ43" s="1134"/>
      <c r="CK43" s="1134"/>
      <c r="CL43" s="1134"/>
      <c r="CM43" s="1134"/>
      <c r="CN43" s="1143"/>
      <c r="CO43" s="1143"/>
      <c r="CP43" s="1143"/>
      <c r="CQ43" s="1143"/>
      <c r="CR43" s="1143"/>
      <c r="CS43" s="1143"/>
      <c r="CT43" s="1143"/>
      <c r="CU43" s="1143"/>
      <c r="CV43" s="1143"/>
      <c r="CW43" s="1143"/>
      <c r="CX43" s="1143"/>
      <c r="CY43" s="1143"/>
      <c r="CZ43" s="1143"/>
      <c r="DA43" s="1143"/>
    </row>
    <row r="44" spans="1:106" s="1144" customFormat="1">
      <c r="A44" s="1134"/>
      <c r="B44" s="1134"/>
      <c r="C44" s="1135" t="s">
        <v>618</v>
      </c>
      <c r="D44" s="1135"/>
      <c r="E44" s="1136"/>
      <c r="F44" s="1137"/>
      <c r="G44" s="1137"/>
      <c r="H44" s="1138"/>
      <c r="I44" s="1139"/>
      <c r="J44" s="1140"/>
      <c r="K44" s="1141"/>
      <c r="L44" s="1141"/>
      <c r="M44" s="1142"/>
      <c r="N44" s="1139"/>
      <c r="O44" s="1140"/>
      <c r="P44" s="1141"/>
      <c r="Q44" s="1141"/>
      <c r="R44" s="1142"/>
      <c r="S44" s="1139"/>
      <c r="T44" s="1145"/>
      <c r="U44" s="1141"/>
      <c r="V44" s="1141"/>
      <c r="W44" s="1142"/>
      <c r="X44" s="1139"/>
      <c r="Y44" s="1140"/>
      <c r="Z44" s="1141"/>
      <c r="AA44" s="1141"/>
      <c r="AB44" s="1142"/>
      <c r="AC44" s="1139"/>
      <c r="AD44" s="1140"/>
      <c r="AE44" s="1141"/>
      <c r="AF44" s="1141"/>
      <c r="AG44" s="1142"/>
      <c r="AH44" s="1139"/>
      <c r="AI44" s="1140"/>
      <c r="AJ44" s="1141"/>
      <c r="AK44" s="1141"/>
      <c r="AL44" s="1142"/>
      <c r="AM44" s="1139"/>
      <c r="AN44" s="1140"/>
      <c r="AO44" s="1141"/>
      <c r="AP44" s="1141"/>
      <c r="AQ44" s="1142"/>
      <c r="AR44" s="1139"/>
      <c r="AS44" s="1140"/>
      <c r="AT44" s="1141"/>
      <c r="AU44" s="1141"/>
      <c r="AV44" s="1142"/>
      <c r="AW44" s="1139"/>
      <c r="AX44" s="1140"/>
      <c r="AY44" s="1141"/>
      <c r="AZ44" s="1141"/>
      <c r="BA44" s="1142"/>
      <c r="BB44" s="1139"/>
      <c r="BC44" s="1140"/>
      <c r="BD44" s="1141"/>
      <c r="BE44" s="1141"/>
      <c r="BF44" s="1142"/>
      <c r="BG44" s="1139"/>
      <c r="BH44" s="1140"/>
      <c r="BI44" s="1141"/>
      <c r="BJ44" s="1141"/>
      <c r="BK44" s="1142"/>
      <c r="BL44" s="1139"/>
      <c r="BM44" s="1140"/>
      <c r="BN44" s="1141"/>
      <c r="BO44" s="1141"/>
      <c r="BP44" s="1142"/>
      <c r="BQ44" s="1139"/>
      <c r="BR44" s="29"/>
      <c r="BS44" s="29"/>
      <c r="BT44" s="29"/>
      <c r="BU44" s="29"/>
      <c r="BV44" s="29"/>
      <c r="BW44" s="29"/>
      <c r="BX44" s="29"/>
      <c r="BY44" s="1139"/>
      <c r="BZ44" s="1139"/>
      <c r="CA44" s="1134"/>
      <c r="CB44" s="1134"/>
      <c r="CC44" s="1143"/>
      <c r="CD44" s="1134"/>
      <c r="CE44" s="1134"/>
      <c r="CF44" s="1134"/>
      <c r="CG44" s="1134"/>
      <c r="CH44" s="1134"/>
      <c r="CI44" s="1134"/>
      <c r="CJ44" s="1134"/>
      <c r="CK44" s="1134"/>
      <c r="CL44" s="1134"/>
      <c r="CM44" s="1134"/>
      <c r="CN44" s="1143"/>
      <c r="CO44" s="1143"/>
      <c r="CP44" s="1143"/>
      <c r="CQ44" s="1143"/>
      <c r="CR44" s="1143"/>
      <c r="CS44" s="1143"/>
      <c r="CT44" s="1143"/>
      <c r="CU44" s="1143"/>
      <c r="CV44" s="1143"/>
      <c r="CW44" s="1143"/>
      <c r="CX44" s="1143"/>
      <c r="CY44" s="1143"/>
      <c r="CZ44" s="1143"/>
      <c r="DA44" s="1143"/>
    </row>
    <row r="45" spans="1:106">
      <c r="A45" s="89"/>
      <c r="B45" s="89"/>
      <c r="C45" s="1184"/>
      <c r="D45" s="87"/>
      <c r="E45" s="133"/>
      <c r="F45" s="134"/>
      <c r="G45" s="134"/>
      <c r="H45" s="135"/>
      <c r="I45" s="233"/>
      <c r="J45" s="133"/>
      <c r="K45" s="134"/>
      <c r="L45" s="134"/>
      <c r="M45" s="135"/>
      <c r="N45" s="233"/>
      <c r="O45" s="133"/>
      <c r="P45" s="134"/>
      <c r="Q45" s="134"/>
      <c r="R45" s="135"/>
      <c r="S45" s="233"/>
      <c r="T45" s="235"/>
      <c r="U45" s="134"/>
      <c r="V45" s="134"/>
      <c r="W45" s="135"/>
      <c r="X45" s="233"/>
      <c r="Y45" s="133"/>
      <c r="Z45" s="134"/>
      <c r="AA45" s="134"/>
      <c r="AB45" s="135"/>
      <c r="AC45" s="233"/>
      <c r="AD45" s="133"/>
      <c r="AE45" s="134"/>
      <c r="AF45" s="134"/>
      <c r="AG45" s="135"/>
      <c r="AH45" s="233"/>
      <c r="AI45" s="133"/>
      <c r="AJ45" s="134"/>
      <c r="AK45" s="134"/>
      <c r="AL45" s="135"/>
      <c r="AM45" s="233"/>
      <c r="AN45" s="133"/>
      <c r="AO45" s="134"/>
      <c r="AP45" s="134"/>
      <c r="AQ45" s="135"/>
      <c r="AR45" s="233"/>
      <c r="AS45" s="133"/>
      <c r="AT45" s="134"/>
      <c r="AU45" s="134"/>
      <c r="AV45" s="135"/>
      <c r="AW45" s="233"/>
      <c r="AX45" s="133"/>
      <c r="AY45" s="134"/>
      <c r="AZ45" s="134"/>
      <c r="BA45" s="135"/>
      <c r="BB45" s="125"/>
      <c r="BC45" s="133"/>
      <c r="BD45" s="134"/>
      <c r="BE45" s="134"/>
      <c r="BF45" s="135"/>
      <c r="BG45" s="233"/>
      <c r="BH45" s="133"/>
      <c r="BI45" s="134"/>
      <c r="BJ45" s="134"/>
      <c r="BK45" s="135"/>
      <c r="BL45" s="233"/>
      <c r="BM45" s="133"/>
      <c r="BN45" s="134"/>
      <c r="BO45" s="134"/>
      <c r="BP45" s="135"/>
      <c r="BQ45" s="233"/>
      <c r="BY45" s="15"/>
      <c r="BZ45" s="15"/>
      <c r="CA45" s="15"/>
      <c r="CB45" s="15"/>
      <c r="CC45" s="15"/>
      <c r="CD45" s="177"/>
      <c r="CE45" s="92"/>
      <c r="CF45" s="92"/>
      <c r="CG45" s="92"/>
      <c r="CH45" s="92"/>
      <c r="CI45" s="92"/>
      <c r="CJ45" s="92"/>
      <c r="CK45" s="92"/>
      <c r="CL45" s="92"/>
      <c r="CM45" s="92"/>
    </row>
    <row r="46" spans="1:106">
      <c r="A46" s="89"/>
      <c r="B46" s="89"/>
      <c r="C46" s="1184"/>
      <c r="D46" s="87"/>
      <c r="E46" s="133"/>
      <c r="F46" s="134"/>
      <c r="G46" s="134"/>
      <c r="H46" s="135"/>
      <c r="I46" s="233"/>
      <c r="J46" s="133"/>
      <c r="K46" s="134"/>
      <c r="L46" s="134"/>
      <c r="M46" s="135"/>
      <c r="N46" s="233"/>
      <c r="O46" s="133"/>
      <c r="P46" s="134"/>
      <c r="Q46" s="134"/>
      <c r="R46" s="135"/>
      <c r="S46" s="233"/>
      <c r="T46" s="235"/>
      <c r="U46" s="134"/>
      <c r="V46" s="134"/>
      <c r="W46" s="135"/>
      <c r="X46" s="233"/>
      <c r="Y46" s="133"/>
      <c r="Z46" s="134"/>
      <c r="AA46" s="134"/>
      <c r="AB46" s="135"/>
      <c r="AC46" s="233"/>
      <c r="AD46" s="133"/>
      <c r="AE46" s="134"/>
      <c r="AF46" s="134"/>
      <c r="AG46" s="135"/>
      <c r="AH46" s="876"/>
      <c r="AI46" s="133"/>
      <c r="AJ46" s="134"/>
      <c r="AK46" s="134"/>
      <c r="AL46" s="135"/>
      <c r="AM46" s="233"/>
      <c r="AN46" s="133"/>
      <c r="AO46" s="134"/>
      <c r="AP46" s="134"/>
      <c r="AQ46" s="135"/>
      <c r="AR46" s="233"/>
      <c r="AS46" s="133"/>
      <c r="AT46" s="134"/>
      <c r="AU46" s="134"/>
      <c r="AV46" s="135"/>
      <c r="AW46" s="233"/>
      <c r="AX46" s="133"/>
      <c r="AY46" s="134"/>
      <c r="AZ46" s="134"/>
      <c r="BA46" s="135"/>
      <c r="BB46" s="233"/>
      <c r="BC46" s="133"/>
      <c r="BD46" s="134"/>
      <c r="BE46" s="134"/>
      <c r="BF46" s="135"/>
      <c r="BG46" s="233"/>
      <c r="BH46" s="133"/>
      <c r="BI46" s="134"/>
      <c r="BJ46" s="134"/>
      <c r="BK46" s="135"/>
      <c r="BL46" s="233"/>
      <c r="BM46" s="133"/>
      <c r="BN46" s="134"/>
      <c r="BO46" s="134"/>
      <c r="BP46" s="135"/>
      <c r="BQ46" s="233"/>
      <c r="BY46" s="15"/>
      <c r="BZ46" s="15"/>
      <c r="CA46" s="15"/>
      <c r="CB46" s="15"/>
      <c r="CC46" s="15"/>
      <c r="CD46" s="177"/>
      <c r="CE46" s="92"/>
      <c r="CF46" s="92"/>
      <c r="CG46" s="92"/>
      <c r="CH46" s="92"/>
      <c r="CI46" s="92"/>
      <c r="CJ46" s="92"/>
      <c r="CK46" s="92"/>
      <c r="CL46" s="92"/>
      <c r="CM46" s="92"/>
    </row>
    <row r="47" spans="1:106">
      <c r="A47" s="89"/>
      <c r="B47" s="126" t="s">
        <v>260</v>
      </c>
      <c r="C47" s="1193"/>
      <c r="D47" s="665"/>
      <c r="E47" s="493"/>
      <c r="F47" s="494"/>
      <c r="G47" s="494"/>
      <c r="H47" s="495"/>
      <c r="I47" s="496"/>
      <c r="J47" s="493"/>
      <c r="K47" s="494"/>
      <c r="L47" s="494"/>
      <c r="M47" s="495"/>
      <c r="N47" s="496"/>
      <c r="O47" s="493"/>
      <c r="P47" s="494"/>
      <c r="Q47" s="494"/>
      <c r="R47" s="495"/>
      <c r="S47" s="496"/>
      <c r="T47" s="493"/>
      <c r="U47" s="494"/>
      <c r="V47" s="494"/>
      <c r="W47" s="495"/>
      <c r="X47" s="496"/>
      <c r="Y47" s="493"/>
      <c r="Z47" s="494"/>
      <c r="AA47" s="494"/>
      <c r="AB47" s="495"/>
      <c r="AC47" s="496"/>
      <c r="AD47" s="493"/>
      <c r="AE47" s="494"/>
      <c r="AF47" s="494"/>
      <c r="AG47" s="495"/>
      <c r="AH47" s="496"/>
      <c r="AI47" s="493"/>
      <c r="AJ47" s="494"/>
      <c r="AK47" s="494"/>
      <c r="AL47" s="495"/>
      <c r="AM47" s="496"/>
      <c r="AN47" s="493"/>
      <c r="AO47" s="494"/>
      <c r="AP47" s="494"/>
      <c r="AQ47" s="495"/>
      <c r="AR47" s="496"/>
      <c r="AS47" s="493"/>
      <c r="AT47" s="494"/>
      <c r="AU47" s="494"/>
      <c r="AV47" s="495"/>
      <c r="AW47" s="496"/>
      <c r="AX47" s="493"/>
      <c r="AY47" s="494"/>
      <c r="AZ47" s="494"/>
      <c r="BA47" s="495"/>
      <c r="BB47" s="496"/>
      <c r="BC47" s="493"/>
      <c r="BD47" s="494"/>
      <c r="BE47" s="494"/>
      <c r="BF47" s="495"/>
      <c r="BG47" s="496"/>
      <c r="BH47" s="493"/>
      <c r="BI47" s="494"/>
      <c r="BJ47" s="494"/>
      <c r="BK47" s="495"/>
      <c r="BL47" s="496"/>
      <c r="BM47" s="493"/>
      <c r="BN47" s="494"/>
      <c r="BO47" s="494"/>
      <c r="BP47" s="495"/>
      <c r="BQ47" s="496"/>
      <c r="BR47" s="177"/>
      <c r="BS47" s="177"/>
      <c r="BT47" s="177"/>
      <c r="BU47" s="15"/>
      <c r="BV47" s="15"/>
      <c r="BW47" s="15"/>
      <c r="BX47" s="15"/>
      <c r="BY47" s="15"/>
      <c r="BZ47" s="15"/>
      <c r="CA47" s="15"/>
      <c r="CB47" s="15"/>
      <c r="CC47" s="15"/>
      <c r="CD47" s="177"/>
      <c r="CE47" s="92"/>
      <c r="CF47" s="92"/>
      <c r="CG47" s="92"/>
      <c r="CH47" s="92"/>
      <c r="CI47" s="92"/>
      <c r="CJ47" s="92"/>
      <c r="CK47" s="92"/>
      <c r="CL47" s="92"/>
      <c r="CM47" s="92"/>
    </row>
    <row r="48" spans="1:106">
      <c r="A48" s="100"/>
      <c r="B48" s="100"/>
      <c r="C48" s="1205" t="s">
        <v>900</v>
      </c>
      <c r="D48" s="1171"/>
      <c r="E48" s="1211"/>
      <c r="F48" s="1172"/>
      <c r="G48" s="1172"/>
      <c r="H48" s="1210"/>
      <c r="I48" s="1171"/>
      <c r="J48" s="1211"/>
      <c r="K48" s="1172"/>
      <c r="L48" s="1172"/>
      <c r="M48" s="1210"/>
      <c r="N48" s="1171"/>
      <c r="O48" s="1211"/>
      <c r="P48" s="1172"/>
      <c r="Q48" s="1172"/>
      <c r="R48" s="1210"/>
      <c r="S48" s="1173"/>
      <c r="T48" s="1211"/>
      <c r="U48" s="1172"/>
      <c r="V48" s="1172"/>
      <c r="W48" s="1210"/>
      <c r="X48" s="1174"/>
      <c r="Y48" s="1211"/>
      <c r="Z48" s="1172"/>
      <c r="AA48" s="1172"/>
      <c r="AB48" s="1210"/>
      <c r="AC48" s="1174"/>
      <c r="AD48" s="1211"/>
      <c r="AE48" s="1172"/>
      <c r="AF48" s="1172"/>
      <c r="AG48" s="1210"/>
      <c r="AH48" s="1174"/>
      <c r="AI48" s="1211"/>
      <c r="AJ48" s="1172"/>
      <c r="AK48" s="1172"/>
      <c r="AL48" s="1210"/>
      <c r="AM48" s="1174"/>
      <c r="AN48" s="1211"/>
      <c r="AO48" s="1172"/>
      <c r="AP48" s="1172"/>
      <c r="AQ48" s="1210"/>
      <c r="AR48" s="1174"/>
      <c r="AS48" s="1211"/>
      <c r="AT48" s="1172"/>
      <c r="AU48" s="1172"/>
      <c r="AV48" s="1210"/>
      <c r="AW48" s="1174"/>
      <c r="AX48" s="1211">
        <f>BB48/4</f>
        <v>25.965540540540541</v>
      </c>
      <c r="AY48" s="1172">
        <f>BB48/4</f>
        <v>25.965540540540541</v>
      </c>
      <c r="AZ48" s="1172">
        <f>BB48/4</f>
        <v>25.965540540540541</v>
      </c>
      <c r="BA48" s="1210">
        <f>BB48/4</f>
        <v>25.965540540540541</v>
      </c>
      <c r="BB48" s="1174">
        <f>$BU$49*(BB81+BB82)</f>
        <v>103.86216216216216</v>
      </c>
      <c r="BC48" s="1211">
        <f>BG48/4</f>
        <v>26.278378378378378</v>
      </c>
      <c r="BD48" s="1172">
        <f>BG48/4</f>
        <v>26.278378378378378</v>
      </c>
      <c r="BE48" s="1172">
        <f>BG48/4</f>
        <v>26.278378378378378</v>
      </c>
      <c r="BF48" s="1210">
        <f>BG48/4</f>
        <v>26.278378378378378</v>
      </c>
      <c r="BG48" s="1174">
        <f>$BU$49*(BG81+BG82)</f>
        <v>105.11351351351351</v>
      </c>
      <c r="BH48" s="1211">
        <f>BL48/4</f>
        <v>28.155405405405403</v>
      </c>
      <c r="BI48" s="1172">
        <f>BL48/4</f>
        <v>28.155405405405403</v>
      </c>
      <c r="BJ48" s="1172">
        <f>BL48/4</f>
        <v>28.155405405405403</v>
      </c>
      <c r="BK48" s="1210">
        <f>BL48/4</f>
        <v>28.155405405405403</v>
      </c>
      <c r="BL48" s="1174">
        <f>$BU$49*(BL81+BL82)</f>
        <v>112.62162162162161</v>
      </c>
      <c r="BM48" s="1211">
        <f>BQ48/4</f>
        <v>27.686148648648647</v>
      </c>
      <c r="BN48" s="1172">
        <f>BQ48/4</f>
        <v>27.686148648648647</v>
      </c>
      <c r="BO48" s="1172">
        <f>BQ48/4</f>
        <v>27.686148648648647</v>
      </c>
      <c r="BP48" s="1210">
        <f>BQ48/4</f>
        <v>27.686148648648647</v>
      </c>
      <c r="BQ48" s="2218">
        <f>$BU$49*(BQ81+BQ82)</f>
        <v>110.74459459459459</v>
      </c>
      <c r="BR48" s="1615"/>
      <c r="BS48" s="177"/>
      <c r="BT48" s="177"/>
      <c r="BU48" s="1175">
        <f>((12%/(1-37%))*50%)+(5.5%*50%)+(1/40)</f>
        <v>0.14773809523809522</v>
      </c>
      <c r="BV48" s="88" t="s">
        <v>909</v>
      </c>
      <c r="BW48" s="89"/>
      <c r="BX48" s="89"/>
      <c r="BY48" s="89"/>
      <c r="BZ48" s="89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</row>
    <row r="49" spans="1:106">
      <c r="A49" s="100"/>
      <c r="B49" s="100"/>
      <c r="C49" s="2331" t="s">
        <v>1227</v>
      </c>
      <c r="D49" s="100"/>
      <c r="E49" s="1169"/>
      <c r="F49" s="1165"/>
      <c r="G49" s="1165"/>
      <c r="H49" s="1170"/>
      <c r="I49" s="100"/>
      <c r="J49" s="1169"/>
      <c r="K49" s="1165"/>
      <c r="L49" s="1165"/>
      <c r="M49" s="1170"/>
      <c r="N49" s="100"/>
      <c r="O49" s="1169"/>
      <c r="P49" s="1165"/>
      <c r="Q49" s="1165"/>
      <c r="R49" s="1170"/>
      <c r="S49" s="1166"/>
      <c r="T49" s="1169"/>
      <c r="U49" s="1165"/>
      <c r="V49" s="1165"/>
      <c r="W49" s="1170"/>
      <c r="X49" s="1167"/>
      <c r="Y49" s="1169"/>
      <c r="Z49" s="1165"/>
      <c r="AA49" s="1165"/>
      <c r="AB49" s="1170"/>
      <c r="AC49" s="1167"/>
      <c r="AD49" s="1169"/>
      <c r="AE49" s="1165"/>
      <c r="AF49" s="1165"/>
      <c r="AG49" s="1170"/>
      <c r="AH49" s="1167"/>
      <c r="AI49" s="1169"/>
      <c r="AJ49" s="1165"/>
      <c r="AK49" s="1165"/>
      <c r="AL49" s="1170"/>
      <c r="AM49" s="1167"/>
      <c r="AN49" s="1169"/>
      <c r="AO49" s="1165"/>
      <c r="AP49" s="1165"/>
      <c r="AQ49" s="1170"/>
      <c r="AR49" s="1167"/>
      <c r="AS49" s="1169"/>
      <c r="AT49" s="1165"/>
      <c r="AU49" s="1165"/>
      <c r="AV49" s="1170"/>
      <c r="AW49" s="1167"/>
      <c r="AX49" s="2332">
        <v>-25.395459761031788</v>
      </c>
      <c r="AY49" s="2333">
        <v>-26.185254371870087</v>
      </c>
      <c r="AZ49" s="2333">
        <v>-26.487039055305246</v>
      </c>
      <c r="BA49" s="2334">
        <v>-27.301354351877848</v>
      </c>
      <c r="BB49" s="2215">
        <f>SUM(AX49:BA49)</f>
        <v>-105.36910754008497</v>
      </c>
      <c r="BC49" s="1169"/>
      <c r="BD49" s="1165"/>
      <c r="BE49" s="1165"/>
      <c r="BF49" s="1170"/>
      <c r="BG49" s="1167"/>
      <c r="BH49" s="1169"/>
      <c r="BI49" s="1165"/>
      <c r="BJ49" s="1165"/>
      <c r="BK49" s="1170"/>
      <c r="BL49" s="1167"/>
      <c r="BM49" s="1169"/>
      <c r="BN49" s="1165"/>
      <c r="BO49" s="1165"/>
      <c r="BP49" s="1170"/>
      <c r="BQ49" s="2219"/>
      <c r="BR49" s="1615"/>
      <c r="BS49" s="177"/>
      <c r="BT49" s="177"/>
      <c r="BU49" s="1175">
        <f>((0.1075/(1-26%))*50%)+(5.5%*50%)+(1/40)</f>
        <v>0.12513513513513513</v>
      </c>
      <c r="BV49" s="88" t="s">
        <v>959</v>
      </c>
      <c r="BW49" s="89"/>
      <c r="BX49" s="89"/>
      <c r="BY49" s="89"/>
      <c r="BZ49" s="89"/>
      <c r="CA49" s="100"/>
      <c r="CB49" s="100"/>
      <c r="CC49" s="100"/>
      <c r="CD49" s="100"/>
      <c r="CE49" s="100"/>
      <c r="CF49" s="100"/>
      <c r="CG49" s="100"/>
      <c r="CH49" s="100"/>
      <c r="CI49" s="100"/>
      <c r="CJ49" s="100"/>
      <c r="CK49" s="100"/>
      <c r="CL49" s="100"/>
      <c r="CM49" s="100"/>
      <c r="CN49" s="100"/>
      <c r="CO49" s="100"/>
      <c r="CP49" s="100"/>
      <c r="CQ49" s="100"/>
      <c r="CR49" s="100"/>
      <c r="CS49" s="100"/>
      <c r="CT49" s="100"/>
      <c r="CU49" s="100"/>
      <c r="CV49" s="100"/>
      <c r="CW49" s="100"/>
      <c r="CX49" s="100"/>
      <c r="CY49" s="100"/>
      <c r="CZ49" s="100"/>
      <c r="DA49" s="100"/>
      <c r="DB49" s="100"/>
    </row>
    <row r="50" spans="1:106">
      <c r="A50" s="100"/>
      <c r="B50" s="100"/>
      <c r="C50" s="1206"/>
      <c r="D50" s="100"/>
      <c r="E50" s="1169"/>
      <c r="F50" s="1165"/>
      <c r="G50" s="1165"/>
      <c r="H50" s="1170"/>
      <c r="I50" s="100"/>
      <c r="J50" s="1169"/>
      <c r="K50" s="1165"/>
      <c r="L50" s="1165"/>
      <c r="M50" s="1170"/>
      <c r="N50" s="100"/>
      <c r="O50" s="1169"/>
      <c r="P50" s="1165"/>
      <c r="Q50" s="1165"/>
      <c r="R50" s="1170"/>
      <c r="S50" s="1166"/>
      <c r="T50" s="1169"/>
      <c r="U50" s="1165"/>
      <c r="V50" s="1165"/>
      <c r="W50" s="1170"/>
      <c r="X50" s="1167"/>
      <c r="Y50" s="1169"/>
      <c r="Z50" s="1165"/>
      <c r="AA50" s="1165"/>
      <c r="AB50" s="1170"/>
      <c r="AC50" s="1167"/>
      <c r="AD50" s="1169"/>
      <c r="AE50" s="1165"/>
      <c r="AF50" s="1165"/>
      <c r="AG50" s="1170"/>
      <c r="AH50" s="1167"/>
      <c r="AI50" s="1169"/>
      <c r="AJ50" s="1165"/>
      <c r="AK50" s="1165"/>
      <c r="AL50" s="1170"/>
      <c r="AM50" s="1167"/>
      <c r="AN50" s="1169"/>
      <c r="AO50" s="1165"/>
      <c r="AP50" s="1165"/>
      <c r="AQ50" s="1170"/>
      <c r="AR50" s="1167"/>
      <c r="AS50" s="1169"/>
      <c r="AT50" s="1165"/>
      <c r="AU50" s="1165"/>
      <c r="AV50" s="1170"/>
      <c r="AW50" s="1167"/>
      <c r="AX50" s="1169"/>
      <c r="AY50" s="1165"/>
      <c r="AZ50" s="1165"/>
      <c r="BA50" s="1170"/>
      <c r="BB50" s="1167"/>
      <c r="BC50" s="1169"/>
      <c r="BD50" s="1165"/>
      <c r="BE50" s="1165"/>
      <c r="BF50" s="1170"/>
      <c r="BG50" s="1167"/>
      <c r="BH50" s="1169"/>
      <c r="BI50" s="1165"/>
      <c r="BJ50" s="1165"/>
      <c r="BK50" s="1170"/>
      <c r="BL50" s="1167"/>
      <c r="BM50" s="1169"/>
      <c r="BN50" s="1165"/>
      <c r="BO50" s="1165"/>
      <c r="BP50" s="1170"/>
      <c r="BQ50" s="2215"/>
      <c r="BR50" s="1616"/>
      <c r="BS50" s="100"/>
      <c r="BT50" s="100"/>
      <c r="BW50" s="89"/>
      <c r="BX50" s="89"/>
      <c r="BY50" s="89"/>
      <c r="BZ50" s="89"/>
      <c r="CA50" s="100"/>
      <c r="CB50" s="100"/>
      <c r="CC50" s="100"/>
      <c r="CD50" s="100"/>
      <c r="CE50" s="100"/>
      <c r="CF50" s="100"/>
      <c r="CG50" s="100"/>
      <c r="CH50" s="100"/>
      <c r="CI50" s="100"/>
      <c r="CJ50" s="100"/>
      <c r="CK50" s="100"/>
      <c r="CL50" s="100"/>
      <c r="CM50" s="100"/>
      <c r="CN50" s="100"/>
      <c r="CO50" s="100"/>
      <c r="CP50" s="100"/>
      <c r="CQ50" s="100"/>
      <c r="CR50" s="100"/>
      <c r="CS50" s="100"/>
      <c r="CT50" s="100"/>
      <c r="CU50" s="100"/>
      <c r="CV50" s="100"/>
      <c r="CW50" s="100"/>
      <c r="CX50" s="100"/>
      <c r="CY50" s="100"/>
      <c r="CZ50" s="100"/>
      <c r="DA50" s="100"/>
      <c r="DB50" s="100"/>
    </row>
    <row r="51" spans="1:106">
      <c r="A51" s="100"/>
      <c r="B51" s="100"/>
      <c r="C51" s="1206" t="s">
        <v>904</v>
      </c>
      <c r="D51" s="100"/>
      <c r="E51" s="141"/>
      <c r="F51" s="84"/>
      <c r="G51" s="84"/>
      <c r="H51" s="142"/>
      <c r="I51" s="100"/>
      <c r="J51" s="141"/>
      <c r="K51" s="84"/>
      <c r="L51" s="84"/>
      <c r="M51" s="142"/>
      <c r="N51" s="100"/>
      <c r="O51" s="141"/>
      <c r="P51" s="84"/>
      <c r="Q51" s="84"/>
      <c r="R51" s="142"/>
      <c r="S51" s="1166"/>
      <c r="T51" s="141"/>
      <c r="U51" s="84"/>
      <c r="V51" s="84"/>
      <c r="W51" s="142"/>
      <c r="X51" s="502"/>
      <c r="Y51" s="141"/>
      <c r="Z51" s="84"/>
      <c r="AA51" s="84"/>
      <c r="AB51" s="142"/>
      <c r="AC51" s="502"/>
      <c r="AD51" s="141"/>
      <c r="AE51" s="84"/>
      <c r="AF51" s="84"/>
      <c r="AG51" s="142"/>
      <c r="AH51" s="502"/>
      <c r="AI51" s="141"/>
      <c r="AJ51" s="84"/>
      <c r="AK51" s="84"/>
      <c r="AL51" s="142"/>
      <c r="AM51" s="502"/>
      <c r="AN51" s="141"/>
      <c r="AO51" s="84"/>
      <c r="AP51" s="84"/>
      <c r="AQ51" s="142"/>
      <c r="AR51" s="502"/>
      <c r="AS51" s="141"/>
      <c r="AT51" s="84"/>
      <c r="AU51" s="84"/>
      <c r="AV51" s="142"/>
      <c r="AW51" s="502"/>
      <c r="AX51" s="141">
        <f>AY51</f>
        <v>0</v>
      </c>
      <c r="AY51" s="84">
        <f>AZ51</f>
        <v>0</v>
      </c>
      <c r="AZ51" s="84">
        <f>BA51</f>
        <v>0</v>
      </c>
      <c r="BA51" s="142">
        <f>BB51</f>
        <v>0</v>
      </c>
      <c r="BB51" s="502">
        <v>0</v>
      </c>
      <c r="BC51" s="141">
        <f>BD51</f>
        <v>0</v>
      </c>
      <c r="BD51" s="84">
        <f>BE51</f>
        <v>0</v>
      </c>
      <c r="BE51" s="84">
        <f>BF51</f>
        <v>0</v>
      </c>
      <c r="BF51" s="142">
        <f>BG51</f>
        <v>0</v>
      </c>
      <c r="BG51" s="502">
        <v>0</v>
      </c>
      <c r="BH51" s="141">
        <f>BI51</f>
        <v>0</v>
      </c>
      <c r="BI51" s="84">
        <f>BJ51</f>
        <v>0</v>
      </c>
      <c r="BJ51" s="84">
        <f>BK51</f>
        <v>0</v>
      </c>
      <c r="BK51" s="142">
        <f>BL51</f>
        <v>0</v>
      </c>
      <c r="BL51" s="1926">
        <v>0</v>
      </c>
      <c r="BM51" s="141">
        <f>BN51</f>
        <v>0</v>
      </c>
      <c r="BN51" s="84">
        <f>BO51</f>
        <v>0</v>
      </c>
      <c r="BO51" s="84">
        <f>BP51</f>
        <v>0</v>
      </c>
      <c r="BP51" s="142">
        <f>BQ51</f>
        <v>0</v>
      </c>
      <c r="BQ51" s="1926">
        <v>0</v>
      </c>
      <c r="BR51" s="1616"/>
      <c r="BS51" s="100"/>
      <c r="BT51" s="100"/>
      <c r="BU51" s="1168"/>
      <c r="BV51" s="89"/>
      <c r="BW51" s="89"/>
      <c r="BX51" s="89"/>
      <c r="BY51" s="89"/>
      <c r="BZ51" s="89"/>
      <c r="CA51" s="100"/>
      <c r="CB51" s="100"/>
      <c r="CC51" s="100"/>
      <c r="CD51" s="100"/>
      <c r="CE51" s="100"/>
      <c r="CF51" s="100"/>
      <c r="CG51" s="100"/>
      <c r="CH51" s="100"/>
      <c r="CI51" s="100"/>
      <c r="CJ51" s="100"/>
      <c r="CK51" s="100"/>
      <c r="CL51" s="100"/>
      <c r="CM51" s="100"/>
      <c r="CN51" s="100"/>
      <c r="CO51" s="100"/>
      <c r="CP51" s="100"/>
      <c r="CQ51" s="100"/>
      <c r="CR51" s="100"/>
      <c r="CS51" s="100"/>
      <c r="CT51" s="100"/>
      <c r="CU51" s="100"/>
      <c r="CV51" s="100"/>
      <c r="CW51" s="100"/>
      <c r="CX51" s="100"/>
      <c r="CY51" s="100"/>
      <c r="CZ51" s="100"/>
      <c r="DA51" s="100"/>
      <c r="DB51" s="100"/>
    </row>
    <row r="52" spans="1:106">
      <c r="A52" s="100"/>
      <c r="B52" s="100"/>
      <c r="C52" s="1206"/>
      <c r="D52" s="100"/>
      <c r="E52" s="1169"/>
      <c r="F52" s="1165"/>
      <c r="G52" s="1165"/>
      <c r="H52" s="1170"/>
      <c r="I52" s="100"/>
      <c r="J52" s="1169"/>
      <c r="K52" s="1165"/>
      <c r="L52" s="1165"/>
      <c r="M52" s="1170"/>
      <c r="N52" s="100"/>
      <c r="O52" s="1169"/>
      <c r="P52" s="1165"/>
      <c r="Q52" s="1165"/>
      <c r="R52" s="1170"/>
      <c r="S52" s="1166"/>
      <c r="T52" s="1169"/>
      <c r="U52" s="1165"/>
      <c r="V52" s="1165"/>
      <c r="W52" s="1170"/>
      <c r="X52" s="1167"/>
      <c r="Y52" s="1169"/>
      <c r="Z52" s="1165"/>
      <c r="AA52" s="1165"/>
      <c r="AB52" s="1170"/>
      <c r="AC52" s="1167"/>
      <c r="AD52" s="1169"/>
      <c r="AE52" s="1165"/>
      <c r="AF52" s="1165"/>
      <c r="AG52" s="1170"/>
      <c r="AH52" s="1167"/>
      <c r="AI52" s="1169"/>
      <c r="AJ52" s="1165"/>
      <c r="AK52" s="1165"/>
      <c r="AL52" s="1170"/>
      <c r="AM52" s="1167"/>
      <c r="AN52" s="1169"/>
      <c r="AO52" s="1165"/>
      <c r="AP52" s="1165"/>
      <c r="AQ52" s="1170"/>
      <c r="AR52" s="1167"/>
      <c r="AS52" s="1169"/>
      <c r="AT52" s="1165"/>
      <c r="AU52" s="1165"/>
      <c r="AV52" s="1170"/>
      <c r="AW52" s="1167"/>
      <c r="AX52" s="1169"/>
      <c r="AY52" s="1165"/>
      <c r="AZ52" s="1165"/>
      <c r="BA52" s="1170"/>
      <c r="BB52" s="1167"/>
      <c r="BC52" s="1169"/>
      <c r="BD52" s="1165"/>
      <c r="BE52" s="1165"/>
      <c r="BF52" s="1170"/>
      <c r="BG52" s="1167"/>
      <c r="BH52" s="1169"/>
      <c r="BI52" s="1165"/>
      <c r="BJ52" s="1165"/>
      <c r="BK52" s="1170"/>
      <c r="BL52" s="1167"/>
      <c r="BM52" s="1169"/>
      <c r="BN52" s="1165"/>
      <c r="BO52" s="1165"/>
      <c r="BP52" s="1170"/>
      <c r="BQ52" s="2219"/>
      <c r="BR52" s="1616"/>
      <c r="BS52" s="100"/>
      <c r="BT52" s="100"/>
      <c r="BU52" s="1168"/>
      <c r="BV52" s="89"/>
      <c r="BW52" s="89"/>
      <c r="BX52" s="89"/>
      <c r="BY52" s="89"/>
      <c r="BZ52" s="89"/>
      <c r="CA52" s="100"/>
      <c r="CB52" s="100"/>
      <c r="CC52" s="100"/>
      <c r="CD52" s="100"/>
      <c r="CE52" s="100"/>
      <c r="CF52" s="100"/>
      <c r="CG52" s="100"/>
      <c r="CH52" s="100"/>
      <c r="CI52" s="100"/>
      <c r="CJ52" s="100"/>
      <c r="CK52" s="100"/>
      <c r="CL52" s="100"/>
      <c r="CM52" s="100"/>
      <c r="CN52" s="100"/>
      <c r="CO52" s="100"/>
      <c r="CP52" s="100"/>
      <c r="CQ52" s="100"/>
      <c r="CR52" s="100"/>
      <c r="CS52" s="100"/>
      <c r="CT52" s="100"/>
      <c r="CU52" s="100"/>
      <c r="CV52" s="100"/>
      <c r="CW52" s="100"/>
      <c r="CX52" s="100"/>
      <c r="CY52" s="100"/>
      <c r="CZ52" s="100"/>
      <c r="DA52" s="100"/>
      <c r="DB52" s="100"/>
    </row>
    <row r="53" spans="1:106">
      <c r="A53" s="89"/>
      <c r="B53" s="498"/>
      <c r="C53" s="1206" t="s">
        <v>261</v>
      </c>
      <c r="D53" s="498"/>
      <c r="E53" s="141"/>
      <c r="F53" s="84"/>
      <c r="G53" s="84"/>
      <c r="H53" s="142"/>
      <c r="I53" s="498"/>
      <c r="J53" s="141"/>
      <c r="K53" s="84"/>
      <c r="L53" s="84"/>
      <c r="M53" s="142"/>
      <c r="N53" s="498"/>
      <c r="O53" s="141"/>
      <c r="P53" s="84"/>
      <c r="Q53" s="84"/>
      <c r="R53" s="142"/>
      <c r="S53" s="1258"/>
      <c r="T53" s="141"/>
      <c r="U53" s="84"/>
      <c r="V53" s="84"/>
      <c r="W53" s="142"/>
      <c r="X53" s="502"/>
      <c r="Y53" s="696">
        <f t="shared" ref="Y53:AE53" si="81">Y66</f>
        <v>0.11111111111111116</v>
      </c>
      <c r="Z53" s="697">
        <f t="shared" si="81"/>
        <v>-0.19512195121951215</v>
      </c>
      <c r="AA53" s="697">
        <f t="shared" si="81"/>
        <v>0.12903225806451624</v>
      </c>
      <c r="AB53" s="698">
        <f t="shared" si="81"/>
        <v>0</v>
      </c>
      <c r="AC53" s="853">
        <f t="shared" si="81"/>
        <v>-7.575757575757569E-3</v>
      </c>
      <c r="AD53" s="696">
        <f>AD66</f>
        <v>0.1333333333333333</v>
      </c>
      <c r="AE53" s="697">
        <f t="shared" si="81"/>
        <v>-6.0606060606060552E-2</v>
      </c>
      <c r="AF53" s="697">
        <f t="shared" ref="AF53:AK53" si="82">AF66</f>
        <v>8.5714285714285632E-2</v>
      </c>
      <c r="AG53" s="698">
        <f t="shared" si="82"/>
        <v>9.0909090909090828E-2</v>
      </c>
      <c r="AH53" s="853">
        <f t="shared" si="82"/>
        <v>6.1068702290076438E-2</v>
      </c>
      <c r="AI53" s="696">
        <f t="shared" si="82"/>
        <v>2.9411764705882248E-2</v>
      </c>
      <c r="AJ53" s="697">
        <f t="shared" si="82"/>
        <v>0.12903225806451624</v>
      </c>
      <c r="AK53" s="697">
        <f t="shared" si="82"/>
        <v>0.10526315789473695</v>
      </c>
      <c r="AL53" s="698">
        <f t="shared" ref="AL53:AP53" si="83">AL66</f>
        <v>0.16666666666666674</v>
      </c>
      <c r="AM53" s="853">
        <f t="shared" si="83"/>
        <v>0.1079136690647482</v>
      </c>
      <c r="AN53" s="696">
        <f t="shared" si="83"/>
        <v>2.857142857142847E-2</v>
      </c>
      <c r="AO53" s="697">
        <f t="shared" si="83"/>
        <v>2.857142857142847E-2</v>
      </c>
      <c r="AP53" s="697">
        <f t="shared" si="83"/>
        <v>9.5238095238095344E-2</v>
      </c>
      <c r="AQ53" s="698">
        <f t="shared" ref="AQ53:AU53" si="84">AQ66</f>
        <v>2.3809523809523725E-2</v>
      </c>
      <c r="AR53" s="853">
        <f t="shared" si="84"/>
        <v>4.5454545454545414E-2</v>
      </c>
      <c r="AS53" s="696">
        <f t="shared" si="84"/>
        <v>0.25</v>
      </c>
      <c r="AT53" s="697">
        <f t="shared" si="84"/>
        <v>0.38888888888888884</v>
      </c>
      <c r="AU53" s="697">
        <f t="shared" si="84"/>
        <v>0.19565217391304346</v>
      </c>
      <c r="AV53" s="698">
        <f t="shared" ref="AV53:AW53" si="85">AV66</f>
        <v>0.23255813953488369</v>
      </c>
      <c r="AW53" s="853">
        <f t="shared" si="85"/>
        <v>0.26086956521739135</v>
      </c>
      <c r="AX53" s="141">
        <f t="shared" ref="AX53:BA54" si="86">AY53</f>
        <v>0.01</v>
      </c>
      <c r="AY53" s="84">
        <f t="shared" si="86"/>
        <v>0.01</v>
      </c>
      <c r="AZ53" s="84">
        <f t="shared" si="86"/>
        <v>0.01</v>
      </c>
      <c r="BA53" s="142">
        <f t="shared" si="86"/>
        <v>0.01</v>
      </c>
      <c r="BB53" s="502">
        <v>0.01</v>
      </c>
      <c r="BC53" s="141">
        <f t="shared" ref="BC53:BF54" si="87">BD53</f>
        <v>0.01</v>
      </c>
      <c r="BD53" s="84">
        <f t="shared" si="87"/>
        <v>0.01</v>
      </c>
      <c r="BE53" s="84">
        <f t="shared" si="87"/>
        <v>0.01</v>
      </c>
      <c r="BF53" s="142">
        <f t="shared" si="87"/>
        <v>0.01</v>
      </c>
      <c r="BG53" s="502">
        <v>0.01</v>
      </c>
      <c r="BH53" s="141">
        <f t="shared" ref="BH53:BK54" si="88">BI53</f>
        <v>0.01</v>
      </c>
      <c r="BI53" s="84">
        <f t="shared" si="88"/>
        <v>0.01</v>
      </c>
      <c r="BJ53" s="84">
        <f t="shared" si="88"/>
        <v>0.01</v>
      </c>
      <c r="BK53" s="142">
        <f t="shared" si="88"/>
        <v>0.01</v>
      </c>
      <c r="BL53" s="1926">
        <v>0.01</v>
      </c>
      <c r="BM53" s="141">
        <f t="shared" ref="BM53:BM54" si="89">BN53</f>
        <v>0.01</v>
      </c>
      <c r="BN53" s="84">
        <f t="shared" ref="BN53:BN54" si="90">BO53</f>
        <v>0.01</v>
      </c>
      <c r="BO53" s="84">
        <f t="shared" ref="BO53:BO54" si="91">BP53</f>
        <v>0.01</v>
      </c>
      <c r="BP53" s="142">
        <f t="shared" ref="BP53:BP54" si="92">BQ53</f>
        <v>0.01</v>
      </c>
      <c r="BQ53" s="1926">
        <v>0.01</v>
      </c>
      <c r="BR53" s="1615"/>
      <c r="BS53" s="178"/>
      <c r="BT53" s="178"/>
      <c r="BU53" s="15"/>
      <c r="BV53" s="15"/>
      <c r="BW53" s="15"/>
      <c r="BX53" s="15"/>
      <c r="BY53" s="15"/>
      <c r="BZ53" s="15"/>
      <c r="CA53" s="15"/>
      <c r="CB53" s="15"/>
      <c r="CC53" s="15"/>
      <c r="CD53" s="177"/>
      <c r="CE53" s="92"/>
      <c r="CF53" s="92"/>
      <c r="CG53" s="92"/>
      <c r="CH53" s="92"/>
      <c r="CI53" s="92"/>
      <c r="CJ53" s="92"/>
      <c r="CK53" s="92"/>
      <c r="CL53" s="92"/>
      <c r="CM53" s="92"/>
    </row>
    <row r="54" spans="1:106">
      <c r="A54" s="89"/>
      <c r="B54" s="498"/>
      <c r="C54" s="1206" t="s">
        <v>262</v>
      </c>
      <c r="D54" s="498"/>
      <c r="E54" s="141"/>
      <c r="F54" s="84"/>
      <c r="G54" s="84"/>
      <c r="H54" s="142"/>
      <c r="I54" s="498"/>
      <c r="J54" s="141"/>
      <c r="K54" s="84"/>
      <c r="L54" s="84"/>
      <c r="M54" s="142"/>
      <c r="N54" s="498"/>
      <c r="O54" s="141"/>
      <c r="P54" s="84"/>
      <c r="Q54" s="84"/>
      <c r="R54" s="142"/>
      <c r="S54" s="1258"/>
      <c r="T54" s="141"/>
      <c r="U54" s="84"/>
      <c r="V54" s="84"/>
      <c r="W54" s="142"/>
      <c r="X54" s="502"/>
      <c r="Y54" s="696">
        <f t="shared" ref="Y54:AE54" si="93">Y69</f>
        <v>0</v>
      </c>
      <c r="Z54" s="697">
        <f t="shared" si="93"/>
        <v>0.55555555555555558</v>
      </c>
      <c r="AA54" s="697">
        <f t="shared" si="93"/>
        <v>0.25</v>
      </c>
      <c r="AB54" s="698">
        <f t="shared" si="93"/>
        <v>0.18181818181818188</v>
      </c>
      <c r="AC54" s="853">
        <f t="shared" si="93"/>
        <v>0.22727272727272729</v>
      </c>
      <c r="AD54" s="696">
        <f>AD69</f>
        <v>0.41666666666666674</v>
      </c>
      <c r="AE54" s="697">
        <f t="shared" si="93"/>
        <v>0.28571428571428581</v>
      </c>
      <c r="AF54" s="697">
        <f t="shared" ref="AF54:AK54" si="94">AF69</f>
        <v>0.1333333333333333</v>
      </c>
      <c r="AG54" s="698">
        <f t="shared" si="94"/>
        <v>0.38461538461538458</v>
      </c>
      <c r="AH54" s="853">
        <f t="shared" si="94"/>
        <v>0.29629629629629628</v>
      </c>
      <c r="AI54" s="696">
        <f t="shared" si="94"/>
        <v>0.41176470588235303</v>
      </c>
      <c r="AJ54" s="697">
        <f t="shared" si="94"/>
        <v>0.44444444444444442</v>
      </c>
      <c r="AK54" s="697">
        <f t="shared" si="94"/>
        <v>0.35294117647058831</v>
      </c>
      <c r="AL54" s="698">
        <f t="shared" ref="AL54:AP54" si="95">AL69</f>
        <v>0.61111111111111116</v>
      </c>
      <c r="AM54" s="853">
        <f t="shared" si="95"/>
        <v>0.45714285714285707</v>
      </c>
      <c r="AN54" s="696">
        <f t="shared" si="95"/>
        <v>0.70833333333333326</v>
      </c>
      <c r="AO54" s="697">
        <f t="shared" si="95"/>
        <v>0.38461538461538458</v>
      </c>
      <c r="AP54" s="697">
        <f t="shared" si="95"/>
        <v>0.60869565217391308</v>
      </c>
      <c r="AQ54" s="698">
        <f t="shared" ref="AQ54:AU54" si="96">AQ69</f>
        <v>0.34482758620689657</v>
      </c>
      <c r="AR54" s="853">
        <f t="shared" si="96"/>
        <v>0.5</v>
      </c>
      <c r="AS54" s="696">
        <f t="shared" si="96"/>
        <v>2.4390243902439046E-2</v>
      </c>
      <c r="AT54" s="697">
        <f t="shared" si="96"/>
        <v>0.19444444444444442</v>
      </c>
      <c r="AU54" s="697">
        <f t="shared" si="96"/>
        <v>0.21621621621621623</v>
      </c>
      <c r="AV54" s="698">
        <f t="shared" ref="AV54:AW54" si="97">AV69</f>
        <v>0.10256410256410264</v>
      </c>
      <c r="AW54" s="853">
        <f t="shared" si="97"/>
        <v>0.13071895424836599</v>
      </c>
      <c r="AX54" s="141">
        <f t="shared" si="86"/>
        <v>0.02</v>
      </c>
      <c r="AY54" s="84">
        <f t="shared" si="86"/>
        <v>0.02</v>
      </c>
      <c r="AZ54" s="84">
        <f t="shared" si="86"/>
        <v>0.02</v>
      </c>
      <c r="BA54" s="142">
        <f t="shared" si="86"/>
        <v>0.02</v>
      </c>
      <c r="BB54" s="502">
        <v>0.02</v>
      </c>
      <c r="BC54" s="141">
        <f t="shared" si="87"/>
        <v>0.02</v>
      </c>
      <c r="BD54" s="84">
        <f t="shared" si="87"/>
        <v>0.02</v>
      </c>
      <c r="BE54" s="84">
        <f t="shared" si="87"/>
        <v>0.02</v>
      </c>
      <c r="BF54" s="142">
        <f t="shared" si="87"/>
        <v>0.02</v>
      </c>
      <c r="BG54" s="502">
        <v>0.02</v>
      </c>
      <c r="BH54" s="141">
        <f t="shared" si="88"/>
        <v>0.02</v>
      </c>
      <c r="BI54" s="84">
        <f t="shared" si="88"/>
        <v>0.02</v>
      </c>
      <c r="BJ54" s="84">
        <f t="shared" si="88"/>
        <v>0.02</v>
      </c>
      <c r="BK54" s="142">
        <f t="shared" si="88"/>
        <v>0.02</v>
      </c>
      <c r="BL54" s="1926">
        <v>0.02</v>
      </c>
      <c r="BM54" s="141">
        <f t="shared" si="89"/>
        <v>0.02</v>
      </c>
      <c r="BN54" s="84">
        <f t="shared" si="90"/>
        <v>0.02</v>
      </c>
      <c r="BO54" s="84">
        <f t="shared" si="91"/>
        <v>0.02</v>
      </c>
      <c r="BP54" s="142">
        <f t="shared" si="92"/>
        <v>0.02</v>
      </c>
      <c r="BQ54" s="1926">
        <v>0.02</v>
      </c>
      <c r="BR54" s="1615"/>
      <c r="BS54" s="178"/>
      <c r="BT54" s="178"/>
      <c r="BU54" s="15"/>
      <c r="BV54" s="15"/>
      <c r="BW54" s="15"/>
      <c r="BX54" s="15"/>
      <c r="BY54" s="15"/>
      <c r="BZ54" s="15"/>
      <c r="CA54" s="15"/>
      <c r="CB54" s="15"/>
      <c r="CC54" s="15"/>
      <c r="CD54" s="177"/>
      <c r="CE54" s="92"/>
      <c r="CF54" s="92"/>
      <c r="CG54" s="92"/>
      <c r="CH54" s="92"/>
      <c r="CI54" s="92"/>
      <c r="CJ54" s="92"/>
      <c r="CK54" s="92"/>
      <c r="CL54" s="92"/>
      <c r="CM54" s="92"/>
    </row>
    <row r="55" spans="1:106">
      <c r="A55" s="89"/>
      <c r="B55" s="498"/>
      <c r="C55" s="1206"/>
      <c r="D55" s="498"/>
      <c r="E55" s="141"/>
      <c r="F55" s="84"/>
      <c r="G55" s="84"/>
      <c r="H55" s="142"/>
      <c r="I55" s="498"/>
      <c r="J55" s="141"/>
      <c r="K55" s="84"/>
      <c r="L55" s="84"/>
      <c r="M55" s="142"/>
      <c r="N55" s="498"/>
      <c r="O55" s="141"/>
      <c r="P55" s="84"/>
      <c r="Q55" s="84"/>
      <c r="R55" s="142"/>
      <c r="S55" s="498"/>
      <c r="T55" s="141"/>
      <c r="U55" s="84"/>
      <c r="V55" s="84"/>
      <c r="W55" s="142"/>
      <c r="X55" s="502"/>
      <c r="Y55" s="141"/>
      <c r="Z55" s="84"/>
      <c r="AA55" s="84"/>
      <c r="AB55" s="142"/>
      <c r="AC55" s="502"/>
      <c r="AD55" s="141"/>
      <c r="AE55" s="697"/>
      <c r="AF55" s="697"/>
      <c r="AG55" s="698"/>
      <c r="AH55" s="853"/>
      <c r="AI55" s="696"/>
      <c r="AJ55" s="697"/>
      <c r="AK55" s="697"/>
      <c r="AL55" s="698"/>
      <c r="AM55" s="853"/>
      <c r="AN55" s="696"/>
      <c r="AO55" s="697"/>
      <c r="AP55" s="697"/>
      <c r="AQ55" s="698"/>
      <c r="AR55" s="853"/>
      <c r="AS55" s="696"/>
      <c r="AT55" s="697"/>
      <c r="AU55" s="697"/>
      <c r="AV55" s="698"/>
      <c r="AW55" s="853"/>
      <c r="AX55" s="141"/>
      <c r="AY55" s="84"/>
      <c r="AZ55" s="84"/>
      <c r="BA55" s="142"/>
      <c r="BB55" s="502"/>
      <c r="BC55" s="141"/>
      <c r="BD55" s="84"/>
      <c r="BE55" s="84"/>
      <c r="BF55" s="142"/>
      <c r="BG55" s="502"/>
      <c r="BH55" s="141"/>
      <c r="BI55" s="84"/>
      <c r="BJ55" s="84"/>
      <c r="BK55" s="142"/>
      <c r="BL55" s="502"/>
      <c r="BM55" s="141"/>
      <c r="BN55" s="84"/>
      <c r="BO55" s="84"/>
      <c r="BP55" s="142"/>
      <c r="BQ55" s="1926"/>
      <c r="BR55" s="1615"/>
      <c r="BS55" s="178"/>
      <c r="BT55" s="178"/>
      <c r="BU55" s="15"/>
      <c r="BV55" s="15"/>
      <c r="BW55" s="15"/>
      <c r="BX55" s="15"/>
      <c r="BY55" s="15"/>
      <c r="BZ55" s="15"/>
      <c r="CA55" s="15"/>
      <c r="CB55" s="15"/>
      <c r="CC55" s="15"/>
      <c r="CD55" s="177"/>
      <c r="CE55" s="92"/>
      <c r="CF55" s="92"/>
      <c r="CG55" s="92"/>
      <c r="CH55" s="92"/>
      <c r="CI55" s="92"/>
      <c r="CJ55" s="92"/>
      <c r="CK55" s="92"/>
      <c r="CL55" s="92"/>
      <c r="CM55" s="92"/>
    </row>
    <row r="56" spans="1:106">
      <c r="A56" s="89"/>
      <c r="B56" s="100"/>
      <c r="C56" s="1206" t="s">
        <v>294</v>
      </c>
      <c r="D56" s="87"/>
      <c r="E56" s="141"/>
      <c r="F56" s="84"/>
      <c r="G56" s="84"/>
      <c r="H56" s="142"/>
      <c r="I56" s="352"/>
      <c r="J56" s="141"/>
      <c r="K56" s="84"/>
      <c r="L56" s="84"/>
      <c r="M56" s="142"/>
      <c r="N56" s="352"/>
      <c r="O56" s="141"/>
      <c r="P56" s="84"/>
      <c r="Q56" s="84"/>
      <c r="R56" s="142"/>
      <c r="S56" s="352"/>
      <c r="T56" s="141"/>
      <c r="U56" s="84"/>
      <c r="V56" s="84"/>
      <c r="W56" s="142"/>
      <c r="X56" s="502"/>
      <c r="Y56" s="141">
        <f t="shared" ref="Y56:AE56" si="98">Y29/Y27</f>
        <v>0.37804878048780488</v>
      </c>
      <c r="Z56" s="84">
        <f t="shared" si="98"/>
        <v>0.37037037037037035</v>
      </c>
      <c r="AA56" s="84">
        <f t="shared" si="98"/>
        <v>0.37209302325581395</v>
      </c>
      <c r="AB56" s="142">
        <f t="shared" si="98"/>
        <v>0.38297872340425532</v>
      </c>
      <c r="AC56" s="853">
        <f t="shared" si="98"/>
        <v>0.37609329446064138</v>
      </c>
      <c r="AD56" s="141">
        <f>AD29/AD27</f>
        <v>0.37037037037037035</v>
      </c>
      <c r="AE56" s="697">
        <f t="shared" si="98"/>
        <v>0.33684210526315789</v>
      </c>
      <c r="AF56" s="697">
        <f t="shared" ref="AF56:AK56" si="99">AF29/AF27</f>
        <v>0.35294117647058826</v>
      </c>
      <c r="AG56" s="698">
        <f t="shared" si="99"/>
        <v>0.3493975903614458</v>
      </c>
      <c r="AH56" s="853">
        <f t="shared" si="99"/>
        <v>0.35174418604651164</v>
      </c>
      <c r="AI56" s="696">
        <f t="shared" si="99"/>
        <v>0.36842105263157893</v>
      </c>
      <c r="AJ56" s="697">
        <f t="shared" si="99"/>
        <v>0.36879432624113473</v>
      </c>
      <c r="AK56" s="697">
        <f t="shared" si="99"/>
        <v>0.36936936936936937</v>
      </c>
      <c r="AL56" s="698">
        <f t="shared" ref="AL56:AP56" si="100">AL29/AL27</f>
        <v>0.36792452830188677</v>
      </c>
      <c r="AM56" s="853">
        <f t="shared" si="100"/>
        <v>0.36864406779661019</v>
      </c>
      <c r="AN56" s="696">
        <f t="shared" si="100"/>
        <v>0.36752136752136755</v>
      </c>
      <c r="AO56" s="697">
        <f t="shared" si="100"/>
        <v>0.37168141592920356</v>
      </c>
      <c r="AP56" s="697">
        <f t="shared" si="100"/>
        <v>0.36585365853658536</v>
      </c>
      <c r="AQ56" s="698">
        <f t="shared" ref="AQ56:AU56" si="101">AQ29/AQ27</f>
        <v>0.34545454545454546</v>
      </c>
      <c r="AR56" s="853">
        <f t="shared" si="101"/>
        <v>0.361003861003861</v>
      </c>
      <c r="AS56" s="696">
        <f t="shared" si="101"/>
        <v>0.37142857142857144</v>
      </c>
      <c r="AT56" s="697">
        <f t="shared" si="101"/>
        <v>0.36551724137931035</v>
      </c>
      <c r="AU56" s="697">
        <f t="shared" si="101"/>
        <v>0.36842105263157893</v>
      </c>
      <c r="AV56" s="698">
        <f t="shared" ref="AV56:AW56" si="102">AV29/AV27</f>
        <v>0.41463414634146339</v>
      </c>
      <c r="AW56" s="853">
        <f t="shared" si="102"/>
        <v>0.37892791127541592</v>
      </c>
      <c r="AX56" s="141">
        <f>BB56</f>
        <v>0.26</v>
      </c>
      <c r="AY56" s="84">
        <f>BB56</f>
        <v>0.26</v>
      </c>
      <c r="AZ56" s="84">
        <f>BB56</f>
        <v>0.26</v>
      </c>
      <c r="BA56" s="142">
        <f>BB56</f>
        <v>0.26</v>
      </c>
      <c r="BB56" s="502">
        <v>0.26</v>
      </c>
      <c r="BC56" s="141">
        <f>BG56</f>
        <v>0.26</v>
      </c>
      <c r="BD56" s="84">
        <f>BG56</f>
        <v>0.26</v>
      </c>
      <c r="BE56" s="84">
        <f>BG56</f>
        <v>0.26</v>
      </c>
      <c r="BF56" s="142">
        <f>BG56</f>
        <v>0.26</v>
      </c>
      <c r="BG56" s="502">
        <v>0.26</v>
      </c>
      <c r="BH56" s="141">
        <f>BL56</f>
        <v>0.26</v>
      </c>
      <c r="BI56" s="84">
        <f>BL56</f>
        <v>0.26</v>
      </c>
      <c r="BJ56" s="84">
        <f>BL56</f>
        <v>0.26</v>
      </c>
      <c r="BK56" s="142">
        <f>BL56</f>
        <v>0.26</v>
      </c>
      <c r="BL56" s="1926">
        <v>0.26</v>
      </c>
      <c r="BM56" s="141">
        <f>BQ56</f>
        <v>0.26</v>
      </c>
      <c r="BN56" s="84">
        <f>BQ56</f>
        <v>0.26</v>
      </c>
      <c r="BO56" s="84">
        <f>BQ56</f>
        <v>0.26</v>
      </c>
      <c r="BP56" s="142">
        <f>BQ56</f>
        <v>0.26</v>
      </c>
      <c r="BQ56" s="1926">
        <v>0.26</v>
      </c>
      <c r="BR56" s="1615"/>
      <c r="BS56" s="178"/>
      <c r="BT56" s="178"/>
      <c r="BU56" s="15"/>
      <c r="BV56" s="15"/>
      <c r="BW56" s="15"/>
      <c r="BX56" s="15"/>
      <c r="BY56" s="15"/>
      <c r="BZ56" s="15"/>
      <c r="CA56" s="15"/>
      <c r="CB56" s="15"/>
      <c r="CC56" s="15"/>
      <c r="CD56" s="177"/>
      <c r="CE56" s="92"/>
      <c r="CF56" s="92"/>
      <c r="CG56" s="92"/>
      <c r="CH56" s="92"/>
      <c r="CI56" s="92"/>
      <c r="CJ56" s="92"/>
      <c r="CK56" s="92"/>
      <c r="CL56" s="92"/>
      <c r="CM56" s="92"/>
    </row>
    <row r="57" spans="1:106">
      <c r="A57" s="89"/>
      <c r="B57" s="498"/>
      <c r="C57" s="1206"/>
      <c r="D57" s="498"/>
      <c r="E57" s="141"/>
      <c r="F57" s="84"/>
      <c r="G57" s="84"/>
      <c r="H57" s="142"/>
      <c r="I57" s="498"/>
      <c r="J57" s="141"/>
      <c r="K57" s="84"/>
      <c r="L57" s="84"/>
      <c r="M57" s="142"/>
      <c r="N57" s="498"/>
      <c r="O57" s="141"/>
      <c r="P57" s="84"/>
      <c r="Q57" s="84"/>
      <c r="R57" s="142"/>
      <c r="S57" s="498"/>
      <c r="T57" s="141"/>
      <c r="U57" s="84"/>
      <c r="V57" s="84"/>
      <c r="W57" s="142"/>
      <c r="X57" s="502"/>
      <c r="Y57" s="141"/>
      <c r="Z57" s="84"/>
      <c r="AA57" s="84"/>
      <c r="AB57" s="142"/>
      <c r="AC57" s="502"/>
      <c r="AD57" s="141"/>
      <c r="AE57" s="697"/>
      <c r="AF57" s="697"/>
      <c r="AG57" s="698"/>
      <c r="AH57" s="853"/>
      <c r="AI57" s="696"/>
      <c r="AJ57" s="697"/>
      <c r="AK57" s="697"/>
      <c r="AL57" s="698"/>
      <c r="AM57" s="853"/>
      <c r="AN57" s="696"/>
      <c r="AO57" s="697"/>
      <c r="AP57" s="697"/>
      <c r="AQ57" s="698"/>
      <c r="AR57" s="853"/>
      <c r="AS57" s="696"/>
      <c r="AT57" s="697"/>
      <c r="AU57" s="697"/>
      <c r="AV57" s="698"/>
      <c r="AW57" s="853"/>
      <c r="AX57" s="141"/>
      <c r="AY57" s="84"/>
      <c r="AZ57" s="84"/>
      <c r="BA57" s="142"/>
      <c r="BB57" s="502"/>
      <c r="BC57" s="141"/>
      <c r="BD57" s="84"/>
      <c r="BE57" s="84"/>
      <c r="BF57" s="142"/>
      <c r="BG57" s="502"/>
      <c r="BH57" s="141"/>
      <c r="BI57" s="84"/>
      <c r="BJ57" s="84"/>
      <c r="BK57" s="142"/>
      <c r="BL57" s="502"/>
      <c r="BM57" s="141"/>
      <c r="BN57" s="84"/>
      <c r="BO57" s="84"/>
      <c r="BP57" s="142"/>
      <c r="BQ57" s="502"/>
      <c r="BR57" s="1615"/>
      <c r="BS57" s="178"/>
      <c r="BT57" s="178"/>
      <c r="BU57" s="15"/>
      <c r="BV57" s="15"/>
      <c r="BW57" s="15"/>
      <c r="BX57" s="15"/>
      <c r="BY57" s="15"/>
      <c r="BZ57" s="15"/>
      <c r="CA57" s="15"/>
      <c r="CB57" s="15"/>
      <c r="CC57" s="15"/>
      <c r="CD57" s="177"/>
      <c r="CE57" s="92"/>
      <c r="CF57" s="92"/>
      <c r="CG57" s="92"/>
      <c r="CH57" s="92"/>
      <c r="CI57" s="92"/>
      <c r="CJ57" s="92"/>
      <c r="CK57" s="92"/>
      <c r="CL57" s="92"/>
      <c r="CM57" s="92"/>
    </row>
    <row r="58" spans="1:106" s="497" customFormat="1">
      <c r="B58" s="498"/>
      <c r="C58" s="1208" t="s">
        <v>366</v>
      </c>
      <c r="D58" s="498"/>
      <c r="E58" s="141"/>
      <c r="F58" s="84"/>
      <c r="G58" s="84"/>
      <c r="H58" s="142"/>
      <c r="I58" s="498"/>
      <c r="J58" s="141"/>
      <c r="K58" s="84"/>
      <c r="L58" s="84"/>
      <c r="M58" s="142"/>
      <c r="N58" s="498"/>
      <c r="O58" s="141"/>
      <c r="P58" s="84"/>
      <c r="Q58" s="84"/>
      <c r="R58" s="142"/>
      <c r="S58" s="498"/>
      <c r="T58" s="141"/>
      <c r="U58" s="84"/>
      <c r="V58" s="84"/>
      <c r="W58" s="142"/>
      <c r="X58" s="498"/>
      <c r="Y58" s="141">
        <f t="shared" ref="Y58:AE58" si="103">+Y109</f>
        <v>0.12</v>
      </c>
      <c r="Z58" s="84">
        <f t="shared" si="103"/>
        <v>0.12</v>
      </c>
      <c r="AA58" s="84">
        <f t="shared" si="103"/>
        <v>0.12</v>
      </c>
      <c r="AB58" s="142">
        <f t="shared" si="103"/>
        <v>0.12</v>
      </c>
      <c r="AC58" s="498">
        <f t="shared" si="103"/>
        <v>0.12</v>
      </c>
      <c r="AD58" s="141">
        <f>+AD109</f>
        <v>0.12</v>
      </c>
      <c r="AE58" s="697">
        <f t="shared" si="103"/>
        <v>0.12</v>
      </c>
      <c r="AF58" s="697">
        <f t="shared" ref="AF58:AJ58" si="104">+AF109</f>
        <v>0.12</v>
      </c>
      <c r="AG58" s="698">
        <f t="shared" si="104"/>
        <v>0.12</v>
      </c>
      <c r="AH58" s="853">
        <f t="shared" si="104"/>
        <v>0.12</v>
      </c>
      <c r="AI58" s="696">
        <f t="shared" si="104"/>
        <v>0.12</v>
      </c>
      <c r="AJ58" s="697">
        <f t="shared" si="104"/>
        <v>0.12</v>
      </c>
      <c r="AK58" s="697">
        <f t="shared" ref="AK58:AO58" si="105">+AK109</f>
        <v>0.115</v>
      </c>
      <c r="AL58" s="698">
        <f t="shared" si="105"/>
        <v>0.115</v>
      </c>
      <c r="AM58" s="853">
        <f t="shared" si="105"/>
        <v>0.11749999999999999</v>
      </c>
      <c r="AN58" s="696">
        <f t="shared" si="105"/>
        <v>0.1087</v>
      </c>
      <c r="AO58" s="697">
        <f t="shared" si="105"/>
        <v>0.1087</v>
      </c>
      <c r="AP58" s="697">
        <f t="shared" ref="AP58:AT58" si="106">+AP109</f>
        <v>0.1087</v>
      </c>
      <c r="AQ58" s="698">
        <f t="shared" si="106"/>
        <v>0.1087</v>
      </c>
      <c r="AR58" s="853">
        <f t="shared" si="106"/>
        <v>0.1087</v>
      </c>
      <c r="AS58" s="696">
        <f t="shared" si="106"/>
        <v>0.1087</v>
      </c>
      <c r="AT58" s="697">
        <f t="shared" si="106"/>
        <v>0.1087</v>
      </c>
      <c r="AU58" s="697">
        <f t="shared" ref="AU58:AW58" si="107">+AU109</f>
        <v>0.1087</v>
      </c>
      <c r="AV58" s="698">
        <f t="shared" si="107"/>
        <v>0.1087</v>
      </c>
      <c r="AW58" s="853">
        <f t="shared" si="107"/>
        <v>0.1087</v>
      </c>
      <c r="AX58" s="141"/>
      <c r="AY58" s="84"/>
      <c r="AZ58" s="84"/>
      <c r="BA58" s="142"/>
      <c r="BB58" s="498">
        <f>+BB109</f>
        <v>0.1087</v>
      </c>
      <c r="BC58" s="141"/>
      <c r="BD58" s="84"/>
      <c r="BE58" s="84"/>
      <c r="BF58" s="142"/>
      <c r="BG58" s="498">
        <f>+BG109</f>
        <v>0.1087</v>
      </c>
      <c r="BH58" s="141"/>
      <c r="BI58" s="84"/>
      <c r="BJ58" s="84"/>
      <c r="BK58" s="142"/>
      <c r="BL58" s="498">
        <f>+BL109</f>
        <v>0.1087</v>
      </c>
      <c r="BM58" s="141"/>
      <c r="BN58" s="84"/>
      <c r="BO58" s="84"/>
      <c r="BP58" s="142"/>
      <c r="BQ58" s="498">
        <f>+BQ109</f>
        <v>0.1087</v>
      </c>
      <c r="BR58" s="1610"/>
      <c r="BS58" s="498"/>
      <c r="BT58" s="498"/>
      <c r="BU58" s="499"/>
    </row>
    <row r="59" spans="1:106" s="497" customFormat="1">
      <c r="B59" s="498"/>
      <c r="C59" s="1209" t="s">
        <v>907</v>
      </c>
      <c r="D59" s="1207"/>
      <c r="E59" s="705"/>
      <c r="F59" s="706"/>
      <c r="G59" s="706"/>
      <c r="H59" s="707"/>
      <c r="I59" s="1207"/>
      <c r="J59" s="705"/>
      <c r="K59" s="706"/>
      <c r="L59" s="706"/>
      <c r="M59" s="707"/>
      <c r="N59" s="1207"/>
      <c r="O59" s="705"/>
      <c r="P59" s="706"/>
      <c r="Q59" s="706"/>
      <c r="R59" s="707"/>
      <c r="S59" s="1207"/>
      <c r="T59" s="705"/>
      <c r="U59" s="706"/>
      <c r="V59" s="706"/>
      <c r="W59" s="707"/>
      <c r="X59" s="1207"/>
      <c r="Y59" s="705"/>
      <c r="Z59" s="706"/>
      <c r="AA59" s="706"/>
      <c r="AB59" s="707"/>
      <c r="AC59" s="1207">
        <f>+AC110</f>
        <v>0.16589147286821707</v>
      </c>
      <c r="AD59" s="705"/>
      <c r="AE59" s="1890"/>
      <c r="AF59" s="1890"/>
      <c r="AG59" s="1891"/>
      <c r="AH59" s="1892">
        <f>+AH110</f>
        <v>0.13404507710557534</v>
      </c>
      <c r="AI59" s="1893"/>
      <c r="AJ59" s="1890"/>
      <c r="AK59" s="1890"/>
      <c r="AL59" s="1891"/>
      <c r="AM59" s="1892">
        <f>+AM110</f>
        <v>0.13726835964310227</v>
      </c>
      <c r="AN59" s="1893"/>
      <c r="AO59" s="1890"/>
      <c r="AP59" s="1890"/>
      <c r="AQ59" s="1891"/>
      <c r="AR59" s="1892">
        <f>+AR110</f>
        <v>0.12705702257941065</v>
      </c>
      <c r="AS59" s="1893"/>
      <c r="AT59" s="706"/>
      <c r="AU59" s="1890"/>
      <c r="AV59" s="1891"/>
      <c r="AW59" s="1892">
        <f>+AW110</f>
        <v>0.12060466644758462</v>
      </c>
      <c r="AX59" s="705"/>
      <c r="AY59" s="706"/>
      <c r="AZ59" s="706"/>
      <c r="BA59" s="707"/>
      <c r="BB59" s="1207">
        <f>+BB110</f>
        <v>0.11646455888853421</v>
      </c>
      <c r="BC59" s="705"/>
      <c r="BD59" s="706"/>
      <c r="BE59" s="706"/>
      <c r="BF59" s="707"/>
      <c r="BG59" s="1207">
        <f>+BG110</f>
        <v>0.11353875243802949</v>
      </c>
      <c r="BH59" s="705"/>
      <c r="BI59" s="706"/>
      <c r="BJ59" s="706"/>
      <c r="BK59" s="707"/>
      <c r="BL59" s="1207">
        <f>+BL110</f>
        <v>0.11294960767892082</v>
      </c>
      <c r="BM59" s="705"/>
      <c r="BN59" s="706"/>
      <c r="BO59" s="706"/>
      <c r="BP59" s="707"/>
      <c r="BQ59" s="1207">
        <f>+BQ110</f>
        <v>0.11259782156531495</v>
      </c>
      <c r="BR59" s="1610"/>
      <c r="BS59" s="498"/>
      <c r="BT59" s="498"/>
      <c r="BU59" s="499"/>
    </row>
    <row r="60" spans="1:106">
      <c r="A60" s="89"/>
      <c r="B60" s="89"/>
      <c r="C60" s="1184"/>
      <c r="D60" s="87"/>
      <c r="E60" s="133"/>
      <c r="F60" s="134"/>
      <c r="G60" s="134"/>
      <c r="H60" s="135"/>
      <c r="I60" s="233"/>
      <c r="J60" s="133"/>
      <c r="K60" s="134"/>
      <c r="L60" s="134"/>
      <c r="M60" s="135"/>
      <c r="N60" s="233"/>
      <c r="O60" s="133"/>
      <c r="P60" s="134"/>
      <c r="Q60" s="134"/>
      <c r="R60" s="135"/>
      <c r="S60" s="233"/>
      <c r="T60" s="133"/>
      <c r="U60" s="134"/>
      <c r="V60" s="134"/>
      <c r="W60" s="135"/>
      <c r="X60" s="233"/>
      <c r="Y60" s="133"/>
      <c r="Z60" s="134"/>
      <c r="AA60" s="134"/>
      <c r="AB60" s="135"/>
      <c r="AC60" s="233"/>
      <c r="AD60" s="133"/>
      <c r="AE60" s="134"/>
      <c r="AF60" s="134"/>
      <c r="AG60" s="135"/>
      <c r="AH60" s="233"/>
      <c r="AI60" s="133"/>
      <c r="AJ60" s="134"/>
      <c r="AK60" s="134"/>
      <c r="AL60" s="135"/>
      <c r="AM60" s="233"/>
      <c r="AN60" s="133"/>
      <c r="AO60" s="134"/>
      <c r="AP60" s="134"/>
      <c r="AQ60" s="135"/>
      <c r="AR60" s="233"/>
      <c r="AS60" s="133"/>
      <c r="AT60" s="134"/>
      <c r="AU60" s="134"/>
      <c r="AV60" s="135"/>
      <c r="AW60" s="233"/>
      <c r="AX60" s="133"/>
      <c r="AY60" s="134"/>
      <c r="AZ60" s="134"/>
      <c r="BA60" s="135"/>
      <c r="BB60" s="233"/>
      <c r="BC60" s="133"/>
      <c r="BD60" s="134"/>
      <c r="BE60" s="134"/>
      <c r="BF60" s="135"/>
      <c r="BG60" s="233"/>
      <c r="BH60" s="133"/>
      <c r="BI60" s="134"/>
      <c r="BJ60" s="134"/>
      <c r="BK60" s="135"/>
      <c r="BL60" s="233"/>
      <c r="BM60" s="133"/>
      <c r="BN60" s="134"/>
      <c r="BO60" s="134"/>
      <c r="BP60" s="135"/>
      <c r="BQ60" s="233"/>
      <c r="BR60" s="177"/>
      <c r="BS60" s="177"/>
      <c r="BT60" s="177"/>
      <c r="BU60" s="15"/>
      <c r="BV60" s="15"/>
      <c r="BW60" s="15"/>
      <c r="BX60" s="15"/>
      <c r="BY60" s="15"/>
      <c r="BZ60" s="15"/>
      <c r="CA60" s="15"/>
      <c r="CB60" s="15"/>
      <c r="CC60" s="15"/>
      <c r="CD60" s="177"/>
      <c r="CE60" s="92"/>
      <c r="CF60" s="92"/>
      <c r="CG60" s="92"/>
      <c r="CH60" s="92"/>
      <c r="CI60" s="92"/>
      <c r="CJ60" s="92"/>
      <c r="CK60" s="92"/>
      <c r="CL60" s="92"/>
      <c r="CM60" s="92"/>
    </row>
    <row r="61" spans="1:106">
      <c r="A61" s="89"/>
      <c r="B61" s="89"/>
      <c r="C61" s="1184"/>
      <c r="D61" s="87"/>
      <c r="E61" s="133"/>
      <c r="F61" s="134"/>
      <c r="G61" s="134"/>
      <c r="H61" s="135"/>
      <c r="I61" s="233"/>
      <c r="J61" s="133"/>
      <c r="K61" s="134"/>
      <c r="L61" s="134"/>
      <c r="M61" s="135"/>
      <c r="N61" s="233"/>
      <c r="O61" s="133"/>
      <c r="P61" s="134"/>
      <c r="Q61" s="134"/>
      <c r="R61" s="135"/>
      <c r="S61" s="233"/>
      <c r="T61" s="133"/>
      <c r="U61" s="134"/>
      <c r="V61" s="134"/>
      <c r="W61" s="135"/>
      <c r="X61" s="233"/>
      <c r="Y61" s="133"/>
      <c r="Z61" s="134"/>
      <c r="AA61" s="134"/>
      <c r="AB61" s="135"/>
      <c r="AC61" s="233"/>
      <c r="AD61" s="133"/>
      <c r="AE61" s="134"/>
      <c r="AF61" s="134"/>
      <c r="AG61" s="135"/>
      <c r="AH61" s="233"/>
      <c r="AI61" s="133"/>
      <c r="AJ61" s="134"/>
      <c r="AK61" s="134"/>
      <c r="AL61" s="135"/>
      <c r="AM61" s="233"/>
      <c r="AN61" s="133"/>
      <c r="AO61" s="134"/>
      <c r="AP61" s="134"/>
      <c r="AQ61" s="135"/>
      <c r="AR61" s="233"/>
      <c r="AS61" s="133"/>
      <c r="AT61" s="134"/>
      <c r="AU61" s="134"/>
      <c r="AV61" s="135"/>
      <c r="AW61" s="233"/>
      <c r="AX61" s="133"/>
      <c r="AY61" s="134"/>
      <c r="AZ61" s="134"/>
      <c r="BA61" s="135"/>
      <c r="BB61" s="233"/>
      <c r="BC61" s="133"/>
      <c r="BD61" s="134"/>
      <c r="BE61" s="134"/>
      <c r="BF61" s="135"/>
      <c r="BG61" s="233"/>
      <c r="BH61" s="133"/>
      <c r="BI61" s="134"/>
      <c r="BJ61" s="134"/>
      <c r="BK61" s="135"/>
      <c r="BL61" s="233"/>
      <c r="BM61" s="133"/>
      <c r="BN61" s="134"/>
      <c r="BO61" s="134"/>
      <c r="BP61" s="135"/>
      <c r="BQ61" s="233"/>
      <c r="BR61" s="177"/>
      <c r="BS61" s="177"/>
      <c r="BT61" s="177"/>
      <c r="BU61" s="15"/>
      <c r="BV61" s="15"/>
      <c r="BW61" s="15"/>
      <c r="BX61" s="15"/>
      <c r="BY61" s="15"/>
      <c r="BZ61" s="15"/>
      <c r="CA61" s="15"/>
      <c r="CB61" s="15"/>
      <c r="CC61" s="15"/>
      <c r="CD61" s="177"/>
      <c r="CE61" s="92"/>
      <c r="CF61" s="92"/>
      <c r="CG61" s="92"/>
      <c r="CH61" s="92"/>
      <c r="CI61" s="92"/>
      <c r="CJ61" s="92"/>
      <c r="CK61" s="92"/>
      <c r="CL61" s="92"/>
      <c r="CM61" s="92"/>
    </row>
    <row r="62" spans="1:106">
      <c r="A62" s="89"/>
      <c r="B62" s="126" t="s">
        <v>663</v>
      </c>
      <c r="C62" s="1185"/>
      <c r="D62" s="284"/>
      <c r="E62" s="133"/>
      <c r="F62" s="134"/>
      <c r="G62" s="134"/>
      <c r="H62" s="135"/>
      <c r="I62" s="233"/>
      <c r="J62" s="133"/>
      <c r="K62" s="134"/>
      <c r="L62" s="134"/>
      <c r="M62" s="135"/>
      <c r="N62" s="233"/>
      <c r="O62" s="133"/>
      <c r="P62" s="134"/>
      <c r="Q62" s="134"/>
      <c r="R62" s="135"/>
      <c r="S62" s="233"/>
      <c r="T62" s="133"/>
      <c r="U62" s="134"/>
      <c r="V62" s="134"/>
      <c r="W62" s="135"/>
      <c r="X62" s="233"/>
      <c r="Y62" s="133"/>
      <c r="Z62" s="134"/>
      <c r="AA62" s="134"/>
      <c r="AB62" s="135"/>
      <c r="AC62" s="233"/>
      <c r="AD62" s="133"/>
      <c r="AE62" s="134"/>
      <c r="AF62" s="134"/>
      <c r="AG62" s="135"/>
      <c r="AH62" s="233"/>
      <c r="AI62" s="133"/>
      <c r="AJ62" s="134"/>
      <c r="AK62" s="134"/>
      <c r="AL62" s="135"/>
      <c r="AM62" s="233"/>
      <c r="AN62" s="133"/>
      <c r="AO62" s="134"/>
      <c r="AP62" s="134"/>
      <c r="AQ62" s="135"/>
      <c r="AR62" s="233"/>
      <c r="AS62" s="133"/>
      <c r="AT62" s="134"/>
      <c r="AU62" s="134"/>
      <c r="AV62" s="135"/>
      <c r="AW62" s="233"/>
      <c r="AX62" s="133"/>
      <c r="AY62" s="134"/>
      <c r="AZ62" s="134"/>
      <c r="BA62" s="135"/>
      <c r="BB62" s="233"/>
      <c r="BC62" s="133"/>
      <c r="BD62" s="134"/>
      <c r="BE62" s="134"/>
      <c r="BF62" s="135"/>
      <c r="BG62" s="233"/>
      <c r="BH62" s="133"/>
      <c r="BI62" s="134"/>
      <c r="BJ62" s="134"/>
      <c r="BK62" s="135"/>
      <c r="BL62" s="233"/>
      <c r="BM62" s="133"/>
      <c r="BN62" s="134"/>
      <c r="BO62" s="134"/>
      <c r="BP62" s="135"/>
      <c r="BQ62" s="233"/>
      <c r="BR62" s="177"/>
      <c r="BS62" s="177"/>
      <c r="BT62" s="177"/>
      <c r="BU62" s="15"/>
      <c r="BV62" s="15"/>
      <c r="BW62" s="15"/>
      <c r="BX62" s="15"/>
      <c r="BY62" s="15"/>
      <c r="BZ62" s="15"/>
      <c r="CA62" s="15"/>
      <c r="CB62" s="15"/>
      <c r="CC62" s="15"/>
      <c r="CD62" s="15"/>
    </row>
    <row r="63" spans="1:106" s="60" customFormat="1">
      <c r="A63" s="308"/>
      <c r="B63" s="93"/>
      <c r="C63" s="1186" t="s">
        <v>914</v>
      </c>
      <c r="D63" s="308"/>
      <c r="E63" s="305"/>
      <c r="F63" s="306"/>
      <c r="G63" s="306"/>
      <c r="H63" s="307"/>
      <c r="I63" s="308"/>
      <c r="J63" s="305">
        <f t="shared" ref="J63:T63" si="108">J10</f>
        <v>14</v>
      </c>
      <c r="K63" s="306">
        <f t="shared" si="108"/>
        <v>16</v>
      </c>
      <c r="L63" s="306">
        <f t="shared" si="108"/>
        <v>15</v>
      </c>
      <c r="M63" s="307">
        <f t="shared" si="108"/>
        <v>16</v>
      </c>
      <c r="N63" s="308">
        <f t="shared" si="108"/>
        <v>61</v>
      </c>
      <c r="O63" s="305">
        <f t="shared" si="108"/>
        <v>28</v>
      </c>
      <c r="P63" s="306">
        <f t="shared" si="108"/>
        <v>30</v>
      </c>
      <c r="Q63" s="306">
        <f t="shared" si="108"/>
        <v>28</v>
      </c>
      <c r="R63" s="307">
        <f t="shared" si="108"/>
        <v>27</v>
      </c>
      <c r="S63" s="308">
        <f t="shared" si="108"/>
        <v>113</v>
      </c>
      <c r="T63" s="305">
        <f t="shared" si="108"/>
        <v>27</v>
      </c>
      <c r="U63" s="306">
        <f>U10</f>
        <v>41</v>
      </c>
      <c r="V63" s="306">
        <f>V10</f>
        <v>31</v>
      </c>
      <c r="W63" s="307">
        <f>W10</f>
        <v>33</v>
      </c>
      <c r="X63" s="308">
        <f>SUM(T63:W63)</f>
        <v>132</v>
      </c>
      <c r="Y63" s="305">
        <f>Y10</f>
        <v>30</v>
      </c>
      <c r="Z63" s="306">
        <f>Z10</f>
        <v>33</v>
      </c>
      <c r="AA63" s="306">
        <f>AA10</f>
        <v>35</v>
      </c>
      <c r="AB63" s="307">
        <f>AB10</f>
        <v>33</v>
      </c>
      <c r="AC63" s="308">
        <f>SUM(Y63:AB63)</f>
        <v>131</v>
      </c>
      <c r="AD63" s="305">
        <f>AD10</f>
        <v>34</v>
      </c>
      <c r="AE63" s="306">
        <f>AE10</f>
        <v>31</v>
      </c>
      <c r="AF63" s="306">
        <f>AF10</f>
        <v>38</v>
      </c>
      <c r="AG63" s="307">
        <f>AG10</f>
        <v>36</v>
      </c>
      <c r="AH63" s="308">
        <f>SUM(AD63:AG63)</f>
        <v>139</v>
      </c>
      <c r="AI63" s="305">
        <f>AI10</f>
        <v>35</v>
      </c>
      <c r="AJ63" s="306">
        <f>AJ10</f>
        <v>35</v>
      </c>
      <c r="AK63" s="306">
        <f>AK10</f>
        <v>42</v>
      </c>
      <c r="AL63" s="307">
        <f>AL10</f>
        <v>42</v>
      </c>
      <c r="AM63" s="308">
        <f>SUM(AI63:AL63)</f>
        <v>154</v>
      </c>
      <c r="AN63" s="305">
        <f>AN10</f>
        <v>36</v>
      </c>
      <c r="AO63" s="306">
        <f>AO10</f>
        <v>36</v>
      </c>
      <c r="AP63" s="306">
        <f>AP10</f>
        <v>46</v>
      </c>
      <c r="AQ63" s="307">
        <f>AQ10</f>
        <v>43</v>
      </c>
      <c r="AR63" s="308">
        <f>SUM(AN63:AQ63)</f>
        <v>161</v>
      </c>
      <c r="AS63" s="305">
        <f>AS10</f>
        <v>45</v>
      </c>
      <c r="AT63" s="306">
        <f>AT10</f>
        <v>50</v>
      </c>
      <c r="AU63" s="306">
        <f>AU10</f>
        <v>55</v>
      </c>
      <c r="AV63" s="307">
        <f>AV10</f>
        <v>53</v>
      </c>
      <c r="AW63" s="308">
        <f>SUM(AS63:AV63)</f>
        <v>203</v>
      </c>
      <c r="AX63" s="305">
        <f>AX65+AX64</f>
        <v>45.45</v>
      </c>
      <c r="AY63" s="306">
        <f>AY65+AY64</f>
        <v>50.5</v>
      </c>
      <c r="AZ63" s="306">
        <f>AZ65+AZ64</f>
        <v>55.55</v>
      </c>
      <c r="BA63" s="307">
        <f>BA65+BA64</f>
        <v>53.53</v>
      </c>
      <c r="BB63" s="308">
        <f>SUM(AX63:BA63)</f>
        <v>205.03</v>
      </c>
      <c r="BC63" s="305">
        <f>BC65+BC64</f>
        <v>45.904500000000006</v>
      </c>
      <c r="BD63" s="306">
        <f>BD65+BD64</f>
        <v>51.005000000000003</v>
      </c>
      <c r="BE63" s="306">
        <f>BE65+BE64</f>
        <v>56.105499999999999</v>
      </c>
      <c r="BF63" s="307">
        <f>BF65+BF64</f>
        <v>54.065300000000001</v>
      </c>
      <c r="BG63" s="308">
        <f>SUM(BC63:BF63)</f>
        <v>207.08030000000002</v>
      </c>
      <c r="BH63" s="305">
        <f>BH65+BH64</f>
        <v>46.363545000000009</v>
      </c>
      <c r="BI63" s="306">
        <f>BI65+BI64</f>
        <v>51.515050000000002</v>
      </c>
      <c r="BJ63" s="306">
        <f>BJ65+BJ64</f>
        <v>56.666555000000002</v>
      </c>
      <c r="BK63" s="307">
        <f>BK65+BK64</f>
        <v>54.605953</v>
      </c>
      <c r="BL63" s="308">
        <f>SUM(BH63:BK63)</f>
        <v>209.15110300000003</v>
      </c>
      <c r="BM63" s="305">
        <f>BM65+BM64</f>
        <v>46.827180450000007</v>
      </c>
      <c r="BN63" s="306">
        <f>BN65+BN64</f>
        <v>52.030200499999999</v>
      </c>
      <c r="BO63" s="306">
        <f>BO65+BO64</f>
        <v>57.233220550000006</v>
      </c>
      <c r="BP63" s="307">
        <f>BP65+BP64</f>
        <v>55.15201253</v>
      </c>
      <c r="BQ63" s="308">
        <f>SUM(BM63:BP63)</f>
        <v>211.24261403000003</v>
      </c>
      <c r="BR63" s="490"/>
      <c r="BS63" s="490"/>
      <c r="BT63" s="490"/>
    </row>
    <row r="64" spans="1:106" s="173" customFormat="1">
      <c r="A64" s="285"/>
      <c r="B64" s="96"/>
      <c r="C64" s="1179" t="s">
        <v>915</v>
      </c>
      <c r="D64" s="285"/>
      <c r="E64" s="309"/>
      <c r="F64" s="310"/>
      <c r="G64" s="310"/>
      <c r="H64" s="311"/>
      <c r="I64" s="285"/>
      <c r="J64" s="301">
        <v>1</v>
      </c>
      <c r="K64" s="302">
        <v>0</v>
      </c>
      <c r="L64" s="75">
        <v>1</v>
      </c>
      <c r="M64" s="102">
        <f>N64-SUM(J64:L64)</f>
        <v>1</v>
      </c>
      <c r="N64" s="103">
        <v>3</v>
      </c>
      <c r="O64" s="301">
        <f>(151-72-77)</f>
        <v>2</v>
      </c>
      <c r="P64" s="302">
        <v>1</v>
      </c>
      <c r="Q64" s="302">
        <f>0</f>
        <v>0</v>
      </c>
      <c r="R64" s="290">
        <f>+S64-Q64-P64-O64</f>
        <v>1</v>
      </c>
      <c r="S64" s="300">
        <f>4</f>
        <v>4</v>
      </c>
      <c r="T64" s="301">
        <v>0</v>
      </c>
      <c r="U64" s="302">
        <v>0</v>
      </c>
      <c r="V64" s="302">
        <v>0</v>
      </c>
      <c r="W64" s="506">
        <v>0</v>
      </c>
      <c r="X64" s="285">
        <f>SUM(T64:W64)</f>
        <v>0</v>
      </c>
      <c r="Y64" s="301">
        <v>0</v>
      </c>
      <c r="Z64" s="302">
        <v>0</v>
      </c>
      <c r="AA64" s="302">
        <v>0</v>
      </c>
      <c r="AB64" s="303">
        <v>0</v>
      </c>
      <c r="AC64" s="285">
        <f>SUM(Y64:AB64)</f>
        <v>0</v>
      </c>
      <c r="AD64" s="301">
        <v>0</v>
      </c>
      <c r="AE64" s="302">
        <v>0</v>
      </c>
      <c r="AF64" s="302">
        <v>0</v>
      </c>
      <c r="AG64" s="303">
        <v>0</v>
      </c>
      <c r="AH64" s="285">
        <f>SUM(AD64:AG64)</f>
        <v>0</v>
      </c>
      <c r="AI64" s="301">
        <v>0</v>
      </c>
      <c r="AJ64" s="302">
        <v>0</v>
      </c>
      <c r="AK64" s="302">
        <v>0</v>
      </c>
      <c r="AL64" s="303">
        <v>0</v>
      </c>
      <c r="AM64" s="285">
        <f>SUM(AI64:AL64)</f>
        <v>0</v>
      </c>
      <c r="AN64" s="301">
        <v>0</v>
      </c>
      <c r="AO64" s="302">
        <v>0</v>
      </c>
      <c r="AP64" s="302">
        <v>0</v>
      </c>
      <c r="AQ64" s="303">
        <v>0</v>
      </c>
      <c r="AR64" s="285">
        <f>SUM(AN64:AQ64)</f>
        <v>0</v>
      </c>
      <c r="AS64" s="301">
        <v>0</v>
      </c>
      <c r="AT64" s="302">
        <v>0</v>
      </c>
      <c r="AU64" s="302">
        <v>0</v>
      </c>
      <c r="AV64" s="303">
        <v>0</v>
      </c>
      <c r="AW64" s="285">
        <f>SUM(AS64:AV64)</f>
        <v>0</v>
      </c>
      <c r="AX64" s="504">
        <v>0</v>
      </c>
      <c r="AY64" s="505">
        <v>0</v>
      </c>
      <c r="AZ64" s="505">
        <v>0</v>
      </c>
      <c r="BA64" s="506">
        <v>0</v>
      </c>
      <c r="BB64" s="285">
        <f>SUM(AX64:BA64)</f>
        <v>0</v>
      </c>
      <c r="BC64" s="504">
        <v>0</v>
      </c>
      <c r="BD64" s="505">
        <v>0</v>
      </c>
      <c r="BE64" s="505">
        <v>0</v>
      </c>
      <c r="BF64" s="506">
        <v>0</v>
      </c>
      <c r="BG64" s="285">
        <f>SUM(BC64:BF64)</f>
        <v>0</v>
      </c>
      <c r="BH64" s="504">
        <v>0</v>
      </c>
      <c r="BI64" s="505">
        <v>0</v>
      </c>
      <c r="BJ64" s="505">
        <v>0</v>
      </c>
      <c r="BK64" s="506">
        <v>0</v>
      </c>
      <c r="BL64" s="285">
        <f>SUM(BH64:BK64)</f>
        <v>0</v>
      </c>
      <c r="BM64" s="504">
        <v>0</v>
      </c>
      <c r="BN64" s="505">
        <v>0</v>
      </c>
      <c r="BO64" s="505">
        <v>0</v>
      </c>
      <c r="BP64" s="506">
        <v>0</v>
      </c>
      <c r="BQ64" s="285">
        <f>SUM(BM64:BP64)</f>
        <v>0</v>
      </c>
      <c r="BR64" s="491"/>
      <c r="BS64" s="491"/>
      <c r="BT64" s="491"/>
    </row>
    <row r="65" spans="1:91" s="173" customFormat="1">
      <c r="A65" s="285"/>
      <c r="B65" s="96"/>
      <c r="C65" s="1179" t="s">
        <v>922</v>
      </c>
      <c r="D65" s="285"/>
      <c r="E65" s="309"/>
      <c r="F65" s="310"/>
      <c r="G65" s="310"/>
      <c r="H65" s="311"/>
      <c r="I65" s="285"/>
      <c r="J65" s="309">
        <f t="shared" ref="J65:V65" si="109">J63-J64</f>
        <v>13</v>
      </c>
      <c r="K65" s="310">
        <f t="shared" si="109"/>
        <v>16</v>
      </c>
      <c r="L65" s="310">
        <f t="shared" si="109"/>
        <v>14</v>
      </c>
      <c r="M65" s="311">
        <f t="shared" si="109"/>
        <v>15</v>
      </c>
      <c r="N65" s="285">
        <f t="shared" si="109"/>
        <v>58</v>
      </c>
      <c r="O65" s="309">
        <f t="shared" si="109"/>
        <v>26</v>
      </c>
      <c r="P65" s="310">
        <f t="shared" si="109"/>
        <v>29</v>
      </c>
      <c r="Q65" s="310">
        <f t="shared" si="109"/>
        <v>28</v>
      </c>
      <c r="R65" s="311">
        <f t="shared" si="109"/>
        <v>26</v>
      </c>
      <c r="S65" s="285">
        <f t="shared" si="109"/>
        <v>109</v>
      </c>
      <c r="T65" s="309">
        <f t="shared" si="109"/>
        <v>27</v>
      </c>
      <c r="U65" s="310">
        <f t="shared" si="109"/>
        <v>41</v>
      </c>
      <c r="V65" s="310">
        <f t="shared" si="109"/>
        <v>31</v>
      </c>
      <c r="W65" s="311">
        <f>W63-W64</f>
        <v>33</v>
      </c>
      <c r="X65" s="285">
        <f>SUM(T65:W65)</f>
        <v>132</v>
      </c>
      <c r="Y65" s="309">
        <f>Y63-Y64</f>
        <v>30</v>
      </c>
      <c r="Z65" s="310">
        <f>Z63-Z64</f>
        <v>33</v>
      </c>
      <c r="AA65" s="310">
        <f>AA63-AA64</f>
        <v>35</v>
      </c>
      <c r="AB65" s="311">
        <f>AB63-AB64</f>
        <v>33</v>
      </c>
      <c r="AC65" s="285">
        <f>SUM(Y65:AB65)</f>
        <v>131</v>
      </c>
      <c r="AD65" s="309">
        <f>AD63-AD64</f>
        <v>34</v>
      </c>
      <c r="AE65" s="310">
        <f>AE63-AE64</f>
        <v>31</v>
      </c>
      <c r="AF65" s="310">
        <f>AF63-AF64</f>
        <v>38</v>
      </c>
      <c r="AG65" s="311">
        <f>AG63-AG64</f>
        <v>36</v>
      </c>
      <c r="AH65" s="285">
        <f>SUM(AD65:AG65)</f>
        <v>139</v>
      </c>
      <c r="AI65" s="309">
        <f>AI63-AI64</f>
        <v>35</v>
      </c>
      <c r="AJ65" s="310">
        <f>AJ63-AJ64</f>
        <v>35</v>
      </c>
      <c r="AK65" s="310">
        <f>AK63-AK64</f>
        <v>42</v>
      </c>
      <c r="AL65" s="311">
        <f>AL63-AL64</f>
        <v>42</v>
      </c>
      <c r="AM65" s="285">
        <f>SUM(AI65:AL65)</f>
        <v>154</v>
      </c>
      <c r="AN65" s="309">
        <f>AN63-AN64</f>
        <v>36</v>
      </c>
      <c r="AO65" s="310">
        <f>AO63-AO64</f>
        <v>36</v>
      </c>
      <c r="AP65" s="310">
        <f>AP63-AP64</f>
        <v>46</v>
      </c>
      <c r="AQ65" s="311">
        <f>AQ63-AQ64</f>
        <v>43</v>
      </c>
      <c r="AR65" s="285">
        <f>SUM(AN65:AQ65)</f>
        <v>161</v>
      </c>
      <c r="AS65" s="309">
        <f>AS63-AS64</f>
        <v>45</v>
      </c>
      <c r="AT65" s="310">
        <f>AT63-AT64</f>
        <v>50</v>
      </c>
      <c r="AU65" s="310">
        <f>AU63-AU64</f>
        <v>55</v>
      </c>
      <c r="AV65" s="311">
        <f>AV63-AV64</f>
        <v>53</v>
      </c>
      <c r="AW65" s="285">
        <f>SUM(AS65:AV65)</f>
        <v>203</v>
      </c>
      <c r="AX65" s="309">
        <f>AS65*(1+AX66)</f>
        <v>45.45</v>
      </c>
      <c r="AY65" s="310">
        <f>AT65*(1+AY66)</f>
        <v>50.5</v>
      </c>
      <c r="AZ65" s="310">
        <f>AU65*(1+AZ66)</f>
        <v>55.55</v>
      </c>
      <c r="BA65" s="311">
        <f>AV65*(1+BA66)</f>
        <v>53.53</v>
      </c>
      <c r="BB65" s="285">
        <f>SUM(AX65:BA65)</f>
        <v>205.03</v>
      </c>
      <c r="BC65" s="309">
        <f>AX65*(1+BC66)</f>
        <v>45.904500000000006</v>
      </c>
      <c r="BD65" s="310">
        <f>AY65*(1+BD66)</f>
        <v>51.005000000000003</v>
      </c>
      <c r="BE65" s="310">
        <f>AZ65*(1+BE66)</f>
        <v>56.105499999999999</v>
      </c>
      <c r="BF65" s="311">
        <f>BA65*(1+BF66)</f>
        <v>54.065300000000001</v>
      </c>
      <c r="BG65" s="285">
        <f>SUM(BC65:BF65)</f>
        <v>207.08030000000002</v>
      </c>
      <c r="BH65" s="309">
        <f>BC65*(1+BH66)</f>
        <v>46.363545000000009</v>
      </c>
      <c r="BI65" s="310">
        <f>BD65*(1+BI66)</f>
        <v>51.515050000000002</v>
      </c>
      <c r="BJ65" s="310">
        <f>BE65*(1+BJ66)</f>
        <v>56.666555000000002</v>
      </c>
      <c r="BK65" s="311">
        <f>BF65*(1+BK66)</f>
        <v>54.605953</v>
      </c>
      <c r="BL65" s="285">
        <f>SUM(BH65:BK65)</f>
        <v>209.15110300000003</v>
      </c>
      <c r="BM65" s="309">
        <f>BH65*(1+BM66)</f>
        <v>46.827180450000007</v>
      </c>
      <c r="BN65" s="310">
        <f>BI65*(1+BN66)</f>
        <v>52.030200499999999</v>
      </c>
      <c r="BO65" s="310">
        <f>BJ65*(1+BO66)</f>
        <v>57.233220550000006</v>
      </c>
      <c r="BP65" s="311">
        <f>BK65*(1+BP66)</f>
        <v>55.15201253</v>
      </c>
      <c r="BQ65" s="285">
        <f>SUM(BM65:BP65)</f>
        <v>211.24261403000003</v>
      </c>
      <c r="BR65" s="491"/>
      <c r="BS65" s="491"/>
      <c r="BT65" s="491"/>
    </row>
    <row r="66" spans="1:91" s="359" customFormat="1">
      <c r="A66" s="672"/>
      <c r="B66" s="672"/>
      <c r="C66" s="1194" t="s">
        <v>923</v>
      </c>
      <c r="D66" s="672"/>
      <c r="E66" s="723"/>
      <c r="F66" s="724"/>
      <c r="G66" s="724"/>
      <c r="H66" s="725"/>
      <c r="I66" s="672"/>
      <c r="J66" s="723"/>
      <c r="K66" s="724"/>
      <c r="L66" s="724"/>
      <c r="M66" s="725"/>
      <c r="N66" s="672"/>
      <c r="O66" s="723">
        <f t="shared" ref="O66:V66" si="110">O65/J65-1</f>
        <v>1</v>
      </c>
      <c r="P66" s="724">
        <f t="shared" si="110"/>
        <v>0.8125</v>
      </c>
      <c r="Q66" s="724">
        <f t="shared" si="110"/>
        <v>1</v>
      </c>
      <c r="R66" s="725">
        <f t="shared" si="110"/>
        <v>0.73333333333333339</v>
      </c>
      <c r="S66" s="672">
        <f>S65/N65-1</f>
        <v>0.8793103448275863</v>
      </c>
      <c r="T66" s="723">
        <f t="shared" si="110"/>
        <v>3.8461538461538547E-2</v>
      </c>
      <c r="U66" s="724">
        <f t="shared" si="110"/>
        <v>0.4137931034482758</v>
      </c>
      <c r="V66" s="724">
        <f t="shared" si="110"/>
        <v>0.10714285714285721</v>
      </c>
      <c r="W66" s="725">
        <f t="shared" ref="W66:AF66" si="111">W65/R65-1</f>
        <v>0.26923076923076916</v>
      </c>
      <c r="X66" s="672">
        <f t="shared" si="111"/>
        <v>0.21100917431192667</v>
      </c>
      <c r="Y66" s="723">
        <f t="shared" si="111"/>
        <v>0.11111111111111116</v>
      </c>
      <c r="Z66" s="724">
        <f t="shared" si="111"/>
        <v>-0.19512195121951215</v>
      </c>
      <c r="AA66" s="724">
        <f t="shared" si="111"/>
        <v>0.12903225806451624</v>
      </c>
      <c r="AB66" s="725">
        <f t="shared" si="111"/>
        <v>0</v>
      </c>
      <c r="AC66" s="672">
        <f t="shared" si="111"/>
        <v>-7.575757575757569E-3</v>
      </c>
      <c r="AD66" s="723">
        <f t="shared" si="111"/>
        <v>0.1333333333333333</v>
      </c>
      <c r="AE66" s="724">
        <f t="shared" si="111"/>
        <v>-6.0606060606060552E-2</v>
      </c>
      <c r="AF66" s="724">
        <f t="shared" si="111"/>
        <v>8.5714285714285632E-2</v>
      </c>
      <c r="AG66" s="725">
        <f>AG65/AB65-1</f>
        <v>9.0909090909090828E-2</v>
      </c>
      <c r="AH66" s="672">
        <f>AH65/AC65-1</f>
        <v>6.1068702290076438E-2</v>
      </c>
      <c r="AI66" s="723">
        <f>AI65/AD65-1</f>
        <v>2.9411764705882248E-2</v>
      </c>
      <c r="AJ66" s="724">
        <f>AJ65/AE65-1</f>
        <v>0.12903225806451624</v>
      </c>
      <c r="AK66" s="724">
        <f t="shared" ref="AK66" si="112">AK65/AF65-1</f>
        <v>0.10526315789473695</v>
      </c>
      <c r="AL66" s="725">
        <f>AL65/AG65-1</f>
        <v>0.16666666666666674</v>
      </c>
      <c r="AM66" s="672">
        <f>AM65/AH65-1</f>
        <v>0.1079136690647482</v>
      </c>
      <c r="AN66" s="723">
        <f>AN65/AI65-1</f>
        <v>2.857142857142847E-2</v>
      </c>
      <c r="AO66" s="724">
        <f>AO65/AJ65-1</f>
        <v>2.857142857142847E-2</v>
      </c>
      <c r="AP66" s="724">
        <f t="shared" ref="AP66" si="113">AP65/AK65-1</f>
        <v>9.5238095238095344E-2</v>
      </c>
      <c r="AQ66" s="725">
        <f>AQ65/AL65-1</f>
        <v>2.3809523809523725E-2</v>
      </c>
      <c r="AR66" s="672">
        <f>AR65/AM65-1</f>
        <v>4.5454545454545414E-2</v>
      </c>
      <c r="AS66" s="723">
        <f>AS65/AN65-1</f>
        <v>0.25</v>
      </c>
      <c r="AT66" s="724">
        <f>AT65/AO65-1</f>
        <v>0.38888888888888884</v>
      </c>
      <c r="AU66" s="724">
        <f t="shared" ref="AU66" si="114">AU65/AP65-1</f>
        <v>0.19565217391304346</v>
      </c>
      <c r="AV66" s="725">
        <f>AV65/AQ65-1</f>
        <v>0.23255813953488369</v>
      </c>
      <c r="AW66" s="672">
        <f>AW65/AR65-1</f>
        <v>0.26086956521739135</v>
      </c>
      <c r="AX66" s="723">
        <f>AX53</f>
        <v>0.01</v>
      </c>
      <c r="AY66" s="724">
        <f>AY53</f>
        <v>0.01</v>
      </c>
      <c r="AZ66" s="724">
        <f>AZ53</f>
        <v>0.01</v>
      </c>
      <c r="BA66" s="725">
        <f>BA53</f>
        <v>0.01</v>
      </c>
      <c r="BB66" s="672">
        <f>BB65/AW65-1</f>
        <v>1.0000000000000009E-2</v>
      </c>
      <c r="BC66" s="723">
        <f>BC53</f>
        <v>0.01</v>
      </c>
      <c r="BD66" s="724">
        <f>BD53</f>
        <v>0.01</v>
      </c>
      <c r="BE66" s="724">
        <f>BE53</f>
        <v>0.01</v>
      </c>
      <c r="BF66" s="725">
        <f>BF53</f>
        <v>0.01</v>
      </c>
      <c r="BG66" s="672">
        <f>BG65/BB65-1</f>
        <v>1.0000000000000009E-2</v>
      </c>
      <c r="BH66" s="723">
        <f>BH53</f>
        <v>0.01</v>
      </c>
      <c r="BI66" s="724">
        <f>BI53</f>
        <v>0.01</v>
      </c>
      <c r="BJ66" s="724">
        <f>BJ53</f>
        <v>0.01</v>
      </c>
      <c r="BK66" s="725">
        <f>BK53</f>
        <v>0.01</v>
      </c>
      <c r="BL66" s="672">
        <f>BL65/BG65-1</f>
        <v>1.0000000000000009E-2</v>
      </c>
      <c r="BM66" s="723">
        <f>BM53</f>
        <v>0.01</v>
      </c>
      <c r="BN66" s="724">
        <f>BN53</f>
        <v>0.01</v>
      </c>
      <c r="BO66" s="724">
        <f>BO53</f>
        <v>0.01</v>
      </c>
      <c r="BP66" s="725">
        <f>BP53</f>
        <v>0.01</v>
      </c>
      <c r="BQ66" s="672">
        <f>BQ65/BL65-1</f>
        <v>1.0000000000000009E-2</v>
      </c>
      <c r="BR66" s="726"/>
      <c r="BS66" s="726"/>
      <c r="BT66" s="726"/>
    </row>
    <row r="67" spans="1:91" s="12" customFormat="1">
      <c r="A67" s="87"/>
      <c r="B67" s="87"/>
      <c r="C67" s="1179"/>
      <c r="D67" s="87"/>
      <c r="E67" s="235"/>
      <c r="F67" s="236"/>
      <c r="G67" s="236"/>
      <c r="H67" s="238"/>
      <c r="I67" s="237"/>
      <c r="J67" s="235"/>
      <c r="K67" s="236"/>
      <c r="L67" s="236"/>
      <c r="M67" s="238"/>
      <c r="N67" s="237"/>
      <c r="O67" s="235"/>
      <c r="P67" s="236"/>
      <c r="Q67" s="236"/>
      <c r="R67" s="238"/>
      <c r="S67" s="237"/>
      <c r="T67" s="235"/>
      <c r="U67" s="236"/>
      <c r="V67" s="236"/>
      <c r="W67" s="238"/>
      <c r="X67" s="237"/>
      <c r="Y67" s="235"/>
      <c r="Z67" s="236"/>
      <c r="AA67" s="236"/>
      <c r="AB67" s="238"/>
      <c r="AC67" s="237"/>
      <c r="AD67" s="235"/>
      <c r="AE67" s="236"/>
      <c r="AF67" s="236"/>
      <c r="AG67" s="238"/>
      <c r="AH67" s="237"/>
      <c r="AI67" s="235"/>
      <c r="AJ67" s="236"/>
      <c r="AK67" s="236"/>
      <c r="AL67" s="238"/>
      <c r="AM67" s="237"/>
      <c r="AN67" s="235"/>
      <c r="AO67" s="236"/>
      <c r="AP67" s="236"/>
      <c r="AQ67" s="238"/>
      <c r="AR67" s="237"/>
      <c r="AS67" s="235"/>
      <c r="AT67" s="236"/>
      <c r="AU67" s="236"/>
      <c r="AV67" s="238"/>
      <c r="AW67" s="237"/>
      <c r="AX67" s="235"/>
      <c r="AY67" s="236"/>
      <c r="AZ67" s="236"/>
      <c r="BA67" s="238"/>
      <c r="BB67" s="237"/>
      <c r="BC67" s="235"/>
      <c r="BD67" s="236"/>
      <c r="BE67" s="236"/>
      <c r="BF67" s="238"/>
      <c r="BG67" s="237"/>
      <c r="BH67" s="235"/>
      <c r="BI67" s="236"/>
      <c r="BJ67" s="236"/>
      <c r="BK67" s="238"/>
      <c r="BL67" s="237"/>
      <c r="BM67" s="235"/>
      <c r="BN67" s="236"/>
      <c r="BO67" s="236"/>
      <c r="BP67" s="238"/>
      <c r="BQ67" s="237"/>
      <c r="BR67" s="501"/>
      <c r="BS67" s="501"/>
      <c r="BT67" s="501"/>
      <c r="BU67" s="48"/>
      <c r="BV67" s="48"/>
      <c r="BW67" s="48"/>
      <c r="BX67" s="48"/>
      <c r="BY67" s="48"/>
      <c r="BZ67" s="48"/>
      <c r="CA67" s="48"/>
      <c r="CB67" s="48"/>
      <c r="CC67" s="48"/>
      <c r="CD67" s="48"/>
    </row>
    <row r="68" spans="1:91" s="173" customFormat="1">
      <c r="A68" s="285"/>
      <c r="B68" s="96"/>
      <c r="C68" s="1179" t="s">
        <v>194</v>
      </c>
      <c r="D68" s="285"/>
      <c r="E68" s="309"/>
      <c r="F68" s="310"/>
      <c r="G68" s="310"/>
      <c r="H68" s="311"/>
      <c r="I68" s="285"/>
      <c r="J68" s="309">
        <f t="shared" ref="J68:R68" si="115">J13</f>
        <v>7</v>
      </c>
      <c r="K68" s="310">
        <f t="shared" si="115"/>
        <v>7</v>
      </c>
      <c r="L68" s="310">
        <f t="shared" si="115"/>
        <v>8</v>
      </c>
      <c r="M68" s="311">
        <f t="shared" si="115"/>
        <v>8</v>
      </c>
      <c r="N68" s="285">
        <f t="shared" si="115"/>
        <v>30</v>
      </c>
      <c r="O68" s="309">
        <f t="shared" si="115"/>
        <v>9</v>
      </c>
      <c r="P68" s="310">
        <f t="shared" si="115"/>
        <v>10</v>
      </c>
      <c r="Q68" s="310">
        <f t="shared" si="115"/>
        <v>11</v>
      </c>
      <c r="R68" s="311">
        <f t="shared" si="115"/>
        <v>10</v>
      </c>
      <c r="S68" s="285">
        <f>S13</f>
        <v>40</v>
      </c>
      <c r="T68" s="309">
        <f>T13</f>
        <v>12</v>
      </c>
      <c r="U68" s="310">
        <f>U13</f>
        <v>9</v>
      </c>
      <c r="V68" s="310">
        <f>V13</f>
        <v>12</v>
      </c>
      <c r="W68" s="311">
        <f>W13</f>
        <v>11</v>
      </c>
      <c r="X68" s="285">
        <f>SUM(T68:W68)</f>
        <v>44</v>
      </c>
      <c r="Y68" s="309">
        <f>Y13</f>
        <v>12</v>
      </c>
      <c r="Z68" s="310">
        <f>Z13</f>
        <v>14</v>
      </c>
      <c r="AA68" s="310">
        <f>AA13</f>
        <v>15</v>
      </c>
      <c r="AB68" s="311">
        <f>AB13</f>
        <v>13</v>
      </c>
      <c r="AC68" s="285">
        <f>SUM(Y68:AB68)</f>
        <v>54</v>
      </c>
      <c r="AD68" s="309">
        <f>AD13</f>
        <v>17</v>
      </c>
      <c r="AE68" s="310">
        <f>AE13</f>
        <v>18</v>
      </c>
      <c r="AF68" s="310">
        <f>AF13</f>
        <v>17</v>
      </c>
      <c r="AG68" s="311">
        <f>AG13</f>
        <v>18</v>
      </c>
      <c r="AH68" s="285">
        <f>SUM(AD68:AG68)</f>
        <v>70</v>
      </c>
      <c r="AI68" s="309">
        <f>AI13</f>
        <v>24</v>
      </c>
      <c r="AJ68" s="310">
        <f>AJ13</f>
        <v>26</v>
      </c>
      <c r="AK68" s="310">
        <f>AK13</f>
        <v>23</v>
      </c>
      <c r="AL68" s="311">
        <f>AL13</f>
        <v>29</v>
      </c>
      <c r="AM68" s="285">
        <f>SUM(AI68:AL68)</f>
        <v>102</v>
      </c>
      <c r="AN68" s="309">
        <f>AN13</f>
        <v>41</v>
      </c>
      <c r="AO68" s="310">
        <f>AO13</f>
        <v>36</v>
      </c>
      <c r="AP68" s="310">
        <f>AP13</f>
        <v>37</v>
      </c>
      <c r="AQ68" s="311">
        <f>AQ13</f>
        <v>39</v>
      </c>
      <c r="AR68" s="285">
        <f>SUM(AN68:AQ68)</f>
        <v>153</v>
      </c>
      <c r="AS68" s="309">
        <f>AS13</f>
        <v>42</v>
      </c>
      <c r="AT68" s="310">
        <f>AT13</f>
        <v>43</v>
      </c>
      <c r="AU68" s="310">
        <f>AU13</f>
        <v>45</v>
      </c>
      <c r="AV68" s="311">
        <f>AV13</f>
        <v>43</v>
      </c>
      <c r="AW68" s="285">
        <f>SUM(AS68:AV68)</f>
        <v>173</v>
      </c>
      <c r="AX68" s="309">
        <f>AS68*(1+AX69)</f>
        <v>42.84</v>
      </c>
      <c r="AY68" s="310">
        <f>AT68*(1+AY69)</f>
        <v>43.86</v>
      </c>
      <c r="AZ68" s="310">
        <f>AU68*(1+AZ69)</f>
        <v>45.9</v>
      </c>
      <c r="BA68" s="311">
        <f>AV68*(1+BA69)</f>
        <v>43.86</v>
      </c>
      <c r="BB68" s="285">
        <f>SUM(AX68:BA68)</f>
        <v>176.45999999999998</v>
      </c>
      <c r="BC68" s="309">
        <f>AX68*(1+BC69)</f>
        <v>43.696800000000003</v>
      </c>
      <c r="BD68" s="310">
        <f>AY68*(1+BD69)</f>
        <v>44.737200000000001</v>
      </c>
      <c r="BE68" s="310">
        <f>AZ68*(1+BE69)</f>
        <v>46.817999999999998</v>
      </c>
      <c r="BF68" s="311">
        <f>BA68*(1+BF69)</f>
        <v>44.737200000000001</v>
      </c>
      <c r="BG68" s="285">
        <f>SUM(BC68:BF68)</f>
        <v>179.98920000000001</v>
      </c>
      <c r="BH68" s="309">
        <f>BC68*(1+BH69)</f>
        <v>44.570736000000004</v>
      </c>
      <c r="BI68" s="310">
        <f>BD68*(1+BI69)</f>
        <v>45.631944000000004</v>
      </c>
      <c r="BJ68" s="310">
        <f>BE68*(1+BJ69)</f>
        <v>47.754359999999998</v>
      </c>
      <c r="BK68" s="311">
        <f>BF68*(1+BK69)</f>
        <v>45.631944000000004</v>
      </c>
      <c r="BL68" s="285">
        <f>SUM(BH68:BK68)</f>
        <v>183.58898400000001</v>
      </c>
      <c r="BM68" s="309">
        <f>BH68*(1+BM69)</f>
        <v>45.462150720000004</v>
      </c>
      <c r="BN68" s="310">
        <f>BI68*(1+BN69)</f>
        <v>46.544582880000007</v>
      </c>
      <c r="BO68" s="310">
        <f>BJ68*(1+BO69)</f>
        <v>48.7094472</v>
      </c>
      <c r="BP68" s="311">
        <f>BK68*(1+BP69)</f>
        <v>46.544582880000007</v>
      </c>
      <c r="BQ68" s="285">
        <f>SUM(BM68:BP68)</f>
        <v>187.26076368000003</v>
      </c>
      <c r="BR68" s="491"/>
      <c r="BS68" s="491"/>
      <c r="BT68" s="491"/>
    </row>
    <row r="69" spans="1:91" s="359" customFormat="1">
      <c r="A69" s="672"/>
      <c r="B69" s="672"/>
      <c r="C69" s="1194" t="s">
        <v>923</v>
      </c>
      <c r="D69" s="672"/>
      <c r="E69" s="723"/>
      <c r="F69" s="724"/>
      <c r="G69" s="724"/>
      <c r="H69" s="725"/>
      <c r="I69" s="672"/>
      <c r="J69" s="723"/>
      <c r="K69" s="724"/>
      <c r="L69" s="724"/>
      <c r="M69" s="725"/>
      <c r="N69" s="672"/>
      <c r="O69" s="723">
        <f t="shared" ref="O69:T69" si="116">O68/J68-1</f>
        <v>0.28571428571428581</v>
      </c>
      <c r="P69" s="724">
        <f t="shared" si="116"/>
        <v>0.4285714285714286</v>
      </c>
      <c r="Q69" s="724">
        <f t="shared" si="116"/>
        <v>0.375</v>
      </c>
      <c r="R69" s="725">
        <f t="shared" si="116"/>
        <v>0.25</v>
      </c>
      <c r="S69" s="672">
        <f t="shared" si="116"/>
        <v>0.33333333333333326</v>
      </c>
      <c r="T69" s="723">
        <f t="shared" si="116"/>
        <v>0.33333333333333326</v>
      </c>
      <c r="U69" s="724">
        <f t="shared" ref="U69:AF69" si="117">U68/P68-1</f>
        <v>-9.9999999999999978E-2</v>
      </c>
      <c r="V69" s="724">
        <f t="shared" si="117"/>
        <v>9.0909090909090828E-2</v>
      </c>
      <c r="W69" s="725">
        <f t="shared" si="117"/>
        <v>0.10000000000000009</v>
      </c>
      <c r="X69" s="672">
        <f t="shared" si="117"/>
        <v>0.10000000000000009</v>
      </c>
      <c r="Y69" s="723">
        <f t="shared" si="117"/>
        <v>0</v>
      </c>
      <c r="Z69" s="724">
        <f t="shared" si="117"/>
        <v>0.55555555555555558</v>
      </c>
      <c r="AA69" s="724">
        <f t="shared" si="117"/>
        <v>0.25</v>
      </c>
      <c r="AB69" s="725">
        <f t="shared" si="117"/>
        <v>0.18181818181818188</v>
      </c>
      <c r="AC69" s="672">
        <f t="shared" si="117"/>
        <v>0.22727272727272729</v>
      </c>
      <c r="AD69" s="723">
        <f t="shared" si="117"/>
        <v>0.41666666666666674</v>
      </c>
      <c r="AE69" s="724">
        <f t="shared" si="117"/>
        <v>0.28571428571428581</v>
      </c>
      <c r="AF69" s="724">
        <f t="shared" si="117"/>
        <v>0.1333333333333333</v>
      </c>
      <c r="AG69" s="725">
        <f>AG68/AB68-1</f>
        <v>0.38461538461538458</v>
      </c>
      <c r="AH69" s="672">
        <f>AH68/AC68-1</f>
        <v>0.29629629629629628</v>
      </c>
      <c r="AI69" s="723">
        <f>AI68/AD68-1</f>
        <v>0.41176470588235303</v>
      </c>
      <c r="AJ69" s="724">
        <f>AJ68/AE68-1</f>
        <v>0.44444444444444442</v>
      </c>
      <c r="AK69" s="724">
        <f t="shared" ref="AK69" si="118">AK68/AF68-1</f>
        <v>0.35294117647058831</v>
      </c>
      <c r="AL69" s="725">
        <f>AL68/AG68-1</f>
        <v>0.61111111111111116</v>
      </c>
      <c r="AM69" s="672">
        <f>AM68/AH68-1</f>
        <v>0.45714285714285707</v>
      </c>
      <c r="AN69" s="723">
        <f>AN68/AI68-1</f>
        <v>0.70833333333333326</v>
      </c>
      <c r="AO69" s="724">
        <f>AO68/AJ68-1</f>
        <v>0.38461538461538458</v>
      </c>
      <c r="AP69" s="724">
        <f t="shared" ref="AP69" si="119">AP68/AK68-1</f>
        <v>0.60869565217391308</v>
      </c>
      <c r="AQ69" s="725">
        <f>AQ68/AL68-1</f>
        <v>0.34482758620689657</v>
      </c>
      <c r="AR69" s="672">
        <f>AR68/AM68-1</f>
        <v>0.5</v>
      </c>
      <c r="AS69" s="723">
        <f>AS68/AN68-1</f>
        <v>2.4390243902439046E-2</v>
      </c>
      <c r="AT69" s="724">
        <f>AT68/AO68-1</f>
        <v>0.19444444444444442</v>
      </c>
      <c r="AU69" s="724">
        <f t="shared" ref="AU69" si="120">AU68/AP68-1</f>
        <v>0.21621621621621623</v>
      </c>
      <c r="AV69" s="725">
        <f>AV68/AQ68-1</f>
        <v>0.10256410256410264</v>
      </c>
      <c r="AW69" s="672">
        <f>AW68/AR68-1</f>
        <v>0.13071895424836599</v>
      </c>
      <c r="AX69" s="723">
        <f>AX54</f>
        <v>0.02</v>
      </c>
      <c r="AY69" s="724">
        <f>AY54</f>
        <v>0.02</v>
      </c>
      <c r="AZ69" s="724">
        <f>AZ54</f>
        <v>0.02</v>
      </c>
      <c r="BA69" s="725">
        <f>BA54</f>
        <v>0.02</v>
      </c>
      <c r="BB69" s="672">
        <f>BB68/AW68-1</f>
        <v>1.9999999999999796E-2</v>
      </c>
      <c r="BC69" s="723">
        <f>BC54</f>
        <v>0.02</v>
      </c>
      <c r="BD69" s="724">
        <f>BD54</f>
        <v>0.02</v>
      </c>
      <c r="BE69" s="724">
        <f>BE54</f>
        <v>0.02</v>
      </c>
      <c r="BF69" s="725">
        <f>BF54</f>
        <v>0.02</v>
      </c>
      <c r="BG69" s="672">
        <f>BG68/BB68-1</f>
        <v>2.000000000000024E-2</v>
      </c>
      <c r="BH69" s="723">
        <f>BH54</f>
        <v>0.02</v>
      </c>
      <c r="BI69" s="724">
        <f>BI54</f>
        <v>0.02</v>
      </c>
      <c r="BJ69" s="724">
        <f>BJ54</f>
        <v>0.02</v>
      </c>
      <c r="BK69" s="725">
        <f>BK54</f>
        <v>0.02</v>
      </c>
      <c r="BL69" s="672">
        <f>BL68/BG68-1</f>
        <v>2.0000000000000018E-2</v>
      </c>
      <c r="BM69" s="723">
        <f>BM54</f>
        <v>0.02</v>
      </c>
      <c r="BN69" s="724">
        <f>BN54</f>
        <v>0.02</v>
      </c>
      <c r="BO69" s="724">
        <f>BO54</f>
        <v>0.02</v>
      </c>
      <c r="BP69" s="725">
        <f>BP54</f>
        <v>0.02</v>
      </c>
      <c r="BQ69" s="672">
        <f>BQ68/BL68-1</f>
        <v>2.0000000000000018E-2</v>
      </c>
      <c r="BR69" s="726"/>
      <c r="BS69" s="726"/>
      <c r="BT69" s="726"/>
    </row>
    <row r="70" spans="1:91" s="81" customFormat="1">
      <c r="A70" s="315"/>
      <c r="B70" s="315"/>
      <c r="C70" s="1184"/>
      <c r="E70" s="288"/>
      <c r="F70" s="289"/>
      <c r="G70" s="289"/>
      <c r="H70" s="299"/>
      <c r="I70" s="300"/>
      <c r="J70" s="301"/>
      <c r="K70" s="302"/>
      <c r="L70" s="302"/>
      <c r="M70" s="303"/>
      <c r="N70" s="298"/>
      <c r="O70" s="301"/>
      <c r="P70" s="302"/>
      <c r="Q70" s="302"/>
      <c r="R70" s="303"/>
      <c r="S70" s="298"/>
      <c r="T70" s="316"/>
      <c r="U70" s="312"/>
      <c r="V70" s="312"/>
      <c r="W70" s="317"/>
      <c r="X70" s="315"/>
      <c r="Y70" s="316"/>
      <c r="Z70" s="312"/>
      <c r="AA70" s="312"/>
      <c r="AB70" s="317"/>
      <c r="AC70" s="315"/>
      <c r="AD70" s="316"/>
      <c r="AE70" s="312"/>
      <c r="AF70" s="312"/>
      <c r="AG70" s="317"/>
      <c r="AH70" s="315"/>
      <c r="AI70" s="316"/>
      <c r="AJ70" s="312"/>
      <c r="AK70" s="312"/>
      <c r="AL70" s="317"/>
      <c r="AM70" s="315"/>
      <c r="AN70" s="316"/>
      <c r="AO70" s="312"/>
      <c r="AP70" s="312"/>
      <c r="AQ70" s="317"/>
      <c r="AR70" s="315"/>
      <c r="AS70" s="316"/>
      <c r="AT70" s="312"/>
      <c r="AU70" s="312"/>
      <c r="AV70" s="317"/>
      <c r="AW70" s="315"/>
      <c r="AX70" s="316"/>
      <c r="AY70" s="312"/>
      <c r="AZ70" s="312"/>
      <c r="BA70" s="317"/>
      <c r="BB70" s="315"/>
      <c r="BC70" s="316"/>
      <c r="BD70" s="312"/>
      <c r="BE70" s="312"/>
      <c r="BF70" s="317"/>
      <c r="BG70" s="315"/>
      <c r="BH70" s="316"/>
      <c r="BI70" s="312"/>
      <c r="BJ70" s="312"/>
      <c r="BK70" s="317"/>
      <c r="BL70" s="315"/>
      <c r="BM70" s="316"/>
      <c r="BN70" s="312"/>
      <c r="BO70" s="312"/>
      <c r="BP70" s="317"/>
      <c r="BQ70" s="315"/>
      <c r="BR70" s="221"/>
      <c r="BS70" s="221"/>
      <c r="BT70" s="221"/>
    </row>
    <row r="71" spans="1:91" s="12" customFormat="1">
      <c r="A71" s="87"/>
      <c r="B71" s="87"/>
      <c r="C71" s="1179"/>
      <c r="D71" s="87"/>
      <c r="E71" s="235"/>
      <c r="F71" s="236"/>
      <c r="G71" s="236"/>
      <c r="H71" s="238"/>
      <c r="I71" s="237"/>
      <c r="J71" s="235"/>
      <c r="K71" s="236"/>
      <c r="L71" s="236"/>
      <c r="M71" s="238"/>
      <c r="N71" s="237"/>
      <c r="O71" s="235"/>
      <c r="P71" s="236"/>
      <c r="Q71" s="236"/>
      <c r="R71" s="238"/>
      <c r="S71" s="237"/>
      <c r="T71" s="235"/>
      <c r="U71" s="236"/>
      <c r="V71" s="236"/>
      <c r="W71" s="238"/>
      <c r="X71" s="237"/>
      <c r="Y71" s="235"/>
      <c r="Z71" s="236"/>
      <c r="AA71" s="236"/>
      <c r="AB71" s="238"/>
      <c r="AC71" s="237"/>
      <c r="AD71" s="235"/>
      <c r="AE71" s="236"/>
      <c r="AF71" s="236"/>
      <c r="AG71" s="238"/>
      <c r="AH71" s="237"/>
      <c r="AI71" s="235"/>
      <c r="AJ71" s="236"/>
      <c r="AK71" s="236"/>
      <c r="AL71" s="238"/>
      <c r="AM71" s="237"/>
      <c r="AN71" s="235"/>
      <c r="AO71" s="236"/>
      <c r="AP71" s="236"/>
      <c r="AQ71" s="238"/>
      <c r="AR71" s="237"/>
      <c r="AS71" s="235"/>
      <c r="AT71" s="236"/>
      <c r="AU71" s="236"/>
      <c r="AV71" s="238"/>
      <c r="AW71" s="237"/>
      <c r="AX71" s="235"/>
      <c r="AY71" s="236"/>
      <c r="AZ71" s="236"/>
      <c r="BA71" s="238"/>
      <c r="BB71" s="237"/>
      <c r="BC71" s="235"/>
      <c r="BD71" s="236"/>
      <c r="BE71" s="236"/>
      <c r="BF71" s="238"/>
      <c r="BG71" s="237"/>
      <c r="BH71" s="235"/>
      <c r="BI71" s="236"/>
      <c r="BJ71" s="236"/>
      <c r="BK71" s="238"/>
      <c r="BL71" s="237"/>
      <c r="BM71" s="235"/>
      <c r="BN71" s="236"/>
      <c r="BO71" s="236"/>
      <c r="BP71" s="238"/>
      <c r="BQ71" s="237"/>
      <c r="BR71" s="501"/>
      <c r="BS71" s="501"/>
      <c r="BT71" s="501"/>
      <c r="BU71" s="48"/>
      <c r="BV71" s="48"/>
      <c r="BW71" s="48"/>
      <c r="BX71" s="48"/>
      <c r="BY71" s="48"/>
      <c r="BZ71" s="48"/>
      <c r="CA71" s="48"/>
      <c r="CB71" s="48"/>
      <c r="CC71" s="48"/>
      <c r="CD71" s="48"/>
    </row>
    <row r="72" spans="1:91">
      <c r="A72" s="89"/>
      <c r="B72" s="126" t="s">
        <v>902</v>
      </c>
      <c r="C72" s="1185"/>
      <c r="D72" s="128"/>
      <c r="E72" s="133"/>
      <c r="F72" s="134"/>
      <c r="G72" s="134"/>
      <c r="H72" s="135"/>
      <c r="I72" s="233"/>
      <c r="J72" s="133"/>
      <c r="K72" s="134"/>
      <c r="L72" s="134"/>
      <c r="M72" s="135"/>
      <c r="N72" s="233"/>
      <c r="O72" s="133"/>
      <c r="P72" s="134"/>
      <c r="Q72" s="134"/>
      <c r="R72" s="135"/>
      <c r="S72" s="233"/>
      <c r="T72" s="833"/>
      <c r="U72" s="134"/>
      <c r="V72" s="134"/>
      <c r="W72" s="135"/>
      <c r="X72" s="233"/>
      <c r="Y72" s="133"/>
      <c r="Z72" s="134"/>
      <c r="AA72" s="134"/>
      <c r="AB72" s="135"/>
      <c r="AC72" s="233"/>
      <c r="AD72" s="133"/>
      <c r="AE72" s="134"/>
      <c r="AF72" s="134"/>
      <c r="AG72" s="135"/>
      <c r="AH72" s="233"/>
      <c r="AI72" s="133"/>
      <c r="AJ72" s="134"/>
      <c r="AK72" s="134"/>
      <c r="AL72" s="135"/>
      <c r="AM72" s="233"/>
      <c r="AN72" s="133"/>
      <c r="AO72" s="134"/>
      <c r="AP72" s="134"/>
      <c r="AQ72" s="135"/>
      <c r="AR72" s="233"/>
      <c r="AS72" s="133"/>
      <c r="AT72" s="134"/>
      <c r="AU72" s="134"/>
      <c r="AV72" s="135"/>
      <c r="AW72" s="233"/>
      <c r="AX72" s="133"/>
      <c r="AY72" s="134"/>
      <c r="AZ72" s="134"/>
      <c r="BA72" s="135"/>
      <c r="BB72" s="233"/>
      <c r="BC72" s="133"/>
      <c r="BD72" s="134"/>
      <c r="BE72" s="134"/>
      <c r="BF72" s="135"/>
      <c r="BG72" s="233"/>
      <c r="BH72" s="133"/>
      <c r="BI72" s="134"/>
      <c r="BJ72" s="134"/>
      <c r="BK72" s="135"/>
      <c r="BL72" s="233"/>
      <c r="BM72" s="133"/>
      <c r="BN72" s="134"/>
      <c r="BO72" s="134"/>
      <c r="BP72" s="135"/>
      <c r="BQ72" s="233"/>
      <c r="BR72" s="177"/>
      <c r="BS72" s="177"/>
      <c r="BT72" s="177"/>
      <c r="CD72" s="92"/>
      <c r="CE72" s="92"/>
      <c r="CF72" s="92"/>
      <c r="CG72" s="92"/>
      <c r="CH72" s="92"/>
      <c r="CI72" s="92"/>
      <c r="CJ72" s="92"/>
      <c r="CK72" s="92"/>
      <c r="CL72" s="92"/>
      <c r="CM72" s="92"/>
    </row>
    <row r="73" spans="1:91" s="81" customFormat="1">
      <c r="A73" s="315"/>
      <c r="B73" s="315"/>
      <c r="C73" s="1187"/>
      <c r="E73" s="288"/>
      <c r="F73" s="289"/>
      <c r="G73" s="289"/>
      <c r="H73" s="299"/>
      <c r="I73" s="300"/>
      <c r="J73" s="301"/>
      <c r="K73" s="302"/>
      <c r="L73" s="302"/>
      <c r="M73" s="303"/>
      <c r="N73" s="298"/>
      <c r="O73" s="301"/>
      <c r="P73" s="302"/>
      <c r="Q73" s="302"/>
      <c r="R73" s="303"/>
      <c r="S73" s="298"/>
      <c r="T73" s="316"/>
      <c r="U73" s="312"/>
      <c r="V73" s="312"/>
      <c r="W73" s="317"/>
      <c r="X73" s="298"/>
      <c r="Y73" s="316"/>
      <c r="Z73" s="312"/>
      <c r="AA73" s="312"/>
      <c r="AB73" s="317"/>
      <c r="AC73" s="298"/>
      <c r="AD73" s="316"/>
      <c r="AE73" s="312"/>
      <c r="AF73" s="312"/>
      <c r="AG73" s="317"/>
      <c r="AH73" s="298"/>
      <c r="AI73" s="316"/>
      <c r="AJ73" s="312"/>
      <c r="AK73" s="312"/>
      <c r="AL73" s="317"/>
      <c r="AM73" s="298"/>
      <c r="AN73" s="316"/>
      <c r="AO73" s="312"/>
      <c r="AP73" s="312"/>
      <c r="AQ73" s="317"/>
      <c r="AR73" s="298"/>
      <c r="AS73" s="316"/>
      <c r="AT73" s="312"/>
      <c r="AU73" s="312"/>
      <c r="AV73" s="317"/>
      <c r="AW73" s="298"/>
      <c r="AX73" s="316"/>
      <c r="AY73" s="312"/>
      <c r="AZ73" s="312"/>
      <c r="BA73" s="317"/>
      <c r="BB73" s="298"/>
      <c r="BC73" s="316"/>
      <c r="BD73" s="312"/>
      <c r="BE73" s="312"/>
      <c r="BF73" s="317"/>
      <c r="BG73" s="298"/>
      <c r="BH73" s="316"/>
      <c r="BI73" s="312"/>
      <c r="BJ73" s="312"/>
      <c r="BK73" s="317"/>
      <c r="BL73" s="298"/>
      <c r="BM73" s="316"/>
      <c r="BN73" s="312"/>
      <c r="BO73" s="312"/>
      <c r="BP73" s="317"/>
      <c r="BQ73" s="298"/>
      <c r="BR73" s="221"/>
      <c r="BS73" s="221"/>
      <c r="BT73" s="221"/>
    </row>
    <row r="74" spans="1:91" s="81" customFormat="1">
      <c r="A74" s="315"/>
      <c r="B74" s="315"/>
      <c r="C74" s="1195" t="s">
        <v>903</v>
      </c>
      <c r="E74" s="288"/>
      <c r="F74" s="289"/>
      <c r="G74" s="289"/>
      <c r="H74" s="299"/>
      <c r="I74" s="300"/>
      <c r="J74" s="301"/>
      <c r="K74" s="302"/>
      <c r="L74" s="302"/>
      <c r="M74" s="303"/>
      <c r="N74" s="298"/>
      <c r="O74" s="301"/>
      <c r="P74" s="302"/>
      <c r="Q74" s="302"/>
      <c r="R74" s="303"/>
      <c r="S74" s="298"/>
      <c r="T74" s="316"/>
      <c r="U74" s="312"/>
      <c r="V74" s="312"/>
      <c r="W74" s="317"/>
      <c r="X74" s="298"/>
      <c r="Y74" s="316"/>
      <c r="Z74" s="312"/>
      <c r="AA74" s="312"/>
      <c r="AB74" s="317"/>
      <c r="AC74" s="298"/>
      <c r="AD74" s="316"/>
      <c r="AE74" s="312"/>
      <c r="AF74" s="312"/>
      <c r="AG74" s="317"/>
      <c r="AH74" s="298"/>
      <c r="AI74" s="316"/>
      <c r="AJ74" s="312"/>
      <c r="AK74" s="312"/>
      <c r="AL74" s="317"/>
      <c r="AM74" s="298"/>
      <c r="AN74" s="316"/>
      <c r="AO74" s="312"/>
      <c r="AP74" s="312"/>
      <c r="AQ74" s="317"/>
      <c r="AR74" s="298"/>
      <c r="AS74" s="316"/>
      <c r="AT74" s="312"/>
      <c r="AU74" s="312"/>
      <c r="AV74" s="317"/>
      <c r="AW74" s="298"/>
      <c r="AX74" s="316"/>
      <c r="AY74" s="312"/>
      <c r="AZ74" s="312"/>
      <c r="BA74" s="317"/>
      <c r="BB74" s="298"/>
      <c r="BC74" s="316"/>
      <c r="BD74" s="312"/>
      <c r="BE74" s="312"/>
      <c r="BF74" s="317"/>
      <c r="BG74" s="298"/>
      <c r="BH74" s="316"/>
      <c r="BI74" s="312"/>
      <c r="BJ74" s="312"/>
      <c r="BK74" s="317"/>
      <c r="BL74" s="298"/>
      <c r="BM74" s="316"/>
      <c r="BN74" s="312"/>
      <c r="BO74" s="312"/>
      <c r="BP74" s="317"/>
      <c r="BQ74" s="298"/>
      <c r="BR74" s="221"/>
      <c r="BS74" s="221"/>
      <c r="BT74" s="221"/>
    </row>
    <row r="75" spans="1:91" s="81" customFormat="1">
      <c r="A75" s="315"/>
      <c r="B75" s="315"/>
      <c r="C75" s="1178" t="s">
        <v>873</v>
      </c>
      <c r="E75" s="288"/>
      <c r="F75" s="289"/>
      <c r="G75" s="289"/>
      <c r="H75" s="299"/>
      <c r="I75" s="300"/>
      <c r="J75" s="301"/>
      <c r="K75" s="302"/>
      <c r="L75" s="302"/>
      <c r="M75" s="303"/>
      <c r="N75" s="298"/>
      <c r="O75" s="301"/>
      <c r="P75" s="302"/>
      <c r="Q75" s="302"/>
      <c r="R75" s="303"/>
      <c r="S75" s="298"/>
      <c r="T75" s="169"/>
      <c r="U75" s="167"/>
      <c r="V75" s="167"/>
      <c r="W75" s="317"/>
      <c r="X75" s="298"/>
      <c r="Y75" s="169">
        <f>Y11</f>
        <v>28</v>
      </c>
      <c r="Z75" s="312">
        <f t="shared" ref="Z75:AF75" si="121">Z11</f>
        <v>28</v>
      </c>
      <c r="AA75" s="312">
        <f t="shared" si="121"/>
        <v>28</v>
      </c>
      <c r="AB75" s="317">
        <f t="shared" si="121"/>
        <v>30</v>
      </c>
      <c r="AC75" s="298">
        <f t="shared" si="121"/>
        <v>114</v>
      </c>
      <c r="AD75" s="169">
        <f t="shared" si="121"/>
        <v>30</v>
      </c>
      <c r="AE75" s="312">
        <f t="shared" si="121"/>
        <v>30</v>
      </c>
      <c r="AF75" s="312">
        <f t="shared" si="121"/>
        <v>33</v>
      </c>
      <c r="AG75" s="317">
        <f>AG11</f>
        <v>34</v>
      </c>
      <c r="AH75" s="298">
        <f>AH11</f>
        <v>127</v>
      </c>
      <c r="AI75" s="169">
        <f>AI11</f>
        <v>37</v>
      </c>
      <c r="AJ75" s="312">
        <f>AJ11</f>
        <v>38</v>
      </c>
      <c r="AK75" s="312">
        <f t="shared" ref="AK75" si="122">AK11</f>
        <v>41</v>
      </c>
      <c r="AL75" s="317">
        <f>AL11</f>
        <v>40</v>
      </c>
      <c r="AM75" s="298">
        <f>AM11</f>
        <v>156</v>
      </c>
      <c r="AN75" s="169">
        <f>AN11</f>
        <v>43</v>
      </c>
      <c r="AO75" s="312">
        <f>AO11</f>
        <v>44</v>
      </c>
      <c r="AP75" s="312">
        <f t="shared" ref="AP75" si="123">AP11</f>
        <v>45</v>
      </c>
      <c r="AQ75" s="317">
        <f>AQ11</f>
        <v>55</v>
      </c>
      <c r="AR75" s="298">
        <f>AR11</f>
        <v>187</v>
      </c>
      <c r="AS75" s="169">
        <f>AS11</f>
        <v>51</v>
      </c>
      <c r="AT75" s="312">
        <f>AT11</f>
        <v>54</v>
      </c>
      <c r="AU75" s="312">
        <f t="shared" ref="AU75" si="124">AU11</f>
        <v>59</v>
      </c>
      <c r="AV75" s="317">
        <f>AV11</f>
        <v>60</v>
      </c>
      <c r="AW75" s="298">
        <f>AW11</f>
        <v>224</v>
      </c>
      <c r="AX75" s="316">
        <f>+AX77*AX76/4</f>
        <v>57.764583333333334</v>
      </c>
      <c r="AY75" s="312">
        <f>+AY77*AY76/4</f>
        <v>59.529166666666661</v>
      </c>
      <c r="AZ75" s="312">
        <f>+AZ77*AZ76/4</f>
        <v>61.293749999999996</v>
      </c>
      <c r="BA75" s="317">
        <f>+BA77*BA76/4</f>
        <v>63.05833333333333</v>
      </c>
      <c r="BB75" s="298">
        <f>SUM(AX75:BA75)</f>
        <v>241.64583333333331</v>
      </c>
      <c r="BC75" s="316">
        <f>+BC77*BC76/4</f>
        <v>64.822916666666657</v>
      </c>
      <c r="BD75" s="312">
        <f>+BD77*BD76/4</f>
        <v>66.587499999999991</v>
      </c>
      <c r="BE75" s="312">
        <f>+BE77*BE76/4</f>
        <v>68.352083333333326</v>
      </c>
      <c r="BF75" s="317">
        <f>+BF77*BF76/4</f>
        <v>70.11666666666666</v>
      </c>
      <c r="BG75" s="298">
        <f>SUM(BC75:BF75)</f>
        <v>269.87916666666666</v>
      </c>
      <c r="BH75" s="316">
        <f>+BH77*BH76/4</f>
        <v>71.881249999999994</v>
      </c>
      <c r="BI75" s="312">
        <f>+BI77*BI76/4</f>
        <v>73.645833333333329</v>
      </c>
      <c r="BJ75" s="312">
        <f>+BJ77*BJ76/4</f>
        <v>75.410416666666663</v>
      </c>
      <c r="BK75" s="317">
        <f>+BK77*BK76/4</f>
        <v>77.174999999999997</v>
      </c>
      <c r="BL75" s="298">
        <f>SUM(BH75:BK75)</f>
        <v>298.11250000000001</v>
      </c>
      <c r="BM75" s="316">
        <f>+BM77*BM76/4</f>
        <v>78.939583333333331</v>
      </c>
      <c r="BN75" s="312">
        <f>+BN77*BN76/4</f>
        <v>80.704166666666666</v>
      </c>
      <c r="BO75" s="312">
        <f>+BO77*BO76/4</f>
        <v>82.46875</v>
      </c>
      <c r="BP75" s="317">
        <f>+BP77*BP76/4</f>
        <v>84.233333333333334</v>
      </c>
      <c r="BQ75" s="298">
        <f>SUM(BM75:BP75)</f>
        <v>326.34583333333336</v>
      </c>
      <c r="BR75" s="221"/>
      <c r="BS75" s="221"/>
      <c r="BT75" s="221"/>
    </row>
    <row r="76" spans="1:91" s="81" customFormat="1">
      <c r="A76" s="315"/>
      <c r="B76" s="315"/>
      <c r="C76" s="1178" t="s">
        <v>25</v>
      </c>
      <c r="E76" s="288"/>
      <c r="F76" s="289"/>
      <c r="G76" s="289"/>
      <c r="H76" s="299"/>
      <c r="I76" s="300"/>
      <c r="J76" s="301"/>
      <c r="K76" s="302"/>
      <c r="L76" s="302"/>
      <c r="M76" s="303"/>
      <c r="N76" s="300"/>
      <c r="O76" s="301"/>
      <c r="P76" s="302"/>
      <c r="Q76" s="302"/>
      <c r="R76" s="311"/>
      <c r="S76" s="300"/>
      <c r="T76" s="504"/>
      <c r="U76" s="505"/>
      <c r="V76" s="505"/>
      <c r="W76" s="317"/>
      <c r="X76" s="298"/>
      <c r="Y76" s="504">
        <f>Y75/Y77*4</f>
        <v>4072.7272727272725</v>
      </c>
      <c r="Z76" s="312">
        <f t="shared" ref="Z76:AF76" si="125">Z75/Z77*4</f>
        <v>4072.7272727272725</v>
      </c>
      <c r="AA76" s="312">
        <f t="shared" si="125"/>
        <v>4072.7272727272725</v>
      </c>
      <c r="AB76" s="317">
        <f t="shared" si="125"/>
        <v>4363.636363636364</v>
      </c>
      <c r="AC76" s="298">
        <f>AB76</f>
        <v>4363.636363636364</v>
      </c>
      <c r="AD76" s="296">
        <f t="shared" si="125"/>
        <v>4363.636363636364</v>
      </c>
      <c r="AE76" s="312">
        <f t="shared" si="125"/>
        <v>4363.636363636364</v>
      </c>
      <c r="AF76" s="312">
        <f t="shared" si="125"/>
        <v>4800</v>
      </c>
      <c r="AG76" s="317">
        <f>AG75/AG77*4</f>
        <v>4945.454545454545</v>
      </c>
      <c r="AH76" s="298">
        <f>AG76</f>
        <v>4945.454545454545</v>
      </c>
      <c r="AI76" s="296">
        <f>AI75/AI77*4</f>
        <v>5381.818181818182</v>
      </c>
      <c r="AJ76" s="312">
        <f>AJ75/AJ77*4</f>
        <v>5527.272727272727</v>
      </c>
      <c r="AK76" s="312">
        <f t="shared" ref="AK76" si="126">AK75/AK77*4</f>
        <v>5963.636363636364</v>
      </c>
      <c r="AL76" s="317">
        <f>AL75/AL77*4</f>
        <v>5818.181818181818</v>
      </c>
      <c r="AM76" s="298">
        <f>AL76</f>
        <v>5818.181818181818</v>
      </c>
      <c r="AN76" s="296">
        <f>AN75/AN77*4</f>
        <v>6254.545454545455</v>
      </c>
      <c r="AO76" s="312">
        <f>AO75/AO77*4</f>
        <v>6400</v>
      </c>
      <c r="AP76" s="312">
        <f t="shared" ref="AP76" si="127">AP75/AP77*4</f>
        <v>6545.454545454545</v>
      </c>
      <c r="AQ76" s="317">
        <f>AQ75/AQ77*4</f>
        <v>8000</v>
      </c>
      <c r="AR76" s="298">
        <f>AQ76</f>
        <v>8000</v>
      </c>
      <c r="AS76" s="296">
        <f>AS75/AS77*4</f>
        <v>7418.181818181818</v>
      </c>
      <c r="AT76" s="312">
        <f>AT75/AT77*4</f>
        <v>7854.545454545455</v>
      </c>
      <c r="AU76" s="312">
        <f t="shared" ref="AU76" si="128">AU75/AU77*4</f>
        <v>8581.818181818182</v>
      </c>
      <c r="AV76" s="317">
        <f>AV75/AV77*4</f>
        <v>8727.2727272727279</v>
      </c>
      <c r="AW76" s="298">
        <f>AV76</f>
        <v>8727.2727272727279</v>
      </c>
      <c r="AX76" s="316">
        <f>+AW76+AX83</f>
        <v>9002.2727272727279</v>
      </c>
      <c r="AY76" s="312">
        <f>+AX76+AY83</f>
        <v>9277.2727272727279</v>
      </c>
      <c r="AZ76" s="312">
        <f>+AY76+AZ83</f>
        <v>9552.2727272727279</v>
      </c>
      <c r="BA76" s="317">
        <f>+AZ76+BA83</f>
        <v>9827.2727272727279</v>
      </c>
      <c r="BB76" s="298">
        <f>+BA76</f>
        <v>9827.2727272727279</v>
      </c>
      <c r="BC76" s="316">
        <f>+BB76+BC83</f>
        <v>10102.272727272728</v>
      </c>
      <c r="BD76" s="312">
        <f>+BC76+BD83</f>
        <v>10377.272727272728</v>
      </c>
      <c r="BE76" s="312">
        <f>+BD76+BE83</f>
        <v>10652.272727272728</v>
      </c>
      <c r="BF76" s="317">
        <f>+BE76+BF83</f>
        <v>10927.272727272728</v>
      </c>
      <c r="BG76" s="298">
        <f>+BF76</f>
        <v>10927.272727272728</v>
      </c>
      <c r="BH76" s="316">
        <f>+BG76+BH83</f>
        <v>11202.272727272728</v>
      </c>
      <c r="BI76" s="312">
        <f>+BH76+BI83</f>
        <v>11477.272727272728</v>
      </c>
      <c r="BJ76" s="312">
        <f>+BI76+BJ83</f>
        <v>11752.272727272728</v>
      </c>
      <c r="BK76" s="317">
        <f>+BJ76+BK83</f>
        <v>12027.272727272728</v>
      </c>
      <c r="BL76" s="298">
        <f>+BK76</f>
        <v>12027.272727272728</v>
      </c>
      <c r="BM76" s="316">
        <f>+BL76+BM83</f>
        <v>12302.272727272728</v>
      </c>
      <c r="BN76" s="312">
        <f>+BM76+BN83</f>
        <v>12577.272727272728</v>
      </c>
      <c r="BO76" s="312">
        <f>+BN76+BO83</f>
        <v>12852.272727272728</v>
      </c>
      <c r="BP76" s="317">
        <f>+BO76+BP83</f>
        <v>13127.272727272728</v>
      </c>
      <c r="BQ76" s="298">
        <f>+BP76</f>
        <v>13127.272727272728</v>
      </c>
      <c r="BR76" s="221"/>
      <c r="BS76" s="221"/>
      <c r="BT76" s="221"/>
    </row>
    <row r="77" spans="1:91" s="60" customFormat="1">
      <c r="A77" s="308"/>
      <c r="B77" s="308"/>
      <c r="C77" s="1178" t="s">
        <v>901</v>
      </c>
      <c r="E77" s="478"/>
      <c r="F77" s="479"/>
      <c r="G77" s="479"/>
      <c r="H77" s="480"/>
      <c r="I77" s="477"/>
      <c r="J77" s="478"/>
      <c r="K77" s="479"/>
      <c r="L77" s="479"/>
      <c r="M77" s="307"/>
      <c r="N77" s="308"/>
      <c r="O77" s="305"/>
      <c r="P77" s="306"/>
      <c r="Q77" s="306"/>
      <c r="R77" s="307"/>
      <c r="S77" s="850"/>
      <c r="T77" s="846"/>
      <c r="U77" s="847"/>
      <c r="V77" s="847"/>
      <c r="W77" s="848"/>
      <c r="X77" s="850">
        <v>2.75E-2</v>
      </c>
      <c r="Y77" s="846">
        <f>+X77</f>
        <v>2.75E-2</v>
      </c>
      <c r="Z77" s="847">
        <f>Y77</f>
        <v>2.75E-2</v>
      </c>
      <c r="AA77" s="847">
        <f>Z77</f>
        <v>2.75E-2</v>
      </c>
      <c r="AB77" s="848">
        <f>AA77</f>
        <v>2.75E-2</v>
      </c>
      <c r="AC77" s="849">
        <f>AC75/AC76</f>
        <v>2.6124999999999999E-2</v>
      </c>
      <c r="AD77" s="846">
        <f>AB77</f>
        <v>2.75E-2</v>
      </c>
      <c r="AE77" s="847">
        <f>AD77</f>
        <v>2.75E-2</v>
      </c>
      <c r="AF77" s="847">
        <f>AE77</f>
        <v>2.75E-2</v>
      </c>
      <c r="AG77" s="848">
        <f>AF77</f>
        <v>2.75E-2</v>
      </c>
      <c r="AH77" s="849">
        <f>AH75/AH76</f>
        <v>2.5680147058823533E-2</v>
      </c>
      <c r="AI77" s="846">
        <f>AG77</f>
        <v>2.75E-2</v>
      </c>
      <c r="AJ77" s="847">
        <f>AI77</f>
        <v>2.75E-2</v>
      </c>
      <c r="AK77" s="847">
        <f>AJ77</f>
        <v>2.75E-2</v>
      </c>
      <c r="AL77" s="1960">
        <f>AK77</f>
        <v>2.75E-2</v>
      </c>
      <c r="AM77" s="849">
        <f>AM75/AM76</f>
        <v>2.68125E-2</v>
      </c>
      <c r="AN77" s="846">
        <f>AL77</f>
        <v>2.75E-2</v>
      </c>
      <c r="AO77" s="847">
        <f>AN77</f>
        <v>2.75E-2</v>
      </c>
      <c r="AP77" s="847">
        <f>AO77</f>
        <v>2.75E-2</v>
      </c>
      <c r="AQ77" s="1960">
        <f>AP77</f>
        <v>2.75E-2</v>
      </c>
      <c r="AR77" s="849">
        <f>AR75/AR76</f>
        <v>2.3375E-2</v>
      </c>
      <c r="AS77" s="846">
        <f>AQ77</f>
        <v>2.75E-2</v>
      </c>
      <c r="AT77" s="847">
        <f>AS77</f>
        <v>2.75E-2</v>
      </c>
      <c r="AU77" s="847">
        <f t="shared" ref="AU77" si="129">AT77</f>
        <v>2.75E-2</v>
      </c>
      <c r="AV77" s="1960">
        <f>AU77</f>
        <v>2.75E-2</v>
      </c>
      <c r="AW77" s="849">
        <f>AW75/AW76</f>
        <v>2.5666666666666664E-2</v>
      </c>
      <c r="AX77" s="846">
        <f>+AW77</f>
        <v>2.5666666666666664E-2</v>
      </c>
      <c r="AY77" s="847">
        <f>+AX77</f>
        <v>2.5666666666666664E-2</v>
      </c>
      <c r="AZ77" s="847">
        <f>+AY77</f>
        <v>2.5666666666666664E-2</v>
      </c>
      <c r="BA77" s="848">
        <f>+AZ77</f>
        <v>2.5666666666666664E-2</v>
      </c>
      <c r="BB77" s="849">
        <f>+BA77</f>
        <v>2.5666666666666664E-2</v>
      </c>
      <c r="BC77" s="846">
        <f>+BB77</f>
        <v>2.5666666666666664E-2</v>
      </c>
      <c r="BD77" s="847">
        <f>+BC77</f>
        <v>2.5666666666666664E-2</v>
      </c>
      <c r="BE77" s="847">
        <f>+BD77</f>
        <v>2.5666666666666664E-2</v>
      </c>
      <c r="BF77" s="848">
        <f>+BE77</f>
        <v>2.5666666666666664E-2</v>
      </c>
      <c r="BG77" s="849">
        <f>+BF77</f>
        <v>2.5666666666666664E-2</v>
      </c>
      <c r="BH77" s="846">
        <f>+BG77</f>
        <v>2.5666666666666664E-2</v>
      </c>
      <c r="BI77" s="847">
        <f>+BH77</f>
        <v>2.5666666666666664E-2</v>
      </c>
      <c r="BJ77" s="847">
        <f>+BI77</f>
        <v>2.5666666666666664E-2</v>
      </c>
      <c r="BK77" s="848">
        <f>+BJ77</f>
        <v>2.5666666666666664E-2</v>
      </c>
      <c r="BL77" s="849">
        <f>+BK77</f>
        <v>2.5666666666666664E-2</v>
      </c>
      <c r="BM77" s="846">
        <f>+BL77</f>
        <v>2.5666666666666664E-2</v>
      </c>
      <c r="BN77" s="847">
        <f>+BM77</f>
        <v>2.5666666666666664E-2</v>
      </c>
      <c r="BO77" s="847">
        <f>+BN77</f>
        <v>2.5666666666666664E-2</v>
      </c>
      <c r="BP77" s="848">
        <f>+BO77</f>
        <v>2.5666666666666664E-2</v>
      </c>
      <c r="BQ77" s="849">
        <f>+BP77</f>
        <v>2.5666666666666664E-2</v>
      </c>
      <c r="BR77" s="490"/>
      <c r="BS77" s="490"/>
      <c r="BT77" s="490"/>
    </row>
    <row r="78" spans="1:91" s="81" customFormat="1">
      <c r="A78" s="315"/>
      <c r="B78" s="315"/>
      <c r="C78" s="1186"/>
      <c r="E78" s="288"/>
      <c r="F78" s="289"/>
      <c r="G78" s="289"/>
      <c r="H78" s="299"/>
      <c r="I78" s="300"/>
      <c r="J78" s="301"/>
      <c r="K78" s="302"/>
      <c r="L78" s="302"/>
      <c r="M78" s="307"/>
      <c r="N78" s="308"/>
      <c r="O78" s="305"/>
      <c r="P78" s="306"/>
      <c r="Q78" s="306"/>
      <c r="R78" s="307"/>
      <c r="S78" s="308"/>
      <c r="T78" s="305"/>
      <c r="U78" s="306"/>
      <c r="V78" s="306"/>
      <c r="W78" s="317"/>
      <c r="X78" s="315"/>
      <c r="Y78" s="316"/>
      <c r="Z78" s="312"/>
      <c r="AA78" s="312"/>
      <c r="AB78" s="317"/>
      <c r="AC78" s="315"/>
      <c r="AD78" s="316"/>
      <c r="AE78" s="312"/>
      <c r="AF78" s="312"/>
      <c r="AG78" s="317"/>
      <c r="AH78" s="315"/>
      <c r="AI78" s="316"/>
      <c r="AJ78" s="312"/>
      <c r="AK78" s="312"/>
      <c r="AL78" s="317"/>
      <c r="AM78" s="315"/>
      <c r="AN78" s="316"/>
      <c r="AO78" s="312"/>
      <c r="AP78" s="312"/>
      <c r="AQ78" s="317"/>
      <c r="AR78" s="315"/>
      <c r="AS78" s="316"/>
      <c r="AT78" s="312"/>
      <c r="AU78" s="312"/>
      <c r="AV78" s="317"/>
      <c r="AW78" s="315"/>
      <c r="AX78" s="316"/>
      <c r="AY78" s="312"/>
      <c r="AZ78" s="312"/>
      <c r="BA78" s="317"/>
      <c r="BB78" s="315"/>
      <c r="BC78" s="316"/>
      <c r="BD78" s="312"/>
      <c r="BE78" s="312"/>
      <c r="BF78" s="317"/>
      <c r="BG78" s="315"/>
      <c r="BH78" s="316"/>
      <c r="BI78" s="312"/>
      <c r="BJ78" s="312"/>
      <c r="BK78" s="317"/>
      <c r="BL78" s="315"/>
      <c r="BM78" s="316"/>
      <c r="BN78" s="312"/>
      <c r="BO78" s="312"/>
      <c r="BP78" s="317"/>
      <c r="BQ78" s="315"/>
      <c r="BR78" s="221"/>
      <c r="BS78" s="221"/>
      <c r="BT78" s="221"/>
    </row>
    <row r="79" spans="1:91" s="81" customFormat="1">
      <c r="A79" s="315"/>
      <c r="B79" s="315"/>
      <c r="C79" s="1195" t="s">
        <v>354</v>
      </c>
      <c r="E79" s="288"/>
      <c r="F79" s="289"/>
      <c r="G79" s="289"/>
      <c r="H79" s="299"/>
      <c r="I79" s="300"/>
      <c r="J79" s="301"/>
      <c r="K79" s="302"/>
      <c r="L79" s="302"/>
      <c r="M79" s="303"/>
      <c r="N79" s="298"/>
      <c r="O79" s="301"/>
      <c r="P79" s="302"/>
      <c r="Q79" s="302"/>
      <c r="R79" s="303"/>
      <c r="S79" s="298"/>
      <c r="T79" s="316"/>
      <c r="U79" s="312"/>
      <c r="V79" s="312"/>
      <c r="W79" s="317"/>
      <c r="X79" s="298"/>
      <c r="Y79" s="316"/>
      <c r="Z79" s="312"/>
      <c r="AA79" s="312"/>
      <c r="AB79" s="317"/>
      <c r="AC79" s="298"/>
      <c r="AD79" s="316"/>
      <c r="AE79" s="312"/>
      <c r="AF79" s="312"/>
      <c r="AG79" s="317"/>
      <c r="AH79" s="298"/>
      <c r="AI79" s="316"/>
      <c r="AJ79" s="312"/>
      <c r="AK79" s="312"/>
      <c r="AL79" s="317"/>
      <c r="AM79" s="298"/>
      <c r="AN79" s="316"/>
      <c r="AO79" s="312"/>
      <c r="AP79" s="312"/>
      <c r="AQ79" s="317"/>
      <c r="AR79" s="298"/>
      <c r="AS79" s="316"/>
      <c r="AT79" s="312"/>
      <c r="AU79" s="312"/>
      <c r="AV79" s="317"/>
      <c r="AW79" s="298"/>
      <c r="AX79" s="316"/>
      <c r="AY79" s="312"/>
      <c r="AZ79" s="312"/>
      <c r="BA79" s="317"/>
      <c r="BB79" s="298"/>
      <c r="BC79" s="316"/>
      <c r="BD79" s="312"/>
      <c r="BE79" s="312"/>
      <c r="BF79" s="317"/>
      <c r="BG79" s="298"/>
      <c r="BH79" s="316"/>
      <c r="BI79" s="312"/>
      <c r="BJ79" s="312"/>
      <c r="BK79" s="317"/>
      <c r="BL79" s="298"/>
      <c r="BM79" s="316"/>
      <c r="BN79" s="312"/>
      <c r="BO79" s="312"/>
      <c r="BP79" s="317"/>
      <c r="BQ79" s="298"/>
      <c r="BR79" s="221"/>
      <c r="BS79" s="221"/>
      <c r="BT79" s="221"/>
    </row>
    <row r="80" spans="1:91" s="275" customFormat="1">
      <c r="A80" s="120"/>
      <c r="B80" s="120"/>
      <c r="C80" s="1383" t="s">
        <v>843</v>
      </c>
      <c r="D80" s="797"/>
      <c r="E80" s="1380"/>
      <c r="F80" s="1381"/>
      <c r="G80" s="1381"/>
      <c r="H80" s="681"/>
      <c r="I80" s="798"/>
      <c r="J80" s="1380"/>
      <c r="K80" s="1381"/>
      <c r="L80" s="1381"/>
      <c r="M80" s="681"/>
      <c r="N80" s="798"/>
      <c r="O80" s="1380"/>
      <c r="P80" s="1381"/>
      <c r="Q80" s="1381"/>
      <c r="R80" s="681"/>
      <c r="S80" s="798"/>
      <c r="T80" s="1380"/>
      <c r="U80" s="1381"/>
      <c r="V80" s="1381"/>
      <c r="W80" s="681"/>
      <c r="X80" s="798"/>
      <c r="Y80" s="1380"/>
      <c r="Z80" s="1381"/>
      <c r="AA80" s="1381"/>
      <c r="AB80" s="681"/>
      <c r="AC80" s="1595">
        <f>+AH80</f>
        <v>246</v>
      </c>
      <c r="AD80" s="1380"/>
      <c r="AE80" s="1381"/>
      <c r="AF80" s="1381"/>
      <c r="AG80" s="681"/>
      <c r="AH80" s="1595">
        <v>246</v>
      </c>
      <c r="AI80" s="243"/>
      <c r="AJ80" s="155"/>
      <c r="AK80" s="1381"/>
      <c r="AL80" s="244"/>
      <c r="AM80" s="891">
        <v>165</v>
      </c>
      <c r="AN80" s="243"/>
      <c r="AO80" s="1381"/>
      <c r="AP80" s="1381"/>
      <c r="AQ80" s="681"/>
      <c r="AR80" s="891">
        <v>295</v>
      </c>
      <c r="AS80" s="1380"/>
      <c r="AT80" s="1381"/>
      <c r="AU80" s="1381"/>
      <c r="AV80" s="681"/>
      <c r="AW80" s="891">
        <v>295</v>
      </c>
      <c r="AX80" s="1380"/>
      <c r="AY80" s="1381"/>
      <c r="AZ80" s="1381"/>
      <c r="BA80" s="681"/>
      <c r="BB80" s="1888">
        <v>270</v>
      </c>
      <c r="BC80" s="1380"/>
      <c r="BD80" s="1381"/>
      <c r="BE80" s="1381"/>
      <c r="BF80" s="681"/>
      <c r="BG80" s="1888">
        <v>260</v>
      </c>
      <c r="BH80" s="1380"/>
      <c r="BI80" s="1381"/>
      <c r="BJ80" s="1381"/>
      <c r="BK80" s="681"/>
      <c r="BL80" s="1888">
        <v>200</v>
      </c>
      <c r="BM80" s="1380"/>
      <c r="BN80" s="1381"/>
      <c r="BO80" s="1381"/>
      <c r="BP80" s="681"/>
      <c r="BQ80" s="1888">
        <v>215</v>
      </c>
      <c r="BR80" s="782"/>
      <c r="BS80" s="782"/>
      <c r="BT80" s="782"/>
      <c r="BU80" s="1382"/>
      <c r="BV80" s="1382"/>
      <c r="BW80" s="1382"/>
      <c r="BX80" s="1382"/>
      <c r="BY80" s="1382"/>
      <c r="BZ80" s="1382"/>
      <c r="CA80" s="1382"/>
      <c r="CB80" s="1382"/>
      <c r="CC80" s="1382"/>
      <c r="CD80" s="1382"/>
    </row>
    <row r="81" spans="1:90" s="275" customFormat="1">
      <c r="A81" s="120"/>
      <c r="B81" s="120"/>
      <c r="C81" s="1178" t="s">
        <v>1223</v>
      </c>
      <c r="D81" s="797"/>
      <c r="E81" s="1380"/>
      <c r="F81" s="1381"/>
      <c r="G81" s="1381"/>
      <c r="H81" s="681"/>
      <c r="I81" s="798"/>
      <c r="J81" s="1380"/>
      <c r="K81" s="1381"/>
      <c r="L81" s="1381"/>
      <c r="M81" s="681"/>
      <c r="N81" s="798"/>
      <c r="O81" s="1380"/>
      <c r="P81" s="1381"/>
      <c r="Q81" s="1381"/>
      <c r="R81" s="681"/>
      <c r="S81" s="798"/>
      <c r="T81" s="1380"/>
      <c r="U81" s="1381"/>
      <c r="V81" s="1381"/>
      <c r="W81" s="681"/>
      <c r="X81" s="798"/>
      <c r="Y81" s="1380"/>
      <c r="Z81" s="1381"/>
      <c r="AA81" s="1381"/>
      <c r="AB81" s="681"/>
      <c r="AC81" s="782">
        <f>(AC83-AC80)/2</f>
        <v>125</v>
      </c>
      <c r="AD81" s="1380"/>
      <c r="AE81" s="1381"/>
      <c r="AF81" s="1381"/>
      <c r="AG81" s="681"/>
      <c r="AH81" s="782">
        <f>(AH83-AH80)/2</f>
        <v>541.5</v>
      </c>
      <c r="AI81" s="1380"/>
      <c r="AJ81" s="1381"/>
      <c r="AK81" s="1381"/>
      <c r="AL81" s="681"/>
      <c r="AM81" s="298">
        <f>(AM83-AM80-AM82)</f>
        <v>627</v>
      </c>
      <c r="AN81" s="1380"/>
      <c r="AO81" s="1381"/>
      <c r="AP81" s="1381"/>
      <c r="AQ81" s="681"/>
      <c r="AR81" s="298">
        <f>(AR83-AR80-AR82)</f>
        <v>596</v>
      </c>
      <c r="AS81" s="1380"/>
      <c r="AT81" s="1381"/>
      <c r="AU81" s="1381"/>
      <c r="AV81" s="681"/>
      <c r="AW81" s="298">
        <f>(AW83-AW80-AW82)</f>
        <v>525</v>
      </c>
      <c r="AX81" s="1380"/>
      <c r="AY81" s="1381"/>
      <c r="AZ81" s="1381"/>
      <c r="BA81" s="681"/>
      <c r="BB81" s="782">
        <f>1100-BB82-BB80</f>
        <v>775</v>
      </c>
      <c r="BC81" s="1380"/>
      <c r="BD81" s="1381"/>
      <c r="BE81" s="1381"/>
      <c r="BF81" s="681"/>
      <c r="BG81" s="782">
        <f>1100-BG80-BG82</f>
        <v>810</v>
      </c>
      <c r="BH81" s="1380"/>
      <c r="BI81" s="1381"/>
      <c r="BJ81" s="1381"/>
      <c r="BK81" s="681"/>
      <c r="BL81" s="782">
        <f>1100-BL80-BL82</f>
        <v>875</v>
      </c>
      <c r="BM81" s="1380"/>
      <c r="BN81" s="1381"/>
      <c r="BO81" s="1381"/>
      <c r="BP81" s="681"/>
      <c r="BQ81" s="782">
        <f>1100-BQ80-BQ82</f>
        <v>860</v>
      </c>
      <c r="BR81" s="782"/>
      <c r="BS81" s="782"/>
      <c r="BT81" s="782"/>
      <c r="BU81" s="1382"/>
      <c r="BV81" s="1382"/>
      <c r="BW81" s="1382"/>
      <c r="BX81" s="1382"/>
      <c r="BY81" s="1382"/>
      <c r="BZ81" s="1382"/>
      <c r="CA81" s="1382"/>
      <c r="CB81" s="1382"/>
      <c r="CC81" s="1382"/>
      <c r="CD81" s="1382"/>
    </row>
    <row r="82" spans="1:90" s="275" customFormat="1">
      <c r="A82" s="797"/>
      <c r="B82" s="797"/>
      <c r="C82" s="1178" t="s">
        <v>378</v>
      </c>
      <c r="D82" s="797"/>
      <c r="E82" s="1380"/>
      <c r="F82" s="1381"/>
      <c r="G82" s="1381"/>
      <c r="H82" s="681"/>
      <c r="I82" s="798"/>
      <c r="J82" s="1380"/>
      <c r="K82" s="1381"/>
      <c r="L82" s="1381"/>
      <c r="M82" s="681"/>
      <c r="N82" s="798"/>
      <c r="O82" s="1380"/>
      <c r="P82" s="1381"/>
      <c r="Q82" s="1381"/>
      <c r="R82" s="681"/>
      <c r="S82" s="798"/>
      <c r="T82" s="1380"/>
      <c r="U82" s="1381"/>
      <c r="V82" s="1381"/>
      <c r="W82" s="681"/>
      <c r="X82" s="798"/>
      <c r="Y82" s="1380"/>
      <c r="Z82" s="1381"/>
      <c r="AA82" s="1381"/>
      <c r="AB82" s="681"/>
      <c r="AC82" s="782">
        <f>+AC81</f>
        <v>125</v>
      </c>
      <c r="AD82" s="1380"/>
      <c r="AE82" s="1381"/>
      <c r="AF82" s="1381"/>
      <c r="AG82" s="681"/>
      <c r="AH82" s="782">
        <f>+AH81</f>
        <v>541.5</v>
      </c>
      <c r="AI82" s="1380"/>
      <c r="AJ82" s="1381"/>
      <c r="AK82" s="1381"/>
      <c r="AL82" s="681"/>
      <c r="AM82" s="782">
        <v>160</v>
      </c>
      <c r="AN82" s="1380"/>
      <c r="AO82" s="1381"/>
      <c r="AP82" s="1381"/>
      <c r="AQ82" s="681"/>
      <c r="AR82" s="782">
        <v>210</v>
      </c>
      <c r="AS82" s="1380"/>
      <c r="AT82" s="1381"/>
      <c r="AU82" s="1381"/>
      <c r="AV82" s="681"/>
      <c r="AW82" s="782">
        <v>210</v>
      </c>
      <c r="AX82" s="1380"/>
      <c r="AY82" s="1381"/>
      <c r="AZ82" s="1381"/>
      <c r="BA82" s="681"/>
      <c r="BB82" s="782">
        <v>55</v>
      </c>
      <c r="BC82" s="1380"/>
      <c r="BD82" s="1381"/>
      <c r="BE82" s="1381"/>
      <c r="BF82" s="681"/>
      <c r="BG82" s="1888">
        <v>30</v>
      </c>
      <c r="BH82" s="1380"/>
      <c r="BI82" s="1381"/>
      <c r="BJ82" s="1381"/>
      <c r="BK82" s="681"/>
      <c r="BL82" s="1888">
        <v>25</v>
      </c>
      <c r="BM82" s="1380"/>
      <c r="BN82" s="1381"/>
      <c r="BO82" s="1381"/>
      <c r="BP82" s="681"/>
      <c r="BQ82" s="1888">
        <v>25</v>
      </c>
      <c r="BR82" s="1384"/>
      <c r="BS82" s="1384"/>
      <c r="BT82" s="1591" t="s">
        <v>381</v>
      </c>
      <c r="BU82" s="1382"/>
      <c r="BV82" s="1329"/>
      <c r="BW82" s="1382"/>
      <c r="BX82" s="1382"/>
      <c r="BY82" s="1382"/>
      <c r="BZ82" s="1382"/>
      <c r="CA82" s="1382"/>
      <c r="CB82" s="1382"/>
      <c r="CC82" s="1382"/>
      <c r="CD82" s="1382"/>
    </row>
    <row r="83" spans="1:90" s="60" customFormat="1">
      <c r="A83" s="308"/>
      <c r="B83" s="308"/>
      <c r="C83" s="1195" t="s">
        <v>215</v>
      </c>
      <c r="D83" s="308"/>
      <c r="E83" s="305"/>
      <c r="F83" s="306"/>
      <c r="G83" s="306"/>
      <c r="H83" s="307"/>
      <c r="I83" s="477">
        <v>32</v>
      </c>
      <c r="J83" s="305"/>
      <c r="K83" s="306"/>
      <c r="L83" s="306"/>
      <c r="M83" s="307"/>
      <c r="N83" s="477">
        <v>64</v>
      </c>
      <c r="O83" s="478">
        <v>27</v>
      </c>
      <c r="P83" s="479">
        <v>81</v>
      </c>
      <c r="Q83" s="479">
        <v>80</v>
      </c>
      <c r="R83" s="307">
        <f>S83-SUM(O83:Q83)</f>
        <v>202</v>
      </c>
      <c r="S83" s="477">
        <v>390</v>
      </c>
      <c r="T83" s="478">
        <v>63</v>
      </c>
      <c r="U83" s="479">
        <v>59</v>
      </c>
      <c r="V83" s="479">
        <v>47</v>
      </c>
      <c r="W83" s="307">
        <f>X83-SUM(T83:V83)</f>
        <v>338</v>
      </c>
      <c r="X83" s="477">
        <v>507</v>
      </c>
      <c r="Y83" s="478">
        <v>89</v>
      </c>
      <c r="Z83" s="479">
        <v>97</v>
      </c>
      <c r="AA83" s="479">
        <v>105</v>
      </c>
      <c r="AB83" s="307">
        <f>AC83-SUM(Y83:AA83)</f>
        <v>205</v>
      </c>
      <c r="AC83" s="477">
        <v>496</v>
      </c>
      <c r="AD83" s="478">
        <v>217</v>
      </c>
      <c r="AE83" s="479">
        <v>384</v>
      </c>
      <c r="AF83" s="479">
        <v>279</v>
      </c>
      <c r="AG83" s="307">
        <f>AH83-SUM(AD83:AF83)</f>
        <v>449</v>
      </c>
      <c r="AH83" s="477">
        <v>1329</v>
      </c>
      <c r="AI83" s="478">
        <v>254</v>
      </c>
      <c r="AJ83" s="479">
        <v>297</v>
      </c>
      <c r="AK83" s="479">
        <v>149</v>
      </c>
      <c r="AL83" s="307">
        <f>AM83-SUM(AI83:AK83)</f>
        <v>252</v>
      </c>
      <c r="AM83" s="477">
        <v>952</v>
      </c>
      <c r="AN83" s="478">
        <v>258</v>
      </c>
      <c r="AO83" s="479">
        <v>251</v>
      </c>
      <c r="AP83" s="479">
        <v>246</v>
      </c>
      <c r="AQ83" s="307">
        <f>AR83-SUM(AN83:AP83)</f>
        <v>346</v>
      </c>
      <c r="AR83" s="477">
        <v>1101</v>
      </c>
      <c r="AS83" s="478">
        <v>224</v>
      </c>
      <c r="AT83" s="479">
        <v>245</v>
      </c>
      <c r="AU83" s="479">
        <v>248</v>
      </c>
      <c r="AV83" s="307">
        <f>AW83-SUM(AS83:AU83)</f>
        <v>313</v>
      </c>
      <c r="AW83" s="477">
        <v>1030</v>
      </c>
      <c r="AX83" s="305">
        <f>BB83/4</f>
        <v>275</v>
      </c>
      <c r="AY83" s="306">
        <f>BB83/4</f>
        <v>275</v>
      </c>
      <c r="AZ83" s="306">
        <f>BB83/4</f>
        <v>275</v>
      </c>
      <c r="BA83" s="307">
        <f>BB83/4</f>
        <v>275</v>
      </c>
      <c r="BB83" s="308">
        <f>SUM(BB80:BB82)</f>
        <v>1100</v>
      </c>
      <c r="BC83" s="305">
        <f>BG83/4</f>
        <v>275</v>
      </c>
      <c r="BD83" s="306">
        <f>BG83/4</f>
        <v>275</v>
      </c>
      <c r="BE83" s="306">
        <f>BG83/4</f>
        <v>275</v>
      </c>
      <c r="BF83" s="307">
        <f>BG83/4</f>
        <v>275</v>
      </c>
      <c r="BG83" s="308">
        <f>SUM(BG80:BG82)</f>
        <v>1100</v>
      </c>
      <c r="BH83" s="305">
        <f>BL83/4</f>
        <v>275</v>
      </c>
      <c r="BI83" s="306">
        <f>BL83/4</f>
        <v>275</v>
      </c>
      <c r="BJ83" s="306">
        <f>BL83/4</f>
        <v>275</v>
      </c>
      <c r="BK83" s="307">
        <f>BL83/4</f>
        <v>275</v>
      </c>
      <c r="BL83" s="308">
        <f>SUM(BL80:BL82)</f>
        <v>1100</v>
      </c>
      <c r="BM83" s="305">
        <f>BQ83/4</f>
        <v>275</v>
      </c>
      <c r="BN83" s="306">
        <f>BQ83/4</f>
        <v>275</v>
      </c>
      <c r="BO83" s="306">
        <f>BQ83/4</f>
        <v>275</v>
      </c>
      <c r="BP83" s="307">
        <f>BQ83/4</f>
        <v>275</v>
      </c>
      <c r="BQ83" s="308">
        <f>SUM(BQ80:BQ82)</f>
        <v>1100</v>
      </c>
      <c r="BR83" s="490"/>
      <c r="BS83" s="490"/>
      <c r="BT83" s="1592" t="s">
        <v>379</v>
      </c>
      <c r="BU83" s="1594">
        <f>+SUM(AW83,AR83,AM83,AH83)</f>
        <v>4412</v>
      </c>
      <c r="BV83" s="16"/>
    </row>
    <row r="84" spans="1:90" s="60" customFormat="1">
      <c r="A84" s="308"/>
      <c r="B84" s="308"/>
      <c r="C84" s="1186"/>
      <c r="D84" s="308"/>
      <c r="E84" s="305"/>
      <c r="F84" s="306"/>
      <c r="G84" s="306"/>
      <c r="H84" s="307"/>
      <c r="I84" s="308"/>
      <c r="J84" s="305"/>
      <c r="K84" s="306"/>
      <c r="L84" s="306"/>
      <c r="M84" s="307"/>
      <c r="N84" s="308"/>
      <c r="O84" s="305"/>
      <c r="P84" s="306"/>
      <c r="Q84" s="306"/>
      <c r="R84" s="307"/>
      <c r="S84" s="308"/>
      <c r="T84" s="305"/>
      <c r="U84" s="306"/>
      <c r="V84" s="306"/>
      <c r="W84" s="307"/>
      <c r="X84" s="739"/>
      <c r="Y84" s="305"/>
      <c r="Z84" s="306"/>
      <c r="AA84" s="306"/>
      <c r="AB84" s="307"/>
      <c r="AC84" s="739"/>
      <c r="AD84" s="305"/>
      <c r="AE84" s="306"/>
      <c r="AF84" s="306"/>
      <c r="AG84" s="307"/>
      <c r="AH84" s="308"/>
      <c r="AI84" s="305"/>
      <c r="AJ84" s="306"/>
      <c r="AK84" s="306"/>
      <c r="AL84" s="307"/>
      <c r="AM84" s="308"/>
      <c r="AN84" s="305"/>
      <c r="AO84" s="306"/>
      <c r="AP84" s="306"/>
      <c r="AQ84" s="307"/>
      <c r="AR84" s="308"/>
      <c r="AS84" s="305"/>
      <c r="AT84" s="306"/>
      <c r="AU84" s="306"/>
      <c r="AV84" s="307"/>
      <c r="AW84" s="308"/>
      <c r="AX84" s="305"/>
      <c r="AY84" s="306"/>
      <c r="AZ84" s="306"/>
      <c r="BA84" s="307"/>
      <c r="BB84" s="308"/>
      <c r="BC84" s="305"/>
      <c r="BD84" s="306"/>
      <c r="BE84" s="306"/>
      <c r="BF84" s="307"/>
      <c r="BG84" s="308"/>
      <c r="BH84" s="305"/>
      <c r="BI84" s="306"/>
      <c r="BJ84" s="306"/>
      <c r="BK84" s="307"/>
      <c r="BL84" s="308"/>
      <c r="BM84" s="305"/>
      <c r="BN84" s="306"/>
      <c r="BO84" s="306"/>
      <c r="BP84" s="307"/>
      <c r="BQ84" s="308"/>
      <c r="BR84" s="490"/>
      <c r="BS84" s="490"/>
      <c r="BT84" s="1593" t="s">
        <v>380</v>
      </c>
      <c r="BU84" s="782">
        <v>4200</v>
      </c>
    </row>
    <row r="85" spans="1:90" s="81" customFormat="1">
      <c r="A85" s="315"/>
      <c r="B85" s="315"/>
      <c r="C85" s="1184"/>
      <c r="E85" s="288"/>
      <c r="F85" s="289"/>
      <c r="G85" s="289"/>
      <c r="H85" s="299"/>
      <c r="I85" s="300"/>
      <c r="J85" s="301"/>
      <c r="K85" s="302"/>
      <c r="L85" s="302"/>
      <c r="M85" s="303"/>
      <c r="N85" s="298"/>
      <c r="O85" s="301"/>
      <c r="P85" s="302"/>
      <c r="Q85" s="302"/>
      <c r="R85" s="303"/>
      <c r="S85" s="298"/>
      <c r="T85" s="316"/>
      <c r="U85" s="312"/>
      <c r="V85" s="312"/>
      <c r="W85" s="317"/>
      <c r="X85" s="315"/>
      <c r="Y85" s="316"/>
      <c r="Z85" s="312"/>
      <c r="AA85" s="312"/>
      <c r="AB85" s="317"/>
      <c r="AC85" s="315"/>
      <c r="AD85" s="316"/>
      <c r="AE85" s="312"/>
      <c r="AF85" s="312"/>
      <c r="AG85" s="317"/>
      <c r="AH85" s="315"/>
      <c r="AI85" s="316"/>
      <c r="AJ85" s="312"/>
      <c r="AK85" s="312"/>
      <c r="AL85" s="317"/>
      <c r="AM85" s="315"/>
      <c r="AN85" s="316"/>
      <c r="AO85" s="312"/>
      <c r="AP85" s="312"/>
      <c r="AQ85" s="317"/>
      <c r="AR85" s="315"/>
      <c r="AS85" s="316"/>
      <c r="AT85" s="312"/>
      <c r="AU85" s="312"/>
      <c r="AV85" s="317"/>
      <c r="AW85" s="315"/>
      <c r="AX85" s="316"/>
      <c r="AY85" s="312"/>
      <c r="AZ85" s="312"/>
      <c r="BA85" s="317"/>
      <c r="BB85" s="315"/>
      <c r="BC85" s="316"/>
      <c r="BD85" s="312"/>
      <c r="BE85" s="312"/>
      <c r="BF85" s="317"/>
      <c r="BG85" s="315"/>
      <c r="BH85" s="316"/>
      <c r="BI85" s="312"/>
      <c r="BJ85" s="312"/>
      <c r="BK85" s="317"/>
      <c r="BL85" s="315"/>
      <c r="BM85" s="316"/>
      <c r="BN85" s="312"/>
      <c r="BO85" s="312"/>
      <c r="BP85" s="317"/>
      <c r="BQ85" s="315"/>
      <c r="BR85" s="221"/>
      <c r="BS85" s="221"/>
      <c r="BT85" s="221"/>
    </row>
    <row r="86" spans="1:90">
      <c r="A86" s="89"/>
      <c r="B86" s="668" t="s">
        <v>168</v>
      </c>
      <c r="C86" s="1196"/>
      <c r="D86" s="284"/>
      <c r="E86" s="133"/>
      <c r="F86" s="134"/>
      <c r="G86" s="134"/>
      <c r="H86" s="135"/>
      <c r="I86" s="233"/>
      <c r="J86" s="133"/>
      <c r="K86" s="134"/>
      <c r="L86" s="134"/>
      <c r="M86" s="135"/>
      <c r="N86" s="233"/>
      <c r="O86" s="133"/>
      <c r="P86" s="134"/>
      <c r="Q86" s="134"/>
      <c r="R86" s="135"/>
      <c r="S86" s="233"/>
      <c r="T86" s="133"/>
      <c r="U86" s="134"/>
      <c r="V86" s="134"/>
      <c r="W86" s="135"/>
      <c r="X86" s="233"/>
      <c r="Y86" s="133"/>
      <c r="Z86" s="134"/>
      <c r="AA86" s="134"/>
      <c r="AB86" s="135"/>
      <c r="AC86" s="233"/>
      <c r="AD86" s="133"/>
      <c r="AE86" s="134"/>
      <c r="AF86" s="134"/>
      <c r="AG86" s="135"/>
      <c r="AH86" s="233"/>
      <c r="AI86" s="133"/>
      <c r="AJ86" s="134"/>
      <c r="AK86" s="134"/>
      <c r="AL86" s="135"/>
      <c r="AM86" s="233"/>
      <c r="AN86" s="133"/>
      <c r="AO86" s="134"/>
      <c r="AP86" s="134"/>
      <c r="AQ86" s="135"/>
      <c r="AR86" s="233"/>
      <c r="AS86" s="133"/>
      <c r="AT86" s="134"/>
      <c r="AU86" s="134"/>
      <c r="AV86" s="135"/>
      <c r="AW86" s="233"/>
      <c r="AX86" s="133"/>
      <c r="AY86" s="134"/>
      <c r="AZ86" s="134"/>
      <c r="BA86" s="135"/>
      <c r="BB86" s="233"/>
      <c r="BC86" s="133"/>
      <c r="BD86" s="134"/>
      <c r="BE86" s="134"/>
      <c r="BF86" s="135"/>
      <c r="BG86" s="233"/>
      <c r="BH86" s="133"/>
      <c r="BI86" s="134"/>
      <c r="BJ86" s="134"/>
      <c r="BK86" s="135"/>
      <c r="BL86" s="233"/>
      <c r="BM86" s="133"/>
      <c r="BN86" s="134"/>
      <c r="BO86" s="134"/>
      <c r="BP86" s="135"/>
      <c r="BQ86" s="233"/>
      <c r="BR86" s="177"/>
      <c r="BS86" s="177"/>
      <c r="BT86" s="177"/>
      <c r="BU86" s="15"/>
      <c r="BV86" s="15"/>
      <c r="BW86" s="15"/>
      <c r="BX86" s="15"/>
      <c r="BY86" s="15"/>
      <c r="BZ86" s="15"/>
      <c r="CA86" s="15"/>
      <c r="CB86" s="15"/>
      <c r="CC86" s="15"/>
      <c r="CD86" s="15"/>
    </row>
    <row r="87" spans="1:90" s="173" customFormat="1">
      <c r="A87" s="285"/>
      <c r="B87" s="491"/>
      <c r="C87" s="1377" t="s">
        <v>905</v>
      </c>
      <c r="D87" s="497"/>
      <c r="E87" s="141"/>
      <c r="F87" s="84"/>
      <c r="G87" s="84"/>
      <c r="H87" s="142"/>
      <c r="I87" s="498"/>
      <c r="J87" s="141"/>
      <c r="K87" s="84"/>
      <c r="L87" s="84"/>
      <c r="M87" s="142"/>
      <c r="N87" s="498"/>
      <c r="O87" s="141"/>
      <c r="P87" s="84"/>
      <c r="Q87" s="84"/>
      <c r="R87" s="142"/>
      <c r="S87" s="498"/>
      <c r="T87" s="104"/>
      <c r="U87" s="77"/>
      <c r="V87" s="77"/>
      <c r="W87" s="102"/>
      <c r="X87" s="96"/>
      <c r="Y87" s="104">
        <f>+Y100*(1-Y106)</f>
        <v>1225</v>
      </c>
      <c r="Z87" s="77">
        <f t="shared" ref="Z87:AM87" si="130">+Z100*(1-Z106)</f>
        <v>1259.5</v>
      </c>
      <c r="AA87" s="77">
        <f t="shared" si="130"/>
        <v>1298</v>
      </c>
      <c r="AB87" s="102">
        <f t="shared" si="130"/>
        <v>1385.5</v>
      </c>
      <c r="AC87" s="96">
        <f t="shared" si="130"/>
        <v>1385.5</v>
      </c>
      <c r="AD87" s="104">
        <f t="shared" ref="AD87:AE87" si="131">+AD100*(1-AD106)</f>
        <v>1479</v>
      </c>
      <c r="AE87" s="77">
        <f t="shared" si="131"/>
        <v>1656</v>
      </c>
      <c r="AF87" s="77">
        <f>+AF100*(1-AF106)</f>
        <v>1779</v>
      </c>
      <c r="AG87" s="102">
        <f t="shared" ref="AG87:AH87" si="132">+AG100*(1-AG106)</f>
        <v>1986.5</v>
      </c>
      <c r="AH87" s="96">
        <f t="shared" si="132"/>
        <v>1986.5</v>
      </c>
      <c r="AI87" s="104">
        <f t="shared" si="130"/>
        <v>2095</v>
      </c>
      <c r="AJ87" s="77">
        <f t="shared" si="130"/>
        <v>2224.5</v>
      </c>
      <c r="AK87" s="77">
        <f>+AK100*(1-AK106)</f>
        <v>2278.5</v>
      </c>
      <c r="AL87" s="102">
        <f t="shared" ref="AL87" si="133">+AL100*(1-AL106)</f>
        <v>2384.5</v>
      </c>
      <c r="AM87" s="96">
        <f t="shared" si="130"/>
        <v>2384.5</v>
      </c>
      <c r="AN87" s="104">
        <f t="shared" ref="AN87:AO87" si="134">+AN100*(1-AN106)</f>
        <v>2492</v>
      </c>
      <c r="AO87" s="77">
        <f t="shared" si="134"/>
        <v>2595.5</v>
      </c>
      <c r="AP87" s="77">
        <f>+AP100*(1-AP106)</f>
        <v>2696</v>
      </c>
      <c r="AQ87" s="102">
        <f t="shared" ref="AQ87:AT87" si="135">+AQ100*(1-AQ106)</f>
        <v>2841.5</v>
      </c>
      <c r="AR87" s="96">
        <f t="shared" si="135"/>
        <v>2841.5</v>
      </c>
      <c r="AS87" s="104">
        <f t="shared" si="135"/>
        <v>2928</v>
      </c>
      <c r="AT87" s="77">
        <f t="shared" si="135"/>
        <v>3023.5</v>
      </c>
      <c r="AU87" s="77">
        <f t="shared" ref="AU87:AW87" si="136">+AU100*(1-AU106)</f>
        <v>3118</v>
      </c>
      <c r="AV87" s="102">
        <f t="shared" si="136"/>
        <v>3244.5</v>
      </c>
      <c r="AW87" s="96">
        <f t="shared" si="136"/>
        <v>3244.5</v>
      </c>
      <c r="AX87" s="104">
        <f t="shared" ref="AX87:BL87" si="137">+AX100*(1-AX106)</f>
        <v>3353.1177083333332</v>
      </c>
      <c r="AY87" s="77">
        <f t="shared" si="137"/>
        <v>3460.8531250000001</v>
      </c>
      <c r="AZ87" s="77">
        <f t="shared" si="137"/>
        <v>3567.7062500000002</v>
      </c>
      <c r="BA87" s="102">
        <f t="shared" si="137"/>
        <v>3673.6770833333335</v>
      </c>
      <c r="BB87" s="96">
        <f t="shared" si="137"/>
        <v>3673.6770833333335</v>
      </c>
      <c r="BC87" s="104">
        <f t="shared" si="137"/>
        <v>3778.765625</v>
      </c>
      <c r="BD87" s="77">
        <f t="shared" si="137"/>
        <v>3882.9718750000002</v>
      </c>
      <c r="BE87" s="77">
        <f t="shared" si="137"/>
        <v>3986.2958333333336</v>
      </c>
      <c r="BF87" s="102">
        <f t="shared" si="137"/>
        <v>4088.7375000000002</v>
      </c>
      <c r="BG87" s="96">
        <f t="shared" si="137"/>
        <v>4088.7375000000006</v>
      </c>
      <c r="BH87" s="104">
        <f t="shared" si="137"/>
        <v>4190.2968750000009</v>
      </c>
      <c r="BI87" s="77">
        <f t="shared" si="137"/>
        <v>4290.9739583333339</v>
      </c>
      <c r="BJ87" s="77">
        <f t="shared" si="137"/>
        <v>4390.7687500000002</v>
      </c>
      <c r="BK87" s="102">
        <f t="shared" si="137"/>
        <v>4489.6812500000005</v>
      </c>
      <c r="BL87" s="96">
        <f t="shared" si="137"/>
        <v>4489.6812500000015</v>
      </c>
      <c r="BM87" s="104">
        <f t="shared" ref="BM87:BQ87" si="138">+BM100*(1-BM106)</f>
        <v>4587.711458333335</v>
      </c>
      <c r="BN87" s="77">
        <f t="shared" si="138"/>
        <v>4684.8593750000018</v>
      </c>
      <c r="BO87" s="77">
        <f t="shared" si="138"/>
        <v>4781.1250000000018</v>
      </c>
      <c r="BP87" s="102">
        <f t="shared" si="138"/>
        <v>4876.508333333335</v>
      </c>
      <c r="BQ87" s="96">
        <f t="shared" si="138"/>
        <v>4876.508333333335</v>
      </c>
      <c r="BR87" s="491"/>
      <c r="BS87" s="491"/>
      <c r="BT87" s="491"/>
    </row>
    <row r="88" spans="1:90" s="173" customFormat="1">
      <c r="A88" s="285"/>
      <c r="C88" s="1178" t="s">
        <v>906</v>
      </c>
      <c r="D88" s="497"/>
      <c r="E88" s="141"/>
      <c r="F88" s="84"/>
      <c r="G88" s="84"/>
      <c r="H88" s="142"/>
      <c r="I88" s="498"/>
      <c r="J88" s="141"/>
      <c r="K88" s="84"/>
      <c r="L88" s="84"/>
      <c r="M88" s="142"/>
      <c r="N88" s="498"/>
      <c r="O88" s="141"/>
      <c r="P88" s="84"/>
      <c r="Q88" s="84"/>
      <c r="R88" s="142"/>
      <c r="S88" s="498"/>
      <c r="T88" s="1177"/>
      <c r="U88" s="877"/>
      <c r="V88" s="877"/>
      <c r="W88" s="878"/>
      <c r="X88" s="498"/>
      <c r="Y88" s="1177">
        <v>0.05</v>
      </c>
      <c r="Z88" s="84">
        <f>Z90/Z87*4</f>
        <v>6.9868995633187769E-2</v>
      </c>
      <c r="AA88" s="84">
        <f>AA90/AA87*4</f>
        <v>7.0878274268104779E-2</v>
      </c>
      <c r="AB88" s="142">
        <f>AB90/AB87*4</f>
        <v>7.2176109707686759E-2</v>
      </c>
      <c r="AC88" s="498">
        <f>AC90/AC87</f>
        <v>6.7123782028148685E-2</v>
      </c>
      <c r="AD88" s="141">
        <f t="shared" ref="AD88" si="139">AD90/AD87*4</f>
        <v>6.7613252197430695E-2</v>
      </c>
      <c r="AE88" s="84">
        <f t="shared" ref="AE88" si="140">AE90/AE87*4</f>
        <v>7.2463768115942032E-2</v>
      </c>
      <c r="AF88" s="84">
        <f>AF90/AF87*4</f>
        <v>7.8695896571107357E-2</v>
      </c>
      <c r="AG88" s="142">
        <f t="shared" ref="AG88" si="141">AG90/AG87*4</f>
        <v>8.2557261515227784E-2</v>
      </c>
      <c r="AH88" s="498">
        <f>AH90/AH87</f>
        <v>6.594512962496854E-2</v>
      </c>
      <c r="AI88" s="141">
        <f t="shared" ref="AI88:AJ88" si="142">AI90/AI87*4</f>
        <v>7.4463007159904532E-2</v>
      </c>
      <c r="AJ88" s="84">
        <f t="shared" si="142"/>
        <v>7.1926275567543274E-2</v>
      </c>
      <c r="AK88" s="84">
        <f>AK90/AK87*4</f>
        <v>7.0221637041913545E-2</v>
      </c>
      <c r="AL88" s="142">
        <f>AL90/AL87*4</f>
        <v>7.0455022017194377E-2</v>
      </c>
      <c r="AM88" s="498">
        <f>AM90/AM87</f>
        <v>6.751939609981128E-2</v>
      </c>
      <c r="AN88" s="141">
        <f t="shared" ref="AN88" si="143">AN90/AN87*4</f>
        <v>6.9020866773675763E-2</v>
      </c>
      <c r="AO88" s="84">
        <f>AO90/AO87*4</f>
        <v>6.4727412829897898E-2</v>
      </c>
      <c r="AP88" s="84">
        <f>AP90/AP87*4</f>
        <v>6.3798219584569729E-2</v>
      </c>
      <c r="AQ88" s="142">
        <f>AQ90/AQ87*4</f>
        <v>4.2231215907091328E-2</v>
      </c>
      <c r="AR88" s="498">
        <f>AR90/AR87</f>
        <v>5.5604434277670242E-2</v>
      </c>
      <c r="AS88" s="141">
        <f t="shared" ref="AS88" si="144">AS90/AS87*4</f>
        <v>5.3278688524590161E-2</v>
      </c>
      <c r="AT88" s="84">
        <f>AT90/AT87*4</f>
        <v>5.1595832644286424E-2</v>
      </c>
      <c r="AU88" s="84">
        <f t="shared" ref="AU88" si="145">AU90/AU87*4</f>
        <v>4.8749198203976905E-2</v>
      </c>
      <c r="AV88" s="142">
        <f>AV90/AV87*4</f>
        <v>4.9314224071505625E-2</v>
      </c>
      <c r="AW88" s="498">
        <f>AW90/AW87</f>
        <v>4.8081368469717986E-2</v>
      </c>
      <c r="AX88" s="141">
        <f t="shared" ref="AX88:BB88" si="146">+AW88</f>
        <v>4.8081368469717986E-2</v>
      </c>
      <c r="AY88" s="84">
        <f t="shared" si="146"/>
        <v>4.8081368469717986E-2</v>
      </c>
      <c r="AZ88" s="84">
        <f t="shared" si="146"/>
        <v>4.8081368469717986E-2</v>
      </c>
      <c r="BA88" s="142">
        <f t="shared" si="146"/>
        <v>4.8081368469717986E-2</v>
      </c>
      <c r="BB88" s="498">
        <f t="shared" si="146"/>
        <v>4.8081368469717986E-2</v>
      </c>
      <c r="BC88" s="141">
        <f t="shared" ref="BC88:BL88" si="147">+BB88</f>
        <v>4.8081368469717986E-2</v>
      </c>
      <c r="BD88" s="84">
        <f t="shared" si="147"/>
        <v>4.8081368469717986E-2</v>
      </c>
      <c r="BE88" s="84">
        <f t="shared" si="147"/>
        <v>4.8081368469717986E-2</v>
      </c>
      <c r="BF88" s="142">
        <f t="shared" si="147"/>
        <v>4.8081368469717986E-2</v>
      </c>
      <c r="BG88" s="498">
        <f t="shared" si="147"/>
        <v>4.8081368469717986E-2</v>
      </c>
      <c r="BH88" s="141">
        <f t="shared" si="147"/>
        <v>4.8081368469717986E-2</v>
      </c>
      <c r="BI88" s="84">
        <f t="shared" si="147"/>
        <v>4.8081368469717986E-2</v>
      </c>
      <c r="BJ88" s="84">
        <f t="shared" si="147"/>
        <v>4.8081368469717986E-2</v>
      </c>
      <c r="BK88" s="142">
        <f t="shared" si="147"/>
        <v>4.8081368469717986E-2</v>
      </c>
      <c r="BL88" s="498">
        <f t="shared" si="147"/>
        <v>4.8081368469717986E-2</v>
      </c>
      <c r="BM88" s="141">
        <f t="shared" ref="BM88" si="148">+BL88</f>
        <v>4.8081368469717986E-2</v>
      </c>
      <c r="BN88" s="84">
        <f t="shared" ref="BN88" si="149">+BM88</f>
        <v>4.8081368469717986E-2</v>
      </c>
      <c r="BO88" s="84">
        <f t="shared" ref="BO88" si="150">+BN88</f>
        <v>4.8081368469717986E-2</v>
      </c>
      <c r="BP88" s="142">
        <f t="shared" ref="BP88" si="151">+BO88</f>
        <v>4.8081368469717986E-2</v>
      </c>
      <c r="BQ88" s="498">
        <f t="shared" ref="BQ88" si="152">+BP88</f>
        <v>4.8081368469717986E-2</v>
      </c>
      <c r="BR88" s="491"/>
      <c r="BS88" s="491"/>
      <c r="BT88" s="491"/>
    </row>
    <row r="89" spans="1:90" s="173" customFormat="1">
      <c r="A89" s="285"/>
      <c r="C89" s="1178"/>
      <c r="D89" s="497"/>
      <c r="E89" s="141"/>
      <c r="F89" s="84"/>
      <c r="G89" s="84"/>
      <c r="H89" s="142"/>
      <c r="I89" s="498"/>
      <c r="J89" s="141"/>
      <c r="K89" s="84"/>
      <c r="L89" s="84"/>
      <c r="M89" s="142"/>
      <c r="N89" s="498"/>
      <c r="O89" s="141"/>
      <c r="P89" s="84"/>
      <c r="Q89" s="84"/>
      <c r="R89" s="142"/>
      <c r="S89" s="498"/>
      <c r="T89" s="141"/>
      <c r="U89" s="84"/>
      <c r="V89" s="84"/>
      <c r="W89" s="142"/>
      <c r="X89" s="498"/>
      <c r="Y89" s="141"/>
      <c r="Z89" s="84"/>
      <c r="AA89" s="84"/>
      <c r="AB89" s="142"/>
      <c r="AC89" s="498"/>
      <c r="AD89" s="141"/>
      <c r="AE89" s="84"/>
      <c r="AF89" s="84"/>
      <c r="AG89" s="142"/>
      <c r="AH89" s="498"/>
      <c r="AI89" s="141"/>
      <c r="AJ89" s="84"/>
      <c r="AK89" s="84"/>
      <c r="AL89" s="142"/>
      <c r="AM89" s="498"/>
      <c r="AN89" s="141"/>
      <c r="AO89" s="84"/>
      <c r="AP89" s="84"/>
      <c r="AQ89" s="142"/>
      <c r="AR89" s="498"/>
      <c r="AS89" s="141"/>
      <c r="AT89" s="84"/>
      <c r="AU89" s="84"/>
      <c r="AV89" s="142"/>
      <c r="AW89" s="498"/>
      <c r="AX89" s="141"/>
      <c r="AY89" s="84"/>
      <c r="AZ89" s="84"/>
      <c r="BA89" s="142"/>
      <c r="BB89" s="498"/>
      <c r="BC89" s="141"/>
      <c r="BD89" s="84"/>
      <c r="BE89" s="84"/>
      <c r="BF89" s="142"/>
      <c r="BG89" s="498"/>
      <c r="BH89" s="141"/>
      <c r="BI89" s="84"/>
      <c r="BJ89" s="84"/>
      <c r="BK89" s="142"/>
      <c r="BL89" s="498"/>
      <c r="BM89" s="141"/>
      <c r="BN89" s="84"/>
      <c r="BO89" s="84"/>
      <c r="BP89" s="142"/>
      <c r="BQ89" s="498"/>
      <c r="BR89" s="491"/>
      <c r="BS89" s="491"/>
      <c r="BT89" s="491"/>
    </row>
    <row r="90" spans="1:90" s="173" customFormat="1">
      <c r="A90" s="285"/>
      <c r="C90" s="1178" t="s">
        <v>200</v>
      </c>
      <c r="D90" s="497"/>
      <c r="E90" s="141"/>
      <c r="F90" s="84"/>
      <c r="G90" s="84"/>
      <c r="H90" s="142"/>
      <c r="I90" s="498"/>
      <c r="J90" s="141"/>
      <c r="K90" s="84"/>
      <c r="L90" s="84"/>
      <c r="M90" s="142"/>
      <c r="N90" s="498"/>
      <c r="O90" s="104">
        <f>O23</f>
        <v>17</v>
      </c>
      <c r="P90" s="77">
        <f>P23</f>
        <v>25</v>
      </c>
      <c r="Q90" s="77">
        <f>Q23</f>
        <v>24</v>
      </c>
      <c r="R90" s="102">
        <f>R23</f>
        <v>23</v>
      </c>
      <c r="S90" s="96">
        <f>SUM(O90:R90)</f>
        <v>89</v>
      </c>
      <c r="T90" s="104">
        <f>T23</f>
        <v>23</v>
      </c>
      <c r="U90" s="77">
        <f>U23</f>
        <v>23</v>
      </c>
      <c r="V90" s="77">
        <f>V23</f>
        <v>23</v>
      </c>
      <c r="W90" s="102">
        <f>W23</f>
        <v>23</v>
      </c>
      <c r="X90" s="96">
        <f>SUM(T90:W90)</f>
        <v>92</v>
      </c>
      <c r="Y90" s="104">
        <f>Y23</f>
        <v>23</v>
      </c>
      <c r="Z90" s="77">
        <f>Z23</f>
        <v>22</v>
      </c>
      <c r="AA90" s="77">
        <f>AA23</f>
        <v>23</v>
      </c>
      <c r="AB90" s="102">
        <f>AB23</f>
        <v>25</v>
      </c>
      <c r="AC90" s="96">
        <f>SUM(Y90:AB90)</f>
        <v>93</v>
      </c>
      <c r="AD90" s="104">
        <f t="shared" ref="AD90:AH90" si="153">AD23</f>
        <v>25</v>
      </c>
      <c r="AE90" s="77">
        <f t="shared" si="153"/>
        <v>30</v>
      </c>
      <c r="AF90" s="77">
        <f t="shared" si="153"/>
        <v>35</v>
      </c>
      <c r="AG90" s="102">
        <f t="shared" si="153"/>
        <v>41</v>
      </c>
      <c r="AH90" s="96">
        <f t="shared" si="153"/>
        <v>131</v>
      </c>
      <c r="AI90" s="104">
        <f t="shared" ref="AI90:AM90" si="154">AI23</f>
        <v>39</v>
      </c>
      <c r="AJ90" s="77">
        <f t="shared" si="154"/>
        <v>40</v>
      </c>
      <c r="AK90" s="77">
        <f t="shared" si="154"/>
        <v>40</v>
      </c>
      <c r="AL90" s="102">
        <f t="shared" si="154"/>
        <v>42</v>
      </c>
      <c r="AM90" s="96">
        <f t="shared" si="154"/>
        <v>161</v>
      </c>
      <c r="AN90" s="104">
        <f t="shared" ref="AN90:AR90" si="155">AN23</f>
        <v>43</v>
      </c>
      <c r="AO90" s="77">
        <f t="shared" si="155"/>
        <v>42</v>
      </c>
      <c r="AP90" s="77">
        <f t="shared" si="155"/>
        <v>43</v>
      </c>
      <c r="AQ90" s="102">
        <f t="shared" si="155"/>
        <v>30</v>
      </c>
      <c r="AR90" s="96">
        <f t="shared" si="155"/>
        <v>158</v>
      </c>
      <c r="AS90" s="104">
        <f t="shared" ref="AS90:AT90" si="156">AS23</f>
        <v>39</v>
      </c>
      <c r="AT90" s="77">
        <f t="shared" si="156"/>
        <v>39</v>
      </c>
      <c r="AU90" s="77">
        <f t="shared" ref="AU90:AW90" si="157">AU23</f>
        <v>38</v>
      </c>
      <c r="AV90" s="102">
        <f t="shared" si="157"/>
        <v>40</v>
      </c>
      <c r="AW90" s="96">
        <f t="shared" si="157"/>
        <v>156</v>
      </c>
      <c r="AX90" s="104">
        <f>+AX88*AX87/4</f>
        <v>40.305622014177843</v>
      </c>
      <c r="AY90" s="77">
        <f>+AY88*AY87/4</f>
        <v>41.600638580674989</v>
      </c>
      <c r="AZ90" s="77">
        <f>+AZ88*AZ87/4</f>
        <v>42.885049699491454</v>
      </c>
      <c r="BA90" s="102">
        <f>+BA88*BA87/4</f>
        <v>44.158855370627222</v>
      </c>
      <c r="BB90" s="96">
        <f>SUM(AX90:BA90)</f>
        <v>168.95016566497151</v>
      </c>
      <c r="BC90" s="104">
        <f>+BC88*BC87/4</f>
        <v>45.422055594082295</v>
      </c>
      <c r="BD90" s="77">
        <f>+BD88*BD87/4</f>
        <v>46.674650369856685</v>
      </c>
      <c r="BE90" s="77">
        <f>+BE88*BE87/4</f>
        <v>47.91663969795038</v>
      </c>
      <c r="BF90" s="102">
        <f>+BF88*BF87/4</f>
        <v>49.148023578363386</v>
      </c>
      <c r="BG90" s="96">
        <f>SUM(BC90:BF90)</f>
        <v>189.16136924025275</v>
      </c>
      <c r="BH90" s="104">
        <f>+BH88*BH87/4</f>
        <v>50.36880201109571</v>
      </c>
      <c r="BI90" s="77">
        <f>+BI88*BI87/4</f>
        <v>51.578974996147338</v>
      </c>
      <c r="BJ90" s="77">
        <f>+BJ88*BJ87/4</f>
        <v>52.778542533518262</v>
      </c>
      <c r="BK90" s="102">
        <f>+BK88*BK87/4</f>
        <v>53.967504623208512</v>
      </c>
      <c r="BL90" s="96">
        <f>SUM(BH90:BK90)</f>
        <v>208.69382416396985</v>
      </c>
      <c r="BM90" s="104">
        <f>+BM88*BM87/4</f>
        <v>55.14586126521808</v>
      </c>
      <c r="BN90" s="77">
        <f>+BN88*BN87/4</f>
        <v>56.313612459546952</v>
      </c>
      <c r="BO90" s="77">
        <f>+BO88*BO87/4</f>
        <v>57.470758206195121</v>
      </c>
      <c r="BP90" s="102">
        <f>+BP88*BP87/4</f>
        <v>58.617298505162609</v>
      </c>
      <c r="BQ90" s="96">
        <f>SUM(BM90:BP90)</f>
        <v>227.54753043612277</v>
      </c>
      <c r="BR90" s="491"/>
      <c r="BS90" s="491"/>
      <c r="BT90" s="491"/>
    </row>
    <row r="91" spans="1:90" s="173" customFormat="1">
      <c r="A91" s="285"/>
      <c r="C91" s="1178" t="s">
        <v>639</v>
      </c>
      <c r="D91" s="497"/>
      <c r="E91" s="141"/>
      <c r="F91" s="84"/>
      <c r="G91" s="84"/>
      <c r="H91" s="142"/>
      <c r="I91" s="498"/>
      <c r="J91" s="141"/>
      <c r="K91" s="84"/>
      <c r="L91" s="84"/>
      <c r="M91" s="142"/>
      <c r="N91" s="498"/>
      <c r="O91" s="141"/>
      <c r="P91" s="84"/>
      <c r="Q91" s="84"/>
      <c r="R91" s="142"/>
      <c r="S91" s="498"/>
      <c r="T91" s="104"/>
      <c r="U91" s="77"/>
      <c r="V91" s="77"/>
      <c r="W91" s="102"/>
      <c r="X91" s="96"/>
      <c r="Y91" s="104"/>
      <c r="Z91" s="77"/>
      <c r="AA91" s="77"/>
      <c r="AB91" s="102"/>
      <c r="AC91" s="96">
        <f>+AC90-X90</f>
        <v>1</v>
      </c>
      <c r="AD91" s="104">
        <f t="shared" ref="AD91" si="158">+AD90-Y90</f>
        <v>2</v>
      </c>
      <c r="AE91" s="77">
        <f t="shared" ref="AE91" si="159">+AE90-Z90</f>
        <v>8</v>
      </c>
      <c r="AF91" s="77">
        <f>+AF90-AA90</f>
        <v>12</v>
      </c>
      <c r="AG91" s="102">
        <f t="shared" ref="AG91" si="160">+AG90-AB90</f>
        <v>16</v>
      </c>
      <c r="AH91" s="96">
        <f>SUM(AD91:AG91)</f>
        <v>38</v>
      </c>
      <c r="AI91" s="104">
        <f t="shared" ref="AI91:AO91" si="161">+AI90-AD90</f>
        <v>14</v>
      </c>
      <c r="AJ91" s="77">
        <f t="shared" si="161"/>
        <v>10</v>
      </c>
      <c r="AK91" s="77">
        <f>+AK90-AF90</f>
        <v>5</v>
      </c>
      <c r="AL91" s="102">
        <f t="shared" si="161"/>
        <v>1</v>
      </c>
      <c r="AM91" s="96">
        <f>SUM(AI91:AL91)</f>
        <v>30</v>
      </c>
      <c r="AN91" s="104">
        <f t="shared" si="161"/>
        <v>4</v>
      </c>
      <c r="AO91" s="77">
        <f t="shared" si="161"/>
        <v>2</v>
      </c>
      <c r="AP91" s="77">
        <f>+AP90-AK90</f>
        <v>3</v>
      </c>
      <c r="AQ91" s="102">
        <f t="shared" ref="AQ91" si="162">+AQ90-AL90</f>
        <v>-12</v>
      </c>
      <c r="AR91" s="96">
        <f>SUM(AN91:AQ91)</f>
        <v>-3</v>
      </c>
      <c r="AS91" s="104">
        <f t="shared" ref="AS91:AT91" si="163">+AS90-AN90</f>
        <v>-4</v>
      </c>
      <c r="AT91" s="77">
        <f t="shared" si="163"/>
        <v>-3</v>
      </c>
      <c r="AU91" s="77">
        <f t="shared" ref="AU91" si="164">+AU90-AP90</f>
        <v>-5</v>
      </c>
      <c r="AV91" s="102">
        <f t="shared" ref="AV91" si="165">+AV90-AQ90</f>
        <v>10</v>
      </c>
      <c r="AW91" s="96">
        <f>SUM(AS91:AV91)</f>
        <v>-2</v>
      </c>
      <c r="AX91" s="104">
        <f>+AX90-AS90</f>
        <v>1.3056220141778425</v>
      </c>
      <c r="AY91" s="77">
        <f>+AY90-AT90</f>
        <v>2.600638580674989</v>
      </c>
      <c r="AZ91" s="77">
        <f>+AZ90-AU90</f>
        <v>4.8850496994914536</v>
      </c>
      <c r="BA91" s="102">
        <f>+BA90-AV90</f>
        <v>4.1588553706272222</v>
      </c>
      <c r="BB91" s="96">
        <f>SUM(AX91:BA91)</f>
        <v>12.950165664971507</v>
      </c>
      <c r="BC91" s="104">
        <f>+BC90-AX90</f>
        <v>5.1164335799044522</v>
      </c>
      <c r="BD91" s="77">
        <f>+BD90-AY90</f>
        <v>5.0740117891816965</v>
      </c>
      <c r="BE91" s="77">
        <f>+BE90-AZ90</f>
        <v>5.0315899984589265</v>
      </c>
      <c r="BF91" s="102">
        <f>+BF90-BA90</f>
        <v>4.9891682077361637</v>
      </c>
      <c r="BG91" s="96">
        <f>SUM(BC91:BF91)</f>
        <v>20.211203575281239</v>
      </c>
      <c r="BH91" s="104">
        <f>+BH90-BC90</f>
        <v>4.946746417013415</v>
      </c>
      <c r="BI91" s="77">
        <f>+BI90-BD90</f>
        <v>4.9043246262906521</v>
      </c>
      <c r="BJ91" s="77">
        <f>+BJ90-BE90</f>
        <v>4.8619028355678822</v>
      </c>
      <c r="BK91" s="102">
        <f>+BK90-BF90</f>
        <v>4.8194810448451264</v>
      </c>
      <c r="BL91" s="96">
        <f>SUM(BH91:BK91)</f>
        <v>19.532454923717076</v>
      </c>
      <c r="BM91" s="104">
        <f>+BM90-BH90</f>
        <v>4.7770592541223706</v>
      </c>
      <c r="BN91" s="77">
        <f>+BN90-BI90</f>
        <v>4.7346374633996149</v>
      </c>
      <c r="BO91" s="77">
        <f>+BO90-BJ90</f>
        <v>4.6922156726768591</v>
      </c>
      <c r="BP91" s="102">
        <f>+BP90-BK90</f>
        <v>4.6497938819540963</v>
      </c>
      <c r="BQ91" s="96">
        <f>SUM(BM91:BP91)</f>
        <v>18.853706272152941</v>
      </c>
      <c r="BR91" s="491"/>
      <c r="BS91" s="491"/>
      <c r="BT91" s="491"/>
    </row>
    <row r="92" spans="1:90" s="173" customFormat="1">
      <c r="A92" s="285"/>
      <c r="C92" s="1178"/>
      <c r="D92" s="497"/>
      <c r="E92" s="141"/>
      <c r="F92" s="84"/>
      <c r="G92" s="84"/>
      <c r="H92" s="142"/>
      <c r="I92" s="498"/>
      <c r="J92" s="141"/>
      <c r="K92" s="84"/>
      <c r="L92" s="84"/>
      <c r="M92" s="142"/>
      <c r="N92" s="498"/>
      <c r="O92" s="141"/>
      <c r="P92" s="84"/>
      <c r="Q92" s="84"/>
      <c r="R92" s="142"/>
      <c r="S92" s="498"/>
      <c r="T92" s="141"/>
      <c r="U92" s="84"/>
      <c r="V92" s="84"/>
      <c r="W92" s="142"/>
      <c r="X92" s="498"/>
      <c r="Y92" s="141"/>
      <c r="Z92" s="84"/>
      <c r="AA92" s="84"/>
      <c r="AB92" s="142"/>
      <c r="AC92" s="498"/>
      <c r="AD92" s="141"/>
      <c r="AE92" s="84"/>
      <c r="AF92" s="84"/>
      <c r="AG92" s="142"/>
      <c r="AH92" s="498"/>
      <c r="AI92" s="141"/>
      <c r="AJ92" s="84"/>
      <c r="AK92" s="84"/>
      <c r="AL92" s="142"/>
      <c r="AM92" s="498"/>
      <c r="AN92" s="141"/>
      <c r="AO92" s="84"/>
      <c r="AP92" s="84"/>
      <c r="AQ92" s="142"/>
      <c r="AR92" s="498"/>
      <c r="AS92" s="141"/>
      <c r="AT92" s="84"/>
      <c r="AU92" s="84"/>
      <c r="AV92" s="142"/>
      <c r="AW92" s="498"/>
      <c r="AX92" s="141"/>
      <c r="AY92" s="84"/>
      <c r="AZ92" s="84"/>
      <c r="BA92" s="142"/>
      <c r="BB92" s="498"/>
      <c r="BC92" s="141"/>
      <c r="BD92" s="84"/>
      <c r="BE92" s="84"/>
      <c r="BF92" s="142"/>
      <c r="BG92" s="498"/>
      <c r="BH92" s="141"/>
      <c r="BI92" s="84"/>
      <c r="BJ92" s="84"/>
      <c r="BK92" s="142"/>
      <c r="BL92" s="498"/>
      <c r="BM92" s="141"/>
      <c r="BN92" s="84"/>
      <c r="BO92" s="84"/>
      <c r="BP92" s="142"/>
      <c r="BQ92" s="498"/>
      <c r="BR92" s="491"/>
      <c r="BS92" s="491"/>
      <c r="BT92" s="491"/>
    </row>
    <row r="93" spans="1:90" s="173" customFormat="1">
      <c r="A93" s="285"/>
      <c r="C93" s="1178"/>
      <c r="D93" s="497"/>
      <c r="E93" s="141"/>
      <c r="F93" s="84"/>
      <c r="G93" s="84"/>
      <c r="H93" s="142"/>
      <c r="I93" s="498"/>
      <c r="J93" s="141"/>
      <c r="K93" s="84"/>
      <c r="L93" s="84"/>
      <c r="M93" s="142"/>
      <c r="N93" s="498"/>
      <c r="O93" s="141"/>
      <c r="P93" s="84"/>
      <c r="Q93" s="84"/>
      <c r="R93" s="142"/>
      <c r="S93" s="498"/>
      <c r="T93" s="141"/>
      <c r="U93" s="84"/>
      <c r="V93" s="84"/>
      <c r="W93" s="142"/>
      <c r="X93" s="498"/>
      <c r="Y93" s="141"/>
      <c r="Z93" s="84"/>
      <c r="AA93" s="84"/>
      <c r="AB93" s="142"/>
      <c r="AC93" s="498"/>
      <c r="AD93" s="141"/>
      <c r="AE93" s="84"/>
      <c r="AF93" s="84"/>
      <c r="AG93" s="142"/>
      <c r="AH93" s="498"/>
      <c r="AI93" s="141"/>
      <c r="AJ93" s="84"/>
      <c r="AK93" s="84"/>
      <c r="AL93" s="142"/>
      <c r="AM93" s="498"/>
      <c r="AN93" s="141"/>
      <c r="AO93" s="84"/>
      <c r="AP93" s="84"/>
      <c r="AQ93" s="142"/>
      <c r="AR93" s="498"/>
      <c r="AS93" s="141"/>
      <c r="AT93" s="84"/>
      <c r="AU93" s="84"/>
      <c r="AV93" s="142"/>
      <c r="AW93" s="498"/>
      <c r="AX93" s="141"/>
      <c r="AY93" s="84"/>
      <c r="AZ93" s="84"/>
      <c r="BA93" s="142"/>
      <c r="BB93" s="498"/>
      <c r="BC93" s="141"/>
      <c r="BD93" s="84"/>
      <c r="BE93" s="84"/>
      <c r="BF93" s="142"/>
      <c r="BG93" s="498"/>
      <c r="BH93" s="141"/>
      <c r="BI93" s="84"/>
      <c r="BJ93" s="84"/>
      <c r="BK93" s="142"/>
      <c r="BL93" s="498"/>
      <c r="BM93" s="141"/>
      <c r="BN93" s="84"/>
      <c r="BO93" s="84"/>
      <c r="BP93" s="142"/>
      <c r="BQ93" s="498"/>
      <c r="BR93" s="491"/>
      <c r="BS93" s="491"/>
      <c r="BT93" s="491"/>
    </row>
    <row r="94" spans="1:90" s="673" customFormat="1">
      <c r="A94" s="201"/>
      <c r="B94" s="668" t="s">
        <v>352</v>
      </c>
      <c r="C94" s="1185"/>
      <c r="D94" s="773"/>
      <c r="E94" s="674"/>
      <c r="F94" s="675"/>
      <c r="G94" s="675"/>
      <c r="H94" s="676"/>
      <c r="I94" s="677"/>
      <c r="J94" s="674"/>
      <c r="K94" s="675"/>
      <c r="L94" s="675"/>
      <c r="M94" s="680"/>
      <c r="N94" s="679"/>
      <c r="O94" s="674"/>
      <c r="P94" s="675"/>
      <c r="Q94" s="675"/>
      <c r="R94" s="680"/>
      <c r="S94" s="679"/>
      <c r="T94" s="674"/>
      <c r="U94" s="675"/>
      <c r="V94" s="675"/>
      <c r="W94" s="676"/>
      <c r="X94" s="679"/>
      <c r="Y94" s="674"/>
      <c r="Z94" s="675"/>
      <c r="AA94" s="675"/>
      <c r="AB94" s="680"/>
      <c r="AC94" s="679"/>
      <c r="AD94" s="674"/>
      <c r="AE94" s="675"/>
      <c r="AF94" s="675"/>
      <c r="AG94" s="680"/>
      <c r="AH94" s="679"/>
      <c r="AI94" s="674"/>
      <c r="AJ94" s="675"/>
      <c r="AK94" s="675"/>
      <c r="AL94" s="680"/>
      <c r="AM94" s="679"/>
      <c r="AN94" s="674"/>
      <c r="AO94" s="675"/>
      <c r="AP94" s="675"/>
      <c r="AQ94" s="680"/>
      <c r="AR94" s="679"/>
      <c r="AS94" s="674"/>
      <c r="AT94" s="675"/>
      <c r="AU94" s="675"/>
      <c r="AV94" s="680"/>
      <c r="AW94" s="679"/>
      <c r="AX94" s="674"/>
      <c r="AY94" s="675"/>
      <c r="AZ94" s="675"/>
      <c r="BA94" s="680"/>
      <c r="BB94" s="679"/>
      <c r="BC94" s="674"/>
      <c r="BD94" s="675"/>
      <c r="BE94" s="675"/>
      <c r="BF94" s="680"/>
      <c r="BG94" s="679"/>
      <c r="BH94" s="674"/>
      <c r="BI94" s="675"/>
      <c r="BJ94" s="675"/>
      <c r="BK94" s="680"/>
      <c r="BL94" s="679"/>
      <c r="BM94" s="674"/>
      <c r="BN94" s="675"/>
      <c r="BO94" s="675"/>
      <c r="BP94" s="680"/>
      <c r="BQ94" s="679"/>
      <c r="BR94" s="677"/>
      <c r="BS94" s="677"/>
      <c r="BT94" s="677"/>
      <c r="BU94"/>
      <c r="BV94"/>
      <c r="BW94"/>
      <c r="BX94"/>
      <c r="BY94"/>
      <c r="BZ94"/>
      <c r="CA94"/>
      <c r="CB94"/>
    </row>
    <row r="95" spans="1:90" s="693" customFormat="1">
      <c r="B95" s="93"/>
      <c r="C95" s="1203" t="s">
        <v>353</v>
      </c>
      <c r="E95" s="795"/>
      <c r="F95" s="694"/>
      <c r="G95" s="694"/>
      <c r="H95" s="695"/>
      <c r="I95" s="691"/>
      <c r="J95" s="487"/>
      <c r="K95" s="694"/>
      <c r="L95" s="694"/>
      <c r="M95" s="695"/>
      <c r="N95" s="691"/>
      <c r="O95" s="487"/>
      <c r="P95" s="694"/>
      <c r="Q95" s="694"/>
      <c r="R95" s="695"/>
      <c r="S95" s="691"/>
      <c r="T95" s="487">
        <f>S100</f>
        <v>2000</v>
      </c>
      <c r="U95" s="694">
        <f>T100</f>
        <v>2033</v>
      </c>
      <c r="V95" s="694">
        <f>U100</f>
        <v>2061</v>
      </c>
      <c r="W95" s="695">
        <f>V100</f>
        <v>2081</v>
      </c>
      <c r="X95" s="691">
        <f>T95</f>
        <v>2000</v>
      </c>
      <c r="Y95" s="487">
        <f>X100</f>
        <v>2389</v>
      </c>
      <c r="Z95" s="694">
        <f>Y100</f>
        <v>2450</v>
      </c>
      <c r="AA95" s="694">
        <f>Z100</f>
        <v>2519</v>
      </c>
      <c r="AB95" s="695">
        <f>AA100</f>
        <v>2596</v>
      </c>
      <c r="AC95" s="691">
        <f>Y95</f>
        <v>2389</v>
      </c>
      <c r="AD95" s="487">
        <f>AC100</f>
        <v>2771</v>
      </c>
      <c r="AE95" s="694">
        <f>AD100</f>
        <v>2958</v>
      </c>
      <c r="AF95" s="694">
        <f>AE100</f>
        <v>3312</v>
      </c>
      <c r="AG95" s="695">
        <f>AF100</f>
        <v>3558</v>
      </c>
      <c r="AH95" s="691">
        <f>AD95</f>
        <v>2771</v>
      </c>
      <c r="AI95" s="487">
        <f>AH100</f>
        <v>3973</v>
      </c>
      <c r="AJ95" s="694">
        <f>AI100</f>
        <v>4190</v>
      </c>
      <c r="AK95" s="694">
        <f>AJ100</f>
        <v>4449</v>
      </c>
      <c r="AL95" s="695">
        <f>AK100</f>
        <v>4557</v>
      </c>
      <c r="AM95" s="691">
        <f>AI95</f>
        <v>3973</v>
      </c>
      <c r="AN95" s="487">
        <f>AM100</f>
        <v>4769</v>
      </c>
      <c r="AO95" s="694">
        <f>AN100</f>
        <v>4984</v>
      </c>
      <c r="AP95" s="694">
        <f>AO100</f>
        <v>5191</v>
      </c>
      <c r="AQ95" s="695">
        <f>AP100</f>
        <v>5392</v>
      </c>
      <c r="AR95" s="691">
        <f>AN95</f>
        <v>4769</v>
      </c>
      <c r="AS95" s="487">
        <f>AR100</f>
        <v>5683</v>
      </c>
      <c r="AT95" s="694">
        <f>AS100</f>
        <v>5856</v>
      </c>
      <c r="AU95" s="694">
        <f t="shared" ref="AU95" si="166">AT100</f>
        <v>6047</v>
      </c>
      <c r="AV95" s="695">
        <f>AU100</f>
        <v>6236</v>
      </c>
      <c r="AW95" s="691">
        <f>AS95</f>
        <v>5683</v>
      </c>
      <c r="AX95" s="487">
        <f>AW100</f>
        <v>6489</v>
      </c>
      <c r="AY95" s="694">
        <f>AX100</f>
        <v>6706.2354166666664</v>
      </c>
      <c r="AZ95" s="694">
        <f>AY100</f>
        <v>6921.7062500000002</v>
      </c>
      <c r="BA95" s="695">
        <f>AZ100</f>
        <v>7135.4125000000004</v>
      </c>
      <c r="BB95" s="691">
        <f>AX95</f>
        <v>6489</v>
      </c>
      <c r="BC95" s="487">
        <f>BB100</f>
        <v>7347.354166666667</v>
      </c>
      <c r="BD95" s="694">
        <f>BC100</f>
        <v>7557.53125</v>
      </c>
      <c r="BE95" s="694">
        <f>BD100</f>
        <v>7765.9437500000004</v>
      </c>
      <c r="BF95" s="695">
        <f>BE100</f>
        <v>7972.5916666666672</v>
      </c>
      <c r="BG95" s="691">
        <f>BC95</f>
        <v>7347.354166666667</v>
      </c>
      <c r="BH95" s="487">
        <f>BG100</f>
        <v>8177.4750000000013</v>
      </c>
      <c r="BI95" s="694">
        <f>BH100</f>
        <v>8380.5937500000018</v>
      </c>
      <c r="BJ95" s="694">
        <f>BI100</f>
        <v>8581.9479166666679</v>
      </c>
      <c r="BK95" s="695">
        <f>BJ100</f>
        <v>8781.5375000000004</v>
      </c>
      <c r="BL95" s="691">
        <f>BH95</f>
        <v>8177.4750000000013</v>
      </c>
      <c r="BM95" s="487">
        <f>BL100</f>
        <v>8979.3625000000029</v>
      </c>
      <c r="BN95" s="694">
        <f>BM100</f>
        <v>9175.4229166666701</v>
      </c>
      <c r="BO95" s="694">
        <f>BN100</f>
        <v>9369.7187500000036</v>
      </c>
      <c r="BP95" s="695">
        <f>BO100</f>
        <v>9562.2500000000036</v>
      </c>
      <c r="BQ95" s="691">
        <f>BM95</f>
        <v>8979.3625000000029</v>
      </c>
      <c r="BR95" s="691"/>
      <c r="BS95" s="691"/>
      <c r="BT95" s="691"/>
      <c r="BU95"/>
      <c r="BV95"/>
      <c r="BW95"/>
      <c r="BX95"/>
      <c r="BY95"/>
      <c r="BZ95"/>
      <c r="CA95"/>
      <c r="CB95"/>
      <c r="CC95" s="15"/>
      <c r="CD95" s="15"/>
      <c r="CE95" s="684"/>
      <c r="CF95" s="684"/>
      <c r="CG95" s="684"/>
      <c r="CH95" s="684"/>
      <c r="CI95" s="684"/>
      <c r="CJ95" s="684"/>
      <c r="CK95" s="684"/>
      <c r="CL95" s="684"/>
    </row>
    <row r="96" spans="1:90" s="732" customFormat="1">
      <c r="A96" s="731"/>
      <c r="B96" s="96"/>
      <c r="C96" s="780" t="s">
        <v>354</v>
      </c>
      <c r="E96" s="715"/>
      <c r="F96" s="716"/>
      <c r="G96" s="716"/>
      <c r="H96" s="733"/>
      <c r="I96" s="691"/>
      <c r="J96" s="715"/>
      <c r="K96" s="716"/>
      <c r="L96" s="716"/>
      <c r="M96" s="717"/>
      <c r="N96" s="718"/>
      <c r="O96" s="715"/>
      <c r="P96" s="716"/>
      <c r="Q96" s="716"/>
      <c r="R96" s="717"/>
      <c r="S96" s="718"/>
      <c r="T96" s="715">
        <f>T83</f>
        <v>63</v>
      </c>
      <c r="U96" s="716">
        <f>U83</f>
        <v>59</v>
      </c>
      <c r="V96" s="716">
        <f>V83</f>
        <v>47</v>
      </c>
      <c r="W96" s="733">
        <f>W83</f>
        <v>338</v>
      </c>
      <c r="X96" s="718">
        <f>SUM(T96:W96)</f>
        <v>507</v>
      </c>
      <c r="Y96" s="715">
        <f>Y83</f>
        <v>89</v>
      </c>
      <c r="Z96" s="716">
        <f>Z83</f>
        <v>97</v>
      </c>
      <c r="AA96" s="716">
        <f>AA83</f>
        <v>105</v>
      </c>
      <c r="AB96" s="733">
        <f>AB83</f>
        <v>205</v>
      </c>
      <c r="AC96" s="718">
        <f>SUM(Y96:AB96)</f>
        <v>496</v>
      </c>
      <c r="AD96" s="715">
        <f>AD83</f>
        <v>217</v>
      </c>
      <c r="AE96" s="716">
        <f>AE83</f>
        <v>384</v>
      </c>
      <c r="AF96" s="716">
        <f>AF83</f>
        <v>279</v>
      </c>
      <c r="AG96" s="733">
        <f>AG83</f>
        <v>449</v>
      </c>
      <c r="AH96" s="718">
        <f>SUM(AD96:AG96)</f>
        <v>1329</v>
      </c>
      <c r="AI96" s="715">
        <f>AI83</f>
        <v>254</v>
      </c>
      <c r="AJ96" s="716">
        <f>AJ83</f>
        <v>297</v>
      </c>
      <c r="AK96" s="716">
        <f>AK83</f>
        <v>149</v>
      </c>
      <c r="AL96" s="733">
        <f>AL83</f>
        <v>252</v>
      </c>
      <c r="AM96" s="718">
        <f>SUM(AI96:AL96)</f>
        <v>952</v>
      </c>
      <c r="AN96" s="715">
        <f>AN83</f>
        <v>258</v>
      </c>
      <c r="AO96" s="716">
        <f>AO83</f>
        <v>251</v>
      </c>
      <c r="AP96" s="716">
        <f>AP83</f>
        <v>246</v>
      </c>
      <c r="AQ96" s="733">
        <f>AQ83</f>
        <v>346</v>
      </c>
      <c r="AR96" s="718">
        <f>SUM(AN96:AQ96)</f>
        <v>1101</v>
      </c>
      <c r="AS96" s="715">
        <f>AS83</f>
        <v>224</v>
      </c>
      <c r="AT96" s="716">
        <f>AT83</f>
        <v>245</v>
      </c>
      <c r="AU96" s="716">
        <f t="shared" ref="AU96" si="167">AU83</f>
        <v>248</v>
      </c>
      <c r="AV96" s="733">
        <f>AV83</f>
        <v>313</v>
      </c>
      <c r="AW96" s="718">
        <f>SUM(AS96:AV96)</f>
        <v>1030</v>
      </c>
      <c r="AX96" s="715">
        <f>AX83</f>
        <v>275</v>
      </c>
      <c r="AY96" s="716">
        <f>AY83</f>
        <v>275</v>
      </c>
      <c r="AZ96" s="716">
        <f>AZ83</f>
        <v>275</v>
      </c>
      <c r="BA96" s="733">
        <f>BA83</f>
        <v>275</v>
      </c>
      <c r="BB96" s="718">
        <f>SUM(AX96:BA96)</f>
        <v>1100</v>
      </c>
      <c r="BC96" s="715">
        <f>BC83</f>
        <v>275</v>
      </c>
      <c r="BD96" s="716">
        <f>BD83</f>
        <v>275</v>
      </c>
      <c r="BE96" s="716">
        <f>BE83</f>
        <v>275</v>
      </c>
      <c r="BF96" s="733">
        <f>BF83</f>
        <v>275</v>
      </c>
      <c r="BG96" s="718">
        <f>SUM(BC96:BF96)</f>
        <v>1100</v>
      </c>
      <c r="BH96" s="715">
        <f>BH83</f>
        <v>275</v>
      </c>
      <c r="BI96" s="716">
        <f>BI83</f>
        <v>275</v>
      </c>
      <c r="BJ96" s="716">
        <f>BJ83</f>
        <v>275</v>
      </c>
      <c r="BK96" s="733">
        <f>BK83</f>
        <v>275</v>
      </c>
      <c r="BL96" s="718">
        <f>SUM(BH96:BK96)</f>
        <v>1100</v>
      </c>
      <c r="BM96" s="715">
        <f>BM83</f>
        <v>275</v>
      </c>
      <c r="BN96" s="716">
        <f>BN83</f>
        <v>275</v>
      </c>
      <c r="BO96" s="716">
        <f>BO83</f>
        <v>275</v>
      </c>
      <c r="BP96" s="733">
        <f>BP83</f>
        <v>275</v>
      </c>
      <c r="BQ96" s="718">
        <f>SUM(BM96:BP96)</f>
        <v>1100</v>
      </c>
      <c r="BR96" s="691"/>
      <c r="BS96" s="691"/>
      <c r="BT96" s="691"/>
      <c r="BU96"/>
      <c r="BV96"/>
      <c r="BW96"/>
      <c r="BX96"/>
      <c r="BY96"/>
      <c r="BZ96"/>
      <c r="CA96"/>
      <c r="CB96"/>
      <c r="CC96"/>
      <c r="CD96"/>
      <c r="CE96" s="684"/>
      <c r="CF96" s="684"/>
      <c r="CG96" s="684"/>
      <c r="CH96" s="684"/>
      <c r="CI96" s="684"/>
      <c r="CJ96" s="684"/>
      <c r="CK96" s="684"/>
      <c r="CL96" s="684"/>
    </row>
    <row r="97" spans="1:90" s="732" customFormat="1">
      <c r="A97" s="731"/>
      <c r="B97" s="96"/>
      <c r="C97" s="780" t="s">
        <v>221</v>
      </c>
      <c r="E97" s="715"/>
      <c r="F97" s="716"/>
      <c r="G97" s="716"/>
      <c r="H97" s="733"/>
      <c r="I97" s="691"/>
      <c r="J97" s="715"/>
      <c r="K97" s="716"/>
      <c r="L97" s="716"/>
      <c r="M97" s="717"/>
      <c r="N97" s="718"/>
      <c r="O97" s="715"/>
      <c r="P97" s="716"/>
      <c r="Q97" s="716"/>
      <c r="R97" s="717"/>
      <c r="S97" s="718"/>
      <c r="T97" s="715">
        <f>+-T11</f>
        <v>-30</v>
      </c>
      <c r="U97" s="716">
        <f>+-U11</f>
        <v>-31</v>
      </c>
      <c r="V97" s="716">
        <f>+-V11</f>
        <v>-27</v>
      </c>
      <c r="W97" s="733">
        <f>+-W11</f>
        <v>-30</v>
      </c>
      <c r="X97" s="718">
        <f>SUM(T97:W97)</f>
        <v>-118</v>
      </c>
      <c r="Y97" s="715">
        <f>+-Y11</f>
        <v>-28</v>
      </c>
      <c r="Z97" s="716">
        <f>+-Z11</f>
        <v>-28</v>
      </c>
      <c r="AA97" s="716">
        <f>+-AA11</f>
        <v>-28</v>
      </c>
      <c r="AB97" s="733">
        <f>+-AB11</f>
        <v>-30</v>
      </c>
      <c r="AC97" s="718">
        <f>SUM(Y97:AB97)</f>
        <v>-114</v>
      </c>
      <c r="AD97" s="715">
        <f>+-AD11</f>
        <v>-30</v>
      </c>
      <c r="AE97" s="716">
        <f>+-AE11</f>
        <v>-30</v>
      </c>
      <c r="AF97" s="716">
        <f>+-AF11</f>
        <v>-33</v>
      </c>
      <c r="AG97" s="733">
        <f>+-AG11</f>
        <v>-34</v>
      </c>
      <c r="AH97" s="718">
        <f>SUM(AD97:AG97)</f>
        <v>-127</v>
      </c>
      <c r="AI97" s="715">
        <f>+-AI11</f>
        <v>-37</v>
      </c>
      <c r="AJ97" s="716">
        <f>+-AJ11</f>
        <v>-38</v>
      </c>
      <c r="AK97" s="716">
        <f>+-AK11</f>
        <v>-41</v>
      </c>
      <c r="AL97" s="733">
        <f>+-AL11</f>
        <v>-40</v>
      </c>
      <c r="AM97" s="718">
        <f>SUM(AI97:AL97)</f>
        <v>-156</v>
      </c>
      <c r="AN97" s="715">
        <f>+-AN11</f>
        <v>-43</v>
      </c>
      <c r="AO97" s="716">
        <f>+-AO11</f>
        <v>-44</v>
      </c>
      <c r="AP97" s="716">
        <f>+-AP11</f>
        <v>-45</v>
      </c>
      <c r="AQ97" s="733">
        <f>+-AQ11</f>
        <v>-55</v>
      </c>
      <c r="AR97" s="718">
        <f>SUM(AN97:AQ97)</f>
        <v>-187</v>
      </c>
      <c r="AS97" s="715">
        <f>+-AS11</f>
        <v>-51</v>
      </c>
      <c r="AT97" s="716">
        <f>+-AT11</f>
        <v>-54</v>
      </c>
      <c r="AU97" s="716">
        <f t="shared" ref="AU97" si="168">+-AU11</f>
        <v>-59</v>
      </c>
      <c r="AV97" s="733">
        <f>+-AV11</f>
        <v>-60</v>
      </c>
      <c r="AW97" s="718">
        <f>SUM(AS97:AV97)</f>
        <v>-224</v>
      </c>
      <c r="AX97" s="715">
        <f>+-AX11</f>
        <v>-57.764583333333334</v>
      </c>
      <c r="AY97" s="716">
        <f>+-AY11</f>
        <v>-59.529166666666661</v>
      </c>
      <c r="AZ97" s="716">
        <f>+-AZ11</f>
        <v>-61.293749999999996</v>
      </c>
      <c r="BA97" s="733">
        <f>+-BA11</f>
        <v>-63.05833333333333</v>
      </c>
      <c r="BB97" s="718">
        <f>SUM(AX97:BA97)</f>
        <v>-241.64583333333331</v>
      </c>
      <c r="BC97" s="715">
        <f>+-BC11</f>
        <v>-64.822916666666657</v>
      </c>
      <c r="BD97" s="716">
        <f>+-BD11</f>
        <v>-66.587499999999991</v>
      </c>
      <c r="BE97" s="716">
        <f>+-BE11</f>
        <v>-68.352083333333326</v>
      </c>
      <c r="BF97" s="733">
        <f>+-BF11</f>
        <v>-70.11666666666666</v>
      </c>
      <c r="BG97" s="718">
        <f>SUM(BC97:BF97)</f>
        <v>-269.87916666666666</v>
      </c>
      <c r="BH97" s="715">
        <f>+-BH11</f>
        <v>-71.881249999999994</v>
      </c>
      <c r="BI97" s="716">
        <f>+-BI11</f>
        <v>-73.645833333333329</v>
      </c>
      <c r="BJ97" s="716">
        <f>+-BJ11</f>
        <v>-75.410416666666663</v>
      </c>
      <c r="BK97" s="733">
        <f>+-BK11</f>
        <v>-77.174999999999997</v>
      </c>
      <c r="BL97" s="718">
        <f>SUM(BH97:BK97)</f>
        <v>-298.11250000000001</v>
      </c>
      <c r="BM97" s="715">
        <f>+-BM11</f>
        <v>-78.939583333333331</v>
      </c>
      <c r="BN97" s="716">
        <f>+-BN11</f>
        <v>-80.704166666666666</v>
      </c>
      <c r="BO97" s="716">
        <f>+-BO11</f>
        <v>-82.46875</v>
      </c>
      <c r="BP97" s="733">
        <f>+-BP11</f>
        <v>-84.233333333333334</v>
      </c>
      <c r="BQ97" s="718">
        <f>SUM(BM97:BP97)</f>
        <v>-326.34583333333336</v>
      </c>
      <c r="BR97" s="691"/>
      <c r="BS97" s="691"/>
      <c r="BT97" s="691"/>
      <c r="BU97"/>
      <c r="BV97"/>
      <c r="BW97"/>
      <c r="BX97"/>
      <c r="BY97"/>
      <c r="BZ97"/>
      <c r="CA97"/>
      <c r="CB97"/>
      <c r="CC97"/>
      <c r="CD97"/>
      <c r="CE97" s="684"/>
      <c r="CF97" s="684"/>
      <c r="CG97" s="684"/>
      <c r="CH97" s="684"/>
      <c r="CI97" s="684"/>
      <c r="CJ97" s="684"/>
      <c r="CK97" s="684"/>
      <c r="CL97" s="684"/>
    </row>
    <row r="98" spans="1:90" s="732" customFormat="1">
      <c r="A98" s="731"/>
      <c r="B98" s="96"/>
      <c r="C98" s="780" t="s">
        <v>230</v>
      </c>
      <c r="E98" s="715"/>
      <c r="F98" s="716"/>
      <c r="G98" s="716"/>
      <c r="H98" s="733"/>
      <c r="I98" s="691"/>
      <c r="J98" s="734"/>
      <c r="K98" s="735"/>
      <c r="L98" s="735"/>
      <c r="M98" s="736"/>
      <c r="N98" s="718"/>
      <c r="O98" s="734"/>
      <c r="P98" s="735"/>
      <c r="Q98" s="735"/>
      <c r="R98" s="736"/>
      <c r="S98" s="718"/>
      <c r="T98" s="734">
        <v>0</v>
      </c>
      <c r="U98" s="735">
        <v>0</v>
      </c>
      <c r="V98" s="735">
        <v>0</v>
      </c>
      <c r="W98" s="736">
        <v>0</v>
      </c>
      <c r="X98" s="718">
        <f>SUM(T98:W98)</f>
        <v>0</v>
      </c>
      <c r="Y98" s="734">
        <v>0</v>
      </c>
      <c r="Z98" s="735">
        <v>0</v>
      </c>
      <c r="AA98" s="735">
        <v>0</v>
      </c>
      <c r="AB98" s="736">
        <v>0</v>
      </c>
      <c r="AC98" s="718">
        <f>SUM(Y98:AB98)</f>
        <v>0</v>
      </c>
      <c r="AD98" s="734">
        <v>0</v>
      </c>
      <c r="AE98" s="735">
        <v>0</v>
      </c>
      <c r="AF98" s="735">
        <v>0</v>
      </c>
      <c r="AG98" s="736">
        <v>0</v>
      </c>
      <c r="AH98" s="718">
        <f>SUM(AD98:AG98)</f>
        <v>0</v>
      </c>
      <c r="AI98" s="734">
        <v>0</v>
      </c>
      <c r="AJ98" s="735">
        <v>0</v>
      </c>
      <c r="AK98" s="735">
        <v>0</v>
      </c>
      <c r="AL98" s="736">
        <v>0</v>
      </c>
      <c r="AM98" s="718">
        <f>SUM(AI98:AL98)</f>
        <v>0</v>
      </c>
      <c r="AN98" s="734">
        <v>0</v>
      </c>
      <c r="AO98" s="735">
        <v>0</v>
      </c>
      <c r="AP98" s="735">
        <v>0</v>
      </c>
      <c r="AQ98" s="736">
        <v>0</v>
      </c>
      <c r="AR98" s="718">
        <f>SUM(AN98:AQ98)</f>
        <v>0</v>
      </c>
      <c r="AS98" s="734">
        <v>0</v>
      </c>
      <c r="AT98" s="735">
        <v>0</v>
      </c>
      <c r="AU98" s="735">
        <v>0</v>
      </c>
      <c r="AV98" s="736">
        <v>0</v>
      </c>
      <c r="AW98" s="718">
        <f>SUM(AS98:AV98)</f>
        <v>0</v>
      </c>
      <c r="AX98" s="734">
        <v>0</v>
      </c>
      <c r="AY98" s="735">
        <v>0</v>
      </c>
      <c r="AZ98" s="735">
        <v>0</v>
      </c>
      <c r="BA98" s="736">
        <v>0</v>
      </c>
      <c r="BB98" s="718">
        <f>SUM(AX98:BA98)</f>
        <v>0</v>
      </c>
      <c r="BC98" s="734">
        <v>0</v>
      </c>
      <c r="BD98" s="735">
        <v>0</v>
      </c>
      <c r="BE98" s="735">
        <v>0</v>
      </c>
      <c r="BF98" s="736">
        <v>0</v>
      </c>
      <c r="BG98" s="718">
        <f>SUM(BC98:BF98)</f>
        <v>0</v>
      </c>
      <c r="BH98" s="734">
        <v>0</v>
      </c>
      <c r="BI98" s="735">
        <v>0</v>
      </c>
      <c r="BJ98" s="735">
        <v>0</v>
      </c>
      <c r="BK98" s="736">
        <v>0</v>
      </c>
      <c r="BL98" s="718">
        <f>SUM(BH98:BK98)</f>
        <v>0</v>
      </c>
      <c r="BM98" s="734">
        <v>0</v>
      </c>
      <c r="BN98" s="735">
        <v>0</v>
      </c>
      <c r="BO98" s="735">
        <v>0</v>
      </c>
      <c r="BP98" s="736">
        <v>0</v>
      </c>
      <c r="BQ98" s="718">
        <f>SUM(BM98:BP98)</f>
        <v>0</v>
      </c>
      <c r="BR98" s="691"/>
      <c r="BS98" s="691"/>
      <c r="BT98" s="691"/>
      <c r="BU98"/>
      <c r="BV98"/>
      <c r="BW98"/>
      <c r="BX98"/>
      <c r="BY98"/>
      <c r="BZ98"/>
      <c r="CA98"/>
      <c r="CB98"/>
      <c r="CC98"/>
      <c r="CD98"/>
      <c r="CE98" s="720"/>
      <c r="CF98" s="720"/>
      <c r="CG98" s="720"/>
      <c r="CH98" s="720"/>
      <c r="CI98" s="720"/>
      <c r="CJ98" s="720"/>
      <c r="CK98" s="720"/>
      <c r="CL98" s="720"/>
    </row>
    <row r="99" spans="1:90" s="732" customFormat="1">
      <c r="A99" s="731"/>
      <c r="B99" s="96"/>
      <c r="C99" s="780" t="s">
        <v>231</v>
      </c>
      <c r="E99" s="715"/>
      <c r="F99" s="716"/>
      <c r="G99" s="716"/>
      <c r="H99" s="733"/>
      <c r="I99" s="691"/>
      <c r="J99" s="734"/>
      <c r="K99" s="735"/>
      <c r="L99" s="735"/>
      <c r="M99" s="736"/>
      <c r="N99" s="718"/>
      <c r="O99" s="734"/>
      <c r="P99" s="735"/>
      <c r="Q99" s="735"/>
      <c r="R99" s="736"/>
      <c r="S99" s="718"/>
      <c r="T99" s="734">
        <v>0</v>
      </c>
      <c r="U99" s="735">
        <v>0</v>
      </c>
      <c r="V99" s="735">
        <v>0</v>
      </c>
      <c r="W99" s="736">
        <v>0</v>
      </c>
      <c r="X99" s="718">
        <f>SUM(T99:W99)</f>
        <v>0</v>
      </c>
      <c r="Y99" s="734">
        <v>0</v>
      </c>
      <c r="Z99" s="735">
        <v>0</v>
      </c>
      <c r="AA99" s="735">
        <v>0</v>
      </c>
      <c r="AB99" s="736">
        <v>0</v>
      </c>
      <c r="AC99" s="718">
        <f>SUM(Y99:AB99)</f>
        <v>0</v>
      </c>
      <c r="AD99" s="734">
        <v>0</v>
      </c>
      <c r="AE99" s="735">
        <v>0</v>
      </c>
      <c r="AF99" s="735">
        <v>0</v>
      </c>
      <c r="AG99" s="736">
        <v>0</v>
      </c>
      <c r="AH99" s="718">
        <f>SUM(AD99:AG99)</f>
        <v>0</v>
      </c>
      <c r="AI99" s="734">
        <v>0</v>
      </c>
      <c r="AJ99" s="735">
        <v>0</v>
      </c>
      <c r="AK99" s="735">
        <v>0</v>
      </c>
      <c r="AL99" s="736">
        <v>0</v>
      </c>
      <c r="AM99" s="718">
        <f>SUM(AI99:AL99)</f>
        <v>0</v>
      </c>
      <c r="AN99" s="734">
        <v>0</v>
      </c>
      <c r="AO99" s="735">
        <v>0</v>
      </c>
      <c r="AP99" s="735">
        <v>0</v>
      </c>
      <c r="AQ99" s="736">
        <v>0</v>
      </c>
      <c r="AR99" s="718">
        <f>SUM(AN99:AQ99)</f>
        <v>0</v>
      </c>
      <c r="AS99" s="734">
        <v>0</v>
      </c>
      <c r="AT99" s="735">
        <v>0</v>
      </c>
      <c r="AU99" s="735">
        <v>0</v>
      </c>
      <c r="AV99" s="736">
        <v>0</v>
      </c>
      <c r="AW99" s="718">
        <f>SUM(AS99:AV99)</f>
        <v>0</v>
      </c>
      <c r="AX99" s="734">
        <v>0</v>
      </c>
      <c r="AY99" s="735">
        <v>0</v>
      </c>
      <c r="AZ99" s="735">
        <v>0</v>
      </c>
      <c r="BA99" s="736">
        <v>0</v>
      </c>
      <c r="BB99" s="718">
        <f>SUM(AX99:BA99)</f>
        <v>0</v>
      </c>
      <c r="BC99" s="734">
        <v>0</v>
      </c>
      <c r="BD99" s="735">
        <v>0</v>
      </c>
      <c r="BE99" s="735">
        <v>0</v>
      </c>
      <c r="BF99" s="736">
        <v>0</v>
      </c>
      <c r="BG99" s="718">
        <f>SUM(BC99:BF99)</f>
        <v>0</v>
      </c>
      <c r="BH99" s="734">
        <v>0</v>
      </c>
      <c r="BI99" s="735">
        <v>0</v>
      </c>
      <c r="BJ99" s="735">
        <v>0</v>
      </c>
      <c r="BK99" s="736">
        <v>0</v>
      </c>
      <c r="BL99" s="718">
        <f>SUM(BH99:BK99)</f>
        <v>0</v>
      </c>
      <c r="BM99" s="734">
        <v>0</v>
      </c>
      <c r="BN99" s="735">
        <v>0</v>
      </c>
      <c r="BO99" s="735">
        <v>0</v>
      </c>
      <c r="BP99" s="736">
        <v>0</v>
      </c>
      <c r="BQ99" s="718">
        <f>SUM(BM99:BP99)</f>
        <v>0</v>
      </c>
      <c r="BR99" s="691"/>
      <c r="BS99" s="691"/>
      <c r="BT99" s="691"/>
      <c r="BU99"/>
      <c r="BV99"/>
      <c r="BW99"/>
      <c r="BX99"/>
      <c r="BY99"/>
      <c r="BZ99"/>
      <c r="CA99"/>
      <c r="CB99"/>
    </row>
    <row r="100" spans="1:90" s="693" customFormat="1">
      <c r="B100" s="93"/>
      <c r="C100" s="1203" t="s">
        <v>355</v>
      </c>
      <c r="E100" s="487"/>
      <c r="F100" s="694"/>
      <c r="G100" s="694"/>
      <c r="H100" s="695"/>
      <c r="I100" s="691"/>
      <c r="J100" s="487"/>
      <c r="K100" s="694"/>
      <c r="L100" s="694"/>
      <c r="M100" s="695"/>
      <c r="N100" s="691"/>
      <c r="O100" s="487"/>
      <c r="P100" s="694"/>
      <c r="Q100" s="694"/>
      <c r="R100" s="695"/>
      <c r="S100" s="794">
        <v>2000</v>
      </c>
      <c r="T100" s="487">
        <f>SUM(T95:T99)</f>
        <v>2033</v>
      </c>
      <c r="U100" s="694">
        <f t="shared" ref="U100:AR100" si="169">SUM(U95:U99)</f>
        <v>2061</v>
      </c>
      <c r="V100" s="694">
        <f t="shared" si="169"/>
        <v>2081</v>
      </c>
      <c r="W100" s="695">
        <f t="shared" si="169"/>
        <v>2389</v>
      </c>
      <c r="X100" s="691">
        <f>SUM(X95:X99)</f>
        <v>2389</v>
      </c>
      <c r="Y100" s="487">
        <f>SUM(Y95:Y99)</f>
        <v>2450</v>
      </c>
      <c r="Z100" s="694">
        <f t="shared" si="169"/>
        <v>2519</v>
      </c>
      <c r="AA100" s="694">
        <f t="shared" si="169"/>
        <v>2596</v>
      </c>
      <c r="AB100" s="695">
        <f t="shared" si="169"/>
        <v>2771</v>
      </c>
      <c r="AC100" s="691">
        <f t="shared" si="169"/>
        <v>2771</v>
      </c>
      <c r="AD100" s="487">
        <f t="shared" si="169"/>
        <v>2958</v>
      </c>
      <c r="AE100" s="694">
        <f t="shared" si="169"/>
        <v>3312</v>
      </c>
      <c r="AF100" s="694">
        <f t="shared" si="169"/>
        <v>3558</v>
      </c>
      <c r="AG100" s="695">
        <f t="shared" si="169"/>
        <v>3973</v>
      </c>
      <c r="AH100" s="691">
        <f>SUM(AH95:AH99)</f>
        <v>3973</v>
      </c>
      <c r="AI100" s="487">
        <f t="shared" si="169"/>
        <v>4190</v>
      </c>
      <c r="AJ100" s="694">
        <f t="shared" si="169"/>
        <v>4449</v>
      </c>
      <c r="AK100" s="694">
        <f t="shared" si="169"/>
        <v>4557</v>
      </c>
      <c r="AL100" s="695">
        <f t="shared" si="169"/>
        <v>4769</v>
      </c>
      <c r="AM100" s="691">
        <f t="shared" si="169"/>
        <v>4769</v>
      </c>
      <c r="AN100" s="487">
        <f t="shared" si="169"/>
        <v>4984</v>
      </c>
      <c r="AO100" s="694">
        <f t="shared" ref="AO100:AP100" si="170">SUM(AO95:AO99)</f>
        <v>5191</v>
      </c>
      <c r="AP100" s="694">
        <f t="shared" si="170"/>
        <v>5392</v>
      </c>
      <c r="AQ100" s="695">
        <f t="shared" si="169"/>
        <v>5683</v>
      </c>
      <c r="AR100" s="691">
        <f t="shared" si="169"/>
        <v>5683</v>
      </c>
      <c r="AS100" s="487">
        <f t="shared" ref="AS100:AT100" si="171">SUM(AS95:AS99)</f>
        <v>5856</v>
      </c>
      <c r="AT100" s="694">
        <f t="shared" si="171"/>
        <v>6047</v>
      </c>
      <c r="AU100" s="694">
        <f t="shared" ref="AU100:AW100" si="172">SUM(AU95:AU99)</f>
        <v>6236</v>
      </c>
      <c r="AV100" s="695">
        <f t="shared" si="172"/>
        <v>6489</v>
      </c>
      <c r="AW100" s="691">
        <f t="shared" si="172"/>
        <v>6489</v>
      </c>
      <c r="AX100" s="487">
        <f t="shared" ref="AX100:BB100" si="173">SUM(AX95:AX99)</f>
        <v>6706.2354166666664</v>
      </c>
      <c r="AY100" s="694">
        <f t="shared" si="173"/>
        <v>6921.7062500000002</v>
      </c>
      <c r="AZ100" s="694">
        <f t="shared" si="173"/>
        <v>7135.4125000000004</v>
      </c>
      <c r="BA100" s="695">
        <f t="shared" si="173"/>
        <v>7347.354166666667</v>
      </c>
      <c r="BB100" s="691">
        <f t="shared" si="173"/>
        <v>7347.354166666667</v>
      </c>
      <c r="BC100" s="487">
        <f t="shared" ref="BC100:BL100" si="174">SUM(BC95:BC99)</f>
        <v>7557.53125</v>
      </c>
      <c r="BD100" s="694">
        <f t="shared" si="174"/>
        <v>7765.9437500000004</v>
      </c>
      <c r="BE100" s="694">
        <f t="shared" si="174"/>
        <v>7972.5916666666672</v>
      </c>
      <c r="BF100" s="695">
        <f t="shared" si="174"/>
        <v>8177.4750000000004</v>
      </c>
      <c r="BG100" s="691">
        <f t="shared" si="174"/>
        <v>8177.4750000000013</v>
      </c>
      <c r="BH100" s="487">
        <f t="shared" si="174"/>
        <v>8380.5937500000018</v>
      </c>
      <c r="BI100" s="694">
        <f t="shared" si="174"/>
        <v>8581.9479166666679</v>
      </c>
      <c r="BJ100" s="694">
        <f t="shared" si="174"/>
        <v>8781.5375000000004</v>
      </c>
      <c r="BK100" s="695">
        <f t="shared" si="174"/>
        <v>8979.3625000000011</v>
      </c>
      <c r="BL100" s="691">
        <f t="shared" si="174"/>
        <v>8979.3625000000029</v>
      </c>
      <c r="BM100" s="487">
        <f t="shared" ref="BM100:BQ100" si="175">SUM(BM95:BM99)</f>
        <v>9175.4229166666701</v>
      </c>
      <c r="BN100" s="694">
        <f t="shared" si="175"/>
        <v>9369.7187500000036</v>
      </c>
      <c r="BO100" s="694">
        <f t="shared" si="175"/>
        <v>9562.2500000000036</v>
      </c>
      <c r="BP100" s="695">
        <f t="shared" si="175"/>
        <v>9753.0166666666701</v>
      </c>
      <c r="BQ100" s="691">
        <f t="shared" si="175"/>
        <v>9753.0166666666701</v>
      </c>
      <c r="BR100" s="691"/>
      <c r="BS100" s="691"/>
      <c r="BT100" s="691"/>
      <c r="BU100"/>
      <c r="BV100"/>
      <c r="BW100"/>
      <c r="BX100"/>
      <c r="BY100"/>
      <c r="BZ100"/>
      <c r="CA100"/>
      <c r="CB100"/>
    </row>
    <row r="101" spans="1:90" s="732" customFormat="1">
      <c r="A101" s="731"/>
      <c r="B101" s="96"/>
      <c r="C101" s="1203"/>
      <c r="E101" s="715"/>
      <c r="F101" s="716"/>
      <c r="G101" s="716"/>
      <c r="H101" s="733"/>
      <c r="I101" s="691"/>
      <c r="J101" s="715"/>
      <c r="K101" s="716"/>
      <c r="L101" s="716"/>
      <c r="M101" s="717"/>
      <c r="N101" s="718"/>
      <c r="O101" s="715"/>
      <c r="P101" s="716"/>
      <c r="Q101" s="716"/>
      <c r="R101" s="717"/>
      <c r="S101" s="718"/>
      <c r="T101" s="715"/>
      <c r="U101" s="716"/>
      <c r="V101" s="716"/>
      <c r="W101" s="717"/>
      <c r="X101" s="718"/>
      <c r="Y101" s="715"/>
      <c r="Z101" s="716"/>
      <c r="AA101" s="716"/>
      <c r="AB101" s="717"/>
      <c r="AC101" s="718"/>
      <c r="AD101" s="715"/>
      <c r="AE101" s="716"/>
      <c r="AF101" s="716"/>
      <c r="AG101" s="717"/>
      <c r="AH101" s="718"/>
      <c r="AI101" s="715"/>
      <c r="AJ101" s="716"/>
      <c r="AK101" s="716"/>
      <c r="AL101" s="717"/>
      <c r="AM101" s="718"/>
      <c r="AN101" s="715"/>
      <c r="AO101" s="716"/>
      <c r="AP101" s="716"/>
      <c r="AQ101" s="717"/>
      <c r="AR101" s="718"/>
      <c r="AS101" s="715"/>
      <c r="AT101" s="716"/>
      <c r="AU101" s="716"/>
      <c r="AV101" s="717"/>
      <c r="AW101" s="718"/>
      <c r="AX101" s="715"/>
      <c r="AY101" s="716"/>
      <c r="AZ101" s="716"/>
      <c r="BA101" s="717"/>
      <c r="BB101" s="718"/>
      <c r="BC101" s="715"/>
      <c r="BD101" s="716"/>
      <c r="BE101" s="716"/>
      <c r="BF101" s="717"/>
      <c r="BG101" s="718"/>
      <c r="BH101" s="715"/>
      <c r="BI101" s="716"/>
      <c r="BJ101" s="716"/>
      <c r="BK101" s="717"/>
      <c r="BL101" s="718"/>
      <c r="BM101" s="715"/>
      <c r="BN101" s="716"/>
      <c r="BO101" s="716"/>
      <c r="BP101" s="717"/>
      <c r="BQ101" s="718"/>
      <c r="BR101" s="691"/>
      <c r="BS101" s="691"/>
      <c r="BT101" s="691"/>
      <c r="BU101"/>
      <c r="BV101"/>
      <c r="BW101"/>
      <c r="BX101"/>
      <c r="BY101"/>
      <c r="BZ101"/>
      <c r="CA101"/>
      <c r="CB101"/>
    </row>
    <row r="102" spans="1:90" s="693" customFormat="1">
      <c r="B102" s="93"/>
      <c r="C102" s="1203" t="s">
        <v>368</v>
      </c>
      <c r="E102" s="487"/>
      <c r="F102" s="694"/>
      <c r="G102" s="694"/>
      <c r="H102" s="695"/>
      <c r="I102" s="691"/>
      <c r="J102" s="487"/>
      <c r="K102" s="694"/>
      <c r="L102" s="694"/>
      <c r="M102" s="695"/>
      <c r="N102" s="691"/>
      <c r="O102" s="487"/>
      <c r="P102" s="694"/>
      <c r="Q102" s="694"/>
      <c r="R102" s="695"/>
      <c r="S102" s="691">
        <f>AVERAGE(S100,N100)</f>
        <v>2000</v>
      </c>
      <c r="T102" s="487"/>
      <c r="U102" s="694"/>
      <c r="V102" s="694"/>
      <c r="W102" s="695"/>
      <c r="X102" s="691">
        <f>AVERAGE(X100,S100)</f>
        <v>2194.5</v>
      </c>
      <c r="Y102" s="487"/>
      <c r="Z102" s="694"/>
      <c r="AA102" s="694"/>
      <c r="AB102" s="695"/>
      <c r="AC102" s="691">
        <f>AVERAGE(AC100,X100)</f>
        <v>2580</v>
      </c>
      <c r="AD102" s="487"/>
      <c r="AE102" s="694"/>
      <c r="AF102" s="694"/>
      <c r="AG102" s="695"/>
      <c r="AH102" s="691">
        <f>AVERAGE(AH100,AC100)</f>
        <v>3372</v>
      </c>
      <c r="AI102" s="487"/>
      <c r="AJ102" s="694"/>
      <c r="AK102" s="694"/>
      <c r="AL102" s="695"/>
      <c r="AM102" s="691">
        <f>AVERAGE(AM100,AH100)</f>
        <v>4371</v>
      </c>
      <c r="AN102" s="487"/>
      <c r="AO102" s="694"/>
      <c r="AP102" s="694"/>
      <c r="AQ102" s="695"/>
      <c r="AR102" s="691">
        <f>AVERAGE(AR100,AM100)</f>
        <v>5226</v>
      </c>
      <c r="AS102" s="487"/>
      <c r="AT102" s="694"/>
      <c r="AU102" s="694"/>
      <c r="AV102" s="695"/>
      <c r="AW102" s="691">
        <f>AVERAGE(AW100,AR100)</f>
        <v>6086</v>
      </c>
      <c r="AX102" s="487"/>
      <c r="AY102" s="694"/>
      <c r="AZ102" s="694"/>
      <c r="BA102" s="695"/>
      <c r="BB102" s="691">
        <f>AVERAGE(BB100,AW100)</f>
        <v>6918.1770833333339</v>
      </c>
      <c r="BC102" s="487"/>
      <c r="BD102" s="694"/>
      <c r="BE102" s="694"/>
      <c r="BF102" s="695"/>
      <c r="BG102" s="691">
        <f>AVERAGE(BG100,BB100)</f>
        <v>7762.4145833333341</v>
      </c>
      <c r="BH102" s="487"/>
      <c r="BI102" s="694"/>
      <c r="BJ102" s="694"/>
      <c r="BK102" s="695"/>
      <c r="BL102" s="691">
        <f>AVERAGE(BL100,BG100)</f>
        <v>8578.4187500000025</v>
      </c>
      <c r="BM102" s="487"/>
      <c r="BN102" s="694"/>
      <c r="BO102" s="694"/>
      <c r="BP102" s="695"/>
      <c r="BQ102" s="691">
        <f>AVERAGE(BQ100,BL100)</f>
        <v>9366.1895833333365</v>
      </c>
      <c r="BR102" s="691"/>
      <c r="BS102" s="691"/>
      <c r="BT102" s="691"/>
      <c r="BU102"/>
      <c r="BV102"/>
      <c r="BW102"/>
      <c r="BX102"/>
      <c r="BY102"/>
      <c r="BZ102"/>
      <c r="CA102"/>
      <c r="CB102"/>
    </row>
    <row r="103" spans="1:90" s="1212" customFormat="1">
      <c r="B103" s="1213"/>
      <c r="C103" s="1214" t="s">
        <v>908</v>
      </c>
      <c r="E103" s="1215"/>
      <c r="F103" s="1216"/>
      <c r="G103" s="1216"/>
      <c r="H103" s="1217"/>
      <c r="I103" s="1218"/>
      <c r="J103" s="1215"/>
      <c r="K103" s="1216"/>
      <c r="L103" s="1216"/>
      <c r="M103" s="1217"/>
      <c r="N103" s="1218"/>
      <c r="O103" s="1215"/>
      <c r="P103" s="1216"/>
      <c r="Q103" s="1216"/>
      <c r="R103" s="1217"/>
      <c r="S103" s="1218"/>
      <c r="T103" s="1215"/>
      <c r="U103" s="1216"/>
      <c r="V103" s="1216"/>
      <c r="W103" s="1217"/>
      <c r="X103" s="376">
        <f>+X102/S102-1</f>
        <v>9.7250000000000059E-2</v>
      </c>
      <c r="Y103" s="1215"/>
      <c r="Z103" s="1216"/>
      <c r="AA103" s="1216"/>
      <c r="AB103" s="1217"/>
      <c r="AC103" s="376">
        <f>+AC102/X102-1</f>
        <v>0.17566643882433364</v>
      </c>
      <c r="AD103" s="1215"/>
      <c r="AE103" s="1216"/>
      <c r="AF103" s="1216"/>
      <c r="AG103" s="1217"/>
      <c r="AH103" s="376">
        <f>+AH102/AC102-1</f>
        <v>0.30697674418604648</v>
      </c>
      <c r="AI103" s="1215"/>
      <c r="AJ103" s="1216"/>
      <c r="AK103" s="1216"/>
      <c r="AL103" s="1217"/>
      <c r="AM103" s="376">
        <f>+AM102/AH102-1</f>
        <v>0.2962633451957295</v>
      </c>
      <c r="AN103" s="1215"/>
      <c r="AO103" s="1216"/>
      <c r="AP103" s="1216"/>
      <c r="AQ103" s="1217"/>
      <c r="AR103" s="376">
        <f>+AR102/AM102-1</f>
        <v>0.19560741249142066</v>
      </c>
      <c r="AS103" s="1215"/>
      <c r="AT103" s="1216"/>
      <c r="AU103" s="1216"/>
      <c r="AV103" s="1217"/>
      <c r="AW103" s="376">
        <f>+AW102/AR102-1</f>
        <v>0.16456180635285111</v>
      </c>
      <c r="AX103" s="1215"/>
      <c r="AY103" s="1216"/>
      <c r="AZ103" s="1216"/>
      <c r="BA103" s="1217"/>
      <c r="BB103" s="376">
        <f>+BB102/AW102-1</f>
        <v>0.13673629367948315</v>
      </c>
      <c r="BC103" s="1215"/>
      <c r="BD103" s="1216"/>
      <c r="BE103" s="1216"/>
      <c r="BF103" s="1217"/>
      <c r="BG103" s="376">
        <f>+BG102/BB102-1</f>
        <v>0.12203178522762359</v>
      </c>
      <c r="BH103" s="1215"/>
      <c r="BI103" s="1216"/>
      <c r="BJ103" s="1216"/>
      <c r="BK103" s="1217"/>
      <c r="BL103" s="376">
        <f>+BL102/BG102-1</f>
        <v>0.1051224664576289</v>
      </c>
      <c r="BM103" s="1215"/>
      <c r="BN103" s="1216"/>
      <c r="BO103" s="1216"/>
      <c r="BP103" s="1217"/>
      <c r="BQ103" s="376">
        <f>+BQ102/BL102-1</f>
        <v>9.1831706552368164E-2</v>
      </c>
      <c r="BR103" s="1218"/>
      <c r="BS103" s="1218"/>
      <c r="BT103" s="1218"/>
      <c r="BU103" s="22"/>
      <c r="BV103" s="22"/>
      <c r="BW103" s="22"/>
      <c r="BX103" s="22"/>
      <c r="BY103" s="22"/>
      <c r="BZ103" s="22"/>
      <c r="CA103" s="22"/>
      <c r="CB103" s="22"/>
    </row>
    <row r="104" spans="1:90" s="732" customFormat="1">
      <c r="A104" s="731"/>
      <c r="B104" s="96"/>
      <c r="C104" s="1203"/>
      <c r="E104" s="715"/>
      <c r="F104" s="716"/>
      <c r="G104" s="716"/>
      <c r="H104" s="733"/>
      <c r="I104" s="691"/>
      <c r="J104" s="715"/>
      <c r="K104" s="716"/>
      <c r="L104" s="716"/>
      <c r="M104" s="717"/>
      <c r="N104" s="718"/>
      <c r="O104" s="715"/>
      <c r="P104" s="716"/>
      <c r="Q104" s="716"/>
      <c r="R104" s="717"/>
      <c r="S104" s="718"/>
      <c r="T104" s="715"/>
      <c r="U104" s="716"/>
      <c r="V104" s="716"/>
      <c r="W104" s="717"/>
      <c r="X104" s="718"/>
      <c r="Y104" s="715"/>
      <c r="Z104" s="716"/>
      <c r="AA104" s="716"/>
      <c r="AB104" s="717"/>
      <c r="AC104" s="718"/>
      <c r="AD104" s="715"/>
      <c r="AE104" s="716"/>
      <c r="AF104" s="716"/>
      <c r="AG104" s="717"/>
      <c r="AH104" s="718"/>
      <c r="AI104" s="715"/>
      <c r="AJ104" s="716"/>
      <c r="AK104" s="716"/>
      <c r="AL104" s="717"/>
      <c r="AM104" s="718"/>
      <c r="AN104" s="715"/>
      <c r="AO104" s="716"/>
      <c r="AP104" s="716"/>
      <c r="AQ104" s="717"/>
      <c r="AR104" s="718"/>
      <c r="AS104" s="715"/>
      <c r="AT104" s="716"/>
      <c r="AU104" s="716"/>
      <c r="AV104" s="717"/>
      <c r="AW104" s="718"/>
      <c r="AX104" s="715"/>
      <c r="AY104" s="716"/>
      <c r="AZ104" s="716"/>
      <c r="BA104" s="717"/>
      <c r="BB104" s="718"/>
      <c r="BC104" s="715"/>
      <c r="BD104" s="716"/>
      <c r="BE104" s="716"/>
      <c r="BF104" s="717"/>
      <c r="BG104" s="718"/>
      <c r="BH104" s="715"/>
      <c r="BI104" s="716"/>
      <c r="BJ104" s="716"/>
      <c r="BK104" s="717"/>
      <c r="BL104" s="718"/>
      <c r="BM104" s="715"/>
      <c r="BN104" s="716"/>
      <c r="BO104" s="716"/>
      <c r="BP104" s="717"/>
      <c r="BQ104" s="718"/>
      <c r="BR104" s="691"/>
      <c r="BS104" s="691"/>
      <c r="BT104" s="691"/>
      <c r="BU104"/>
      <c r="BV104"/>
      <c r="BW104"/>
      <c r="BX104"/>
      <c r="BY104"/>
      <c r="BZ104"/>
      <c r="CA104"/>
      <c r="CB104"/>
    </row>
    <row r="105" spans="1:90" s="673" customFormat="1">
      <c r="A105" s="201"/>
      <c r="B105" s="96"/>
      <c r="C105" s="1203" t="s">
        <v>293</v>
      </c>
      <c r="E105" s="674"/>
      <c r="F105" s="675"/>
      <c r="G105" s="675"/>
      <c r="H105" s="676"/>
      <c r="I105" s="677"/>
      <c r="J105" s="674"/>
      <c r="K105" s="675"/>
      <c r="L105" s="675"/>
      <c r="M105" s="680"/>
      <c r="N105" s="679"/>
      <c r="O105" s="674"/>
      <c r="P105" s="675"/>
      <c r="Q105" s="675"/>
      <c r="R105" s="680"/>
      <c r="S105" s="679"/>
      <c r="T105" s="674"/>
      <c r="U105" s="675"/>
      <c r="V105" s="675"/>
      <c r="W105" s="680"/>
      <c r="X105" s="679"/>
      <c r="Y105" s="674"/>
      <c r="Z105" s="675"/>
      <c r="AA105" s="675"/>
      <c r="AB105" s="680"/>
      <c r="AC105" s="679"/>
      <c r="AD105" s="674"/>
      <c r="AE105" s="675"/>
      <c r="AF105" s="675"/>
      <c r="AG105" s="680"/>
      <c r="AH105" s="679"/>
      <c r="AI105" s="674"/>
      <c r="AJ105" s="675"/>
      <c r="AK105" s="675"/>
      <c r="AL105" s="680"/>
      <c r="AM105" s="679"/>
      <c r="AN105" s="674"/>
      <c r="AO105" s="675"/>
      <c r="AP105" s="675"/>
      <c r="AQ105" s="680"/>
      <c r="AR105" s="679"/>
      <c r="AS105" s="674"/>
      <c r="AT105" s="675"/>
      <c r="AU105" s="675"/>
      <c r="AV105" s="680"/>
      <c r="AW105" s="679"/>
      <c r="AX105" s="674"/>
      <c r="AY105" s="675"/>
      <c r="AZ105" s="675"/>
      <c r="BA105" s="680"/>
      <c r="BB105" s="679"/>
      <c r="BC105" s="674"/>
      <c r="BD105" s="675"/>
      <c r="BE105" s="675"/>
      <c r="BF105" s="680"/>
      <c r="BG105" s="679"/>
      <c r="BH105" s="674"/>
      <c r="BI105" s="675"/>
      <c r="BJ105" s="675"/>
      <c r="BK105" s="680"/>
      <c r="BL105" s="679"/>
      <c r="BM105" s="674"/>
      <c r="BN105" s="675"/>
      <c r="BO105" s="675"/>
      <c r="BP105" s="680"/>
      <c r="BQ105" s="679"/>
      <c r="BR105" s="677"/>
      <c r="BS105" s="677"/>
      <c r="BT105" s="677"/>
      <c r="BU105"/>
      <c r="BV105"/>
      <c r="BW105"/>
      <c r="BX105"/>
      <c r="BY105"/>
      <c r="BZ105"/>
      <c r="CA105"/>
      <c r="CB105"/>
    </row>
    <row r="106" spans="1:90" s="684" customFormat="1">
      <c r="A106" s="683"/>
      <c r="B106" s="498"/>
      <c r="C106" s="780" t="s">
        <v>643</v>
      </c>
      <c r="E106" s="685"/>
      <c r="F106" s="686"/>
      <c r="G106" s="686"/>
      <c r="H106" s="687"/>
      <c r="I106" s="688"/>
      <c r="J106" s="788"/>
      <c r="K106" s="753"/>
      <c r="L106" s="753"/>
      <c r="M106" s="789"/>
      <c r="N106" s="796"/>
      <c r="O106" s="788"/>
      <c r="P106" s="753"/>
      <c r="Q106" s="753"/>
      <c r="R106" s="789"/>
      <c r="S106" s="796">
        <v>0.5</v>
      </c>
      <c r="T106" s="696">
        <f>+S106</f>
        <v>0.5</v>
      </c>
      <c r="U106" s="697">
        <f t="shared" ref="U106:AR106" si="176">+T106</f>
        <v>0.5</v>
      </c>
      <c r="V106" s="697">
        <f>+U106</f>
        <v>0.5</v>
      </c>
      <c r="W106" s="698">
        <f t="shared" si="176"/>
        <v>0.5</v>
      </c>
      <c r="X106" s="853">
        <f t="shared" si="176"/>
        <v>0.5</v>
      </c>
      <c r="Y106" s="696">
        <f t="shared" si="176"/>
        <v>0.5</v>
      </c>
      <c r="Z106" s="697">
        <f t="shared" si="176"/>
        <v>0.5</v>
      </c>
      <c r="AA106" s="697">
        <f t="shared" si="176"/>
        <v>0.5</v>
      </c>
      <c r="AB106" s="698">
        <f t="shared" si="176"/>
        <v>0.5</v>
      </c>
      <c r="AC106" s="853">
        <f t="shared" si="176"/>
        <v>0.5</v>
      </c>
      <c r="AD106" s="696">
        <f t="shared" ref="AD106:AF109" si="177">AC106</f>
        <v>0.5</v>
      </c>
      <c r="AE106" s="697">
        <f t="shared" si="177"/>
        <v>0.5</v>
      </c>
      <c r="AF106" s="697">
        <f t="shared" si="177"/>
        <v>0.5</v>
      </c>
      <c r="AG106" s="698">
        <f t="shared" si="176"/>
        <v>0.5</v>
      </c>
      <c r="AH106" s="853">
        <f t="shared" si="176"/>
        <v>0.5</v>
      </c>
      <c r="AI106" s="696">
        <f t="shared" si="176"/>
        <v>0.5</v>
      </c>
      <c r="AJ106" s="697">
        <f t="shared" si="176"/>
        <v>0.5</v>
      </c>
      <c r="AK106" s="697">
        <f t="shared" si="176"/>
        <v>0.5</v>
      </c>
      <c r="AL106" s="698">
        <f t="shared" si="176"/>
        <v>0.5</v>
      </c>
      <c r="AM106" s="853">
        <f t="shared" si="176"/>
        <v>0.5</v>
      </c>
      <c r="AN106" s="696">
        <f t="shared" si="176"/>
        <v>0.5</v>
      </c>
      <c r="AO106" s="697">
        <f t="shared" si="176"/>
        <v>0.5</v>
      </c>
      <c r="AP106" s="697">
        <f t="shared" si="176"/>
        <v>0.5</v>
      </c>
      <c r="AQ106" s="698">
        <f t="shared" si="176"/>
        <v>0.5</v>
      </c>
      <c r="AR106" s="853">
        <f t="shared" si="176"/>
        <v>0.5</v>
      </c>
      <c r="AS106" s="696">
        <f t="shared" ref="AS106:BB106" si="178">+AR106</f>
        <v>0.5</v>
      </c>
      <c r="AT106" s="697">
        <f t="shared" si="178"/>
        <v>0.5</v>
      </c>
      <c r="AU106" s="697">
        <f t="shared" ref="AU106" si="179">+AT106</f>
        <v>0.5</v>
      </c>
      <c r="AV106" s="698">
        <f t="shared" ref="AV106" si="180">+AU106</f>
        <v>0.5</v>
      </c>
      <c r="AW106" s="853">
        <f t="shared" ref="AW106" si="181">+AV106</f>
        <v>0.5</v>
      </c>
      <c r="AX106" s="696">
        <f t="shared" si="178"/>
        <v>0.5</v>
      </c>
      <c r="AY106" s="697">
        <f t="shared" si="178"/>
        <v>0.5</v>
      </c>
      <c r="AZ106" s="697">
        <f t="shared" si="178"/>
        <v>0.5</v>
      </c>
      <c r="BA106" s="698">
        <f t="shared" si="178"/>
        <v>0.5</v>
      </c>
      <c r="BB106" s="853">
        <f t="shared" si="178"/>
        <v>0.5</v>
      </c>
      <c r="BC106" s="696">
        <f t="shared" ref="BC106:BL106" si="182">+BB106</f>
        <v>0.5</v>
      </c>
      <c r="BD106" s="697">
        <f t="shared" si="182"/>
        <v>0.5</v>
      </c>
      <c r="BE106" s="697">
        <f t="shared" si="182"/>
        <v>0.5</v>
      </c>
      <c r="BF106" s="698">
        <f t="shared" si="182"/>
        <v>0.5</v>
      </c>
      <c r="BG106" s="853">
        <f t="shared" si="182"/>
        <v>0.5</v>
      </c>
      <c r="BH106" s="696">
        <f t="shared" si="182"/>
        <v>0.5</v>
      </c>
      <c r="BI106" s="697">
        <f t="shared" si="182"/>
        <v>0.5</v>
      </c>
      <c r="BJ106" s="697">
        <f t="shared" si="182"/>
        <v>0.5</v>
      </c>
      <c r="BK106" s="698">
        <f t="shared" si="182"/>
        <v>0.5</v>
      </c>
      <c r="BL106" s="853">
        <f t="shared" si="182"/>
        <v>0.5</v>
      </c>
      <c r="BM106" s="696">
        <f t="shared" ref="BM106" si="183">+BL106</f>
        <v>0.5</v>
      </c>
      <c r="BN106" s="697">
        <f t="shared" ref="BN106" si="184">+BM106</f>
        <v>0.5</v>
      </c>
      <c r="BO106" s="697">
        <f t="shared" ref="BO106" si="185">+BN106</f>
        <v>0.5</v>
      </c>
      <c r="BP106" s="698">
        <f t="shared" ref="BP106" si="186">+BO106</f>
        <v>0.5</v>
      </c>
      <c r="BQ106" s="853">
        <f t="shared" ref="BQ106" si="187">+BP106</f>
        <v>0.5</v>
      </c>
      <c r="BR106" s="688"/>
      <c r="BS106" s="688"/>
      <c r="BT106" s="688"/>
      <c r="BU106"/>
      <c r="BV106"/>
      <c r="BW106"/>
      <c r="BX106"/>
      <c r="BY106"/>
      <c r="BZ106"/>
      <c r="CA106"/>
      <c r="CB106"/>
    </row>
    <row r="107" spans="1:90" s="684" customFormat="1">
      <c r="A107" s="683"/>
      <c r="B107" s="498"/>
      <c r="C107" s="1203"/>
      <c r="E107" s="685"/>
      <c r="F107" s="686"/>
      <c r="G107" s="686"/>
      <c r="H107" s="687"/>
      <c r="I107" s="688"/>
      <c r="J107" s="685"/>
      <c r="K107" s="686"/>
      <c r="L107" s="686"/>
      <c r="M107" s="689"/>
      <c r="N107" s="498"/>
      <c r="O107" s="685"/>
      <c r="P107" s="686"/>
      <c r="Q107" s="686"/>
      <c r="R107" s="689"/>
      <c r="S107" s="498"/>
      <c r="T107" s="685"/>
      <c r="U107" s="686"/>
      <c r="V107" s="686"/>
      <c r="W107" s="689"/>
      <c r="X107" s="498"/>
      <c r="Y107" s="685"/>
      <c r="Z107" s="686"/>
      <c r="AA107" s="686"/>
      <c r="AB107" s="689"/>
      <c r="AC107" s="498"/>
      <c r="AD107" s="685"/>
      <c r="AE107" s="686"/>
      <c r="AF107" s="686"/>
      <c r="AG107" s="689"/>
      <c r="AH107" s="498"/>
      <c r="AI107" s="685"/>
      <c r="AJ107" s="686"/>
      <c r="AK107" s="686"/>
      <c r="AL107" s="689"/>
      <c r="AM107" s="498"/>
      <c r="AN107" s="685"/>
      <c r="AO107" s="686"/>
      <c r="AP107" s="686"/>
      <c r="AQ107" s="689"/>
      <c r="AR107" s="498"/>
      <c r="AS107" s="685"/>
      <c r="AT107" s="686"/>
      <c r="AU107" s="686"/>
      <c r="AV107" s="689"/>
      <c r="AW107" s="498"/>
      <c r="AX107" s="685"/>
      <c r="AY107" s="686"/>
      <c r="AZ107" s="686"/>
      <c r="BA107" s="689"/>
      <c r="BB107" s="498"/>
      <c r="BC107" s="685"/>
      <c r="BD107" s="686"/>
      <c r="BE107" s="686"/>
      <c r="BF107" s="689"/>
      <c r="BG107" s="498"/>
      <c r="BH107" s="685"/>
      <c r="BI107" s="686"/>
      <c r="BJ107" s="686"/>
      <c r="BK107" s="689"/>
      <c r="BL107" s="498"/>
      <c r="BM107" s="685"/>
      <c r="BN107" s="686"/>
      <c r="BO107" s="686"/>
      <c r="BP107" s="689"/>
      <c r="BQ107" s="498"/>
      <c r="BR107" s="688"/>
      <c r="BS107" s="688"/>
      <c r="BT107" s="688"/>
      <c r="BU107"/>
      <c r="BV107"/>
      <c r="BW107"/>
      <c r="BX107"/>
      <c r="BY107"/>
      <c r="BZ107"/>
      <c r="CA107"/>
      <c r="CB107"/>
    </row>
    <row r="108" spans="1:90" s="684" customFormat="1">
      <c r="A108" s="683"/>
      <c r="B108" s="498"/>
      <c r="C108" s="1203" t="s">
        <v>365</v>
      </c>
      <c r="E108" s="685"/>
      <c r="F108" s="686"/>
      <c r="G108" s="686"/>
      <c r="H108" s="687"/>
      <c r="I108" s="688"/>
      <c r="J108" s="685"/>
      <c r="K108" s="686"/>
      <c r="L108" s="686"/>
      <c r="M108" s="689"/>
      <c r="N108" s="498"/>
      <c r="O108" s="685"/>
      <c r="P108" s="686"/>
      <c r="Q108" s="686"/>
      <c r="R108" s="689"/>
      <c r="S108" s="498"/>
      <c r="T108" s="685"/>
      <c r="U108" s="686"/>
      <c r="V108" s="686"/>
      <c r="W108" s="689"/>
      <c r="X108" s="498"/>
      <c r="Y108" s="685"/>
      <c r="Z108" s="686"/>
      <c r="AA108" s="686"/>
      <c r="AB108" s="689"/>
      <c r="AC108" s="498"/>
      <c r="AD108" s="685"/>
      <c r="AE108" s="686"/>
      <c r="AF108" s="686"/>
      <c r="AG108" s="689"/>
      <c r="AH108" s="498"/>
      <c r="AI108" s="685"/>
      <c r="AJ108" s="686"/>
      <c r="AK108" s="686"/>
      <c r="AL108" s="689"/>
      <c r="AM108" s="498"/>
      <c r="AN108" s="685"/>
      <c r="AO108" s="686"/>
      <c r="AP108" s="686"/>
      <c r="AQ108" s="689"/>
      <c r="AR108" s="498"/>
      <c r="AS108" s="685"/>
      <c r="AT108" s="686"/>
      <c r="AU108" s="686"/>
      <c r="AV108" s="689"/>
      <c r="AW108" s="498"/>
      <c r="AX108" s="685"/>
      <c r="AY108" s="686"/>
      <c r="AZ108" s="686"/>
      <c r="BA108" s="689"/>
      <c r="BB108" s="498"/>
      <c r="BC108" s="685"/>
      <c r="BD108" s="686"/>
      <c r="BE108" s="686"/>
      <c r="BF108" s="689"/>
      <c r="BG108" s="498"/>
      <c r="BH108" s="685"/>
      <c r="BI108" s="686"/>
      <c r="BJ108" s="686"/>
      <c r="BK108" s="689"/>
      <c r="BL108" s="498"/>
      <c r="BM108" s="685"/>
      <c r="BN108" s="686"/>
      <c r="BO108" s="686"/>
      <c r="BP108" s="689"/>
      <c r="BQ108" s="498"/>
      <c r="BR108" s="688"/>
      <c r="BS108" s="688"/>
      <c r="BT108" s="688"/>
      <c r="BU108"/>
      <c r="BV108"/>
      <c r="BW108"/>
      <c r="BX108"/>
      <c r="BY108"/>
      <c r="BZ108"/>
      <c r="CA108"/>
      <c r="CB108"/>
    </row>
    <row r="109" spans="1:90" s="684" customFormat="1">
      <c r="A109" s="683"/>
      <c r="B109" s="498"/>
      <c r="C109" s="780" t="s">
        <v>494</v>
      </c>
      <c r="E109" s="685"/>
      <c r="F109" s="686"/>
      <c r="G109" s="686"/>
      <c r="H109" s="687"/>
      <c r="I109" s="688"/>
      <c r="J109" s="788"/>
      <c r="K109" s="753"/>
      <c r="L109" s="753"/>
      <c r="M109" s="789"/>
      <c r="N109" s="796"/>
      <c r="O109" s="788"/>
      <c r="P109" s="753"/>
      <c r="Q109" s="753"/>
      <c r="R109" s="789"/>
      <c r="S109" s="796">
        <v>0.12</v>
      </c>
      <c r="T109" s="696">
        <f>+S109</f>
        <v>0.12</v>
      </c>
      <c r="U109" s="697">
        <f t="shared" ref="U109:AJ109" si="188">+T109</f>
        <v>0.12</v>
      </c>
      <c r="V109" s="697">
        <f>+U109</f>
        <v>0.12</v>
      </c>
      <c r="W109" s="698">
        <f t="shared" si="188"/>
        <v>0.12</v>
      </c>
      <c r="X109" s="853">
        <f>+W109</f>
        <v>0.12</v>
      </c>
      <c r="Y109" s="696">
        <f t="shared" si="188"/>
        <v>0.12</v>
      </c>
      <c r="Z109" s="697">
        <f t="shared" si="188"/>
        <v>0.12</v>
      </c>
      <c r="AA109" s="697">
        <f t="shared" si="188"/>
        <v>0.12</v>
      </c>
      <c r="AB109" s="698">
        <f t="shared" si="188"/>
        <v>0.12</v>
      </c>
      <c r="AC109" s="853">
        <f>+AB109</f>
        <v>0.12</v>
      </c>
      <c r="AD109" s="696">
        <f t="shared" si="177"/>
        <v>0.12</v>
      </c>
      <c r="AE109" s="697">
        <f t="shared" si="177"/>
        <v>0.12</v>
      </c>
      <c r="AF109" s="697">
        <f t="shared" si="177"/>
        <v>0.12</v>
      </c>
      <c r="AG109" s="698">
        <f t="shared" si="188"/>
        <v>0.12</v>
      </c>
      <c r="AH109" s="1927">
        <f>+AG109</f>
        <v>0.12</v>
      </c>
      <c r="AI109" s="696">
        <f t="shared" si="188"/>
        <v>0.12</v>
      </c>
      <c r="AJ109" s="697">
        <f t="shared" si="188"/>
        <v>0.12</v>
      </c>
      <c r="AK109" s="1886">
        <v>0.115</v>
      </c>
      <c r="AL109" s="698">
        <f>AK109</f>
        <v>0.115</v>
      </c>
      <c r="AM109" s="853">
        <f>AVERAGE(AI109:AL109)</f>
        <v>0.11749999999999999</v>
      </c>
      <c r="AN109" s="1887">
        <v>0.1087</v>
      </c>
      <c r="AO109" s="697">
        <f t="shared" ref="AO109" si="189">+AN109</f>
        <v>0.1087</v>
      </c>
      <c r="AP109" s="697">
        <f>+AO109</f>
        <v>0.1087</v>
      </c>
      <c r="AQ109" s="698">
        <f>+AP109</f>
        <v>0.1087</v>
      </c>
      <c r="AR109" s="853">
        <f>+AQ109</f>
        <v>0.1087</v>
      </c>
      <c r="AS109" s="696">
        <f t="shared" ref="AS109:BA109" si="190">+AR109</f>
        <v>0.1087</v>
      </c>
      <c r="AT109" s="697">
        <f t="shared" si="190"/>
        <v>0.1087</v>
      </c>
      <c r="AU109" s="697">
        <f t="shared" ref="AU109" si="191">+AT109</f>
        <v>0.1087</v>
      </c>
      <c r="AV109" s="698">
        <f>+AU109</f>
        <v>0.1087</v>
      </c>
      <c r="AW109" s="853">
        <f>+AV109</f>
        <v>0.1087</v>
      </c>
      <c r="AX109" s="696">
        <f t="shared" si="190"/>
        <v>0.1087</v>
      </c>
      <c r="AY109" s="697">
        <f t="shared" si="190"/>
        <v>0.1087</v>
      </c>
      <c r="AZ109" s="697">
        <f t="shared" si="190"/>
        <v>0.1087</v>
      </c>
      <c r="BA109" s="698">
        <f t="shared" si="190"/>
        <v>0.1087</v>
      </c>
      <c r="BB109" s="853">
        <f t="shared" ref="BB109:BL109" si="192">+BA109</f>
        <v>0.1087</v>
      </c>
      <c r="BC109" s="696">
        <f t="shared" si="192"/>
        <v>0.1087</v>
      </c>
      <c r="BD109" s="697">
        <f t="shared" si="192"/>
        <v>0.1087</v>
      </c>
      <c r="BE109" s="697">
        <f t="shared" si="192"/>
        <v>0.1087</v>
      </c>
      <c r="BF109" s="698">
        <f t="shared" si="192"/>
        <v>0.1087</v>
      </c>
      <c r="BG109" s="853">
        <f t="shared" si="192"/>
        <v>0.1087</v>
      </c>
      <c r="BH109" s="696">
        <f t="shared" si="192"/>
        <v>0.1087</v>
      </c>
      <c r="BI109" s="697">
        <f t="shared" si="192"/>
        <v>0.1087</v>
      </c>
      <c r="BJ109" s="697">
        <f t="shared" si="192"/>
        <v>0.1087</v>
      </c>
      <c r="BK109" s="698">
        <f t="shared" si="192"/>
        <v>0.1087</v>
      </c>
      <c r="BL109" s="853">
        <f t="shared" si="192"/>
        <v>0.1087</v>
      </c>
      <c r="BM109" s="696">
        <f t="shared" ref="BM109" si="193">+BL109</f>
        <v>0.1087</v>
      </c>
      <c r="BN109" s="697">
        <f t="shared" ref="BN109" si="194">+BM109</f>
        <v>0.1087</v>
      </c>
      <c r="BO109" s="697">
        <f t="shared" ref="BO109" si="195">+BN109</f>
        <v>0.1087</v>
      </c>
      <c r="BP109" s="698">
        <f t="shared" ref="BP109" si="196">+BO109</f>
        <v>0.1087</v>
      </c>
      <c r="BQ109" s="853">
        <f t="shared" ref="BQ109" si="197">+BP109</f>
        <v>0.1087</v>
      </c>
      <c r="BR109" s="688"/>
      <c r="BS109" s="688"/>
      <c r="BT109" s="688"/>
      <c r="BU109"/>
      <c r="BV109"/>
      <c r="BW109"/>
      <c r="BX109"/>
      <c r="BY109"/>
      <c r="BZ109"/>
      <c r="CA109"/>
      <c r="CB109"/>
    </row>
    <row r="110" spans="1:90" s="684" customFormat="1">
      <c r="A110" s="683"/>
      <c r="B110" s="498"/>
      <c r="C110" s="780" t="s">
        <v>899</v>
      </c>
      <c r="E110" s="685"/>
      <c r="F110" s="686"/>
      <c r="G110" s="686"/>
      <c r="H110" s="687"/>
      <c r="I110" s="688"/>
      <c r="J110" s="685"/>
      <c r="K110" s="686"/>
      <c r="L110" s="686"/>
      <c r="M110" s="689"/>
      <c r="N110" s="498"/>
      <c r="O110" s="685"/>
      <c r="P110" s="686"/>
      <c r="Q110" s="686"/>
      <c r="R110" s="689"/>
      <c r="S110" s="498"/>
      <c r="T110" s="685"/>
      <c r="U110" s="686"/>
      <c r="V110" s="686"/>
      <c r="W110" s="689"/>
      <c r="X110" s="498">
        <f>X33/(X106*X102)</f>
        <v>0.20870357712462975</v>
      </c>
      <c r="Y110" s="685"/>
      <c r="Z110" s="686"/>
      <c r="AA110" s="686"/>
      <c r="AB110" s="689"/>
      <c r="AC110" s="498">
        <f>AC33/(AC106*AC102)</f>
        <v>0.16589147286821707</v>
      </c>
      <c r="AD110" s="685"/>
      <c r="AE110" s="686"/>
      <c r="AF110" s="686"/>
      <c r="AG110" s="689"/>
      <c r="AH110" s="498">
        <f>AH33/(AH106*AH102)</f>
        <v>0.13404507710557534</v>
      </c>
      <c r="AI110" s="685"/>
      <c r="AJ110" s="686"/>
      <c r="AK110" s="686"/>
      <c r="AL110" s="689"/>
      <c r="AM110" s="498">
        <f>AM33/(AM106*AM102)</f>
        <v>0.13726835964310227</v>
      </c>
      <c r="AN110" s="685"/>
      <c r="AO110" s="686"/>
      <c r="AP110" s="686"/>
      <c r="AQ110" s="689"/>
      <c r="AR110" s="498">
        <f>AR33/(AR106*AR102)</f>
        <v>0.12705702257941065</v>
      </c>
      <c r="AS110" s="685"/>
      <c r="AT110" s="686"/>
      <c r="AU110" s="686"/>
      <c r="AV110" s="689"/>
      <c r="AW110" s="498">
        <f>AW33/(AW106*AW102)</f>
        <v>0.12060466644758462</v>
      </c>
      <c r="AX110" s="685"/>
      <c r="AY110" s="686"/>
      <c r="AZ110" s="686"/>
      <c r="BA110" s="689"/>
      <c r="BB110" s="498">
        <f>BB33/(BB106*BB102)</f>
        <v>0.11646455888853421</v>
      </c>
      <c r="BC110" s="685"/>
      <c r="BD110" s="686"/>
      <c r="BE110" s="686"/>
      <c r="BF110" s="689"/>
      <c r="BG110" s="498">
        <f>BG33/(BG106*BG102)</f>
        <v>0.11353875243802949</v>
      </c>
      <c r="BH110" s="685"/>
      <c r="BI110" s="686"/>
      <c r="BJ110" s="686"/>
      <c r="BK110" s="689"/>
      <c r="BL110" s="498">
        <f>BL33/(BL106*BL102)</f>
        <v>0.11294960767892082</v>
      </c>
      <c r="BM110" s="685"/>
      <c r="BN110" s="686"/>
      <c r="BO110" s="686"/>
      <c r="BP110" s="689"/>
      <c r="BQ110" s="498">
        <f>BQ33/(BQ106*BQ102)</f>
        <v>0.11259782156531495</v>
      </c>
      <c r="BR110" s="688"/>
      <c r="BS110" s="688"/>
      <c r="BT110" s="688"/>
      <c r="BY110" s="845"/>
      <c r="BZ110" s="649"/>
    </row>
    <row r="111" spans="1:90">
      <c r="A111" s="89"/>
      <c r="B111" s="89"/>
      <c r="C111" s="1186"/>
      <c r="E111" s="709"/>
      <c r="F111" s="710"/>
      <c r="G111" s="710"/>
      <c r="H111" s="286"/>
      <c r="I111" s="233"/>
      <c r="J111" s="709"/>
      <c r="K111" s="710"/>
      <c r="L111" s="710"/>
      <c r="M111" s="286"/>
      <c r="N111" s="233"/>
      <c r="O111" s="738"/>
      <c r="P111" s="710"/>
      <c r="Q111" s="710"/>
      <c r="R111" s="286"/>
      <c r="S111" s="233"/>
      <c r="T111" s="709"/>
      <c r="U111" s="710"/>
      <c r="V111" s="710"/>
      <c r="W111" s="286"/>
      <c r="X111" s="233"/>
      <c r="Y111" s="709"/>
      <c r="Z111" s="710"/>
      <c r="AA111" s="710"/>
      <c r="AB111" s="286"/>
      <c r="AC111" s="233"/>
      <c r="AD111" s="709"/>
      <c r="AE111" s="710"/>
      <c r="AF111" s="710"/>
      <c r="AG111" s="286"/>
      <c r="AH111" s="233"/>
      <c r="AI111" s="709"/>
      <c r="AJ111" s="710"/>
      <c r="AK111" s="710"/>
      <c r="AL111" s="286"/>
      <c r="AM111" s="233"/>
      <c r="AN111" s="709"/>
      <c r="AO111" s="710"/>
      <c r="AP111" s="710"/>
      <c r="AQ111" s="286"/>
      <c r="AR111" s="233"/>
      <c r="AS111" s="709"/>
      <c r="AT111" s="710"/>
      <c r="AU111" s="710"/>
      <c r="AV111" s="286"/>
      <c r="AW111" s="233"/>
      <c r="AX111" s="709"/>
      <c r="AY111" s="710"/>
      <c r="AZ111" s="710"/>
      <c r="BA111" s="286"/>
      <c r="BB111" s="233"/>
      <c r="BC111" s="709"/>
      <c r="BD111" s="710"/>
      <c r="BE111" s="710"/>
      <c r="BF111" s="286"/>
      <c r="BG111" s="233"/>
      <c r="BH111" s="709"/>
      <c r="BI111" s="710"/>
      <c r="BJ111" s="710"/>
      <c r="BK111" s="286"/>
      <c r="BL111" s="233"/>
      <c r="BM111" s="709"/>
      <c r="BN111" s="710"/>
      <c r="BO111" s="710"/>
      <c r="BP111" s="286"/>
      <c r="BQ111" s="233"/>
      <c r="BR111" s="92"/>
      <c r="BS111" s="92"/>
      <c r="BT111" s="92"/>
    </row>
    <row r="113" spans="22:49">
      <c r="AW113" s="233"/>
    </row>
    <row r="115" spans="22:49">
      <c r="AF115">
        <v>0.9</v>
      </c>
      <c r="AK115" s="1966"/>
      <c r="AL115" s="1966"/>
      <c r="AM115" s="1966"/>
    </row>
    <row r="116" spans="22:49">
      <c r="X116" s="16"/>
      <c r="AK116" s="1966"/>
      <c r="AM116" s="1966"/>
    </row>
    <row r="117" spans="22:49">
      <c r="AF117">
        <v>1.2</v>
      </c>
      <c r="AK117" s="1966">
        <v>1.3</v>
      </c>
      <c r="AL117" s="1966"/>
      <c r="AM117" s="1966"/>
    </row>
    <row r="121" spans="22:49">
      <c r="AN121">
        <v>10.38</v>
      </c>
      <c r="AO121">
        <v>2.1</v>
      </c>
    </row>
    <row r="122" spans="22:49">
      <c r="AN122">
        <v>11.7</v>
      </c>
      <c r="AO122">
        <f>1.3/2</f>
        <v>0.65</v>
      </c>
    </row>
    <row r="123" spans="22:49">
      <c r="V123" s="1176"/>
      <c r="AN123">
        <v>12.7</v>
      </c>
      <c r="AO123">
        <f>1.3/2</f>
        <v>0.65</v>
      </c>
    </row>
    <row r="124" spans="22:49">
      <c r="AN124">
        <v>10.5</v>
      </c>
      <c r="AO124">
        <v>1.9</v>
      </c>
    </row>
    <row r="125" spans="22:49">
      <c r="AO125">
        <f>SUMPRODUCT(AN121:AN124,AO121:AO124)/SUM(AO121:AO124)</f>
        <v>10.869433962264152</v>
      </c>
    </row>
    <row r="126" spans="22:49">
      <c r="V126" s="1176"/>
    </row>
  </sheetData>
  <phoneticPr fontId="39" type="noConversion"/>
  <pageMargins left="0.75" right="0.75" top="1" bottom="1" header="0.5" footer="0.5"/>
  <pageSetup scale="94" fitToHeight="4" orientation="landscape" r:id="rId1"/>
  <headerFooter alignWithMargins="0"/>
  <ignoredErrors>
    <ignoredError sqref="X9 X28 X30" formulaRange="1"/>
  </ignoredError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X684"/>
  <sheetViews>
    <sheetView zoomScale="85" zoomScaleNormal="85" zoomScaleSheetLayoutView="85" workbookViewId="0">
      <pane xSplit="4" ySplit="5" topLeftCell="I6" activePane="bottomRight" state="frozen"/>
      <selection activeCell="X6" sqref="X6"/>
      <selection pane="topRight" activeCell="X6" sqref="X6"/>
      <selection pane="bottomLeft" activeCell="X6" sqref="X6"/>
      <selection pane="bottomRight" activeCell="I6" sqref="I6"/>
    </sheetView>
  </sheetViews>
  <sheetFormatPr defaultRowHeight="12.75" outlineLevelCol="1"/>
  <cols>
    <col min="1" max="2" width="2.7109375" customWidth="1"/>
    <col min="3" max="3" width="43" style="1204" customWidth="1"/>
    <col min="4" max="4" width="5.5703125" customWidth="1"/>
    <col min="5" max="8" width="9.7109375" hidden="1" customWidth="1" outlineLevel="1"/>
    <col min="9" max="9" width="10.28515625" customWidth="1" collapsed="1"/>
    <col min="10" max="13" width="9.7109375" hidden="1" customWidth="1" outlineLevel="1"/>
    <col min="14" max="14" width="10.28515625" customWidth="1" collapsed="1"/>
    <col min="15" max="18" width="9.7109375" hidden="1" customWidth="1" outlineLevel="1"/>
    <col min="19" max="19" width="9.7109375" customWidth="1" collapsed="1"/>
    <col min="20" max="23" width="9.7109375" hidden="1" customWidth="1" outlineLevel="1"/>
    <col min="24" max="24" width="9.7109375" customWidth="1" collapsed="1"/>
    <col min="25" max="28" width="9.7109375" hidden="1" customWidth="1" outlineLevel="1"/>
    <col min="29" max="29" width="9.7109375" customWidth="1" collapsed="1"/>
    <col min="30" max="33" width="9.7109375" hidden="1" customWidth="1" outlineLevel="1"/>
    <col min="34" max="34" width="9.7109375" customWidth="1" collapsed="1"/>
    <col min="35" max="38" width="9.7109375" hidden="1" customWidth="1" outlineLevel="1"/>
    <col min="39" max="39" width="9.7109375" customWidth="1" collapsed="1"/>
    <col min="40" max="43" width="9.7109375" hidden="1" customWidth="1" outlineLevel="1"/>
    <col min="44" max="44" width="9.7109375" customWidth="1" collapsed="1"/>
    <col min="45" max="48" width="9.7109375" hidden="1" customWidth="1" outlineLevel="1"/>
    <col min="49" max="49" width="9.7109375" customWidth="1" collapsed="1"/>
    <col min="50" max="53" width="9.7109375" hidden="1" customWidth="1" outlineLevel="1"/>
    <col min="54" max="54" width="9.7109375" customWidth="1" collapsed="1"/>
    <col min="55" max="58" width="9.7109375" hidden="1" customWidth="1" outlineLevel="1"/>
    <col min="59" max="59" width="9.7109375" customWidth="1" collapsed="1"/>
    <col min="60" max="63" width="9.7109375" hidden="1" customWidth="1" outlineLevel="1"/>
    <col min="64" max="64" width="9.7109375" customWidth="1" collapsed="1"/>
    <col min="65" max="68" width="9.7109375" hidden="1" customWidth="1" outlineLevel="1"/>
    <col min="69" max="69" width="9.7109375" customWidth="1" collapsed="1"/>
    <col min="70" max="70" width="9.7109375" style="92" customWidth="1"/>
    <col min="71" max="71" width="14.5703125" style="92" customWidth="1"/>
    <col min="72" max="72" width="36.5703125" customWidth="1"/>
    <col min="73" max="73" width="39.7109375" customWidth="1"/>
    <col min="74" max="76" width="14.28515625" customWidth="1"/>
    <col min="77" max="77" width="12.7109375" customWidth="1"/>
    <col min="78" max="78" width="12" customWidth="1"/>
    <col min="79" max="81" width="12.140625" customWidth="1"/>
    <col min="83" max="83" width="32.140625" bestFit="1" customWidth="1"/>
    <col min="84" max="84" width="10.85546875" bestFit="1" customWidth="1"/>
  </cols>
  <sheetData>
    <row r="1" spans="1:84" ht="18">
      <c r="A1" s="204"/>
      <c r="B1" s="204"/>
      <c r="C1" s="1180"/>
      <c r="D1" s="204"/>
      <c r="E1" s="206"/>
      <c r="F1" s="206"/>
      <c r="G1" s="206"/>
      <c r="H1" s="206"/>
      <c r="I1" s="3"/>
      <c r="J1" s="3"/>
      <c r="K1" s="3"/>
      <c r="L1" s="3"/>
      <c r="M1" s="3"/>
      <c r="N1" s="1048"/>
      <c r="O1" s="1048"/>
      <c r="P1" s="1048"/>
      <c r="Q1" s="1048"/>
      <c r="R1" s="1048"/>
      <c r="S1" s="1048"/>
      <c r="T1" s="1048"/>
      <c r="U1" s="1048"/>
      <c r="V1" s="1048"/>
      <c r="W1" s="1048"/>
      <c r="X1" s="1048"/>
      <c r="Y1" s="1048"/>
      <c r="Z1" s="1048"/>
      <c r="AA1" s="1048"/>
      <c r="AB1" s="1048"/>
      <c r="AC1" s="1048"/>
      <c r="AD1" s="1048"/>
      <c r="AE1" s="1048"/>
      <c r="AF1" s="1048"/>
      <c r="AG1" s="1048"/>
      <c r="AH1" s="1048"/>
      <c r="AI1" s="1048"/>
      <c r="AJ1" s="1048"/>
      <c r="AK1" s="1048"/>
      <c r="AL1" s="1048"/>
      <c r="AM1" s="1048"/>
      <c r="AN1" s="1048"/>
      <c r="AO1" s="1048"/>
      <c r="AP1" s="1048"/>
      <c r="AQ1" s="1048"/>
      <c r="AR1" s="1048"/>
      <c r="AS1" s="1048"/>
      <c r="AT1" s="1048"/>
      <c r="AU1" s="1048"/>
      <c r="AV1" s="1048"/>
      <c r="AW1" s="1048"/>
      <c r="AX1" s="1048"/>
      <c r="AY1" s="1048"/>
      <c r="AZ1" s="1048"/>
      <c r="BA1" s="1048"/>
      <c r="BB1" s="1048"/>
      <c r="BC1" s="1048"/>
      <c r="BD1" s="1048"/>
      <c r="BE1" s="1048"/>
      <c r="BF1" s="1048"/>
      <c r="BG1" s="1048"/>
      <c r="BH1" s="1048"/>
      <c r="BI1" s="1048"/>
      <c r="BJ1" s="1048"/>
      <c r="BK1" s="1048"/>
      <c r="BL1" s="1048"/>
      <c r="BM1" s="1048"/>
      <c r="BN1" s="1048"/>
      <c r="BO1" s="1048"/>
      <c r="BP1" s="1048"/>
      <c r="BQ1" s="1048"/>
    </row>
    <row r="2" spans="1:84" ht="18">
      <c r="A2" s="204"/>
      <c r="B2" s="204" t="s">
        <v>344</v>
      </c>
      <c r="C2" s="1180"/>
      <c r="D2" s="204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I2" s="206"/>
      <c r="BJ2" s="206"/>
      <c r="BK2" s="206"/>
      <c r="BL2" s="206"/>
      <c r="BM2" s="206"/>
      <c r="BN2" s="206"/>
      <c r="BO2" s="206"/>
      <c r="BP2" s="206"/>
      <c r="BQ2" s="206"/>
    </row>
    <row r="3" spans="1:84" ht="15.75">
      <c r="A3" s="205"/>
      <c r="B3" s="224" t="s">
        <v>338</v>
      </c>
      <c r="C3" s="1181"/>
      <c r="D3" s="205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206"/>
      <c r="BD3" s="206"/>
      <c r="BE3" s="206"/>
      <c r="BF3" s="206"/>
      <c r="BG3" s="206"/>
      <c r="BH3" s="206"/>
      <c r="BI3" s="206"/>
      <c r="BJ3" s="206"/>
      <c r="BK3" s="206"/>
      <c r="BL3" s="206"/>
      <c r="BM3" s="206"/>
      <c r="BN3" s="206"/>
      <c r="BO3" s="206"/>
      <c r="BP3" s="206"/>
      <c r="BQ3" s="206"/>
    </row>
    <row r="4" spans="1:84">
      <c r="A4" s="180"/>
      <c r="B4" s="250" t="s">
        <v>3</v>
      </c>
      <c r="C4" s="1238"/>
      <c r="D4" s="180"/>
      <c r="E4" s="251"/>
      <c r="F4" s="251"/>
      <c r="G4" s="251"/>
      <c r="H4" s="251"/>
      <c r="I4" s="225"/>
      <c r="J4" s="251"/>
      <c r="K4" s="251"/>
      <c r="L4" s="251"/>
      <c r="M4" s="251"/>
      <c r="N4" s="225"/>
      <c r="O4" s="251"/>
      <c r="P4" s="251"/>
      <c r="Q4" s="251"/>
      <c r="R4" s="251"/>
      <c r="S4" s="225"/>
      <c r="T4" s="251"/>
      <c r="U4" s="251"/>
      <c r="V4" s="251"/>
      <c r="W4" s="251"/>
      <c r="X4" s="225"/>
      <c r="Y4" s="251"/>
      <c r="Z4" s="251"/>
      <c r="AA4" s="251"/>
      <c r="AB4" s="251"/>
      <c r="AC4" s="225"/>
      <c r="AD4" s="251"/>
      <c r="AE4" s="251"/>
      <c r="AF4" s="251"/>
      <c r="AG4" s="251"/>
      <c r="AH4" s="225"/>
      <c r="AI4" s="251"/>
      <c r="AJ4" s="251"/>
      <c r="AK4" s="251"/>
      <c r="AL4" s="251"/>
      <c r="AM4" s="225"/>
      <c r="AN4" s="251"/>
      <c r="AO4" s="251"/>
      <c r="AP4" s="251"/>
      <c r="AQ4" s="251"/>
      <c r="AR4" s="225"/>
      <c r="AS4" s="251"/>
      <c r="AT4" s="251"/>
      <c r="AU4" s="251"/>
      <c r="AV4" s="251"/>
      <c r="AW4" s="225"/>
      <c r="AX4" s="251"/>
      <c r="AY4" s="251"/>
      <c r="AZ4" s="251"/>
      <c r="BA4" s="251"/>
      <c r="BB4" s="225"/>
      <c r="BC4" s="251"/>
      <c r="BD4" s="251"/>
      <c r="BE4" s="251"/>
      <c r="BF4" s="251"/>
      <c r="BG4" s="225"/>
      <c r="BH4" s="251"/>
      <c r="BI4" s="251"/>
      <c r="BJ4" s="251"/>
      <c r="BK4" s="251"/>
      <c r="BL4" s="225"/>
      <c r="BM4" s="251"/>
      <c r="BN4" s="251"/>
      <c r="BO4" s="251"/>
      <c r="BP4" s="251"/>
      <c r="BQ4" s="225"/>
      <c r="BR4" s="89"/>
      <c r="BS4" s="89"/>
      <c r="BT4" s="94"/>
      <c r="BU4" s="94"/>
      <c r="BV4" s="94"/>
      <c r="BW4" s="94"/>
      <c r="BX4" s="94"/>
      <c r="BY4" s="94"/>
      <c r="BZ4" s="94"/>
      <c r="CA4" s="94"/>
      <c r="CB4" s="94"/>
      <c r="CC4" s="94"/>
      <c r="CD4" s="94"/>
      <c r="CE4" s="94"/>
      <c r="CF4" s="94"/>
    </row>
    <row r="5" spans="1:84" s="91" customFormat="1">
      <c r="A5" s="252"/>
      <c r="B5" s="64" t="s">
        <v>22</v>
      </c>
      <c r="C5" s="1183"/>
      <c r="D5" s="248"/>
      <c r="E5" s="332" t="s">
        <v>165</v>
      </c>
      <c r="F5" s="333" t="s">
        <v>166</v>
      </c>
      <c r="G5" s="333" t="s">
        <v>170</v>
      </c>
      <c r="H5" s="334" t="s">
        <v>171</v>
      </c>
      <c r="I5" s="335" t="s">
        <v>275</v>
      </c>
      <c r="J5" s="332" t="s">
        <v>172</v>
      </c>
      <c r="K5" s="333" t="s">
        <v>173</v>
      </c>
      <c r="L5" s="333" t="s">
        <v>177</v>
      </c>
      <c r="M5" s="334" t="s">
        <v>178</v>
      </c>
      <c r="N5" s="335" t="s">
        <v>4</v>
      </c>
      <c r="O5" s="332" t="s">
        <v>181</v>
      </c>
      <c r="P5" s="333" t="s">
        <v>182</v>
      </c>
      <c r="Q5" s="333" t="s">
        <v>771</v>
      </c>
      <c r="R5" s="334" t="s">
        <v>218</v>
      </c>
      <c r="S5" s="335" t="s">
        <v>772</v>
      </c>
      <c r="T5" s="71" t="s">
        <v>475</v>
      </c>
      <c r="U5" s="72" t="s">
        <v>929</v>
      </c>
      <c r="V5" s="72" t="s">
        <v>742</v>
      </c>
      <c r="W5" s="73" t="s">
        <v>767</v>
      </c>
      <c r="X5" s="70" t="s">
        <v>768</v>
      </c>
      <c r="Y5" s="66" t="s">
        <v>769</v>
      </c>
      <c r="Z5" s="67" t="s">
        <v>76</v>
      </c>
      <c r="AA5" s="67" t="s">
        <v>77</v>
      </c>
      <c r="AB5" s="68" t="s">
        <v>670</v>
      </c>
      <c r="AC5" s="70" t="s">
        <v>669</v>
      </c>
      <c r="AD5" s="66" t="s">
        <v>90</v>
      </c>
      <c r="AE5" s="67" t="s">
        <v>91</v>
      </c>
      <c r="AF5" s="67" t="s">
        <v>92</v>
      </c>
      <c r="AG5" s="68" t="s">
        <v>960</v>
      </c>
      <c r="AH5" s="70" t="s">
        <v>964</v>
      </c>
      <c r="AI5" s="66" t="s">
        <v>962</v>
      </c>
      <c r="AJ5" s="67" t="s">
        <v>963</v>
      </c>
      <c r="AK5" s="67" t="s">
        <v>1005</v>
      </c>
      <c r="AL5" s="68" t="s">
        <v>1009</v>
      </c>
      <c r="AM5" s="85" t="s">
        <v>1011</v>
      </c>
      <c r="AN5" s="868" t="s">
        <v>1060</v>
      </c>
      <c r="AO5" s="72" t="s">
        <v>1062</v>
      </c>
      <c r="AP5" s="72" t="s">
        <v>1134</v>
      </c>
      <c r="AQ5" s="73" t="s">
        <v>1157</v>
      </c>
      <c r="AR5" s="85" t="s">
        <v>1158</v>
      </c>
      <c r="AS5" s="71" t="s">
        <v>1187</v>
      </c>
      <c r="AT5" s="72" t="s">
        <v>1200</v>
      </c>
      <c r="AU5" s="72" t="s">
        <v>1207</v>
      </c>
      <c r="AV5" s="73" t="s">
        <v>1218</v>
      </c>
      <c r="AW5" s="85" t="s">
        <v>1220</v>
      </c>
      <c r="AX5" s="71" t="s">
        <v>130</v>
      </c>
      <c r="AY5" s="72" t="s">
        <v>131</v>
      </c>
      <c r="AZ5" s="72" t="s">
        <v>132</v>
      </c>
      <c r="BA5" s="73" t="s">
        <v>133</v>
      </c>
      <c r="BB5" s="85" t="s">
        <v>138</v>
      </c>
      <c r="BC5" s="71" t="s">
        <v>971</v>
      </c>
      <c r="BD5" s="72" t="s">
        <v>972</v>
      </c>
      <c r="BE5" s="72" t="s">
        <v>973</v>
      </c>
      <c r="BF5" s="73" t="s">
        <v>974</v>
      </c>
      <c r="BG5" s="85" t="s">
        <v>969</v>
      </c>
      <c r="BH5" s="71" t="s">
        <v>975</v>
      </c>
      <c r="BI5" s="72" t="s">
        <v>976</v>
      </c>
      <c r="BJ5" s="72" t="s">
        <v>977</v>
      </c>
      <c r="BK5" s="73" t="s">
        <v>978</v>
      </c>
      <c r="BL5" s="85" t="s">
        <v>970</v>
      </c>
      <c r="BM5" s="71" t="s">
        <v>1137</v>
      </c>
      <c r="BN5" s="72" t="s">
        <v>1138</v>
      </c>
      <c r="BO5" s="72" t="s">
        <v>1139</v>
      </c>
      <c r="BP5" s="73" t="s">
        <v>1140</v>
      </c>
      <c r="BQ5" s="85" t="s">
        <v>1135</v>
      </c>
      <c r="BR5" s="87"/>
      <c r="BS5" s="87"/>
      <c r="BT5" s="87"/>
      <c r="BU5" s="249"/>
      <c r="BV5" s="249"/>
      <c r="BW5" s="249"/>
      <c r="BX5" s="87"/>
      <c r="BY5" s="87"/>
      <c r="BZ5" s="87"/>
      <c r="CA5" s="87"/>
      <c r="CB5" s="87"/>
      <c r="CC5" s="87"/>
      <c r="CD5" s="87"/>
      <c r="CE5" s="87"/>
      <c r="CF5" s="87"/>
    </row>
    <row r="6" spans="1:84">
      <c r="A6" s="120"/>
      <c r="B6" s="120"/>
      <c r="C6" s="1187"/>
      <c r="D6" s="120"/>
      <c r="E6" s="228"/>
      <c r="F6" s="229"/>
      <c r="G6" s="229"/>
      <c r="H6" s="230"/>
      <c r="I6" s="89"/>
      <c r="J6" s="228"/>
      <c r="K6" s="229"/>
      <c r="L6" s="229"/>
      <c r="M6" s="230"/>
      <c r="N6" s="89"/>
      <c r="O6" s="228"/>
      <c r="P6" s="229"/>
      <c r="Q6" s="229"/>
      <c r="R6" s="230"/>
      <c r="S6" s="89"/>
      <c r="T6" s="228"/>
      <c r="U6" s="229"/>
      <c r="V6" s="229"/>
      <c r="W6" s="230"/>
      <c r="X6" s="89"/>
      <c r="Y6" s="228"/>
      <c r="Z6" s="229"/>
      <c r="AA6" s="229"/>
      <c r="AB6" s="230"/>
      <c r="AC6" s="94"/>
      <c r="AD6" s="228"/>
      <c r="AE6" s="229"/>
      <c r="AF6" s="229"/>
      <c r="AG6" s="230"/>
      <c r="AH6" s="89"/>
      <c r="AI6" s="228"/>
      <c r="AJ6" s="229"/>
      <c r="AK6" s="229"/>
      <c r="AL6" s="230"/>
      <c r="AM6" s="89"/>
      <c r="AN6" s="228"/>
      <c r="AO6" s="229"/>
      <c r="AP6" s="229"/>
      <c r="AQ6" s="230"/>
      <c r="AR6" s="89"/>
      <c r="AS6" s="228"/>
      <c r="AT6" s="229"/>
      <c r="AU6" s="229"/>
      <c r="AV6" s="230"/>
      <c r="AW6" s="89"/>
      <c r="AX6" s="228"/>
      <c r="AY6" s="229"/>
      <c r="AZ6" s="229"/>
      <c r="BA6" s="230"/>
      <c r="BB6" s="89"/>
      <c r="BC6" s="228"/>
      <c r="BD6" s="229"/>
      <c r="BE6" s="229"/>
      <c r="BF6" s="230"/>
      <c r="BG6" s="89"/>
      <c r="BH6" s="228"/>
      <c r="BI6" s="229"/>
      <c r="BJ6" s="229"/>
      <c r="BK6" s="230"/>
      <c r="BL6" s="89"/>
      <c r="BM6" s="228"/>
      <c r="BN6" s="229"/>
      <c r="BO6" s="229"/>
      <c r="BP6" s="230"/>
      <c r="BQ6" s="89"/>
      <c r="BR6" s="89"/>
      <c r="BS6" s="89"/>
      <c r="BT6" s="94"/>
      <c r="BU6" s="94"/>
      <c r="BV6" s="94"/>
      <c r="BW6" s="94"/>
      <c r="BX6" s="94"/>
      <c r="BY6" s="94"/>
      <c r="BZ6" s="94"/>
      <c r="CA6" s="94"/>
      <c r="CB6" s="94"/>
      <c r="CC6" s="94"/>
      <c r="CD6" s="94"/>
      <c r="CE6" s="94"/>
      <c r="CF6" s="94"/>
    </row>
    <row r="7" spans="1:84" ht="12.75" customHeight="1">
      <c r="A7" s="139"/>
      <c r="B7" s="126" t="s">
        <v>185</v>
      </c>
      <c r="C7" s="1239"/>
      <c r="D7" s="127"/>
      <c r="E7" s="152"/>
      <c r="F7" s="153"/>
      <c r="G7" s="153"/>
      <c r="H7" s="154"/>
      <c r="I7" s="315"/>
      <c r="J7" s="152"/>
      <c r="K7" s="153"/>
      <c r="L7" s="153"/>
      <c r="M7" s="154"/>
      <c r="N7" s="89"/>
      <c r="O7" s="152"/>
      <c r="P7" s="153"/>
      <c r="Q7" s="153"/>
      <c r="R7" s="154"/>
      <c r="S7" s="89"/>
      <c r="T7" s="152"/>
      <c r="U7" s="153"/>
      <c r="V7" s="153"/>
      <c r="W7" s="154"/>
      <c r="X7" s="89"/>
      <c r="Y7" s="152"/>
      <c r="Z7" s="153"/>
      <c r="AA7" s="153"/>
      <c r="AB7" s="154"/>
      <c r="AC7" s="89"/>
      <c r="AD7" s="152"/>
      <c r="AE7" s="153"/>
      <c r="AF7" s="153"/>
      <c r="AG7" s="154"/>
      <c r="AH7" s="89"/>
      <c r="AI7" s="152"/>
      <c r="AJ7" s="153"/>
      <c r="AK7" s="153"/>
      <c r="AL7" s="154"/>
      <c r="AM7" s="89"/>
      <c r="AN7" s="152"/>
      <c r="AO7" s="153"/>
      <c r="AP7" s="153"/>
      <c r="AQ7" s="154"/>
      <c r="AR7" s="89"/>
      <c r="AS7" s="152"/>
      <c r="AT7" s="153"/>
      <c r="AU7" s="153"/>
      <c r="AV7" s="154"/>
      <c r="AW7" s="89"/>
      <c r="AX7" s="152"/>
      <c r="AY7" s="153"/>
      <c r="AZ7" s="153"/>
      <c r="BA7" s="154"/>
      <c r="BB7" s="89"/>
      <c r="BC7" s="152"/>
      <c r="BD7" s="153"/>
      <c r="BE7" s="153"/>
      <c r="BF7" s="154"/>
      <c r="BG7" s="89"/>
      <c r="BH7" s="152"/>
      <c r="BI7" s="153"/>
      <c r="BJ7" s="153"/>
      <c r="BK7" s="154"/>
      <c r="BL7" s="89"/>
      <c r="BM7" s="152"/>
      <c r="BN7" s="153"/>
      <c r="BO7" s="153"/>
      <c r="BP7" s="154"/>
      <c r="BQ7" s="89"/>
    </row>
    <row r="8" spans="1:84" s="12" customFormat="1">
      <c r="A8" s="91"/>
      <c r="B8" s="91"/>
      <c r="C8" s="1179" t="s">
        <v>186</v>
      </c>
      <c r="E8" s="309"/>
      <c r="F8" s="310"/>
      <c r="G8" s="310"/>
      <c r="H8" s="311"/>
      <c r="I8" s="300">
        <v>4771</v>
      </c>
      <c r="J8" s="301">
        <v>1393</v>
      </c>
      <c r="K8" s="302">
        <v>1334</v>
      </c>
      <c r="L8" s="302">
        <v>1601</v>
      </c>
      <c r="M8" s="311">
        <f>+N8-SUM(J8:L8)</f>
        <v>1548</v>
      </c>
      <c r="N8" s="300">
        <v>5876</v>
      </c>
      <c r="O8" s="301">
        <f>3397-P8</f>
        <v>1584</v>
      </c>
      <c r="P8" s="302">
        <v>1813</v>
      </c>
      <c r="Q8" s="302">
        <v>2029</v>
      </c>
      <c r="R8" s="290">
        <f>S8-SUM(O8:Q8)</f>
        <v>1636</v>
      </c>
      <c r="S8" s="300">
        <v>7062</v>
      </c>
      <c r="T8" s="301">
        <v>1787</v>
      </c>
      <c r="U8" s="302">
        <v>1825</v>
      </c>
      <c r="V8" s="302">
        <v>1929</v>
      </c>
      <c r="W8" s="290">
        <f>X8-SUM(T8:V8)</f>
        <v>1133</v>
      </c>
      <c r="X8" s="300">
        <v>6674</v>
      </c>
      <c r="Y8" s="301">
        <v>1630</v>
      </c>
      <c r="Z8" s="302">
        <v>1553</v>
      </c>
      <c r="AA8" s="302">
        <v>1769</v>
      </c>
      <c r="AB8" s="290">
        <f>AC8-SUM(Y8:AA8)</f>
        <v>1543</v>
      </c>
      <c r="AC8" s="300">
        <v>6495</v>
      </c>
      <c r="AD8" s="301">
        <v>1771</v>
      </c>
      <c r="AE8" s="302">
        <v>1493</v>
      </c>
      <c r="AF8" s="302">
        <v>1599</v>
      </c>
      <c r="AG8" s="290">
        <f>AH8-SUM(AD8:AF8)</f>
        <v>1426</v>
      </c>
      <c r="AH8" s="300">
        <v>6289</v>
      </c>
      <c r="AI8" s="301">
        <v>1435</v>
      </c>
      <c r="AJ8" s="302">
        <v>1196</v>
      </c>
      <c r="AK8" s="302">
        <v>1468</v>
      </c>
      <c r="AL8" s="290">
        <f>AM8-SUM(AI8:AK8)</f>
        <v>1285</v>
      </c>
      <c r="AM8" s="300">
        <v>5384</v>
      </c>
      <c r="AN8" s="301">
        <v>1304</v>
      </c>
      <c r="AO8" s="302">
        <v>1116</v>
      </c>
      <c r="AP8" s="302">
        <v>1115</v>
      </c>
      <c r="AQ8" s="290">
        <f>AR8-SUM(AN8:AP8)</f>
        <v>1014</v>
      </c>
      <c r="AR8" s="300">
        <v>4549</v>
      </c>
      <c r="AS8" s="301">
        <v>931</v>
      </c>
      <c r="AT8" s="302">
        <v>864</v>
      </c>
      <c r="AU8" s="302">
        <v>889</v>
      </c>
      <c r="AV8" s="290">
        <f>AW8-SUM(AS8:AU8)</f>
        <v>845</v>
      </c>
      <c r="AW8" s="300">
        <v>3529</v>
      </c>
      <c r="AX8" s="309">
        <f>+AX212+AX240+AX260+AX298+AX352+AX390+AX448+AX214</f>
        <v>786.19402026794648</v>
      </c>
      <c r="AY8" s="310">
        <f t="shared" ref="AY8:BA8" si="0">+AY212+AY240+AY260+AY298+AY352+AY390+AY448+AY214</f>
        <v>687.56795411257679</v>
      </c>
      <c r="AZ8" s="310">
        <f t="shared" si="0"/>
        <v>669.50415863957267</v>
      </c>
      <c r="BA8" s="311">
        <f t="shared" si="0"/>
        <v>692.23465358205476</v>
      </c>
      <c r="BB8" s="315">
        <f>SUM(AX8:BA8)</f>
        <v>2835.5007866021506</v>
      </c>
      <c r="BC8" s="309">
        <f>+BC212+BC240+BC260+BC298+BC352+BC390+BC448+BC214</f>
        <v>633.93107236907952</v>
      </c>
      <c r="BD8" s="310">
        <f t="shared" ref="BD8:BF8" si="1">+BD212+BD240+BD260+BD298+BD352+BD390+BD448+BD214</f>
        <v>533.897967081557</v>
      </c>
      <c r="BE8" s="310">
        <f t="shared" si="1"/>
        <v>518.84910264130576</v>
      </c>
      <c r="BF8" s="311">
        <f t="shared" si="1"/>
        <v>610.65677272168261</v>
      </c>
      <c r="BG8" s="315">
        <f>SUM(BC8:BF8)</f>
        <v>2297.3349148136249</v>
      </c>
      <c r="BH8" s="309">
        <f>+BH212+BH240+BH260+BH298+BH352+BH390+BH448+BH214</f>
        <v>593.78333998505525</v>
      </c>
      <c r="BI8" s="310">
        <f t="shared" ref="BI8:BK8" si="2">+BI212+BI240+BI260+BI298+BI352+BI390+BI448+BI214</f>
        <v>499.24635402473405</v>
      </c>
      <c r="BJ8" s="310">
        <f t="shared" si="2"/>
        <v>494.41076297052172</v>
      </c>
      <c r="BK8" s="311">
        <f t="shared" si="2"/>
        <v>585.09352558092178</v>
      </c>
      <c r="BL8" s="315">
        <f>SUM(BH8:BK8)</f>
        <v>2172.5339825612327</v>
      </c>
      <c r="BM8" s="309">
        <f>+BM212+BM240+BM260+BM298+BM352+BM390+BM448+BM214</f>
        <v>565.74714766011641</v>
      </c>
      <c r="BN8" s="310">
        <f t="shared" ref="BN8:BP8" si="3">+BN212+BN240+BN260+BN298+BN352+BN390+BN448+BN214</f>
        <v>523.55897894254747</v>
      </c>
      <c r="BO8" s="310">
        <f t="shared" si="3"/>
        <v>517.68698615970823</v>
      </c>
      <c r="BP8" s="311">
        <f t="shared" si="3"/>
        <v>573.10978847549802</v>
      </c>
      <c r="BQ8" s="315">
        <f>SUM(BM8:BP8)</f>
        <v>2180.1029012378704</v>
      </c>
      <c r="BR8" s="501"/>
      <c r="BS8" s="501"/>
      <c r="BT8" s="48"/>
      <c r="BU8" s="48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</row>
    <row r="9" spans="1:84">
      <c r="A9" s="139"/>
      <c r="B9" s="139"/>
      <c r="C9" s="1187" t="s">
        <v>68</v>
      </c>
      <c r="E9" s="288"/>
      <c r="F9" s="289"/>
      <c r="G9" s="289"/>
      <c r="H9" s="290"/>
      <c r="I9" s="291">
        <v>2149</v>
      </c>
      <c r="J9" s="288">
        <v>784</v>
      </c>
      <c r="K9" s="289">
        <v>680</v>
      </c>
      <c r="L9" s="289">
        <v>905</v>
      </c>
      <c r="M9" s="311">
        <f>+N9-SUM(J9:L9)</f>
        <v>787</v>
      </c>
      <c r="N9" s="291">
        <v>3156</v>
      </c>
      <c r="O9" s="288">
        <f>991+700-P9</f>
        <v>749</v>
      </c>
      <c r="P9" s="289">
        <f>561+381</f>
        <v>942</v>
      </c>
      <c r="Q9" s="289">
        <f>540+362</f>
        <v>902</v>
      </c>
      <c r="R9" s="290">
        <f>S9-SUM(O9:Q9)</f>
        <v>836</v>
      </c>
      <c r="S9" s="291">
        <f>2049+1380</f>
        <v>3429</v>
      </c>
      <c r="T9" s="288">
        <f>502+443</f>
        <v>945</v>
      </c>
      <c r="U9" s="289">
        <f>598+470</f>
        <v>1068</v>
      </c>
      <c r="V9" s="289">
        <f>560+511</f>
        <v>1071</v>
      </c>
      <c r="W9" s="290">
        <f>X9-SUM(T9:V9)</f>
        <v>422</v>
      </c>
      <c r="X9" s="291">
        <f>2208+1298</f>
        <v>3506</v>
      </c>
      <c r="Y9" s="288">
        <f>543+284</f>
        <v>827</v>
      </c>
      <c r="Z9" s="302">
        <f>553+276</f>
        <v>829</v>
      </c>
      <c r="AA9" s="302">
        <f>569+406</f>
        <v>975</v>
      </c>
      <c r="AB9" s="290">
        <f>AC9-SUM(Y9:AA9)</f>
        <v>913</v>
      </c>
      <c r="AC9" s="291">
        <f>2119+1425</f>
        <v>3544</v>
      </c>
      <c r="AD9" s="288">
        <f>464+723</f>
        <v>1187</v>
      </c>
      <c r="AE9" s="302">
        <f>421+519</f>
        <v>940</v>
      </c>
      <c r="AF9" s="302">
        <f>385+508</f>
        <v>893</v>
      </c>
      <c r="AG9" s="290">
        <f>AH9-SUM(AD9:AF9)</f>
        <v>843</v>
      </c>
      <c r="AH9" s="291">
        <f>1713+2150</f>
        <v>3863</v>
      </c>
      <c r="AI9" s="288">
        <f>367+398</f>
        <v>765</v>
      </c>
      <c r="AJ9" s="302">
        <f>263+345</f>
        <v>608</v>
      </c>
      <c r="AK9" s="302">
        <f>342+370</f>
        <v>712</v>
      </c>
      <c r="AL9" s="290">
        <f>AM9-SUM(AI9:AK9)</f>
        <v>693</v>
      </c>
      <c r="AM9" s="291">
        <f>1322+1456</f>
        <v>2778</v>
      </c>
      <c r="AN9" s="288">
        <f>242+350</f>
        <v>592</v>
      </c>
      <c r="AO9" s="302">
        <f>297+276</f>
        <v>573</v>
      </c>
      <c r="AP9" s="302">
        <f>294+194</f>
        <v>488</v>
      </c>
      <c r="AQ9" s="290">
        <f>AR9-SUM(AN9:AP9)</f>
        <v>465</v>
      </c>
      <c r="AR9" s="291">
        <f>1099+1019</f>
        <v>2118</v>
      </c>
      <c r="AS9" s="288">
        <f>227+167</f>
        <v>394</v>
      </c>
      <c r="AT9" s="302">
        <f>222+164</f>
        <v>386</v>
      </c>
      <c r="AU9" s="302">
        <f>237+157</f>
        <v>394</v>
      </c>
      <c r="AV9" s="290">
        <f>AW9-SUM(AS9:AU9)</f>
        <v>372</v>
      </c>
      <c r="AW9" s="291">
        <f>890+656</f>
        <v>1546</v>
      </c>
      <c r="AX9" s="309">
        <f>AX213+AX261+AX299+AX353+AX391-AX254</f>
        <v>357.51419339605354</v>
      </c>
      <c r="AY9" s="312">
        <f>AY213+AY261+AY299+AY353+AY391-AY254</f>
        <v>324.3966566834838</v>
      </c>
      <c r="AZ9" s="312">
        <f>AZ213+AZ261+AZ299+AZ353+AZ391-AZ254</f>
        <v>324.59774034139002</v>
      </c>
      <c r="BA9" s="317">
        <f>BA213+BA261+BA299+BA353+BA391-BA254</f>
        <v>349.73423131099941</v>
      </c>
      <c r="BB9" s="315">
        <f>SUM(AX9:BA9)</f>
        <v>1356.2428217319268</v>
      </c>
      <c r="BC9" s="309">
        <f>BC213+BC261+BC299+BC353+BC391-BC254</f>
        <v>296.93644564247637</v>
      </c>
      <c r="BD9" s="312">
        <f>BD213+BD261+BD299+BD353+BD391-BD254</f>
        <v>214.90066413610776</v>
      </c>
      <c r="BE9" s="312">
        <f>BE213+BE261+BE299+BE353+BE391-BE254</f>
        <v>214.94231136936543</v>
      </c>
      <c r="BF9" s="317">
        <f>BF213+BF261+BF299+BF353+BF391-BF254</f>
        <v>319.35220069706753</v>
      </c>
      <c r="BG9" s="315">
        <f>SUM(BC9:BF9)</f>
        <v>1046.131621845017</v>
      </c>
      <c r="BH9" s="309">
        <f>BH213+BH261+BH299+BH353+BH391-BH254</f>
        <v>275.26906778576569</v>
      </c>
      <c r="BI9" s="312">
        <f>BI213+BI261+BI299+BI353+BI391-BI254</f>
        <v>196.28221906738491</v>
      </c>
      <c r="BJ9" s="312">
        <f>BJ213+BJ261+BJ299+BJ353+BJ391-BJ254</f>
        <v>198.26656364590045</v>
      </c>
      <c r="BK9" s="317">
        <f>BK213+BK261+BK299+BK353+BK391-BK254</f>
        <v>298.72874160178407</v>
      </c>
      <c r="BL9" s="315">
        <f>SUM(BH9:BK9)</f>
        <v>968.54659210083514</v>
      </c>
      <c r="BM9" s="309">
        <f>BM213+BM261+BM299+BM353+BM391-BM254</f>
        <v>200.54048182624678</v>
      </c>
      <c r="BN9" s="312">
        <f>BN213+BN261+BN299+BN353+BN391-BN254</f>
        <v>196.61109697302757</v>
      </c>
      <c r="BO9" s="312">
        <f>BO213+BO261+BO299+BO353+BO391-BO254</f>
        <v>192.73446275693459</v>
      </c>
      <c r="BP9" s="317">
        <f>BP213+BP261+BP299+BP353+BP391-BP254</f>
        <v>211.3152820702698</v>
      </c>
      <c r="BQ9" s="315">
        <f>SUM(BM9:BP9)</f>
        <v>801.20132362647882</v>
      </c>
      <c r="BR9" s="177"/>
      <c r="BS9" s="177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</row>
    <row r="10" spans="1:84" s="13" customFormat="1">
      <c r="A10" s="136"/>
      <c r="B10" s="139"/>
      <c r="C10" s="1186" t="s">
        <v>187</v>
      </c>
      <c r="E10" s="305"/>
      <c r="F10" s="306"/>
      <c r="G10" s="306"/>
      <c r="H10" s="307"/>
      <c r="I10" s="308">
        <f t="shared" ref="I10:AP10" si="4">I8-SUM(I9:I9)</f>
        <v>2622</v>
      </c>
      <c r="J10" s="305">
        <f t="shared" si="4"/>
        <v>609</v>
      </c>
      <c r="K10" s="306">
        <f t="shared" si="4"/>
        <v>654</v>
      </c>
      <c r="L10" s="306">
        <f t="shared" si="4"/>
        <v>696</v>
      </c>
      <c r="M10" s="307">
        <f t="shared" si="4"/>
        <v>761</v>
      </c>
      <c r="N10" s="308">
        <f t="shared" si="4"/>
        <v>2720</v>
      </c>
      <c r="O10" s="305">
        <f t="shared" si="4"/>
        <v>835</v>
      </c>
      <c r="P10" s="306">
        <f t="shared" si="4"/>
        <v>871</v>
      </c>
      <c r="Q10" s="306">
        <f t="shared" si="4"/>
        <v>1127</v>
      </c>
      <c r="R10" s="314">
        <f t="shared" si="4"/>
        <v>800</v>
      </c>
      <c r="S10" s="308">
        <f t="shared" si="4"/>
        <v>3633</v>
      </c>
      <c r="T10" s="305">
        <f t="shared" si="4"/>
        <v>842</v>
      </c>
      <c r="U10" s="306">
        <f t="shared" si="4"/>
        <v>757</v>
      </c>
      <c r="V10" s="306">
        <f t="shared" si="4"/>
        <v>858</v>
      </c>
      <c r="W10" s="314">
        <f t="shared" si="4"/>
        <v>711</v>
      </c>
      <c r="X10" s="308">
        <f t="shared" si="4"/>
        <v>3168</v>
      </c>
      <c r="Y10" s="305">
        <f t="shared" si="4"/>
        <v>803</v>
      </c>
      <c r="Z10" s="306">
        <f t="shared" si="4"/>
        <v>724</v>
      </c>
      <c r="AA10" s="306">
        <f t="shared" si="4"/>
        <v>794</v>
      </c>
      <c r="AB10" s="314">
        <f t="shared" ref="AB10:AJ10" si="5">AB8-SUM(AB9:AB9)</f>
        <v>630</v>
      </c>
      <c r="AC10" s="308">
        <f t="shared" si="5"/>
        <v>2951</v>
      </c>
      <c r="AD10" s="305">
        <f t="shared" si="5"/>
        <v>584</v>
      </c>
      <c r="AE10" s="306">
        <f t="shared" si="5"/>
        <v>553</v>
      </c>
      <c r="AF10" s="306">
        <f t="shared" si="5"/>
        <v>706</v>
      </c>
      <c r="AG10" s="314">
        <f t="shared" si="5"/>
        <v>583</v>
      </c>
      <c r="AH10" s="308">
        <f t="shared" si="5"/>
        <v>2426</v>
      </c>
      <c r="AI10" s="305">
        <f t="shared" si="5"/>
        <v>670</v>
      </c>
      <c r="AJ10" s="306">
        <f t="shared" si="5"/>
        <v>588</v>
      </c>
      <c r="AK10" s="306">
        <f t="shared" ref="AK10" si="6">AK8-SUM(AK9:AK9)</f>
        <v>756</v>
      </c>
      <c r="AL10" s="314">
        <f t="shared" ref="AL10:AM10" si="7">AL8-SUM(AL9:AL9)</f>
        <v>592</v>
      </c>
      <c r="AM10" s="308">
        <f t="shared" si="7"/>
        <v>2606</v>
      </c>
      <c r="AN10" s="305">
        <f t="shared" ref="AN10" si="8">AN8-SUM(AN9:AN9)</f>
        <v>712</v>
      </c>
      <c r="AO10" s="306">
        <f t="shared" ref="AO10" si="9">AO8-SUM(AO9:AO9)</f>
        <v>543</v>
      </c>
      <c r="AP10" s="306">
        <f t="shared" si="4"/>
        <v>627</v>
      </c>
      <c r="AQ10" s="314">
        <f t="shared" ref="AQ10:AT10" si="10">AQ8-SUM(AQ9:AQ9)</f>
        <v>549</v>
      </c>
      <c r="AR10" s="308">
        <f t="shared" si="10"/>
        <v>2431</v>
      </c>
      <c r="AS10" s="305">
        <f t="shared" si="10"/>
        <v>537</v>
      </c>
      <c r="AT10" s="306">
        <f t="shared" si="10"/>
        <v>478</v>
      </c>
      <c r="AU10" s="306">
        <f t="shared" ref="AU10:BB10" si="11">AU8-SUM(AU9:AU9)</f>
        <v>495</v>
      </c>
      <c r="AV10" s="314">
        <f t="shared" si="11"/>
        <v>473</v>
      </c>
      <c r="AW10" s="308">
        <f t="shared" si="11"/>
        <v>1983</v>
      </c>
      <c r="AX10" s="305">
        <f t="shared" si="11"/>
        <v>428.67982687189294</v>
      </c>
      <c r="AY10" s="306">
        <f t="shared" si="11"/>
        <v>363.17129742909299</v>
      </c>
      <c r="AZ10" s="306">
        <f t="shared" si="11"/>
        <v>344.90641829818264</v>
      </c>
      <c r="BA10" s="307">
        <f t="shared" si="11"/>
        <v>342.50042227105536</v>
      </c>
      <c r="BB10" s="308">
        <f t="shared" si="11"/>
        <v>1479.2579648702238</v>
      </c>
      <c r="BC10" s="305">
        <f t="shared" ref="BC10:BL10" si="12">BC8-SUM(BC9:BC9)</f>
        <v>336.99462672660314</v>
      </c>
      <c r="BD10" s="306">
        <f t="shared" si="12"/>
        <v>318.99730294544923</v>
      </c>
      <c r="BE10" s="306">
        <f t="shared" si="12"/>
        <v>303.90679127194034</v>
      </c>
      <c r="BF10" s="307">
        <f t="shared" si="12"/>
        <v>291.30457202461508</v>
      </c>
      <c r="BG10" s="308">
        <f t="shared" si="12"/>
        <v>1251.2032929686079</v>
      </c>
      <c r="BH10" s="305">
        <f t="shared" si="12"/>
        <v>318.51427219928956</v>
      </c>
      <c r="BI10" s="306">
        <f t="shared" si="12"/>
        <v>302.96413495734913</v>
      </c>
      <c r="BJ10" s="306">
        <f t="shared" si="12"/>
        <v>296.14419932462124</v>
      </c>
      <c r="BK10" s="307">
        <f t="shared" si="12"/>
        <v>286.36478397913771</v>
      </c>
      <c r="BL10" s="308">
        <f t="shared" si="12"/>
        <v>1203.9873904603976</v>
      </c>
      <c r="BM10" s="305">
        <f t="shared" ref="BM10:BQ10" si="13">BM8-SUM(BM9:BM9)</f>
        <v>365.20666583386964</v>
      </c>
      <c r="BN10" s="306">
        <f t="shared" si="13"/>
        <v>326.94788196951993</v>
      </c>
      <c r="BO10" s="306">
        <f t="shared" si="13"/>
        <v>324.95252340277364</v>
      </c>
      <c r="BP10" s="307">
        <f t="shared" si="13"/>
        <v>361.79450640522822</v>
      </c>
      <c r="BQ10" s="308">
        <f t="shared" si="13"/>
        <v>1378.9015776113915</v>
      </c>
      <c r="BR10" s="763"/>
      <c r="BS10" s="1261"/>
      <c r="BT10" s="37"/>
      <c r="BU10" s="273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</row>
    <row r="11" spans="1:84">
      <c r="A11" s="139"/>
      <c r="B11" s="139"/>
      <c r="C11" s="1187"/>
      <c r="E11" s="316"/>
      <c r="F11" s="312"/>
      <c r="G11" s="312"/>
      <c r="H11" s="317"/>
      <c r="I11" s="315"/>
      <c r="J11" s="316"/>
      <c r="K11" s="312"/>
      <c r="L11" s="312"/>
      <c r="M11" s="317"/>
      <c r="N11" s="315"/>
      <c r="O11" s="316"/>
      <c r="P11" s="312"/>
      <c r="Q11" s="312"/>
      <c r="R11" s="323"/>
      <c r="S11" s="315"/>
      <c r="T11" s="316"/>
      <c r="U11" s="312"/>
      <c r="V11" s="312"/>
      <c r="W11" s="323"/>
      <c r="X11" s="315"/>
      <c r="Y11" s="674"/>
      <c r="Z11" s="312"/>
      <c r="AA11" s="312"/>
      <c r="AB11" s="323"/>
      <c r="AC11" s="315"/>
      <c r="AD11" s="674"/>
      <c r="AE11" s="312"/>
      <c r="AF11" s="312"/>
      <c r="AG11" s="323"/>
      <c r="AH11" s="315"/>
      <c r="AI11" s="674"/>
      <c r="AJ11" s="312"/>
      <c r="AK11" s="312"/>
      <c r="AL11" s="323"/>
      <c r="AM11" s="315"/>
      <c r="AN11" s="674"/>
      <c r="AO11" s="312"/>
      <c r="AP11" s="312"/>
      <c r="AQ11" s="323"/>
      <c r="AR11" s="315"/>
      <c r="AS11" s="316"/>
      <c r="AT11" s="312"/>
      <c r="AU11" s="312"/>
      <c r="AV11" s="323"/>
      <c r="AW11" s="315"/>
      <c r="AX11" s="316"/>
      <c r="AY11" s="312"/>
      <c r="AZ11" s="312"/>
      <c r="BA11" s="317"/>
      <c r="BB11" s="315"/>
      <c r="BC11" s="316"/>
      <c r="BD11" s="312"/>
      <c r="BE11" s="312"/>
      <c r="BF11" s="317"/>
      <c r="BG11" s="315"/>
      <c r="BH11" s="316"/>
      <c r="BI11" s="312"/>
      <c r="BJ11" s="312"/>
      <c r="BK11" s="317"/>
      <c r="BL11" s="315"/>
      <c r="BM11" s="316"/>
      <c r="BN11" s="312"/>
      <c r="BO11" s="312"/>
      <c r="BP11" s="317"/>
      <c r="BQ11" s="315"/>
      <c r="BR11" s="177"/>
      <c r="BS11" s="177"/>
      <c r="BT11" s="15"/>
      <c r="BU11" s="253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</row>
    <row r="12" spans="1:84">
      <c r="A12" s="139"/>
      <c r="B12" s="139"/>
      <c r="C12" s="1187" t="s">
        <v>254</v>
      </c>
      <c r="E12" s="288"/>
      <c r="F12" s="289"/>
      <c r="G12" s="289"/>
      <c r="H12" s="290"/>
      <c r="I12" s="291">
        <v>1332</v>
      </c>
      <c r="J12" s="288">
        <v>352</v>
      </c>
      <c r="K12" s="289">
        <v>340</v>
      </c>
      <c r="L12" s="289">
        <v>345</v>
      </c>
      <c r="M12" s="290">
        <f>N12-L12-K12-J12</f>
        <v>356</v>
      </c>
      <c r="N12" s="291">
        <v>1393</v>
      </c>
      <c r="O12" s="288">
        <f>1256-P12</f>
        <v>631</v>
      </c>
      <c r="P12" s="289">
        <v>625</v>
      </c>
      <c r="Q12" s="289">
        <v>533</v>
      </c>
      <c r="R12" s="290">
        <f>S12-SUM(O12:Q12)</f>
        <v>467</v>
      </c>
      <c r="S12" s="291">
        <v>2256</v>
      </c>
      <c r="T12" s="288">
        <v>409</v>
      </c>
      <c r="U12" s="289">
        <v>513</v>
      </c>
      <c r="V12" s="289">
        <v>470</v>
      </c>
      <c r="W12" s="290">
        <f>X12-SUM(T12:V12)</f>
        <v>457</v>
      </c>
      <c r="X12" s="291">
        <v>1849</v>
      </c>
      <c r="Y12" s="288">
        <v>529</v>
      </c>
      <c r="Z12" s="302">
        <v>534</v>
      </c>
      <c r="AA12" s="302">
        <v>457</v>
      </c>
      <c r="AB12" s="290">
        <f>AC12-SUM(Y12:AA12)</f>
        <v>487</v>
      </c>
      <c r="AC12" s="291">
        <v>2007</v>
      </c>
      <c r="AD12" s="288">
        <v>609</v>
      </c>
      <c r="AE12" s="302">
        <v>584</v>
      </c>
      <c r="AF12" s="302">
        <v>432</v>
      </c>
      <c r="AG12" s="290">
        <f>AH12-SUM(AD12:AF12)</f>
        <v>450</v>
      </c>
      <c r="AH12" s="291">
        <v>2075</v>
      </c>
      <c r="AI12" s="288">
        <v>519</v>
      </c>
      <c r="AJ12" s="302">
        <v>427</v>
      </c>
      <c r="AK12" s="302">
        <v>336</v>
      </c>
      <c r="AL12" s="290">
        <f>AM12-SUM(AI12:AK12)</f>
        <v>388</v>
      </c>
      <c r="AM12" s="291">
        <v>1670</v>
      </c>
      <c r="AN12" s="288">
        <v>321</v>
      </c>
      <c r="AO12" s="302">
        <v>432</v>
      </c>
      <c r="AP12" s="302">
        <v>367</v>
      </c>
      <c r="AQ12" s="290">
        <f>AR12-SUM(AN12:AP12)</f>
        <v>406</v>
      </c>
      <c r="AR12" s="291">
        <v>1526</v>
      </c>
      <c r="AS12" s="288">
        <v>564</v>
      </c>
      <c r="AT12" s="302">
        <v>349</v>
      </c>
      <c r="AU12" s="302">
        <v>324</v>
      </c>
      <c r="AV12" s="290">
        <f>AW12-SUM(AS12:AU12)</f>
        <v>540</v>
      </c>
      <c r="AW12" s="291">
        <v>1777</v>
      </c>
      <c r="AX12" s="316">
        <f>AX542</f>
        <v>313.495</v>
      </c>
      <c r="AY12" s="312">
        <f>AY542</f>
        <v>313.495</v>
      </c>
      <c r="AZ12" s="312">
        <f>AZ542</f>
        <v>313.495</v>
      </c>
      <c r="BA12" s="317">
        <f>BA542</f>
        <v>313.495</v>
      </c>
      <c r="BB12" s="315">
        <f>SUM(AX12:BA12)</f>
        <v>1253.98</v>
      </c>
      <c r="BC12" s="316">
        <f>BC542</f>
        <v>302.245</v>
      </c>
      <c r="BD12" s="312">
        <f>BD542</f>
        <v>302.245</v>
      </c>
      <c r="BE12" s="312">
        <f>BE542</f>
        <v>302.245</v>
      </c>
      <c r="BF12" s="317">
        <f>BF542</f>
        <v>302.245</v>
      </c>
      <c r="BG12" s="315">
        <f>SUM(BC12:BF12)</f>
        <v>1208.98</v>
      </c>
      <c r="BH12" s="316">
        <f>BH542</f>
        <v>302.245</v>
      </c>
      <c r="BI12" s="312">
        <f>BI542</f>
        <v>302.245</v>
      </c>
      <c r="BJ12" s="312">
        <f>BJ542</f>
        <v>302.245</v>
      </c>
      <c r="BK12" s="317">
        <f>BK542</f>
        <v>302.245</v>
      </c>
      <c r="BL12" s="315">
        <f>SUM(BH12:BK12)</f>
        <v>1208.98</v>
      </c>
      <c r="BM12" s="316">
        <f>BM542</f>
        <v>302.245</v>
      </c>
      <c r="BN12" s="312">
        <f>BN542</f>
        <v>302.245</v>
      </c>
      <c r="BO12" s="312">
        <f>BO542</f>
        <v>302.245</v>
      </c>
      <c r="BP12" s="317">
        <f>BP542</f>
        <v>302.245</v>
      </c>
      <c r="BQ12" s="315">
        <f>SUM(BM12:BP12)</f>
        <v>1208.98</v>
      </c>
      <c r="BR12" s="177"/>
      <c r="BS12" s="1261"/>
      <c r="BT12" s="15"/>
      <c r="BU12" s="253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</row>
    <row r="13" spans="1:84">
      <c r="A13" s="139"/>
      <c r="B13" s="139"/>
      <c r="C13" s="1187" t="s">
        <v>221</v>
      </c>
      <c r="E13" s="288"/>
      <c r="F13" s="289"/>
      <c r="G13" s="289"/>
      <c r="H13" s="290"/>
      <c r="I13" s="291">
        <v>279</v>
      </c>
      <c r="J13" s="288">
        <v>77</v>
      </c>
      <c r="K13" s="289">
        <v>71</v>
      </c>
      <c r="L13" s="289">
        <v>67</v>
      </c>
      <c r="M13" s="290">
        <f>N13-L13-K13-J13</f>
        <v>69</v>
      </c>
      <c r="N13" s="291">
        <v>284</v>
      </c>
      <c r="O13" s="288">
        <f>197-P13</f>
        <v>88</v>
      </c>
      <c r="P13" s="289">
        <v>109</v>
      </c>
      <c r="Q13" s="289">
        <v>110</v>
      </c>
      <c r="R13" s="290">
        <f>S13-SUM(O13:Q13)</f>
        <v>108</v>
      </c>
      <c r="S13" s="291">
        <v>415</v>
      </c>
      <c r="T13" s="288">
        <v>100</v>
      </c>
      <c r="U13" s="289">
        <v>103</v>
      </c>
      <c r="V13" s="289">
        <v>105</v>
      </c>
      <c r="W13" s="290">
        <f>X13-SUM(T13:V13)</f>
        <v>106</v>
      </c>
      <c r="X13" s="291">
        <v>414</v>
      </c>
      <c r="Y13" s="288">
        <v>111</v>
      </c>
      <c r="Z13" s="302">
        <v>114</v>
      </c>
      <c r="AA13" s="302">
        <v>125</v>
      </c>
      <c r="AB13" s="290">
        <f>AC13-SUM(Y13:AA13)</f>
        <v>89</v>
      </c>
      <c r="AC13" s="291">
        <v>439</v>
      </c>
      <c r="AD13" s="288">
        <v>91</v>
      </c>
      <c r="AE13" s="302">
        <v>96</v>
      </c>
      <c r="AF13" s="302">
        <v>100</v>
      </c>
      <c r="AG13" s="290">
        <f>AH13-SUM(AD13:AF13)</f>
        <v>100</v>
      </c>
      <c r="AH13" s="291">
        <v>387</v>
      </c>
      <c r="AI13" s="288">
        <v>96</v>
      </c>
      <c r="AJ13" s="302">
        <v>99</v>
      </c>
      <c r="AK13" s="302">
        <v>98</v>
      </c>
      <c r="AL13" s="290">
        <f>AM13-SUM(AI13:AK13)</f>
        <v>101</v>
      </c>
      <c r="AM13" s="291">
        <v>394</v>
      </c>
      <c r="AN13" s="288">
        <v>102</v>
      </c>
      <c r="AO13" s="302">
        <v>103</v>
      </c>
      <c r="AP13" s="302">
        <v>79</v>
      </c>
      <c r="AQ13" s="290">
        <f>AR13-SUM(AN13:AP13)</f>
        <v>103</v>
      </c>
      <c r="AR13" s="291">
        <v>387</v>
      </c>
      <c r="AS13" s="288">
        <v>28</v>
      </c>
      <c r="AT13" s="302">
        <v>29</v>
      </c>
      <c r="AU13" s="302">
        <v>30</v>
      </c>
      <c r="AV13" s="290">
        <f>AW13-SUM(AS13:AU13)</f>
        <v>31</v>
      </c>
      <c r="AW13" s="291">
        <v>118</v>
      </c>
      <c r="AX13" s="316">
        <f>AX561</f>
        <v>22.834</v>
      </c>
      <c r="AY13" s="312">
        <f>AY561</f>
        <v>24.050816999999999</v>
      </c>
      <c r="AZ13" s="312">
        <f>AZ561</f>
        <v>25.237821983499998</v>
      </c>
      <c r="BA13" s="317">
        <f>BA561</f>
        <v>26.395745344904249</v>
      </c>
      <c r="BB13" s="315">
        <f>SUM(AX13:BA13)</f>
        <v>98.518384328404238</v>
      </c>
      <c r="BC13" s="316">
        <f>BC561</f>
        <v>27.525299583954094</v>
      </c>
      <c r="BD13" s="312">
        <f>BD561</f>
        <v>28.627179744147217</v>
      </c>
      <c r="BE13" s="312">
        <f>BE561</f>
        <v>29.702063840415608</v>
      </c>
      <c r="BF13" s="317">
        <f>BF561</f>
        <v>30.750613276325428</v>
      </c>
      <c r="BG13" s="315">
        <f>SUM(BC13:BF13)</f>
        <v>116.60515644484234</v>
      </c>
      <c r="BH13" s="316">
        <f>BH561</f>
        <v>31.773473251055449</v>
      </c>
      <c r="BI13" s="312">
        <f>BI561</f>
        <v>32.771273156404597</v>
      </c>
      <c r="BJ13" s="312">
        <f>BJ561</f>
        <v>33.74462696407268</v>
      </c>
      <c r="BK13" s="317">
        <f>BK561</f>
        <v>34.694133603452897</v>
      </c>
      <c r="BL13" s="315">
        <f>SUM(BH13:BK13)</f>
        <v>132.98350697498563</v>
      </c>
      <c r="BM13" s="316">
        <f>BM561</f>
        <v>35.620377330168303</v>
      </c>
      <c r="BN13" s="312">
        <f>BN561</f>
        <v>36.523928085579186</v>
      </c>
      <c r="BO13" s="312">
        <f>BO561</f>
        <v>37.405341847482497</v>
      </c>
      <c r="BP13" s="317">
        <f>BP561</f>
        <v>38.265160972219185</v>
      </c>
      <c r="BQ13" s="315">
        <f>SUM(BM13:BP13)</f>
        <v>147.81480823544916</v>
      </c>
      <c r="BR13" s="177"/>
      <c r="BS13" s="1261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</row>
    <row r="14" spans="1:84">
      <c r="A14" s="139"/>
      <c r="B14" s="139"/>
      <c r="C14" s="1187" t="s">
        <v>194</v>
      </c>
      <c r="E14" s="288"/>
      <c r="F14" s="289"/>
      <c r="G14" s="289"/>
      <c r="H14" s="290"/>
      <c r="I14" s="291">
        <v>112</v>
      </c>
      <c r="J14" s="288">
        <v>37</v>
      </c>
      <c r="K14" s="289">
        <v>27</v>
      </c>
      <c r="L14" s="289">
        <v>28</v>
      </c>
      <c r="M14" s="290">
        <f>N14-L14-K14-J14</f>
        <v>32</v>
      </c>
      <c r="N14" s="291">
        <v>124</v>
      </c>
      <c r="O14" s="288">
        <f>95-P14</f>
        <v>44</v>
      </c>
      <c r="P14" s="289">
        <v>51</v>
      </c>
      <c r="Q14" s="289">
        <v>55</v>
      </c>
      <c r="R14" s="290">
        <f>S14-SUM(O14:Q14)</f>
        <v>50</v>
      </c>
      <c r="S14" s="291">
        <v>200</v>
      </c>
      <c r="T14" s="288">
        <v>61</v>
      </c>
      <c r="U14" s="289">
        <v>49</v>
      </c>
      <c r="V14" s="289">
        <v>52</v>
      </c>
      <c r="W14" s="290">
        <f>X14-SUM(T14:V14)</f>
        <v>48</v>
      </c>
      <c r="X14" s="291">
        <v>210</v>
      </c>
      <c r="Y14" s="288">
        <v>60</v>
      </c>
      <c r="Z14" s="302">
        <v>50</v>
      </c>
      <c r="AA14" s="302">
        <v>49</v>
      </c>
      <c r="AB14" s="290">
        <f>AC14-SUM(Y14:AA14)</f>
        <v>43</v>
      </c>
      <c r="AC14" s="291">
        <v>202</v>
      </c>
      <c r="AD14" s="288">
        <v>54</v>
      </c>
      <c r="AE14" s="302">
        <v>39</v>
      </c>
      <c r="AF14" s="302">
        <v>40</v>
      </c>
      <c r="AG14" s="290">
        <f>AH14-SUM(AD14:AF14)</f>
        <v>38</v>
      </c>
      <c r="AH14" s="291">
        <v>171</v>
      </c>
      <c r="AI14" s="288">
        <v>41</v>
      </c>
      <c r="AJ14" s="302">
        <v>36</v>
      </c>
      <c r="AK14" s="302">
        <v>35</v>
      </c>
      <c r="AL14" s="290">
        <f>AM14-SUM(AI14:AK14)</f>
        <v>28</v>
      </c>
      <c r="AM14" s="291">
        <v>140</v>
      </c>
      <c r="AN14" s="288">
        <v>39</v>
      </c>
      <c r="AO14" s="302">
        <v>29</v>
      </c>
      <c r="AP14" s="302">
        <v>30</v>
      </c>
      <c r="AQ14" s="290">
        <f>AR14-SUM(AN14:AP14)</f>
        <v>36</v>
      </c>
      <c r="AR14" s="291">
        <v>134</v>
      </c>
      <c r="AS14" s="288">
        <v>30</v>
      </c>
      <c r="AT14" s="302">
        <v>27</v>
      </c>
      <c r="AU14" s="302">
        <v>14</v>
      </c>
      <c r="AV14" s="290">
        <f>AW14-SUM(AS14:AU14)</f>
        <v>28</v>
      </c>
      <c r="AW14" s="291">
        <v>99</v>
      </c>
      <c r="AX14" s="316">
        <f>AX548</f>
        <v>30.3</v>
      </c>
      <c r="AY14" s="312">
        <f>AY548</f>
        <v>27.27</v>
      </c>
      <c r="AZ14" s="312">
        <f>AZ548</f>
        <v>14.14</v>
      </c>
      <c r="BA14" s="317">
        <f>BA548</f>
        <v>28.28</v>
      </c>
      <c r="BB14" s="315">
        <f>SUM(AX14:BA14)</f>
        <v>99.990000000000009</v>
      </c>
      <c r="BC14" s="316">
        <f>BC548</f>
        <v>30.603000000000002</v>
      </c>
      <c r="BD14" s="312">
        <f>BD548</f>
        <v>27.5427</v>
      </c>
      <c r="BE14" s="312">
        <f>BE548</f>
        <v>14.281400000000001</v>
      </c>
      <c r="BF14" s="317">
        <f>BF548</f>
        <v>28.562800000000003</v>
      </c>
      <c r="BG14" s="315">
        <f>SUM(BC14:BF14)</f>
        <v>100.98990000000001</v>
      </c>
      <c r="BH14" s="316">
        <f>BH548</f>
        <v>30.909030000000001</v>
      </c>
      <c r="BI14" s="312">
        <f>BI548</f>
        <v>27.818127</v>
      </c>
      <c r="BJ14" s="312">
        <f>BJ548</f>
        <v>14.424214000000001</v>
      </c>
      <c r="BK14" s="317">
        <f>BK548</f>
        <v>28.848428000000002</v>
      </c>
      <c r="BL14" s="315">
        <f>SUM(BH14:BK14)</f>
        <v>101.99979900000001</v>
      </c>
      <c r="BM14" s="316">
        <f>BM548</f>
        <v>31.218120300000002</v>
      </c>
      <c r="BN14" s="312">
        <f>BN548</f>
        <v>28.096308270000002</v>
      </c>
      <c r="BO14" s="312">
        <f>BO548</f>
        <v>14.56845614</v>
      </c>
      <c r="BP14" s="317">
        <f>BP548</f>
        <v>29.136912280000001</v>
      </c>
      <c r="BQ14" s="315">
        <f>SUM(BM14:BP14)</f>
        <v>103.01979699</v>
      </c>
      <c r="BR14" s="177"/>
      <c r="BS14" s="177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</row>
    <row r="15" spans="1:84" s="94" customFormat="1">
      <c r="A15" s="120"/>
      <c r="B15" s="120"/>
      <c r="C15" s="1222" t="s">
        <v>195</v>
      </c>
      <c r="E15" s="288"/>
      <c r="F15" s="289"/>
      <c r="G15" s="289"/>
      <c r="H15" s="290"/>
      <c r="I15" s="308">
        <f t="shared" ref="I15:AA15" si="14">SUM(I9:I9,I12:I14)</f>
        <v>3872</v>
      </c>
      <c r="J15" s="305">
        <f t="shared" si="14"/>
        <v>1250</v>
      </c>
      <c r="K15" s="306">
        <f t="shared" si="14"/>
        <v>1118</v>
      </c>
      <c r="L15" s="306">
        <f t="shared" si="14"/>
        <v>1345</v>
      </c>
      <c r="M15" s="307">
        <f t="shared" si="14"/>
        <v>1244</v>
      </c>
      <c r="N15" s="308">
        <f t="shared" si="14"/>
        <v>4957</v>
      </c>
      <c r="O15" s="305">
        <f t="shared" si="14"/>
        <v>1512</v>
      </c>
      <c r="P15" s="306">
        <f t="shared" si="14"/>
        <v>1727</v>
      </c>
      <c r="Q15" s="306">
        <f t="shared" si="14"/>
        <v>1600</v>
      </c>
      <c r="R15" s="314">
        <f t="shared" si="14"/>
        <v>1461</v>
      </c>
      <c r="S15" s="308">
        <f t="shared" si="14"/>
        <v>6300</v>
      </c>
      <c r="T15" s="305">
        <f t="shared" si="14"/>
        <v>1515</v>
      </c>
      <c r="U15" s="306">
        <f t="shared" si="14"/>
        <v>1733</v>
      </c>
      <c r="V15" s="306">
        <f t="shared" si="14"/>
        <v>1698</v>
      </c>
      <c r="W15" s="314">
        <f t="shared" si="14"/>
        <v>1033</v>
      </c>
      <c r="X15" s="308">
        <f t="shared" si="14"/>
        <v>5979</v>
      </c>
      <c r="Y15" s="305">
        <f t="shared" si="14"/>
        <v>1527</v>
      </c>
      <c r="Z15" s="306">
        <f t="shared" si="14"/>
        <v>1527</v>
      </c>
      <c r="AA15" s="306">
        <f t="shared" si="14"/>
        <v>1606</v>
      </c>
      <c r="AB15" s="314">
        <f t="shared" ref="AB15:AJ15" si="15">SUM(AB9:AB9,AB12:AB14)</f>
        <v>1532</v>
      </c>
      <c r="AC15" s="308">
        <f t="shared" si="15"/>
        <v>6192</v>
      </c>
      <c r="AD15" s="305">
        <f t="shared" si="15"/>
        <v>1941</v>
      </c>
      <c r="AE15" s="306">
        <f t="shared" si="15"/>
        <v>1659</v>
      </c>
      <c r="AF15" s="306">
        <f t="shared" si="15"/>
        <v>1465</v>
      </c>
      <c r="AG15" s="314">
        <f t="shared" si="15"/>
        <v>1431</v>
      </c>
      <c r="AH15" s="308">
        <f t="shared" si="15"/>
        <v>6496</v>
      </c>
      <c r="AI15" s="305">
        <f t="shared" si="15"/>
        <v>1421</v>
      </c>
      <c r="AJ15" s="306">
        <f t="shared" si="15"/>
        <v>1170</v>
      </c>
      <c r="AK15" s="306">
        <f t="shared" ref="AK15:AO15" si="16">SUM(AK9:AK9,AK12:AK14)</f>
        <v>1181</v>
      </c>
      <c r="AL15" s="314">
        <f t="shared" si="16"/>
        <v>1210</v>
      </c>
      <c r="AM15" s="308">
        <f t="shared" si="16"/>
        <v>4982</v>
      </c>
      <c r="AN15" s="305">
        <f t="shared" si="16"/>
        <v>1054</v>
      </c>
      <c r="AO15" s="306">
        <f t="shared" si="16"/>
        <v>1137</v>
      </c>
      <c r="AP15" s="306">
        <f t="shared" ref="AP15:AR15" si="17">SUM(AP9:AP9,AP12:AP14)</f>
        <v>964</v>
      </c>
      <c r="AQ15" s="314">
        <f t="shared" si="17"/>
        <v>1010</v>
      </c>
      <c r="AR15" s="308">
        <f t="shared" si="17"/>
        <v>4165</v>
      </c>
      <c r="AS15" s="305">
        <f t="shared" ref="AS15:BB15" si="18">SUM(AS9:AS9,AS12:AS14)</f>
        <v>1016</v>
      </c>
      <c r="AT15" s="306">
        <f t="shared" si="18"/>
        <v>791</v>
      </c>
      <c r="AU15" s="306">
        <f t="shared" si="18"/>
        <v>762</v>
      </c>
      <c r="AV15" s="314">
        <f t="shared" si="18"/>
        <v>971</v>
      </c>
      <c r="AW15" s="308">
        <f t="shared" si="18"/>
        <v>3540</v>
      </c>
      <c r="AX15" s="305">
        <f t="shared" si="18"/>
        <v>724.14319339605345</v>
      </c>
      <c r="AY15" s="306">
        <f t="shared" si="18"/>
        <v>689.21247368348384</v>
      </c>
      <c r="AZ15" s="306">
        <f t="shared" si="18"/>
        <v>677.47056232489001</v>
      </c>
      <c r="BA15" s="307">
        <f t="shared" si="18"/>
        <v>717.90497665590374</v>
      </c>
      <c r="BB15" s="308">
        <f t="shared" si="18"/>
        <v>2808.7312060603317</v>
      </c>
      <c r="BC15" s="305">
        <f t="shared" ref="BC15:BL15" si="19">SUM(BC9:BC9,BC12:BC14)</f>
        <v>657.30974522643032</v>
      </c>
      <c r="BD15" s="306">
        <f t="shared" si="19"/>
        <v>573.31554388025506</v>
      </c>
      <c r="BE15" s="306">
        <f t="shared" si="19"/>
        <v>561.17077520978103</v>
      </c>
      <c r="BF15" s="307">
        <f t="shared" si="19"/>
        <v>680.91061397339308</v>
      </c>
      <c r="BG15" s="308">
        <f t="shared" si="19"/>
        <v>2472.7066782898592</v>
      </c>
      <c r="BH15" s="305">
        <f t="shared" si="19"/>
        <v>640.19657103682118</v>
      </c>
      <c r="BI15" s="306">
        <f t="shared" si="19"/>
        <v>559.11661922378948</v>
      </c>
      <c r="BJ15" s="306">
        <f t="shared" si="19"/>
        <v>548.68040460997315</v>
      </c>
      <c r="BK15" s="307">
        <f t="shared" si="19"/>
        <v>664.51630320523691</v>
      </c>
      <c r="BL15" s="308">
        <f t="shared" si="19"/>
        <v>2412.5098980758207</v>
      </c>
      <c r="BM15" s="305">
        <f t="shared" ref="BM15:BQ15" si="20">SUM(BM9:BM9,BM12:BM14)</f>
        <v>569.6239794564151</v>
      </c>
      <c r="BN15" s="306">
        <f t="shared" si="20"/>
        <v>563.47633332860676</v>
      </c>
      <c r="BO15" s="306">
        <f t="shared" si="20"/>
        <v>546.95326074441709</v>
      </c>
      <c r="BP15" s="307">
        <f t="shared" si="20"/>
        <v>580.96235532248897</v>
      </c>
      <c r="BQ15" s="308">
        <f t="shared" si="20"/>
        <v>2261.015928851928</v>
      </c>
      <c r="BR15" s="178"/>
      <c r="BS15" s="178"/>
      <c r="BT15" s="254"/>
      <c r="BU15" s="254"/>
      <c r="BV15" s="254"/>
      <c r="BW15" s="254"/>
      <c r="BX15" s="254"/>
      <c r="BY15" s="254"/>
      <c r="BZ15" s="254"/>
      <c r="CA15" s="254"/>
      <c r="CB15" s="254"/>
      <c r="CC15" s="254"/>
      <c r="CD15" s="254"/>
      <c r="CE15" s="254"/>
      <c r="CF15" s="254"/>
    </row>
    <row r="16" spans="1:84" s="94" customFormat="1">
      <c r="A16" s="120"/>
      <c r="B16" s="120"/>
      <c r="C16" s="1186"/>
      <c r="E16" s="288"/>
      <c r="F16" s="289"/>
      <c r="G16" s="289"/>
      <c r="H16" s="290"/>
      <c r="I16" s="291"/>
      <c r="J16" s="288"/>
      <c r="K16" s="289"/>
      <c r="L16" s="289"/>
      <c r="M16" s="290"/>
      <c r="N16" s="291"/>
      <c r="O16" s="288"/>
      <c r="P16" s="289"/>
      <c r="Q16" s="289"/>
      <c r="R16" s="323"/>
      <c r="S16" s="291"/>
      <c r="T16" s="288"/>
      <c r="U16" s="289"/>
      <c r="V16" s="289"/>
      <c r="W16" s="323"/>
      <c r="X16" s="291"/>
      <c r="Y16" s="288"/>
      <c r="Z16" s="302"/>
      <c r="AA16" s="302"/>
      <c r="AB16" s="323"/>
      <c r="AC16" s="291"/>
      <c r="AD16" s="288"/>
      <c r="AE16" s="302"/>
      <c r="AF16" s="302"/>
      <c r="AG16" s="323"/>
      <c r="AH16" s="291"/>
      <c r="AI16" s="288"/>
      <c r="AJ16" s="302"/>
      <c r="AK16" s="302"/>
      <c r="AL16" s="323"/>
      <c r="AM16" s="291"/>
      <c r="AN16" s="288"/>
      <c r="AO16" s="302"/>
      <c r="AP16" s="302"/>
      <c r="AQ16" s="323"/>
      <c r="AR16" s="291"/>
      <c r="AS16" s="296"/>
      <c r="AT16" s="297"/>
      <c r="AU16" s="297"/>
      <c r="AV16" s="323"/>
      <c r="AW16" s="291"/>
      <c r="AX16" s="296"/>
      <c r="AY16" s="297"/>
      <c r="AZ16" s="297"/>
      <c r="BA16" s="290"/>
      <c r="BB16" s="315"/>
      <c r="BC16" s="296"/>
      <c r="BD16" s="297"/>
      <c r="BE16" s="297"/>
      <c r="BF16" s="290"/>
      <c r="BG16" s="315"/>
      <c r="BH16" s="296"/>
      <c r="BI16" s="297"/>
      <c r="BJ16" s="297"/>
      <c r="BK16" s="290"/>
      <c r="BL16" s="315"/>
      <c r="BM16" s="296"/>
      <c r="BN16" s="297"/>
      <c r="BO16" s="297"/>
      <c r="BP16" s="290"/>
      <c r="BQ16" s="315"/>
      <c r="BR16" s="178"/>
      <c r="BS16" s="178"/>
      <c r="BT16" s="254"/>
      <c r="BU16" s="254"/>
      <c r="BV16" s="254"/>
      <c r="BW16" s="254"/>
      <c r="BX16" s="254"/>
      <c r="BY16" s="254"/>
      <c r="BZ16" s="254"/>
      <c r="CA16" s="254"/>
      <c r="CB16" s="254"/>
      <c r="CC16" s="254"/>
      <c r="CD16" s="254"/>
      <c r="CE16" s="254"/>
      <c r="CF16" s="254"/>
    </row>
    <row r="17" spans="1:84">
      <c r="A17" s="139"/>
      <c r="B17" s="139"/>
      <c r="C17" s="1222" t="s">
        <v>290</v>
      </c>
      <c r="E17" s="305"/>
      <c r="F17" s="306"/>
      <c r="G17" s="306"/>
      <c r="H17" s="307"/>
      <c r="I17" s="308">
        <f t="shared" ref="I17:AA17" si="21">I8-I15</f>
        <v>899</v>
      </c>
      <c r="J17" s="305">
        <f t="shared" si="21"/>
        <v>143</v>
      </c>
      <c r="K17" s="306">
        <f t="shared" si="21"/>
        <v>216</v>
      </c>
      <c r="L17" s="306">
        <f t="shared" si="21"/>
        <v>256</v>
      </c>
      <c r="M17" s="307">
        <f t="shared" si="21"/>
        <v>304</v>
      </c>
      <c r="N17" s="308">
        <f t="shared" si="21"/>
        <v>919</v>
      </c>
      <c r="O17" s="305">
        <f t="shared" si="21"/>
        <v>72</v>
      </c>
      <c r="P17" s="306">
        <f t="shared" si="21"/>
        <v>86</v>
      </c>
      <c r="Q17" s="306">
        <f t="shared" si="21"/>
        <v>429</v>
      </c>
      <c r="R17" s="314">
        <f>R8-R15</f>
        <v>175</v>
      </c>
      <c r="S17" s="308">
        <f t="shared" si="21"/>
        <v>762</v>
      </c>
      <c r="T17" s="305">
        <f t="shared" si="21"/>
        <v>272</v>
      </c>
      <c r="U17" s="306">
        <f t="shared" si="21"/>
        <v>92</v>
      </c>
      <c r="V17" s="306">
        <f>V8-V15</f>
        <v>231</v>
      </c>
      <c r="W17" s="314">
        <f t="shared" si="21"/>
        <v>100</v>
      </c>
      <c r="X17" s="308">
        <f t="shared" si="21"/>
        <v>695</v>
      </c>
      <c r="Y17" s="305">
        <f t="shared" si="21"/>
        <v>103</v>
      </c>
      <c r="Z17" s="306">
        <f t="shared" si="21"/>
        <v>26</v>
      </c>
      <c r="AA17" s="306">
        <f t="shared" si="21"/>
        <v>163</v>
      </c>
      <c r="AB17" s="314">
        <f t="shared" ref="AB17:AJ17" si="22">AB8-AB15</f>
        <v>11</v>
      </c>
      <c r="AC17" s="308">
        <f t="shared" si="22"/>
        <v>303</v>
      </c>
      <c r="AD17" s="305">
        <f t="shared" si="22"/>
        <v>-170</v>
      </c>
      <c r="AE17" s="306">
        <f t="shared" si="22"/>
        <v>-166</v>
      </c>
      <c r="AF17" s="306">
        <f t="shared" si="22"/>
        <v>134</v>
      </c>
      <c r="AG17" s="314">
        <f t="shared" si="22"/>
        <v>-5</v>
      </c>
      <c r="AH17" s="308">
        <f t="shared" si="22"/>
        <v>-207</v>
      </c>
      <c r="AI17" s="305">
        <f t="shared" si="22"/>
        <v>14</v>
      </c>
      <c r="AJ17" s="306">
        <f t="shared" si="22"/>
        <v>26</v>
      </c>
      <c r="AK17" s="306">
        <f t="shared" ref="AK17:AO17" si="23">AK8-AK15</f>
        <v>287</v>
      </c>
      <c r="AL17" s="314">
        <f t="shared" si="23"/>
        <v>75</v>
      </c>
      <c r="AM17" s="308">
        <f t="shared" si="23"/>
        <v>402</v>
      </c>
      <c r="AN17" s="305">
        <f t="shared" si="23"/>
        <v>250</v>
      </c>
      <c r="AO17" s="306">
        <f t="shared" si="23"/>
        <v>-21</v>
      </c>
      <c r="AP17" s="306">
        <f t="shared" ref="AP17:AT17" si="24">AP8-AP15</f>
        <v>151</v>
      </c>
      <c r="AQ17" s="314">
        <f t="shared" si="24"/>
        <v>4</v>
      </c>
      <c r="AR17" s="308">
        <f t="shared" si="24"/>
        <v>384</v>
      </c>
      <c r="AS17" s="305">
        <f t="shared" si="24"/>
        <v>-85</v>
      </c>
      <c r="AT17" s="306">
        <f t="shared" si="24"/>
        <v>73</v>
      </c>
      <c r="AU17" s="306">
        <f t="shared" ref="AU17:BB17" si="25">AU8-AU15</f>
        <v>127</v>
      </c>
      <c r="AV17" s="314">
        <f t="shared" si="25"/>
        <v>-126</v>
      </c>
      <c r="AW17" s="308">
        <f t="shared" si="25"/>
        <v>-11</v>
      </c>
      <c r="AX17" s="305">
        <f t="shared" si="25"/>
        <v>62.050826871893037</v>
      </c>
      <c r="AY17" s="306">
        <f t="shared" si="25"/>
        <v>-1.6445195709070504</v>
      </c>
      <c r="AZ17" s="306">
        <f t="shared" si="25"/>
        <v>-7.9664036853173457</v>
      </c>
      <c r="BA17" s="307">
        <f t="shared" si="25"/>
        <v>-25.670323073848976</v>
      </c>
      <c r="BB17" s="308">
        <f t="shared" si="25"/>
        <v>26.769580541818868</v>
      </c>
      <c r="BC17" s="305">
        <f t="shared" ref="BC17:BL17" si="26">BC8-BC15</f>
        <v>-23.378672857350807</v>
      </c>
      <c r="BD17" s="306">
        <f t="shared" si="26"/>
        <v>-39.417576798698065</v>
      </c>
      <c r="BE17" s="306">
        <f t="shared" si="26"/>
        <v>-42.321672568475265</v>
      </c>
      <c r="BF17" s="307">
        <f t="shared" si="26"/>
        <v>-70.253841251710469</v>
      </c>
      <c r="BG17" s="308">
        <f t="shared" si="26"/>
        <v>-175.37176347623426</v>
      </c>
      <c r="BH17" s="305">
        <f t="shared" si="26"/>
        <v>-46.413231051765933</v>
      </c>
      <c r="BI17" s="306">
        <f t="shared" si="26"/>
        <v>-59.870265199055439</v>
      </c>
      <c r="BJ17" s="306">
        <f t="shared" si="26"/>
        <v>-54.269641639451436</v>
      </c>
      <c r="BK17" s="307">
        <f t="shared" si="26"/>
        <v>-79.422777624315131</v>
      </c>
      <c r="BL17" s="308">
        <f t="shared" si="26"/>
        <v>-239.975915514588</v>
      </c>
      <c r="BM17" s="305">
        <f t="shared" ref="BM17:BQ17" si="27">BM8-BM15</f>
        <v>-3.8768317962986885</v>
      </c>
      <c r="BN17" s="306">
        <f t="shared" si="27"/>
        <v>-39.917354386059287</v>
      </c>
      <c r="BO17" s="306">
        <f t="shared" si="27"/>
        <v>-29.266274584708867</v>
      </c>
      <c r="BP17" s="307">
        <f t="shared" si="27"/>
        <v>-7.8525668469909533</v>
      </c>
      <c r="BQ17" s="308">
        <f t="shared" si="27"/>
        <v>-80.913027614057683</v>
      </c>
      <c r="BR17" s="177"/>
      <c r="BS17" s="177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</row>
    <row r="18" spans="1:84">
      <c r="A18" s="139"/>
      <c r="B18" s="139"/>
      <c r="C18" s="1222"/>
      <c r="E18" s="305"/>
      <c r="F18" s="306"/>
      <c r="G18" s="306"/>
      <c r="H18" s="307"/>
      <c r="I18" s="308"/>
      <c r="J18" s="305"/>
      <c r="K18" s="306"/>
      <c r="L18" s="306"/>
      <c r="M18" s="307"/>
      <c r="N18" s="308"/>
      <c r="O18" s="305"/>
      <c r="P18" s="306"/>
      <c r="Q18" s="306"/>
      <c r="R18" s="314"/>
      <c r="S18" s="308"/>
      <c r="T18" s="305"/>
      <c r="U18" s="306"/>
      <c r="V18" s="306"/>
      <c r="W18" s="314"/>
      <c r="X18" s="308"/>
      <c r="Y18" s="305"/>
      <c r="Z18" s="306"/>
      <c r="AA18" s="306"/>
      <c r="AB18" s="314"/>
      <c r="AC18" s="308"/>
      <c r="AD18" s="305"/>
      <c r="AE18" s="306"/>
      <c r="AF18" s="306"/>
      <c r="AG18" s="314"/>
      <c r="AH18" s="308"/>
      <c r="AI18" s="305"/>
      <c r="AJ18" s="306"/>
      <c r="AK18" s="306"/>
      <c r="AL18" s="314"/>
      <c r="AM18" s="308"/>
      <c r="AN18" s="305"/>
      <c r="AO18" s="306"/>
      <c r="AP18" s="306"/>
      <c r="AQ18" s="314"/>
      <c r="AR18" s="308"/>
      <c r="AS18" s="305"/>
      <c r="AT18" s="306"/>
      <c r="AU18" s="306"/>
      <c r="AV18" s="314"/>
      <c r="AW18" s="308"/>
      <c r="AX18" s="305"/>
      <c r="AY18" s="306"/>
      <c r="AZ18" s="306"/>
      <c r="BA18" s="307"/>
      <c r="BB18" s="308"/>
      <c r="BC18" s="305"/>
      <c r="BD18" s="306"/>
      <c r="BE18" s="306"/>
      <c r="BF18" s="307"/>
      <c r="BG18" s="308"/>
      <c r="BH18" s="305"/>
      <c r="BI18" s="306"/>
      <c r="BJ18" s="306"/>
      <c r="BK18" s="307"/>
      <c r="BL18" s="308"/>
      <c r="BM18" s="305"/>
      <c r="BN18" s="306"/>
      <c r="BO18" s="306"/>
      <c r="BP18" s="307"/>
      <c r="BQ18" s="308"/>
      <c r="BR18" s="177"/>
      <c r="BS18" s="177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</row>
    <row r="19" spans="1:84" s="173" customFormat="1">
      <c r="A19" s="491"/>
      <c r="B19" s="91"/>
      <c r="C19" s="1179" t="s">
        <v>644</v>
      </c>
      <c r="E19" s="309"/>
      <c r="F19" s="310"/>
      <c r="G19" s="310"/>
      <c r="H19" s="311"/>
      <c r="I19" s="300">
        <v>-36</v>
      </c>
      <c r="J19" s="301">
        <v>1</v>
      </c>
      <c r="K19" s="302">
        <v>13</v>
      </c>
      <c r="L19" s="302">
        <v>-265</v>
      </c>
      <c r="M19" s="311">
        <f>N19-L19-K19-J19</f>
        <v>-193</v>
      </c>
      <c r="N19" s="300">
        <f>-107-388+51</f>
        <v>-444</v>
      </c>
      <c r="O19" s="301">
        <f>21-P19</f>
        <v>5</v>
      </c>
      <c r="P19" s="302">
        <v>16</v>
      </c>
      <c r="Q19" s="302">
        <v>28</v>
      </c>
      <c r="R19" s="290">
        <f>S19-SUM(O19:Q19)</f>
        <v>46</v>
      </c>
      <c r="S19" s="300">
        <f>569+56-215-315</f>
        <v>95</v>
      </c>
      <c r="T19" s="301">
        <v>6</v>
      </c>
      <c r="U19" s="302">
        <v>6</v>
      </c>
      <c r="V19" s="302">
        <v>36</v>
      </c>
      <c r="W19" s="290">
        <f>X19-SUM(T19:V19)</f>
        <v>-197</v>
      </c>
      <c r="X19" s="300">
        <f>66-215</f>
        <v>-149</v>
      </c>
      <c r="Y19" s="301">
        <f>16-119</f>
        <v>-103</v>
      </c>
      <c r="Z19" s="302">
        <f>-17-32-473</f>
        <v>-522</v>
      </c>
      <c r="AA19" s="302">
        <v>-5</v>
      </c>
      <c r="AB19" s="290">
        <f>AC19-SUM(Y19:AA19)</f>
        <v>129</v>
      </c>
      <c r="AC19" s="300">
        <f>14+107-473-149</f>
        <v>-501</v>
      </c>
      <c r="AD19" s="301">
        <f>-7+14</f>
        <v>7</v>
      </c>
      <c r="AE19" s="302">
        <f>-1+21</f>
        <v>20</v>
      </c>
      <c r="AF19" s="302">
        <v>11</v>
      </c>
      <c r="AG19" s="290">
        <f>AH19-SUM(AD19:AF19)</f>
        <v>-328</v>
      </c>
      <c r="AH19" s="300">
        <f>-327+-8+45</f>
        <v>-290</v>
      </c>
      <c r="AI19" s="301">
        <v>11</v>
      </c>
      <c r="AJ19" s="302">
        <v>-7</v>
      </c>
      <c r="AK19" s="302">
        <v>-27</v>
      </c>
      <c r="AL19" s="290">
        <f>AM19-SUM(AI19:AK19)</f>
        <v>-87</v>
      </c>
      <c r="AM19" s="300">
        <f>-34-60-16</f>
        <v>-110</v>
      </c>
      <c r="AN19" s="301">
        <v>15</v>
      </c>
      <c r="AO19" s="2028">
        <f>18-1447</f>
        <v>-1429</v>
      </c>
      <c r="AP19" s="2028">
        <v>23</v>
      </c>
      <c r="AQ19" s="290">
        <f>AR19-SUM(AN19:AP19)</f>
        <v>-9253</v>
      </c>
      <c r="AR19" s="300">
        <f>-10665+66-45</f>
        <v>-10644</v>
      </c>
      <c r="AS19" s="301">
        <v>20</v>
      </c>
      <c r="AT19" s="2028">
        <f>12-131</f>
        <v>-119</v>
      </c>
      <c r="AU19" s="2028">
        <f>34-18</f>
        <v>16</v>
      </c>
      <c r="AV19" s="290">
        <f>AW19-SUM(AS19:AU19)</f>
        <v>-2240</v>
      </c>
      <c r="AW19" s="300">
        <f>-2365-39+81</f>
        <v>-2323</v>
      </c>
      <c r="AX19" s="1810">
        <f>BB19/4</f>
        <v>0</v>
      </c>
      <c r="AY19" s="1811">
        <f>BB19/4</f>
        <v>0</v>
      </c>
      <c r="AZ19" s="1811">
        <f>BB19/4</f>
        <v>0</v>
      </c>
      <c r="BA19" s="1812">
        <f>BB19/4</f>
        <v>0</v>
      </c>
      <c r="BB19" s="1809">
        <f>55-55</f>
        <v>0</v>
      </c>
      <c r="BC19" s="1810">
        <f>BG19/4</f>
        <v>-1.25</v>
      </c>
      <c r="BD19" s="1811">
        <f>BG19/4</f>
        <v>-1.25</v>
      </c>
      <c r="BE19" s="1811">
        <f>BG19/4</f>
        <v>-1.25</v>
      </c>
      <c r="BF19" s="1812">
        <f>BG19/4</f>
        <v>-1.25</v>
      </c>
      <c r="BG19" s="1809">
        <f>50-55</f>
        <v>-5</v>
      </c>
      <c r="BH19" s="1810">
        <f>BL19/4</f>
        <v>-1.25</v>
      </c>
      <c r="BI19" s="1811">
        <f>BL19/4</f>
        <v>-1.25</v>
      </c>
      <c r="BJ19" s="1811">
        <f>BL19/4</f>
        <v>-1.25</v>
      </c>
      <c r="BK19" s="1812">
        <f>BL19/4</f>
        <v>-1.25</v>
      </c>
      <c r="BL19" s="1809">
        <f>50-55</f>
        <v>-5</v>
      </c>
      <c r="BM19" s="1810">
        <f>BQ19/4</f>
        <v>-1.25</v>
      </c>
      <c r="BN19" s="1811">
        <f>BQ19/4</f>
        <v>-1.25</v>
      </c>
      <c r="BO19" s="1811">
        <f>BQ19/4</f>
        <v>-1.25</v>
      </c>
      <c r="BP19" s="1812">
        <f>BQ19/4</f>
        <v>-1.25</v>
      </c>
      <c r="BQ19" s="1809">
        <f>50-55</f>
        <v>-5</v>
      </c>
      <c r="BR19" s="285"/>
      <c r="BS19" s="285"/>
    </row>
    <row r="20" spans="1:84">
      <c r="A20" s="139"/>
      <c r="B20" s="139"/>
      <c r="C20" s="1222"/>
      <c r="E20" s="305"/>
      <c r="F20" s="306"/>
      <c r="G20" s="306"/>
      <c r="H20" s="307"/>
      <c r="I20" s="308"/>
      <c r="J20" s="305"/>
      <c r="K20" s="306"/>
      <c r="L20" s="306"/>
      <c r="M20" s="307"/>
      <c r="N20" s="308"/>
      <c r="O20" s="305"/>
      <c r="P20" s="306"/>
      <c r="Q20" s="306"/>
      <c r="R20" s="314"/>
      <c r="S20" s="308"/>
      <c r="T20" s="305"/>
      <c r="U20" s="306"/>
      <c r="V20" s="306"/>
      <c r="W20" s="314"/>
      <c r="X20" s="308"/>
      <c r="Y20" s="305"/>
      <c r="Z20" s="306"/>
      <c r="AA20" s="306"/>
      <c r="AB20" s="314"/>
      <c r="AC20" s="308"/>
      <c r="AD20" s="305"/>
      <c r="AE20" s="306"/>
      <c r="AF20" s="306"/>
      <c r="AG20" s="314"/>
      <c r="AH20" s="308"/>
      <c r="AI20" s="305"/>
      <c r="AJ20" s="306"/>
      <c r="AK20" s="306"/>
      <c r="AL20" s="314"/>
      <c r="AM20" s="308"/>
      <c r="AN20" s="305"/>
      <c r="AO20" s="306"/>
      <c r="AP20" s="306"/>
      <c r="AQ20" s="314"/>
      <c r="AR20" s="308"/>
      <c r="AS20" s="305"/>
      <c r="AT20" s="306"/>
      <c r="AU20" s="306"/>
      <c r="AV20" s="314"/>
      <c r="AW20" s="308"/>
      <c r="AX20" s="305"/>
      <c r="AY20" s="306"/>
      <c r="AZ20" s="306"/>
      <c r="BA20" s="307"/>
      <c r="BB20" s="308"/>
      <c r="BC20" s="305"/>
      <c r="BD20" s="306"/>
      <c r="BE20" s="306"/>
      <c r="BF20" s="307"/>
      <c r="BG20" s="308"/>
      <c r="BH20" s="305"/>
      <c r="BI20" s="306"/>
      <c r="BJ20" s="306"/>
      <c r="BK20" s="307"/>
      <c r="BL20" s="308"/>
      <c r="BM20" s="305"/>
      <c r="BN20" s="306"/>
      <c r="BO20" s="306"/>
      <c r="BP20" s="307"/>
      <c r="BQ20" s="308"/>
      <c r="BR20" s="177"/>
      <c r="BS20" s="177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</row>
    <row r="21" spans="1:84">
      <c r="A21" s="139"/>
      <c r="B21" s="139"/>
      <c r="C21" s="1222" t="s">
        <v>198</v>
      </c>
      <c r="E21" s="305"/>
      <c r="F21" s="306"/>
      <c r="G21" s="306"/>
      <c r="H21" s="307"/>
      <c r="I21" s="308">
        <f t="shared" ref="I21:AA21" si="28">I17+I19</f>
        <v>863</v>
      </c>
      <c r="J21" s="305">
        <f t="shared" si="28"/>
        <v>144</v>
      </c>
      <c r="K21" s="306">
        <f t="shared" si="28"/>
        <v>229</v>
      </c>
      <c r="L21" s="306">
        <f t="shared" si="28"/>
        <v>-9</v>
      </c>
      <c r="M21" s="307">
        <f t="shared" si="28"/>
        <v>111</v>
      </c>
      <c r="N21" s="308">
        <f t="shared" si="28"/>
        <v>475</v>
      </c>
      <c r="O21" s="305">
        <f t="shared" si="28"/>
        <v>77</v>
      </c>
      <c r="P21" s="306">
        <f t="shared" si="28"/>
        <v>102</v>
      </c>
      <c r="Q21" s="306">
        <f t="shared" si="28"/>
        <v>457</v>
      </c>
      <c r="R21" s="314">
        <f>R17+R19</f>
        <v>221</v>
      </c>
      <c r="S21" s="308">
        <f t="shared" si="28"/>
        <v>857</v>
      </c>
      <c r="T21" s="305">
        <f t="shared" si="28"/>
        <v>278</v>
      </c>
      <c r="U21" s="306">
        <f t="shared" si="28"/>
        <v>98</v>
      </c>
      <c r="V21" s="306">
        <f>V17+V19</f>
        <v>267</v>
      </c>
      <c r="W21" s="314">
        <f t="shared" si="28"/>
        <v>-97</v>
      </c>
      <c r="X21" s="308">
        <f t="shared" si="28"/>
        <v>546</v>
      </c>
      <c r="Y21" s="305">
        <f t="shared" si="28"/>
        <v>0</v>
      </c>
      <c r="Z21" s="306">
        <f t="shared" si="28"/>
        <v>-496</v>
      </c>
      <c r="AA21" s="306">
        <f t="shared" si="28"/>
        <v>158</v>
      </c>
      <c r="AB21" s="314">
        <f t="shared" ref="AB21:AJ21" si="29">AB17+AB19</f>
        <v>140</v>
      </c>
      <c r="AC21" s="308">
        <f t="shared" si="29"/>
        <v>-198</v>
      </c>
      <c r="AD21" s="305">
        <f t="shared" si="29"/>
        <v>-163</v>
      </c>
      <c r="AE21" s="306">
        <f t="shared" si="29"/>
        <v>-146</v>
      </c>
      <c r="AF21" s="306">
        <f t="shared" si="29"/>
        <v>145</v>
      </c>
      <c r="AG21" s="314">
        <f t="shared" si="29"/>
        <v>-333</v>
      </c>
      <c r="AH21" s="308">
        <f t="shared" si="29"/>
        <v>-497</v>
      </c>
      <c r="AI21" s="305">
        <f t="shared" si="29"/>
        <v>25</v>
      </c>
      <c r="AJ21" s="306">
        <f t="shared" si="29"/>
        <v>19</v>
      </c>
      <c r="AK21" s="306">
        <f t="shared" ref="AK21:AO21" si="30">AK17+AK19</f>
        <v>260</v>
      </c>
      <c r="AL21" s="314">
        <f t="shared" si="30"/>
        <v>-12</v>
      </c>
      <c r="AM21" s="308">
        <f t="shared" si="30"/>
        <v>292</v>
      </c>
      <c r="AN21" s="305">
        <f t="shared" si="30"/>
        <v>265</v>
      </c>
      <c r="AO21" s="306">
        <f t="shared" si="30"/>
        <v>-1450</v>
      </c>
      <c r="AP21" s="306">
        <f>AP17+AP19</f>
        <v>174</v>
      </c>
      <c r="AQ21" s="314">
        <f t="shared" ref="AQ21:AT21" si="31">AQ17+AQ19</f>
        <v>-9249</v>
      </c>
      <c r="AR21" s="308">
        <f t="shared" si="31"/>
        <v>-10260</v>
      </c>
      <c r="AS21" s="305">
        <f t="shared" si="31"/>
        <v>-65</v>
      </c>
      <c r="AT21" s="306">
        <f t="shared" si="31"/>
        <v>-46</v>
      </c>
      <c r="AU21" s="306">
        <f t="shared" ref="AU21:AW21" si="32">AU17+AU19</f>
        <v>143</v>
      </c>
      <c r="AV21" s="314">
        <f t="shared" si="32"/>
        <v>-2366</v>
      </c>
      <c r="AW21" s="308">
        <f t="shared" si="32"/>
        <v>-2334</v>
      </c>
      <c r="AX21" s="305">
        <f t="shared" ref="AX21:BB21" si="33">AX17+AX19</f>
        <v>62.050826871893037</v>
      </c>
      <c r="AY21" s="306">
        <f t="shared" si="33"/>
        <v>-1.6445195709070504</v>
      </c>
      <c r="AZ21" s="306">
        <f t="shared" si="33"/>
        <v>-7.9664036853173457</v>
      </c>
      <c r="BA21" s="307">
        <f t="shared" si="33"/>
        <v>-25.670323073848976</v>
      </c>
      <c r="BB21" s="308">
        <f t="shared" si="33"/>
        <v>26.769580541818868</v>
      </c>
      <c r="BC21" s="305">
        <f t="shared" ref="BC21:BL21" si="34">BC17+BC19</f>
        <v>-24.628672857350807</v>
      </c>
      <c r="BD21" s="306">
        <f t="shared" si="34"/>
        <v>-40.667576798698065</v>
      </c>
      <c r="BE21" s="306">
        <f t="shared" si="34"/>
        <v>-43.571672568475265</v>
      </c>
      <c r="BF21" s="307">
        <f t="shared" si="34"/>
        <v>-71.503841251710469</v>
      </c>
      <c r="BG21" s="308">
        <f t="shared" si="34"/>
        <v>-180.37176347623426</v>
      </c>
      <c r="BH21" s="305">
        <f t="shared" si="34"/>
        <v>-47.663231051765933</v>
      </c>
      <c r="BI21" s="306">
        <f t="shared" si="34"/>
        <v>-61.120265199055439</v>
      </c>
      <c r="BJ21" s="306">
        <f t="shared" si="34"/>
        <v>-55.519641639451436</v>
      </c>
      <c r="BK21" s="307">
        <f t="shared" si="34"/>
        <v>-80.672777624315131</v>
      </c>
      <c r="BL21" s="308">
        <f t="shared" si="34"/>
        <v>-244.975915514588</v>
      </c>
      <c r="BM21" s="305">
        <f t="shared" ref="BM21:BQ21" si="35">BM17+BM19</f>
        <v>-5.1268317962986885</v>
      </c>
      <c r="BN21" s="306">
        <f t="shared" si="35"/>
        <v>-41.167354386059287</v>
      </c>
      <c r="BO21" s="306">
        <f t="shared" si="35"/>
        <v>-30.516274584708867</v>
      </c>
      <c r="BP21" s="307">
        <f t="shared" si="35"/>
        <v>-9.1025668469909533</v>
      </c>
      <c r="BQ21" s="308">
        <f t="shared" si="35"/>
        <v>-85.913027614057683</v>
      </c>
      <c r="BR21" s="177"/>
      <c r="BS21" s="177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</row>
    <row r="22" spans="1:84">
      <c r="A22" s="139"/>
      <c r="B22" s="139"/>
      <c r="C22" s="1222" t="s">
        <v>199</v>
      </c>
      <c r="E22" s="305"/>
      <c r="F22" s="306"/>
      <c r="G22" s="306"/>
      <c r="H22" s="307"/>
      <c r="I22" s="308">
        <f t="shared" ref="I22:AA22" si="36">I21+I13</f>
        <v>1142</v>
      </c>
      <c r="J22" s="305">
        <f t="shared" si="36"/>
        <v>221</v>
      </c>
      <c r="K22" s="306">
        <f t="shared" si="36"/>
        <v>300</v>
      </c>
      <c r="L22" s="306">
        <f t="shared" si="36"/>
        <v>58</v>
      </c>
      <c r="M22" s="307">
        <f t="shared" si="36"/>
        <v>180</v>
      </c>
      <c r="N22" s="308">
        <f t="shared" si="36"/>
        <v>759</v>
      </c>
      <c r="O22" s="305">
        <f t="shared" si="36"/>
        <v>165</v>
      </c>
      <c r="P22" s="306">
        <f t="shared" si="36"/>
        <v>211</v>
      </c>
      <c r="Q22" s="306">
        <f t="shared" si="36"/>
        <v>567</v>
      </c>
      <c r="R22" s="314">
        <f t="shared" si="36"/>
        <v>329</v>
      </c>
      <c r="S22" s="308">
        <f t="shared" si="36"/>
        <v>1272</v>
      </c>
      <c r="T22" s="305">
        <f t="shared" si="36"/>
        <v>378</v>
      </c>
      <c r="U22" s="306">
        <f t="shared" si="36"/>
        <v>201</v>
      </c>
      <c r="V22" s="306">
        <f t="shared" si="36"/>
        <v>372</v>
      </c>
      <c r="W22" s="314">
        <f t="shared" si="36"/>
        <v>9</v>
      </c>
      <c r="X22" s="308">
        <f t="shared" si="36"/>
        <v>960</v>
      </c>
      <c r="Y22" s="305">
        <f t="shared" si="36"/>
        <v>111</v>
      </c>
      <c r="Z22" s="306">
        <f t="shared" si="36"/>
        <v>-382</v>
      </c>
      <c r="AA22" s="306">
        <f t="shared" si="36"/>
        <v>283</v>
      </c>
      <c r="AB22" s="314">
        <f t="shared" ref="AB22:AI22" si="37">AB21+AB13</f>
        <v>229</v>
      </c>
      <c r="AC22" s="308">
        <f t="shared" si="37"/>
        <v>241</v>
      </c>
      <c r="AD22" s="305">
        <f t="shared" si="37"/>
        <v>-72</v>
      </c>
      <c r="AE22" s="306">
        <f t="shared" si="37"/>
        <v>-50</v>
      </c>
      <c r="AF22" s="306">
        <f t="shared" si="37"/>
        <v>245</v>
      </c>
      <c r="AG22" s="314">
        <f t="shared" si="37"/>
        <v>-233</v>
      </c>
      <c r="AH22" s="308">
        <f t="shared" si="37"/>
        <v>-110</v>
      </c>
      <c r="AI22" s="305">
        <f t="shared" si="37"/>
        <v>121</v>
      </c>
      <c r="AJ22" s="306">
        <f>AJ21+AJ13</f>
        <v>118</v>
      </c>
      <c r="AK22" s="306">
        <f t="shared" ref="AK22:AN22" si="38">AK21+AK13</f>
        <v>358</v>
      </c>
      <c r="AL22" s="314">
        <f t="shared" si="38"/>
        <v>89</v>
      </c>
      <c r="AM22" s="308">
        <f t="shared" si="38"/>
        <v>686</v>
      </c>
      <c r="AN22" s="305">
        <f t="shared" si="38"/>
        <v>367</v>
      </c>
      <c r="AO22" s="306">
        <f>AO21+AO13</f>
        <v>-1347</v>
      </c>
      <c r="AP22" s="306">
        <f>AP21+AP13</f>
        <v>253</v>
      </c>
      <c r="AQ22" s="314">
        <f t="shared" ref="AQ22:AS22" si="39">AQ21+AQ13</f>
        <v>-9146</v>
      </c>
      <c r="AR22" s="308">
        <f t="shared" si="39"/>
        <v>-9873</v>
      </c>
      <c r="AS22" s="305">
        <f t="shared" si="39"/>
        <v>-37</v>
      </c>
      <c r="AT22" s="306">
        <f>AT21+AT13</f>
        <v>-17</v>
      </c>
      <c r="AU22" s="306">
        <f t="shared" ref="AU22:AW22" si="40">AU21+AU13</f>
        <v>173</v>
      </c>
      <c r="AV22" s="314">
        <f t="shared" si="40"/>
        <v>-2335</v>
      </c>
      <c r="AW22" s="308">
        <f t="shared" si="40"/>
        <v>-2216</v>
      </c>
      <c r="AX22" s="305">
        <f t="shared" ref="AX22:BB22" si="41">AX21+AX13</f>
        <v>84.88482687189304</v>
      </c>
      <c r="AY22" s="306">
        <f t="shared" si="41"/>
        <v>22.406297429092948</v>
      </c>
      <c r="AZ22" s="306">
        <f t="shared" si="41"/>
        <v>17.271418298182653</v>
      </c>
      <c r="BA22" s="307">
        <f t="shared" si="41"/>
        <v>0.72542227105527246</v>
      </c>
      <c r="BB22" s="308">
        <f t="shared" si="41"/>
        <v>125.28796487022311</v>
      </c>
      <c r="BC22" s="305">
        <f t="shared" ref="BC22:BL22" si="42">BC21+BC13</f>
        <v>2.8966267266032872</v>
      </c>
      <c r="BD22" s="306">
        <f t="shared" si="42"/>
        <v>-12.040397054550848</v>
      </c>
      <c r="BE22" s="306">
        <f t="shared" si="42"/>
        <v>-13.869608728059656</v>
      </c>
      <c r="BF22" s="307">
        <f t="shared" si="42"/>
        <v>-40.753227975385045</v>
      </c>
      <c r="BG22" s="308">
        <f t="shared" si="42"/>
        <v>-63.766607031391928</v>
      </c>
      <c r="BH22" s="305">
        <f t="shared" si="42"/>
        <v>-15.889757800710484</v>
      </c>
      <c r="BI22" s="306">
        <f t="shared" si="42"/>
        <v>-28.348992042650842</v>
      </c>
      <c r="BJ22" s="306">
        <f t="shared" si="42"/>
        <v>-21.775014675378756</v>
      </c>
      <c r="BK22" s="307">
        <f t="shared" si="42"/>
        <v>-45.978644020862234</v>
      </c>
      <c r="BL22" s="308">
        <f t="shared" si="42"/>
        <v>-111.99240853960237</v>
      </c>
      <c r="BM22" s="305">
        <f t="shared" ref="BM22:BQ22" si="43">BM21+BM13</f>
        <v>30.493545533869614</v>
      </c>
      <c r="BN22" s="306">
        <f t="shared" si="43"/>
        <v>-4.6434263004801011</v>
      </c>
      <c r="BO22" s="306">
        <f t="shared" si="43"/>
        <v>6.8890672627736294</v>
      </c>
      <c r="BP22" s="307">
        <f t="shared" si="43"/>
        <v>29.162594125228232</v>
      </c>
      <c r="BQ22" s="308">
        <f t="shared" si="43"/>
        <v>61.901780621391481</v>
      </c>
      <c r="BR22" s="1261"/>
      <c r="BS22" s="1261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</row>
    <row r="23" spans="1:84">
      <c r="A23" s="139"/>
      <c r="B23" s="139"/>
      <c r="C23" s="1222"/>
      <c r="E23" s="305"/>
      <c r="F23" s="306"/>
      <c r="G23" s="306"/>
      <c r="H23" s="307"/>
      <c r="I23" s="308"/>
      <c r="J23" s="305"/>
      <c r="K23" s="306"/>
      <c r="L23" s="306"/>
      <c r="M23" s="307"/>
      <c r="N23" s="308"/>
      <c r="O23" s="305"/>
      <c r="P23" s="306"/>
      <c r="Q23" s="306"/>
      <c r="R23" s="314"/>
      <c r="S23" s="308"/>
      <c r="T23" s="305"/>
      <c r="U23" s="306"/>
      <c r="V23" s="306"/>
      <c r="W23" s="314"/>
      <c r="X23" s="308"/>
      <c r="Y23" s="305"/>
      <c r="Z23" s="306"/>
      <c r="AA23" s="306"/>
      <c r="AB23" s="314"/>
      <c r="AC23" s="308"/>
      <c r="AD23" s="305"/>
      <c r="AE23" s="306"/>
      <c r="AF23" s="306"/>
      <c r="AG23" s="314"/>
      <c r="AH23" s="308"/>
      <c r="AI23" s="305"/>
      <c r="AJ23" s="306"/>
      <c r="AK23" s="306"/>
      <c r="AL23" s="314"/>
      <c r="AM23" s="308"/>
      <c r="AN23" s="305"/>
      <c r="AO23" s="306"/>
      <c r="AP23" s="306"/>
      <c r="AQ23" s="314"/>
      <c r="AR23" s="308"/>
      <c r="AS23" s="305"/>
      <c r="AT23" s="306"/>
      <c r="AU23" s="306"/>
      <c r="AV23" s="314"/>
      <c r="AW23" s="308"/>
      <c r="AX23" s="305"/>
      <c r="AY23" s="306"/>
      <c r="AZ23" s="306"/>
      <c r="BA23" s="307"/>
      <c r="BB23" s="308"/>
      <c r="BC23" s="305"/>
      <c r="BD23" s="306"/>
      <c r="BE23" s="306"/>
      <c r="BF23" s="307"/>
      <c r="BG23" s="308"/>
      <c r="BH23" s="305"/>
      <c r="BI23" s="306"/>
      <c r="BJ23" s="306"/>
      <c r="BK23" s="307"/>
      <c r="BL23" s="308"/>
      <c r="BM23" s="305"/>
      <c r="BN23" s="306"/>
      <c r="BO23" s="306"/>
      <c r="BP23" s="307"/>
      <c r="BQ23" s="308"/>
      <c r="BR23" s="177"/>
      <c r="BS23" s="177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</row>
    <row r="24" spans="1:84">
      <c r="A24" s="139"/>
      <c r="B24" s="139"/>
      <c r="C24" s="1187" t="s">
        <v>200</v>
      </c>
      <c r="E24" s="288"/>
      <c r="F24" s="289"/>
      <c r="G24" s="289"/>
      <c r="H24" s="290"/>
      <c r="I24" s="291">
        <v>174</v>
      </c>
      <c r="J24" s="288">
        <v>56</v>
      </c>
      <c r="K24" s="289">
        <v>57</v>
      </c>
      <c r="L24" s="289">
        <v>56</v>
      </c>
      <c r="M24" s="290">
        <f>N24-L24-K24-J24</f>
        <v>63</v>
      </c>
      <c r="N24" s="291">
        <v>232</v>
      </c>
      <c r="O24" s="288">
        <f>144-P24</f>
        <v>64</v>
      </c>
      <c r="P24" s="289">
        <v>80</v>
      </c>
      <c r="Q24" s="289">
        <v>82</v>
      </c>
      <c r="R24" s="290">
        <f>S24-SUM(O24:Q24)</f>
        <v>72</v>
      </c>
      <c r="S24" s="291">
        <v>298</v>
      </c>
      <c r="T24" s="288">
        <v>65</v>
      </c>
      <c r="U24" s="289">
        <v>71</v>
      </c>
      <c r="V24" s="289">
        <v>73</v>
      </c>
      <c r="W24" s="290">
        <f>X24-SUM(T24:V24)</f>
        <v>75</v>
      </c>
      <c r="X24" s="291">
        <v>284</v>
      </c>
      <c r="Y24" s="288">
        <v>71</v>
      </c>
      <c r="Z24" s="302">
        <v>61</v>
      </c>
      <c r="AA24" s="302">
        <v>53</v>
      </c>
      <c r="AB24" s="290">
        <f>AC24-SUM(Y24:AA24)</f>
        <v>37</v>
      </c>
      <c r="AC24" s="291">
        <v>222</v>
      </c>
      <c r="AD24" s="288">
        <v>46</v>
      </c>
      <c r="AE24" s="302">
        <v>48</v>
      </c>
      <c r="AF24" s="302">
        <v>49</v>
      </c>
      <c r="AG24" s="290">
        <f>AH24-SUM(AD24:AF24)</f>
        <v>46</v>
      </c>
      <c r="AH24" s="291">
        <v>189</v>
      </c>
      <c r="AI24" s="288">
        <v>48</v>
      </c>
      <c r="AJ24" s="302">
        <v>48</v>
      </c>
      <c r="AK24" s="302">
        <v>48</v>
      </c>
      <c r="AL24" s="290">
        <f>AM24-SUM(AI24:AK24)</f>
        <v>48</v>
      </c>
      <c r="AM24" s="291">
        <v>192</v>
      </c>
      <c r="AN24" s="288">
        <v>47</v>
      </c>
      <c r="AO24" s="302">
        <v>48</v>
      </c>
      <c r="AP24" s="302">
        <v>48</v>
      </c>
      <c r="AQ24" s="290">
        <f>AR24-SUM(AN24:AP24)</f>
        <v>51</v>
      </c>
      <c r="AR24" s="291">
        <v>194</v>
      </c>
      <c r="AS24" s="288">
        <v>45</v>
      </c>
      <c r="AT24" s="302">
        <v>47</v>
      </c>
      <c r="AU24" s="302">
        <v>44</v>
      </c>
      <c r="AV24" s="290">
        <f>AW24-SUM(AS24:AU24)</f>
        <v>43</v>
      </c>
      <c r="AW24" s="291">
        <v>179</v>
      </c>
      <c r="AX24" s="316">
        <f>AS24+SUM(AX584:AX586)</f>
        <v>44.013258196666669</v>
      </c>
      <c r="AY24" s="312">
        <f>AT24+SUM(AY584:AY586)</f>
        <v>44.501444512006373</v>
      </c>
      <c r="AZ24" s="312">
        <f>AU24+SUM(AZ584:AZ586)</f>
        <v>41.349953693867548</v>
      </c>
      <c r="BA24" s="317">
        <f>AV24+SUM(BA584:BA586)</f>
        <v>41.396352776361148</v>
      </c>
      <c r="BB24" s="315">
        <f>SUM(AX24:BA24)</f>
        <v>171.26100917890173</v>
      </c>
      <c r="BC24" s="316">
        <f>AX24+SUM(BC584:BC586)</f>
        <v>42.674330616558422</v>
      </c>
      <c r="BD24" s="312">
        <f>AY24+SUM(BD584:BD586)</f>
        <v>43.06438402639332</v>
      </c>
      <c r="BE24" s="312">
        <f>AZ24+SUM(BE584:BE586)</f>
        <v>42.026132736972535</v>
      </c>
      <c r="BF24" s="317">
        <f>BA24+SUM(BF584:BF586)</f>
        <v>40.222300784772578</v>
      </c>
      <c r="BG24" s="315">
        <f>SUM(BC24:BF24)</f>
        <v>167.98714816469686</v>
      </c>
      <c r="BH24" s="316">
        <f>BC24+SUM(BH584:BH586)</f>
        <v>42.411194942980103</v>
      </c>
      <c r="BI24" s="312">
        <f>BD24+SUM(BI584:BI586)</f>
        <v>42.552345650564867</v>
      </c>
      <c r="BJ24" s="312">
        <f>BE24+SUM(BJ584:BJ586)</f>
        <v>42.974533952028281</v>
      </c>
      <c r="BK24" s="317">
        <f>BF24+SUM(BK584:BK586)</f>
        <v>41.110113737087829</v>
      </c>
      <c r="BL24" s="315">
        <f>SUM(BH24:BK24)</f>
        <v>169.04818828266107</v>
      </c>
      <c r="BM24" s="316">
        <f>BH24+SUM(BM584:BM586)</f>
        <v>43.393736259438334</v>
      </c>
      <c r="BN24" s="312">
        <f>BI24+SUM(BN584:BN586)</f>
        <v>43.343762511353546</v>
      </c>
      <c r="BO24" s="312">
        <f>BJ24+SUM(BO584:BO586)</f>
        <v>44.263765588989784</v>
      </c>
      <c r="BP24" s="317">
        <f>BK24+SUM(BP584:BP586)</f>
        <v>40.55833430992125</v>
      </c>
      <c r="BQ24" s="315">
        <f>SUM(BM24:BP24)</f>
        <v>171.55959866970289</v>
      </c>
      <c r="BR24" s="177"/>
      <c r="BS24" s="1261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</row>
    <row r="25" spans="1:84">
      <c r="A25" s="139"/>
      <c r="B25" s="139"/>
      <c r="C25" s="1187" t="s">
        <v>251</v>
      </c>
      <c r="E25" s="296"/>
      <c r="F25" s="297"/>
      <c r="G25" s="297"/>
      <c r="H25" s="290"/>
      <c r="I25" s="291">
        <v>-62</v>
      </c>
      <c r="J25" s="288">
        <v>-23</v>
      </c>
      <c r="K25" s="289">
        <v>-24</v>
      </c>
      <c r="L25" s="289">
        <v>-23</v>
      </c>
      <c r="M25" s="290">
        <f>N25-L25-K25-J25</f>
        <v>-25</v>
      </c>
      <c r="N25" s="291">
        <v>-95</v>
      </c>
      <c r="O25" s="288">
        <f>-22-P25</f>
        <v>-11</v>
      </c>
      <c r="P25" s="289">
        <v>-11</v>
      </c>
      <c r="Q25" s="289">
        <v>-9</v>
      </c>
      <c r="R25" s="290">
        <f>S25-SUM(O25:Q25)</f>
        <v>-9</v>
      </c>
      <c r="S25" s="291">
        <v>-40</v>
      </c>
      <c r="T25" s="288">
        <v>-11</v>
      </c>
      <c r="U25" s="289">
        <v>-12</v>
      </c>
      <c r="V25" s="289">
        <v>-11</v>
      </c>
      <c r="W25" s="290">
        <f>X25-SUM(T25:V25)</f>
        <v>-10</v>
      </c>
      <c r="X25" s="291">
        <v>-44</v>
      </c>
      <c r="Y25" s="288">
        <v>-10</v>
      </c>
      <c r="Z25" s="302">
        <v>-11</v>
      </c>
      <c r="AA25" s="302">
        <v>-10</v>
      </c>
      <c r="AB25" s="290">
        <f>AC25-SUM(Y25:AA25)</f>
        <v>-11</v>
      </c>
      <c r="AC25" s="291">
        <v>-42</v>
      </c>
      <c r="AD25" s="288">
        <v>-12</v>
      </c>
      <c r="AE25" s="302">
        <v>-10</v>
      </c>
      <c r="AF25" s="302">
        <v>-6</v>
      </c>
      <c r="AG25" s="290">
        <f>AH25-SUM(AD25:AF25)</f>
        <v>-9</v>
      </c>
      <c r="AH25" s="291">
        <v>-37</v>
      </c>
      <c r="AI25" s="288">
        <v>-10</v>
      </c>
      <c r="AJ25" s="302">
        <v>-10</v>
      </c>
      <c r="AK25" s="302">
        <v>-9</v>
      </c>
      <c r="AL25" s="290">
        <f>AM25-SUM(AI25:AK25)</f>
        <v>-10</v>
      </c>
      <c r="AM25" s="291">
        <v>-39</v>
      </c>
      <c r="AN25" s="288">
        <v>-11</v>
      </c>
      <c r="AO25" s="302">
        <v>-9</v>
      </c>
      <c r="AP25" s="302">
        <v>-9</v>
      </c>
      <c r="AQ25" s="290">
        <f>AR25-SUM(AN25:AP25)</f>
        <v>-8</v>
      </c>
      <c r="AR25" s="291">
        <v>-37</v>
      </c>
      <c r="AS25" s="288">
        <v>-8</v>
      </c>
      <c r="AT25" s="302">
        <v>-7</v>
      </c>
      <c r="AU25" s="302">
        <v>-7</v>
      </c>
      <c r="AV25" s="290">
        <f>AW25-SUM(AS25:AU25)</f>
        <v>-5</v>
      </c>
      <c r="AW25" s="291">
        <v>-27</v>
      </c>
      <c r="AX25" s="296">
        <f>AS25-5</f>
        <v>-13</v>
      </c>
      <c r="AY25" s="297">
        <f>AT25-5</f>
        <v>-12</v>
      </c>
      <c r="AZ25" s="297">
        <f>AU25-5</f>
        <v>-12</v>
      </c>
      <c r="BA25" s="290">
        <f>AV25-5</f>
        <v>-10</v>
      </c>
      <c r="BB25" s="298">
        <f>SUM(AX25:BA25)</f>
        <v>-47</v>
      </c>
      <c r="BC25" s="296">
        <f>AX25</f>
        <v>-13</v>
      </c>
      <c r="BD25" s="297">
        <f>AY25</f>
        <v>-12</v>
      </c>
      <c r="BE25" s="297">
        <f>AZ25</f>
        <v>-12</v>
      </c>
      <c r="BF25" s="290">
        <f>BA25</f>
        <v>-10</v>
      </c>
      <c r="BG25" s="298">
        <f>SUM(BC25:BF25)</f>
        <v>-47</v>
      </c>
      <c r="BH25" s="296">
        <f>BC25</f>
        <v>-13</v>
      </c>
      <c r="BI25" s="297">
        <f>BD25</f>
        <v>-12</v>
      </c>
      <c r="BJ25" s="297">
        <f>BE25</f>
        <v>-12</v>
      </c>
      <c r="BK25" s="290">
        <f>BF25</f>
        <v>-10</v>
      </c>
      <c r="BL25" s="298">
        <f>SUM(BH25:BK25)</f>
        <v>-47</v>
      </c>
      <c r="BM25" s="296">
        <f>BH25</f>
        <v>-13</v>
      </c>
      <c r="BN25" s="297">
        <f>BI25</f>
        <v>-12</v>
      </c>
      <c r="BO25" s="297">
        <f>BJ25</f>
        <v>-12</v>
      </c>
      <c r="BP25" s="290">
        <f>BK25</f>
        <v>-10</v>
      </c>
      <c r="BQ25" s="298">
        <f>SUM(BM25:BP25)</f>
        <v>-47</v>
      </c>
      <c r="BR25" s="177"/>
      <c r="BS25" s="177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</row>
    <row r="26" spans="1:84" s="81" customFormat="1">
      <c r="A26" s="221"/>
      <c r="B26" s="139"/>
      <c r="C26" s="1186" t="s">
        <v>400</v>
      </c>
      <c r="E26" s="305"/>
      <c r="F26" s="306"/>
      <c r="G26" s="306"/>
      <c r="H26" s="314"/>
      <c r="I26" s="308">
        <f>SUM(I24:I25)</f>
        <v>112</v>
      </c>
      <c r="J26" s="305">
        <f t="shared" ref="J26:AA26" si="44">SUM(J24:J25)</f>
        <v>33</v>
      </c>
      <c r="K26" s="306">
        <f t="shared" si="44"/>
        <v>33</v>
      </c>
      <c r="L26" s="306">
        <f t="shared" si="44"/>
        <v>33</v>
      </c>
      <c r="M26" s="314">
        <f t="shared" si="44"/>
        <v>38</v>
      </c>
      <c r="N26" s="308">
        <f t="shared" si="44"/>
        <v>137</v>
      </c>
      <c r="O26" s="305">
        <f t="shared" si="44"/>
        <v>53</v>
      </c>
      <c r="P26" s="306">
        <f t="shared" si="44"/>
        <v>69</v>
      </c>
      <c r="Q26" s="306">
        <f>SUM(Q24:Q25)</f>
        <v>73</v>
      </c>
      <c r="R26" s="314">
        <f t="shared" si="44"/>
        <v>63</v>
      </c>
      <c r="S26" s="308">
        <f t="shared" si="44"/>
        <v>258</v>
      </c>
      <c r="T26" s="305">
        <f t="shared" si="44"/>
        <v>54</v>
      </c>
      <c r="U26" s="306">
        <f t="shared" si="44"/>
        <v>59</v>
      </c>
      <c r="V26" s="306">
        <f t="shared" si="44"/>
        <v>62</v>
      </c>
      <c r="W26" s="314">
        <f t="shared" si="44"/>
        <v>65</v>
      </c>
      <c r="X26" s="308">
        <f t="shared" si="44"/>
        <v>240</v>
      </c>
      <c r="Y26" s="305">
        <f t="shared" si="44"/>
        <v>61</v>
      </c>
      <c r="Z26" s="306">
        <f t="shared" si="44"/>
        <v>50</v>
      </c>
      <c r="AA26" s="306">
        <f t="shared" si="44"/>
        <v>43</v>
      </c>
      <c r="AB26" s="314">
        <f t="shared" ref="AB26:AJ26" si="45">SUM(AB24:AB25)</f>
        <v>26</v>
      </c>
      <c r="AC26" s="308">
        <f t="shared" si="45"/>
        <v>180</v>
      </c>
      <c r="AD26" s="305">
        <f t="shared" si="45"/>
        <v>34</v>
      </c>
      <c r="AE26" s="306">
        <f t="shared" si="45"/>
        <v>38</v>
      </c>
      <c r="AF26" s="306">
        <f t="shared" si="45"/>
        <v>43</v>
      </c>
      <c r="AG26" s="314">
        <f t="shared" si="45"/>
        <v>37</v>
      </c>
      <c r="AH26" s="308">
        <f t="shared" si="45"/>
        <v>152</v>
      </c>
      <c r="AI26" s="305">
        <f t="shared" si="45"/>
        <v>38</v>
      </c>
      <c r="AJ26" s="306">
        <f t="shared" si="45"/>
        <v>38</v>
      </c>
      <c r="AK26" s="306">
        <f t="shared" ref="AK26:AO26" si="46">SUM(AK24:AK25)</f>
        <v>39</v>
      </c>
      <c r="AL26" s="314">
        <f t="shared" si="46"/>
        <v>38</v>
      </c>
      <c r="AM26" s="308">
        <f t="shared" si="46"/>
        <v>153</v>
      </c>
      <c r="AN26" s="305">
        <f t="shared" si="46"/>
        <v>36</v>
      </c>
      <c r="AO26" s="306">
        <f t="shared" si="46"/>
        <v>39</v>
      </c>
      <c r="AP26" s="306">
        <f t="shared" ref="AP26:AT26" si="47">SUM(AP24:AP25)</f>
        <v>39</v>
      </c>
      <c r="AQ26" s="314">
        <f t="shared" si="47"/>
        <v>43</v>
      </c>
      <c r="AR26" s="308">
        <f t="shared" si="47"/>
        <v>157</v>
      </c>
      <c r="AS26" s="305">
        <f t="shared" si="47"/>
        <v>37</v>
      </c>
      <c r="AT26" s="306">
        <f t="shared" si="47"/>
        <v>40</v>
      </c>
      <c r="AU26" s="306">
        <f t="shared" ref="AU26:BB26" si="48">SUM(AU24:AU25)</f>
        <v>37</v>
      </c>
      <c r="AV26" s="314">
        <f t="shared" si="48"/>
        <v>38</v>
      </c>
      <c r="AW26" s="308">
        <f t="shared" si="48"/>
        <v>152</v>
      </c>
      <c r="AX26" s="305">
        <f t="shared" si="48"/>
        <v>31.013258196666669</v>
      </c>
      <c r="AY26" s="306">
        <f t="shared" si="48"/>
        <v>32.501444512006373</v>
      </c>
      <c r="AZ26" s="306">
        <f t="shared" si="48"/>
        <v>29.349953693867548</v>
      </c>
      <c r="BA26" s="307">
        <f t="shared" si="48"/>
        <v>31.396352776361148</v>
      </c>
      <c r="BB26" s="308">
        <f t="shared" si="48"/>
        <v>124.26100917890173</v>
      </c>
      <c r="BC26" s="305">
        <f t="shared" ref="BC26:BL26" si="49">SUM(BC24:BC25)</f>
        <v>29.674330616558422</v>
      </c>
      <c r="BD26" s="306">
        <f t="shared" si="49"/>
        <v>31.06438402639332</v>
      </c>
      <c r="BE26" s="306">
        <f t="shared" si="49"/>
        <v>30.026132736972535</v>
      </c>
      <c r="BF26" s="307">
        <f t="shared" si="49"/>
        <v>30.222300784772578</v>
      </c>
      <c r="BG26" s="308">
        <f t="shared" si="49"/>
        <v>120.98714816469686</v>
      </c>
      <c r="BH26" s="305">
        <f t="shared" si="49"/>
        <v>29.411194942980103</v>
      </c>
      <c r="BI26" s="306">
        <f t="shared" si="49"/>
        <v>30.552345650564867</v>
      </c>
      <c r="BJ26" s="306">
        <f t="shared" si="49"/>
        <v>30.974533952028281</v>
      </c>
      <c r="BK26" s="307">
        <f t="shared" si="49"/>
        <v>31.110113737087829</v>
      </c>
      <c r="BL26" s="308">
        <f t="shared" si="49"/>
        <v>122.04818828266107</v>
      </c>
      <c r="BM26" s="305">
        <f t="shared" ref="BM26:BQ26" si="50">SUM(BM24:BM25)</f>
        <v>30.393736259438334</v>
      </c>
      <c r="BN26" s="306">
        <f t="shared" si="50"/>
        <v>31.343762511353546</v>
      </c>
      <c r="BO26" s="306">
        <f t="shared" si="50"/>
        <v>32.263765588989784</v>
      </c>
      <c r="BP26" s="307">
        <f t="shared" si="50"/>
        <v>30.55833430992125</v>
      </c>
      <c r="BQ26" s="308">
        <f t="shared" si="50"/>
        <v>124.55959866970289</v>
      </c>
      <c r="BR26" s="1320"/>
      <c r="BS26" s="308"/>
      <c r="BT26" s="16"/>
    </row>
    <row r="27" spans="1:84">
      <c r="A27" s="139"/>
      <c r="B27" s="139"/>
      <c r="C27" s="1187"/>
      <c r="E27" s="296"/>
      <c r="F27" s="297"/>
      <c r="G27" s="297"/>
      <c r="H27" s="290"/>
      <c r="I27" s="291"/>
      <c r="J27" s="288"/>
      <c r="K27" s="289"/>
      <c r="L27" s="289"/>
      <c r="M27" s="290"/>
      <c r="N27" s="291"/>
      <c r="O27" s="288"/>
      <c r="P27" s="289"/>
      <c r="Q27" s="289"/>
      <c r="R27" s="323"/>
      <c r="S27" s="291"/>
      <c r="T27" s="288"/>
      <c r="U27" s="289"/>
      <c r="V27" s="289"/>
      <c r="W27" s="323"/>
      <c r="X27" s="291"/>
      <c r="Y27" s="288"/>
      <c r="Z27" s="302"/>
      <c r="AA27" s="302"/>
      <c r="AB27" s="323"/>
      <c r="AC27" s="291"/>
      <c r="AD27" s="288"/>
      <c r="AE27" s="302"/>
      <c r="AF27" s="302"/>
      <c r="AG27" s="323"/>
      <c r="AH27" s="291"/>
      <c r="AI27" s="288"/>
      <c r="AJ27" s="302"/>
      <c r="AK27" s="302"/>
      <c r="AL27" s="323"/>
      <c r="AM27" s="291"/>
      <c r="AN27" s="288"/>
      <c r="AO27" s="302"/>
      <c r="AP27" s="302"/>
      <c r="AQ27" s="323"/>
      <c r="AR27" s="291"/>
      <c r="AS27" s="296"/>
      <c r="AT27" s="302"/>
      <c r="AU27" s="297"/>
      <c r="AV27" s="323"/>
      <c r="AW27" s="291"/>
      <c r="AX27" s="296"/>
      <c r="AY27" s="297"/>
      <c r="AZ27" s="297"/>
      <c r="BA27" s="290"/>
      <c r="BB27" s="298"/>
      <c r="BC27" s="296"/>
      <c r="BD27" s="297"/>
      <c r="BE27" s="297"/>
      <c r="BF27" s="290"/>
      <c r="BG27" s="298"/>
      <c r="BH27" s="296"/>
      <c r="BI27" s="297"/>
      <c r="BJ27" s="297"/>
      <c r="BK27" s="290"/>
      <c r="BL27" s="298"/>
      <c r="BM27" s="296"/>
      <c r="BN27" s="297"/>
      <c r="BO27" s="297"/>
      <c r="BP27" s="290"/>
      <c r="BQ27" s="298"/>
      <c r="BR27" s="177"/>
      <c r="BS27" s="177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</row>
    <row r="28" spans="1:84" s="13" customFormat="1">
      <c r="A28" s="136"/>
      <c r="B28" s="136"/>
      <c r="C28" s="1186" t="s">
        <v>201</v>
      </c>
      <c r="E28" s="305"/>
      <c r="F28" s="306"/>
      <c r="G28" s="306"/>
      <c r="H28" s="307"/>
      <c r="I28" s="308">
        <f>I21-I26</f>
        <v>751</v>
      </c>
      <c r="J28" s="305">
        <f t="shared" ref="J28:AA28" si="51">J21-J26</f>
        <v>111</v>
      </c>
      <c r="K28" s="306">
        <f t="shared" si="51"/>
        <v>196</v>
      </c>
      <c r="L28" s="306">
        <f t="shared" si="51"/>
        <v>-42</v>
      </c>
      <c r="M28" s="307">
        <f t="shared" si="51"/>
        <v>73</v>
      </c>
      <c r="N28" s="308">
        <f t="shared" si="51"/>
        <v>338</v>
      </c>
      <c r="O28" s="305">
        <f t="shared" si="51"/>
        <v>24</v>
      </c>
      <c r="P28" s="306">
        <f t="shared" si="51"/>
        <v>33</v>
      </c>
      <c r="Q28" s="306">
        <f>Q21-Q26</f>
        <v>384</v>
      </c>
      <c r="R28" s="314">
        <f>R21-R26</f>
        <v>158</v>
      </c>
      <c r="S28" s="308">
        <f t="shared" si="51"/>
        <v>599</v>
      </c>
      <c r="T28" s="305">
        <f t="shared" si="51"/>
        <v>224</v>
      </c>
      <c r="U28" s="306">
        <f t="shared" si="51"/>
        <v>39</v>
      </c>
      <c r="V28" s="306">
        <f>V21-V26</f>
        <v>205</v>
      </c>
      <c r="W28" s="314">
        <f t="shared" si="51"/>
        <v>-162</v>
      </c>
      <c r="X28" s="308">
        <f t="shared" si="51"/>
        <v>306</v>
      </c>
      <c r="Y28" s="305">
        <f t="shared" si="51"/>
        <v>-61</v>
      </c>
      <c r="Z28" s="306">
        <f t="shared" si="51"/>
        <v>-546</v>
      </c>
      <c r="AA28" s="306">
        <f t="shared" si="51"/>
        <v>115</v>
      </c>
      <c r="AB28" s="314">
        <f t="shared" ref="AB28:AJ28" si="52">AB21-AB26</f>
        <v>114</v>
      </c>
      <c r="AC28" s="308">
        <f t="shared" si="52"/>
        <v>-378</v>
      </c>
      <c r="AD28" s="305">
        <f t="shared" si="52"/>
        <v>-197</v>
      </c>
      <c r="AE28" s="306">
        <f t="shared" si="52"/>
        <v>-184</v>
      </c>
      <c r="AF28" s="306">
        <f t="shared" si="52"/>
        <v>102</v>
      </c>
      <c r="AG28" s="314">
        <f t="shared" si="52"/>
        <v>-370</v>
      </c>
      <c r="AH28" s="308">
        <f t="shared" si="52"/>
        <v>-649</v>
      </c>
      <c r="AI28" s="305">
        <f t="shared" si="52"/>
        <v>-13</v>
      </c>
      <c r="AJ28" s="306">
        <f t="shared" si="52"/>
        <v>-19</v>
      </c>
      <c r="AK28" s="306">
        <f t="shared" ref="AK28:AO28" si="53">AK21-AK26</f>
        <v>221</v>
      </c>
      <c r="AL28" s="314">
        <f t="shared" si="53"/>
        <v>-50</v>
      </c>
      <c r="AM28" s="308">
        <f t="shared" si="53"/>
        <v>139</v>
      </c>
      <c r="AN28" s="305">
        <f t="shared" si="53"/>
        <v>229</v>
      </c>
      <c r="AO28" s="306">
        <f t="shared" si="53"/>
        <v>-1489</v>
      </c>
      <c r="AP28" s="306">
        <f t="shared" ref="AP28:AU28" si="54">AP21-AP26</f>
        <v>135</v>
      </c>
      <c r="AQ28" s="314">
        <f t="shared" si="54"/>
        <v>-9292</v>
      </c>
      <c r="AR28" s="308">
        <f t="shared" si="54"/>
        <v>-10417</v>
      </c>
      <c r="AS28" s="305">
        <f t="shared" si="54"/>
        <v>-102</v>
      </c>
      <c r="AT28" s="306">
        <f t="shared" si="54"/>
        <v>-86</v>
      </c>
      <c r="AU28" s="306">
        <f t="shared" si="54"/>
        <v>106</v>
      </c>
      <c r="AV28" s="314">
        <f t="shared" ref="AV28:AW28" si="55">AV21-AV26</f>
        <v>-2404</v>
      </c>
      <c r="AW28" s="308">
        <f t="shared" si="55"/>
        <v>-2486</v>
      </c>
      <c r="AX28" s="305">
        <f t="shared" ref="AX28:BB28" si="56">AX21-AX26</f>
        <v>31.037568675226368</v>
      </c>
      <c r="AY28" s="306">
        <f t="shared" si="56"/>
        <v>-34.145964082913423</v>
      </c>
      <c r="AZ28" s="306">
        <f t="shared" si="56"/>
        <v>-37.316357379184893</v>
      </c>
      <c r="BA28" s="307">
        <f t="shared" si="56"/>
        <v>-57.066675850210125</v>
      </c>
      <c r="BB28" s="308">
        <f t="shared" si="56"/>
        <v>-97.491428637082862</v>
      </c>
      <c r="BC28" s="305">
        <f t="shared" ref="BC28:BL28" si="57">BC21-BC26</f>
        <v>-54.303003473909229</v>
      </c>
      <c r="BD28" s="306">
        <f t="shared" si="57"/>
        <v>-71.731960825091392</v>
      </c>
      <c r="BE28" s="306">
        <f t="shared" si="57"/>
        <v>-73.597805305447793</v>
      </c>
      <c r="BF28" s="307">
        <f t="shared" si="57"/>
        <v>-101.72614203648305</v>
      </c>
      <c r="BG28" s="308">
        <f t="shared" si="57"/>
        <v>-301.35891164093113</v>
      </c>
      <c r="BH28" s="305">
        <f t="shared" si="57"/>
        <v>-77.074425994746036</v>
      </c>
      <c r="BI28" s="306">
        <f t="shared" si="57"/>
        <v>-91.672610849620298</v>
      </c>
      <c r="BJ28" s="306">
        <f t="shared" si="57"/>
        <v>-86.494175591479717</v>
      </c>
      <c r="BK28" s="307">
        <f t="shared" si="57"/>
        <v>-111.78289136140296</v>
      </c>
      <c r="BL28" s="308">
        <f t="shared" si="57"/>
        <v>-367.02410379724904</v>
      </c>
      <c r="BM28" s="305">
        <f t="shared" ref="BM28:BQ28" si="58">BM21-BM26</f>
        <v>-35.520568055737023</v>
      </c>
      <c r="BN28" s="306">
        <f t="shared" si="58"/>
        <v>-72.511116897412833</v>
      </c>
      <c r="BO28" s="306">
        <f t="shared" si="58"/>
        <v>-62.780040173698652</v>
      </c>
      <c r="BP28" s="307">
        <f t="shared" si="58"/>
        <v>-39.660901156912203</v>
      </c>
      <c r="BQ28" s="308">
        <f t="shared" si="58"/>
        <v>-210.47262628376058</v>
      </c>
      <c r="BR28" s="763"/>
      <c r="BS28" s="763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</row>
    <row r="29" spans="1:84">
      <c r="A29" s="139"/>
      <c r="B29" s="139"/>
      <c r="C29" s="1187"/>
      <c r="E29" s="316"/>
      <c r="F29" s="312"/>
      <c r="G29" s="312"/>
      <c r="H29" s="317"/>
      <c r="I29" s="315"/>
      <c r="J29" s="316"/>
      <c r="K29" s="312"/>
      <c r="L29" s="312"/>
      <c r="M29" s="317"/>
      <c r="N29" s="315"/>
      <c r="O29" s="316"/>
      <c r="P29" s="312"/>
      <c r="Q29" s="312"/>
      <c r="R29" s="323"/>
      <c r="S29" s="315"/>
      <c r="T29" s="316"/>
      <c r="U29" s="312"/>
      <c r="V29" s="312"/>
      <c r="W29" s="323"/>
      <c r="X29" s="315"/>
      <c r="Y29" s="316"/>
      <c r="Z29" s="312"/>
      <c r="AA29" s="312"/>
      <c r="AB29" s="323"/>
      <c r="AC29" s="315"/>
      <c r="AD29" s="316"/>
      <c r="AE29" s="312"/>
      <c r="AF29" s="312"/>
      <c r="AG29" s="323"/>
      <c r="AH29" s="315"/>
      <c r="AI29" s="316"/>
      <c r="AJ29" s="312"/>
      <c r="AK29" s="312"/>
      <c r="AL29" s="323"/>
      <c r="AM29" s="315"/>
      <c r="AN29" s="316"/>
      <c r="AO29" s="312"/>
      <c r="AP29" s="312"/>
      <c r="AQ29" s="323"/>
      <c r="AR29" s="315"/>
      <c r="AS29" s="316"/>
      <c r="AT29" s="312"/>
      <c r="AU29" s="312"/>
      <c r="AV29" s="323"/>
      <c r="AW29" s="315"/>
      <c r="AX29" s="316"/>
      <c r="AY29" s="312"/>
      <c r="AZ29" s="312"/>
      <c r="BA29" s="317"/>
      <c r="BB29" s="315"/>
      <c r="BC29" s="316"/>
      <c r="BD29" s="312"/>
      <c r="BE29" s="312"/>
      <c r="BF29" s="317"/>
      <c r="BG29" s="315"/>
      <c r="BH29" s="316"/>
      <c r="BI29" s="312"/>
      <c r="BJ29" s="312"/>
      <c r="BK29" s="317"/>
      <c r="BL29" s="315"/>
      <c r="BM29" s="316"/>
      <c r="BN29" s="312"/>
      <c r="BO29" s="312"/>
      <c r="BP29" s="317"/>
      <c r="BQ29" s="315"/>
      <c r="BR29" s="177"/>
      <c r="BS29" s="177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</row>
    <row r="30" spans="1:84">
      <c r="A30" s="139"/>
      <c r="B30" s="139"/>
      <c r="C30" s="1187" t="s">
        <v>202</v>
      </c>
      <c r="E30" s="288"/>
      <c r="F30" s="289"/>
      <c r="G30" s="289"/>
      <c r="H30" s="290"/>
      <c r="I30" s="291">
        <v>305</v>
      </c>
      <c r="J30" s="288">
        <v>42</v>
      </c>
      <c r="K30" s="289">
        <v>75</v>
      </c>
      <c r="L30" s="289">
        <v>-16</v>
      </c>
      <c r="M30" s="290">
        <f>N30-L30-K30-J30</f>
        <v>27</v>
      </c>
      <c r="N30" s="291">
        <v>128</v>
      </c>
      <c r="O30" s="288">
        <f>21-P30</f>
        <v>9</v>
      </c>
      <c r="P30" s="289">
        <v>12</v>
      </c>
      <c r="Q30" s="289">
        <v>142</v>
      </c>
      <c r="R30" s="290">
        <f>S30-SUM(O30:Q30)</f>
        <v>59</v>
      </c>
      <c r="S30" s="291">
        <v>222</v>
      </c>
      <c r="T30" s="288">
        <v>83</v>
      </c>
      <c r="U30" s="289">
        <v>14</v>
      </c>
      <c r="V30" s="289">
        <v>76</v>
      </c>
      <c r="W30" s="290">
        <f>X30-SUM(T30:V30)</f>
        <v>-82</v>
      </c>
      <c r="X30" s="291">
        <v>91</v>
      </c>
      <c r="Y30" s="288">
        <f>-23</f>
        <v>-23</v>
      </c>
      <c r="Z30" s="302">
        <v>-207</v>
      </c>
      <c r="AA30" s="302">
        <v>47</v>
      </c>
      <c r="AB30" s="290">
        <f>AC30-SUM(Y30:AA30)</f>
        <v>42</v>
      </c>
      <c r="AC30" s="291">
        <v>-141</v>
      </c>
      <c r="AD30" s="288">
        <v>-73</v>
      </c>
      <c r="AE30" s="302">
        <v>-65</v>
      </c>
      <c r="AF30" s="302">
        <v>36</v>
      </c>
      <c r="AG30" s="290">
        <f>AH30-SUM(AD30:AF30)</f>
        <v>-124</v>
      </c>
      <c r="AH30" s="291">
        <v>-226</v>
      </c>
      <c r="AI30" s="288">
        <v>-4</v>
      </c>
      <c r="AJ30" s="302">
        <v>-7</v>
      </c>
      <c r="AK30" s="302">
        <v>81</v>
      </c>
      <c r="AL30" s="290">
        <f>AM30-SUM(AI30:AK30)</f>
        <v>-20</v>
      </c>
      <c r="AM30" s="291">
        <v>50</v>
      </c>
      <c r="AN30" s="288">
        <v>85</v>
      </c>
      <c r="AO30" s="302">
        <v>-230</v>
      </c>
      <c r="AP30" s="302">
        <v>49</v>
      </c>
      <c r="AQ30" s="290">
        <f>AR30-SUM(AN30:AP30)</f>
        <v>-3402</v>
      </c>
      <c r="AR30" s="291">
        <v>-3498</v>
      </c>
      <c r="AS30" s="288">
        <v>-35</v>
      </c>
      <c r="AT30" s="302">
        <v>-30</v>
      </c>
      <c r="AU30" s="302">
        <v>40</v>
      </c>
      <c r="AV30" s="290">
        <f>AW30-SUM(AS30:AU30)</f>
        <v>180</v>
      </c>
      <c r="AW30" s="291">
        <v>155</v>
      </c>
      <c r="AX30" s="316">
        <f>AX28*AX574</f>
        <v>11.483900409833756</v>
      </c>
      <c r="AY30" s="312">
        <f>AY28*AY574</f>
        <v>-12.634006710677966</v>
      </c>
      <c r="AZ30" s="312">
        <f>AZ28*AZ574</f>
        <v>-13.80705223029841</v>
      </c>
      <c r="BA30" s="317">
        <f>BA28*BA574</f>
        <v>-21.114670064577744</v>
      </c>
      <c r="BB30" s="315">
        <f>SUM(AX30:BA30)</f>
        <v>-36.071828595720362</v>
      </c>
      <c r="BC30" s="316">
        <f>BC28*BC574</f>
        <v>-20.092111285346416</v>
      </c>
      <c r="BD30" s="312">
        <f>BD28*BD574</f>
        <v>-26.540825505283813</v>
      </c>
      <c r="BE30" s="312">
        <f>BE28*BE574</f>
        <v>-27.231187963015682</v>
      </c>
      <c r="BF30" s="317">
        <f>BF28*BF574</f>
        <v>-37.638672553498729</v>
      </c>
      <c r="BG30" s="315">
        <f>SUM(BC30:BF30)</f>
        <v>-111.50279730714465</v>
      </c>
      <c r="BH30" s="316">
        <f>BH28*BH574</f>
        <v>-28.517537618056032</v>
      </c>
      <c r="BI30" s="312">
        <f>BI28*BI574</f>
        <v>-33.918866014359509</v>
      </c>
      <c r="BJ30" s="312">
        <f>BJ28*BJ574</f>
        <v>-32.002844968847498</v>
      </c>
      <c r="BK30" s="317">
        <f>BK28*BK574</f>
        <v>-41.359669803719093</v>
      </c>
      <c r="BL30" s="315">
        <f>SUM(BH30:BK30)</f>
        <v>-135.79891840498215</v>
      </c>
      <c r="BM30" s="316">
        <f>BM28*BM574</f>
        <v>-13.142610180622698</v>
      </c>
      <c r="BN30" s="312">
        <f>BN28*BN574</f>
        <v>-26.829113252042749</v>
      </c>
      <c r="BO30" s="312">
        <f>BO28*BO574</f>
        <v>-23.228614864268501</v>
      </c>
      <c r="BP30" s="317">
        <f>BP28*BP574</f>
        <v>-14.674533428057515</v>
      </c>
      <c r="BQ30" s="315">
        <f>SUM(BM30:BP30)</f>
        <v>-77.874871724991465</v>
      </c>
      <c r="BR30" s="177"/>
      <c r="BS30" s="177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</row>
    <row r="31" spans="1:84" s="13" customFormat="1">
      <c r="A31" s="136"/>
      <c r="B31" s="136"/>
      <c r="C31" s="1186" t="s">
        <v>425</v>
      </c>
      <c r="E31" s="305"/>
      <c r="F31" s="306"/>
      <c r="G31" s="306"/>
      <c r="H31" s="307"/>
      <c r="I31" s="308">
        <f>I28-I30</f>
        <v>446</v>
      </c>
      <c r="J31" s="305">
        <f t="shared" ref="J31:Z31" si="59">J28-J30</f>
        <v>69</v>
      </c>
      <c r="K31" s="306">
        <f t="shared" si="59"/>
        <v>121</v>
      </c>
      <c r="L31" s="306">
        <f t="shared" si="59"/>
        <v>-26</v>
      </c>
      <c r="M31" s="307">
        <f t="shared" si="59"/>
        <v>46</v>
      </c>
      <c r="N31" s="308">
        <f t="shared" si="59"/>
        <v>210</v>
      </c>
      <c r="O31" s="305">
        <f t="shared" si="59"/>
        <v>15</v>
      </c>
      <c r="P31" s="306">
        <f t="shared" si="59"/>
        <v>21</v>
      </c>
      <c r="Q31" s="306">
        <f t="shared" si="59"/>
        <v>242</v>
      </c>
      <c r="R31" s="307">
        <f t="shared" si="59"/>
        <v>99</v>
      </c>
      <c r="S31" s="308">
        <f t="shared" si="59"/>
        <v>377</v>
      </c>
      <c r="T31" s="305">
        <f t="shared" si="59"/>
        <v>141</v>
      </c>
      <c r="U31" s="306">
        <f t="shared" si="59"/>
        <v>25</v>
      </c>
      <c r="V31" s="306">
        <f t="shared" si="59"/>
        <v>129</v>
      </c>
      <c r="W31" s="307">
        <f t="shared" si="59"/>
        <v>-80</v>
      </c>
      <c r="X31" s="308">
        <f t="shared" si="59"/>
        <v>215</v>
      </c>
      <c r="Y31" s="305">
        <f t="shared" si="59"/>
        <v>-38</v>
      </c>
      <c r="Z31" s="306">
        <f t="shared" si="59"/>
        <v>-339</v>
      </c>
      <c r="AA31" s="306">
        <f t="shared" ref="AA31:AF31" si="60">AA28-AA30</f>
        <v>68</v>
      </c>
      <c r="AB31" s="307">
        <f t="shared" si="60"/>
        <v>72</v>
      </c>
      <c r="AC31" s="308">
        <f t="shared" si="60"/>
        <v>-237</v>
      </c>
      <c r="AD31" s="305">
        <f t="shared" si="60"/>
        <v>-124</v>
      </c>
      <c r="AE31" s="306">
        <f t="shared" si="60"/>
        <v>-119</v>
      </c>
      <c r="AF31" s="306">
        <f t="shared" si="60"/>
        <v>66</v>
      </c>
      <c r="AG31" s="307">
        <f>AG28-AG30</f>
        <v>-246</v>
      </c>
      <c r="AH31" s="308">
        <f>AH28-AH30</f>
        <v>-423</v>
      </c>
      <c r="AI31" s="305">
        <f>AI28-AI30</f>
        <v>-9</v>
      </c>
      <c r="AJ31" s="306">
        <f>AJ28-AJ30</f>
        <v>-12</v>
      </c>
      <c r="AK31" s="306">
        <f t="shared" ref="AK31" si="61">AK28-AK30</f>
        <v>140</v>
      </c>
      <c r="AL31" s="307">
        <f>AL28-AL30</f>
        <v>-30</v>
      </c>
      <c r="AM31" s="308">
        <f>AM28-AM30</f>
        <v>89</v>
      </c>
      <c r="AN31" s="305">
        <f>AN28-AN30</f>
        <v>144</v>
      </c>
      <c r="AO31" s="306">
        <f>AO28-AO30</f>
        <v>-1259</v>
      </c>
      <c r="AP31" s="306">
        <f t="shared" ref="AP31:AU31" si="62">AP28-AP30</f>
        <v>86</v>
      </c>
      <c r="AQ31" s="307">
        <f>AQ28-AQ30</f>
        <v>-5890</v>
      </c>
      <c r="AR31" s="308">
        <f>AR28-AR30</f>
        <v>-6919</v>
      </c>
      <c r="AS31" s="305">
        <f t="shared" si="62"/>
        <v>-67</v>
      </c>
      <c r="AT31" s="306">
        <f>AT28-AT30</f>
        <v>-56</v>
      </c>
      <c r="AU31" s="306">
        <f t="shared" si="62"/>
        <v>66</v>
      </c>
      <c r="AV31" s="307">
        <f>AV28-AV30</f>
        <v>-2584</v>
      </c>
      <c r="AW31" s="308">
        <f>AW28-AW30</f>
        <v>-2641</v>
      </c>
      <c r="AX31" s="305">
        <f t="shared" ref="AX31:BL31" si="63">AX28-AX30</f>
        <v>19.553668265392609</v>
      </c>
      <c r="AY31" s="306">
        <f t="shared" si="63"/>
        <v>-21.511957372235457</v>
      </c>
      <c r="AZ31" s="306">
        <f t="shared" si="63"/>
        <v>-23.509305148886483</v>
      </c>
      <c r="BA31" s="307">
        <f t="shared" si="63"/>
        <v>-35.95200578563238</v>
      </c>
      <c r="BB31" s="308">
        <f t="shared" si="63"/>
        <v>-61.4196000413625</v>
      </c>
      <c r="BC31" s="305">
        <f t="shared" si="63"/>
        <v>-34.210892188562809</v>
      </c>
      <c r="BD31" s="306">
        <f t="shared" si="63"/>
        <v>-45.191135319807579</v>
      </c>
      <c r="BE31" s="306">
        <f t="shared" si="63"/>
        <v>-46.366617342432107</v>
      </c>
      <c r="BF31" s="307">
        <f t="shared" si="63"/>
        <v>-64.087469482984318</v>
      </c>
      <c r="BG31" s="308">
        <f t="shared" si="63"/>
        <v>-189.85611433378648</v>
      </c>
      <c r="BH31" s="305">
        <f t="shared" si="63"/>
        <v>-48.556888376690004</v>
      </c>
      <c r="BI31" s="306">
        <f t="shared" si="63"/>
        <v>-57.75374483526079</v>
      </c>
      <c r="BJ31" s="306">
        <f t="shared" si="63"/>
        <v>-54.491330622632219</v>
      </c>
      <c r="BK31" s="307">
        <f t="shared" si="63"/>
        <v>-70.42322155768386</v>
      </c>
      <c r="BL31" s="308">
        <f t="shared" si="63"/>
        <v>-231.22518539226689</v>
      </c>
      <c r="BM31" s="305">
        <f t="shared" ref="BM31:BQ31" si="64">BM28-BM30</f>
        <v>-22.377957875114326</v>
      </c>
      <c r="BN31" s="306">
        <f t="shared" si="64"/>
        <v>-45.682003645370088</v>
      </c>
      <c r="BO31" s="306">
        <f t="shared" si="64"/>
        <v>-39.551425309430151</v>
      </c>
      <c r="BP31" s="307">
        <f t="shared" si="64"/>
        <v>-24.986367728854688</v>
      </c>
      <c r="BQ31" s="308">
        <f t="shared" si="64"/>
        <v>-132.59775455876911</v>
      </c>
      <c r="BR31" s="763"/>
      <c r="BS31" s="763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</row>
    <row r="32" spans="1:84">
      <c r="A32" s="139"/>
      <c r="B32" s="139"/>
      <c r="C32" s="1187"/>
      <c r="E32" s="288"/>
      <c r="F32" s="289"/>
      <c r="G32" s="289"/>
      <c r="H32" s="290"/>
      <c r="I32" s="291"/>
      <c r="J32" s="288"/>
      <c r="K32" s="289"/>
      <c r="L32" s="289"/>
      <c r="M32" s="290"/>
      <c r="N32" s="291"/>
      <c r="O32" s="288"/>
      <c r="P32" s="289"/>
      <c r="Q32" s="289"/>
      <c r="R32" s="290"/>
      <c r="S32" s="291"/>
      <c r="T32" s="288"/>
      <c r="U32" s="289"/>
      <c r="V32" s="289"/>
      <c r="W32" s="290"/>
      <c r="X32" s="291"/>
      <c r="Y32" s="288"/>
      <c r="Z32" s="302"/>
      <c r="AA32" s="302"/>
      <c r="AB32" s="290"/>
      <c r="AC32" s="291"/>
      <c r="AD32" s="288"/>
      <c r="AE32" s="302"/>
      <c r="AF32" s="302"/>
      <c r="AG32" s="290"/>
      <c r="AH32" s="291"/>
      <c r="AI32" s="288"/>
      <c r="AJ32" s="302"/>
      <c r="AK32" s="302"/>
      <c r="AL32" s="290"/>
      <c r="AM32" s="291"/>
      <c r="AN32" s="288"/>
      <c r="AO32" s="302"/>
      <c r="AP32" s="302"/>
      <c r="AQ32" s="290"/>
      <c r="AR32" s="291"/>
      <c r="AS32" s="316"/>
      <c r="AT32" s="302"/>
      <c r="AU32" s="302"/>
      <c r="AV32" s="290"/>
      <c r="AW32" s="291"/>
      <c r="AX32" s="316"/>
      <c r="AY32" s="312"/>
      <c r="AZ32" s="312"/>
      <c r="BA32" s="317"/>
      <c r="BB32" s="315"/>
      <c r="BC32" s="316"/>
      <c r="BD32" s="312"/>
      <c r="BE32" s="312"/>
      <c r="BF32" s="317"/>
      <c r="BG32" s="315"/>
      <c r="BH32" s="316"/>
      <c r="BI32" s="312"/>
      <c r="BJ32" s="312"/>
      <c r="BK32" s="317"/>
      <c r="BL32" s="315"/>
      <c r="BM32" s="316"/>
      <c r="BN32" s="312"/>
      <c r="BO32" s="312"/>
      <c r="BP32" s="317"/>
      <c r="BQ32" s="315"/>
      <c r="BR32" s="177"/>
      <c r="BS32" s="177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</row>
    <row r="33" spans="1:106">
      <c r="A33" s="139"/>
      <c r="B33" s="139"/>
      <c r="C33" s="270" t="s">
        <v>75</v>
      </c>
      <c r="E33" s="301"/>
      <c r="F33" s="302"/>
      <c r="G33" s="302"/>
      <c r="H33" s="290"/>
      <c r="I33" s="300">
        <v>0</v>
      </c>
      <c r="J33" s="301">
        <v>0</v>
      </c>
      <c r="K33" s="302">
        <v>0</v>
      </c>
      <c r="L33" s="302">
        <v>0</v>
      </c>
      <c r="M33" s="290">
        <f>+N33-L33-K33-J33</f>
        <v>0</v>
      </c>
      <c r="N33" s="300">
        <v>0</v>
      </c>
      <c r="O33" s="301">
        <v>0</v>
      </c>
      <c r="P33" s="302">
        <v>0</v>
      </c>
      <c r="Q33" s="302">
        <v>0</v>
      </c>
      <c r="R33" s="290">
        <f>+S33-Q33-P33-O33</f>
        <v>0</v>
      </c>
      <c r="S33" s="300">
        <v>0</v>
      </c>
      <c r="T33" s="301">
        <v>0</v>
      </c>
      <c r="U33" s="302">
        <v>0</v>
      </c>
      <c r="V33" s="302">
        <v>3</v>
      </c>
      <c r="W33" s="290">
        <f>+X33-V33-U33-T33</f>
        <v>-3</v>
      </c>
      <c r="X33" s="300">
        <v>0</v>
      </c>
      <c r="Y33" s="301">
        <v>0</v>
      </c>
      <c r="Z33" s="302">
        <v>0</v>
      </c>
      <c r="AA33" s="302">
        <v>9</v>
      </c>
      <c r="AB33" s="290">
        <f>+AC33-AA33-Z33-Y33</f>
        <v>8</v>
      </c>
      <c r="AC33" s="300">
        <v>17</v>
      </c>
      <c r="AD33" s="301">
        <v>86</v>
      </c>
      <c r="AE33" s="302">
        <v>0</v>
      </c>
      <c r="AF33" s="302">
        <v>0</v>
      </c>
      <c r="AG33" s="290">
        <f>+AH33-AF33-AE33-AD33</f>
        <v>0</v>
      </c>
      <c r="AH33" s="300">
        <v>86</v>
      </c>
      <c r="AI33" s="301">
        <v>0</v>
      </c>
      <c r="AJ33" s="302">
        <v>0</v>
      </c>
      <c r="AK33" s="302">
        <v>0</v>
      </c>
      <c r="AL33" s="290">
        <f>+AM33-AK33-AJ33-AI33</f>
        <v>0</v>
      </c>
      <c r="AM33" s="300">
        <v>0</v>
      </c>
      <c r="AN33" s="301">
        <v>0</v>
      </c>
      <c r="AO33" s="302">
        <v>0</v>
      </c>
      <c r="AP33" s="302">
        <v>0</v>
      </c>
      <c r="AQ33" s="290">
        <f>+AR33-AP33-AO33-AN33</f>
        <v>0</v>
      </c>
      <c r="AR33" s="300">
        <v>0</v>
      </c>
      <c r="AS33" s="316">
        <v>0</v>
      </c>
      <c r="AT33" s="302">
        <v>0</v>
      </c>
      <c r="AU33" s="302">
        <v>0</v>
      </c>
      <c r="AV33" s="290">
        <f>+AW33-AU33-AT33-AS33</f>
        <v>0</v>
      </c>
      <c r="AW33" s="300">
        <v>0</v>
      </c>
      <c r="AX33" s="316">
        <v>0</v>
      </c>
      <c r="AY33" s="312">
        <v>0</v>
      </c>
      <c r="AZ33" s="312">
        <v>0</v>
      </c>
      <c r="BA33" s="317">
        <v>0</v>
      </c>
      <c r="BB33" s="315">
        <f>SUM(AX33:BA33)</f>
        <v>0</v>
      </c>
      <c r="BC33" s="316">
        <v>0</v>
      </c>
      <c r="BD33" s="312">
        <v>0</v>
      </c>
      <c r="BE33" s="312">
        <v>0</v>
      </c>
      <c r="BF33" s="317">
        <v>0</v>
      </c>
      <c r="BG33" s="315">
        <f>SUM(BC33:BF33)</f>
        <v>0</v>
      </c>
      <c r="BH33" s="316">
        <v>0</v>
      </c>
      <c r="BI33" s="312">
        <v>0</v>
      </c>
      <c r="BJ33" s="312">
        <v>0</v>
      </c>
      <c r="BK33" s="317">
        <v>0</v>
      </c>
      <c r="BL33" s="315">
        <f>SUM(BH33:BK33)</f>
        <v>0</v>
      </c>
      <c r="BM33" s="316">
        <v>0</v>
      </c>
      <c r="BN33" s="312">
        <v>0</v>
      </c>
      <c r="BO33" s="312">
        <v>0</v>
      </c>
      <c r="BP33" s="317">
        <v>0</v>
      </c>
      <c r="BQ33" s="315">
        <f>SUM(BM33:BP33)</f>
        <v>0</v>
      </c>
      <c r="BR33" s="177"/>
      <c r="BS33" s="177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</row>
    <row r="34" spans="1:106" s="13" customFormat="1">
      <c r="A34" s="136"/>
      <c r="B34" s="136"/>
      <c r="C34" s="1186" t="s">
        <v>425</v>
      </c>
      <c r="E34" s="305"/>
      <c r="F34" s="306"/>
      <c r="G34" s="306"/>
      <c r="H34" s="307"/>
      <c r="I34" s="308">
        <f>I31+I33</f>
        <v>446</v>
      </c>
      <c r="J34" s="305">
        <f t="shared" ref="J34:AU34" si="65">J31+J33</f>
        <v>69</v>
      </c>
      <c r="K34" s="306">
        <f t="shared" si="65"/>
        <v>121</v>
      </c>
      <c r="L34" s="306">
        <f t="shared" si="65"/>
        <v>-26</v>
      </c>
      <c r="M34" s="307">
        <f t="shared" si="65"/>
        <v>46</v>
      </c>
      <c r="N34" s="308">
        <f t="shared" si="65"/>
        <v>210</v>
      </c>
      <c r="O34" s="305">
        <f t="shared" si="65"/>
        <v>15</v>
      </c>
      <c r="P34" s="306">
        <f t="shared" si="65"/>
        <v>21</v>
      </c>
      <c r="Q34" s="306">
        <f t="shared" si="65"/>
        <v>242</v>
      </c>
      <c r="R34" s="307">
        <f t="shared" si="65"/>
        <v>99</v>
      </c>
      <c r="S34" s="308">
        <f t="shared" si="65"/>
        <v>377</v>
      </c>
      <c r="T34" s="305">
        <f t="shared" si="65"/>
        <v>141</v>
      </c>
      <c r="U34" s="306">
        <f t="shared" si="65"/>
        <v>25</v>
      </c>
      <c r="V34" s="306">
        <f t="shared" si="65"/>
        <v>132</v>
      </c>
      <c r="W34" s="307">
        <f t="shared" si="65"/>
        <v>-83</v>
      </c>
      <c r="X34" s="308">
        <f t="shared" si="65"/>
        <v>215</v>
      </c>
      <c r="Y34" s="305">
        <f t="shared" si="65"/>
        <v>-38</v>
      </c>
      <c r="Z34" s="306">
        <f t="shared" si="65"/>
        <v>-339</v>
      </c>
      <c r="AA34" s="306">
        <f t="shared" si="65"/>
        <v>77</v>
      </c>
      <c r="AB34" s="307">
        <f t="shared" ref="AB34:AJ34" si="66">AB31+AB33</f>
        <v>80</v>
      </c>
      <c r="AC34" s="308">
        <f t="shared" si="66"/>
        <v>-220</v>
      </c>
      <c r="AD34" s="305">
        <f t="shared" si="66"/>
        <v>-38</v>
      </c>
      <c r="AE34" s="306">
        <f t="shared" si="66"/>
        <v>-119</v>
      </c>
      <c r="AF34" s="306">
        <f t="shared" si="66"/>
        <v>66</v>
      </c>
      <c r="AG34" s="307">
        <f t="shared" si="66"/>
        <v>-246</v>
      </c>
      <c r="AH34" s="308">
        <f t="shared" si="66"/>
        <v>-337</v>
      </c>
      <c r="AI34" s="305">
        <f t="shared" si="66"/>
        <v>-9</v>
      </c>
      <c r="AJ34" s="306">
        <f t="shared" si="66"/>
        <v>-12</v>
      </c>
      <c r="AK34" s="306">
        <f t="shared" ref="AK34:AO34" si="67">AK31+AK33</f>
        <v>140</v>
      </c>
      <c r="AL34" s="307">
        <f t="shared" si="67"/>
        <v>-30</v>
      </c>
      <c r="AM34" s="308">
        <f t="shared" si="67"/>
        <v>89</v>
      </c>
      <c r="AN34" s="305">
        <f t="shared" si="67"/>
        <v>144</v>
      </c>
      <c r="AO34" s="306">
        <f t="shared" si="67"/>
        <v>-1259</v>
      </c>
      <c r="AP34" s="306">
        <f t="shared" si="65"/>
        <v>86</v>
      </c>
      <c r="AQ34" s="307">
        <f t="shared" si="65"/>
        <v>-5890</v>
      </c>
      <c r="AR34" s="308">
        <f t="shared" si="65"/>
        <v>-6919</v>
      </c>
      <c r="AS34" s="305">
        <f t="shared" si="65"/>
        <v>-67</v>
      </c>
      <c r="AT34" s="306">
        <f t="shared" si="65"/>
        <v>-56</v>
      </c>
      <c r="AU34" s="306">
        <f t="shared" si="65"/>
        <v>66</v>
      </c>
      <c r="AV34" s="307">
        <f t="shared" ref="AV34:AW34" si="68">AV31+AV33</f>
        <v>-2584</v>
      </c>
      <c r="AW34" s="308">
        <f t="shared" si="68"/>
        <v>-2641</v>
      </c>
      <c r="AX34" s="305">
        <f t="shared" ref="AX34:BL34" si="69">AX31+AX33</f>
        <v>19.553668265392609</v>
      </c>
      <c r="AY34" s="306">
        <f t="shared" si="69"/>
        <v>-21.511957372235457</v>
      </c>
      <c r="AZ34" s="306">
        <f t="shared" si="69"/>
        <v>-23.509305148886483</v>
      </c>
      <c r="BA34" s="307">
        <f t="shared" si="69"/>
        <v>-35.95200578563238</v>
      </c>
      <c r="BB34" s="308">
        <f t="shared" si="69"/>
        <v>-61.4196000413625</v>
      </c>
      <c r="BC34" s="305">
        <f t="shared" si="69"/>
        <v>-34.210892188562809</v>
      </c>
      <c r="BD34" s="306">
        <f t="shared" si="69"/>
        <v>-45.191135319807579</v>
      </c>
      <c r="BE34" s="306">
        <f t="shared" si="69"/>
        <v>-46.366617342432107</v>
      </c>
      <c r="BF34" s="307">
        <f t="shared" si="69"/>
        <v>-64.087469482984318</v>
      </c>
      <c r="BG34" s="308">
        <f t="shared" si="69"/>
        <v>-189.85611433378648</v>
      </c>
      <c r="BH34" s="305">
        <f t="shared" si="69"/>
        <v>-48.556888376690004</v>
      </c>
      <c r="BI34" s="306">
        <f t="shared" si="69"/>
        <v>-57.75374483526079</v>
      </c>
      <c r="BJ34" s="306">
        <f t="shared" si="69"/>
        <v>-54.491330622632219</v>
      </c>
      <c r="BK34" s="307">
        <f t="shared" si="69"/>
        <v>-70.42322155768386</v>
      </c>
      <c r="BL34" s="308">
        <f t="shared" si="69"/>
        <v>-231.22518539226689</v>
      </c>
      <c r="BM34" s="305">
        <f t="shared" ref="BM34:BQ34" si="70">BM31+BM33</f>
        <v>-22.377957875114326</v>
      </c>
      <c r="BN34" s="306">
        <f t="shared" si="70"/>
        <v>-45.682003645370088</v>
      </c>
      <c r="BO34" s="306">
        <f t="shared" si="70"/>
        <v>-39.551425309430151</v>
      </c>
      <c r="BP34" s="307">
        <f t="shared" si="70"/>
        <v>-24.986367728854688</v>
      </c>
      <c r="BQ34" s="308">
        <f t="shared" si="70"/>
        <v>-132.59775455876911</v>
      </c>
      <c r="BR34" s="763"/>
      <c r="BS34" s="763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</row>
    <row r="35" spans="1:106">
      <c r="A35" s="139"/>
      <c r="B35" s="139"/>
      <c r="C35" s="1187" t="s">
        <v>432</v>
      </c>
      <c r="E35" s="288"/>
      <c r="F35" s="289"/>
      <c r="G35" s="289"/>
      <c r="H35" s="290"/>
      <c r="I35" s="291">
        <v>0</v>
      </c>
      <c r="J35" s="288">
        <f>(19+6+9+17-19)-K35</f>
        <v>47</v>
      </c>
      <c r="K35" s="289">
        <f>9+2-35+9</f>
        <v>-15</v>
      </c>
      <c r="L35" s="289">
        <f>2+4+13+292-116</f>
        <v>195</v>
      </c>
      <c r="M35" s="290">
        <f>N35-L35-K35-J35</f>
        <v>126</v>
      </c>
      <c r="N35" s="291">
        <f>32+19+107+30-76+380-139</f>
        <v>353</v>
      </c>
      <c r="O35" s="288">
        <f>151-P35</f>
        <v>94</v>
      </c>
      <c r="P35" s="289">
        <f>3+8+7+20+49+5+1-36</f>
        <v>57</v>
      </c>
      <c r="Q35" s="289">
        <f>8+2+1+6+39+5-23</f>
        <v>38</v>
      </c>
      <c r="R35" s="102">
        <f>S35-SUM(O35:Q35)</f>
        <v>-25</v>
      </c>
      <c r="S35" s="291">
        <f>17+100-504+214+14+161+10+1+247-96</f>
        <v>164</v>
      </c>
      <c r="T35" s="288">
        <v>17</v>
      </c>
      <c r="U35" s="289">
        <f>3+1-12-9+21+42+1-17</f>
        <v>30</v>
      </c>
      <c r="V35" s="289">
        <f>(2+2-4+17+1+1+19+2-14)</f>
        <v>26</v>
      </c>
      <c r="W35" s="102">
        <f>X35-SUM(T35:V35)</f>
        <v>190</v>
      </c>
      <c r="X35" s="291">
        <f>(14+3+5+215-75+85+2+6+168-160)</f>
        <v>263</v>
      </c>
      <c r="Y35" s="288">
        <v>112</v>
      </c>
      <c r="Z35" s="302">
        <v>383</v>
      </c>
      <c r="AA35" s="302">
        <v>21</v>
      </c>
      <c r="AB35" s="102">
        <f>AC35-SUM(Y35:AA35)</f>
        <v>11</v>
      </c>
      <c r="AC35" s="291">
        <f>18+72+2+22-106-24+56+1+649+152-315</f>
        <v>527</v>
      </c>
      <c r="AD35" s="288">
        <v>-54</v>
      </c>
      <c r="AE35" s="302">
        <v>131</v>
      </c>
      <c r="AF35" s="302">
        <v>38</v>
      </c>
      <c r="AG35" s="102">
        <f>AH35-SUM(AD35:AF35)</f>
        <v>321</v>
      </c>
      <c r="AH35" s="291">
        <v>436</v>
      </c>
      <c r="AI35" s="288">
        <v>28</v>
      </c>
      <c r="AJ35" s="302">
        <v>30</v>
      </c>
      <c r="AK35" s="302">
        <v>4</v>
      </c>
      <c r="AL35" s="102">
        <f>AM35-SUM(AI35:AK35)</f>
        <v>109</v>
      </c>
      <c r="AM35" s="291">
        <v>171</v>
      </c>
      <c r="AN35" s="301">
        <v>-31</v>
      </c>
      <c r="AO35" s="302">
        <f>66+70+1447+2+2-267</f>
        <v>1320</v>
      </c>
      <c r="AP35" s="302">
        <f>8-16+2+2+2</f>
        <v>-2</v>
      </c>
      <c r="AQ35" s="102">
        <f>AR35-SUM(AN35:AP35)</f>
        <v>5888</v>
      </c>
      <c r="AR35" s="291">
        <v>7175</v>
      </c>
      <c r="AS35" s="301">
        <v>134</v>
      </c>
      <c r="AT35" s="302">
        <f>6+131+4-51</f>
        <v>90</v>
      </c>
      <c r="AU35" s="302">
        <f>10+18+3-11</f>
        <v>20</v>
      </c>
      <c r="AV35" s="102">
        <f>AW35-SUM(AS35:AU35)</f>
        <v>2602</v>
      </c>
      <c r="AW35" s="291">
        <v>2846</v>
      </c>
      <c r="AX35" s="296">
        <f>BB35/4</f>
        <v>0</v>
      </c>
      <c r="AY35" s="297">
        <f>BB35/4</f>
        <v>0</v>
      </c>
      <c r="AZ35" s="297">
        <f>BB35/4</f>
        <v>0</v>
      </c>
      <c r="BA35" s="290">
        <f>BB35/4</f>
        <v>0</v>
      </c>
      <c r="BB35" s="730">
        <v>0</v>
      </c>
      <c r="BC35" s="296">
        <f>BG35/4</f>
        <v>0</v>
      </c>
      <c r="BD35" s="297">
        <f>BG35/4</f>
        <v>0</v>
      </c>
      <c r="BE35" s="297">
        <f>BG35/4</f>
        <v>0</v>
      </c>
      <c r="BF35" s="290">
        <f>BG35/4</f>
        <v>0</v>
      </c>
      <c r="BG35" s="730">
        <v>0</v>
      </c>
      <c r="BH35" s="296">
        <f>BL35/4</f>
        <v>0</v>
      </c>
      <c r="BI35" s="297">
        <f>BL35/4</f>
        <v>0</v>
      </c>
      <c r="BJ35" s="297">
        <f>BL35/4</f>
        <v>0</v>
      </c>
      <c r="BK35" s="290">
        <f>BL35/4</f>
        <v>0</v>
      </c>
      <c r="BL35" s="730">
        <v>0</v>
      </c>
      <c r="BM35" s="296">
        <f>BQ35/4</f>
        <v>0</v>
      </c>
      <c r="BN35" s="297">
        <f>BQ35/4</f>
        <v>0</v>
      </c>
      <c r="BO35" s="297">
        <f>BQ35/4</f>
        <v>0</v>
      </c>
      <c r="BP35" s="290">
        <f>BQ35/4</f>
        <v>0</v>
      </c>
      <c r="BQ35" s="730">
        <v>0</v>
      </c>
      <c r="BR35" s="177"/>
      <c r="BS35" s="177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</row>
    <row r="36" spans="1:106">
      <c r="A36" s="139"/>
      <c r="B36" s="139"/>
      <c r="C36" s="1222" t="s">
        <v>203</v>
      </c>
      <c r="E36" s="305"/>
      <c r="F36" s="306"/>
      <c r="G36" s="306"/>
      <c r="H36" s="307"/>
      <c r="I36" s="308">
        <f t="shared" ref="I36:O36" si="71">I34+I35</f>
        <v>446</v>
      </c>
      <c r="J36" s="305">
        <f t="shared" si="71"/>
        <v>116</v>
      </c>
      <c r="K36" s="306">
        <f t="shared" si="71"/>
        <v>106</v>
      </c>
      <c r="L36" s="306">
        <f t="shared" si="71"/>
        <v>169</v>
      </c>
      <c r="M36" s="307">
        <f t="shared" si="71"/>
        <v>172</v>
      </c>
      <c r="N36" s="308">
        <f t="shared" si="71"/>
        <v>563</v>
      </c>
      <c r="O36" s="305">
        <f t="shared" si="71"/>
        <v>109</v>
      </c>
      <c r="P36" s="306">
        <f t="shared" ref="P36:AR36" si="72">P34+P35</f>
        <v>78</v>
      </c>
      <c r="Q36" s="306">
        <f t="shared" si="72"/>
        <v>280</v>
      </c>
      <c r="R36" s="307">
        <f t="shared" si="72"/>
        <v>74</v>
      </c>
      <c r="S36" s="308">
        <f t="shared" si="72"/>
        <v>541</v>
      </c>
      <c r="T36" s="305">
        <f t="shared" si="72"/>
        <v>158</v>
      </c>
      <c r="U36" s="306">
        <f t="shared" si="72"/>
        <v>55</v>
      </c>
      <c r="V36" s="306">
        <f t="shared" si="72"/>
        <v>158</v>
      </c>
      <c r="W36" s="307">
        <f t="shared" si="72"/>
        <v>107</v>
      </c>
      <c r="X36" s="308">
        <f t="shared" si="72"/>
        <v>478</v>
      </c>
      <c r="Y36" s="305">
        <f t="shared" si="72"/>
        <v>74</v>
      </c>
      <c r="Z36" s="306">
        <f t="shared" si="72"/>
        <v>44</v>
      </c>
      <c r="AA36" s="306">
        <f t="shared" si="72"/>
        <v>98</v>
      </c>
      <c r="AB36" s="307">
        <f t="shared" ref="AB36:AJ36" si="73">AB34+AB35</f>
        <v>91</v>
      </c>
      <c r="AC36" s="308">
        <f t="shared" si="73"/>
        <v>307</v>
      </c>
      <c r="AD36" s="305">
        <f t="shared" si="73"/>
        <v>-92</v>
      </c>
      <c r="AE36" s="306">
        <f t="shared" si="73"/>
        <v>12</v>
      </c>
      <c r="AF36" s="306">
        <f t="shared" si="73"/>
        <v>104</v>
      </c>
      <c r="AG36" s="307">
        <f t="shared" si="73"/>
        <v>75</v>
      </c>
      <c r="AH36" s="308">
        <f t="shared" si="73"/>
        <v>99</v>
      </c>
      <c r="AI36" s="305">
        <f t="shared" si="73"/>
        <v>19</v>
      </c>
      <c r="AJ36" s="306">
        <f t="shared" si="73"/>
        <v>18</v>
      </c>
      <c r="AK36" s="306">
        <f t="shared" ref="AK36:AO36" si="74">AK34+AK35</f>
        <v>144</v>
      </c>
      <c r="AL36" s="307">
        <f t="shared" si="74"/>
        <v>79</v>
      </c>
      <c r="AM36" s="308">
        <f t="shared" si="74"/>
        <v>260</v>
      </c>
      <c r="AN36" s="305">
        <f t="shared" si="74"/>
        <v>113</v>
      </c>
      <c r="AO36" s="306">
        <f t="shared" si="74"/>
        <v>61</v>
      </c>
      <c r="AP36" s="306">
        <f t="shared" si="72"/>
        <v>84</v>
      </c>
      <c r="AQ36" s="307">
        <f t="shared" si="72"/>
        <v>-2</v>
      </c>
      <c r="AR36" s="308">
        <f t="shared" si="72"/>
        <v>256</v>
      </c>
      <c r="AS36" s="305">
        <f t="shared" ref="AS36:BA36" si="75">AS34+AS35</f>
        <v>67</v>
      </c>
      <c r="AT36" s="306">
        <f t="shared" si="75"/>
        <v>34</v>
      </c>
      <c r="AU36" s="306">
        <f t="shared" si="75"/>
        <v>86</v>
      </c>
      <c r="AV36" s="307">
        <f t="shared" si="75"/>
        <v>18</v>
      </c>
      <c r="AW36" s="308">
        <f t="shared" si="75"/>
        <v>205</v>
      </c>
      <c r="AX36" s="305">
        <f t="shared" si="75"/>
        <v>19.553668265392609</v>
      </c>
      <c r="AY36" s="306">
        <f t="shared" si="75"/>
        <v>-21.511957372235457</v>
      </c>
      <c r="AZ36" s="306">
        <f t="shared" si="75"/>
        <v>-23.509305148886483</v>
      </c>
      <c r="BA36" s="307">
        <f t="shared" si="75"/>
        <v>-35.95200578563238</v>
      </c>
      <c r="BB36" s="308">
        <f>BB34+BB35</f>
        <v>-61.4196000413625</v>
      </c>
      <c r="BC36" s="305">
        <f t="shared" ref="BC36:BL36" si="76">BC34+BC35</f>
        <v>-34.210892188562809</v>
      </c>
      <c r="BD36" s="306">
        <f t="shared" si="76"/>
        <v>-45.191135319807579</v>
      </c>
      <c r="BE36" s="306">
        <f t="shared" si="76"/>
        <v>-46.366617342432107</v>
      </c>
      <c r="BF36" s="307">
        <f t="shared" si="76"/>
        <v>-64.087469482984318</v>
      </c>
      <c r="BG36" s="308">
        <f t="shared" si="76"/>
        <v>-189.85611433378648</v>
      </c>
      <c r="BH36" s="305">
        <f t="shared" si="76"/>
        <v>-48.556888376690004</v>
      </c>
      <c r="BI36" s="306">
        <f t="shared" si="76"/>
        <v>-57.75374483526079</v>
      </c>
      <c r="BJ36" s="306">
        <f t="shared" si="76"/>
        <v>-54.491330622632219</v>
      </c>
      <c r="BK36" s="307">
        <f t="shared" si="76"/>
        <v>-70.42322155768386</v>
      </c>
      <c r="BL36" s="308">
        <f t="shared" si="76"/>
        <v>-231.22518539226689</v>
      </c>
      <c r="BM36" s="305">
        <f t="shared" ref="BM36:BQ36" si="77">BM34+BM35</f>
        <v>-22.377957875114326</v>
      </c>
      <c r="BN36" s="306">
        <f t="shared" si="77"/>
        <v>-45.682003645370088</v>
      </c>
      <c r="BO36" s="306">
        <f t="shared" si="77"/>
        <v>-39.551425309430151</v>
      </c>
      <c r="BP36" s="307">
        <f t="shared" si="77"/>
        <v>-24.986367728854688</v>
      </c>
      <c r="BQ36" s="308">
        <f t="shared" si="77"/>
        <v>-132.59775455876911</v>
      </c>
      <c r="BR36" s="177"/>
      <c r="BS36" s="177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15"/>
    </row>
    <row r="37" spans="1:106">
      <c r="A37" s="139"/>
      <c r="B37" s="139"/>
      <c r="C37" s="1223"/>
      <c r="D37" s="799"/>
      <c r="E37" s="667"/>
      <c r="F37" s="485"/>
      <c r="G37" s="485"/>
      <c r="H37" s="486"/>
      <c r="I37" s="730"/>
      <c r="J37" s="667"/>
      <c r="K37" s="485"/>
      <c r="L37" s="485"/>
      <c r="M37" s="486"/>
      <c r="N37" s="730"/>
      <c r="O37" s="667"/>
      <c r="P37" s="485"/>
      <c r="Q37" s="485"/>
      <c r="R37" s="486"/>
      <c r="S37" s="730"/>
      <c r="T37" s="667"/>
      <c r="U37" s="485"/>
      <c r="V37" s="485"/>
      <c r="W37" s="486"/>
      <c r="X37" s="730"/>
      <c r="Y37" s="667"/>
      <c r="Z37" s="505"/>
      <c r="AA37" s="505"/>
      <c r="AB37" s="486"/>
      <c r="AC37" s="730"/>
      <c r="AD37" s="667"/>
      <c r="AE37" s="505"/>
      <c r="AF37" s="505"/>
      <c r="AG37" s="486"/>
      <c r="AH37" s="730"/>
      <c r="AI37" s="667"/>
      <c r="AJ37" s="505"/>
      <c r="AK37" s="505"/>
      <c r="AL37" s="486"/>
      <c r="AM37" s="730"/>
      <c r="AN37" s="667"/>
      <c r="AO37" s="505"/>
      <c r="AP37" s="505"/>
      <c r="AQ37" s="486"/>
      <c r="AR37" s="730"/>
      <c r="AS37" s="667"/>
      <c r="AT37" s="505"/>
      <c r="AU37" s="485"/>
      <c r="AV37" s="486"/>
      <c r="AW37" s="730"/>
      <c r="AX37" s="667"/>
      <c r="AY37" s="485"/>
      <c r="AZ37" s="485"/>
      <c r="BA37" s="486"/>
      <c r="BB37" s="730"/>
      <c r="BC37" s="667"/>
      <c r="BD37" s="485"/>
      <c r="BE37" s="485"/>
      <c r="BF37" s="486"/>
      <c r="BG37" s="730"/>
      <c r="BH37" s="667"/>
      <c r="BI37" s="485"/>
      <c r="BJ37" s="485"/>
      <c r="BK37" s="486"/>
      <c r="BL37" s="730"/>
      <c r="BM37" s="667"/>
      <c r="BN37" s="485"/>
      <c r="BO37" s="485"/>
      <c r="BP37" s="486"/>
      <c r="BQ37" s="730"/>
      <c r="BR37" s="177"/>
      <c r="BS37" s="1164"/>
    </row>
    <row r="38" spans="1:106">
      <c r="A38" s="139"/>
      <c r="B38" s="139"/>
      <c r="C38" s="1187" t="s">
        <v>252</v>
      </c>
      <c r="E38" s="309"/>
      <c r="F38" s="310"/>
      <c r="G38" s="310"/>
      <c r="H38" s="311"/>
      <c r="I38" s="285">
        <f>FirstEnergy!I47</f>
        <v>304</v>
      </c>
      <c r="J38" s="309">
        <f>FirstEnergy!J47</f>
        <v>304</v>
      </c>
      <c r="K38" s="310">
        <f>FirstEnergy!K47</f>
        <v>304</v>
      </c>
      <c r="L38" s="310">
        <f>FirstEnergy!L47</f>
        <v>304</v>
      </c>
      <c r="M38" s="311">
        <f>FirstEnergy!M47</f>
        <v>304</v>
      </c>
      <c r="N38" s="285">
        <f>FirstEnergy!N47</f>
        <v>304</v>
      </c>
      <c r="O38" s="309">
        <f>FirstEnergy!O47</f>
        <v>342</v>
      </c>
      <c r="P38" s="310">
        <f>FirstEnergy!P47</f>
        <v>418</v>
      </c>
      <c r="Q38" s="310">
        <f>FirstEnergy!Q47</f>
        <v>418</v>
      </c>
      <c r="R38" s="311">
        <f>FirstEnergy!R47</f>
        <v>418</v>
      </c>
      <c r="S38" s="285">
        <f>FirstEnergy!S47</f>
        <v>399</v>
      </c>
      <c r="T38" s="309">
        <f>FirstEnergy!T47</f>
        <v>418</v>
      </c>
      <c r="U38" s="310">
        <f>FirstEnergy!U47</f>
        <v>417</v>
      </c>
      <c r="V38" s="310">
        <f>FirstEnergy!V47</f>
        <v>417</v>
      </c>
      <c r="W38" s="311">
        <f>FirstEnergy!W47</f>
        <v>418</v>
      </c>
      <c r="X38" s="285">
        <f>FirstEnergy!X47</f>
        <v>418</v>
      </c>
      <c r="Y38" s="309">
        <f>FirstEnergy!Y47</f>
        <v>418</v>
      </c>
      <c r="Z38" s="297">
        <f>FirstEnergy!Z47</f>
        <v>418</v>
      </c>
      <c r="AA38" s="297">
        <f>FirstEnergy!AA47</f>
        <v>418</v>
      </c>
      <c r="AB38" s="311">
        <f>FirstEnergy!AB47</f>
        <v>418</v>
      </c>
      <c r="AC38" s="285">
        <f>FirstEnergy!AC47</f>
        <v>418</v>
      </c>
      <c r="AD38" s="309">
        <f>FirstEnergy!AD47</f>
        <v>419</v>
      </c>
      <c r="AE38" s="297">
        <f>FirstEnergy!AE47</f>
        <v>420</v>
      </c>
      <c r="AF38" s="297">
        <f>FirstEnergy!AF47</f>
        <v>420</v>
      </c>
      <c r="AG38" s="311">
        <f>FirstEnergy!AG47</f>
        <v>421</v>
      </c>
      <c r="AH38" s="285">
        <f>FirstEnergy!AH47</f>
        <v>420</v>
      </c>
      <c r="AI38" s="309">
        <f>FirstEnergy!AI47</f>
        <v>421</v>
      </c>
      <c r="AJ38" s="297">
        <f>FirstEnergy!AJ47</f>
        <v>422</v>
      </c>
      <c r="AK38" s="297">
        <f>FirstEnergy!AK47</f>
        <v>423</v>
      </c>
      <c r="AL38" s="311">
        <f>FirstEnergy!AL47</f>
        <v>423</v>
      </c>
      <c r="AM38" s="285">
        <f>FirstEnergy!AM47</f>
        <v>422</v>
      </c>
      <c r="AN38" s="309">
        <f>FirstEnergy!AN47</f>
        <v>424</v>
      </c>
      <c r="AO38" s="297">
        <f>FirstEnergy!AO47</f>
        <v>425</v>
      </c>
      <c r="AP38" s="297">
        <f>FirstEnergy!AP47</f>
        <v>425</v>
      </c>
      <c r="AQ38" s="311">
        <f>FirstEnergy!AQ47</f>
        <v>431</v>
      </c>
      <c r="AR38" s="285">
        <f>FirstEnergy!AR47</f>
        <v>426</v>
      </c>
      <c r="AS38" s="309">
        <f>FirstEnergy!AS47</f>
        <v>443</v>
      </c>
      <c r="AT38" s="297">
        <f>FirstEnergy!AT47</f>
        <v>444</v>
      </c>
      <c r="AU38" s="297">
        <f>FirstEnergy!AU47</f>
        <v>444</v>
      </c>
      <c r="AV38" s="311">
        <f>FirstEnergy!AV47</f>
        <v>445</v>
      </c>
      <c r="AW38" s="285">
        <f>FirstEnergy!AW47</f>
        <v>444</v>
      </c>
      <c r="AX38" s="309">
        <f>FirstEnergy!AX47</f>
        <v>460.39435196385546</v>
      </c>
      <c r="AY38" s="310">
        <f>FirstEnergy!AY47</f>
        <v>475.45459292771085</v>
      </c>
      <c r="AZ38" s="310">
        <f>FirstEnergy!AZ47</f>
        <v>476.90386829002966</v>
      </c>
      <c r="BA38" s="311">
        <f>FirstEnergy!BA47</f>
        <v>478.35314365234854</v>
      </c>
      <c r="BB38" s="285">
        <f>FirstEnergy!BB47</f>
        <v>472.77648920848617</v>
      </c>
      <c r="BC38" s="309">
        <f>FirstEnergy!BC47</f>
        <v>478.35314365234854</v>
      </c>
      <c r="BD38" s="310">
        <f>FirstEnergy!BD47</f>
        <v>478.35314365234854</v>
      </c>
      <c r="BE38" s="310">
        <f>FirstEnergy!BE47</f>
        <v>507.89362505278615</v>
      </c>
      <c r="BF38" s="311">
        <f>FirstEnergy!BF47</f>
        <v>538.88338181554263</v>
      </c>
      <c r="BG38" s="285">
        <f>FirstEnergy!BG47</f>
        <v>500.87082354325645</v>
      </c>
      <c r="BH38" s="309">
        <f>FirstEnergy!BH47</f>
        <v>540.69497601844114</v>
      </c>
      <c r="BI38" s="310">
        <f>FirstEnergy!BI47</f>
        <v>541.4196136996004</v>
      </c>
      <c r="BJ38" s="310">
        <f>FirstEnergy!BJ47</f>
        <v>542.1442513807599</v>
      </c>
      <c r="BK38" s="311">
        <f>FirstEnergy!BK47</f>
        <v>542.86888906191916</v>
      </c>
      <c r="BL38" s="285">
        <f>FirstEnergy!BL47</f>
        <v>541.78193254018015</v>
      </c>
      <c r="BM38" s="309">
        <f>FirstEnergy!BM47</f>
        <v>543.54370790249891</v>
      </c>
      <c r="BN38" s="310">
        <f>FirstEnergy!BN47</f>
        <v>544.16870790249891</v>
      </c>
      <c r="BO38" s="310">
        <f>FirstEnergy!BO47</f>
        <v>544.79370790249891</v>
      </c>
      <c r="BP38" s="311">
        <f>FirstEnergy!BP47</f>
        <v>545.41870790249891</v>
      </c>
      <c r="BQ38" s="285">
        <f>FirstEnergy!BQ47</f>
        <v>544.48120790249891</v>
      </c>
      <c r="BR38" s="177"/>
      <c r="BS38" s="177"/>
    </row>
    <row r="39" spans="1:106">
      <c r="A39" s="139"/>
      <c r="B39" s="139"/>
      <c r="C39" s="1187" t="s">
        <v>253</v>
      </c>
      <c r="E39" s="309"/>
      <c r="F39" s="310"/>
      <c r="G39" s="310"/>
      <c r="H39" s="311"/>
      <c r="I39" s="285">
        <f>FirstEnergy!I48</f>
        <v>306</v>
      </c>
      <c r="J39" s="309">
        <f>FirstEnergy!J48</f>
        <v>306</v>
      </c>
      <c r="K39" s="310">
        <f>FirstEnergy!K48</f>
        <v>305</v>
      </c>
      <c r="L39" s="310">
        <f>FirstEnergy!L48</f>
        <v>305</v>
      </c>
      <c r="M39" s="311">
        <f>FirstEnergy!M48</f>
        <v>306</v>
      </c>
      <c r="N39" s="285">
        <f>FirstEnergy!N48</f>
        <v>305</v>
      </c>
      <c r="O39" s="309">
        <f>FirstEnergy!O48</f>
        <v>343</v>
      </c>
      <c r="P39" s="310">
        <f>FirstEnergy!P48</f>
        <v>420</v>
      </c>
      <c r="Q39" s="310">
        <f>FirstEnergy!Q48</f>
        <v>420</v>
      </c>
      <c r="R39" s="311">
        <f>FirstEnergy!R48</f>
        <v>420</v>
      </c>
      <c r="S39" s="285">
        <f>FirstEnergy!S48</f>
        <v>401</v>
      </c>
      <c r="T39" s="309">
        <f>FirstEnergy!T48</f>
        <v>420</v>
      </c>
      <c r="U39" s="310">
        <f>FirstEnergy!U48</f>
        <v>419</v>
      </c>
      <c r="V39" s="310">
        <f>FirstEnergy!V48</f>
        <v>419</v>
      </c>
      <c r="W39" s="311">
        <f>FirstEnergy!W48</f>
        <v>419</v>
      </c>
      <c r="X39" s="285">
        <f>FirstEnergy!X48</f>
        <v>419</v>
      </c>
      <c r="Y39" s="309">
        <f>FirstEnergy!Y48</f>
        <v>419</v>
      </c>
      <c r="Z39" s="297">
        <f>FirstEnergy!Z48</f>
        <v>418</v>
      </c>
      <c r="AA39" s="297">
        <f>FirstEnergy!AA48</f>
        <v>419</v>
      </c>
      <c r="AB39" s="311">
        <f>FirstEnergy!AB48</f>
        <v>419</v>
      </c>
      <c r="AC39" s="285">
        <f>FirstEnergy!AC48</f>
        <v>419</v>
      </c>
      <c r="AD39" s="309">
        <f>FirstEnergy!AD48</f>
        <v>420</v>
      </c>
      <c r="AE39" s="297">
        <f>FirstEnergy!AE48</f>
        <v>421</v>
      </c>
      <c r="AF39" s="297">
        <f>FirstEnergy!AF48</f>
        <v>421</v>
      </c>
      <c r="AG39" s="311">
        <f>FirstEnergy!AG48</f>
        <v>421</v>
      </c>
      <c r="AH39" s="285">
        <f>FirstEnergy!AH48</f>
        <v>421</v>
      </c>
      <c r="AI39" s="309">
        <f>FirstEnergy!AI48</f>
        <v>423</v>
      </c>
      <c r="AJ39" s="297">
        <f>FirstEnergy!AJ48</f>
        <v>423</v>
      </c>
      <c r="AK39" s="297">
        <f>FirstEnergy!AK48</f>
        <v>424</v>
      </c>
      <c r="AL39" s="311">
        <f>FirstEnergy!AL48</f>
        <v>423</v>
      </c>
      <c r="AM39" s="285">
        <f>FirstEnergy!AM48</f>
        <v>424</v>
      </c>
      <c r="AN39" s="309">
        <f>FirstEnergy!AN48</f>
        <v>426</v>
      </c>
      <c r="AO39" s="297">
        <f>FirstEnergy!AO48</f>
        <v>425</v>
      </c>
      <c r="AP39" s="297">
        <f>FirstEnergy!AP48</f>
        <v>427</v>
      </c>
      <c r="AQ39" s="311">
        <f>FirstEnergy!AQ48</f>
        <v>431</v>
      </c>
      <c r="AR39" s="285">
        <f>FirstEnergy!AR48</f>
        <v>426</v>
      </c>
      <c r="AS39" s="309">
        <f>FirstEnergy!AS48</f>
        <v>444</v>
      </c>
      <c r="AT39" s="297">
        <f>FirstEnergy!AT48</f>
        <v>445</v>
      </c>
      <c r="AU39" s="297">
        <f>FirstEnergy!AU48</f>
        <v>446</v>
      </c>
      <c r="AV39" s="311">
        <f>FirstEnergy!AV48</f>
        <v>445</v>
      </c>
      <c r="AW39" s="285">
        <f>FirstEnergy!AW48</f>
        <v>444</v>
      </c>
      <c r="AX39" s="309">
        <f>FirstEnergy!AX48</f>
        <v>460.39435196385546</v>
      </c>
      <c r="AY39" s="310">
        <f>FirstEnergy!AY48</f>
        <v>475.45459292771085</v>
      </c>
      <c r="AZ39" s="310">
        <f>FirstEnergy!AZ48</f>
        <v>476.90386829002966</v>
      </c>
      <c r="BA39" s="311">
        <f>FirstEnergy!BA48</f>
        <v>478.35314365234854</v>
      </c>
      <c r="BB39" s="285">
        <f>FirstEnergy!BB48</f>
        <v>472.77648920848617</v>
      </c>
      <c r="BC39" s="309">
        <f>FirstEnergy!BC48</f>
        <v>478.35314365234854</v>
      </c>
      <c r="BD39" s="310">
        <f>FirstEnergy!BD48</f>
        <v>478.35314365234854</v>
      </c>
      <c r="BE39" s="310">
        <f>FirstEnergy!BE48</f>
        <v>507.89362505278615</v>
      </c>
      <c r="BF39" s="311">
        <f>FirstEnergy!BF48</f>
        <v>538.88338181554263</v>
      </c>
      <c r="BG39" s="285">
        <f>FirstEnergy!BG48</f>
        <v>500.87082354325645</v>
      </c>
      <c r="BH39" s="309">
        <f>FirstEnergy!BH48</f>
        <v>540.69497601844114</v>
      </c>
      <c r="BI39" s="310">
        <f>FirstEnergy!BI48</f>
        <v>541.4196136996004</v>
      </c>
      <c r="BJ39" s="310">
        <f>FirstEnergy!BJ48</f>
        <v>542.1442513807599</v>
      </c>
      <c r="BK39" s="311">
        <f>FirstEnergy!BK48</f>
        <v>542.86888906191916</v>
      </c>
      <c r="BL39" s="285">
        <f>FirstEnergy!BL48</f>
        <v>541.78193254018015</v>
      </c>
      <c r="BM39" s="309">
        <f>FirstEnergy!BM48</f>
        <v>543.54370790249891</v>
      </c>
      <c r="BN39" s="310">
        <f>FirstEnergy!BN48</f>
        <v>544.16870790249891</v>
      </c>
      <c r="BO39" s="310">
        <f>FirstEnergy!BO48</f>
        <v>544.79370790249891</v>
      </c>
      <c r="BP39" s="311">
        <f>FirstEnergy!BP48</f>
        <v>545.41870790249891</v>
      </c>
      <c r="BQ39" s="285">
        <f>FirstEnergy!BQ48</f>
        <v>544.48120790249891</v>
      </c>
      <c r="BR39" s="177"/>
      <c r="BS39" s="177"/>
    </row>
    <row r="40" spans="1:106">
      <c r="A40" s="139"/>
      <c r="B40" s="139"/>
      <c r="C40" s="1187"/>
      <c r="E40" s="235"/>
      <c r="F40" s="236"/>
      <c r="G40" s="236"/>
      <c r="H40" s="238"/>
      <c r="I40" s="178"/>
      <c r="J40" s="235"/>
      <c r="K40" s="236"/>
      <c r="L40" s="236"/>
      <c r="M40" s="238"/>
      <c r="N40" s="178"/>
      <c r="O40" s="235"/>
      <c r="P40" s="236"/>
      <c r="Q40" s="236"/>
      <c r="R40" s="238"/>
      <c r="S40" s="178"/>
      <c r="T40" s="235"/>
      <c r="U40" s="236"/>
      <c r="V40" s="236"/>
      <c r="W40" s="238"/>
      <c r="X40" s="178"/>
      <c r="Y40" s="235"/>
      <c r="Z40" s="131"/>
      <c r="AA40" s="131"/>
      <c r="AB40" s="238"/>
      <c r="AC40" s="178"/>
      <c r="AD40" s="235"/>
      <c r="AE40" s="131"/>
      <c r="AF40" s="131"/>
      <c r="AG40" s="238"/>
      <c r="AH40" s="178"/>
      <c r="AI40" s="235"/>
      <c r="AJ40" s="131"/>
      <c r="AK40" s="131"/>
      <c r="AL40" s="238"/>
      <c r="AM40" s="178"/>
      <c r="AN40" s="235"/>
      <c r="AO40" s="131"/>
      <c r="AP40" s="131"/>
      <c r="AQ40" s="238"/>
      <c r="AR40" s="178"/>
      <c r="AS40" s="235"/>
      <c r="AT40" s="131"/>
      <c r="AU40" s="236"/>
      <c r="AV40" s="238"/>
      <c r="AW40" s="178"/>
      <c r="AX40" s="235"/>
      <c r="AY40" s="236"/>
      <c r="AZ40" s="236"/>
      <c r="BA40" s="238"/>
      <c r="BB40" s="178"/>
      <c r="BC40" s="235"/>
      <c r="BD40" s="236"/>
      <c r="BE40" s="236"/>
      <c r="BF40" s="238"/>
      <c r="BG40" s="178"/>
      <c r="BH40" s="235"/>
      <c r="BI40" s="236"/>
      <c r="BJ40" s="236"/>
      <c r="BK40" s="238"/>
      <c r="BL40" s="178"/>
      <c r="BM40" s="235"/>
      <c r="BN40" s="236"/>
      <c r="BO40" s="236"/>
      <c r="BP40" s="238"/>
      <c r="BQ40" s="178"/>
      <c r="BR40" s="177"/>
      <c r="BS40" s="177"/>
    </row>
    <row r="41" spans="1:106" s="29" customFormat="1">
      <c r="A41" s="328"/>
      <c r="B41" s="328"/>
      <c r="C41" s="1187" t="s">
        <v>291</v>
      </c>
      <c r="E41" s="116"/>
      <c r="F41" s="117"/>
      <c r="G41" s="117"/>
      <c r="H41" s="118"/>
      <c r="I41" s="119">
        <f t="shared" ref="I41:S41" si="78">I34/I39</f>
        <v>1.457516339869281</v>
      </c>
      <c r="J41" s="116">
        <f t="shared" si="78"/>
        <v>0.22549019607843138</v>
      </c>
      <c r="K41" s="117">
        <f t="shared" si="78"/>
        <v>0.39672131147540984</v>
      </c>
      <c r="L41" s="117">
        <f t="shared" si="78"/>
        <v>-8.5245901639344257E-2</v>
      </c>
      <c r="M41" s="118">
        <f t="shared" si="78"/>
        <v>0.15032679738562091</v>
      </c>
      <c r="N41" s="119">
        <f t="shared" si="78"/>
        <v>0.68852459016393441</v>
      </c>
      <c r="O41" s="116">
        <f t="shared" si="78"/>
        <v>4.3731778425655975E-2</v>
      </c>
      <c r="P41" s="117">
        <f t="shared" si="78"/>
        <v>0.05</v>
      </c>
      <c r="Q41" s="117">
        <f t="shared" si="78"/>
        <v>0.57619047619047614</v>
      </c>
      <c r="R41" s="118">
        <f t="shared" si="78"/>
        <v>0.23571428571428571</v>
      </c>
      <c r="S41" s="119">
        <f t="shared" si="78"/>
        <v>0.94014962593516205</v>
      </c>
      <c r="T41" s="116">
        <f t="shared" ref="T41:AT41" si="79">T34/T39</f>
        <v>0.33571428571428569</v>
      </c>
      <c r="U41" s="117">
        <f t="shared" si="79"/>
        <v>5.9665871121718374E-2</v>
      </c>
      <c r="V41" s="117">
        <f>V34/V39</f>
        <v>0.31503579952267302</v>
      </c>
      <c r="W41" s="118">
        <f t="shared" si="79"/>
        <v>-0.19809069212410502</v>
      </c>
      <c r="X41" s="119">
        <f t="shared" si="79"/>
        <v>0.51312649164677804</v>
      </c>
      <c r="Y41" s="116">
        <f t="shared" si="79"/>
        <v>-9.0692124105011929E-2</v>
      </c>
      <c r="Z41" s="1576">
        <f t="shared" si="79"/>
        <v>-0.81100478468899517</v>
      </c>
      <c r="AA41" s="1576">
        <f t="shared" si="79"/>
        <v>0.18377088305489261</v>
      </c>
      <c r="AB41" s="118">
        <f t="shared" ref="AB41:AJ41" si="80">AB34/AB39</f>
        <v>0.1909307875894988</v>
      </c>
      <c r="AC41" s="119">
        <f t="shared" si="80"/>
        <v>-0.52505966587112174</v>
      </c>
      <c r="AD41" s="116">
        <f t="shared" si="80"/>
        <v>-9.0476190476190474E-2</v>
      </c>
      <c r="AE41" s="1576">
        <f t="shared" si="80"/>
        <v>-0.28266033254156769</v>
      </c>
      <c r="AF41" s="1576">
        <f t="shared" si="80"/>
        <v>0.15676959619952494</v>
      </c>
      <c r="AG41" s="118">
        <f t="shared" si="80"/>
        <v>-0.58432304038004745</v>
      </c>
      <c r="AH41" s="119">
        <f t="shared" si="80"/>
        <v>-0.8004750593824228</v>
      </c>
      <c r="AI41" s="116">
        <f t="shared" si="80"/>
        <v>-2.1276595744680851E-2</v>
      </c>
      <c r="AJ41" s="1576">
        <f t="shared" si="80"/>
        <v>-2.8368794326241134E-2</v>
      </c>
      <c r="AK41" s="1576">
        <f t="shared" ref="AK41:AO41" si="81">AK34/AK39</f>
        <v>0.330188679245283</v>
      </c>
      <c r="AL41" s="118">
        <f t="shared" si="81"/>
        <v>-7.0921985815602842E-2</v>
      </c>
      <c r="AM41" s="119">
        <f t="shared" si="81"/>
        <v>0.2099056603773585</v>
      </c>
      <c r="AN41" s="116">
        <f t="shared" si="81"/>
        <v>0.3380281690140845</v>
      </c>
      <c r="AO41" s="1576">
        <f t="shared" si="81"/>
        <v>-2.9623529411764706</v>
      </c>
      <c r="AP41" s="1576">
        <f t="shared" si="79"/>
        <v>0.20140515222482436</v>
      </c>
      <c r="AQ41" s="118">
        <f t="shared" si="79"/>
        <v>-13.665893271461718</v>
      </c>
      <c r="AR41" s="119">
        <f t="shared" si="79"/>
        <v>-16.241784037558684</v>
      </c>
      <c r="AS41" s="116">
        <f t="shared" si="79"/>
        <v>-0.15090090090090091</v>
      </c>
      <c r="AT41" s="1576">
        <f t="shared" si="79"/>
        <v>-0.12584269662921349</v>
      </c>
      <c r="AU41" s="1576">
        <f t="shared" ref="AU41:AW41" si="82">AU34/AU39</f>
        <v>0.14798206278026907</v>
      </c>
      <c r="AV41" s="118">
        <f t="shared" si="82"/>
        <v>-5.8067415730337082</v>
      </c>
      <c r="AW41" s="119">
        <f t="shared" si="82"/>
        <v>-5.948198198198198</v>
      </c>
      <c r="AX41" s="116">
        <f t="shared" ref="AX41:BB41" si="83">AX34/AX39</f>
        <v>4.2471564175330552E-2</v>
      </c>
      <c r="AY41" s="117">
        <f t="shared" si="83"/>
        <v>-4.5245030108492783E-2</v>
      </c>
      <c r="AZ41" s="117">
        <f t="shared" si="83"/>
        <v>-4.9295689785827594E-2</v>
      </c>
      <c r="BA41" s="118">
        <f t="shared" si="83"/>
        <v>-7.515787501913257E-2</v>
      </c>
      <c r="BB41" s="119">
        <f t="shared" si="83"/>
        <v>-0.12991255158265183</v>
      </c>
      <c r="BC41" s="116">
        <f t="shared" ref="BC41:BL41" si="84">BC34/BC39</f>
        <v>-7.1518067023358306E-2</v>
      </c>
      <c r="BD41" s="117">
        <f t="shared" si="84"/>
        <v>-9.4472328486778001E-2</v>
      </c>
      <c r="BE41" s="117">
        <f t="shared" si="84"/>
        <v>-9.1291985280605073E-2</v>
      </c>
      <c r="BF41" s="118">
        <f t="shared" si="84"/>
        <v>-0.11892641644852424</v>
      </c>
      <c r="BG41" s="119">
        <f t="shared" si="84"/>
        <v>-0.37905205376250078</v>
      </c>
      <c r="BH41" s="116">
        <f t="shared" si="84"/>
        <v>-8.9804585820738053E-2</v>
      </c>
      <c r="BI41" s="117">
        <f t="shared" si="84"/>
        <v>-0.10667095054170812</v>
      </c>
      <c r="BJ41" s="117">
        <f t="shared" si="84"/>
        <v>-0.10051075979105376</v>
      </c>
      <c r="BK41" s="118">
        <f t="shared" si="84"/>
        <v>-0.12972418014113063</v>
      </c>
      <c r="BL41" s="119">
        <f t="shared" si="84"/>
        <v>-0.42678644580883757</v>
      </c>
      <c r="BM41" s="116">
        <f t="shared" ref="BM41:BQ41" si="85">BM34/BM39</f>
        <v>-4.1170484635852864E-2</v>
      </c>
      <c r="BN41" s="117">
        <f t="shared" si="85"/>
        <v>-8.3948236974984478E-2</v>
      </c>
      <c r="BO41" s="117">
        <f t="shared" si="85"/>
        <v>-7.2598902549198721E-2</v>
      </c>
      <c r="BP41" s="118">
        <f t="shared" si="85"/>
        <v>-4.5811350741788902E-2</v>
      </c>
      <c r="BQ41" s="119">
        <f t="shared" si="85"/>
        <v>-0.2435304518030558</v>
      </c>
      <c r="BR41" s="181"/>
      <c r="BS41" s="18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</row>
    <row r="42" spans="1:106" s="29" customFormat="1">
      <c r="A42" s="328"/>
      <c r="B42" s="328"/>
      <c r="C42" s="1240" t="s">
        <v>292</v>
      </c>
      <c r="D42" s="347"/>
      <c r="E42" s="122"/>
      <c r="F42" s="122"/>
      <c r="G42" s="122"/>
      <c r="H42" s="123"/>
      <c r="I42" s="348">
        <f t="shared" ref="I42:S42" si="86">I36/I39</f>
        <v>1.457516339869281</v>
      </c>
      <c r="J42" s="121">
        <f t="shared" si="86"/>
        <v>0.37908496732026142</v>
      </c>
      <c r="K42" s="122">
        <f t="shared" si="86"/>
        <v>0.34754098360655739</v>
      </c>
      <c r="L42" s="122">
        <f t="shared" si="86"/>
        <v>0.5540983606557377</v>
      </c>
      <c r="M42" s="123">
        <f t="shared" si="86"/>
        <v>0.56209150326797386</v>
      </c>
      <c r="N42" s="348">
        <f t="shared" si="86"/>
        <v>1.8459016393442622</v>
      </c>
      <c r="O42" s="121">
        <f t="shared" si="86"/>
        <v>0.31778425655976678</v>
      </c>
      <c r="P42" s="122">
        <f t="shared" si="86"/>
        <v>0.18571428571428572</v>
      </c>
      <c r="Q42" s="122">
        <f t="shared" si="86"/>
        <v>0.66666666666666663</v>
      </c>
      <c r="R42" s="123">
        <f t="shared" si="86"/>
        <v>0.1761904761904762</v>
      </c>
      <c r="S42" s="348">
        <f t="shared" si="86"/>
        <v>1.3491271820448878</v>
      </c>
      <c r="T42" s="121">
        <f t="shared" ref="T42:AT42" si="87">T36/T39</f>
        <v>0.37619047619047619</v>
      </c>
      <c r="U42" s="122">
        <f t="shared" si="87"/>
        <v>0.13126491646778043</v>
      </c>
      <c r="V42" s="122">
        <f>V36/V39</f>
        <v>0.37708830548926014</v>
      </c>
      <c r="W42" s="123">
        <f t="shared" si="87"/>
        <v>0.25536992840095463</v>
      </c>
      <c r="X42" s="348">
        <f t="shared" si="87"/>
        <v>1.1408114558472553</v>
      </c>
      <c r="Y42" s="121">
        <f t="shared" si="87"/>
        <v>0.1766109785202864</v>
      </c>
      <c r="Z42" s="122">
        <f t="shared" si="87"/>
        <v>0.10526315789473684</v>
      </c>
      <c r="AA42" s="122">
        <f t="shared" si="87"/>
        <v>0.23389021479713604</v>
      </c>
      <c r="AB42" s="123">
        <f t="shared" ref="AB42:AJ42" si="88">AB36/AB39</f>
        <v>0.21718377088305491</v>
      </c>
      <c r="AC42" s="348">
        <f t="shared" si="88"/>
        <v>0.73269689737470167</v>
      </c>
      <c r="AD42" s="121">
        <f t="shared" si="88"/>
        <v>-0.21904761904761905</v>
      </c>
      <c r="AE42" s="122">
        <f t="shared" si="88"/>
        <v>2.8503562945368172E-2</v>
      </c>
      <c r="AF42" s="122">
        <f t="shared" si="88"/>
        <v>0.24703087885985747</v>
      </c>
      <c r="AG42" s="123">
        <f t="shared" si="88"/>
        <v>0.17814726840855108</v>
      </c>
      <c r="AH42" s="348">
        <f t="shared" si="88"/>
        <v>0.23515439429928742</v>
      </c>
      <c r="AI42" s="121">
        <f t="shared" si="88"/>
        <v>4.4917257683215132E-2</v>
      </c>
      <c r="AJ42" s="122">
        <f t="shared" si="88"/>
        <v>4.2553191489361701E-2</v>
      </c>
      <c r="AK42" s="122">
        <f t="shared" ref="AK42:AO42" si="89">AK36/AK39</f>
        <v>0.33962264150943394</v>
      </c>
      <c r="AL42" s="123">
        <f t="shared" si="89"/>
        <v>0.1867612293144208</v>
      </c>
      <c r="AM42" s="348">
        <f t="shared" si="89"/>
        <v>0.6132075471698113</v>
      </c>
      <c r="AN42" s="121">
        <f t="shared" si="89"/>
        <v>0.26525821596244131</v>
      </c>
      <c r="AO42" s="122">
        <f t="shared" si="89"/>
        <v>0.14352941176470588</v>
      </c>
      <c r="AP42" s="122">
        <f t="shared" si="87"/>
        <v>0.19672131147540983</v>
      </c>
      <c r="AQ42" s="123">
        <f t="shared" si="87"/>
        <v>-4.6403712296983757E-3</v>
      </c>
      <c r="AR42" s="348">
        <f t="shared" si="87"/>
        <v>0.60093896713615025</v>
      </c>
      <c r="AS42" s="121">
        <f t="shared" si="87"/>
        <v>0.15090090090090091</v>
      </c>
      <c r="AT42" s="122">
        <f t="shared" si="87"/>
        <v>7.6404494382022473E-2</v>
      </c>
      <c r="AU42" s="122">
        <f t="shared" ref="AU42:AW42" si="90">AU36/AU39</f>
        <v>0.19282511210762332</v>
      </c>
      <c r="AV42" s="123">
        <f t="shared" si="90"/>
        <v>4.0449438202247189E-2</v>
      </c>
      <c r="AW42" s="348">
        <f t="shared" si="90"/>
        <v>0.46171171171171171</v>
      </c>
      <c r="AX42" s="121">
        <f t="shared" ref="AX42:BK42" si="91">AX36/AX39</f>
        <v>4.2471564175330552E-2</v>
      </c>
      <c r="AY42" s="122">
        <f t="shared" si="91"/>
        <v>-4.5245030108492783E-2</v>
      </c>
      <c r="AZ42" s="122">
        <f t="shared" si="91"/>
        <v>-4.9295689785827594E-2</v>
      </c>
      <c r="BA42" s="123">
        <f t="shared" si="91"/>
        <v>-7.515787501913257E-2</v>
      </c>
      <c r="BB42" s="348">
        <f>BB36/BB39</f>
        <v>-0.12991255158265183</v>
      </c>
      <c r="BC42" s="121">
        <f t="shared" si="91"/>
        <v>-7.1518067023358306E-2</v>
      </c>
      <c r="BD42" s="122">
        <f t="shared" si="91"/>
        <v>-9.4472328486778001E-2</v>
      </c>
      <c r="BE42" s="122">
        <f t="shared" si="91"/>
        <v>-9.1291985280605073E-2</v>
      </c>
      <c r="BF42" s="123">
        <f t="shared" si="91"/>
        <v>-0.11892641644852424</v>
      </c>
      <c r="BG42" s="348">
        <f>BG36/BG39</f>
        <v>-0.37905205376250078</v>
      </c>
      <c r="BH42" s="121">
        <f t="shared" si="91"/>
        <v>-8.9804585820738053E-2</v>
      </c>
      <c r="BI42" s="122">
        <f t="shared" si="91"/>
        <v>-0.10667095054170812</v>
      </c>
      <c r="BJ42" s="122">
        <f t="shared" si="91"/>
        <v>-0.10051075979105376</v>
      </c>
      <c r="BK42" s="123">
        <f t="shared" si="91"/>
        <v>-0.12972418014113063</v>
      </c>
      <c r="BL42" s="348">
        <f>BL36/BL39</f>
        <v>-0.42678644580883757</v>
      </c>
      <c r="BM42" s="121">
        <f t="shared" ref="BM42:BP42" si="92">BM36/BM39</f>
        <v>-4.1170484635852864E-2</v>
      </c>
      <c r="BN42" s="122">
        <f t="shared" si="92"/>
        <v>-8.3948236974984478E-2</v>
      </c>
      <c r="BO42" s="122">
        <f t="shared" si="92"/>
        <v>-7.2598902549198721E-2</v>
      </c>
      <c r="BP42" s="123">
        <f t="shared" si="92"/>
        <v>-4.5811350741788902E-2</v>
      </c>
      <c r="BQ42" s="1333">
        <f>BQ36/BQ39</f>
        <v>-0.2435304518030558</v>
      </c>
      <c r="BR42" s="181"/>
      <c r="BS42" s="181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</row>
    <row r="43" spans="1:106" s="1286" customFormat="1">
      <c r="A43" s="1274"/>
      <c r="B43" s="1274"/>
      <c r="C43" s="1289" t="s">
        <v>698</v>
      </c>
      <c r="D43" s="1290"/>
      <c r="E43" s="1291"/>
      <c r="F43" s="1292"/>
      <c r="G43" s="1292"/>
      <c r="H43" s="1293"/>
      <c r="I43" s="1213"/>
      <c r="J43" s="1291"/>
      <c r="K43" s="1292"/>
      <c r="L43" s="1292"/>
      <c r="M43" s="1293"/>
      <c r="N43" s="1213"/>
      <c r="O43" s="1291"/>
      <c r="P43" s="1292"/>
      <c r="Q43" s="1292"/>
      <c r="R43" s="1293"/>
      <c r="S43" s="1213"/>
      <c r="T43" s="1291"/>
      <c r="U43" s="1292"/>
      <c r="V43" s="1292"/>
      <c r="W43" s="1293"/>
      <c r="X43" s="1213"/>
      <c r="Y43" s="1291"/>
      <c r="Z43" s="1292"/>
      <c r="AA43" s="1292"/>
      <c r="AB43" s="1293"/>
      <c r="AC43" s="1294">
        <f>+AC42/X42-1</f>
        <v>-0.35774058577405854</v>
      </c>
      <c r="AD43" s="1291"/>
      <c r="AE43" s="1292"/>
      <c r="AF43" s="1292"/>
      <c r="AG43" s="1297"/>
      <c r="AH43" s="1294">
        <f>+AH42/AC42-1</f>
        <v>-0.67905638041888783</v>
      </c>
      <c r="AI43" s="1295"/>
      <c r="AJ43" s="1296"/>
      <c r="AK43" s="1296"/>
      <c r="AL43" s="1297"/>
      <c r="AM43" s="1294">
        <f>+AM42/AH42-1</f>
        <v>1.6076805793786924</v>
      </c>
      <c r="AN43" s="1295"/>
      <c r="AO43" s="1296"/>
      <c r="AP43" s="1296"/>
      <c r="AQ43" s="1297"/>
      <c r="AR43" s="1294">
        <f>+AR42/AM42-1</f>
        <v>-2.0007222824124149E-2</v>
      </c>
      <c r="AS43" s="1295"/>
      <c r="AT43" s="1296"/>
      <c r="AU43" s="1296"/>
      <c r="AV43" s="1297"/>
      <c r="AW43" s="1294">
        <f>+AW42/AR42-1</f>
        <v>-0.23168285472972971</v>
      </c>
      <c r="AX43" s="1295"/>
      <c r="AY43" s="1296"/>
      <c r="AZ43" s="1296"/>
      <c r="BA43" s="1297"/>
      <c r="BB43" s="1294">
        <f>+BB42/AW42-1</f>
        <v>-1.2813715751351094</v>
      </c>
      <c r="BC43" s="1295"/>
      <c r="BD43" s="1296"/>
      <c r="BE43" s="1296"/>
      <c r="BF43" s="1297"/>
      <c r="BG43" s="1294">
        <f>+BG42/BB42-1</f>
        <v>1.9177477398813432</v>
      </c>
      <c r="BH43" s="1295"/>
      <c r="BI43" s="1296"/>
      <c r="BJ43" s="1296"/>
      <c r="BK43" s="1297"/>
      <c r="BL43" s="1294">
        <f>+BL42/BG42-1</f>
        <v>0.12593096798321346</v>
      </c>
      <c r="BM43" s="1295"/>
      <c r="BN43" s="1296"/>
      <c r="BO43" s="1296"/>
      <c r="BP43" s="1297"/>
      <c r="BQ43" s="1294">
        <f>+BQ42/BL42-1</f>
        <v>-0.42938569349005096</v>
      </c>
      <c r="BR43" s="22"/>
      <c r="BS43" s="1285"/>
      <c r="BT43" s="22"/>
      <c r="BU43" s="22"/>
      <c r="BV43" s="22"/>
      <c r="BW43" s="22"/>
      <c r="CA43" s="1274"/>
      <c r="CB43" s="1274"/>
      <c r="CC43" s="1274"/>
      <c r="CE43" s="1274"/>
      <c r="CF43" s="1274"/>
      <c r="CG43" s="1274"/>
      <c r="CH43" s="1274"/>
      <c r="CI43" s="1274"/>
      <c r="CJ43" s="1274"/>
      <c r="CK43" s="1274"/>
      <c r="CL43" s="1274"/>
    </row>
    <row r="44" spans="1:106" s="29" customFormat="1">
      <c r="A44" s="328"/>
      <c r="B44" s="328"/>
      <c r="C44" s="1241"/>
      <c r="D44" s="884"/>
      <c r="E44" s="885"/>
      <c r="F44" s="886"/>
      <c r="G44" s="886"/>
      <c r="H44" s="887"/>
      <c r="I44" s="883"/>
      <c r="J44" s="885"/>
      <c r="K44" s="886"/>
      <c r="L44" s="886"/>
      <c r="M44" s="887"/>
      <c r="N44" s="883"/>
      <c r="O44" s="885"/>
      <c r="P44" s="886"/>
      <c r="Q44" s="886"/>
      <c r="R44" s="887"/>
      <c r="S44" s="883"/>
      <c r="T44" s="885"/>
      <c r="U44" s="886"/>
      <c r="V44" s="886"/>
      <c r="W44" s="887"/>
      <c r="X44" s="883"/>
      <c r="Y44" s="790"/>
      <c r="Z44" s="886"/>
      <c r="AA44" s="886"/>
      <c r="AB44" s="887"/>
      <c r="AC44" s="883"/>
      <c r="AD44" s="790"/>
      <c r="AE44" s="886"/>
      <c r="AF44" s="886"/>
      <c r="AG44" s="887"/>
      <c r="AH44" s="883"/>
      <c r="AI44" s="885"/>
      <c r="AJ44" s="886"/>
      <c r="AK44" s="886"/>
      <c r="AL44" s="887"/>
      <c r="AM44" s="883"/>
      <c r="AN44" s="885"/>
      <c r="AO44" s="886"/>
      <c r="AP44" s="886"/>
      <c r="AQ44" s="887"/>
      <c r="AR44" s="883"/>
      <c r="AS44" s="885"/>
      <c r="AT44" s="886"/>
      <c r="AU44" s="886"/>
      <c r="AV44" s="887"/>
      <c r="AW44" s="883"/>
      <c r="AX44" s="885"/>
      <c r="AY44" s="886"/>
      <c r="AZ44" s="886"/>
      <c r="BA44" s="887"/>
      <c r="BB44" s="883"/>
      <c r="BC44" s="885"/>
      <c r="BD44" s="886"/>
      <c r="BE44" s="886"/>
      <c r="BF44" s="887"/>
      <c r="BG44" s="883"/>
      <c r="BH44" s="885"/>
      <c r="BI44" s="886"/>
      <c r="BJ44" s="886"/>
      <c r="BK44" s="887"/>
      <c r="BL44" s="883"/>
      <c r="BM44" s="885"/>
      <c r="BN44" s="886"/>
      <c r="BO44" s="886"/>
      <c r="BP44" s="887"/>
      <c r="BQ44" s="883"/>
      <c r="BR44" s="181"/>
      <c r="BS44" s="181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</row>
    <row r="45" spans="1:106" s="720" customFormat="1">
      <c r="A45" s="497"/>
      <c r="B45" s="497"/>
      <c r="C45" s="1191" t="s">
        <v>727</v>
      </c>
      <c r="D45" s="498"/>
      <c r="E45" s="141"/>
      <c r="F45" s="84"/>
      <c r="G45" s="84"/>
      <c r="H45" s="142"/>
      <c r="I45" s="747"/>
      <c r="J45" s="141"/>
      <c r="K45" s="84"/>
      <c r="L45" s="84"/>
      <c r="M45" s="142"/>
      <c r="N45" s="143"/>
      <c r="O45" s="141"/>
      <c r="P45" s="84"/>
      <c r="Q45" s="84"/>
      <c r="R45" s="142"/>
      <c r="S45" s="143"/>
      <c r="T45" s="141"/>
      <c r="U45" s="84"/>
      <c r="V45" s="84"/>
      <c r="W45" s="142"/>
      <c r="X45" s="1130"/>
      <c r="Y45" s="1131"/>
      <c r="Z45" s="1132"/>
      <c r="AA45" s="1132"/>
      <c r="AB45" s="1133"/>
      <c r="AC45" s="1156"/>
      <c r="AD45" s="141"/>
      <c r="AE45" s="84"/>
      <c r="AF45" s="84"/>
      <c r="AG45" s="142"/>
      <c r="AH45" s="143" t="s">
        <v>695</v>
      </c>
      <c r="AI45" s="141"/>
      <c r="AJ45" s="84"/>
      <c r="AK45" s="84"/>
      <c r="AL45" s="142"/>
      <c r="AM45" s="2027"/>
      <c r="AN45" s="141"/>
      <c r="AO45" s="84"/>
      <c r="AP45" s="84"/>
      <c r="AQ45" s="142"/>
      <c r="AR45" s="143"/>
      <c r="AS45" s="141"/>
      <c r="AT45" s="84"/>
      <c r="AU45" s="84"/>
      <c r="AV45" s="142"/>
      <c r="AW45" s="143"/>
      <c r="AX45" s="141"/>
      <c r="AY45" s="84"/>
      <c r="AZ45" s="84"/>
      <c r="BA45" s="142"/>
      <c r="BB45" s="143"/>
      <c r="BC45" s="141"/>
      <c r="BD45" s="84"/>
      <c r="BE45" s="84"/>
      <c r="BF45" s="142"/>
      <c r="BG45" s="143"/>
      <c r="BH45" s="141"/>
      <c r="BI45" s="84"/>
      <c r="BJ45" s="84"/>
      <c r="BK45" s="142"/>
      <c r="BL45" s="143"/>
      <c r="BM45" s="141"/>
      <c r="BN45" s="84"/>
      <c r="BO45" s="84"/>
      <c r="BP45" s="142"/>
      <c r="BQ45" s="143"/>
      <c r="BR45" s="498"/>
      <c r="BS45" s="96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 s="708"/>
      <c r="CS45" s="708"/>
      <c r="CT45" s="708"/>
      <c r="CU45" s="708"/>
      <c r="CV45" s="708"/>
      <c r="CW45" s="708"/>
      <c r="CX45" s="708"/>
      <c r="CY45" s="708"/>
      <c r="CZ45" s="708"/>
      <c r="DA45" s="708"/>
      <c r="DB45" s="708"/>
    </row>
    <row r="46" spans="1:106" s="708" customFormat="1">
      <c r="A46" s="497"/>
      <c r="B46" s="497"/>
      <c r="C46" s="1192" t="s">
        <v>617</v>
      </c>
      <c r="D46" s="498"/>
      <c r="E46" s="141"/>
      <c r="F46" s="84"/>
      <c r="G46" s="84"/>
      <c r="H46" s="142"/>
      <c r="I46" s="809"/>
      <c r="J46" s="810"/>
      <c r="K46" s="337"/>
      <c r="L46" s="337"/>
      <c r="M46" s="811"/>
      <c r="N46" s="809"/>
      <c r="O46" s="810"/>
      <c r="P46" s="337"/>
      <c r="Q46" s="337"/>
      <c r="R46" s="811"/>
      <c r="S46" s="809"/>
      <c r="T46" s="810"/>
      <c r="U46" s="337"/>
      <c r="V46" s="337"/>
      <c r="W46" s="811"/>
      <c r="X46" s="1130"/>
      <c r="Y46" s="1131"/>
      <c r="Z46" s="1132"/>
      <c r="AA46" s="1132"/>
      <c r="AB46" s="1133"/>
      <c r="AC46" s="1130"/>
      <c r="AD46" s="810"/>
      <c r="AE46" s="337"/>
      <c r="AF46" s="337"/>
      <c r="AG46" s="811"/>
      <c r="AH46" s="1130"/>
      <c r="AI46" s="810"/>
      <c r="AJ46" s="337"/>
      <c r="AK46" s="337"/>
      <c r="AL46" s="811"/>
      <c r="AM46" s="1130"/>
      <c r="AN46" s="1131"/>
      <c r="AO46" s="1132"/>
      <c r="AP46" s="1132"/>
      <c r="AQ46" s="1133"/>
      <c r="AR46" s="1130"/>
      <c r="AS46" s="810"/>
      <c r="AT46" s="337"/>
      <c r="AU46" s="337"/>
      <c r="AV46" s="811"/>
      <c r="AX46" s="810"/>
      <c r="AY46" s="337"/>
      <c r="AZ46" s="337"/>
      <c r="BA46" s="811"/>
      <c r="BB46" s="80"/>
      <c r="BC46" s="810"/>
      <c r="BD46" s="337"/>
      <c r="BE46" s="337"/>
      <c r="BF46" s="811"/>
      <c r="BG46" s="1130"/>
      <c r="BH46" s="810"/>
      <c r="BI46" s="337"/>
      <c r="BJ46" s="337"/>
      <c r="BK46" s="811"/>
      <c r="BL46" s="809"/>
      <c r="BM46" s="810"/>
      <c r="BN46" s="337"/>
      <c r="BO46" s="337"/>
      <c r="BP46" s="811"/>
      <c r="BQ46" s="809"/>
      <c r="BR46" s="498"/>
      <c r="BS46" s="498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</row>
    <row r="47" spans="1:106" s="708" customFormat="1">
      <c r="A47" s="497"/>
      <c r="B47" s="497"/>
      <c r="C47" s="1192" t="s">
        <v>618</v>
      </c>
      <c r="D47" s="498"/>
      <c r="E47" s="141"/>
      <c r="F47" s="84"/>
      <c r="G47" s="84"/>
      <c r="H47" s="142"/>
      <c r="I47" s="809"/>
      <c r="J47" s="810"/>
      <c r="K47" s="337"/>
      <c r="L47" s="337"/>
      <c r="M47" s="811"/>
      <c r="N47" s="809"/>
      <c r="O47" s="810"/>
      <c r="P47" s="337"/>
      <c r="Q47" s="337"/>
      <c r="R47" s="811"/>
      <c r="S47" s="809"/>
      <c r="T47" s="810"/>
      <c r="U47" s="337"/>
      <c r="V47" s="337"/>
      <c r="W47" s="811"/>
      <c r="X47" s="1130"/>
      <c r="Y47" s="1131"/>
      <c r="Z47" s="1132"/>
      <c r="AA47" s="1132"/>
      <c r="AB47" s="1133"/>
      <c r="AC47" s="1130"/>
      <c r="AD47" s="810"/>
      <c r="AE47" s="337"/>
      <c r="AF47" s="337"/>
      <c r="AG47" s="811"/>
      <c r="AH47" s="1130"/>
      <c r="AI47" s="810"/>
      <c r="AJ47" s="337"/>
      <c r="AK47" s="337"/>
      <c r="AL47" s="811"/>
      <c r="AM47" s="1130"/>
      <c r="AN47" s="1131"/>
      <c r="AO47" s="1132"/>
      <c r="AP47" s="1132"/>
      <c r="AQ47" s="1133"/>
      <c r="AR47" s="1130"/>
      <c r="AS47" s="810"/>
      <c r="AT47" s="337"/>
      <c r="AU47" s="337"/>
      <c r="AV47" s="811"/>
      <c r="AW47" s="809"/>
      <c r="AX47" s="810"/>
      <c r="AY47" s="337"/>
      <c r="AZ47" s="337"/>
      <c r="BA47" s="811"/>
      <c r="BB47" s="809"/>
      <c r="BC47" s="810"/>
      <c r="BD47" s="337"/>
      <c r="BE47" s="337"/>
      <c r="BF47" s="811"/>
      <c r="BG47" s="809"/>
      <c r="BH47" s="810"/>
      <c r="BI47" s="337"/>
      <c r="BJ47" s="337"/>
      <c r="BK47" s="811"/>
      <c r="BL47" s="809"/>
      <c r="BM47" s="810"/>
      <c r="BN47" s="337"/>
      <c r="BO47" s="337"/>
      <c r="BP47" s="811"/>
      <c r="BQ47" s="809"/>
      <c r="BR47" s="498"/>
      <c r="BS47" s="498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</row>
    <row r="48" spans="1:106" s="29" customFormat="1">
      <c r="A48" s="328"/>
      <c r="B48" s="328"/>
      <c r="C48" s="1222"/>
      <c r="D48" s="341"/>
      <c r="E48" s="344"/>
      <c r="F48" s="151"/>
      <c r="G48" s="151"/>
      <c r="H48" s="345"/>
      <c r="I48" s="274"/>
      <c r="J48" s="344"/>
      <c r="K48" s="151"/>
      <c r="L48" s="151"/>
      <c r="M48" s="345"/>
      <c r="N48" s="274"/>
      <c r="O48" s="344"/>
      <c r="P48" s="151"/>
      <c r="Q48" s="151"/>
      <c r="R48" s="345"/>
      <c r="S48" s="274"/>
      <c r="T48" s="344"/>
      <c r="U48" s="151"/>
      <c r="V48" s="151"/>
      <c r="W48" s="345"/>
      <c r="X48" s="274"/>
      <c r="Y48" s="344"/>
      <c r="Z48" s="151"/>
      <c r="AA48" s="151"/>
      <c r="AB48" s="345"/>
      <c r="AC48" s="274"/>
      <c r="AD48" s="344"/>
      <c r="AE48" s="151"/>
      <c r="AF48" s="151"/>
      <c r="AG48" s="345"/>
      <c r="AH48" s="274"/>
      <c r="AI48" s="344"/>
      <c r="AJ48" s="151"/>
      <c r="AK48" s="151"/>
      <c r="AL48" s="345"/>
      <c r="AM48" s="274"/>
      <c r="AN48" s="344"/>
      <c r="AO48" s="151"/>
      <c r="AP48" s="151"/>
      <c r="AQ48" s="345"/>
      <c r="AR48" s="274"/>
      <c r="AS48" s="344"/>
      <c r="AT48" s="151"/>
      <c r="AU48" s="151"/>
      <c r="AV48" s="345"/>
      <c r="AW48" s="274"/>
      <c r="AX48" s="344"/>
      <c r="AY48" s="151"/>
      <c r="AZ48" s="151"/>
      <c r="BA48" s="345"/>
      <c r="BB48" s="274"/>
      <c r="BC48" s="344"/>
      <c r="BD48" s="151"/>
      <c r="BE48" s="151"/>
      <c r="BF48" s="345"/>
      <c r="BG48" s="274"/>
      <c r="BH48" s="344"/>
      <c r="BI48" s="151"/>
      <c r="BJ48" s="151"/>
      <c r="BK48" s="345"/>
      <c r="BL48" s="274"/>
      <c r="BM48" s="344"/>
      <c r="BN48" s="151"/>
      <c r="BO48" s="151"/>
      <c r="BP48" s="345"/>
      <c r="BQ48" s="274"/>
      <c r="BR48" s="181"/>
      <c r="BS48" s="181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</row>
    <row r="49" spans="1:118" s="29" customFormat="1">
      <c r="A49" s="328"/>
      <c r="B49" s="328"/>
      <c r="C49" s="1191"/>
      <c r="D49" s="341"/>
      <c r="E49" s="344"/>
      <c r="F49" s="151"/>
      <c r="G49" s="151"/>
      <c r="H49" s="345"/>
      <c r="I49" s="274"/>
      <c r="J49" s="344"/>
      <c r="K49" s="151"/>
      <c r="L49" s="151"/>
      <c r="M49" s="345"/>
      <c r="N49" s="274"/>
      <c r="O49" s="344"/>
      <c r="P49" s="151"/>
      <c r="Q49" s="151"/>
      <c r="R49" s="345"/>
      <c r="S49" s="274"/>
      <c r="T49" s="344"/>
      <c r="U49" s="151"/>
      <c r="V49" s="151"/>
      <c r="W49" s="345"/>
      <c r="X49" s="274"/>
      <c r="Y49" s="344"/>
      <c r="Z49" s="151"/>
      <c r="AA49" s="151"/>
      <c r="AB49" s="345"/>
      <c r="AC49" s="274"/>
      <c r="AD49" s="344"/>
      <c r="AE49" s="151"/>
      <c r="AF49" s="151"/>
      <c r="AG49" s="345"/>
      <c r="AH49" s="274"/>
      <c r="AI49" s="344"/>
      <c r="AJ49" s="151"/>
      <c r="AK49" s="151"/>
      <c r="AL49" s="345"/>
      <c r="AM49" s="1813"/>
      <c r="AN49" s="1814"/>
      <c r="AO49" s="1815"/>
      <c r="AP49" s="1815"/>
      <c r="AQ49" s="1816"/>
      <c r="AR49" s="1813"/>
      <c r="AS49" s="309"/>
      <c r="AT49" s="310"/>
      <c r="AU49" s="310"/>
      <c r="AV49" s="311"/>
      <c r="AW49" s="308"/>
      <c r="AX49" s="344"/>
      <c r="AY49" s="151"/>
      <c r="AZ49" s="151"/>
      <c r="BA49" s="345"/>
      <c r="BB49" s="274"/>
      <c r="BC49" s="344"/>
      <c r="BD49" s="151"/>
      <c r="BE49" s="151"/>
      <c r="BF49" s="345"/>
      <c r="BG49" s="274"/>
      <c r="BH49" s="344"/>
      <c r="BI49" s="151"/>
      <c r="BJ49" s="151"/>
      <c r="BK49" s="345"/>
      <c r="BL49" s="274"/>
      <c r="BM49" s="344"/>
      <c r="BN49" s="151"/>
      <c r="BO49" s="151"/>
      <c r="BP49" s="345"/>
      <c r="BQ49" s="274"/>
      <c r="BR49" s="181"/>
      <c r="BS49" s="181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</row>
    <row r="50" spans="1:118" s="29" customFormat="1">
      <c r="A50" s="328"/>
      <c r="B50" s="328"/>
      <c r="C50" s="1222"/>
      <c r="D50" s="341"/>
      <c r="E50" s="344"/>
      <c r="F50" s="151"/>
      <c r="G50" s="151"/>
      <c r="H50" s="345"/>
      <c r="I50" s="274"/>
      <c r="J50" s="344"/>
      <c r="K50" s="151"/>
      <c r="L50" s="151"/>
      <c r="M50" s="345"/>
      <c r="N50" s="274"/>
      <c r="O50" s="344"/>
      <c r="P50" s="151"/>
      <c r="Q50" s="151"/>
      <c r="R50" s="345"/>
      <c r="S50" s="274"/>
      <c r="T50" s="344"/>
      <c r="U50" s="151"/>
      <c r="V50" s="151"/>
      <c r="W50" s="345"/>
      <c r="X50" s="274"/>
      <c r="Y50" s="344"/>
      <c r="Z50" s="151"/>
      <c r="AA50" s="151"/>
      <c r="AB50" s="345"/>
      <c r="AC50" s="274"/>
      <c r="AD50" s="344"/>
      <c r="AE50" s="151"/>
      <c r="AF50" s="151"/>
      <c r="AG50" s="345"/>
      <c r="AH50" s="274"/>
      <c r="AI50" s="344"/>
      <c r="AJ50" s="151"/>
      <c r="AK50" s="151"/>
      <c r="AL50" s="345"/>
      <c r="AM50" s="274"/>
      <c r="AN50" s="344"/>
      <c r="AO50" s="151"/>
      <c r="AP50" s="151"/>
      <c r="AQ50" s="345"/>
      <c r="AR50" s="274"/>
      <c r="AS50" s="344"/>
      <c r="AT50" s="151"/>
      <c r="AU50" s="151"/>
      <c r="AV50" s="345"/>
      <c r="AW50" s="274"/>
      <c r="AX50" s="344"/>
      <c r="AY50" s="151"/>
      <c r="AZ50" s="151"/>
      <c r="BA50" s="345"/>
      <c r="BB50" s="274"/>
      <c r="BC50" s="344"/>
      <c r="BD50" s="151"/>
      <c r="BE50" s="151"/>
      <c r="BF50" s="345"/>
      <c r="BG50" s="274"/>
      <c r="BH50" s="344"/>
      <c r="BI50" s="151"/>
      <c r="BJ50" s="151"/>
      <c r="BK50" s="345"/>
      <c r="BL50" s="274"/>
      <c r="BM50" s="344"/>
      <c r="BN50" s="151"/>
      <c r="BO50" s="151"/>
      <c r="BP50" s="345"/>
      <c r="BQ50" s="274"/>
      <c r="BR50" s="181"/>
      <c r="BS50" s="181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</row>
    <row r="51" spans="1:118">
      <c r="A51" s="91"/>
      <c r="B51" s="126" t="s">
        <v>511</v>
      </c>
      <c r="C51" s="1242"/>
      <c r="D51" s="1017"/>
      <c r="E51" s="133"/>
      <c r="F51" s="134"/>
      <c r="G51" s="134"/>
      <c r="H51" s="135"/>
      <c r="I51" s="125"/>
      <c r="J51" s="133"/>
      <c r="K51" s="134"/>
      <c r="L51" s="134"/>
      <c r="M51" s="135"/>
      <c r="N51" s="125"/>
      <c r="O51" s="133"/>
      <c r="P51" s="134"/>
      <c r="Q51" s="134"/>
      <c r="R51" s="135"/>
      <c r="S51" s="125"/>
      <c r="T51" s="133"/>
      <c r="U51" s="134"/>
      <c r="V51" s="134"/>
      <c r="W51" s="135"/>
      <c r="X51" s="125"/>
      <c r="Y51" s="133"/>
      <c r="Z51" s="134"/>
      <c r="AA51" s="134"/>
      <c r="AB51" s="135"/>
      <c r="AC51" s="125"/>
      <c r="AD51" s="133"/>
      <c r="AE51" s="134"/>
      <c r="AF51" s="134"/>
      <c r="AG51" s="135"/>
      <c r="AH51" s="125"/>
      <c r="AI51" s="133"/>
      <c r="AJ51" s="134"/>
      <c r="AK51" s="134"/>
      <c r="AL51" s="135"/>
      <c r="AM51" s="125"/>
      <c r="AN51" s="133"/>
      <c r="AO51" s="134"/>
      <c r="AP51" s="134"/>
      <c r="AQ51" s="135"/>
      <c r="AR51" s="125"/>
      <c r="AS51" s="133"/>
      <c r="AT51" s="134"/>
      <c r="AU51" s="134"/>
      <c r="AV51" s="135"/>
      <c r="AW51" s="125"/>
      <c r="AX51" s="133"/>
      <c r="AY51" s="134"/>
      <c r="AZ51" s="134"/>
      <c r="BA51" s="135"/>
      <c r="BB51" s="125"/>
      <c r="BC51" s="133"/>
      <c r="BD51" s="134"/>
      <c r="BE51" s="134"/>
      <c r="BF51" s="135"/>
      <c r="BG51" s="125"/>
      <c r="BH51" s="133"/>
      <c r="BI51" s="134"/>
      <c r="BJ51" s="134"/>
      <c r="BK51" s="135"/>
      <c r="BL51" s="125"/>
      <c r="BM51" s="133"/>
      <c r="BN51" s="134"/>
      <c r="BO51" s="134"/>
      <c r="BP51" s="135"/>
      <c r="BQ51" s="125"/>
      <c r="BR51" s="87"/>
      <c r="BS51" s="87"/>
      <c r="BT51" s="12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1018"/>
      <c r="CS51" s="1018"/>
      <c r="CT51" s="821"/>
      <c r="CU51" s="12"/>
      <c r="CV51" s="12"/>
      <c r="CW51" s="12"/>
      <c r="CX51" s="12"/>
      <c r="CY51" s="12"/>
      <c r="CZ51" s="91"/>
      <c r="DA51" s="91"/>
      <c r="DB51" s="91"/>
      <c r="DC51" s="91"/>
      <c r="DD51" s="91"/>
      <c r="DE51" s="91"/>
      <c r="DF51" s="12"/>
      <c r="DG51" s="12"/>
      <c r="DH51" s="12"/>
      <c r="DI51" s="12"/>
      <c r="DJ51" s="12"/>
      <c r="DK51" s="12"/>
      <c r="DL51" s="12"/>
      <c r="DM51" s="12"/>
      <c r="DN51" s="12"/>
    </row>
    <row r="52" spans="1:118">
      <c r="A52" s="91"/>
      <c r="B52" s="89"/>
      <c r="C52" s="1243"/>
      <c r="D52" s="866"/>
      <c r="E52" s="228"/>
      <c r="F52" s="229"/>
      <c r="G52" s="229"/>
      <c r="H52" s="230"/>
      <c r="I52" s="740"/>
      <c r="J52" s="228"/>
      <c r="K52" s="229"/>
      <c r="L52" s="229"/>
      <c r="M52" s="230"/>
      <c r="N52" s="740"/>
      <c r="O52" s="228"/>
      <c r="P52" s="229"/>
      <c r="Q52" s="229"/>
      <c r="R52" s="230"/>
      <c r="S52" s="740"/>
      <c r="T52" s="228"/>
      <c r="U52" s="229"/>
      <c r="V52" s="229"/>
      <c r="W52" s="230"/>
      <c r="X52" s="740"/>
      <c r="Y52" s="228"/>
      <c r="Z52" s="229"/>
      <c r="AA52" s="229"/>
      <c r="AB52" s="230"/>
      <c r="AC52" s="740"/>
      <c r="AD52" s="228"/>
      <c r="AE52" s="229"/>
      <c r="AF52" s="229"/>
      <c r="AG52" s="230"/>
      <c r="AH52" s="740"/>
      <c r="AI52" s="228"/>
      <c r="AJ52" s="229"/>
      <c r="AK52" s="229"/>
      <c r="AL52" s="230"/>
      <c r="AM52" s="740"/>
      <c r="AN52" s="228"/>
      <c r="AO52" s="229"/>
      <c r="AP52" s="229"/>
      <c r="AQ52" s="230"/>
      <c r="AR52" s="740"/>
      <c r="AS52" s="228"/>
      <c r="AT52" s="229"/>
      <c r="AU52" s="229"/>
      <c r="AV52" s="230"/>
      <c r="AW52" s="740"/>
      <c r="AX52" s="228"/>
      <c r="AY52" s="229"/>
      <c r="AZ52" s="229"/>
      <c r="BA52" s="230"/>
      <c r="BB52" s="740"/>
      <c r="BC52" s="228"/>
      <c r="BD52" s="229"/>
      <c r="BE52" s="229"/>
      <c r="BF52" s="230"/>
      <c r="BG52" s="740"/>
      <c r="BH52" s="228"/>
      <c r="BI52" s="229"/>
      <c r="BJ52" s="229"/>
      <c r="BK52" s="230"/>
      <c r="BL52" s="740"/>
      <c r="BM52" s="228"/>
      <c r="BN52" s="229"/>
      <c r="BO52" s="229"/>
      <c r="BP52" s="230"/>
      <c r="BQ52" s="1019"/>
      <c r="BR52" s="87"/>
      <c r="BS52" s="87"/>
      <c r="BT52" s="12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1018"/>
      <c r="CS52" s="1018"/>
      <c r="CT52" s="821"/>
      <c r="CU52" s="12"/>
      <c r="CV52" s="12"/>
      <c r="CW52" s="12"/>
      <c r="CX52" s="12"/>
      <c r="CY52" s="12"/>
      <c r="CZ52" s="91"/>
      <c r="DA52" s="91"/>
      <c r="DB52" s="91"/>
      <c r="DC52" s="91"/>
      <c r="DD52" s="91"/>
      <c r="DE52" s="91"/>
      <c r="DF52" s="12"/>
      <c r="DG52" s="12"/>
      <c r="DH52" s="12"/>
      <c r="DI52" s="12"/>
      <c r="DJ52" s="12"/>
      <c r="DK52" s="12"/>
      <c r="DL52" s="12"/>
      <c r="DM52" s="12"/>
      <c r="DN52" s="12"/>
    </row>
    <row r="53" spans="1:118">
      <c r="A53" s="91"/>
      <c r="B53" s="89"/>
      <c r="C53" s="1244" t="s">
        <v>512</v>
      </c>
      <c r="D53" s="87"/>
      <c r="E53" s="145"/>
      <c r="F53" s="146"/>
      <c r="G53" s="146"/>
      <c r="H53" s="147"/>
      <c r="I53" s="89"/>
      <c r="J53" s="145"/>
      <c r="K53" s="146"/>
      <c r="L53" s="146"/>
      <c r="M53" s="147"/>
      <c r="N53" s="844"/>
      <c r="O53" s="1020"/>
      <c r="P53" s="151"/>
      <c r="Q53" s="151"/>
      <c r="R53" s="345"/>
      <c r="S53" s="844"/>
      <c r="T53" s="116">
        <f>+'Market Prices'!O8+T55</f>
        <v>2.4596984126984123</v>
      </c>
      <c r="U53" s="117">
        <f>+'Market Prices'!P8+U55</f>
        <v>2.2776984126984123</v>
      </c>
      <c r="V53" s="117">
        <f>+'Market Prices'!Q8+V55</f>
        <v>2.8780317460317462</v>
      </c>
      <c r="W53" s="118">
        <f>+'Market Prices'!R8+W55</f>
        <v>3.3929375000000004</v>
      </c>
      <c r="X53" s="843">
        <f>AVERAGE(T53:W53)</f>
        <v>2.752091517857143</v>
      </c>
      <c r="Y53" s="116">
        <f>+'Market Prices'!S8+Y55</f>
        <v>3.4791000000000003</v>
      </c>
      <c r="Z53" s="117">
        <f>+'Market Prices'!T8+Z55</f>
        <v>4.0243281250000011</v>
      </c>
      <c r="AA53" s="117">
        <f>+'Market Prices'!U8+AA55</f>
        <v>3.5578281250000003</v>
      </c>
      <c r="AB53" s="118">
        <f>+'Market Prices'!V8+AB55</f>
        <v>3.8364218749999996</v>
      </c>
      <c r="AC53" s="843">
        <f>AVERAGE(Y53:AB53)</f>
        <v>3.7244195312500001</v>
      </c>
      <c r="AD53" s="116">
        <f>+'Market Prices'!W8+AD55</f>
        <v>5.1762950819672131</v>
      </c>
      <c r="AE53" s="117">
        <f>+'Market Prices'!X8+AE55</f>
        <v>4.6069687499999992</v>
      </c>
      <c r="AF53" s="117">
        <f>+'Market Prices'!Y8+AF55</f>
        <v>3.9690625000000006</v>
      </c>
      <c r="AG53" s="118">
        <f>+'Market Prices'!Z8+AG55</f>
        <v>3.7758906249999988</v>
      </c>
      <c r="AH53" s="843">
        <f>AVERAGE(AD53:AG53)</f>
        <v>4.3820542392418025</v>
      </c>
      <c r="AI53" s="116">
        <f>+'Market Prices'!AA8+AI55</f>
        <v>2.8932580645161292</v>
      </c>
      <c r="AJ53" s="117">
        <f>+'Market Prices'!AB8+AJ55</f>
        <v>2.7407301587301576</v>
      </c>
      <c r="AK53" s="117">
        <f>+'Market Prices'!AC8+AK55</f>
        <v>2.7644218749999996</v>
      </c>
      <c r="AL53" s="118">
        <f>+'Market Prices'!AD8+AL55</f>
        <v>2.1331111111111114</v>
      </c>
      <c r="AM53" s="843">
        <f>AVERAGE(AI53:AL53)</f>
        <v>2.6328803023393492</v>
      </c>
      <c r="AN53" s="116">
        <f>+'Market Prices'!AE8+AN55</f>
        <v>1.9876885245901643</v>
      </c>
      <c r="AO53" s="117">
        <f>+'Market Prices'!AF8+AO55</f>
        <v>2.135984375</v>
      </c>
      <c r="AP53" s="117">
        <f>+'Market Prices'!AG8+AP55</f>
        <v>2.8751562499999994</v>
      </c>
      <c r="AQ53" s="118">
        <f>+'Market Prices'!AH8+AQ55</f>
        <v>3.0312419354838709</v>
      </c>
      <c r="AR53" s="843">
        <f>AVERAGE(AN53:AQ53)</f>
        <v>2.5075177712685086</v>
      </c>
      <c r="AS53" s="116">
        <f>+'Market Prices'!AJ8+AS55</f>
        <v>3.076171875</v>
      </c>
      <c r="AT53" s="117">
        <f>+'Market Prices'!AJ8+AT55</f>
        <v>3.076171875</v>
      </c>
      <c r="AU53" s="117">
        <f>+'Market Prices'!AK8+AU55</f>
        <v>2.9540158730158725</v>
      </c>
      <c r="AV53" s="118">
        <f>+'Market Prices'!AL8+AV55</f>
        <v>2.8899677419354837</v>
      </c>
      <c r="AW53" s="843">
        <f>AVERAGE(AS53:AV53)</f>
        <v>2.9990818412378393</v>
      </c>
      <c r="AX53" s="116">
        <f>+'Market Prices'!AM8+AX55</f>
        <v>3.1108032786885249</v>
      </c>
      <c r="AY53" s="117">
        <f>+'Market Prices'!AN8+AY55</f>
        <v>2.6796666666666664</v>
      </c>
      <c r="AZ53" s="117">
        <f>+'Market Prices'!AO8+AZ55</f>
        <v>2.8149999999999999</v>
      </c>
      <c r="BA53" s="118">
        <f>+'Market Prices'!AP8+BA55</f>
        <v>2.9016666666666668</v>
      </c>
      <c r="BB53" s="843">
        <f>AVERAGE(AX53:BA53)</f>
        <v>2.8767841530054645</v>
      </c>
      <c r="BC53" s="116">
        <f>+'Market Prices'!AQ8+BC55</f>
        <v>2.9026943643004919</v>
      </c>
      <c r="BD53" s="117">
        <f>+'Market Prices'!AR8+BD55</f>
        <v>2.5441789597993276</v>
      </c>
      <c r="BE53" s="117">
        <f>+'Market Prices'!AS8+BE55</f>
        <v>2.5777897789713125</v>
      </c>
      <c r="BF53" s="118">
        <f>+'Market Prices'!AT8+BF55</f>
        <v>3.0133368969288674</v>
      </c>
      <c r="BG53" s="843">
        <f>AVERAGE(BC53:BF53)</f>
        <v>2.7594999999999996</v>
      </c>
      <c r="BH53" s="116">
        <f>+'Market Prices'!AU8+BH55</f>
        <v>2.9460848852381236</v>
      </c>
      <c r="BI53" s="117">
        <f>+'Market Prices'!AV8+BI55</f>
        <v>2.5822102633295767</v>
      </c>
      <c r="BJ53" s="117">
        <f>+'Market Prices'!AW8+BJ55</f>
        <v>2.6163235091335033</v>
      </c>
      <c r="BK53" s="118">
        <f>+'Market Prices'!AX8+BK55</f>
        <v>3.0583813422987949</v>
      </c>
      <c r="BL53" s="843">
        <f>AVERAGE(BH53:BK53)</f>
        <v>2.8007499999999994</v>
      </c>
      <c r="BM53" s="116">
        <f>BN53</f>
        <v>2.75</v>
      </c>
      <c r="BN53" s="117">
        <f>BO53</f>
        <v>2.75</v>
      </c>
      <c r="BO53" s="117">
        <f>BP53</f>
        <v>2.75</v>
      </c>
      <c r="BP53" s="118">
        <f>BQ53</f>
        <v>2.75</v>
      </c>
      <c r="BQ53" s="1334">
        <f>+$BU$55</f>
        <v>2.75</v>
      </c>
      <c r="BR53" s="87"/>
      <c r="BS53" s="87"/>
      <c r="BT53" s="12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1018"/>
      <c r="CS53" s="1018"/>
      <c r="CT53" s="821"/>
      <c r="CU53" s="12"/>
      <c r="CV53" s="12"/>
      <c r="CW53" s="12"/>
      <c r="CX53" s="12"/>
      <c r="CY53" s="12"/>
      <c r="CZ53" s="91"/>
      <c r="DA53" s="91"/>
      <c r="DB53" s="91"/>
      <c r="DC53" s="91"/>
      <c r="DD53" s="91"/>
      <c r="DE53" s="91"/>
      <c r="DF53" s="12"/>
      <c r="DG53" s="12"/>
      <c r="DH53" s="12"/>
      <c r="DI53" s="12"/>
      <c r="DJ53" s="12"/>
      <c r="DK53" s="12"/>
      <c r="DL53" s="12"/>
      <c r="DM53" s="12"/>
      <c r="DN53" s="12"/>
    </row>
    <row r="54" spans="1:118">
      <c r="A54" s="91"/>
      <c r="B54" s="89"/>
      <c r="C54" s="1245"/>
      <c r="D54" s="87"/>
      <c r="E54" s="145"/>
      <c r="F54" s="146"/>
      <c r="G54" s="146"/>
      <c r="H54" s="147"/>
      <c r="I54" s="89"/>
      <c r="J54" s="145"/>
      <c r="K54" s="146"/>
      <c r="L54" s="146"/>
      <c r="M54" s="147"/>
      <c r="N54" s="849"/>
      <c r="O54" s="145"/>
      <c r="P54" s="146"/>
      <c r="Q54" s="146"/>
      <c r="R54" s="147"/>
      <c r="S54" s="89"/>
      <c r="T54" s="145"/>
      <c r="U54" s="146"/>
      <c r="V54" s="146"/>
      <c r="W54" s="147"/>
      <c r="X54" s="89"/>
      <c r="Y54" s="145"/>
      <c r="Z54" s="146"/>
      <c r="AA54" s="146"/>
      <c r="AB54" s="147"/>
      <c r="AC54" s="89"/>
      <c r="AD54" s="145"/>
      <c r="AE54" s="146"/>
      <c r="AF54" s="146"/>
      <c r="AG54" s="147"/>
      <c r="AH54" s="89"/>
      <c r="AI54" s="145"/>
      <c r="AJ54" s="146"/>
      <c r="AK54" s="146"/>
      <c r="AL54" s="147"/>
      <c r="AM54" s="89"/>
      <c r="AN54" s="145"/>
      <c r="AO54" s="146"/>
      <c r="AP54" s="146"/>
      <c r="AQ54" s="147"/>
      <c r="AR54" s="89"/>
      <c r="AS54" s="145"/>
      <c r="AT54" s="146"/>
      <c r="AU54" s="146"/>
      <c r="AV54" s="147"/>
      <c r="AW54" s="89"/>
      <c r="AX54" s="145"/>
      <c r="AY54" s="146"/>
      <c r="AZ54" s="146"/>
      <c r="BA54" s="147"/>
      <c r="BB54" s="89"/>
      <c r="BC54" s="145"/>
      <c r="BD54" s="146"/>
      <c r="BE54" s="146"/>
      <c r="BF54" s="147"/>
      <c r="BG54" s="89"/>
      <c r="BH54" s="145"/>
      <c r="BI54" s="146"/>
      <c r="BJ54" s="146"/>
      <c r="BK54" s="147"/>
      <c r="BL54" s="89"/>
      <c r="BM54" s="145"/>
      <c r="BN54" s="146"/>
      <c r="BO54" s="146"/>
      <c r="BP54" s="147"/>
      <c r="BQ54" s="1027"/>
      <c r="BR54" s="87"/>
      <c r="BS54" s="87"/>
      <c r="BT54" s="1023" t="s">
        <v>1136</v>
      </c>
      <c r="BU54" s="1024">
        <f>+'Market Prices'!BP8</f>
        <v>2.8552499999999994</v>
      </c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1018"/>
      <c r="CS54" s="1018"/>
      <c r="CT54" s="821"/>
      <c r="CU54" s="12"/>
      <c r="CV54" s="12"/>
      <c r="CW54" s="12"/>
      <c r="CX54" s="12"/>
      <c r="CY54" s="12"/>
      <c r="CZ54" s="91"/>
      <c r="DA54" s="91"/>
      <c r="DB54" s="91"/>
      <c r="DC54" s="91"/>
      <c r="DD54" s="91"/>
      <c r="DE54" s="91"/>
      <c r="DF54" s="12"/>
      <c r="DG54" s="12"/>
      <c r="DH54" s="12"/>
      <c r="DI54" s="12"/>
      <c r="DJ54" s="12"/>
      <c r="DK54" s="12"/>
      <c r="DL54" s="12"/>
      <c r="DM54" s="12"/>
      <c r="DN54" s="12"/>
    </row>
    <row r="55" spans="1:118">
      <c r="A55" s="91"/>
      <c r="B55" s="89"/>
      <c r="C55" s="1208" t="s">
        <v>514</v>
      </c>
      <c r="D55" s="87"/>
      <c r="E55" s="145"/>
      <c r="F55" s="146"/>
      <c r="G55" s="146"/>
      <c r="H55" s="147"/>
      <c r="I55" s="89"/>
      <c r="J55" s="145"/>
      <c r="K55" s="146"/>
      <c r="L55" s="146"/>
      <c r="M55" s="147"/>
      <c r="N55" s="1022"/>
      <c r="O55" s="1028"/>
      <c r="P55" s="1029"/>
      <c r="Q55" s="1029"/>
      <c r="R55" s="1030"/>
      <c r="S55" s="843"/>
      <c r="T55" s="509">
        <f t="shared" ref="T55:W56" si="93">+U55</f>
        <v>0</v>
      </c>
      <c r="U55" s="510">
        <f t="shared" si="93"/>
        <v>0</v>
      </c>
      <c r="V55" s="510">
        <f t="shared" si="93"/>
        <v>0</v>
      </c>
      <c r="W55" s="511">
        <f t="shared" si="93"/>
        <v>0</v>
      </c>
      <c r="X55" s="843">
        <f>+Valuation!X26</f>
        <v>0</v>
      </c>
      <c r="Y55" s="509">
        <f t="shared" ref="Y55:AB56" si="94">+Z55</f>
        <v>0</v>
      </c>
      <c r="Z55" s="510">
        <f t="shared" si="94"/>
        <v>0</v>
      </c>
      <c r="AA55" s="510">
        <f t="shared" si="94"/>
        <v>0</v>
      </c>
      <c r="AB55" s="511">
        <f t="shared" si="94"/>
        <v>0</v>
      </c>
      <c r="AC55" s="843">
        <f>+Valuation!AC26</f>
        <v>0</v>
      </c>
      <c r="AD55" s="509">
        <f t="shared" ref="AD55:AG56" si="95">+AE55</f>
        <v>0</v>
      </c>
      <c r="AE55" s="510">
        <f t="shared" si="95"/>
        <v>0</v>
      </c>
      <c r="AF55" s="510">
        <f t="shared" si="95"/>
        <v>0</v>
      </c>
      <c r="AG55" s="511">
        <f t="shared" si="95"/>
        <v>0</v>
      </c>
      <c r="AH55" s="843">
        <f>+Valuation!AH26</f>
        <v>0</v>
      </c>
      <c r="AI55" s="509">
        <f t="shared" ref="AI55:AL56" si="96">+AJ55</f>
        <v>0</v>
      </c>
      <c r="AJ55" s="510">
        <f t="shared" si="96"/>
        <v>0</v>
      </c>
      <c r="AK55" s="510">
        <f t="shared" si="96"/>
        <v>0</v>
      </c>
      <c r="AL55" s="511">
        <f t="shared" si="96"/>
        <v>0</v>
      </c>
      <c r="AM55" s="843">
        <f>+Valuation!AM26</f>
        <v>0</v>
      </c>
      <c r="AN55" s="509">
        <f t="shared" ref="AN55:AS56" si="97">+AO55</f>
        <v>0</v>
      </c>
      <c r="AO55" s="510">
        <f t="shared" si="97"/>
        <v>0</v>
      </c>
      <c r="AP55" s="510">
        <f t="shared" si="97"/>
        <v>0</v>
      </c>
      <c r="AQ55" s="511">
        <f t="shared" si="97"/>
        <v>0</v>
      </c>
      <c r="AR55" s="843">
        <f>+Valuation!AR26</f>
        <v>0</v>
      </c>
      <c r="AS55" s="509">
        <f t="shared" si="97"/>
        <v>0</v>
      </c>
      <c r="AT55" s="510">
        <f t="shared" ref="AT55:AT56" si="98">+AU55</f>
        <v>0</v>
      </c>
      <c r="AU55" s="510">
        <f t="shared" ref="AU55:AU56" si="99">+AV55</f>
        <v>0</v>
      </c>
      <c r="AV55" s="511">
        <f t="shared" ref="AV55:AV56" si="100">+AW55</f>
        <v>0</v>
      </c>
      <c r="AW55" s="843">
        <f>+Valuation!AW26</f>
        <v>0</v>
      </c>
      <c r="AX55" s="509">
        <f t="shared" ref="AX55:BA56" si="101">+AY55</f>
        <v>0</v>
      </c>
      <c r="AY55" s="510">
        <f t="shared" si="101"/>
        <v>0</v>
      </c>
      <c r="AZ55" s="510">
        <f t="shared" si="101"/>
        <v>0</v>
      </c>
      <c r="BA55" s="511">
        <f t="shared" si="101"/>
        <v>0</v>
      </c>
      <c r="BB55" s="843">
        <f>+Valuation!BB26</f>
        <v>0</v>
      </c>
      <c r="BC55" s="509">
        <f t="shared" ref="BC55:BF56" si="102">+BD55</f>
        <v>0</v>
      </c>
      <c r="BD55" s="510">
        <f t="shared" si="102"/>
        <v>0</v>
      </c>
      <c r="BE55" s="510">
        <f t="shared" si="102"/>
        <v>0</v>
      </c>
      <c r="BF55" s="511">
        <f t="shared" si="102"/>
        <v>0</v>
      </c>
      <c r="BG55" s="2216">
        <f>+Valuation!BG26</f>
        <v>0</v>
      </c>
      <c r="BH55" s="509">
        <f t="shared" ref="BH55:BK56" si="103">+BI55</f>
        <v>0</v>
      </c>
      <c r="BI55" s="510">
        <f t="shared" si="103"/>
        <v>0</v>
      </c>
      <c r="BJ55" s="510">
        <f t="shared" si="103"/>
        <v>0</v>
      </c>
      <c r="BK55" s="511">
        <f t="shared" si="103"/>
        <v>0</v>
      </c>
      <c r="BL55" s="2216">
        <f>BG55</f>
        <v>0</v>
      </c>
      <c r="BM55" s="509">
        <f t="shared" ref="BM55:BM56" si="104">+BN55</f>
        <v>0</v>
      </c>
      <c r="BN55" s="510">
        <f t="shared" ref="BN55:BN56" si="105">+BO55</f>
        <v>0</v>
      </c>
      <c r="BO55" s="510">
        <f t="shared" ref="BO55:BO56" si="106">+BP55</f>
        <v>0</v>
      </c>
      <c r="BP55" s="511">
        <f t="shared" ref="BP55:BP56" si="107">+BQ55</f>
        <v>0</v>
      </c>
      <c r="BQ55" s="2247">
        <f>BL55</f>
        <v>0</v>
      </c>
      <c r="BR55" s="87"/>
      <c r="BS55" s="87"/>
      <c r="BT55" s="1025" t="s">
        <v>513</v>
      </c>
      <c r="BU55" s="1026">
        <f>+Valuation!CG31</f>
        <v>2.75</v>
      </c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018"/>
      <c r="CS55" s="1018"/>
      <c r="CT55" s="821"/>
      <c r="CU55" s="12"/>
      <c r="CV55" s="12"/>
      <c r="CW55" s="12"/>
      <c r="CX55" s="12"/>
      <c r="CY55" s="12"/>
      <c r="CZ55" s="91"/>
      <c r="DA55" s="91"/>
      <c r="DB55" s="91"/>
      <c r="DC55" s="91"/>
      <c r="DD55" s="91"/>
      <c r="DE55" s="91"/>
      <c r="DF55" s="12"/>
      <c r="DG55" s="12"/>
      <c r="DH55" s="12"/>
      <c r="DI55" s="12"/>
      <c r="DJ55" s="12"/>
      <c r="DK55" s="12"/>
      <c r="DL55" s="12"/>
      <c r="DM55" s="12"/>
      <c r="DN55" s="12"/>
    </row>
    <row r="56" spans="1:118">
      <c r="A56" s="91"/>
      <c r="B56" s="89"/>
      <c r="C56" s="1208" t="s">
        <v>445</v>
      </c>
      <c r="D56" s="1021"/>
      <c r="E56" s="145"/>
      <c r="F56" s="146"/>
      <c r="G56" s="146"/>
      <c r="H56" s="147"/>
      <c r="I56" s="89"/>
      <c r="J56" s="145"/>
      <c r="K56" s="146"/>
      <c r="L56" s="146"/>
      <c r="M56" s="147"/>
      <c r="N56" s="849"/>
      <c r="O56" s="145"/>
      <c r="P56" s="146"/>
      <c r="Q56" s="146"/>
      <c r="R56" s="147"/>
      <c r="S56" s="843"/>
      <c r="T56" s="509">
        <f t="shared" si="93"/>
        <v>0</v>
      </c>
      <c r="U56" s="510">
        <f t="shared" si="93"/>
        <v>0</v>
      </c>
      <c r="V56" s="510">
        <f t="shared" si="93"/>
        <v>0</v>
      </c>
      <c r="W56" s="511">
        <f t="shared" si="93"/>
        <v>0</v>
      </c>
      <c r="X56" s="843">
        <f>+Valuation!X27</f>
        <v>0</v>
      </c>
      <c r="Y56" s="509">
        <f t="shared" si="94"/>
        <v>0</v>
      </c>
      <c r="Z56" s="510">
        <f t="shared" si="94"/>
        <v>0</v>
      </c>
      <c r="AA56" s="510">
        <f t="shared" si="94"/>
        <v>0</v>
      </c>
      <c r="AB56" s="511">
        <f t="shared" si="94"/>
        <v>0</v>
      </c>
      <c r="AC56" s="843">
        <f>+Valuation!AC27</f>
        <v>0</v>
      </c>
      <c r="AD56" s="509">
        <f t="shared" si="95"/>
        <v>0</v>
      </c>
      <c r="AE56" s="510">
        <f t="shared" si="95"/>
        <v>0</v>
      </c>
      <c r="AF56" s="510">
        <f t="shared" si="95"/>
        <v>0</v>
      </c>
      <c r="AG56" s="511">
        <f t="shared" si="95"/>
        <v>0</v>
      </c>
      <c r="AH56" s="843">
        <f>+Valuation!AH27</f>
        <v>0</v>
      </c>
      <c r="AI56" s="509">
        <f t="shared" si="96"/>
        <v>0</v>
      </c>
      <c r="AJ56" s="510">
        <f t="shared" si="96"/>
        <v>0</v>
      </c>
      <c r="AK56" s="510">
        <f t="shared" si="96"/>
        <v>0</v>
      </c>
      <c r="AL56" s="511">
        <f t="shared" si="96"/>
        <v>0</v>
      </c>
      <c r="AM56" s="843">
        <f>+Valuation!AM27</f>
        <v>0</v>
      </c>
      <c r="AN56" s="509">
        <f t="shared" si="97"/>
        <v>0</v>
      </c>
      <c r="AO56" s="510">
        <f t="shared" si="97"/>
        <v>0</v>
      </c>
      <c r="AP56" s="510">
        <f t="shared" si="97"/>
        <v>0</v>
      </c>
      <c r="AQ56" s="511">
        <f t="shared" si="97"/>
        <v>0</v>
      </c>
      <c r="AR56" s="843">
        <f>+Valuation!AR27</f>
        <v>0</v>
      </c>
      <c r="AS56" s="509">
        <f t="shared" si="97"/>
        <v>0</v>
      </c>
      <c r="AT56" s="510">
        <f t="shared" si="98"/>
        <v>0</v>
      </c>
      <c r="AU56" s="510">
        <f t="shared" si="99"/>
        <v>0</v>
      </c>
      <c r="AV56" s="511">
        <f t="shared" si="100"/>
        <v>0</v>
      </c>
      <c r="AW56" s="843">
        <f>+Valuation!AW27</f>
        <v>0</v>
      </c>
      <c r="AX56" s="509">
        <f t="shared" si="101"/>
        <v>0</v>
      </c>
      <c r="AY56" s="510">
        <f t="shared" si="101"/>
        <v>0</v>
      </c>
      <c r="AZ56" s="510">
        <f t="shared" si="101"/>
        <v>0</v>
      </c>
      <c r="BA56" s="511">
        <f t="shared" si="101"/>
        <v>0</v>
      </c>
      <c r="BB56" s="843">
        <f>+Valuation!BB27</f>
        <v>0</v>
      </c>
      <c r="BC56" s="509">
        <f t="shared" si="102"/>
        <v>0</v>
      </c>
      <c r="BD56" s="510">
        <f t="shared" si="102"/>
        <v>0</v>
      </c>
      <c r="BE56" s="510">
        <f t="shared" si="102"/>
        <v>0</v>
      </c>
      <c r="BF56" s="511">
        <f t="shared" si="102"/>
        <v>0</v>
      </c>
      <c r="BG56" s="2216">
        <f>+Valuation!BG27</f>
        <v>0</v>
      </c>
      <c r="BH56" s="509">
        <f t="shared" si="103"/>
        <v>0</v>
      </c>
      <c r="BI56" s="510">
        <f t="shared" si="103"/>
        <v>0</v>
      </c>
      <c r="BJ56" s="510">
        <f t="shared" si="103"/>
        <v>0</v>
      </c>
      <c r="BK56" s="511">
        <f t="shared" si="103"/>
        <v>0</v>
      </c>
      <c r="BL56" s="2216">
        <f>BG56</f>
        <v>0</v>
      </c>
      <c r="BM56" s="509">
        <f t="shared" si="104"/>
        <v>0</v>
      </c>
      <c r="BN56" s="510">
        <f t="shared" si="105"/>
        <v>0</v>
      </c>
      <c r="BO56" s="510">
        <f t="shared" si="106"/>
        <v>0</v>
      </c>
      <c r="BP56" s="511">
        <f t="shared" si="107"/>
        <v>0</v>
      </c>
      <c r="BQ56" s="2247">
        <f>BL56</f>
        <v>0</v>
      </c>
      <c r="BR56" s="87"/>
      <c r="BS56" s="87"/>
      <c r="BT56" s="12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1018"/>
      <c r="CS56" s="1018"/>
      <c r="CT56" s="821"/>
      <c r="CU56" s="12"/>
      <c r="CV56" s="12"/>
      <c r="CW56" s="12"/>
      <c r="CX56" s="12"/>
      <c r="CY56" s="12"/>
      <c r="CZ56" s="91"/>
      <c r="DA56" s="91"/>
      <c r="DB56" s="91"/>
      <c r="DC56" s="91"/>
      <c r="DD56" s="91"/>
      <c r="DE56" s="91"/>
      <c r="DF56" s="12"/>
      <c r="DG56" s="12"/>
      <c r="DH56" s="12"/>
      <c r="DI56" s="12"/>
      <c r="DJ56" s="12"/>
      <c r="DK56" s="12"/>
      <c r="DL56" s="12"/>
      <c r="DM56" s="12"/>
      <c r="DN56" s="12"/>
    </row>
    <row r="57" spans="1:118">
      <c r="A57" s="91"/>
      <c r="B57" s="89"/>
      <c r="C57" s="1245"/>
      <c r="D57" s="87"/>
      <c r="E57" s="145"/>
      <c r="F57" s="146"/>
      <c r="G57" s="146"/>
      <c r="H57" s="147"/>
      <c r="I57" s="89"/>
      <c r="J57" s="145"/>
      <c r="K57" s="146"/>
      <c r="L57" s="146"/>
      <c r="M57" s="147"/>
      <c r="N57" s="89"/>
      <c r="O57" s="145"/>
      <c r="P57" s="146"/>
      <c r="Q57" s="146"/>
      <c r="R57" s="147"/>
      <c r="S57" s="89"/>
      <c r="T57" s="145"/>
      <c r="U57" s="146"/>
      <c r="V57" s="146"/>
      <c r="W57" s="147"/>
      <c r="X57" s="89"/>
      <c r="Y57" s="145"/>
      <c r="Z57" s="146"/>
      <c r="AA57" s="146"/>
      <c r="AB57" s="147"/>
      <c r="AC57" s="89"/>
      <c r="AD57" s="145"/>
      <c r="AE57" s="146"/>
      <c r="AF57" s="146"/>
      <c r="AG57" s="147"/>
      <c r="AH57" s="89"/>
      <c r="AI57" s="145"/>
      <c r="AJ57" s="146"/>
      <c r="AK57" s="146"/>
      <c r="AL57" s="147"/>
      <c r="AM57" s="89"/>
      <c r="AN57" s="145"/>
      <c r="AO57" s="146"/>
      <c r="AP57" s="146"/>
      <c r="AQ57" s="147"/>
      <c r="AR57" s="89"/>
      <c r="AS57" s="145"/>
      <c r="AT57" s="146"/>
      <c r="AU57" s="146"/>
      <c r="AV57" s="147"/>
      <c r="AW57" s="89"/>
      <c r="AX57" s="145"/>
      <c r="AY57" s="146"/>
      <c r="AZ57" s="146"/>
      <c r="BA57" s="147"/>
      <c r="BB57" s="89"/>
      <c r="BC57" s="145"/>
      <c r="BD57" s="146"/>
      <c r="BE57" s="146"/>
      <c r="BF57" s="147"/>
      <c r="BG57" s="89"/>
      <c r="BH57" s="145"/>
      <c r="BI57" s="146"/>
      <c r="BJ57" s="146"/>
      <c r="BK57" s="147"/>
      <c r="BL57" s="89"/>
      <c r="BM57" s="145"/>
      <c r="BN57" s="146"/>
      <c r="BO57" s="146"/>
      <c r="BP57" s="147"/>
      <c r="BQ57" s="1027"/>
      <c r="BR57" s="87"/>
      <c r="BS57" s="87"/>
      <c r="BT57" s="12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1018"/>
      <c r="CS57" s="1018"/>
      <c r="CT57" s="821"/>
      <c r="CU57" s="12"/>
      <c r="CV57" s="12"/>
      <c r="CW57" s="12"/>
      <c r="CX57" s="12"/>
      <c r="CY57" s="12"/>
      <c r="CZ57" s="91"/>
      <c r="DA57" s="91"/>
      <c r="DB57" s="91"/>
      <c r="DC57" s="91"/>
      <c r="DD57" s="91"/>
      <c r="DE57" s="91"/>
      <c r="DF57" s="12"/>
      <c r="DG57" s="12"/>
      <c r="DH57" s="12"/>
      <c r="DI57" s="12"/>
      <c r="DJ57" s="12"/>
      <c r="DK57" s="12"/>
      <c r="DL57" s="12"/>
      <c r="DM57" s="12"/>
      <c r="DN57" s="12"/>
    </row>
    <row r="58" spans="1:118">
      <c r="A58" s="91"/>
      <c r="B58" s="89"/>
      <c r="C58" s="1244" t="s">
        <v>515</v>
      </c>
      <c r="D58" s="87"/>
      <c r="E58" s="145"/>
      <c r="F58" s="146"/>
      <c r="G58" s="146"/>
      <c r="H58" s="147"/>
      <c r="I58" s="89"/>
      <c r="J58" s="145"/>
      <c r="K58" s="146"/>
      <c r="L58" s="146"/>
      <c r="M58" s="147"/>
      <c r="N58" s="849"/>
      <c r="O58" s="145"/>
      <c r="P58" s="146"/>
      <c r="Q58" s="146"/>
      <c r="R58" s="147"/>
      <c r="S58" s="89"/>
      <c r="T58" s="145"/>
      <c r="U58" s="146"/>
      <c r="V58" s="146"/>
      <c r="W58" s="147"/>
      <c r="X58" s="89"/>
      <c r="Y58" s="145"/>
      <c r="Z58" s="146"/>
      <c r="AA58" s="146"/>
      <c r="AB58" s="147"/>
      <c r="AC58" s="89"/>
      <c r="AD58" s="145"/>
      <c r="AE58" s="146"/>
      <c r="AF58" s="146"/>
      <c r="AG58" s="147"/>
      <c r="AH58" s="89"/>
      <c r="AI58" s="145"/>
      <c r="AJ58" s="146"/>
      <c r="AK58" s="146"/>
      <c r="AL58" s="147"/>
      <c r="AM58" s="89"/>
      <c r="AN58" s="145"/>
      <c r="AO58" s="146"/>
      <c r="AP58" s="146"/>
      <c r="AQ58" s="147"/>
      <c r="AR58" s="89"/>
      <c r="AS58" s="145"/>
      <c r="AT58" s="146"/>
      <c r="AU58" s="146"/>
      <c r="AV58" s="147"/>
      <c r="AW58" s="89"/>
      <c r="AX58" s="145"/>
      <c r="AY58" s="146"/>
      <c r="AZ58" s="146"/>
      <c r="BA58" s="147"/>
      <c r="BB58" s="89"/>
      <c r="BC58" s="145"/>
      <c r="BD58" s="146"/>
      <c r="BE58" s="146"/>
      <c r="BF58" s="147"/>
      <c r="BG58" s="89"/>
      <c r="BH58" s="145"/>
      <c r="BI58" s="146"/>
      <c r="BJ58" s="146"/>
      <c r="BK58" s="147"/>
      <c r="BL58" s="89"/>
      <c r="BM58" s="145"/>
      <c r="BN58" s="146"/>
      <c r="BO58" s="146"/>
      <c r="BP58" s="147"/>
      <c r="BQ58" s="1027"/>
      <c r="BR58" s="87"/>
      <c r="BS58" s="87"/>
      <c r="BT58" s="12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1018"/>
      <c r="CS58" s="1018"/>
      <c r="CT58" s="821"/>
      <c r="CU58" s="12"/>
      <c r="CV58" s="12"/>
      <c r="CW58" s="12"/>
      <c r="CX58" s="12"/>
      <c r="CY58" s="12"/>
      <c r="CZ58" s="91"/>
      <c r="DA58" s="91"/>
      <c r="DB58" s="91"/>
      <c r="DC58" s="91"/>
      <c r="DD58" s="91"/>
      <c r="DE58" s="91"/>
      <c r="DF58" s="12"/>
      <c r="DG58" s="12"/>
      <c r="DH58" s="12"/>
      <c r="DI58" s="12"/>
      <c r="DJ58" s="12"/>
      <c r="DK58" s="12"/>
      <c r="DL58" s="12"/>
      <c r="DM58" s="12"/>
      <c r="DN58" s="12"/>
    </row>
    <row r="59" spans="1:118">
      <c r="A59" s="91"/>
      <c r="B59" s="89"/>
      <c r="C59" s="1246" t="s">
        <v>516</v>
      </c>
      <c r="D59" s="87"/>
      <c r="E59" s="145"/>
      <c r="F59" s="146"/>
      <c r="G59" s="146"/>
      <c r="H59" s="147"/>
      <c r="I59" s="89"/>
      <c r="J59" s="145"/>
      <c r="K59" s="146"/>
      <c r="L59" s="146"/>
      <c r="M59" s="147"/>
      <c r="N59" s="849"/>
      <c r="O59" s="342"/>
      <c r="P59" s="150"/>
      <c r="Q59" s="150"/>
      <c r="R59" s="343"/>
      <c r="S59" s="327"/>
      <c r="T59" s="342">
        <f>'Market Prices'!O57</f>
        <v>0.31452380952380965</v>
      </c>
      <c r="U59" s="150">
        <f>'Market Prices'!P57</f>
        <v>0.1599206349206348</v>
      </c>
      <c r="V59" s="150">
        <f>'Market Prices'!Q57</f>
        <v>0.16882539682539655</v>
      </c>
      <c r="W59" s="343">
        <f>'Market Prices'!R57</f>
        <v>0.26892187499999887</v>
      </c>
      <c r="X59" s="327">
        <f>AVERAGE(T59:W59)</f>
        <v>0.22804792906745996</v>
      </c>
      <c r="Y59" s="342">
        <f>+'Market Prices'!S57</f>
        <v>0.819599999999999</v>
      </c>
      <c r="Z59" s="150">
        <f>+'Market Prices'!T57</f>
        <v>0.11882812499999851</v>
      </c>
      <c r="AA59" s="150">
        <f>+'Market Prices'!U57</f>
        <v>-1.3265625000001169E-2</v>
      </c>
      <c r="AB59" s="343">
        <f>+'Market Prices'!V57</f>
        <v>0.14118750000000091</v>
      </c>
      <c r="AC59" s="327">
        <f>AVERAGE(Y59:AB59)</f>
        <v>0.26658749999999931</v>
      </c>
      <c r="AD59" s="342">
        <f>+'Market Prices'!W57</f>
        <v>7.5181639344262283</v>
      </c>
      <c r="AE59" s="150">
        <f>+'Market Prices'!X57</f>
        <v>-0.89420312500000065</v>
      </c>
      <c r="AF59" s="150">
        <f>+'Market Prices'!Y57</f>
        <v>-1.4395156250000012</v>
      </c>
      <c r="AG59" s="343">
        <f>+'Market Prices'!Z57</f>
        <v>-1.017578125</v>
      </c>
      <c r="AH59" s="327">
        <f>AVERAGE(AD59:AG59)</f>
        <v>1.0417167648565566</v>
      </c>
      <c r="AI59" s="342">
        <f>+'Market Prices'!AA57</f>
        <v>3.554258064516127</v>
      </c>
      <c r="AJ59" s="150">
        <f>+'Market Prices'!AB57</f>
        <v>-1.1179206349206339</v>
      </c>
      <c r="AK59" s="150">
        <f>+'Market Prices'!AC57</f>
        <v>-1.3916093749999998</v>
      </c>
      <c r="AL59" s="343">
        <f>+'Market Prices'!AD57</f>
        <v>-0.84366666666666723</v>
      </c>
      <c r="AM59" s="327">
        <f>AVERAGE(AI59:AL59)</f>
        <v>5.0265346982206582E-2</v>
      </c>
      <c r="AN59" s="342">
        <f>+'Market Prices'!AE57</f>
        <v>-0.15401639344262286</v>
      </c>
      <c r="AO59" s="150">
        <f>+'Market Prices'!AF57</f>
        <v>-0.55339062499999958</v>
      </c>
      <c r="AP59" s="150">
        <f>+'Market Prices'!AG57</f>
        <v>-1.5273593749999999</v>
      </c>
      <c r="AQ59" s="343">
        <f>+'Market Prices'!AH57</f>
        <v>-0.79788709677419334</v>
      </c>
      <c r="AR59" s="327">
        <f>AVERAGE(AN59:AQ59)</f>
        <v>-0.75816337255420385</v>
      </c>
      <c r="AS59" s="342">
        <f>+'Market Prices'!AJ57</f>
        <v>-0.56160937500000019</v>
      </c>
      <c r="AT59" s="150">
        <f>+'Market Prices'!AJ57</f>
        <v>-0.56160937500000019</v>
      </c>
      <c r="AU59" s="150">
        <f>+'Market Prices'!AK57</f>
        <v>-1.2109841269841268</v>
      </c>
      <c r="AV59" s="343">
        <f>+'Market Prices'!AL57</f>
        <v>-0.13975806451612982</v>
      </c>
      <c r="AW59" s="327">
        <f>AVERAGE(AS59:AV59)</f>
        <v>-0.61849023537506431</v>
      </c>
      <c r="AX59" s="342">
        <f>+'Market Prices'!AM57</f>
        <v>3.4441967213114757</v>
      </c>
      <c r="AY59" s="150">
        <f>+'Market Prices'!AN57</f>
        <v>-0.46333333333333293</v>
      </c>
      <c r="AZ59" s="150">
        <f>+'Market Prices'!AO57</f>
        <v>-0.59499999999999975</v>
      </c>
      <c r="BA59" s="343">
        <f>+'Market Prices'!AP57</f>
        <v>-0.21666666666666679</v>
      </c>
      <c r="BB59" s="327">
        <f>AVERAGE(AX59:BA59)</f>
        <v>0.54229918032786906</v>
      </c>
      <c r="BC59" s="342">
        <f>+'Market Prices'!AQ57</f>
        <v>0.74457975965344758</v>
      </c>
      <c r="BD59" s="150">
        <f>+'Market Prices'!AR57</f>
        <v>-0.76430483819771866</v>
      </c>
      <c r="BE59" s="150">
        <f>+'Market Prices'!AS57</f>
        <v>-0.78296558457066712</v>
      </c>
      <c r="BF59" s="343">
        <f>+'Market Prices'!AT57</f>
        <v>0.8235214539149398</v>
      </c>
      <c r="BG59" s="327">
        <f>AVERAGE(BC59:BF59)</f>
        <v>5.2076977000004021E-3</v>
      </c>
      <c r="BH59" s="342">
        <f>+'Market Prices'!AU57</f>
        <v>0.64485745238273218</v>
      </c>
      <c r="BI59" s="150">
        <f>+'Market Prices'!AV57</f>
        <v>-0.82982612063011629</v>
      </c>
      <c r="BJ59" s="150">
        <f>+'Market Prices'!AW57</f>
        <v>-0.84922019602346377</v>
      </c>
      <c r="BK59" s="343">
        <f>+'Market Prices'!AX57</f>
        <v>0.71921711267084909</v>
      </c>
      <c r="BL59" s="327">
        <f>AVERAGE(BH59:BK59)</f>
        <v>-7.8742937899999699E-2</v>
      </c>
      <c r="BM59" s="342">
        <f>+'Market Prices'!AY57</f>
        <v>0.48444356495038898</v>
      </c>
      <c r="BN59" s="150">
        <f>+'Market Prices'!AZ57</f>
        <v>-1.0120860120693718</v>
      </c>
      <c r="BO59" s="150">
        <f>+'Market Prices'!BA57</f>
        <v>-1.0319123178597174</v>
      </c>
      <c r="BP59" s="343">
        <f>+'Market Prices'!BB57</f>
        <v>0.55955476497869994</v>
      </c>
      <c r="BQ59" s="1031">
        <f>AVERAGE(BM59:BP59)</f>
        <v>-0.25000000000000011</v>
      </c>
      <c r="BR59" s="87"/>
      <c r="BS59" s="87"/>
      <c r="BT59" s="12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1018"/>
      <c r="CS59" s="1018"/>
      <c r="CT59" s="821"/>
      <c r="CU59" s="12"/>
      <c r="CV59" s="12"/>
      <c r="CW59" s="12"/>
      <c r="CX59" s="12"/>
      <c r="CY59" s="12"/>
      <c r="CZ59" s="91"/>
      <c r="DA59" s="91"/>
      <c r="DB59" s="91"/>
      <c r="DC59" s="91"/>
      <c r="DD59" s="91"/>
      <c r="DE59" s="91"/>
      <c r="DF59" s="12"/>
      <c r="DG59" s="12"/>
      <c r="DH59" s="12"/>
      <c r="DI59" s="12"/>
      <c r="DJ59" s="12"/>
      <c r="DK59" s="12"/>
      <c r="DL59" s="12"/>
      <c r="DM59" s="12"/>
      <c r="DN59" s="12"/>
    </row>
    <row r="60" spans="1:118">
      <c r="A60" s="91"/>
      <c r="B60" s="89"/>
      <c r="C60" s="1246" t="s">
        <v>83</v>
      </c>
      <c r="D60" s="87"/>
      <c r="E60" s="145"/>
      <c r="F60" s="146"/>
      <c r="G60" s="146"/>
      <c r="H60" s="147"/>
      <c r="I60" s="89"/>
      <c r="J60" s="145"/>
      <c r="K60" s="146"/>
      <c r="L60" s="146"/>
      <c r="M60" s="147"/>
      <c r="N60" s="849"/>
      <c r="O60" s="342"/>
      <c r="P60" s="150"/>
      <c r="Q60" s="150"/>
      <c r="R60" s="343"/>
      <c r="S60" s="327"/>
      <c r="T60" s="342">
        <f>'Market Prices'!O59</f>
        <v>0.31452380952380965</v>
      </c>
      <c r="U60" s="150">
        <f>'Market Prices'!P59</f>
        <v>0.1599206349206348</v>
      </c>
      <c r="V60" s="150">
        <f>'Market Prices'!Q59</f>
        <v>0.16882539682539655</v>
      </c>
      <c r="W60" s="343">
        <f>'Market Prices'!R59</f>
        <v>0.26892187499999887</v>
      </c>
      <c r="X60" s="327">
        <f>AVERAGE(T60:W60)</f>
        <v>0.22804792906745996</v>
      </c>
      <c r="Y60" s="342">
        <f>+'Market Prices'!S59</f>
        <v>0.819599999999999</v>
      </c>
      <c r="Z60" s="150">
        <f>+'Market Prices'!T59</f>
        <v>0.11882812499999851</v>
      </c>
      <c r="AA60" s="150">
        <f>+'Market Prices'!U59</f>
        <v>-1.3265625000001169E-2</v>
      </c>
      <c r="AB60" s="343">
        <f>+'Market Prices'!V59</f>
        <v>0.14118750000000091</v>
      </c>
      <c r="AC60" s="327">
        <f>AVERAGE(Y60:AB60)</f>
        <v>0.26658749999999931</v>
      </c>
      <c r="AD60" s="342">
        <f>+'Market Prices'!W59</f>
        <v>7.5181639344262283</v>
      </c>
      <c r="AE60" s="150">
        <f>+'Market Prices'!X59</f>
        <v>-0.89420312500000065</v>
      </c>
      <c r="AF60" s="150">
        <f>+'Market Prices'!Y59</f>
        <v>-1.4395156250000012</v>
      </c>
      <c r="AG60" s="343">
        <f>+'Market Prices'!Z59</f>
        <v>-1.017578125</v>
      </c>
      <c r="AH60" s="327">
        <f>AVERAGE(AD60:AG60)</f>
        <v>1.0417167648565566</v>
      </c>
      <c r="AI60" s="342">
        <f>+'Market Prices'!AA59</f>
        <v>3.554258064516127</v>
      </c>
      <c r="AJ60" s="150">
        <f>+'Market Prices'!AB59</f>
        <v>-1.1179206349206339</v>
      </c>
      <c r="AK60" s="150">
        <f>+'Market Prices'!AC59</f>
        <v>-1.3916093749999998</v>
      </c>
      <c r="AL60" s="343">
        <f>+'Market Prices'!AD59</f>
        <v>-0.84366666666666723</v>
      </c>
      <c r="AM60" s="327">
        <f>AVERAGE(AI60:AL60)</f>
        <v>5.0265346982206582E-2</v>
      </c>
      <c r="AN60" s="342">
        <f>+'Market Prices'!AE59</f>
        <v>-0.15401639344262286</v>
      </c>
      <c r="AO60" s="150">
        <f>+'Market Prices'!AF59</f>
        <v>-0.55339062499999958</v>
      </c>
      <c r="AP60" s="150">
        <f>+'Market Prices'!AG59</f>
        <v>-1.5273593749999999</v>
      </c>
      <c r="AQ60" s="343">
        <f>+'Market Prices'!AH59</f>
        <v>-0.79788709677419334</v>
      </c>
      <c r="AR60" s="327">
        <f>AVERAGE(AN60:AQ60)</f>
        <v>-0.75816337255420385</v>
      </c>
      <c r="AS60" s="342">
        <f>+'Market Prices'!AJ59</f>
        <v>-0.56160937500000019</v>
      </c>
      <c r="AT60" s="150">
        <f>+'Market Prices'!AJ59</f>
        <v>-0.56160937500000019</v>
      </c>
      <c r="AU60" s="150">
        <f>+'Market Prices'!AK59</f>
        <v>-1.2109841269841268</v>
      </c>
      <c r="AV60" s="343">
        <f>+'Market Prices'!AL59</f>
        <v>-0.13975806451612982</v>
      </c>
      <c r="AW60" s="327">
        <f>AVERAGE(AS60:AV60)</f>
        <v>-0.61849023537506431</v>
      </c>
      <c r="AX60" s="342">
        <f>+'Market Prices'!AM59</f>
        <v>3.4441967213114757</v>
      </c>
      <c r="AY60" s="150">
        <f>+'Market Prices'!AN59</f>
        <v>0</v>
      </c>
      <c r="AZ60" s="150">
        <f>+'Market Prices'!AO59</f>
        <v>0</v>
      </c>
      <c r="BA60" s="343">
        <f>+'Market Prices'!AP59</f>
        <v>0</v>
      </c>
      <c r="BB60" s="327">
        <f>AVERAGE(AX60:BA60)</f>
        <v>0.86104918032786892</v>
      </c>
      <c r="BC60" s="342">
        <f>+'Market Prices'!AQ59</f>
        <v>0</v>
      </c>
      <c r="BD60" s="150">
        <f>+'Market Prices'!AR59</f>
        <v>0</v>
      </c>
      <c r="BE60" s="150">
        <f>+'Market Prices'!AS59</f>
        <v>0</v>
      </c>
      <c r="BF60" s="343">
        <f>+'Market Prices'!AT59</f>
        <v>0</v>
      </c>
      <c r="BG60" s="327">
        <f>AVERAGE(BC60:BF60)</f>
        <v>0</v>
      </c>
      <c r="BH60" s="342">
        <f>+'Market Prices'!AU59</f>
        <v>0</v>
      </c>
      <c r="BI60" s="150">
        <f>+'Market Prices'!AV59</f>
        <v>0</v>
      </c>
      <c r="BJ60" s="150">
        <f>+'Market Prices'!AW59</f>
        <v>0</v>
      </c>
      <c r="BK60" s="343">
        <f>+'Market Prices'!AX59</f>
        <v>0</v>
      </c>
      <c r="BL60" s="327">
        <f>AVERAGE(BH60:BK60)</f>
        <v>0</v>
      </c>
      <c r="BM60" s="342">
        <f>+'Market Prices'!AY59</f>
        <v>-0.25</v>
      </c>
      <c r="BN60" s="150">
        <f>+'Market Prices'!AZ59</f>
        <v>-0.25</v>
      </c>
      <c r="BO60" s="150">
        <f>+'Market Prices'!BA59</f>
        <v>-0.25</v>
      </c>
      <c r="BP60" s="343">
        <f>+'Market Prices'!BB59</f>
        <v>-0.25</v>
      </c>
      <c r="BQ60" s="1031">
        <f>AVERAGE(BM60:BP60)</f>
        <v>-0.25</v>
      </c>
      <c r="BR60" s="87"/>
      <c r="BS60" s="87"/>
      <c r="BT60" s="12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1018"/>
      <c r="CS60" s="1018"/>
      <c r="CT60" s="821"/>
      <c r="CU60" s="12"/>
      <c r="CV60" s="12"/>
      <c r="CW60" s="12"/>
      <c r="CX60" s="12"/>
      <c r="CY60" s="12"/>
      <c r="CZ60" s="91"/>
      <c r="DA60" s="91"/>
      <c r="DB60" s="91"/>
      <c r="DC60" s="91"/>
      <c r="DD60" s="91"/>
      <c r="DE60" s="91"/>
      <c r="DF60" s="12"/>
      <c r="DG60" s="12"/>
      <c r="DH60" s="12"/>
      <c r="DI60" s="12"/>
      <c r="DJ60" s="12"/>
      <c r="DK60" s="12"/>
      <c r="DL60" s="12"/>
      <c r="DM60" s="12"/>
      <c r="DN60" s="12"/>
    </row>
    <row r="61" spans="1:118">
      <c r="A61" s="91"/>
      <c r="B61" s="89"/>
      <c r="C61" s="1245"/>
      <c r="D61" s="87"/>
      <c r="E61" s="145"/>
      <c r="F61" s="146"/>
      <c r="G61" s="146"/>
      <c r="H61" s="147"/>
      <c r="I61" s="89"/>
      <c r="J61" s="145"/>
      <c r="K61" s="146"/>
      <c r="L61" s="146"/>
      <c r="M61" s="147"/>
      <c r="N61" s="849"/>
      <c r="O61" s="342"/>
      <c r="P61" s="150"/>
      <c r="Q61" s="150"/>
      <c r="R61" s="343"/>
      <c r="S61" s="327"/>
      <c r="T61" s="342"/>
      <c r="U61" s="150"/>
      <c r="V61" s="150"/>
      <c r="W61" s="343"/>
      <c r="X61" s="327"/>
      <c r="Y61" s="342"/>
      <c r="Z61" s="150"/>
      <c r="AA61" s="150"/>
      <c r="AB61" s="343"/>
      <c r="AC61" s="327"/>
      <c r="AD61" s="342"/>
      <c r="AE61" s="150"/>
      <c r="AF61" s="150"/>
      <c r="AG61" s="343"/>
      <c r="AH61" s="327"/>
      <c r="AI61" s="342"/>
      <c r="AJ61" s="150"/>
      <c r="AK61" s="150"/>
      <c r="AL61" s="343"/>
      <c r="AM61" s="327"/>
      <c r="AN61" s="342"/>
      <c r="AO61" s="150"/>
      <c r="AP61" s="150"/>
      <c r="AQ61" s="343"/>
      <c r="AR61" s="327"/>
      <c r="AS61" s="342"/>
      <c r="AT61" s="150"/>
      <c r="AU61" s="150"/>
      <c r="AV61" s="343"/>
      <c r="AW61" s="327"/>
      <c r="AX61" s="342"/>
      <c r="AY61" s="150"/>
      <c r="AZ61" s="150"/>
      <c r="BA61" s="343"/>
      <c r="BB61" s="327"/>
      <c r="BC61" s="342"/>
      <c r="BD61" s="150"/>
      <c r="BE61" s="150"/>
      <c r="BF61" s="343"/>
      <c r="BG61" s="327"/>
      <c r="BH61" s="342"/>
      <c r="BI61" s="150"/>
      <c r="BJ61" s="150"/>
      <c r="BK61" s="343"/>
      <c r="BL61" s="327"/>
      <c r="BM61" s="342"/>
      <c r="BN61" s="150"/>
      <c r="BO61" s="150"/>
      <c r="BP61" s="343"/>
      <c r="BQ61" s="1031"/>
      <c r="BR61" s="87"/>
      <c r="BS61" s="87"/>
      <c r="BT61" s="12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1018"/>
      <c r="CS61" s="1018"/>
      <c r="CT61" s="821"/>
      <c r="CU61" s="12"/>
      <c r="CV61" s="12"/>
      <c r="CW61" s="12"/>
      <c r="CX61" s="12"/>
      <c r="CY61" s="12"/>
      <c r="CZ61" s="91"/>
      <c r="DA61" s="91"/>
      <c r="DB61" s="91"/>
      <c r="DC61" s="91"/>
      <c r="DD61" s="91"/>
      <c r="DE61" s="91"/>
      <c r="DF61" s="12"/>
      <c r="DG61" s="12"/>
      <c r="DH61" s="12"/>
      <c r="DI61" s="12"/>
      <c r="DJ61" s="12"/>
      <c r="DK61" s="12"/>
      <c r="DL61" s="12"/>
      <c r="DM61" s="12"/>
      <c r="DN61" s="12"/>
    </row>
    <row r="62" spans="1:118">
      <c r="A62" s="91"/>
      <c r="B62" s="89"/>
      <c r="C62" s="1244" t="s">
        <v>517</v>
      </c>
      <c r="D62" s="89"/>
      <c r="E62" s="145"/>
      <c r="F62" s="146"/>
      <c r="G62" s="146"/>
      <c r="H62" s="147"/>
      <c r="I62" s="87"/>
      <c r="J62" s="145"/>
      <c r="K62" s="146"/>
      <c r="L62" s="146"/>
      <c r="M62" s="147"/>
      <c r="N62" s="89"/>
      <c r="O62" s="145"/>
      <c r="P62" s="146"/>
      <c r="Q62" s="146"/>
      <c r="R62" s="147"/>
      <c r="S62" s="89"/>
      <c r="T62" s="145"/>
      <c r="U62" s="146"/>
      <c r="V62" s="146"/>
      <c r="W62" s="147"/>
      <c r="X62" s="327"/>
      <c r="Y62" s="145"/>
      <c r="Z62" s="146"/>
      <c r="AA62" s="146"/>
      <c r="AB62" s="147"/>
      <c r="AC62" s="327"/>
      <c r="AD62" s="145"/>
      <c r="AE62" s="146"/>
      <c r="AF62" s="146"/>
      <c r="AG62" s="147"/>
      <c r="AH62" s="327"/>
      <c r="AI62" s="145"/>
      <c r="AJ62" s="146"/>
      <c r="AK62" s="146"/>
      <c r="AL62" s="147"/>
      <c r="AM62" s="327"/>
      <c r="AN62" s="145"/>
      <c r="AO62" s="146"/>
      <c r="AP62" s="146"/>
      <c r="AQ62" s="147"/>
      <c r="AR62" s="327"/>
      <c r="AS62" s="145"/>
      <c r="AT62" s="146"/>
      <c r="AU62" s="146"/>
      <c r="AV62" s="147"/>
      <c r="AW62" s="327"/>
      <c r="AX62" s="342">
        <f>AX65+0.5</f>
        <v>37.380806131455351</v>
      </c>
      <c r="AY62" s="146">
        <f t="shared" ref="AY62:BA62" si="108">AY65+0.5</f>
        <v>30.736666666666665</v>
      </c>
      <c r="AZ62" s="146">
        <f t="shared" si="108"/>
        <v>31.646250000000002</v>
      </c>
      <c r="BA62" s="147">
        <f t="shared" si="108"/>
        <v>29.972916666666666</v>
      </c>
      <c r="BB62" s="327"/>
      <c r="BC62" s="145"/>
      <c r="BD62" s="146"/>
      <c r="BE62" s="146"/>
      <c r="BF62" s="147"/>
      <c r="BG62" s="327"/>
      <c r="BH62" s="145"/>
      <c r="BI62" s="146"/>
      <c r="BJ62" s="146"/>
      <c r="BK62" s="147"/>
      <c r="BL62" s="327"/>
      <c r="BM62" s="145"/>
      <c r="BN62" s="146"/>
      <c r="BO62" s="146"/>
      <c r="BP62" s="147"/>
      <c r="BQ62" s="1027"/>
      <c r="BR62" s="87"/>
      <c r="BS62" s="87"/>
      <c r="BT62" s="12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1018"/>
      <c r="CS62" s="1018"/>
      <c r="CT62" s="821"/>
      <c r="CU62" s="12"/>
      <c r="CV62" s="12"/>
      <c r="CW62" s="12"/>
      <c r="CX62" s="12"/>
      <c r="CY62" s="12"/>
      <c r="CZ62" s="91"/>
      <c r="DA62" s="91"/>
      <c r="DB62" s="91"/>
      <c r="DC62" s="91"/>
      <c r="DD62" s="91"/>
      <c r="DE62" s="91"/>
      <c r="DF62" s="12"/>
      <c r="DG62" s="12"/>
      <c r="DH62" s="12"/>
      <c r="DI62" s="12"/>
      <c r="DJ62" s="12"/>
      <c r="DK62" s="12"/>
      <c r="DL62" s="12"/>
      <c r="DM62" s="12"/>
      <c r="DN62" s="12"/>
    </row>
    <row r="63" spans="1:118">
      <c r="A63" s="91"/>
      <c r="B63" s="89"/>
      <c r="C63" s="1245" t="s">
        <v>527</v>
      </c>
      <c r="D63" s="89"/>
      <c r="E63" s="145"/>
      <c r="F63" s="146"/>
      <c r="G63" s="146"/>
      <c r="H63" s="147"/>
      <c r="I63" s="87"/>
      <c r="J63" s="145"/>
      <c r="K63" s="146"/>
      <c r="L63" s="146"/>
      <c r="M63" s="147"/>
      <c r="N63" s="89"/>
      <c r="O63" s="145"/>
      <c r="P63" s="146"/>
      <c r="Q63" s="146"/>
      <c r="R63" s="147"/>
      <c r="S63" s="89"/>
      <c r="T63" s="342">
        <f t="shared" ref="T63:W64" si="109">(T$60+T$53)*T72/1000+T$56</f>
        <v>32.153772558593758</v>
      </c>
      <c r="U63" s="150">
        <f t="shared" si="109"/>
        <v>34.709669501953115</v>
      </c>
      <c r="V63" s="150">
        <f t="shared" si="109"/>
        <v>44.635360783730164</v>
      </c>
      <c r="W63" s="343">
        <f t="shared" si="109"/>
        <v>38.089502343749999</v>
      </c>
      <c r="X63" s="327">
        <f>AVERAGE(T63:W63)</f>
        <v>37.397076297006763</v>
      </c>
      <c r="Y63" s="342">
        <f t="shared" ref="Y63:AB64" si="110">(Y$60+Y$53)*Y72/1000+Y$56</f>
        <v>38.017161944444446</v>
      </c>
      <c r="Z63" s="150">
        <f t="shared" si="110"/>
        <v>41.806956083984382</v>
      </c>
      <c r="AA63" s="150">
        <f t="shared" si="110"/>
        <v>41.772417763671875</v>
      </c>
      <c r="AB63" s="343">
        <f t="shared" si="110"/>
        <v>36.018476103515624</v>
      </c>
      <c r="AC63" s="327">
        <f>AVERAGE(Y63:AB63)</f>
        <v>39.403752973904076</v>
      </c>
      <c r="AD63" s="342">
        <f t="shared" ref="AD63:AG64" si="111">(AD$60+AD$53)*AD72/1000+AD$56</f>
        <v>79.351583283730164</v>
      </c>
      <c r="AE63" s="150">
        <f t="shared" si="111"/>
        <v>50.487840683593753</v>
      </c>
      <c r="AF63" s="150">
        <f t="shared" si="111"/>
        <v>38.234623320312501</v>
      </c>
      <c r="AG63" s="343">
        <f t="shared" si="111"/>
        <v>40.068190000000001</v>
      </c>
      <c r="AH63" s="327">
        <f>AVERAGE(AD63:AG63)</f>
        <v>52.035559321909105</v>
      </c>
      <c r="AI63" s="342">
        <f t="shared" ref="AI63:AL64" si="112">(AI$60+AI$53)*AI72/1000+AI$56</f>
        <v>43.107304533730151</v>
      </c>
      <c r="AJ63" s="150">
        <f t="shared" si="112"/>
        <v>36.571755771484376</v>
      </c>
      <c r="AK63" s="150">
        <f t="shared" si="112"/>
        <v>35.906114451923074</v>
      </c>
      <c r="AL63" s="343">
        <f t="shared" si="112"/>
        <v>30.830603544921878</v>
      </c>
      <c r="AM63" s="327">
        <f>AVERAGE(AI63:AL63)</f>
        <v>36.603944575514873</v>
      </c>
      <c r="AN63" s="342">
        <f t="shared" ref="AN63:AQ64" si="113">(AN$60+AN$53)*AN72/1000+AN$56</f>
        <v>27.466274697265618</v>
      </c>
      <c r="AO63" s="150">
        <f t="shared" si="113"/>
        <v>31.331062939453115</v>
      </c>
      <c r="AP63" s="150">
        <f t="shared" si="113"/>
        <v>37.764263886718759</v>
      </c>
      <c r="AQ63" s="343">
        <f t="shared" si="113"/>
        <v>32.442105446428577</v>
      </c>
      <c r="AR63" s="327">
        <f>AVERAGE(AN63:AQ63)</f>
        <v>32.250926742466518</v>
      </c>
      <c r="AS63" s="342">
        <f t="shared" ref="AS63" si="114">(AS$60+AS$53)*AS72/1000+AS$56</f>
        <v>33.05749094726562</v>
      </c>
      <c r="AT63" s="150">
        <f t="shared" ref="AT63:AT64" si="115">(AT$60+AT$53)*AT72/1000+AT$56</f>
        <v>33.05749094726562</v>
      </c>
      <c r="AU63" s="150">
        <f t="shared" ref="AU63:AV63" si="116">(AU$60+AU$53)*AU72/1000+AU$56</f>
        <v>36.590803630952379</v>
      </c>
      <c r="AV63" s="343">
        <f t="shared" si="116"/>
        <v>32.10412905753968</v>
      </c>
      <c r="AW63" s="327">
        <f>AVERAGE(AS63:AV63)</f>
        <v>33.702478645755825</v>
      </c>
      <c r="AX63" s="342">
        <f t="shared" ref="AX63:BA64" si="117">(AX$60+AX$53)*AX72/1000+AX$56</f>
        <v>39.582188720703115</v>
      </c>
      <c r="AY63" s="150">
        <f t="shared" si="117"/>
        <v>35.416666666666664</v>
      </c>
      <c r="AZ63" s="150">
        <f t="shared" si="117"/>
        <v>37.699999999999996</v>
      </c>
      <c r="BA63" s="343">
        <f t="shared" si="117"/>
        <v>34.06666666666667</v>
      </c>
      <c r="BB63" s="327">
        <f>AVERAGE(AX63:BA63)</f>
        <v>36.69138051350911</v>
      </c>
      <c r="BC63" s="342">
        <f t="shared" ref="BC63:BF64" si="118">(BC$60+BC$53)*BC72/1000+BC$56</f>
        <v>37.104731797582922</v>
      </c>
      <c r="BD63" s="150">
        <f t="shared" si="118"/>
        <v>31.217090858976206</v>
      </c>
      <c r="BE63" s="150">
        <f t="shared" si="118"/>
        <v>33.846064219263162</v>
      </c>
      <c r="BF63" s="343">
        <f t="shared" si="118"/>
        <v>36.098779790577716</v>
      </c>
      <c r="BG63" s="327">
        <f>AVERAGE(BC63:BF63)</f>
        <v>34.5666666666</v>
      </c>
      <c r="BH63" s="342">
        <f t="shared" ref="BH63:BK64" si="119">(BH$60+BH$53)*BH72/1000+BH$56</f>
        <v>36.757952834841532</v>
      </c>
      <c r="BI63" s="150">
        <f t="shared" si="119"/>
        <v>30.925337493207795</v>
      </c>
      <c r="BJ63" s="150">
        <f t="shared" si="119"/>
        <v>33.52974060030094</v>
      </c>
      <c r="BK63" s="343">
        <f t="shared" si="119"/>
        <v>35.761402404849747</v>
      </c>
      <c r="BL63" s="327">
        <f>AVERAGE(BH63:BK63)</f>
        <v>34.243608333300003</v>
      </c>
      <c r="BM63" s="342">
        <f t="shared" ref="BM63:BP63" si="120">(BM$60+BM$53)*BM72/1000+BM$56</f>
        <v>36.037500000000009</v>
      </c>
      <c r="BN63" s="150">
        <f t="shared" si="120"/>
        <v>36.037500000000009</v>
      </c>
      <c r="BO63" s="150">
        <f t="shared" si="120"/>
        <v>36.037500000000009</v>
      </c>
      <c r="BP63" s="343">
        <f t="shared" si="120"/>
        <v>36.037500000000009</v>
      </c>
      <c r="BQ63" s="1031">
        <f>AVERAGE(BM63:BP63)</f>
        <v>36.037500000000009</v>
      </c>
      <c r="BR63" s="1164"/>
      <c r="BS63" s="508"/>
      <c r="BT63" s="24"/>
      <c r="BU63" s="507"/>
      <c r="BV63" s="508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1018"/>
      <c r="CS63" s="1018"/>
      <c r="CT63" s="821"/>
      <c r="CU63" s="12"/>
      <c r="CV63" s="12"/>
      <c r="CW63" s="12"/>
      <c r="CX63" s="12"/>
      <c r="CY63" s="12"/>
      <c r="CZ63" s="91"/>
      <c r="DA63" s="91"/>
      <c r="DB63" s="91"/>
      <c r="DC63" s="91"/>
      <c r="DD63" s="91"/>
      <c r="DE63" s="91"/>
      <c r="DF63" s="12"/>
      <c r="DG63" s="12"/>
      <c r="DH63" s="12"/>
      <c r="DI63" s="12"/>
      <c r="DJ63" s="12"/>
      <c r="DK63" s="12"/>
      <c r="DL63" s="12"/>
      <c r="DM63" s="12"/>
      <c r="DN63" s="12"/>
    </row>
    <row r="64" spans="1:118">
      <c r="A64" s="91"/>
      <c r="B64" s="89"/>
      <c r="C64" s="1245" t="s">
        <v>528</v>
      </c>
      <c r="D64" s="89"/>
      <c r="E64" s="145"/>
      <c r="F64" s="146"/>
      <c r="G64" s="146"/>
      <c r="H64" s="147"/>
      <c r="I64" s="87"/>
      <c r="J64" s="145"/>
      <c r="K64" s="146"/>
      <c r="L64" s="146"/>
      <c r="M64" s="147"/>
      <c r="N64" s="89"/>
      <c r="O64" s="145"/>
      <c r="P64" s="146"/>
      <c r="Q64" s="146"/>
      <c r="R64" s="147"/>
      <c r="S64" s="89"/>
      <c r="T64" s="342">
        <f t="shared" si="109"/>
        <v>25.678486559862229</v>
      </c>
      <c r="U64" s="150">
        <f t="shared" si="109"/>
        <v>21.65716656639195</v>
      </c>
      <c r="V64" s="150">
        <f t="shared" si="109"/>
        <v>25.599582818840567</v>
      </c>
      <c r="W64" s="343">
        <f t="shared" si="109"/>
        <v>29.691809545561604</v>
      </c>
      <c r="X64" s="327">
        <f>AVERAGE(T64:W64)</f>
        <v>25.656761372664086</v>
      </c>
      <c r="Y64" s="342">
        <f t="shared" si="110"/>
        <v>30.712843264895323</v>
      </c>
      <c r="Z64" s="150">
        <f t="shared" si="110"/>
        <v>28.683858509157513</v>
      </c>
      <c r="AA64" s="150">
        <f t="shared" si="110"/>
        <v>26.28979776539855</v>
      </c>
      <c r="AB64" s="343">
        <f t="shared" si="110"/>
        <v>28.58454812028986</v>
      </c>
      <c r="AC64" s="327">
        <f>AVERAGE(Y64:AB64)</f>
        <v>28.567761914935311</v>
      </c>
      <c r="AD64" s="342">
        <f t="shared" si="111"/>
        <v>55.582024361513675</v>
      </c>
      <c r="AE64" s="150">
        <f t="shared" si="111"/>
        <v>30.848939755952369</v>
      </c>
      <c r="AF64" s="150">
        <f t="shared" si="111"/>
        <v>26.474229680253622</v>
      </c>
      <c r="AG64" s="343">
        <f t="shared" si="111"/>
        <v>30.106497532518123</v>
      </c>
      <c r="AH64" s="327">
        <f>AVERAGE(AD64:AG64)</f>
        <v>35.752922832559449</v>
      </c>
      <c r="AI64" s="342">
        <f t="shared" si="112"/>
        <v>33.672197658071667</v>
      </c>
      <c r="AJ64" s="150">
        <f t="shared" si="112"/>
        <v>24.408332260531143</v>
      </c>
      <c r="AK64" s="150">
        <f t="shared" si="112"/>
        <v>22.758183921195634</v>
      </c>
      <c r="AL64" s="343">
        <f t="shared" si="112"/>
        <v>22.005480128297094</v>
      </c>
      <c r="AM64" s="327">
        <f>AVERAGE(AI64:AL64)</f>
        <v>25.711048492023885</v>
      </c>
      <c r="AN64" s="342">
        <f t="shared" si="113"/>
        <v>21.940509499422674</v>
      </c>
      <c r="AO64" s="150">
        <f t="shared" si="113"/>
        <v>21.194626118131868</v>
      </c>
      <c r="AP64" s="150">
        <f t="shared" si="113"/>
        <v>22.397125852355067</v>
      </c>
      <c r="AQ64" s="343">
        <f t="shared" si="113"/>
        <v>25.119274915036236</v>
      </c>
      <c r="AR64" s="327">
        <f>AVERAGE(AN64:AQ64)</f>
        <v>22.662884096236461</v>
      </c>
      <c r="AS64" s="342">
        <f t="shared" ref="AS64" si="121">(AS$60+AS$53)*AS73/1000+AS$56</f>
        <v>22.558270758241754</v>
      </c>
      <c r="AT64" s="150">
        <f t="shared" si="115"/>
        <v>22.558270758241754</v>
      </c>
      <c r="AU64" s="150">
        <f t="shared" ref="AU64:AV64" si="122">(AU$60+AU$53)*AU73/1000+AU$56</f>
        <v>22.753793536231882</v>
      </c>
      <c r="AV64" s="343">
        <f t="shared" si="122"/>
        <v>26.193597912862309</v>
      </c>
      <c r="AW64" s="327">
        <f>AVERAGE(AS64:AV64)</f>
        <v>23.515983241394423</v>
      </c>
      <c r="AX64" s="342">
        <f t="shared" si="117"/>
        <v>34.436698074516897</v>
      </c>
      <c r="AY64" s="150">
        <f t="shared" si="117"/>
        <v>25.55</v>
      </c>
      <c r="AZ64" s="150">
        <f t="shared" si="117"/>
        <v>25.216666666666669</v>
      </c>
      <c r="BA64" s="343">
        <f t="shared" si="117"/>
        <v>25.316666666666663</v>
      </c>
      <c r="BB64" s="327">
        <f>AVERAGE(AX64:BA64)</f>
        <v>27.630007851962556</v>
      </c>
      <c r="BC64" s="342">
        <f t="shared" si="118"/>
        <v>30.065523917280853</v>
      </c>
      <c r="BD64" s="150">
        <f t="shared" si="118"/>
        <v>21.597016408139442</v>
      </c>
      <c r="BE64" s="150">
        <f t="shared" si="118"/>
        <v>21.984059712944806</v>
      </c>
      <c r="BF64" s="343">
        <f t="shared" si="118"/>
        <v>28.678033294834901</v>
      </c>
      <c r="BG64" s="327">
        <f>AVERAGE(BC64:BF64)</f>
        <v>25.581158333300003</v>
      </c>
      <c r="BH64" s="342">
        <f t="shared" si="119"/>
        <v>29.607950419373289</v>
      </c>
      <c r="BI64" s="150">
        <f t="shared" si="119"/>
        <v>21.26832689754157</v>
      </c>
      <c r="BJ64" s="150">
        <f t="shared" si="119"/>
        <v>21.649479709325476</v>
      </c>
      <c r="BK64" s="343">
        <f t="shared" si="119"/>
        <v>28.241576306959672</v>
      </c>
      <c r="BL64" s="327">
        <f>AVERAGE(BH64:BK64)</f>
        <v>25.191833333300004</v>
      </c>
      <c r="BM64" s="342">
        <f t="shared" ref="BM64:BP64" si="123">(BM$60+BM$53)*BM73/1000+BM$56</f>
        <v>24.652542559116636</v>
      </c>
      <c r="BN64" s="150">
        <f t="shared" si="123"/>
        <v>20.204139212869443</v>
      </c>
      <c r="BO64" s="150">
        <f t="shared" si="123"/>
        <v>20.298065443561722</v>
      </c>
      <c r="BP64" s="343">
        <f t="shared" si="123"/>
        <v>22.651445725230079</v>
      </c>
      <c r="BQ64" s="1031">
        <f>AVERAGE(BM64:BP64)</f>
        <v>21.951548235194469</v>
      </c>
      <c r="BR64" s="87"/>
      <c r="BS64" s="87"/>
      <c r="BT64" s="12"/>
      <c r="BU64" s="91"/>
      <c r="BV64" s="507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1018"/>
      <c r="CS64" s="1018"/>
      <c r="CT64" s="821"/>
      <c r="CU64" s="12"/>
      <c r="CV64" s="12"/>
      <c r="CW64" s="12"/>
      <c r="CX64" s="12"/>
      <c r="CY64" s="12"/>
      <c r="CZ64" s="91"/>
      <c r="DA64" s="91"/>
      <c r="DB64" s="91"/>
      <c r="DC64" s="91"/>
      <c r="DD64" s="91"/>
      <c r="DE64" s="91"/>
      <c r="DF64" s="12"/>
      <c r="DG64" s="12"/>
      <c r="DH64" s="12"/>
      <c r="DI64" s="12"/>
      <c r="DJ64" s="12"/>
      <c r="DK64" s="12"/>
      <c r="DL64" s="12"/>
      <c r="DM64" s="12"/>
      <c r="DN64" s="12"/>
    </row>
    <row r="65" spans="1:118">
      <c r="A65" s="91"/>
      <c r="B65" s="89"/>
      <c r="C65" s="1245" t="s">
        <v>529</v>
      </c>
      <c r="D65" s="89"/>
      <c r="E65" s="145"/>
      <c r="F65" s="146"/>
      <c r="G65" s="146"/>
      <c r="H65" s="147"/>
      <c r="I65" s="87"/>
      <c r="J65" s="145"/>
      <c r="K65" s="146"/>
      <c r="L65" s="146"/>
      <c r="M65" s="147"/>
      <c r="N65" s="89"/>
      <c r="O65" s="145"/>
      <c r="P65" s="146"/>
      <c r="Q65" s="146"/>
      <c r="R65" s="147"/>
      <c r="S65" s="89"/>
      <c r="T65" s="342">
        <f t="shared" ref="T65:AR65" si="124">T63*47.5%+T64*52.5%</f>
        <v>28.754247409259705</v>
      </c>
      <c r="U65" s="150">
        <f t="shared" si="124"/>
        <v>27.857105460783501</v>
      </c>
      <c r="V65" s="150">
        <f t="shared" si="124"/>
        <v>34.641577352163125</v>
      </c>
      <c r="W65" s="343">
        <f t="shared" si="124"/>
        <v>33.680713624701092</v>
      </c>
      <c r="X65" s="327">
        <f t="shared" si="124"/>
        <v>31.233410961726857</v>
      </c>
      <c r="Y65" s="342">
        <f t="shared" si="124"/>
        <v>34.182394637681156</v>
      </c>
      <c r="Z65" s="150">
        <f>Z63*47.5%+Z64*52.5%</f>
        <v>34.917329857200279</v>
      </c>
      <c r="AA65" s="150">
        <f t="shared" si="124"/>
        <v>33.644042264578374</v>
      </c>
      <c r="AB65" s="343">
        <f t="shared" si="124"/>
        <v>32.115663912322098</v>
      </c>
      <c r="AC65" s="327">
        <f t="shared" si="124"/>
        <v>33.714857667945473</v>
      </c>
      <c r="AD65" s="342">
        <f t="shared" si="124"/>
        <v>66.872564849566501</v>
      </c>
      <c r="AE65" s="150">
        <f t="shared" si="124"/>
        <v>40.177417696582026</v>
      </c>
      <c r="AF65" s="150">
        <f t="shared" si="124"/>
        <v>32.060416659281586</v>
      </c>
      <c r="AG65" s="343">
        <f t="shared" si="124"/>
        <v>34.838301454572012</v>
      </c>
      <c r="AH65" s="327">
        <f t="shared" si="124"/>
        <v>43.487175165000536</v>
      </c>
      <c r="AI65" s="342">
        <f>AI63*47.5%+AI64*52.5%</f>
        <v>38.153873424009447</v>
      </c>
      <c r="AJ65" s="150">
        <f t="shared" si="124"/>
        <v>30.185958428233931</v>
      </c>
      <c r="AK65" s="150">
        <f t="shared" si="124"/>
        <v>29.003450923291169</v>
      </c>
      <c r="AL65" s="343">
        <f t="shared" si="124"/>
        <v>26.197413751193867</v>
      </c>
      <c r="AM65" s="327">
        <f>AM63*47.5%+AM64*52.5%</f>
        <v>30.885174131682106</v>
      </c>
      <c r="AN65" s="342">
        <f>AN63*47.5%+AN64*52.5%</f>
        <v>24.565247968398072</v>
      </c>
      <c r="AO65" s="150">
        <f>AO63*47.5%+AO64*52.5%</f>
        <v>26.00943360825946</v>
      </c>
      <c r="AP65" s="150">
        <f t="shared" ref="AP65" si="125">AP63*47.5%+AP64*52.5%</f>
        <v>29.69651641867782</v>
      </c>
      <c r="AQ65" s="343">
        <f>AQ63*47.5%+AQ64*52.5%</f>
        <v>28.597619417447596</v>
      </c>
      <c r="AR65" s="327">
        <f t="shared" si="124"/>
        <v>27.21720435319574</v>
      </c>
      <c r="AS65" s="342">
        <f>AS63*47.5%+AS64*52.5%</f>
        <v>27.545400348028089</v>
      </c>
      <c r="AT65" s="150">
        <f t="shared" ref="AT65:BB65" si="126">AT63*47.5%+AT64*52.5%</f>
        <v>27.545400348028089</v>
      </c>
      <c r="AU65" s="150">
        <f t="shared" ref="AU65" si="127">AU63*47.5%+AU64*52.5%</f>
        <v>29.326373331224119</v>
      </c>
      <c r="AV65" s="343">
        <f>AV63*47.5%+AV64*52.5%</f>
        <v>29.001100206584063</v>
      </c>
      <c r="AW65" s="327">
        <f t="shared" ref="AW65" si="128">AW63*47.5%+AW64*52.5%</f>
        <v>28.354568558466088</v>
      </c>
      <c r="AX65" s="342">
        <f t="shared" si="126"/>
        <v>36.880806131455351</v>
      </c>
      <c r="AY65" s="150">
        <f t="shared" si="126"/>
        <v>30.236666666666665</v>
      </c>
      <c r="AZ65" s="150">
        <f t="shared" si="126"/>
        <v>31.146250000000002</v>
      </c>
      <c r="BA65" s="343">
        <f t="shared" si="126"/>
        <v>29.472916666666666</v>
      </c>
      <c r="BB65" s="327">
        <f t="shared" si="126"/>
        <v>31.93415986619717</v>
      </c>
      <c r="BC65" s="342">
        <f t="shared" ref="BC65:BL65" si="129">BC63*47.5%+BC64*52.5%</f>
        <v>33.409147660424338</v>
      </c>
      <c r="BD65" s="150">
        <f t="shared" si="129"/>
        <v>26.166551772286908</v>
      </c>
      <c r="BE65" s="150">
        <f t="shared" si="129"/>
        <v>27.618511853446023</v>
      </c>
      <c r="BF65" s="343">
        <f t="shared" si="129"/>
        <v>32.202887880312737</v>
      </c>
      <c r="BG65" s="327">
        <f t="shared" si="129"/>
        <v>29.849274791617503</v>
      </c>
      <c r="BH65" s="342">
        <f t="shared" si="129"/>
        <v>33.004201566720702</v>
      </c>
      <c r="BI65" s="150">
        <f t="shared" si="129"/>
        <v>25.855406930483028</v>
      </c>
      <c r="BJ65" s="150">
        <f t="shared" si="129"/>
        <v>27.292603632538821</v>
      </c>
      <c r="BK65" s="343">
        <f t="shared" si="129"/>
        <v>31.813493703457461</v>
      </c>
      <c r="BL65" s="327">
        <f t="shared" si="129"/>
        <v>29.491426458300005</v>
      </c>
      <c r="BM65" s="342">
        <f t="shared" ref="BM65:BQ65" si="130">BM63*47.5%+BM64*52.5%</f>
        <v>30.060397343536238</v>
      </c>
      <c r="BN65" s="150">
        <f t="shared" si="130"/>
        <v>27.724985586756461</v>
      </c>
      <c r="BO65" s="150">
        <f t="shared" si="130"/>
        <v>27.774296857869906</v>
      </c>
      <c r="BP65" s="343">
        <f t="shared" si="130"/>
        <v>29.009821505745798</v>
      </c>
      <c r="BQ65" s="1031">
        <f t="shared" si="130"/>
        <v>28.642375323477101</v>
      </c>
      <c r="BR65" s="508"/>
      <c r="BS65" s="87"/>
      <c r="BT65" s="12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1018"/>
      <c r="CS65" s="1018"/>
      <c r="CT65" s="821"/>
      <c r="CU65" s="12"/>
      <c r="CV65" s="12"/>
      <c r="CW65" s="12"/>
      <c r="CX65" s="12"/>
      <c r="CY65" s="12"/>
      <c r="CZ65" s="91"/>
      <c r="DA65" s="91"/>
      <c r="DB65" s="91"/>
      <c r="DC65" s="91"/>
      <c r="DD65" s="91"/>
      <c r="DE65" s="91"/>
      <c r="DF65" s="12"/>
      <c r="DG65" s="12"/>
      <c r="DH65" s="12"/>
      <c r="DI65" s="12"/>
      <c r="DJ65" s="12"/>
      <c r="DK65" s="12"/>
      <c r="DL65" s="12"/>
      <c r="DM65" s="12"/>
      <c r="DN65" s="12"/>
    </row>
    <row r="66" spans="1:118">
      <c r="A66" s="91"/>
      <c r="B66" s="89"/>
      <c r="C66" s="1245"/>
      <c r="D66" s="89"/>
      <c r="E66" s="145"/>
      <c r="F66" s="146"/>
      <c r="G66" s="146"/>
      <c r="H66" s="147"/>
      <c r="I66" s="87"/>
      <c r="J66" s="145"/>
      <c r="K66" s="146"/>
      <c r="L66" s="146"/>
      <c r="M66" s="147"/>
      <c r="N66" s="89"/>
      <c r="O66" s="145"/>
      <c r="P66" s="146"/>
      <c r="Q66" s="146"/>
      <c r="R66" s="147"/>
      <c r="S66" s="89"/>
      <c r="T66" s="342"/>
      <c r="U66" s="150"/>
      <c r="V66" s="150"/>
      <c r="W66" s="343"/>
      <c r="X66" s="327"/>
      <c r="Y66" s="145"/>
      <c r="Z66" s="146"/>
      <c r="AA66" s="146"/>
      <c r="AB66" s="147"/>
      <c r="AC66" s="327"/>
      <c r="AD66" s="145"/>
      <c r="AE66" s="146"/>
      <c r="AF66" s="146"/>
      <c r="AG66" s="147"/>
      <c r="AH66" s="327"/>
      <c r="AI66" s="145"/>
      <c r="AJ66" s="146"/>
      <c r="AK66" s="146"/>
      <c r="AL66" s="147"/>
      <c r="AM66" s="327"/>
      <c r="AN66" s="145"/>
      <c r="AO66" s="146"/>
      <c r="AP66" s="146"/>
      <c r="AQ66" s="147"/>
      <c r="AR66" s="327"/>
      <c r="AS66" s="145"/>
      <c r="AT66" s="146"/>
      <c r="AU66" s="146"/>
      <c r="AV66" s="147"/>
      <c r="AW66" s="327"/>
      <c r="AX66" s="145"/>
      <c r="AY66" s="146"/>
      <c r="AZ66" s="146"/>
      <c r="BA66" s="147"/>
      <c r="BB66" s="327"/>
      <c r="BC66" s="145"/>
      <c r="BD66" s="146"/>
      <c r="BE66" s="146"/>
      <c r="BF66" s="147"/>
      <c r="BG66" s="327"/>
      <c r="BH66" s="145"/>
      <c r="BI66" s="146"/>
      <c r="BJ66" s="146"/>
      <c r="BK66" s="147"/>
      <c r="BL66" s="327"/>
      <c r="BM66" s="145"/>
      <c r="BN66" s="146"/>
      <c r="BO66" s="146"/>
      <c r="BP66" s="147"/>
      <c r="BQ66" s="1031"/>
      <c r="BR66" s="87"/>
      <c r="BS66" s="87"/>
      <c r="BT66" s="12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1018"/>
      <c r="CS66" s="1018"/>
      <c r="CT66" s="821"/>
      <c r="CU66" s="12"/>
      <c r="CV66" s="12"/>
      <c r="CW66" s="12"/>
      <c r="CX66" s="12"/>
      <c r="CY66" s="12"/>
      <c r="CZ66" s="91"/>
      <c r="DA66" s="91"/>
      <c r="DB66" s="91"/>
      <c r="DC66" s="91"/>
      <c r="DD66" s="91"/>
      <c r="DE66" s="91"/>
      <c r="DF66" s="12"/>
      <c r="DG66" s="12"/>
      <c r="DH66" s="12"/>
      <c r="DI66" s="12"/>
      <c r="DJ66" s="12"/>
      <c r="DK66" s="12"/>
      <c r="DL66" s="12"/>
      <c r="DM66" s="12"/>
      <c r="DN66" s="12"/>
    </row>
    <row r="67" spans="1:118">
      <c r="A67" s="91"/>
      <c r="B67" s="89"/>
      <c r="C67" s="1245" t="s">
        <v>681</v>
      </c>
      <c r="D67" s="89"/>
      <c r="E67" s="145"/>
      <c r="F67" s="146"/>
      <c r="G67" s="146"/>
      <c r="H67" s="147"/>
      <c r="I67" s="87"/>
      <c r="J67" s="145"/>
      <c r="K67" s="146"/>
      <c r="L67" s="146"/>
      <c r="M67" s="147"/>
      <c r="N67" s="89"/>
      <c r="O67" s="145"/>
      <c r="P67" s="146"/>
      <c r="Q67" s="146"/>
      <c r="R67" s="147"/>
      <c r="S67" s="89"/>
      <c r="T67" s="342">
        <f t="shared" ref="T67:AL67" si="131">(T$59+T$53)*T75/1000+T$56</f>
        <v>34.398327744140623</v>
      </c>
      <c r="U67" s="150">
        <f t="shared" si="131"/>
        <v>38.54343235351562</v>
      </c>
      <c r="V67" s="150">
        <f t="shared" si="131"/>
        <v>48.952091091269828</v>
      </c>
      <c r="W67" s="343">
        <f t="shared" si="131"/>
        <v>41.477144667968737</v>
      </c>
      <c r="X67" s="327">
        <f>AVERAGE(T67:W67)</f>
        <v>40.842748964223702</v>
      </c>
      <c r="Y67" s="342">
        <f t="shared" si="131"/>
        <v>41.997815863095234</v>
      </c>
      <c r="Z67" s="150">
        <f t="shared" si="131"/>
        <v>45.53030431640623</v>
      </c>
      <c r="AA67" s="150">
        <f t="shared" si="131"/>
        <v>48.136464199218771</v>
      </c>
      <c r="AB67" s="343">
        <f t="shared" si="131"/>
        <v>40.193486718750009</v>
      </c>
      <c r="AC67" s="327">
        <f>AVERAGE(Y67:AB67)</f>
        <v>43.964517774367565</v>
      </c>
      <c r="AD67" s="342">
        <f t="shared" si="131"/>
        <v>113.57858770833332</v>
      </c>
      <c r="AE67" s="150">
        <f t="shared" si="131"/>
        <v>50.488559589843781</v>
      </c>
      <c r="AF67" s="150">
        <f t="shared" si="131"/>
        <v>41.389708935546885</v>
      </c>
      <c r="AG67" s="343">
        <f t="shared" si="131"/>
        <v>40.371172851562484</v>
      </c>
      <c r="AH67" s="327">
        <f>AVERAGE(AD67:AG67)</f>
        <v>61.457007271321615</v>
      </c>
      <c r="AI67" s="342">
        <f t="shared" si="131"/>
        <v>56.866776517857161</v>
      </c>
      <c r="AJ67" s="150">
        <f t="shared" si="131"/>
        <v>39.147263818359377</v>
      </c>
      <c r="AK67" s="150">
        <f t="shared" si="131"/>
        <v>39.464831807692292</v>
      </c>
      <c r="AL67" s="343">
        <f t="shared" si="131"/>
        <v>31.895178447265621</v>
      </c>
      <c r="AM67" s="327">
        <f>AVERAGE(AI67:AL67)</f>
        <v>41.843512647793617</v>
      </c>
      <c r="AN67" s="342">
        <f>(AN$59+AN$53)*AN75/1000+AN$56</f>
        <v>30.103148642578116</v>
      </c>
      <c r="AO67" s="150">
        <f t="shared" ref="AO67:AT67" si="132">(AO$59+AO$53)*AO75/1000+AO$56</f>
        <v>32.701806339843749</v>
      </c>
      <c r="AP67" s="150">
        <f t="shared" si="132"/>
        <v>38.936782353515625</v>
      </c>
      <c r="AQ67" s="343">
        <f t="shared" si="132"/>
        <v>33.269796091269853</v>
      </c>
      <c r="AR67" s="327">
        <f>AVERAGE(AN67:AQ67)</f>
        <v>33.752883356801831</v>
      </c>
      <c r="AS67" s="342">
        <f>(AS$59+AS$53)*AS75/1000+AS$56</f>
        <v>32.803312458984372</v>
      </c>
      <c r="AT67" s="150">
        <f t="shared" si="132"/>
        <v>32.803312458984372</v>
      </c>
      <c r="AU67" s="150">
        <f t="shared" ref="AU67:AV67" si="133">(AU$59+AU$53)*AU75/1000+AU$56</f>
        <v>35.491018034722231</v>
      </c>
      <c r="AV67" s="343">
        <f t="shared" si="133"/>
        <v>37.44785995039684</v>
      </c>
      <c r="AW67" s="327">
        <f>AVERAGE(AS67:AV67)</f>
        <v>34.636375725771956</v>
      </c>
      <c r="AX67" s="342">
        <f t="shared" ref="AX67:BA68" si="134">(AX$59+AX$53)*AX75/1000+AX$56</f>
        <v>48.149713212890617</v>
      </c>
      <c r="AY67" s="150">
        <f t="shared" si="134"/>
        <v>34.5</v>
      </c>
      <c r="AZ67" s="150">
        <f t="shared" si="134"/>
        <v>36.9</v>
      </c>
      <c r="BA67" s="343">
        <f t="shared" si="134"/>
        <v>34.68333333333333</v>
      </c>
      <c r="BB67" s="327">
        <f>AVERAGE(AX67:BA67)</f>
        <v>38.55826163655599</v>
      </c>
      <c r="BC67" s="342">
        <f t="shared" ref="BC67:BF68" si="135">(BC$59+BC$53)*BC75/1000+BC$56</f>
        <v>40.501333218824755</v>
      </c>
      <c r="BD67" s="150">
        <f t="shared" si="135"/>
        <v>29.678493986239484</v>
      </c>
      <c r="BE67" s="150">
        <f t="shared" si="135"/>
        <v>32.100602483050345</v>
      </c>
      <c r="BF67" s="343">
        <f t="shared" si="135"/>
        <v>39.002903645085446</v>
      </c>
      <c r="BG67" s="327">
        <f>AVERAGE(BC67:BF67)</f>
        <v>35.320833333300008</v>
      </c>
      <c r="BH67" s="342">
        <f t="shared" ref="BH67:BK68" si="136">(BH$59+BH$53)*BH75/1000+BH$56</f>
        <v>40.405777401430242</v>
      </c>
      <c r="BI67" s="150">
        <f t="shared" si="136"/>
        <v>29.608472766528742</v>
      </c>
      <c r="BJ67" s="150">
        <f t="shared" si="136"/>
        <v>32.024866721648337</v>
      </c>
      <c r="BK67" s="343">
        <f t="shared" si="136"/>
        <v>38.910883110392703</v>
      </c>
      <c r="BL67" s="327">
        <f>AVERAGE(BH67:BK67)</f>
        <v>35.237500000000004</v>
      </c>
      <c r="BM67" s="342">
        <f t="shared" ref="BM67:BP67" si="137">(BM$59+BM$53)*BM75/1000+BM$56</f>
        <v>46.317231850089563</v>
      </c>
      <c r="BN67" s="150">
        <f t="shared" si="137"/>
        <v>24.886928307166592</v>
      </c>
      <c r="BO67" s="150">
        <f t="shared" si="137"/>
        <v>24.603015608248842</v>
      </c>
      <c r="BP67" s="343">
        <f t="shared" si="137"/>
        <v>47.392824234494974</v>
      </c>
      <c r="BQ67" s="1031">
        <f>AVERAGE(BM67:BP67)</f>
        <v>35.79999999999999</v>
      </c>
      <c r="BR67" s="1164"/>
      <c r="BS67" s="87"/>
      <c r="BT67" s="12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1018"/>
      <c r="CS67" s="1018"/>
      <c r="CT67" s="821"/>
      <c r="CU67" s="12"/>
      <c r="CV67" s="12"/>
      <c r="CW67" s="12"/>
      <c r="CX67" s="12"/>
      <c r="CY67" s="12"/>
      <c r="CZ67" s="91"/>
      <c r="DA67" s="91"/>
      <c r="DB67" s="91"/>
      <c r="DC67" s="91"/>
      <c r="DD67" s="91"/>
      <c r="DE67" s="91"/>
      <c r="DF67" s="12"/>
      <c r="DG67" s="12"/>
      <c r="DH67" s="12"/>
      <c r="DI67" s="12"/>
      <c r="DJ67" s="12"/>
      <c r="DK67" s="12"/>
      <c r="DL67" s="12"/>
      <c r="DM67" s="12"/>
      <c r="DN67" s="12"/>
    </row>
    <row r="68" spans="1:118">
      <c r="A68" s="91"/>
      <c r="B68" s="89"/>
      <c r="C68" s="1245" t="s">
        <v>175</v>
      </c>
      <c r="D68" s="89"/>
      <c r="E68" s="145"/>
      <c r="F68" s="146"/>
      <c r="G68" s="146"/>
      <c r="H68" s="147"/>
      <c r="I68" s="87"/>
      <c r="J68" s="145"/>
      <c r="K68" s="146"/>
      <c r="L68" s="146"/>
      <c r="M68" s="147"/>
      <c r="N68" s="89"/>
      <c r="O68" s="145"/>
      <c r="P68" s="146"/>
      <c r="Q68" s="146"/>
      <c r="R68" s="147"/>
      <c r="S68" s="89"/>
      <c r="T68" s="342">
        <f t="shared" ref="T68:AL68" si="138">(T$59+T$53)*T76/1000+T$56</f>
        <v>27.303063772177094</v>
      </c>
      <c r="U68" s="150">
        <f t="shared" si="138"/>
        <v>22.034301452838825</v>
      </c>
      <c r="V68" s="150">
        <f t="shared" si="138"/>
        <v>26.919559772644934</v>
      </c>
      <c r="W68" s="343">
        <f t="shared" si="138"/>
        <v>30.869201327717398</v>
      </c>
      <c r="X68" s="327">
        <f>AVERAGE(T68:W68)</f>
        <v>26.781531581344559</v>
      </c>
      <c r="Y68" s="342">
        <f t="shared" si="138"/>
        <v>33.486062323832535</v>
      </c>
      <c r="Z68" s="150">
        <f t="shared" si="138"/>
        <v>29.612168522893782</v>
      </c>
      <c r="AA68" s="150">
        <f t="shared" si="138"/>
        <v>28.466996774909429</v>
      </c>
      <c r="AB68" s="343">
        <f t="shared" si="138"/>
        <v>31.005893446105066</v>
      </c>
      <c r="AC68" s="327">
        <f>AVERAGE(Y68:AB68)</f>
        <v>30.642780266935201</v>
      </c>
      <c r="AD68" s="342">
        <f t="shared" si="138"/>
        <v>78.280771197463764</v>
      </c>
      <c r="AE68" s="150">
        <f t="shared" si="138"/>
        <v>30.680673397435903</v>
      </c>
      <c r="AF68" s="150">
        <f t="shared" si="138"/>
        <v>27.413026009963776</v>
      </c>
      <c r="AG68" s="343">
        <f t="shared" si="138"/>
        <v>29.952876293025366</v>
      </c>
      <c r="AH68" s="327">
        <f>AVERAGE(AD68:AG68)</f>
        <v>41.581836724472197</v>
      </c>
      <c r="AI68" s="342">
        <f t="shared" si="138"/>
        <v>44.217764477254434</v>
      </c>
      <c r="AJ68" s="150">
        <f t="shared" si="138"/>
        <v>25.028568056318672</v>
      </c>
      <c r="AK68" s="150">
        <f t="shared" si="138"/>
        <v>23.22481523731884</v>
      </c>
      <c r="AL68" s="343">
        <f t="shared" si="138"/>
        <v>22.109061745018124</v>
      </c>
      <c r="AM68" s="327">
        <f>AVERAGE(AI68:AL68)</f>
        <v>28.645052378977518</v>
      </c>
      <c r="AN68" s="342">
        <f>(AN$59+AN$53)*AN76/1000+AN$56</f>
        <v>23.988923446826721</v>
      </c>
      <c r="AO68" s="150">
        <f t="shared" ref="AO68:AT68" si="139">(AO$59+AO$53)*AO76/1000+AO$56</f>
        <v>21.266628026098903</v>
      </c>
      <c r="AP68" s="150">
        <f t="shared" si="139"/>
        <v>22.9101000946558</v>
      </c>
      <c r="AQ68" s="343">
        <f t="shared" si="139"/>
        <v>25.259746692934794</v>
      </c>
      <c r="AR68" s="327">
        <f>AVERAGE(AN68:AQ68)</f>
        <v>23.356349565129054</v>
      </c>
      <c r="AS68" s="342">
        <f>(AS$59+AS$53)*AS76/1000+AS$56</f>
        <v>22.121270426282049</v>
      </c>
      <c r="AT68" s="150">
        <f t="shared" si="139"/>
        <v>22.121270426282049</v>
      </c>
      <c r="AU68" s="150">
        <f t="shared" ref="AU68:AV68" si="140">(AU$59+AU$53)*AU76/1000+AU$56</f>
        <v>21.948979516304348</v>
      </c>
      <c r="AV68" s="343">
        <f t="shared" si="140"/>
        <v>28.679605414130432</v>
      </c>
      <c r="AW68" s="327">
        <f>AVERAGE(AS68:AV68)</f>
        <v>23.717781445749722</v>
      </c>
      <c r="AX68" s="342">
        <f t="shared" si="134"/>
        <v>43.803590137359109</v>
      </c>
      <c r="AY68" s="150">
        <f t="shared" si="134"/>
        <v>24.95</v>
      </c>
      <c r="AZ68" s="150">
        <f t="shared" si="134"/>
        <v>24.783333333333335</v>
      </c>
      <c r="BA68" s="343">
        <f t="shared" si="134"/>
        <v>25.683333333333334</v>
      </c>
      <c r="BB68" s="327">
        <f>AVERAGE(AX68:BA68)</f>
        <v>29.805064201006445</v>
      </c>
      <c r="BC68" s="342">
        <f t="shared" si="135"/>
        <v>32.710239316820804</v>
      </c>
      <c r="BD68" s="150">
        <f t="shared" si="135"/>
        <v>20.631697104333988</v>
      </c>
      <c r="BE68" s="150">
        <f t="shared" si="135"/>
        <v>20.527571740433242</v>
      </c>
      <c r="BF68" s="343">
        <f t="shared" si="135"/>
        <v>31.938458504811976</v>
      </c>
      <c r="BG68" s="327">
        <f>AVERAGE(BC68:BF68)</f>
        <v>26.451991666600001</v>
      </c>
      <c r="BH68" s="342">
        <f t="shared" si="136"/>
        <v>32.33891227956417</v>
      </c>
      <c r="BI68" s="150">
        <f t="shared" si="136"/>
        <v>20.397485826173483</v>
      </c>
      <c r="BJ68" s="150">
        <f t="shared" si="136"/>
        <v>20.29454249467874</v>
      </c>
      <c r="BK68" s="343">
        <f t="shared" si="136"/>
        <v>31.575892732783618</v>
      </c>
      <c r="BL68" s="327">
        <f>AVERAGE(BH68:BK68)</f>
        <v>26.1517083333</v>
      </c>
      <c r="BM68" s="342">
        <f t="shared" ref="BM68:BP68" si="141">(BM$59+BM$53)*BM76/1000+BM$56</f>
        <v>28.731971222365488</v>
      </c>
      <c r="BN68" s="150">
        <f t="shared" si="141"/>
        <v>19.95374749428041</v>
      </c>
      <c r="BO68" s="150">
        <f t="shared" si="141"/>
        <v>19.463077695980385</v>
      </c>
      <c r="BP68" s="343">
        <f t="shared" si="141"/>
        <v>27.287156762167378</v>
      </c>
      <c r="BQ68" s="1031">
        <f>AVERAGE(BM68:BP68)</f>
        <v>23.858988293698417</v>
      </c>
      <c r="BR68" s="87"/>
      <c r="BS68" s="87"/>
      <c r="BT68" s="12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1018"/>
      <c r="CS68" s="1018"/>
      <c r="CT68" s="821"/>
      <c r="CU68" s="12"/>
      <c r="CV68" s="12"/>
      <c r="CW68" s="12"/>
      <c r="CX68" s="12"/>
      <c r="CY68" s="12"/>
      <c r="CZ68" s="91"/>
      <c r="DA68" s="91"/>
      <c r="DB68" s="91"/>
      <c r="DC68" s="91"/>
      <c r="DD68" s="91"/>
      <c r="DE68" s="91"/>
      <c r="DF68" s="12"/>
      <c r="DG68" s="12"/>
      <c r="DH68" s="12"/>
      <c r="DI68" s="12"/>
      <c r="DJ68" s="12"/>
      <c r="DK68" s="12"/>
      <c r="DL68" s="12"/>
      <c r="DM68" s="12"/>
      <c r="DN68" s="12"/>
    </row>
    <row r="69" spans="1:118">
      <c r="A69" s="91"/>
      <c r="B69" s="89"/>
      <c r="C69" s="1245" t="s">
        <v>518</v>
      </c>
      <c r="D69" s="89"/>
      <c r="E69" s="145"/>
      <c r="F69" s="146"/>
      <c r="G69" s="146"/>
      <c r="H69" s="147"/>
      <c r="I69" s="87"/>
      <c r="J69" s="145"/>
      <c r="K69" s="146"/>
      <c r="L69" s="146"/>
      <c r="M69" s="147"/>
      <c r="N69" s="89"/>
      <c r="O69" s="145"/>
      <c r="P69" s="146"/>
      <c r="Q69" s="146"/>
      <c r="R69" s="147"/>
      <c r="S69" s="89"/>
      <c r="T69" s="342">
        <f t="shared" ref="T69:AL69" si="142">T67*47.5%+T68*52.5%</f>
        <v>30.673314158859768</v>
      </c>
      <c r="U69" s="150">
        <f t="shared" si="142"/>
        <v>29.8761386306603</v>
      </c>
      <c r="V69" s="150">
        <f t="shared" si="142"/>
        <v>37.385012148991763</v>
      </c>
      <c r="W69" s="343">
        <f t="shared" si="142"/>
        <v>35.907974414336778</v>
      </c>
      <c r="X69" s="327">
        <f t="shared" si="142"/>
        <v>33.46060983821215</v>
      </c>
      <c r="Y69" s="342">
        <f t="shared" si="142"/>
        <v>37.529145254982318</v>
      </c>
      <c r="Z69" s="150">
        <f>Z67*47.5%+Z68*52.5%</f>
        <v>37.173283024812193</v>
      </c>
      <c r="AA69" s="150">
        <f t="shared" si="142"/>
        <v>37.809993801456365</v>
      </c>
      <c r="AB69" s="343">
        <f t="shared" si="142"/>
        <v>35.370000250611412</v>
      </c>
      <c r="AC69" s="327">
        <f t="shared" si="142"/>
        <v>36.970605582965575</v>
      </c>
      <c r="AD69" s="342">
        <f t="shared" si="142"/>
        <v>95.047234040126796</v>
      </c>
      <c r="AE69" s="150">
        <f t="shared" si="142"/>
        <v>40.089419338829643</v>
      </c>
      <c r="AF69" s="150">
        <f t="shared" si="142"/>
        <v>34.051950399615748</v>
      </c>
      <c r="AG69" s="343">
        <f t="shared" si="142"/>
        <v>34.901567158330494</v>
      </c>
      <c r="AH69" s="327">
        <f t="shared" si="142"/>
        <v>51.022542734225667</v>
      </c>
      <c r="AI69" s="342">
        <f>AI67*47.5%+AI68*52.5%</f>
        <v>50.226045196540731</v>
      </c>
      <c r="AJ69" s="150">
        <f t="shared" si="142"/>
        <v>31.734948543288006</v>
      </c>
      <c r="AK69" s="150">
        <f t="shared" si="142"/>
        <v>30.938823108246229</v>
      </c>
      <c r="AL69" s="343">
        <f t="shared" si="142"/>
        <v>26.757467178585685</v>
      </c>
      <c r="AM69" s="327">
        <f t="shared" ref="AM69:AT69" si="143">AM67*47.5%+AM68*52.5%</f>
        <v>34.914321006665162</v>
      </c>
      <c r="AN69" s="342">
        <f>AN67*47.5%+AN68*52.5%</f>
        <v>26.893180414808633</v>
      </c>
      <c r="AO69" s="150">
        <f t="shared" si="143"/>
        <v>26.698337725127704</v>
      </c>
      <c r="AP69" s="150">
        <f t="shared" si="143"/>
        <v>30.522774167614216</v>
      </c>
      <c r="AQ69" s="343">
        <f t="shared" si="143"/>
        <v>29.064520157143946</v>
      </c>
      <c r="AR69" s="327">
        <f t="shared" si="143"/>
        <v>28.294703116173622</v>
      </c>
      <c r="AS69" s="342">
        <f>AS67*47.5%+AS68*52.5%</f>
        <v>27.195240391815652</v>
      </c>
      <c r="AT69" s="150">
        <f t="shared" si="143"/>
        <v>27.195240391815652</v>
      </c>
      <c r="AU69" s="150">
        <f t="shared" ref="AU69:AW69" si="144">AU67*47.5%+AU68*52.5%</f>
        <v>28.381447812552842</v>
      </c>
      <c r="AV69" s="343">
        <f t="shared" si="144"/>
        <v>32.844526318856978</v>
      </c>
      <c r="AW69" s="327">
        <f t="shared" si="144"/>
        <v>28.904113728760283</v>
      </c>
      <c r="AX69" s="342">
        <f t="shared" ref="AX69:BL69" si="145">AX67*47.5%+AX68*52.5%</f>
        <v>45.867998598236575</v>
      </c>
      <c r="AY69" s="150">
        <f t="shared" si="145"/>
        <v>29.486249999999998</v>
      </c>
      <c r="AZ69" s="150">
        <f t="shared" si="145"/>
        <v>30.53875</v>
      </c>
      <c r="BA69" s="343">
        <f t="shared" si="145"/>
        <v>29.958333333333332</v>
      </c>
      <c r="BB69" s="327">
        <f t="shared" si="145"/>
        <v>33.962832982892479</v>
      </c>
      <c r="BC69" s="342">
        <f t="shared" si="145"/>
        <v>36.411008920272678</v>
      </c>
      <c r="BD69" s="150">
        <f t="shared" si="145"/>
        <v>24.928925623239095</v>
      </c>
      <c r="BE69" s="150">
        <f t="shared" si="145"/>
        <v>26.024761343176365</v>
      </c>
      <c r="BF69" s="343">
        <f t="shared" si="145"/>
        <v>35.294069946441873</v>
      </c>
      <c r="BG69" s="327">
        <f t="shared" si="145"/>
        <v>30.664691458282505</v>
      </c>
      <c r="BH69" s="342">
        <f t="shared" si="145"/>
        <v>36.170673212450552</v>
      </c>
      <c r="BI69" s="150">
        <f t="shared" si="145"/>
        <v>24.77270462284223</v>
      </c>
      <c r="BJ69" s="150">
        <f t="shared" si="145"/>
        <v>25.866446502489296</v>
      </c>
      <c r="BK69" s="343">
        <f t="shared" si="145"/>
        <v>35.060013162147939</v>
      </c>
      <c r="BL69" s="327">
        <f t="shared" si="145"/>
        <v>30.467459374982504</v>
      </c>
      <c r="BM69" s="342">
        <f t="shared" ref="BM69:BQ69" si="146">BM67*47.5%+BM68*52.5%</f>
        <v>37.084970020534421</v>
      </c>
      <c r="BN69" s="150">
        <f t="shared" si="146"/>
        <v>22.297008380401348</v>
      </c>
      <c r="BO69" s="150">
        <f t="shared" si="146"/>
        <v>21.904548204307901</v>
      </c>
      <c r="BP69" s="343">
        <f t="shared" si="146"/>
        <v>36.837348811522986</v>
      </c>
      <c r="BQ69" s="1031">
        <f t="shared" si="146"/>
        <v>29.530968854191663</v>
      </c>
      <c r="BR69" s="508"/>
      <c r="BS69" s="87"/>
      <c r="BT69" s="12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1018"/>
      <c r="CS69" s="1018"/>
      <c r="CT69" s="821"/>
      <c r="CU69" s="12"/>
      <c r="CV69" s="12"/>
      <c r="CW69" s="12"/>
      <c r="CX69" s="12"/>
      <c r="CY69" s="12"/>
      <c r="CZ69" s="91"/>
      <c r="DA69" s="91"/>
      <c r="DB69" s="91"/>
      <c r="DC69" s="91"/>
      <c r="DD69" s="91"/>
      <c r="DE69" s="91"/>
      <c r="DF69" s="12"/>
      <c r="DG69" s="12"/>
      <c r="DH69" s="12"/>
      <c r="DI69" s="12"/>
      <c r="DJ69" s="12"/>
      <c r="DK69" s="12"/>
      <c r="DL69" s="12"/>
      <c r="DM69" s="12"/>
      <c r="DN69" s="12"/>
    </row>
    <row r="70" spans="1:118">
      <c r="A70" s="91"/>
      <c r="B70" s="89"/>
      <c r="C70" s="1245"/>
      <c r="D70" s="89"/>
      <c r="E70" s="145"/>
      <c r="F70" s="146"/>
      <c r="G70" s="146"/>
      <c r="H70" s="147"/>
      <c r="I70" s="87"/>
      <c r="J70" s="145"/>
      <c r="K70" s="146"/>
      <c r="L70" s="146"/>
      <c r="M70" s="147"/>
      <c r="N70" s="89"/>
      <c r="O70" s="145"/>
      <c r="P70" s="146"/>
      <c r="Q70" s="146"/>
      <c r="R70" s="147"/>
      <c r="S70" s="89"/>
      <c r="T70" s="342"/>
      <c r="U70" s="150"/>
      <c r="V70" s="150"/>
      <c r="W70" s="343"/>
      <c r="X70" s="327"/>
      <c r="Y70" s="342"/>
      <c r="Z70" s="150"/>
      <c r="AA70" s="150"/>
      <c r="AB70" s="343"/>
      <c r="AC70" s="327"/>
      <c r="AD70" s="342"/>
      <c r="AE70" s="150"/>
      <c r="AF70" s="150"/>
      <c r="AG70" s="343"/>
      <c r="AH70" s="327"/>
      <c r="AI70" s="342"/>
      <c r="AJ70" s="150"/>
      <c r="AK70" s="150"/>
      <c r="AL70" s="343"/>
      <c r="AM70" s="327"/>
      <c r="AN70" s="342"/>
      <c r="AO70" s="150"/>
      <c r="AP70" s="150"/>
      <c r="AQ70" s="343"/>
      <c r="AR70" s="327"/>
      <c r="AS70" s="342"/>
      <c r="AT70" s="150"/>
      <c r="AU70" s="150"/>
      <c r="AV70" s="343"/>
      <c r="AW70" s="327"/>
      <c r="AX70" s="342"/>
      <c r="AY70" s="150"/>
      <c r="AZ70" s="150"/>
      <c r="BA70" s="343"/>
      <c r="BB70" s="327"/>
      <c r="BC70" s="342"/>
      <c r="BD70" s="150"/>
      <c r="BE70" s="150"/>
      <c r="BF70" s="343"/>
      <c r="BG70" s="327"/>
      <c r="BH70" s="342"/>
      <c r="BI70" s="150"/>
      <c r="BJ70" s="150"/>
      <c r="BK70" s="343"/>
      <c r="BL70" s="327"/>
      <c r="BM70" s="342"/>
      <c r="BN70" s="150"/>
      <c r="BO70" s="150"/>
      <c r="BP70" s="343"/>
      <c r="BQ70" s="1031"/>
      <c r="BR70" s="87"/>
      <c r="BS70" s="87"/>
      <c r="BT70" s="12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1018"/>
      <c r="CS70" s="1018"/>
      <c r="CT70" s="821"/>
      <c r="CU70" s="12"/>
      <c r="CV70" s="12"/>
      <c r="CW70" s="12"/>
      <c r="CX70" s="12"/>
      <c r="CY70" s="12"/>
      <c r="CZ70" s="91"/>
      <c r="DA70" s="91"/>
      <c r="DB70" s="91"/>
      <c r="DC70" s="91"/>
      <c r="DD70" s="91"/>
      <c r="DE70" s="91"/>
      <c r="DF70" s="12"/>
      <c r="DG70" s="12"/>
      <c r="DH70" s="12"/>
      <c r="DI70" s="12"/>
      <c r="DJ70" s="12"/>
      <c r="DK70" s="12"/>
      <c r="DL70" s="12"/>
      <c r="DM70" s="12"/>
      <c r="DN70" s="12"/>
    </row>
    <row r="71" spans="1:118">
      <c r="A71" s="91"/>
      <c r="B71" s="89"/>
      <c r="C71" s="1244" t="s">
        <v>519</v>
      </c>
      <c r="D71" s="89"/>
      <c r="E71" s="145"/>
      <c r="F71" s="146"/>
      <c r="G71" s="146"/>
      <c r="H71" s="147"/>
      <c r="I71" s="87"/>
      <c r="J71" s="145"/>
      <c r="K71" s="146"/>
      <c r="L71" s="146"/>
      <c r="M71" s="147"/>
      <c r="N71" s="89"/>
      <c r="O71" s="145"/>
      <c r="P71" s="146"/>
      <c r="Q71" s="146"/>
      <c r="R71" s="147"/>
      <c r="S71" s="89"/>
      <c r="T71" s="145"/>
      <c r="U71" s="146"/>
      <c r="V71" s="146"/>
      <c r="W71" s="147"/>
      <c r="X71" s="89"/>
      <c r="Y71" s="145"/>
      <c r="Z71" s="146"/>
      <c r="AA71" s="146"/>
      <c r="AB71" s="147"/>
      <c r="AC71" s="89"/>
      <c r="AD71" s="145"/>
      <c r="AE71" s="146"/>
      <c r="AF71" s="146"/>
      <c r="AG71" s="147"/>
      <c r="AH71" s="89"/>
      <c r="AI71" s="145"/>
      <c r="AJ71" s="146"/>
      <c r="AK71" s="146"/>
      <c r="AL71" s="147"/>
      <c r="AM71" s="89"/>
      <c r="AN71" s="145"/>
      <c r="AO71" s="146"/>
      <c r="AP71" s="146"/>
      <c r="AQ71" s="147"/>
      <c r="AR71" s="89"/>
      <c r="AS71" s="145"/>
      <c r="AT71" s="146"/>
      <c r="AU71" s="146"/>
      <c r="AV71" s="147"/>
      <c r="AW71" s="89"/>
      <c r="AX71" s="145"/>
      <c r="AY71" s="146"/>
      <c r="AZ71" s="146"/>
      <c r="BA71" s="147"/>
      <c r="BB71" s="89"/>
      <c r="BC71" s="145"/>
      <c r="BD71" s="146"/>
      <c r="BE71" s="146"/>
      <c r="BF71" s="147"/>
      <c r="BG71" s="89"/>
      <c r="BH71" s="145"/>
      <c r="BI71" s="146"/>
      <c r="BJ71" s="146"/>
      <c r="BK71" s="147"/>
      <c r="BL71" s="89"/>
      <c r="BM71" s="145"/>
      <c r="BN71" s="146"/>
      <c r="BO71" s="146"/>
      <c r="BP71" s="147"/>
      <c r="BQ71" s="1027"/>
      <c r="BR71" s="87"/>
      <c r="BS71" s="87"/>
      <c r="BT71" s="12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1018"/>
      <c r="CS71" s="1018"/>
      <c r="CT71" s="821"/>
      <c r="CU71" s="12"/>
      <c r="CV71" s="12"/>
      <c r="CW71" s="12"/>
      <c r="CX71" s="12"/>
      <c r="CY71" s="12"/>
      <c r="CZ71" s="91"/>
      <c r="DA71" s="91"/>
      <c r="DB71" s="91"/>
      <c r="DC71" s="91"/>
      <c r="DD71" s="91"/>
      <c r="DE71" s="91"/>
      <c r="DF71" s="12"/>
      <c r="DG71" s="12"/>
      <c r="DH71" s="12"/>
      <c r="DI71" s="12"/>
      <c r="DJ71" s="12"/>
      <c r="DK71" s="12"/>
      <c r="DL71" s="12"/>
      <c r="DM71" s="12"/>
      <c r="DN71" s="12"/>
    </row>
    <row r="72" spans="1:118">
      <c r="A72" s="91"/>
      <c r="B72" s="89"/>
      <c r="C72" s="1245" t="s">
        <v>527</v>
      </c>
      <c r="D72" s="89"/>
      <c r="E72" s="145"/>
      <c r="F72" s="146"/>
      <c r="G72" s="146"/>
      <c r="H72" s="147"/>
      <c r="I72" s="87"/>
      <c r="J72" s="145"/>
      <c r="K72" s="146"/>
      <c r="L72" s="146"/>
      <c r="M72" s="147"/>
      <c r="N72" s="89"/>
      <c r="O72" s="145"/>
      <c r="P72" s="146"/>
      <c r="Q72" s="146"/>
      <c r="R72" s="147"/>
      <c r="S72" s="89"/>
      <c r="T72" s="114">
        <f>+'Market Prices'!O84</f>
        <v>11590.193568861898</v>
      </c>
      <c r="U72" s="115">
        <f>+'Market Prices'!P84</f>
        <v>14239.168969349786</v>
      </c>
      <c r="V72" s="115">
        <f>+'Market Prices'!Q84</f>
        <v>14649.640167203261</v>
      </c>
      <c r="W72" s="105">
        <f>+'Market Prices'!R84</f>
        <v>10401.683528262198</v>
      </c>
      <c r="X72" s="113">
        <f>AVERAGE(T72:W72)</f>
        <v>12720.171558419286</v>
      </c>
      <c r="Y72" s="114">
        <f>+'Market Prices'!S84</f>
        <v>8843.8741816001238</v>
      </c>
      <c r="Z72" s="115">
        <f>+'Market Prices'!T84</f>
        <v>10090.605702834497</v>
      </c>
      <c r="AA72" s="115">
        <f>+'Market Prices'!U84</f>
        <v>11784.929103005486</v>
      </c>
      <c r="AB72" s="105">
        <f>+'Market Prices'!V84</f>
        <v>9055.3075246398785</v>
      </c>
      <c r="AC72" s="113">
        <f>AVERAGE(Y72:AB72)</f>
        <v>9943.6791280199977</v>
      </c>
      <c r="AD72" s="114">
        <f>+'Market Prices'!W84</f>
        <v>6250.8834115149521</v>
      </c>
      <c r="AE72" s="115">
        <f>+'Market Prices'!X84</f>
        <v>13598.445413206973</v>
      </c>
      <c r="AF72" s="115">
        <f>+'Market Prices'!Y84</f>
        <v>15115.206481521522</v>
      </c>
      <c r="AG72" s="105">
        <f>+'Market Prices'!Z84</f>
        <v>14526.341739741243</v>
      </c>
      <c r="AH72" s="113">
        <f>AVERAGE(AD72:AG72)</f>
        <v>12372.719261496171</v>
      </c>
      <c r="AI72" s="114">
        <f>+'Market Prices'!AA84</f>
        <v>6685.8777350899572</v>
      </c>
      <c r="AJ72" s="115">
        <f>+'Market Prices'!AB84</f>
        <v>22536.074157139941</v>
      </c>
      <c r="AK72" s="115">
        <f>+'Market Prices'!AC84</f>
        <v>26155.148246335953</v>
      </c>
      <c r="AL72" s="105">
        <f>+'Market Prices'!AD84</f>
        <v>23909.989823722273</v>
      </c>
      <c r="AM72" s="113">
        <f>AVERAGE(AI72:AL72)</f>
        <v>19821.772490572032</v>
      </c>
      <c r="AN72" s="114">
        <f>+'Market Prices'!AE84</f>
        <v>14978.836309235272</v>
      </c>
      <c r="AO72" s="115">
        <f>+'Market Prices'!AF84</f>
        <v>19797.287168266088</v>
      </c>
      <c r="AP72" s="115">
        <f>+'Market Prices'!AG84</f>
        <v>28019.254671976272</v>
      </c>
      <c r="AQ72" s="105">
        <f>+'Market Prices'!AH84</f>
        <v>14526.175995021027</v>
      </c>
      <c r="AR72" s="113">
        <f>AVERAGE(AN72:AQ72)</f>
        <v>19330.388536124665</v>
      </c>
      <c r="AS72" s="114">
        <f>+'Market Prices'!AJ84</f>
        <v>13146.418491195038</v>
      </c>
      <c r="AT72" s="115">
        <f>+'Market Prices'!AJ84</f>
        <v>13146.418491195038</v>
      </c>
      <c r="AU72" s="115">
        <f>+'Market Prices'!AK84</f>
        <v>20992.620308985443</v>
      </c>
      <c r="AV72" s="105">
        <f>+'Market Prices'!AL84</f>
        <v>11673.338698911291</v>
      </c>
      <c r="AW72" s="113">
        <f>AVERAGE(AS72:AV72)</f>
        <v>14739.698997571702</v>
      </c>
      <c r="AX72" s="114">
        <f>+'Market Prices'!AM84</f>
        <v>6038.4727262704982</v>
      </c>
      <c r="AY72" s="115">
        <f>+'Market Prices'!AN84</f>
        <v>13216.818012190572</v>
      </c>
      <c r="AZ72" s="115">
        <f>+'Market Prices'!AO84</f>
        <v>13392.53996447602</v>
      </c>
      <c r="BA72" s="105">
        <f>+'Market Prices'!AP84</f>
        <v>11740.379092475589</v>
      </c>
      <c r="BB72" s="113">
        <f>AVERAGE(AX72:BA72)</f>
        <v>11097.05244885317</v>
      </c>
      <c r="BC72" s="114">
        <f>+'Market Prices'!AQ84</f>
        <v>12782.858661912423</v>
      </c>
      <c r="BD72" s="115">
        <f>+'Market Prices'!AR84</f>
        <v>12270.005904552587</v>
      </c>
      <c r="BE72" s="115">
        <f>+'Market Prices'!AS84</f>
        <v>13129.877577825491</v>
      </c>
      <c r="BF72" s="105">
        <f>+'Market Prices'!AT84</f>
        <v>11979.669391553554</v>
      </c>
      <c r="BG72" s="113">
        <f>AVERAGE(BC72:BF72)</f>
        <v>12540.602883961015</v>
      </c>
      <c r="BH72" s="114">
        <f>+'Market Prices'!AU84</f>
        <v>12476.88178267494</v>
      </c>
      <c r="BI72" s="115">
        <f>+'Market Prices'!AV84</f>
        <v>11976.304924654652</v>
      </c>
      <c r="BJ72" s="115">
        <f>+'Market Prices'!AW84</f>
        <v>12815.594280772109</v>
      </c>
      <c r="BK72" s="105">
        <f>+'Market Prices'!AX84</f>
        <v>11692.918051210097</v>
      </c>
      <c r="BL72" s="113">
        <f>AVERAGE(BH72:BK72)</f>
        <v>12240.424759827951</v>
      </c>
      <c r="BM72" s="114">
        <f>+'Market Prices'!AY84</f>
        <v>14415.000000000002</v>
      </c>
      <c r="BN72" s="115">
        <f>+'Market Prices'!AZ84</f>
        <v>14415.000000000002</v>
      </c>
      <c r="BO72" s="115">
        <f>+'Market Prices'!BA84</f>
        <v>14415.000000000002</v>
      </c>
      <c r="BP72" s="105">
        <f>+'Market Prices'!BB84</f>
        <v>14415.000000000002</v>
      </c>
      <c r="BQ72" s="1032">
        <f>AVERAGE(BM72:BP72)</f>
        <v>14415.000000000002</v>
      </c>
      <c r="BR72" s="87"/>
      <c r="BS72" s="87"/>
      <c r="BT72" s="12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1018"/>
      <c r="CS72" s="1018"/>
      <c r="CT72" s="821"/>
      <c r="CU72" s="12"/>
      <c r="CV72" s="12"/>
      <c r="CW72" s="12"/>
      <c r="CX72" s="12"/>
      <c r="CY72" s="12"/>
      <c r="CZ72" s="91"/>
      <c r="DA72" s="91"/>
      <c r="DB72" s="91"/>
      <c r="DC72" s="91"/>
      <c r="DD72" s="91"/>
      <c r="DE72" s="91"/>
      <c r="DF72" s="12"/>
      <c r="DG72" s="12"/>
      <c r="DH72" s="12"/>
      <c r="DI72" s="12"/>
      <c r="DJ72" s="12"/>
      <c r="DK72" s="12"/>
      <c r="DL72" s="12"/>
      <c r="DM72" s="12"/>
      <c r="DN72" s="12"/>
    </row>
    <row r="73" spans="1:118">
      <c r="A73" s="91"/>
      <c r="B73" s="89"/>
      <c r="C73" s="1245" t="s">
        <v>528</v>
      </c>
      <c r="D73" s="89"/>
      <c r="E73" s="145"/>
      <c r="F73" s="146"/>
      <c r="G73" s="146"/>
      <c r="H73" s="147"/>
      <c r="I73" s="87"/>
      <c r="J73" s="145"/>
      <c r="K73" s="146"/>
      <c r="L73" s="146"/>
      <c r="M73" s="147"/>
      <c r="N73" s="89"/>
      <c r="O73" s="145"/>
      <c r="P73" s="146"/>
      <c r="Q73" s="146"/>
      <c r="R73" s="147"/>
      <c r="S73" s="89"/>
      <c r="T73" s="114">
        <f>+'Market Prices'!O102</f>
        <v>9256.1029733562991</v>
      </c>
      <c r="U73" s="115">
        <f>+'Market Prices'!P102</f>
        <v>8884.5574896313938</v>
      </c>
      <c r="V73" s="115">
        <f>+'Market Prices'!Q102</f>
        <v>8401.9636033328952</v>
      </c>
      <c r="W73" s="105">
        <f>+'Market Prices'!R102</f>
        <v>8108.3969931427564</v>
      </c>
      <c r="X73" s="113">
        <f>AVERAGE(T73:W73)</f>
        <v>8662.7552648658366</v>
      </c>
      <c r="Y73" s="114">
        <f>+'Market Prices'!S102</f>
        <v>7144.68170956227</v>
      </c>
      <c r="Z73" s="115">
        <f>+'Market Prices'!T102</f>
        <v>6923.1901425772967</v>
      </c>
      <c r="AA73" s="115">
        <f>+'Market Prices'!U102</f>
        <v>7416.937285038297</v>
      </c>
      <c r="AB73" s="105">
        <f>+'Market Prices'!V102</f>
        <v>7186.3638244491658</v>
      </c>
      <c r="AC73" s="113">
        <f>AVERAGE(Y73:AB73)</f>
        <v>7167.7932404067578</v>
      </c>
      <c r="AD73" s="114">
        <f>+'Market Prices'!W102</f>
        <v>4378.4476589144797</v>
      </c>
      <c r="AE73" s="115">
        <f>+'Market Prices'!X102</f>
        <v>8308.8842312669221</v>
      </c>
      <c r="AF73" s="115">
        <f>+'Market Prices'!Y102</f>
        <v>10465.996871575519</v>
      </c>
      <c r="AG73" s="105">
        <f>+'Market Prices'!Z102</f>
        <v>10914.824746114929</v>
      </c>
      <c r="AH73" s="113">
        <f>AVERAGE(AD73:AG73)</f>
        <v>8517.0383769679629</v>
      </c>
      <c r="AI73" s="114">
        <f>+'Market Prices'!AA102</f>
        <v>5222.5069289009616</v>
      </c>
      <c r="AJ73" s="115">
        <f>+'Market Prices'!AB102</f>
        <v>15040.786920718157</v>
      </c>
      <c r="AK73" s="115">
        <f>+'Market Prices'!AC102</f>
        <v>16577.780229416356</v>
      </c>
      <c r="AL73" s="105">
        <f>+'Market Prices'!AD102</f>
        <v>17065.861366193356</v>
      </c>
      <c r="AM73" s="113">
        <f>AVERAGE(AI73:AL73)</f>
        <v>13476.733861307208</v>
      </c>
      <c r="AN73" s="114">
        <f>+'Market Prices'!AE102</f>
        <v>11965.339455583016</v>
      </c>
      <c r="AO73" s="115">
        <f>+'Market Prices'!AF102</f>
        <v>13392.335283854029</v>
      </c>
      <c r="AP73" s="115">
        <f>+'Market Prices'!AG102</f>
        <v>16617.582565885587</v>
      </c>
      <c r="AQ73" s="105">
        <f>+'Market Prices'!AH102</f>
        <v>11247.328225526811</v>
      </c>
      <c r="AR73" s="113">
        <f>AVERAGE(AN73:AQ73)</f>
        <v>13305.646382712363</v>
      </c>
      <c r="AS73" s="114">
        <f>+'Market Prices'!AJ102</f>
        <v>8971.0519258287495</v>
      </c>
      <c r="AT73" s="115">
        <f>+'Market Prices'!AJ102</f>
        <v>8971.0519258287495</v>
      </c>
      <c r="AU73" s="115">
        <f>+'Market Prices'!AK102</f>
        <v>13054.147515117875</v>
      </c>
      <c r="AV73" s="105">
        <f>+'Market Prices'!AL102</f>
        <v>9524.2185088378228</v>
      </c>
      <c r="AW73" s="113">
        <f>AVERAGE(AS73:AV73)</f>
        <v>10130.1174689033</v>
      </c>
      <c r="AX73" s="114">
        <f>+'Market Prices'!AM102</f>
        <v>5253.5008504221041</v>
      </c>
      <c r="AY73" s="115">
        <f>+'Market Prices'!AN102</f>
        <v>9534.7680059708928</v>
      </c>
      <c r="AZ73" s="115">
        <f>+'Market Prices'!AO102</f>
        <v>8957.9632918886928</v>
      </c>
      <c r="BA73" s="105">
        <f>+'Market Prices'!AP102</f>
        <v>8724.870763928775</v>
      </c>
      <c r="BB73" s="113">
        <f>AVERAGE(AX73:BA73)</f>
        <v>8117.7757280526166</v>
      </c>
      <c r="BC73" s="114">
        <f>+'Market Prices'!AQ102</f>
        <v>10357.798701457919</v>
      </c>
      <c r="BD73" s="115">
        <f>+'Market Prices'!AR102</f>
        <v>8488.7960907604192</v>
      </c>
      <c r="BE73" s="115">
        <f>+'Market Prices'!AS102</f>
        <v>8528.2593221072202</v>
      </c>
      <c r="BF73" s="105">
        <f>+'Market Prices'!AT102</f>
        <v>9517.0351924681836</v>
      </c>
      <c r="BG73" s="113">
        <f>AVERAGE(BC73:BF73)</f>
        <v>9222.9723266984365</v>
      </c>
      <c r="BH73" s="114">
        <f>+'Market Prices'!AU102</f>
        <v>10049.931204538312</v>
      </c>
      <c r="BI73" s="115">
        <f>+'Market Prices'!AV102</f>
        <v>8236.4814359143529</v>
      </c>
      <c r="BJ73" s="115">
        <f>+'Market Prices'!AW102</f>
        <v>8274.7716915541296</v>
      </c>
      <c r="BK73" s="105">
        <f>+'Market Prices'!AX102</f>
        <v>9234.1579241168911</v>
      </c>
      <c r="BL73" s="113">
        <f>AVERAGE(BH73:BK73)</f>
        <v>8948.8355640309201</v>
      </c>
      <c r="BM73" s="114">
        <f>+'Market Prices'!AY102</f>
        <v>9861.0170236466547</v>
      </c>
      <c r="BN73" s="115">
        <f>+'Market Prices'!AZ102</f>
        <v>8081.6556851477762</v>
      </c>
      <c r="BO73" s="115">
        <f>+'Market Prices'!BA102</f>
        <v>8119.2261774246881</v>
      </c>
      <c r="BP73" s="105">
        <f>+'Market Prices'!BB102</f>
        <v>9060.5782900920312</v>
      </c>
      <c r="BQ73" s="1032">
        <f>AVERAGE(BM73:BP73)</f>
        <v>8780.6192940777873</v>
      </c>
      <c r="BR73" s="87"/>
      <c r="BS73" s="87"/>
      <c r="BT73" s="12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1018"/>
      <c r="CS73" s="1018"/>
      <c r="CT73" s="821"/>
      <c r="CU73" s="12"/>
      <c r="CV73" s="12"/>
      <c r="CW73" s="12"/>
      <c r="CX73" s="12"/>
      <c r="CY73" s="12"/>
      <c r="CZ73" s="91"/>
      <c r="DA73" s="91"/>
      <c r="DB73" s="91"/>
      <c r="DC73" s="91"/>
      <c r="DD73" s="91"/>
      <c r="DE73" s="91"/>
      <c r="DF73" s="12"/>
      <c r="DG73" s="12"/>
      <c r="DH73" s="12"/>
      <c r="DI73" s="12"/>
      <c r="DJ73" s="12"/>
      <c r="DK73" s="12"/>
      <c r="DL73" s="12"/>
      <c r="DM73" s="12"/>
      <c r="DN73" s="12"/>
    </row>
    <row r="74" spans="1:118">
      <c r="A74" s="91"/>
      <c r="B74" s="89"/>
      <c r="C74" s="1245"/>
      <c r="D74" s="89"/>
      <c r="E74" s="145"/>
      <c r="F74" s="146"/>
      <c r="G74" s="146"/>
      <c r="H74" s="147"/>
      <c r="I74" s="87"/>
      <c r="J74" s="145"/>
      <c r="K74" s="146"/>
      <c r="L74" s="146"/>
      <c r="M74" s="147"/>
      <c r="N74" s="89"/>
      <c r="O74" s="145"/>
      <c r="P74" s="146"/>
      <c r="Q74" s="146"/>
      <c r="R74" s="147"/>
      <c r="S74" s="89"/>
      <c r="T74" s="114"/>
      <c r="U74" s="115"/>
      <c r="V74" s="115"/>
      <c r="W74" s="105"/>
      <c r="X74" s="113"/>
      <c r="Y74" s="114"/>
      <c r="Z74" s="115"/>
      <c r="AA74" s="115"/>
      <c r="AB74" s="105"/>
      <c r="AC74" s="113"/>
      <c r="AD74" s="114"/>
      <c r="AE74" s="115"/>
      <c r="AF74" s="115"/>
      <c r="AG74" s="105"/>
      <c r="AH74" s="113"/>
      <c r="AI74" s="114"/>
      <c r="AJ74" s="115"/>
      <c r="AK74" s="115"/>
      <c r="AL74" s="105"/>
      <c r="AM74" s="113"/>
      <c r="AN74" s="114"/>
      <c r="AO74" s="115"/>
      <c r="AP74" s="115"/>
      <c r="AQ74" s="105"/>
      <c r="AR74" s="113"/>
      <c r="AS74" s="114"/>
      <c r="AT74" s="115"/>
      <c r="AU74" s="115"/>
      <c r="AV74" s="105"/>
      <c r="AW74" s="113"/>
      <c r="AX74" s="114"/>
      <c r="AY74" s="115"/>
      <c r="AZ74" s="115"/>
      <c r="BA74" s="105"/>
      <c r="BB74" s="113"/>
      <c r="BC74" s="114"/>
      <c r="BD74" s="115"/>
      <c r="BE74" s="115"/>
      <c r="BF74" s="105"/>
      <c r="BG74" s="113"/>
      <c r="BH74" s="114"/>
      <c r="BI74" s="115"/>
      <c r="BJ74" s="115"/>
      <c r="BK74" s="105"/>
      <c r="BL74" s="113"/>
      <c r="BM74" s="114"/>
      <c r="BN74" s="115"/>
      <c r="BO74" s="115"/>
      <c r="BP74" s="105"/>
      <c r="BQ74" s="1032"/>
      <c r="BR74" s="87"/>
      <c r="BS74" s="87"/>
      <c r="BT74" s="12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1018"/>
      <c r="CS74" s="1018"/>
      <c r="CT74" s="821"/>
      <c r="CU74" s="12"/>
      <c r="CV74" s="12"/>
      <c r="CW74" s="12"/>
      <c r="CX74" s="12"/>
      <c r="CY74" s="12"/>
      <c r="CZ74" s="91"/>
      <c r="DA74" s="91"/>
      <c r="DB74" s="91"/>
      <c r="DC74" s="91"/>
      <c r="DD74" s="91"/>
      <c r="DE74" s="91"/>
      <c r="DF74" s="12"/>
      <c r="DG74" s="12"/>
      <c r="DH74" s="12"/>
      <c r="DI74" s="12"/>
      <c r="DJ74" s="12"/>
      <c r="DK74" s="12"/>
      <c r="DL74" s="12"/>
      <c r="DM74" s="12"/>
      <c r="DN74" s="12"/>
    </row>
    <row r="75" spans="1:118">
      <c r="A75" s="91"/>
      <c r="B75" s="89"/>
      <c r="C75" s="1245" t="s">
        <v>681</v>
      </c>
      <c r="D75" s="89"/>
      <c r="E75" s="145"/>
      <c r="F75" s="146"/>
      <c r="G75" s="146"/>
      <c r="H75" s="147"/>
      <c r="I75" s="87"/>
      <c r="J75" s="145"/>
      <c r="K75" s="146"/>
      <c r="L75" s="146"/>
      <c r="M75" s="147"/>
      <c r="N75" s="89"/>
      <c r="O75" s="145"/>
      <c r="P75" s="146"/>
      <c r="Q75" s="146"/>
      <c r="R75" s="147"/>
      <c r="S75" s="89"/>
      <c r="T75" s="114">
        <f>+'Market Prices'!O82</f>
        <v>12399.269052277541</v>
      </c>
      <c r="U75" s="115">
        <f>+'Market Prices'!P82</f>
        <v>15811.917941469588</v>
      </c>
      <c r="V75" s="115">
        <f>+'Market Prices'!Q82</f>
        <v>16066.421494696588</v>
      </c>
      <c r="W75" s="105">
        <f>+'Market Prices'!R82</f>
        <v>11326.798880136883</v>
      </c>
      <c r="X75" s="113">
        <f>AVERAGE(T75:W75)</f>
        <v>13901.10184214515</v>
      </c>
      <c r="Y75" s="114">
        <f>+'Market Prices'!S82</f>
        <v>9769.8876086014934</v>
      </c>
      <c r="Z75" s="115">
        <f>+'Market Prices'!T82</f>
        <v>10989.280048611789</v>
      </c>
      <c r="AA75" s="115">
        <f>+'Market Prices'!U82</f>
        <v>13580.3682962901</v>
      </c>
      <c r="AB75" s="105">
        <f>+'Market Prices'!V82</f>
        <v>10104.935635805112</v>
      </c>
      <c r="AC75" s="113">
        <f>AVERAGE(Y75:AB75)</f>
        <v>11111.117897327124</v>
      </c>
      <c r="AD75" s="114">
        <f>+'Market Prices'!W82</f>
        <v>8947.0994834564881</v>
      </c>
      <c r="AE75" s="115">
        <f>+'Market Prices'!X82</f>
        <v>13598.639044134061</v>
      </c>
      <c r="AF75" s="115">
        <f>+'Market Prices'!Y82</f>
        <v>16362.499285784888</v>
      </c>
      <c r="AG75" s="105">
        <f>+'Market Prices'!Z82</f>
        <v>14636.185295017334</v>
      </c>
      <c r="AH75" s="113">
        <f>AVERAGE(AD75:AG75)</f>
        <v>13386.105777098193</v>
      </c>
      <c r="AI75" s="114">
        <f>+'Market Prices'!AA82</f>
        <v>8819.9510291713868</v>
      </c>
      <c r="AJ75" s="115">
        <f>+'Market Prices'!AB82</f>
        <v>24123.141529550368</v>
      </c>
      <c r="AK75" s="115">
        <f>+'Market Prices'!AC82</f>
        <v>28747.430408517044</v>
      </c>
      <c r="AL75" s="105">
        <f>+'Market Prices'!AD82</f>
        <v>24735.597244755765</v>
      </c>
      <c r="AM75" s="113">
        <f>AVERAGE(AI75:AL75)</f>
        <v>21606.530052998642</v>
      </c>
      <c r="AN75" s="114">
        <f>+'Market Prices'!AE82</f>
        <v>16416.865442427312</v>
      </c>
      <c r="AO75" s="115">
        <f>+'Market Prices'!AF82</f>
        <v>20663.424419465664</v>
      </c>
      <c r="AP75" s="115">
        <f>+'Market Prices'!AG82</f>
        <v>28889.206582791372</v>
      </c>
      <c r="AQ75" s="105">
        <f>+'Market Prices'!AH82</f>
        <v>14896.780177793647</v>
      </c>
      <c r="AR75" s="113">
        <f>AVERAGE(AN75:AQ75)</f>
        <v>20216.569155619502</v>
      </c>
      <c r="AS75" s="114">
        <f>+'Market Prices'!AJ82</f>
        <v>13045.335901964805</v>
      </c>
      <c r="AT75" s="115">
        <f>+'Market Prices'!AJ82</f>
        <v>13045.335901964805</v>
      </c>
      <c r="AU75" s="115">
        <f>+'Market Prices'!AK82</f>
        <v>20361.658997618648</v>
      </c>
      <c r="AV75" s="105">
        <f>+'Market Prices'!AL82</f>
        <v>13616.365420376185</v>
      </c>
      <c r="AW75" s="113">
        <f>AVERAGE(AS75:AV75)</f>
        <v>15017.174055481111</v>
      </c>
      <c r="AX75" s="114">
        <f>+'Market Prices'!AM82</f>
        <v>7345.4940065431902</v>
      </c>
      <c r="AY75" s="115">
        <f>+'Market Prices'!AN82</f>
        <v>15566.250563994585</v>
      </c>
      <c r="AZ75" s="115">
        <f>+'Market Prices'!AO82</f>
        <v>16621.62162162162</v>
      </c>
      <c r="BA75" s="105">
        <f>+'Market Prices'!AP82</f>
        <v>12917.442582247049</v>
      </c>
      <c r="BB75" s="113">
        <f>AVERAGE(AX75:BA75)</f>
        <v>13112.702193601612</v>
      </c>
      <c r="BC75" s="114">
        <f>+'Market Prices'!AQ82</f>
        <v>11104.548723888633</v>
      </c>
      <c r="BD75" s="115">
        <f>+'Market Prices'!AR82</f>
        <v>16674.490418195121</v>
      </c>
      <c r="BE75" s="115">
        <f>+'Market Prices'!AS82</f>
        <v>17885.095700846545</v>
      </c>
      <c r="BF75" s="105">
        <f>+'Market Prices'!AT82</f>
        <v>10165.322792411107</v>
      </c>
      <c r="BG75" s="113">
        <f>AVERAGE(BC75:BF75)</f>
        <v>13957.364408835352</v>
      </c>
      <c r="BH75" s="114">
        <f>+'Market Prices'!AU82</f>
        <v>11252.137629199777</v>
      </c>
      <c r="BI75" s="115">
        <f>+'Market Prices'!AV82</f>
        <v>16896.108590048279</v>
      </c>
      <c r="BJ75" s="115">
        <f>+'Market Prices'!AW82</f>
        <v>18122.803847436458</v>
      </c>
      <c r="BK75" s="105">
        <f>+'Market Prices'!AX82</f>
        <v>10300.428585574848</v>
      </c>
      <c r="BL75" s="113">
        <f>AVERAGE(BH75:BK75)</f>
        <v>14142.869663064841</v>
      </c>
      <c r="BM75" s="114">
        <f>+'Market Prices'!AY82</f>
        <v>14319.999999999998</v>
      </c>
      <c r="BN75" s="115">
        <f>+'Market Prices'!AZ82</f>
        <v>14319.999999999998</v>
      </c>
      <c r="BO75" s="115">
        <f>+'Market Prices'!BA82</f>
        <v>14319.999999999998</v>
      </c>
      <c r="BP75" s="105">
        <f>+'Market Prices'!BB82</f>
        <v>14319.999999999998</v>
      </c>
      <c r="BQ75" s="1032">
        <f>AVERAGE(BM75:BP75)</f>
        <v>14319.999999999998</v>
      </c>
      <c r="BS75" s="87"/>
      <c r="BT75" s="12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1018"/>
      <c r="CS75" s="1018"/>
      <c r="CT75" s="821"/>
      <c r="CU75" s="12"/>
      <c r="CV75" s="12"/>
      <c r="CW75" s="12"/>
      <c r="CX75" s="12"/>
      <c r="CY75" s="12"/>
      <c r="CZ75" s="91"/>
      <c r="DA75" s="91"/>
      <c r="DB75" s="91"/>
      <c r="DC75" s="91"/>
      <c r="DD75" s="91"/>
      <c r="DE75" s="91"/>
      <c r="DF75" s="12"/>
      <c r="DG75" s="12"/>
      <c r="DH75" s="12"/>
      <c r="DI75" s="12"/>
      <c r="DJ75" s="12"/>
      <c r="DK75" s="12"/>
      <c r="DL75" s="12"/>
      <c r="DM75" s="12"/>
      <c r="DN75" s="12"/>
    </row>
    <row r="76" spans="1:118">
      <c r="A76" s="91"/>
      <c r="B76" s="89"/>
      <c r="C76" s="1245" t="s">
        <v>175</v>
      </c>
      <c r="D76" s="89"/>
      <c r="E76" s="145"/>
      <c r="F76" s="146"/>
      <c r="G76" s="146"/>
      <c r="H76" s="147"/>
      <c r="I76" s="87"/>
      <c r="J76" s="145"/>
      <c r="K76" s="146"/>
      <c r="L76" s="146"/>
      <c r="M76" s="147"/>
      <c r="N76" s="89"/>
      <c r="O76" s="145"/>
      <c r="P76" s="146"/>
      <c r="Q76" s="146"/>
      <c r="R76" s="147"/>
      <c r="S76" s="89"/>
      <c r="T76" s="114">
        <f>+'Market Prices'!O100</f>
        <v>9841.700334411802</v>
      </c>
      <c r="U76" s="115">
        <f>+'Market Prices'!P100</f>
        <v>9039.2719380663311</v>
      </c>
      <c r="V76" s="115">
        <f>+'Market Prices'!Q100</f>
        <v>8835.1893477360536</v>
      </c>
      <c r="W76" s="105">
        <f>+'Market Prices'!R100</f>
        <v>8429.9253921288018</v>
      </c>
      <c r="X76" s="113">
        <f>AVERAGE(T76:W76)</f>
        <v>9036.5217530857462</v>
      </c>
      <c r="Y76" s="114">
        <f>+'Market Prices'!S100</f>
        <v>7789.8114136442509</v>
      </c>
      <c r="Z76" s="115">
        <f>+'Market Prices'!T100</f>
        <v>7147.248796830625</v>
      </c>
      <c r="AA76" s="115">
        <f>+'Market Prices'!U100</f>
        <v>8031.1736003835267</v>
      </c>
      <c r="AB76" s="105">
        <f>+'Market Prices'!V100</f>
        <v>7795.107694833674</v>
      </c>
      <c r="AC76" s="113">
        <f>AVERAGE(Y76:AB76)</f>
        <v>7690.8353764230187</v>
      </c>
      <c r="AD76" s="114">
        <f>+'Market Prices'!W100</f>
        <v>6166.530696296164</v>
      </c>
      <c r="AE76" s="115">
        <f>+'Market Prices'!X100</f>
        <v>8263.5632022788723</v>
      </c>
      <c r="AF76" s="115">
        <f>+'Market Prices'!Y100</f>
        <v>10837.129084616699</v>
      </c>
      <c r="AG76" s="105">
        <f>+'Market Prices'!Z100</f>
        <v>10859.130824743526</v>
      </c>
      <c r="AH76" s="113">
        <f>AVERAGE(AD76:AG76)</f>
        <v>9031.5884519838146</v>
      </c>
      <c r="AI76" s="114">
        <f>+'Market Prices'!AA100</f>
        <v>6858.1083928038697</v>
      </c>
      <c r="AJ76" s="115">
        <f>+'Market Prices'!AB100</f>
        <v>15422.985685691838</v>
      </c>
      <c r="AK76" s="115">
        <f>+'Market Prices'!AC100</f>
        <v>16917.689223633119</v>
      </c>
      <c r="AL76" s="105">
        <f>+'Market Prices'!AD100</f>
        <v>17146.191788467313</v>
      </c>
      <c r="AM76" s="113">
        <f>AVERAGE(AI76:AL76)</f>
        <v>14086.243772649035</v>
      </c>
      <c r="AN76" s="114">
        <f>+'Market Prices'!AE100</f>
        <v>13082.44971352325</v>
      </c>
      <c r="AO76" s="115">
        <f>+'Market Prices'!AF100</f>
        <v>13437.831424583155</v>
      </c>
      <c r="AP76" s="115">
        <f>+'Market Prices'!AG100</f>
        <v>16998.184607495699</v>
      </c>
      <c r="AQ76" s="105">
        <f>+'Market Prices'!AH100</f>
        <v>11310.225430871806</v>
      </c>
      <c r="AR76" s="113">
        <f>AVERAGE(AN76:AQ76)</f>
        <v>13707.172794118478</v>
      </c>
      <c r="AS76" s="114">
        <f>+'Market Prices'!AJ100</f>
        <v>8797.2641070890259</v>
      </c>
      <c r="AT76" s="115">
        <f>+'Market Prices'!AJ100</f>
        <v>8797.2641070890259</v>
      </c>
      <c r="AU76" s="115">
        <f>+'Market Prices'!AK100</f>
        <v>12592.415236425988</v>
      </c>
      <c r="AV76" s="105">
        <f>+'Market Prices'!AL100</f>
        <v>10428.152314932511</v>
      </c>
      <c r="AW76" s="113">
        <f>AVERAGE(AS76:AV76)</f>
        <v>10153.773941384137</v>
      </c>
      <c r="AX76" s="114">
        <f>+'Market Prices'!AM100</f>
        <v>6682.4698912828535</v>
      </c>
      <c r="AY76" s="115">
        <f>+'Market Prices'!AN100</f>
        <v>11257.331929613474</v>
      </c>
      <c r="AZ76" s="115">
        <f>+'Market Prices'!AO100</f>
        <v>11163.663663663663</v>
      </c>
      <c r="BA76" s="105">
        <f>+'Market Prices'!AP100</f>
        <v>9565.4872749844817</v>
      </c>
      <c r="BB76" s="113">
        <f>AVERAGE(AX76:BA76)</f>
        <v>9667.2381898861167</v>
      </c>
      <c r="BC76" s="114">
        <f>+'Market Prices'!AQ100</f>
        <v>8968.4071460360283</v>
      </c>
      <c r="BD76" s="115">
        <f>+'Market Prices'!AR100</f>
        <v>11591.660811253709</v>
      </c>
      <c r="BE76" s="115">
        <f>+'Market Prices'!AS100</f>
        <v>11437.093284386061</v>
      </c>
      <c r="BF76" s="105">
        <f>+'Market Prices'!AT100</f>
        <v>8324.117177218186</v>
      </c>
      <c r="BG76" s="113">
        <f>AVERAGE(BC76:BF76)</f>
        <v>10080.319604723496</v>
      </c>
      <c r="BH76" s="114">
        <f>+'Market Prices'!AU100</f>
        <v>9005.6896599988304</v>
      </c>
      <c r="BI76" s="115">
        <f>+'Market Prices'!AV100</f>
        <v>11639.848437998402</v>
      </c>
      <c r="BJ76" s="115">
        <f>+'Market Prices'!AW100</f>
        <v>11484.6383593504</v>
      </c>
      <c r="BK76" s="105">
        <f>+'Market Prices'!AX100</f>
        <v>8358.7213170430405</v>
      </c>
      <c r="BL76" s="113">
        <f>AVERAGE(BH76:BK76)</f>
        <v>10122.224443597668</v>
      </c>
      <c r="BM76" s="114">
        <f>+'Market Prices'!AY100</f>
        <v>8883.1264622192248</v>
      </c>
      <c r="BN76" s="115">
        <f>+'Market Prices'!AZ100</f>
        <v>11481.435579006858</v>
      </c>
      <c r="BO76" s="115">
        <f>+'Market Prices'!BA100</f>
        <v>11328.337836480232</v>
      </c>
      <c r="BP76" s="105">
        <f>+'Market Prices'!BB100</f>
        <v>8244.9630539179179</v>
      </c>
      <c r="BQ76" s="1032">
        <f>AVERAGE(BM76:BP76)</f>
        <v>9984.4657329060592</v>
      </c>
      <c r="BR76" s="87"/>
      <c r="BS76" s="87"/>
      <c r="BT76" s="12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1018"/>
      <c r="CS76" s="1018"/>
      <c r="CT76" s="821"/>
      <c r="CU76" s="12"/>
      <c r="CV76" s="12"/>
      <c r="CW76" s="12"/>
      <c r="CX76" s="12"/>
      <c r="CY76" s="12"/>
      <c r="CZ76" s="91"/>
      <c r="DA76" s="91"/>
      <c r="DB76" s="91"/>
      <c r="DC76" s="91"/>
      <c r="DD76" s="91"/>
      <c r="DE76" s="91"/>
      <c r="DF76" s="12"/>
      <c r="DG76" s="12"/>
      <c r="DH76" s="12"/>
      <c r="DI76" s="12"/>
      <c r="DJ76" s="12"/>
      <c r="DK76" s="12"/>
      <c r="DL76" s="12"/>
      <c r="DM76" s="12"/>
      <c r="DN76" s="12"/>
    </row>
    <row r="77" spans="1:118">
      <c r="A77" s="91"/>
      <c r="B77" s="89"/>
      <c r="C77" s="1245"/>
      <c r="D77" s="89"/>
      <c r="E77" s="145"/>
      <c r="F77" s="146"/>
      <c r="G77" s="146"/>
      <c r="H77" s="147"/>
      <c r="I77" s="87"/>
      <c r="J77" s="145"/>
      <c r="K77" s="146"/>
      <c r="L77" s="146"/>
      <c r="M77" s="147"/>
      <c r="N77" s="89"/>
      <c r="O77" s="145"/>
      <c r="P77" s="146"/>
      <c r="Q77" s="146"/>
      <c r="R77" s="147"/>
      <c r="S77" s="89"/>
      <c r="T77" s="114"/>
      <c r="U77" s="115"/>
      <c r="V77" s="115"/>
      <c r="W77" s="105"/>
      <c r="X77" s="113"/>
      <c r="Y77" s="114"/>
      <c r="Z77" s="115"/>
      <c r="AA77" s="115"/>
      <c r="AB77" s="105"/>
      <c r="AC77" s="113"/>
      <c r="AD77" s="114"/>
      <c r="AE77" s="115"/>
      <c r="AF77" s="115"/>
      <c r="AG77" s="105"/>
      <c r="AH77" s="113"/>
      <c r="AI77" s="114"/>
      <c r="AJ77" s="115"/>
      <c r="AK77" s="115"/>
      <c r="AL77" s="105"/>
      <c r="AM77" s="113"/>
      <c r="AN77" s="114"/>
      <c r="AO77" s="115"/>
      <c r="AP77" s="115"/>
      <c r="AQ77" s="105"/>
      <c r="AR77" s="113"/>
      <c r="AS77" s="114"/>
      <c r="AT77" s="115"/>
      <c r="AU77" s="115"/>
      <c r="AV77" s="105"/>
      <c r="AW77" s="113"/>
      <c r="AX77" s="114"/>
      <c r="AY77" s="115"/>
      <c r="AZ77" s="115"/>
      <c r="BA77" s="105"/>
      <c r="BB77" s="113"/>
      <c r="BC77" s="114"/>
      <c r="BD77" s="115"/>
      <c r="BE77" s="115"/>
      <c r="BF77" s="105"/>
      <c r="BG77" s="113"/>
      <c r="BH77" s="114"/>
      <c r="BI77" s="115"/>
      <c r="BJ77" s="115"/>
      <c r="BK77" s="105"/>
      <c r="BL77" s="113"/>
      <c r="BM77" s="114"/>
      <c r="BN77" s="115"/>
      <c r="BO77" s="115"/>
      <c r="BP77" s="105"/>
      <c r="BQ77" s="1032"/>
      <c r="BR77" s="87"/>
      <c r="BS77" s="87"/>
      <c r="BT77" s="12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1018"/>
      <c r="CS77" s="1018"/>
      <c r="CT77" s="821"/>
      <c r="CU77" s="12"/>
      <c r="CV77" s="12"/>
      <c r="CW77" s="12"/>
      <c r="CX77" s="12"/>
      <c r="CY77" s="12"/>
      <c r="CZ77" s="91"/>
      <c r="DA77" s="91"/>
      <c r="DB77" s="91"/>
      <c r="DC77" s="91"/>
      <c r="DD77" s="91"/>
      <c r="DE77" s="91"/>
      <c r="DF77" s="12"/>
      <c r="DG77" s="12"/>
      <c r="DH77" s="12"/>
      <c r="DI77" s="12"/>
      <c r="DJ77" s="12"/>
      <c r="DK77" s="12"/>
      <c r="DL77" s="12"/>
      <c r="DM77" s="12"/>
      <c r="DN77" s="12"/>
    </row>
    <row r="78" spans="1:118">
      <c r="A78" s="91"/>
      <c r="B78" s="89"/>
      <c r="C78" s="1244" t="s">
        <v>520</v>
      </c>
      <c r="D78" s="89"/>
      <c r="E78" s="145"/>
      <c r="F78" s="146"/>
      <c r="G78" s="146"/>
      <c r="H78" s="147"/>
      <c r="I78" s="87"/>
      <c r="J78" s="145"/>
      <c r="K78" s="146"/>
      <c r="L78" s="146"/>
      <c r="M78" s="147"/>
      <c r="N78" s="89"/>
      <c r="O78" s="145"/>
      <c r="P78" s="146"/>
      <c r="Q78" s="146"/>
      <c r="R78" s="147"/>
      <c r="S78" s="89"/>
      <c r="T78" s="145"/>
      <c r="U78" s="146"/>
      <c r="V78" s="146"/>
      <c r="W78" s="147"/>
      <c r="X78" s="89"/>
      <c r="Y78" s="145"/>
      <c r="Z78" s="146"/>
      <c r="AA78" s="146"/>
      <c r="AB78" s="147"/>
      <c r="AC78" s="1067"/>
      <c r="AD78" s="145"/>
      <c r="AE78" s="146"/>
      <c r="AF78" s="146"/>
      <c r="AG78" s="147"/>
      <c r="AH78" s="1067"/>
      <c r="AI78" s="145"/>
      <c r="AJ78" s="146"/>
      <c r="AK78" s="146"/>
      <c r="AL78" s="147"/>
      <c r="AM78" s="1067"/>
      <c r="AN78" s="145"/>
      <c r="AO78" s="146"/>
      <c r="AP78" s="146"/>
      <c r="AQ78" s="147"/>
      <c r="AR78" s="1067"/>
      <c r="AS78" s="145"/>
      <c r="AT78" s="146"/>
      <c r="AU78" s="146"/>
      <c r="AV78" s="147"/>
      <c r="AW78" s="1067"/>
      <c r="AX78" s="145"/>
      <c r="AY78" s="146"/>
      <c r="AZ78" s="146"/>
      <c r="BA78" s="147"/>
      <c r="BB78" s="1067"/>
      <c r="BC78" s="145"/>
      <c r="BD78" s="146"/>
      <c r="BE78" s="146"/>
      <c r="BF78" s="147"/>
      <c r="BG78" s="1067"/>
      <c r="BH78" s="145"/>
      <c r="BI78" s="146"/>
      <c r="BJ78" s="146"/>
      <c r="BK78" s="147"/>
      <c r="BL78" s="1067"/>
      <c r="BM78" s="145"/>
      <c r="BN78" s="146"/>
      <c r="BO78" s="146"/>
      <c r="BP78" s="147"/>
      <c r="BQ78" s="1027"/>
      <c r="BR78" s="87"/>
      <c r="BS78" s="87"/>
      <c r="BT78" s="12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1018"/>
      <c r="CS78" s="1018"/>
      <c r="CT78" s="821"/>
      <c r="CU78" s="12"/>
      <c r="CV78" s="12"/>
      <c r="CW78" s="12"/>
      <c r="CX78" s="12"/>
      <c r="CY78" s="12"/>
      <c r="CZ78" s="91"/>
      <c r="DA78" s="91"/>
      <c r="DB78" s="91"/>
      <c r="DC78" s="91"/>
      <c r="DD78" s="91"/>
      <c r="DE78" s="91"/>
      <c r="DF78" s="12"/>
      <c r="DG78" s="12"/>
      <c r="DH78" s="12"/>
      <c r="DI78" s="12"/>
      <c r="DJ78" s="12"/>
      <c r="DK78" s="12"/>
      <c r="DL78" s="12"/>
      <c r="DM78" s="12"/>
      <c r="DN78" s="12"/>
    </row>
    <row r="79" spans="1:118">
      <c r="A79" s="91"/>
      <c r="B79" s="89"/>
      <c r="C79" s="1246" t="s">
        <v>435</v>
      </c>
      <c r="D79" s="89"/>
      <c r="E79" s="145"/>
      <c r="F79" s="146"/>
      <c r="G79" s="146"/>
      <c r="H79" s="147"/>
      <c r="I79" s="87"/>
      <c r="J79" s="145"/>
      <c r="K79" s="146"/>
      <c r="L79" s="146"/>
      <c r="M79" s="147"/>
      <c r="N79" s="89"/>
      <c r="O79" s="1093">
        <v>174.29</v>
      </c>
      <c r="P79" s="1094">
        <f>AVERAGE(O79,O79,Q79)</f>
        <v>152.85999999999999</v>
      </c>
      <c r="Q79" s="1094">
        <v>110</v>
      </c>
      <c r="R79" s="1095">
        <v>110</v>
      </c>
      <c r="S79" s="1037">
        <f>AVERAGE(O79:R79)</f>
        <v>136.78749999999999</v>
      </c>
      <c r="T79" s="1034">
        <f>+'Market Prices'!O116</f>
        <v>110</v>
      </c>
      <c r="U79" s="1035">
        <f>+'Market Prices'!P116</f>
        <v>78.819999999999993</v>
      </c>
      <c r="V79" s="1035">
        <f>+'Market Prices'!Q116</f>
        <v>16.46</v>
      </c>
      <c r="W79" s="1036">
        <f>+'Market Prices'!R116</f>
        <v>16.46</v>
      </c>
      <c r="X79" s="1037">
        <f>AVERAGE(T79:W79)</f>
        <v>55.435000000000002</v>
      </c>
      <c r="Y79" s="1034">
        <f>+'Market Prices'!S116</f>
        <v>16.46</v>
      </c>
      <c r="Z79" s="1035">
        <f>+'Market Prices'!T116</f>
        <v>20.216666666666669</v>
      </c>
      <c r="AA79" s="1035">
        <f>+'Market Prices'!U116</f>
        <v>27.73</v>
      </c>
      <c r="AB79" s="1036">
        <f>+'Market Prices'!V116</f>
        <v>27.73</v>
      </c>
      <c r="AC79" s="1037">
        <f>AVERAGE(Y79:AB79)</f>
        <v>23.034166666666668</v>
      </c>
      <c r="AD79" s="1034">
        <f>+'Market Prices'!W116</f>
        <v>27.73</v>
      </c>
      <c r="AE79" s="1035">
        <f>+'Market Prices'!X116</f>
        <v>60.483333333333327</v>
      </c>
      <c r="AF79" s="1035">
        <f>+'Market Prices'!Y116</f>
        <v>125.99</v>
      </c>
      <c r="AG79" s="1036">
        <f>+'Market Prices'!Z116</f>
        <v>125.99</v>
      </c>
      <c r="AH79" s="1037">
        <f>AVERAGE(AD79:AG79)</f>
        <v>85.048333333333332</v>
      </c>
      <c r="AI79" s="1034">
        <f>+'Market Prices'!AA116</f>
        <v>125.99</v>
      </c>
      <c r="AJ79" s="1035">
        <f>+'Market Prices'!AB116</f>
        <v>129.32666666666668</v>
      </c>
      <c r="AK79" s="1035">
        <f>+'Market Prices'!AC116</f>
        <v>136</v>
      </c>
      <c r="AL79" s="1036">
        <f>+'Market Prices'!AD116</f>
        <v>136</v>
      </c>
      <c r="AM79" s="1037">
        <f>AVERAGE(AI79:AL79)</f>
        <v>131.82916666666665</v>
      </c>
      <c r="AN79" s="1034">
        <f>+'Market Prices'!AE116</f>
        <v>136</v>
      </c>
      <c r="AO79" s="1035">
        <f>+'Market Prices'!AF116</f>
        <v>110.45666666666666</v>
      </c>
      <c r="AP79" s="1035">
        <f>+'Market Prices'!AG116</f>
        <v>59.37</v>
      </c>
      <c r="AQ79" s="1036">
        <f>+'Market Prices'!AH116</f>
        <v>59.37</v>
      </c>
      <c r="AR79" s="1037">
        <f>AVERAGE(AN79:AQ79)</f>
        <v>91.299166666666665</v>
      </c>
      <c r="AS79" s="1034">
        <f>+'Market Prices'!AJ116</f>
        <v>79.58</v>
      </c>
      <c r="AT79" s="1035">
        <f>+'Market Prices'!AJ116</f>
        <v>79.58</v>
      </c>
      <c r="AU79" s="1035">
        <f>+'Market Prices'!AK116</f>
        <v>120</v>
      </c>
      <c r="AV79" s="1036">
        <f>+'Market Prices'!AL116</f>
        <v>120</v>
      </c>
      <c r="AW79" s="1037">
        <f>AVERAGE(AS79:AV79)</f>
        <v>99.789999999999992</v>
      </c>
      <c r="AX79" s="1034">
        <f>+'Market Prices'!AM116</f>
        <v>120</v>
      </c>
      <c r="AY79" s="1035">
        <f>+'Market Prices'!AN116</f>
        <v>134.92333333333335</v>
      </c>
      <c r="AZ79" s="1035">
        <f>+'Market Prices'!AO116</f>
        <v>164.77</v>
      </c>
      <c r="BA79" s="1036">
        <f>+'Market Prices'!AP116</f>
        <v>164.77</v>
      </c>
      <c r="BB79" s="1037">
        <f>AVERAGE(AX79:BA79)</f>
        <v>146.11583333333334</v>
      </c>
      <c r="BC79" s="1034">
        <f>+'Market Prices'!AQ116</f>
        <v>164.77</v>
      </c>
      <c r="BD79" s="1035">
        <f>+'Market Prices'!AR116</f>
        <v>143.18</v>
      </c>
      <c r="BE79" s="1035">
        <f>+'Market Prices'!AS116</f>
        <v>100</v>
      </c>
      <c r="BF79" s="1036">
        <f>+'Market Prices'!AT116</f>
        <v>100</v>
      </c>
      <c r="BG79" s="1037">
        <f>AVERAGE(BC79:BF79)</f>
        <v>126.98750000000001</v>
      </c>
      <c r="BH79" s="1034">
        <f>+'Market Prices'!AU116</f>
        <v>100</v>
      </c>
      <c r="BI79" s="1035">
        <f>+'Market Prices'!AV116</f>
        <v>100</v>
      </c>
      <c r="BJ79" s="1035">
        <f>+'Market Prices'!AW116</f>
        <v>76.53</v>
      </c>
      <c r="BK79" s="1036">
        <f>+'Market Prices'!AX116</f>
        <v>76.53</v>
      </c>
      <c r="BL79" s="1037">
        <f>AVERAGE(BH79:BK79)</f>
        <v>88.264999999999986</v>
      </c>
      <c r="BM79" s="1034">
        <f t="shared" ref="BM79:BM81" si="147">+BN79</f>
        <v>150</v>
      </c>
      <c r="BN79" s="1035">
        <f t="shared" ref="BN79:BN81" si="148">+BO79</f>
        <v>150</v>
      </c>
      <c r="BO79" s="1035">
        <f t="shared" ref="BO79:BO81" si="149">+BP79</f>
        <v>150</v>
      </c>
      <c r="BP79" s="1036">
        <f t="shared" ref="BP79:BP81" si="150">+BQ79</f>
        <v>150</v>
      </c>
      <c r="BQ79" s="1038">
        <f>+Valuation!CG33</f>
        <v>150</v>
      </c>
      <c r="BR79" s="87"/>
      <c r="BS79" s="87"/>
      <c r="BT79" s="89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1018"/>
      <c r="CS79" s="1018"/>
      <c r="CT79" s="821"/>
      <c r="CU79" s="12"/>
      <c r="CV79" s="12"/>
      <c r="CW79" s="12"/>
      <c r="CX79" s="12"/>
      <c r="CY79" s="12"/>
      <c r="CZ79" s="91"/>
      <c r="DA79" s="91"/>
      <c r="DB79" s="91"/>
      <c r="DC79" s="91"/>
      <c r="DD79" s="91"/>
      <c r="DE79" s="91"/>
      <c r="DF79" s="12"/>
      <c r="DG79" s="12"/>
      <c r="DH79" s="12"/>
      <c r="DI79" s="12"/>
      <c r="DJ79" s="12"/>
      <c r="DK79" s="12"/>
      <c r="DL79" s="12"/>
      <c r="DM79" s="12"/>
      <c r="DN79" s="12"/>
    </row>
    <row r="80" spans="1:118">
      <c r="A80" s="91"/>
      <c r="B80" s="89"/>
      <c r="C80" s="1246" t="s">
        <v>692</v>
      </c>
      <c r="D80" s="89"/>
      <c r="E80" s="145"/>
      <c r="F80" s="146"/>
      <c r="G80" s="146"/>
      <c r="H80" s="147"/>
      <c r="I80" s="87"/>
      <c r="J80" s="145"/>
      <c r="K80" s="146"/>
      <c r="L80" s="146"/>
      <c r="M80" s="147"/>
      <c r="N80" s="89"/>
      <c r="O80" s="1093">
        <v>174.29</v>
      </c>
      <c r="P80" s="1094">
        <f>AVERAGE(O80,O80,Q80)</f>
        <v>152.85999999999999</v>
      </c>
      <c r="Q80" s="1094">
        <v>110</v>
      </c>
      <c r="R80" s="1095">
        <v>110</v>
      </c>
      <c r="S80" s="1037">
        <f>AVERAGE(O80:R80)</f>
        <v>136.78749999999999</v>
      </c>
      <c r="T80" s="1034">
        <f>+'Market Prices'!O117</f>
        <v>110</v>
      </c>
      <c r="U80" s="1035">
        <f>+'Market Prices'!P117</f>
        <v>117.79</v>
      </c>
      <c r="V80" s="1035">
        <f>+'Market Prices'!Q117</f>
        <v>133.37</v>
      </c>
      <c r="W80" s="1036">
        <f>+'Market Prices'!R117</f>
        <v>133.37</v>
      </c>
      <c r="X80" s="1037">
        <f>AVERAGE(T80:W80)</f>
        <v>123.63250000000001</v>
      </c>
      <c r="Y80" s="1034">
        <f>+'Market Prices'!S117</f>
        <v>133.37</v>
      </c>
      <c r="Z80" s="1035">
        <f>+'Market Prices'!T117</f>
        <v>164.29666666666665</v>
      </c>
      <c r="AA80" s="1035">
        <f>+'Market Prices'!U117</f>
        <v>226.15</v>
      </c>
      <c r="AB80" s="1036">
        <f>+'Market Prices'!V117</f>
        <v>226.15</v>
      </c>
      <c r="AC80" s="1037">
        <f>AVERAGE(Y80:AB80)</f>
        <v>187.49166666666665</v>
      </c>
      <c r="AD80" s="1034">
        <f>+'Market Prices'!W117</f>
        <v>226.15</v>
      </c>
      <c r="AE80" s="1035">
        <f>+'Market Prices'!X117</f>
        <v>196.26666666666665</v>
      </c>
      <c r="AF80" s="1035">
        <f>+'Market Prices'!Y117</f>
        <v>136.5</v>
      </c>
      <c r="AG80" s="1036">
        <f>+'Market Prices'!Z117</f>
        <v>136.5</v>
      </c>
      <c r="AH80" s="1037">
        <f>AVERAGE(AD80:AG80)</f>
        <v>173.85416666666666</v>
      </c>
      <c r="AI80" s="1034">
        <f>+'Market Prices'!AA117</f>
        <v>136.5</v>
      </c>
      <c r="AJ80" s="1035">
        <f>+'Market Prices'!AB117</f>
        <v>146.82</v>
      </c>
      <c r="AK80" s="1035">
        <f>+'Market Prices'!AC117</f>
        <v>167.46</v>
      </c>
      <c r="AL80" s="1036">
        <f>+'Market Prices'!AD117</f>
        <v>167.46</v>
      </c>
      <c r="AM80" s="1037">
        <f>AVERAGE(AI80:AL80)</f>
        <v>154.56</v>
      </c>
      <c r="AN80" s="1034">
        <f>+'Market Prices'!AE117</f>
        <v>167.46</v>
      </c>
      <c r="AO80" s="1035">
        <f>+'Market Prices'!AF117</f>
        <v>151.35</v>
      </c>
      <c r="AP80" s="1035">
        <f>+'Market Prices'!AG117</f>
        <v>119.13</v>
      </c>
      <c r="AQ80" s="1036">
        <f>+'Market Prices'!AH117</f>
        <v>119.13</v>
      </c>
      <c r="AR80" s="1037">
        <f>AVERAGE(AN80:AQ80)</f>
        <v>139.26749999999998</v>
      </c>
      <c r="AS80" s="1034">
        <f>+'Market Prices'!AJ117</f>
        <v>119.41999999999999</v>
      </c>
      <c r="AT80" s="1035">
        <f>+'Market Prices'!AJ117</f>
        <v>119.41999999999999</v>
      </c>
      <c r="AU80" s="1035">
        <f>+'Market Prices'!AK117</f>
        <v>120</v>
      </c>
      <c r="AV80" s="1036">
        <f>+'Market Prices'!AL117</f>
        <v>120</v>
      </c>
      <c r="AW80" s="1037">
        <f>AVERAGE(AS80:AV80)</f>
        <v>119.71</v>
      </c>
      <c r="AX80" s="1034">
        <f>+'Market Prices'!AM117</f>
        <v>120</v>
      </c>
      <c r="AY80" s="1035">
        <f>+'Market Prices'!AN117</f>
        <v>134.92333333333335</v>
      </c>
      <c r="AZ80" s="1035">
        <f>+'Market Prices'!AO117</f>
        <v>164.77</v>
      </c>
      <c r="BA80" s="1036">
        <f>+'Market Prices'!AP117</f>
        <v>164.77</v>
      </c>
      <c r="BB80" s="1037">
        <f>AVERAGE(AX80:BA80)</f>
        <v>146.11583333333334</v>
      </c>
      <c r="BC80" s="1034">
        <f>+'Market Prices'!AQ117</f>
        <v>164.77</v>
      </c>
      <c r="BD80" s="1035">
        <f>+'Market Prices'!AR117</f>
        <v>143.18</v>
      </c>
      <c r="BE80" s="1035">
        <f>+'Market Prices'!AS117</f>
        <v>100</v>
      </c>
      <c r="BF80" s="1036">
        <f>+'Market Prices'!AT117</f>
        <v>100</v>
      </c>
      <c r="BG80" s="1037">
        <f>AVERAGE(BC80:BF80)</f>
        <v>126.98750000000001</v>
      </c>
      <c r="BH80" s="1034">
        <f>+'Market Prices'!AU117</f>
        <v>100</v>
      </c>
      <c r="BI80" s="1035">
        <f>+'Market Prices'!AV117</f>
        <v>100</v>
      </c>
      <c r="BJ80" s="1035">
        <f>+'Market Prices'!AW117</f>
        <v>86.04</v>
      </c>
      <c r="BK80" s="1036">
        <f>+'Market Prices'!AX117</f>
        <v>86.04</v>
      </c>
      <c r="BL80" s="1037">
        <f>AVERAGE(BH80:BK80)</f>
        <v>93.02000000000001</v>
      </c>
      <c r="BM80" s="1034">
        <f t="shared" si="147"/>
        <v>175</v>
      </c>
      <c r="BN80" s="1035">
        <f t="shared" si="148"/>
        <v>175</v>
      </c>
      <c r="BO80" s="1035">
        <f t="shared" si="149"/>
        <v>175</v>
      </c>
      <c r="BP80" s="1036">
        <f t="shared" si="150"/>
        <v>175</v>
      </c>
      <c r="BQ80" s="1038">
        <f>+Valuation!CG34</f>
        <v>175</v>
      </c>
      <c r="BR80" s="87"/>
      <c r="BS80" s="87"/>
      <c r="BT80" s="12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1018"/>
      <c r="CS80" s="1018"/>
      <c r="CT80" s="821"/>
      <c r="CU80" s="12"/>
      <c r="CV80" s="12"/>
      <c r="CW80" s="12"/>
      <c r="CX80" s="12"/>
      <c r="CY80" s="12"/>
      <c r="CZ80" s="91"/>
      <c r="DA80" s="91"/>
      <c r="DB80" s="91"/>
      <c r="DC80" s="91"/>
      <c r="DD80" s="91"/>
      <c r="DE80" s="91"/>
      <c r="DF80" s="12"/>
      <c r="DG80" s="12"/>
      <c r="DH80" s="12"/>
      <c r="DI80" s="12"/>
      <c r="DJ80" s="12"/>
      <c r="DK80" s="12"/>
      <c r="DL80" s="12"/>
      <c r="DM80" s="12"/>
      <c r="DN80" s="12"/>
    </row>
    <row r="81" spans="1:128">
      <c r="A81" s="91"/>
      <c r="B81" s="89"/>
      <c r="C81" s="1246" t="s">
        <v>685</v>
      </c>
      <c r="D81" s="89"/>
      <c r="E81" s="145"/>
      <c r="F81" s="146"/>
      <c r="G81" s="146"/>
      <c r="H81" s="147"/>
      <c r="I81" s="87"/>
      <c r="J81" s="145"/>
      <c r="K81" s="146"/>
      <c r="L81" s="146"/>
      <c r="M81" s="147"/>
      <c r="N81" s="89"/>
      <c r="O81" s="1093">
        <v>0</v>
      </c>
      <c r="P81" s="1094">
        <f>AVERAGE(O81,O81,Q81)</f>
        <v>36.296666666666667</v>
      </c>
      <c r="Q81" s="1094">
        <f>+T81</f>
        <v>108.89</v>
      </c>
      <c r="R81" s="1095">
        <f>+T81</f>
        <v>108.89</v>
      </c>
      <c r="S81" s="1037">
        <f>AVERAGE(O81:R81)</f>
        <v>63.519166666666663</v>
      </c>
      <c r="T81" s="1093">
        <v>108.89</v>
      </c>
      <c r="U81" s="1094">
        <f>AVERAGE(T81,T81,V81)</f>
        <v>79.413333333333341</v>
      </c>
      <c r="V81" s="1094">
        <v>20.46</v>
      </c>
      <c r="W81" s="1095">
        <f>+V81</f>
        <v>20.46</v>
      </c>
      <c r="X81" s="1037">
        <f>AVERAGE(T81:W81)</f>
        <v>57.305833333333339</v>
      </c>
      <c r="Y81" s="1093">
        <f>+W81</f>
        <v>20.46</v>
      </c>
      <c r="Z81" s="1094">
        <f>AVERAGE(Y81,Y81,AA81)</f>
        <v>22.883333333333336</v>
      </c>
      <c r="AA81" s="1094">
        <f>+AA79</f>
        <v>27.73</v>
      </c>
      <c r="AB81" s="1095">
        <f>+AB79</f>
        <v>27.73</v>
      </c>
      <c r="AC81" s="1037">
        <f>AVERAGE(Y81:AB81)</f>
        <v>24.700833333333335</v>
      </c>
      <c r="AD81" s="1093">
        <f>+AD79</f>
        <v>27.73</v>
      </c>
      <c r="AE81" s="1094">
        <f>+AE79</f>
        <v>60.483333333333327</v>
      </c>
      <c r="AF81" s="1094">
        <f>+AF79</f>
        <v>125.99</v>
      </c>
      <c r="AG81" s="1095">
        <f>+AG79</f>
        <v>125.99</v>
      </c>
      <c r="AH81" s="1037">
        <f>AVERAGE(AD81:AG81)</f>
        <v>85.048333333333332</v>
      </c>
      <c r="AI81" s="1093">
        <f>+AI79</f>
        <v>125.99</v>
      </c>
      <c r="AJ81" s="1094">
        <f>AI81*(2/3)+AK81*(1/3)</f>
        <v>202.99333333333334</v>
      </c>
      <c r="AK81" s="1035">
        <f>+'Market Prices'!AC125</f>
        <v>357</v>
      </c>
      <c r="AL81" s="1036">
        <f>+'Market Prices'!AD125</f>
        <v>357</v>
      </c>
      <c r="AM81" s="1037">
        <f>AVERAGE(AI81:AL81)</f>
        <v>260.74583333333334</v>
      </c>
      <c r="AN81" s="1605">
        <f>+'Market Prices'!AE125</f>
        <v>357</v>
      </c>
      <c r="AO81" s="1606">
        <f>+'Market Prices'!AF125</f>
        <v>276.07666666666665</v>
      </c>
      <c r="AP81" s="1035">
        <f>+'Market Prices'!AG125</f>
        <v>114.23</v>
      </c>
      <c r="AQ81" s="1036">
        <f>+'Market Prices'!AH125</f>
        <v>114.23</v>
      </c>
      <c r="AR81" s="1037">
        <f>AVERAGE(AN81:AQ81)</f>
        <v>215.38416666666666</v>
      </c>
      <c r="AS81" s="1605">
        <f>+'Market Prices'!AJ125</f>
        <v>116.15333333333334</v>
      </c>
      <c r="AT81" s="1614">
        <f>+'Market Prices'!AJ125</f>
        <v>116.15333333333334</v>
      </c>
      <c r="AU81" s="1614">
        <f>+'Market Prices'!AK125</f>
        <v>120</v>
      </c>
      <c r="AV81" s="1036">
        <f>+'Market Prices'!AL125</f>
        <v>120</v>
      </c>
      <c r="AW81" s="1037">
        <f>AVERAGE(AS81:AV81)</f>
        <v>118.07666666666667</v>
      </c>
      <c r="AX81" s="1613">
        <f>+'Market Prices'!AM125</f>
        <v>120</v>
      </c>
      <c r="AY81" s="1614">
        <f>+'Market Prices'!AN125</f>
        <v>134.92333333333335</v>
      </c>
      <c r="AZ81" s="1035">
        <f>+'Market Prices'!AO125</f>
        <v>164.77</v>
      </c>
      <c r="BA81" s="1036">
        <f>+'Market Prices'!AP125</f>
        <v>164.77</v>
      </c>
      <c r="BB81" s="1037">
        <f>AVERAGE(AX81:BA81)</f>
        <v>146.11583333333334</v>
      </c>
      <c r="BC81" s="1613">
        <f>+'Market Prices'!AQ125</f>
        <v>164.77</v>
      </c>
      <c r="BD81" s="1614">
        <f>+'Market Prices'!AR125</f>
        <v>143.18</v>
      </c>
      <c r="BE81" s="1035">
        <f>+'Market Prices'!AS125</f>
        <v>100</v>
      </c>
      <c r="BF81" s="1036">
        <f>+'Market Prices'!AT125</f>
        <v>100</v>
      </c>
      <c r="BG81" s="1037">
        <f>AVERAGE(BC81:BF81)</f>
        <v>126.98750000000001</v>
      </c>
      <c r="BH81" s="1613">
        <f>+'Market Prices'!AU125</f>
        <v>100</v>
      </c>
      <c r="BI81" s="1614">
        <f>+'Market Prices'!AV125</f>
        <v>100</v>
      </c>
      <c r="BJ81" s="1035">
        <f>+'Market Prices'!AW125</f>
        <v>76.53</v>
      </c>
      <c r="BK81" s="1036">
        <f>+'Market Prices'!AX125</f>
        <v>76.53</v>
      </c>
      <c r="BL81" s="1037">
        <f>AVERAGE(BH81:BK81)</f>
        <v>88.264999999999986</v>
      </c>
      <c r="BM81" s="1613">
        <f t="shared" si="147"/>
        <v>165</v>
      </c>
      <c r="BN81" s="1614">
        <f t="shared" si="148"/>
        <v>165</v>
      </c>
      <c r="BO81" s="1035">
        <f t="shared" si="149"/>
        <v>165</v>
      </c>
      <c r="BP81" s="1036">
        <f t="shared" si="150"/>
        <v>165</v>
      </c>
      <c r="BQ81" s="1038">
        <f>+Valuation!CG35</f>
        <v>165</v>
      </c>
      <c r="BR81" s="87"/>
      <c r="BS81" s="87"/>
      <c r="BT81" s="12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1018"/>
      <c r="CS81" s="1018"/>
      <c r="CT81" s="821"/>
      <c r="CU81" s="12"/>
      <c r="CV81" s="12"/>
      <c r="CW81" s="12"/>
      <c r="CX81" s="12"/>
      <c r="CY81" s="12"/>
      <c r="CZ81" s="91"/>
      <c r="DA81" s="91"/>
      <c r="DB81" s="91"/>
      <c r="DC81" s="91"/>
      <c r="DD81" s="91"/>
      <c r="DE81" s="91"/>
      <c r="DF81" s="12"/>
      <c r="DG81" s="12"/>
      <c r="DH81" s="12"/>
      <c r="DI81" s="12"/>
      <c r="DJ81" s="12"/>
      <c r="DK81" s="12"/>
      <c r="DL81" s="12"/>
      <c r="DM81" s="12"/>
      <c r="DN81" s="12"/>
    </row>
    <row r="82" spans="1:128">
      <c r="A82" s="91"/>
      <c r="B82" s="89"/>
      <c r="C82" s="1246"/>
      <c r="D82" s="89"/>
      <c r="E82" s="145"/>
      <c r="F82" s="146"/>
      <c r="G82" s="146"/>
      <c r="H82" s="147"/>
      <c r="I82" s="87"/>
      <c r="J82" s="145"/>
      <c r="K82" s="146"/>
      <c r="L82" s="146"/>
      <c r="M82" s="147"/>
      <c r="N82" s="89"/>
      <c r="O82" s="145"/>
      <c r="P82" s="146"/>
      <c r="Q82" s="146"/>
      <c r="R82" s="147"/>
      <c r="S82" s="1033"/>
      <c r="T82" s="1039"/>
      <c r="U82" s="1040"/>
      <c r="V82" s="1040"/>
      <c r="W82" s="1041"/>
      <c r="X82" s="1033"/>
      <c r="Y82" s="1039"/>
      <c r="Z82" s="1040"/>
      <c r="AA82" s="1040"/>
      <c r="AB82" s="1041"/>
      <c r="AC82" s="1033"/>
      <c r="AD82" s="1039"/>
      <c r="AE82" s="1040"/>
      <c r="AF82" s="1040"/>
      <c r="AG82" s="1041"/>
      <c r="AH82" s="1033"/>
      <c r="AI82" s="1039"/>
      <c r="AJ82" s="1040"/>
      <c r="AK82" s="1040"/>
      <c r="AL82" s="1041"/>
      <c r="AM82" s="1033"/>
      <c r="AN82" s="1039"/>
      <c r="AO82" s="1040"/>
      <c r="AP82" s="1040"/>
      <c r="AQ82" s="1041"/>
      <c r="AR82" s="1033"/>
      <c r="AS82" s="1039"/>
      <c r="AT82" s="1040"/>
      <c r="AU82" s="1040"/>
      <c r="AV82" s="1041"/>
      <c r="AW82" s="1033"/>
      <c r="AX82" s="1039"/>
      <c r="AY82" s="1040"/>
      <c r="AZ82" s="1040"/>
      <c r="BA82" s="1041"/>
      <c r="BB82" s="1033"/>
      <c r="BC82" s="1039"/>
      <c r="BD82" s="1040"/>
      <c r="BE82" s="1040"/>
      <c r="BF82" s="1041"/>
      <c r="BG82" s="1033"/>
      <c r="BH82" s="1039"/>
      <c r="BI82" s="1040"/>
      <c r="BJ82" s="1040"/>
      <c r="BK82" s="1041"/>
      <c r="BL82" s="1033"/>
      <c r="BM82" s="1039"/>
      <c r="BN82" s="1040"/>
      <c r="BO82" s="1040"/>
      <c r="BP82" s="1041"/>
      <c r="BQ82" s="1079"/>
      <c r="BR82" s="87"/>
      <c r="BS82" s="87"/>
      <c r="BT82" s="12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018"/>
      <c r="CS82" s="1018"/>
      <c r="CT82" s="821"/>
      <c r="CU82" s="12"/>
      <c r="CV82" s="12"/>
      <c r="CW82" s="12"/>
      <c r="CX82" s="12"/>
      <c r="CY82" s="12"/>
      <c r="CZ82" s="91"/>
      <c r="DA82" s="91"/>
      <c r="DB82" s="91"/>
      <c r="DC82" s="91"/>
      <c r="DD82" s="91"/>
      <c r="DE82" s="91"/>
      <c r="DF82" s="12"/>
      <c r="DG82" s="12"/>
      <c r="DH82" s="12"/>
      <c r="DI82" s="12"/>
      <c r="DJ82" s="12"/>
      <c r="DK82" s="12"/>
      <c r="DL82" s="12"/>
      <c r="DM82" s="12"/>
      <c r="DN82" s="12"/>
    </row>
    <row r="83" spans="1:128">
      <c r="A83" s="91"/>
      <c r="B83" s="89"/>
      <c r="C83" s="1244" t="s">
        <v>521</v>
      </c>
      <c r="D83" s="87"/>
      <c r="E83" s="145"/>
      <c r="F83" s="146"/>
      <c r="G83" s="146"/>
      <c r="H83" s="147"/>
      <c r="I83" s="89"/>
      <c r="J83" s="145"/>
      <c r="K83" s="146"/>
      <c r="L83" s="146"/>
      <c r="M83" s="147"/>
      <c r="N83" s="849"/>
      <c r="O83" s="145"/>
      <c r="P83" s="146"/>
      <c r="Q83" s="146"/>
      <c r="R83" s="147"/>
      <c r="S83" s="89"/>
      <c r="T83" s="145"/>
      <c r="U83" s="146"/>
      <c r="V83" s="146"/>
      <c r="W83" s="147"/>
      <c r="X83" s="89"/>
      <c r="Y83" s="145"/>
      <c r="Z83" s="146"/>
      <c r="AA83" s="146"/>
      <c r="AB83" s="147"/>
      <c r="AC83" s="89"/>
      <c r="AD83" s="145"/>
      <c r="AE83" s="146"/>
      <c r="AF83" s="146"/>
      <c r="AG83" s="147"/>
      <c r="AH83" s="89"/>
      <c r="AI83" s="145"/>
      <c r="AJ83" s="146"/>
      <c r="AK83" s="146"/>
      <c r="AL83" s="147"/>
      <c r="AM83" s="89"/>
      <c r="AN83" s="145"/>
      <c r="AO83" s="146"/>
      <c r="AP83" s="146"/>
      <c r="AQ83" s="147"/>
      <c r="AR83" s="89"/>
      <c r="AS83" s="145"/>
      <c r="AT83" s="146"/>
      <c r="AU83" s="146"/>
      <c r="AV83" s="147"/>
      <c r="AW83" s="89"/>
      <c r="AX83" s="145"/>
      <c r="AY83" s="146"/>
      <c r="AZ83" s="146"/>
      <c r="BA83" s="147"/>
      <c r="BB83" s="89"/>
      <c r="BC83" s="145"/>
      <c r="BD83" s="146"/>
      <c r="BE83" s="146"/>
      <c r="BF83" s="147"/>
      <c r="BG83" s="89"/>
      <c r="BH83" s="145"/>
      <c r="BI83" s="146"/>
      <c r="BJ83" s="146"/>
      <c r="BK83" s="147"/>
      <c r="BL83" s="89"/>
      <c r="BM83" s="145"/>
      <c r="BN83" s="146"/>
      <c r="BO83" s="146"/>
      <c r="BP83" s="147"/>
      <c r="BQ83" s="1027"/>
      <c r="BR83" s="87"/>
      <c r="BS83" s="87"/>
      <c r="BT83" s="12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1018"/>
      <c r="CS83" s="1018"/>
      <c r="CT83" s="821"/>
      <c r="CU83" s="12"/>
      <c r="CV83" s="12"/>
      <c r="CW83" s="12"/>
      <c r="CX83" s="12"/>
      <c r="CY83" s="12"/>
      <c r="CZ83" s="91"/>
      <c r="DA83" s="91"/>
      <c r="DB83" s="91"/>
      <c r="DC83" s="91"/>
      <c r="DD83" s="91"/>
      <c r="DE83" s="91"/>
      <c r="DF83" s="12"/>
      <c r="DG83" s="12"/>
      <c r="DH83" s="12"/>
      <c r="DI83" s="12"/>
      <c r="DJ83" s="12"/>
      <c r="DK83" s="12"/>
      <c r="DL83" s="12"/>
      <c r="DM83" s="12"/>
      <c r="DN83" s="12"/>
    </row>
    <row r="84" spans="1:128">
      <c r="A84" s="91"/>
      <c r="B84" s="89"/>
      <c r="C84" s="1246" t="s">
        <v>522</v>
      </c>
      <c r="D84" s="87"/>
      <c r="E84" s="145"/>
      <c r="F84" s="146"/>
      <c r="G84" s="146"/>
      <c r="H84" s="147"/>
      <c r="I84" s="89"/>
      <c r="J84" s="145"/>
      <c r="K84" s="146"/>
      <c r="L84" s="146"/>
      <c r="M84" s="147"/>
      <c r="N84" s="89"/>
      <c r="O84" s="145"/>
      <c r="P84" s="146"/>
      <c r="Q84" s="146"/>
      <c r="R84" s="147"/>
      <c r="S84" s="1033"/>
      <c r="T84" s="1042">
        <f>+'Market Prices'!O9</f>
        <v>70.069230769230771</v>
      </c>
      <c r="U84" s="1043">
        <f>+'Market Prices'!P9</f>
        <v>59.92307692307692</v>
      </c>
      <c r="V84" s="1043">
        <f>+'Market Prices'!Q9</f>
        <v>61.334615384615397</v>
      </c>
      <c r="W84" s="1044">
        <f>+'Market Prices'!R9</f>
        <v>66.634615384615373</v>
      </c>
      <c r="X84" s="1045">
        <f>AVERAGE(T84:W84)</f>
        <v>64.490384615384613</v>
      </c>
      <c r="Y84" s="1042">
        <f>+'Market Prices'!S9</f>
        <v>66.511538461538478</v>
      </c>
      <c r="Z84" s="1043">
        <f>+'Market Prices'!T9</f>
        <v>66.914615384615374</v>
      </c>
      <c r="AA84" s="1043">
        <f>+'Market Prices'!U9</f>
        <v>64.0053846153846</v>
      </c>
      <c r="AB84" s="1044">
        <f>+'Market Prices'!V9</f>
        <v>62.446153846153841</v>
      </c>
      <c r="AC84" s="1045">
        <f>AVERAGE(Y84:AB84)</f>
        <v>64.969423076923078</v>
      </c>
      <c r="AD84" s="1042">
        <f>+'Market Prices'!W9</f>
        <v>63.813846153846164</v>
      </c>
      <c r="AE84" s="1043">
        <f>+'Market Prices'!X9</f>
        <v>60.582307692307708</v>
      </c>
      <c r="AF84" s="1043">
        <f>+'Market Prices'!Y9</f>
        <v>57.336923076923085</v>
      </c>
      <c r="AG84" s="1044">
        <f>+'Market Prices'!Z9</f>
        <v>56.106923076923081</v>
      </c>
      <c r="AH84" s="1045">
        <f>AVERAGE(AD84:AG84)</f>
        <v>59.460000000000008</v>
      </c>
      <c r="AI84" s="1042">
        <f>+'Market Prices'!AA9</f>
        <v>53.513846153846139</v>
      </c>
      <c r="AJ84" s="1043">
        <f>+'Market Prices'!AB9</f>
        <v>52.858461538461547</v>
      </c>
      <c r="AK84" s="1043">
        <f>+'Market Prices'!AC9</f>
        <v>50.784615384615385</v>
      </c>
      <c r="AL84" s="1044">
        <f>+'Market Prices'!AD9</f>
        <v>46.303846153846159</v>
      </c>
      <c r="AM84" s="1045">
        <f>AVERAGE(AI84:AL84)</f>
        <v>50.865192307692311</v>
      </c>
      <c r="AN84" s="1042">
        <f>+'Market Prices'!AE9</f>
        <v>42.380769230769232</v>
      </c>
      <c r="AO84" s="1043">
        <f>+'Market Prices'!AF9</f>
        <v>41.192307692307693</v>
      </c>
      <c r="AP84" s="1043">
        <f>+'Market Prices'!AG9</f>
        <v>40.928571428571438</v>
      </c>
      <c r="AQ84" s="1044">
        <f>+'Market Prices'!AH9</f>
        <v>44.896153846153844</v>
      </c>
      <c r="AR84" s="1045">
        <f>AVERAGE(AN84:AQ84)</f>
        <v>42.349450549450552</v>
      </c>
      <c r="AS84" s="1042">
        <f>+'Market Prices'!AJ9</f>
        <v>52.46153846153846</v>
      </c>
      <c r="AT84" s="1043">
        <f>+'Market Prices'!AJ9</f>
        <v>52.46153846153846</v>
      </c>
      <c r="AU84" s="1043">
        <f>+'Market Prices'!AK9</f>
        <v>52.98846153846155</v>
      </c>
      <c r="AV84" s="1044">
        <f>+'Market Prices'!AL9</f>
        <v>58.261538461538478</v>
      </c>
      <c r="AW84" s="1045">
        <f>AVERAGE(AS84:AV84)</f>
        <v>54.043269230769241</v>
      </c>
      <c r="AX84" s="1042">
        <f>+'Market Prices'!AM9</f>
        <v>60.850000000000009</v>
      </c>
      <c r="AY84" s="1043">
        <f>+'Market Prices'!AN9</f>
        <v>49</v>
      </c>
      <c r="AZ84" s="1043">
        <f>+'Market Prices'!AO9</f>
        <v>49</v>
      </c>
      <c r="BA84" s="1044">
        <f>+'Market Prices'!AP9</f>
        <v>49</v>
      </c>
      <c r="BB84" s="1045">
        <f>AVERAGE(AX84:BA84)</f>
        <v>51.962500000000006</v>
      </c>
      <c r="BC84" s="1042">
        <f>+'Market Prices'!AQ9</f>
        <v>48.154286333412259</v>
      </c>
      <c r="BD84" s="1043">
        <f>+'Market Prices'!AR9</f>
        <v>48.154286333412259</v>
      </c>
      <c r="BE84" s="1043">
        <f>+'Market Prices'!AS9</f>
        <v>48.154286333412259</v>
      </c>
      <c r="BF84" s="1044">
        <f>+'Market Prices'!AT9</f>
        <v>55.537140999763238</v>
      </c>
      <c r="BG84" s="1045">
        <f>AVERAGE(BC84:BF84)</f>
        <v>50.000000000000007</v>
      </c>
      <c r="BH84" s="1042">
        <f>+'Market Prices'!AU9</f>
        <v>48.154286333412259</v>
      </c>
      <c r="BI84" s="1043">
        <f>+'Market Prices'!AV9</f>
        <v>48.154286333412259</v>
      </c>
      <c r="BJ84" s="1043">
        <f>+'Market Prices'!AW9</f>
        <v>48.154286333412259</v>
      </c>
      <c r="BK84" s="1044">
        <f>+'Market Prices'!AX9</f>
        <v>55.537140999763238</v>
      </c>
      <c r="BL84" s="1045">
        <f>AVERAGE(BH84:BK84)</f>
        <v>50.000000000000007</v>
      </c>
      <c r="BM84" s="1042">
        <f>+'Market Prices'!AY9</f>
        <v>48.154286333412259</v>
      </c>
      <c r="BN84" s="1043">
        <f>+'Market Prices'!AZ9</f>
        <v>48.154286333412259</v>
      </c>
      <c r="BO84" s="1043">
        <f>+'Market Prices'!BA9</f>
        <v>48.154286333412259</v>
      </c>
      <c r="BP84" s="1044">
        <f>+'Market Prices'!BB9</f>
        <v>55.537140999763238</v>
      </c>
      <c r="BQ84" s="1080">
        <f>AVERAGE(BM84:BP84)</f>
        <v>50.000000000000007</v>
      </c>
      <c r="BR84" s="87"/>
      <c r="BS84" s="87"/>
      <c r="BT84" s="12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1018"/>
      <c r="CS84" s="1018"/>
      <c r="CT84" s="821"/>
      <c r="CU84" s="12"/>
      <c r="CV84" s="12"/>
      <c r="CW84" s="12"/>
      <c r="CX84" s="12"/>
      <c r="CY84" s="12"/>
      <c r="CZ84" s="91"/>
      <c r="DA84" s="91"/>
      <c r="DB84" s="91"/>
      <c r="DC84" s="91"/>
      <c r="DD84" s="91"/>
      <c r="DE84" s="91"/>
      <c r="DF84" s="12"/>
      <c r="DG84" s="12"/>
      <c r="DH84" s="12"/>
      <c r="DI84" s="12"/>
      <c r="DJ84" s="12"/>
      <c r="DK84" s="12"/>
      <c r="DL84" s="12"/>
      <c r="DM84" s="12"/>
      <c r="DN84" s="12"/>
    </row>
    <row r="85" spans="1:128">
      <c r="A85" s="91"/>
      <c r="B85" s="89"/>
      <c r="C85" s="1246" t="s">
        <v>523</v>
      </c>
      <c r="D85" s="89"/>
      <c r="E85" s="145"/>
      <c r="F85" s="146"/>
      <c r="G85" s="146"/>
      <c r="H85" s="147"/>
      <c r="I85" s="1046">
        <v>10</v>
      </c>
      <c r="J85" s="145"/>
      <c r="K85" s="146"/>
      <c r="L85" s="146"/>
      <c r="M85" s="147"/>
      <c r="N85" s="89"/>
      <c r="O85" s="145"/>
      <c r="P85" s="146"/>
      <c r="Q85" s="146"/>
      <c r="R85" s="147"/>
      <c r="S85" s="89"/>
      <c r="T85" s="1042">
        <f>T84+$I$85</f>
        <v>80.069230769230771</v>
      </c>
      <c r="U85" s="1043">
        <f>U84+$I$85</f>
        <v>69.92307692307692</v>
      </c>
      <c r="V85" s="1043">
        <f>V84+$I$85</f>
        <v>71.334615384615404</v>
      </c>
      <c r="W85" s="1044">
        <f>W84+$I$85</f>
        <v>76.634615384615373</v>
      </c>
      <c r="X85" s="1045">
        <f>AVERAGE(T85:W85)</f>
        <v>74.490384615384613</v>
      </c>
      <c r="Y85" s="1042">
        <f>Y84+$I$85</f>
        <v>76.511538461538478</v>
      </c>
      <c r="Z85" s="1043">
        <f>Z84+$I$85</f>
        <v>76.914615384615374</v>
      </c>
      <c r="AA85" s="1043">
        <f>AA84+$I$85</f>
        <v>74.0053846153846</v>
      </c>
      <c r="AB85" s="1044">
        <f>AB84+$I$85</f>
        <v>72.446153846153834</v>
      </c>
      <c r="AC85" s="1045">
        <f>AVERAGE(Y85:AB85)</f>
        <v>74.969423076923078</v>
      </c>
      <c r="AD85" s="1042">
        <f>AD84+$I$85</f>
        <v>73.813846153846157</v>
      </c>
      <c r="AE85" s="1043">
        <f>AE84+$I$85</f>
        <v>70.582307692307708</v>
      </c>
      <c r="AF85" s="1043">
        <f>AF84+$I$85</f>
        <v>67.336923076923085</v>
      </c>
      <c r="AG85" s="1044">
        <f>AG84+$I$85</f>
        <v>66.106923076923081</v>
      </c>
      <c r="AH85" s="1045">
        <f>AVERAGE(AD85:AG85)</f>
        <v>69.460000000000008</v>
      </c>
      <c r="AI85" s="1042">
        <f>AI84+$I$85</f>
        <v>63.513846153846139</v>
      </c>
      <c r="AJ85" s="1043">
        <f>AJ84+$I$85</f>
        <v>62.858461538461547</v>
      </c>
      <c r="AK85" s="1043">
        <f>AK84+$I$85</f>
        <v>60.784615384615385</v>
      </c>
      <c r="AL85" s="1044">
        <f>AL84+$I$85</f>
        <v>56.303846153846159</v>
      </c>
      <c r="AM85" s="1045">
        <f>AVERAGE(AI85:AL85)</f>
        <v>60.865192307692311</v>
      </c>
      <c r="AN85" s="1042">
        <f>AN84+$I$85</f>
        <v>52.380769230769232</v>
      </c>
      <c r="AO85" s="1043">
        <f>AO84+$I$85</f>
        <v>51.192307692307693</v>
      </c>
      <c r="AP85" s="1043">
        <f>AP84+$I$85</f>
        <v>50.928571428571438</v>
      </c>
      <c r="AQ85" s="1044">
        <f>AQ84+$I$85</f>
        <v>54.896153846153844</v>
      </c>
      <c r="AR85" s="1045">
        <f>AVERAGE(AN85:AQ85)</f>
        <v>52.349450549450552</v>
      </c>
      <c r="AS85" s="1042">
        <f>AS84+$I$85</f>
        <v>62.46153846153846</v>
      </c>
      <c r="AT85" s="1043">
        <f>AT84+$I$85</f>
        <v>62.46153846153846</v>
      </c>
      <c r="AU85" s="1043">
        <f t="shared" ref="AU85:AV85" si="151">AU84+$I$85</f>
        <v>62.98846153846155</v>
      </c>
      <c r="AV85" s="1044">
        <f t="shared" si="151"/>
        <v>68.261538461538478</v>
      </c>
      <c r="AW85" s="1045">
        <f>AVERAGE(AS85:AV85)</f>
        <v>64.043269230769241</v>
      </c>
      <c r="AX85" s="1042">
        <f>AX84+$I$85</f>
        <v>70.850000000000009</v>
      </c>
      <c r="AY85" s="1043">
        <f>AY84+$I$85</f>
        <v>59</v>
      </c>
      <c r="AZ85" s="1043">
        <f>AZ84+$I$85</f>
        <v>59</v>
      </c>
      <c r="BA85" s="1044">
        <f>BA84+$I$85</f>
        <v>59</v>
      </c>
      <c r="BB85" s="1045">
        <f>AVERAGE(AX85:BA85)</f>
        <v>61.962500000000006</v>
      </c>
      <c r="BC85" s="1042">
        <f>BC84+$I$85</f>
        <v>58.154286333412259</v>
      </c>
      <c r="BD85" s="1043">
        <f>BD84+$I$85</f>
        <v>58.154286333412259</v>
      </c>
      <c r="BE85" s="1043">
        <f>BE84+$I$85</f>
        <v>58.154286333412259</v>
      </c>
      <c r="BF85" s="1044">
        <f>BF84+$I$85</f>
        <v>65.537140999763238</v>
      </c>
      <c r="BG85" s="1045">
        <f>AVERAGE(BC85:BF85)</f>
        <v>60.000000000000007</v>
      </c>
      <c r="BH85" s="1042">
        <f>BH84+$I$85</f>
        <v>58.154286333412259</v>
      </c>
      <c r="BI85" s="1043">
        <f>BI84+$I$85</f>
        <v>58.154286333412259</v>
      </c>
      <c r="BJ85" s="1043">
        <f>BJ84+$I$85</f>
        <v>58.154286333412259</v>
      </c>
      <c r="BK85" s="1044">
        <f>BK84+$I$85</f>
        <v>65.537140999763238</v>
      </c>
      <c r="BL85" s="1045">
        <f>AVERAGE(BH85:BK85)</f>
        <v>60.000000000000007</v>
      </c>
      <c r="BM85" s="1042">
        <f>BM84+$I$85</f>
        <v>58.154286333412259</v>
      </c>
      <c r="BN85" s="1043">
        <f>BN84+$I$85</f>
        <v>58.154286333412259</v>
      </c>
      <c r="BO85" s="1043">
        <f>BO84+$I$85</f>
        <v>58.154286333412259</v>
      </c>
      <c r="BP85" s="1044">
        <f>BP84+$I$85</f>
        <v>65.537140999763238</v>
      </c>
      <c r="BQ85" s="1047">
        <f>AVERAGE(BM85:BP85)</f>
        <v>60.000000000000007</v>
      </c>
      <c r="BR85" s="87"/>
      <c r="BS85" s="87"/>
      <c r="BT85" s="12"/>
      <c r="BU85" s="91"/>
      <c r="BV85" s="91"/>
      <c r="BW85" s="91"/>
      <c r="BX85" s="91"/>
      <c r="BY85" s="91"/>
      <c r="BZ85" s="91"/>
      <c r="CA85" s="91"/>
      <c r="CB85" s="91"/>
      <c r="CC85" s="91"/>
      <c r="CD85" s="91"/>
      <c r="CE85" s="91"/>
      <c r="CF85" s="91"/>
      <c r="CG85" s="91"/>
      <c r="CH85" s="91"/>
      <c r="CI85" s="91"/>
      <c r="CJ85" s="91"/>
      <c r="CK85" s="91"/>
      <c r="CL85" s="91"/>
      <c r="CM85" s="91"/>
      <c r="CN85" s="91"/>
      <c r="CO85" s="91"/>
      <c r="CP85" s="91"/>
      <c r="CQ85" s="91"/>
      <c r="CR85" s="1018"/>
      <c r="CS85" s="1018"/>
      <c r="CT85" s="821"/>
      <c r="CU85" s="12"/>
      <c r="CV85" s="12"/>
      <c r="CW85" s="12"/>
      <c r="CX85" s="12"/>
      <c r="CY85" s="12"/>
      <c r="CZ85" s="91"/>
      <c r="DA85" s="91"/>
      <c r="DB85" s="91"/>
      <c r="DC85" s="91"/>
      <c r="DD85" s="91"/>
      <c r="DE85" s="91"/>
      <c r="DF85" s="12"/>
      <c r="DG85" s="12"/>
      <c r="DH85" s="12"/>
      <c r="DI85" s="12"/>
      <c r="DJ85" s="12"/>
      <c r="DK85" s="12"/>
      <c r="DL85" s="12"/>
      <c r="DM85" s="12"/>
      <c r="DN85" s="12"/>
    </row>
    <row r="86" spans="1:128">
      <c r="A86" s="91"/>
      <c r="B86" s="89"/>
      <c r="C86" s="1246" t="s">
        <v>524</v>
      </c>
      <c r="D86" s="87"/>
      <c r="E86" s="145"/>
      <c r="F86" s="146"/>
      <c r="G86" s="146"/>
      <c r="H86" s="147"/>
      <c r="I86" s="1046">
        <v>10</v>
      </c>
      <c r="J86" s="145"/>
      <c r="K86" s="146"/>
      <c r="L86" s="146"/>
      <c r="M86" s="147"/>
      <c r="N86" s="89"/>
      <c r="O86" s="145"/>
      <c r="P86" s="146"/>
      <c r="Q86" s="146"/>
      <c r="R86" s="147"/>
      <c r="S86" s="1033"/>
      <c r="T86" s="1042">
        <f>+T84+$I$86</f>
        <v>80.069230769230771</v>
      </c>
      <c r="U86" s="1043">
        <f>+U84+$I$86</f>
        <v>69.92307692307692</v>
      </c>
      <c r="V86" s="1043">
        <f>+V84+$I$86</f>
        <v>71.334615384615404</v>
      </c>
      <c r="W86" s="1044">
        <f>+W84+$I$86</f>
        <v>76.634615384615373</v>
      </c>
      <c r="X86" s="1045">
        <f>AVERAGE(T86:W86)</f>
        <v>74.490384615384613</v>
      </c>
      <c r="Y86" s="1042">
        <f>+Y84+$I$86</f>
        <v>76.511538461538478</v>
      </c>
      <c r="Z86" s="1043">
        <f>+Z84+$I$86</f>
        <v>76.914615384615374</v>
      </c>
      <c r="AA86" s="1043">
        <f>+AA84+$I$86</f>
        <v>74.0053846153846</v>
      </c>
      <c r="AB86" s="1044">
        <f>+AB84+$I$86</f>
        <v>72.446153846153834</v>
      </c>
      <c r="AC86" s="1045">
        <f>AVERAGE(Y86:AB86)</f>
        <v>74.969423076923078</v>
      </c>
      <c r="AD86" s="1042">
        <f>+AD84+$I$86</f>
        <v>73.813846153846157</v>
      </c>
      <c r="AE86" s="1043">
        <f>+AE84+$I$86</f>
        <v>70.582307692307708</v>
      </c>
      <c r="AF86" s="1043">
        <f>+AF84+$I$86</f>
        <v>67.336923076923085</v>
      </c>
      <c r="AG86" s="1044">
        <f>+AG84+$I$86</f>
        <v>66.106923076923081</v>
      </c>
      <c r="AH86" s="1045">
        <f>AVERAGE(AD86:AG86)</f>
        <v>69.460000000000008</v>
      </c>
      <c r="AI86" s="1042">
        <f>+AI84+$I$86</f>
        <v>63.513846153846139</v>
      </c>
      <c r="AJ86" s="1043">
        <f>+AJ84+$I$86</f>
        <v>62.858461538461547</v>
      </c>
      <c r="AK86" s="1043">
        <f>+AK84+$I$86</f>
        <v>60.784615384615385</v>
      </c>
      <c r="AL86" s="1044">
        <f>+AL84+$I$86</f>
        <v>56.303846153846159</v>
      </c>
      <c r="AM86" s="1045">
        <f>AVERAGE(AI86:AL86)</f>
        <v>60.865192307692311</v>
      </c>
      <c r="AN86" s="1042">
        <f>+AN84+$I$86</f>
        <v>52.380769230769232</v>
      </c>
      <c r="AO86" s="1043">
        <f>+AO84+$I$86</f>
        <v>51.192307692307693</v>
      </c>
      <c r="AP86" s="1043">
        <f>+AP84+$I$86</f>
        <v>50.928571428571438</v>
      </c>
      <c r="AQ86" s="1044">
        <f>+AQ84+$I$86</f>
        <v>54.896153846153844</v>
      </c>
      <c r="AR86" s="1045">
        <f>AVERAGE(AN86:AQ86)</f>
        <v>52.349450549450552</v>
      </c>
      <c r="AS86" s="1042">
        <f>+AS84+$I$86</f>
        <v>62.46153846153846</v>
      </c>
      <c r="AT86" s="1043">
        <f>+AT84+$I$86</f>
        <v>62.46153846153846</v>
      </c>
      <c r="AU86" s="1043">
        <f t="shared" ref="AU86:AV86" si="152">+AU84+$I$86</f>
        <v>62.98846153846155</v>
      </c>
      <c r="AV86" s="1044">
        <f t="shared" si="152"/>
        <v>68.261538461538478</v>
      </c>
      <c r="AW86" s="1045">
        <f>AVERAGE(AS86:AV86)</f>
        <v>64.043269230769241</v>
      </c>
      <c r="AX86" s="1042">
        <f>+AX84+$I$86</f>
        <v>70.850000000000009</v>
      </c>
      <c r="AY86" s="1043">
        <f>+AY84+$I$86</f>
        <v>59</v>
      </c>
      <c r="AZ86" s="1043">
        <f>+AZ84+$I$86</f>
        <v>59</v>
      </c>
      <c r="BA86" s="1044">
        <f>+BA84+$I$86</f>
        <v>59</v>
      </c>
      <c r="BB86" s="1045">
        <f>AVERAGE(AX86:BA86)</f>
        <v>61.962500000000006</v>
      </c>
      <c r="BC86" s="1042">
        <f>+BC84+$I$86</f>
        <v>58.154286333412259</v>
      </c>
      <c r="BD86" s="1043">
        <f>+BD84+$I$86</f>
        <v>58.154286333412259</v>
      </c>
      <c r="BE86" s="1043">
        <f>+BE84+$I$86</f>
        <v>58.154286333412259</v>
      </c>
      <c r="BF86" s="1044">
        <f>+BF84+$I$86</f>
        <v>65.537140999763238</v>
      </c>
      <c r="BG86" s="1045">
        <f>AVERAGE(BC86:BF86)</f>
        <v>60.000000000000007</v>
      </c>
      <c r="BH86" s="1042">
        <f>+BH84+$I$86</f>
        <v>58.154286333412259</v>
      </c>
      <c r="BI86" s="1043">
        <f>+BI84+$I$86</f>
        <v>58.154286333412259</v>
      </c>
      <c r="BJ86" s="1043">
        <f>+BJ84+$I$86</f>
        <v>58.154286333412259</v>
      </c>
      <c r="BK86" s="1044">
        <f>+BK84+$I$86</f>
        <v>65.537140999763238</v>
      </c>
      <c r="BL86" s="1045">
        <f>AVERAGE(BH86:BK86)</f>
        <v>60.000000000000007</v>
      </c>
      <c r="BM86" s="1042">
        <f>+BM84+$I$86</f>
        <v>58.154286333412259</v>
      </c>
      <c r="BN86" s="1043">
        <f>+BN84+$I$86</f>
        <v>58.154286333412259</v>
      </c>
      <c r="BO86" s="1043">
        <f>+BO84+$I$86</f>
        <v>58.154286333412259</v>
      </c>
      <c r="BP86" s="1044">
        <f>+BP84+$I$86</f>
        <v>65.537140999763238</v>
      </c>
      <c r="BQ86" s="1047">
        <f>AVERAGE(BM86:BP86)</f>
        <v>60.000000000000007</v>
      </c>
      <c r="BR86" s="87"/>
      <c r="BS86" s="87"/>
      <c r="BT86" s="87"/>
      <c r="BU86" s="87"/>
      <c r="BV86" s="87"/>
      <c r="BW86" s="87"/>
      <c r="BX86" s="87"/>
      <c r="BY86" s="87"/>
      <c r="BZ86" s="87"/>
      <c r="CA86" s="87"/>
      <c r="CB86" s="87"/>
      <c r="CC86" s="87"/>
      <c r="CD86" s="87"/>
      <c r="CE86" s="87"/>
      <c r="CF86" s="87"/>
      <c r="CG86" s="87"/>
      <c r="CH86" s="87"/>
      <c r="CI86" s="87"/>
      <c r="CJ86" s="87"/>
      <c r="CK86" s="87"/>
      <c r="CL86" s="87"/>
      <c r="CM86" s="87"/>
      <c r="CN86" s="87"/>
      <c r="CO86" s="87"/>
      <c r="CP86" s="91"/>
      <c r="CQ86" s="91"/>
      <c r="CR86" s="1018"/>
      <c r="CS86" s="1018"/>
      <c r="CT86" s="821"/>
      <c r="CU86" s="12"/>
      <c r="CV86" s="12"/>
      <c r="CW86" s="12"/>
      <c r="CX86" s="12"/>
      <c r="CY86" s="12"/>
      <c r="CZ86" s="91"/>
      <c r="DA86" s="91"/>
      <c r="DB86" s="91"/>
      <c r="DC86" s="91"/>
      <c r="DD86" s="91"/>
      <c r="DE86" s="91"/>
      <c r="DF86" s="12"/>
      <c r="DG86" s="12"/>
      <c r="DH86" s="12"/>
      <c r="DI86" s="12"/>
      <c r="DJ86" s="12"/>
      <c r="DK86" s="12"/>
      <c r="DL86" s="12"/>
      <c r="DM86" s="12"/>
      <c r="DN86" s="12"/>
    </row>
    <row r="87" spans="1:128">
      <c r="A87" s="91"/>
      <c r="B87" s="89"/>
      <c r="C87" s="1246"/>
      <c r="D87" s="87"/>
      <c r="E87" s="145"/>
      <c r="F87" s="146"/>
      <c r="G87" s="146"/>
      <c r="H87" s="147"/>
      <c r="I87" s="89"/>
      <c r="J87" s="145"/>
      <c r="K87" s="146"/>
      <c r="L87" s="146"/>
      <c r="M87" s="147"/>
      <c r="N87" s="89"/>
      <c r="O87" s="145"/>
      <c r="P87" s="146"/>
      <c r="Q87" s="146"/>
      <c r="R87" s="147"/>
      <c r="S87" s="1033"/>
      <c r="T87" s="1042"/>
      <c r="U87" s="1043"/>
      <c r="V87" s="1043"/>
      <c r="W87" s="1044"/>
      <c r="X87" s="1045"/>
      <c r="Y87" s="1042"/>
      <c r="Z87" s="1043"/>
      <c r="AA87" s="1043"/>
      <c r="AB87" s="1044"/>
      <c r="AC87" s="1045"/>
      <c r="AD87" s="1042"/>
      <c r="AE87" s="1043"/>
      <c r="AF87" s="1043"/>
      <c r="AG87" s="1044"/>
      <c r="AH87" s="1045"/>
      <c r="AI87" s="1042"/>
      <c r="AJ87" s="1043"/>
      <c r="AK87" s="1043"/>
      <c r="AL87" s="1044"/>
      <c r="AM87" s="1045"/>
      <c r="AN87" s="1042"/>
      <c r="AO87" s="1043"/>
      <c r="AP87" s="1043"/>
      <c r="AQ87" s="1044"/>
      <c r="AR87" s="1045"/>
      <c r="AS87" s="1042"/>
      <c r="AT87" s="1043"/>
      <c r="AU87" s="1043"/>
      <c r="AV87" s="1044"/>
      <c r="AW87" s="1045"/>
      <c r="AX87" s="1042"/>
      <c r="AY87" s="1043"/>
      <c r="AZ87" s="1043"/>
      <c r="BA87" s="1044"/>
      <c r="BB87" s="1045"/>
      <c r="BC87" s="1042"/>
      <c r="BD87" s="1043"/>
      <c r="BE87" s="1043"/>
      <c r="BF87" s="1044"/>
      <c r="BG87" s="1045"/>
      <c r="BH87" s="1042"/>
      <c r="BI87" s="1043"/>
      <c r="BJ87" s="1043"/>
      <c r="BK87" s="1044"/>
      <c r="BL87" s="1045"/>
      <c r="BM87" s="1042"/>
      <c r="BN87" s="1043"/>
      <c r="BO87" s="1043"/>
      <c r="BP87" s="1044"/>
      <c r="BQ87" s="1047"/>
      <c r="BR87" s="87"/>
      <c r="BS87" s="87"/>
      <c r="BT87" s="87"/>
      <c r="BU87" s="87"/>
      <c r="BV87" s="87"/>
      <c r="BW87" s="87"/>
      <c r="BX87" s="87"/>
      <c r="BY87" s="87"/>
      <c r="BZ87" s="87"/>
      <c r="CA87" s="87"/>
      <c r="CB87" s="87"/>
      <c r="CC87" s="87"/>
      <c r="CD87" s="87"/>
      <c r="CE87" s="87"/>
      <c r="CF87" s="87"/>
      <c r="CG87" s="87"/>
      <c r="CH87" s="87"/>
      <c r="CI87" s="87"/>
      <c r="CJ87" s="87"/>
      <c r="CK87" s="87"/>
      <c r="CL87" s="87"/>
      <c r="CM87" s="87"/>
      <c r="CN87" s="87"/>
      <c r="CO87" s="87"/>
      <c r="CP87" s="91"/>
      <c r="CQ87" s="91"/>
      <c r="CR87" s="1018"/>
      <c r="CS87" s="1018"/>
      <c r="CT87" s="821"/>
      <c r="CU87" s="12"/>
      <c r="CV87" s="12"/>
      <c r="CW87" s="12"/>
      <c r="CX87" s="12"/>
      <c r="CY87" s="12"/>
      <c r="CZ87" s="91"/>
      <c r="DA87" s="91"/>
      <c r="DB87" s="91"/>
      <c r="DC87" s="91"/>
      <c r="DD87" s="91"/>
      <c r="DE87" s="91"/>
      <c r="DF87" s="12"/>
      <c r="DG87" s="12"/>
      <c r="DH87" s="12"/>
      <c r="DI87" s="12"/>
      <c r="DJ87" s="12"/>
      <c r="DK87" s="12"/>
      <c r="DL87" s="12"/>
      <c r="DM87" s="12"/>
      <c r="DN87" s="12"/>
    </row>
    <row r="88" spans="1:128">
      <c r="A88" s="91"/>
      <c r="B88" s="89"/>
      <c r="C88" s="1246" t="s">
        <v>525</v>
      </c>
      <c r="D88" s="87"/>
      <c r="E88" s="145"/>
      <c r="F88" s="146"/>
      <c r="G88" s="146"/>
      <c r="H88" s="147"/>
      <c r="I88" s="89"/>
      <c r="J88" s="145"/>
      <c r="K88" s="146"/>
      <c r="L88" s="146"/>
      <c r="M88" s="147"/>
      <c r="N88" s="89"/>
      <c r="O88" s="145"/>
      <c r="P88" s="146"/>
      <c r="Q88" s="146"/>
      <c r="R88" s="147"/>
      <c r="S88" s="1033"/>
      <c r="T88" s="1042">
        <f>+'Market Prices'!O10</f>
        <v>9.8423076923076955</v>
      </c>
      <c r="U88" s="1043">
        <f>+'Market Prices'!P10</f>
        <v>9.1000000000000014</v>
      </c>
      <c r="V88" s="1043">
        <f>+'Market Prices'!Q10</f>
        <v>8.8346153846153861</v>
      </c>
      <c r="W88" s="1044">
        <f>+'Market Prices'!R10</f>
        <v>10.123076923076923</v>
      </c>
      <c r="X88" s="1045">
        <f>AVERAGE(T88:W88)</f>
        <v>9.4750000000000014</v>
      </c>
      <c r="Y88" s="1042">
        <f>+'Market Prices'!S10</f>
        <v>10.238461538461538</v>
      </c>
      <c r="Z88" s="1043">
        <f>+'Market Prices'!T10</f>
        <v>10.513846153846153</v>
      </c>
      <c r="AA88" s="1043">
        <f>+'Market Prices'!U10</f>
        <v>10.403846153846152</v>
      </c>
      <c r="AB88" s="1044">
        <f>+'Market Prices'!V10</f>
        <v>10.982307692307691</v>
      </c>
      <c r="AC88" s="1045">
        <f>AVERAGE(Y88:AB88)</f>
        <v>10.534615384615384</v>
      </c>
      <c r="AD88" s="1042">
        <f>+'Market Prices'!W10</f>
        <v>12.356153846153846</v>
      </c>
      <c r="AE88" s="1043">
        <f>+'Market Prices'!X10</f>
        <v>12.986153846153845</v>
      </c>
      <c r="AF88" s="1043">
        <f>+'Market Prices'!Y10</f>
        <v>11.965384615384615</v>
      </c>
      <c r="AG88" s="1044">
        <f>+'Market Prices'!Z10</f>
        <v>11.526923076923076</v>
      </c>
      <c r="AH88" s="1045">
        <f>AVERAGE(AD88:AG88)</f>
        <v>12.208653846153846</v>
      </c>
      <c r="AI88" s="1042">
        <f>+'Market Prices'!AA10</f>
        <v>11.592307692307692</v>
      </c>
      <c r="AJ88" s="1043">
        <f>+'Market Prices'!AB10</f>
        <v>11.55</v>
      </c>
      <c r="AK88" s="1043">
        <f>+'Market Prices'!AC10</f>
        <v>11.592307692307692</v>
      </c>
      <c r="AL88" s="1044">
        <f>+'Market Prices'!AD10</f>
        <v>11.342307692307694</v>
      </c>
      <c r="AM88" s="1045">
        <f>AVERAGE(AI88:AL88)</f>
        <v>11.519230769230768</v>
      </c>
      <c r="AN88" s="1042">
        <f>+'Market Prices'!AE10</f>
        <v>9.7807692307692307</v>
      </c>
      <c r="AO88" s="1043">
        <f>+'Market Prices'!AF10</f>
        <v>9.1807692307692292</v>
      </c>
      <c r="AP88" s="1043">
        <f>+'Market Prices'!AG10</f>
        <v>8.6428571428571441</v>
      </c>
      <c r="AQ88" s="1044">
        <f>+'Market Prices'!AH10</f>
        <v>9.3461538461538467</v>
      </c>
      <c r="AR88" s="1045">
        <f>AVERAGE(AN88:AQ88)</f>
        <v>9.2376373626373631</v>
      </c>
      <c r="AS88" s="1042">
        <f>+'Market Prices'!AJ10</f>
        <v>11.597692307692309</v>
      </c>
      <c r="AT88" s="1043">
        <f>+'Market Prices'!AJ10</f>
        <v>11.597692307692309</v>
      </c>
      <c r="AU88" s="1043">
        <f>+'Market Prices'!AK10</f>
        <v>11.516153846153847</v>
      </c>
      <c r="AV88" s="1044">
        <f>+'Market Prices'!AL10</f>
        <v>11.923076923076922</v>
      </c>
      <c r="AW88" s="1045">
        <f>AVERAGE(AS88:AV88)</f>
        <v>11.658653846153847</v>
      </c>
      <c r="AX88" s="1042">
        <f>+'Market Prices'!AM10</f>
        <v>12.296153846153848</v>
      </c>
      <c r="AY88" s="1043">
        <f>+'Market Prices'!AN10</f>
        <v>11</v>
      </c>
      <c r="AZ88" s="1043">
        <f>+'Market Prices'!AO10</f>
        <v>11.35</v>
      </c>
      <c r="BA88" s="1044">
        <f>+'Market Prices'!AP10</f>
        <v>11.65</v>
      </c>
      <c r="BB88" s="1045">
        <f>AVERAGE(AX88:BA88)</f>
        <v>11.574038461538462</v>
      </c>
      <c r="BC88" s="1042">
        <f>+'Market Prices'!AQ10</f>
        <v>11.728652443964354</v>
      </c>
      <c r="BD88" s="1043">
        <f>+'Market Prices'!AR10</f>
        <v>11.728652443964354</v>
      </c>
      <c r="BE88" s="1043">
        <f>+'Market Prices'!AS10</f>
        <v>11.728652443964354</v>
      </c>
      <c r="BF88" s="1044">
        <f>+'Market Prices'!AT10</f>
        <v>11.414042668106942</v>
      </c>
      <c r="BG88" s="1045">
        <f>AVERAGE(BC88:BF88)</f>
        <v>11.650000000000002</v>
      </c>
      <c r="BH88" s="1042">
        <f>+'Market Prices'!AU10</f>
        <v>11.728652443964354</v>
      </c>
      <c r="BI88" s="1043">
        <f>+'Market Prices'!AV10</f>
        <v>11.728652443964354</v>
      </c>
      <c r="BJ88" s="1043">
        <f>+'Market Prices'!AW10</f>
        <v>11.728652443964354</v>
      </c>
      <c r="BK88" s="1044">
        <f>+'Market Prices'!AX10</f>
        <v>11.414042668106942</v>
      </c>
      <c r="BL88" s="1045">
        <f>AVERAGE(BH88:BK88)</f>
        <v>11.650000000000002</v>
      </c>
      <c r="BM88" s="1042">
        <f>+'Market Prices'!AY10</f>
        <v>11.728652443964354</v>
      </c>
      <c r="BN88" s="1043">
        <f>+'Market Prices'!AZ10</f>
        <v>11.728652443964354</v>
      </c>
      <c r="BO88" s="1043">
        <f>+'Market Prices'!BA10</f>
        <v>11.728652443964354</v>
      </c>
      <c r="BP88" s="1044">
        <f>+'Market Prices'!BB10</f>
        <v>11.414042668106942</v>
      </c>
      <c r="BQ88" s="1047">
        <f>AVERAGE(BM88:BP88)</f>
        <v>11.650000000000002</v>
      </c>
      <c r="BR88" s="87"/>
      <c r="BS88" s="87"/>
      <c r="BT88" s="87"/>
      <c r="BU88" s="87"/>
      <c r="BV88" s="87"/>
      <c r="BW88" s="87"/>
      <c r="BX88" s="87"/>
      <c r="BY88" s="87"/>
      <c r="BZ88" s="87"/>
      <c r="CA88" s="87"/>
      <c r="CB88" s="87"/>
      <c r="CC88" s="87"/>
      <c r="CD88" s="87"/>
      <c r="CE88" s="87"/>
      <c r="CF88" s="87"/>
      <c r="CG88" s="87"/>
      <c r="CH88" s="87"/>
      <c r="CI88" s="87"/>
      <c r="CJ88" s="87"/>
      <c r="CK88" s="87"/>
      <c r="CL88" s="87"/>
      <c r="CM88" s="87"/>
      <c r="CN88" s="87"/>
      <c r="CO88" s="87"/>
      <c r="CP88" s="91"/>
      <c r="CQ88" s="91"/>
      <c r="CR88" s="1018"/>
      <c r="CS88" s="1018"/>
      <c r="CT88" s="821"/>
      <c r="CU88" s="12"/>
      <c r="CV88" s="12"/>
      <c r="CW88" s="12"/>
      <c r="CX88" s="12"/>
      <c r="CY88" s="12"/>
      <c r="CZ88" s="91"/>
      <c r="DA88" s="91"/>
      <c r="DB88" s="91"/>
      <c r="DC88" s="91"/>
      <c r="DD88" s="91"/>
      <c r="DE88" s="91"/>
      <c r="DF88" s="12"/>
      <c r="DG88" s="12"/>
      <c r="DH88" s="12"/>
      <c r="DI88" s="12"/>
      <c r="DJ88" s="12"/>
      <c r="DK88" s="12"/>
      <c r="DL88" s="12"/>
      <c r="DM88" s="12"/>
      <c r="DN88" s="12"/>
    </row>
    <row r="89" spans="1:128">
      <c r="A89" s="91"/>
      <c r="B89" s="89"/>
      <c r="C89" s="1246" t="s">
        <v>526</v>
      </c>
      <c r="D89" s="87"/>
      <c r="E89" s="145"/>
      <c r="F89" s="146"/>
      <c r="G89" s="146"/>
      <c r="H89" s="147"/>
      <c r="I89" s="1046">
        <v>30</v>
      </c>
      <c r="J89" s="145"/>
      <c r="K89" s="146"/>
      <c r="L89" s="146"/>
      <c r="M89" s="147"/>
      <c r="N89" s="89"/>
      <c r="O89" s="145"/>
      <c r="P89" s="146"/>
      <c r="Q89" s="146"/>
      <c r="R89" s="147"/>
      <c r="S89" s="1033"/>
      <c r="T89" s="1042">
        <f>T88+$I$89</f>
        <v>39.842307692307699</v>
      </c>
      <c r="U89" s="1043">
        <f>U88+$I$89</f>
        <v>39.1</v>
      </c>
      <c r="V89" s="1043">
        <f>V88+$I$89</f>
        <v>38.83461538461539</v>
      </c>
      <c r="W89" s="1044">
        <f>W88+$I$89</f>
        <v>40.123076923076923</v>
      </c>
      <c r="X89" s="1045">
        <f>AVERAGE(T89:W89)</f>
        <v>39.475000000000009</v>
      </c>
      <c r="Y89" s="1042">
        <f>Y88+$I$89</f>
        <v>40.238461538461536</v>
      </c>
      <c r="Z89" s="1043">
        <f>Z88+$I$89</f>
        <v>40.513846153846153</v>
      </c>
      <c r="AA89" s="1043">
        <f>AA88+$I$89</f>
        <v>40.403846153846153</v>
      </c>
      <c r="AB89" s="1044">
        <f>AB88+$I$89</f>
        <v>40.982307692307693</v>
      </c>
      <c r="AC89" s="1045">
        <f>AVERAGE(Y89:AB89)</f>
        <v>40.534615384615385</v>
      </c>
      <c r="AD89" s="1042">
        <f>AD88+$I$89</f>
        <v>42.356153846153845</v>
      </c>
      <c r="AE89" s="1043">
        <f>AE88+$I$89</f>
        <v>42.986153846153847</v>
      </c>
      <c r="AF89" s="1043">
        <f>AF88+$I$89</f>
        <v>41.965384615384615</v>
      </c>
      <c r="AG89" s="1044">
        <f>AG88+$I$89</f>
        <v>41.526923076923076</v>
      </c>
      <c r="AH89" s="1045">
        <f>AVERAGE(AD89:AG89)</f>
        <v>42.208653846153844</v>
      </c>
      <c r="AI89" s="1042">
        <f>AI88+$I$89</f>
        <v>41.592307692307692</v>
      </c>
      <c r="AJ89" s="1043">
        <f>AJ88+$I$89</f>
        <v>41.55</v>
      </c>
      <c r="AK89" s="1043">
        <f>AK88+$I$89</f>
        <v>41.592307692307692</v>
      </c>
      <c r="AL89" s="1044">
        <f>AL88+$I$89</f>
        <v>41.342307692307692</v>
      </c>
      <c r="AM89" s="1045">
        <f>AVERAGE(AI89:AL89)</f>
        <v>41.519230769230766</v>
      </c>
      <c r="AN89" s="1042">
        <f>AN88+$I$89</f>
        <v>39.780769230769231</v>
      </c>
      <c r="AO89" s="1043">
        <f>AO88+$I$89</f>
        <v>39.180769230769229</v>
      </c>
      <c r="AP89" s="1043">
        <f>AP88+$I$89</f>
        <v>38.642857142857146</v>
      </c>
      <c r="AQ89" s="1044">
        <f>AQ88+$I$89</f>
        <v>39.346153846153847</v>
      </c>
      <c r="AR89" s="1045">
        <f>AVERAGE(AN89:AQ89)</f>
        <v>39.237637362637358</v>
      </c>
      <c r="AS89" s="1042">
        <f>AS88+$I$89</f>
        <v>41.597692307692313</v>
      </c>
      <c r="AT89" s="1043">
        <f>AT88+$I$89</f>
        <v>41.597692307692313</v>
      </c>
      <c r="AU89" s="1043">
        <f t="shared" ref="AU89:AV89" si="153">AU88+$I$89</f>
        <v>41.516153846153848</v>
      </c>
      <c r="AV89" s="1044">
        <f t="shared" si="153"/>
        <v>41.92307692307692</v>
      </c>
      <c r="AW89" s="1045">
        <f>AVERAGE(AS89:AV89)</f>
        <v>41.658653846153854</v>
      </c>
      <c r="AX89" s="1042">
        <f>AX88+$I$89</f>
        <v>42.29615384615385</v>
      </c>
      <c r="AY89" s="1043">
        <f>AY88+$I$89</f>
        <v>41</v>
      </c>
      <c r="AZ89" s="1043">
        <f>AZ88+$I$89</f>
        <v>41.35</v>
      </c>
      <c r="BA89" s="1044">
        <f>BA88+$I$89</f>
        <v>41.65</v>
      </c>
      <c r="BB89" s="1045">
        <f>AVERAGE(AX89:BA89)</f>
        <v>41.574038461538464</v>
      </c>
      <c r="BC89" s="1042">
        <f>BC88+$I$89</f>
        <v>41.72865244396435</v>
      </c>
      <c r="BD89" s="1043">
        <f>BD88+$I$89</f>
        <v>41.72865244396435</v>
      </c>
      <c r="BE89" s="1043">
        <f>BE88+$I$89</f>
        <v>41.72865244396435</v>
      </c>
      <c r="BF89" s="1044">
        <f>BF88+$I$89</f>
        <v>41.414042668106944</v>
      </c>
      <c r="BG89" s="1045">
        <f>AVERAGE(BC89:BF89)</f>
        <v>41.65</v>
      </c>
      <c r="BH89" s="1042">
        <f>BH88+$I$89</f>
        <v>41.72865244396435</v>
      </c>
      <c r="BI89" s="1043">
        <f>BI88+$I$89</f>
        <v>41.72865244396435</v>
      </c>
      <c r="BJ89" s="1043">
        <f>BJ88+$I$89</f>
        <v>41.72865244396435</v>
      </c>
      <c r="BK89" s="1044">
        <f>BK88+$I$89</f>
        <v>41.414042668106944</v>
      </c>
      <c r="BL89" s="1045">
        <f>AVERAGE(BH89:BK89)</f>
        <v>41.65</v>
      </c>
      <c r="BM89" s="1042">
        <f>BM88+$I$89</f>
        <v>41.72865244396435</v>
      </c>
      <c r="BN89" s="1043">
        <f>BN88+$I$89</f>
        <v>41.72865244396435</v>
      </c>
      <c r="BO89" s="1043">
        <f>BO88+$I$89</f>
        <v>41.72865244396435</v>
      </c>
      <c r="BP89" s="1044">
        <f>BP88+$I$89</f>
        <v>41.414042668106944</v>
      </c>
      <c r="BQ89" s="1047">
        <f>AVERAGE(BM89:BP89)</f>
        <v>41.65</v>
      </c>
      <c r="BR89" s="87"/>
      <c r="BS89" s="87"/>
      <c r="BT89" s="87"/>
      <c r="BU89" s="87"/>
      <c r="BV89" s="87"/>
      <c r="BW89" s="87"/>
      <c r="BX89" s="87"/>
      <c r="BY89" s="87"/>
      <c r="BZ89" s="87"/>
      <c r="CA89" s="87"/>
      <c r="CB89" s="87"/>
      <c r="CC89" s="87"/>
      <c r="CD89" s="87"/>
      <c r="CE89" s="87"/>
      <c r="CF89" s="87"/>
      <c r="CG89" s="87"/>
      <c r="CH89" s="87"/>
      <c r="CI89" s="87"/>
      <c r="CJ89" s="87"/>
      <c r="CK89" s="87"/>
      <c r="CL89" s="87"/>
      <c r="CM89" s="87"/>
      <c r="CN89" s="87"/>
      <c r="CO89" s="87"/>
      <c r="CP89" s="91"/>
      <c r="CQ89" s="91"/>
      <c r="CR89" s="1018"/>
      <c r="CS89" s="1018"/>
      <c r="CT89" s="821"/>
      <c r="CU89" s="12"/>
      <c r="CV89" s="12"/>
      <c r="CW89" s="12"/>
      <c r="CX89" s="12"/>
      <c r="CY89" s="12"/>
      <c r="CZ89" s="91"/>
      <c r="DA89" s="91"/>
      <c r="DB89" s="91"/>
      <c r="DC89" s="91"/>
      <c r="DD89" s="91"/>
      <c r="DE89" s="91"/>
      <c r="DF89" s="12"/>
      <c r="DG89" s="12"/>
      <c r="DH89" s="12"/>
      <c r="DI89" s="12"/>
      <c r="DJ89" s="12"/>
      <c r="DK89" s="12"/>
      <c r="DL89" s="12"/>
      <c r="DM89" s="12"/>
      <c r="DN89" s="12"/>
    </row>
    <row r="90" spans="1:128">
      <c r="A90" s="91"/>
      <c r="B90" s="89"/>
      <c r="C90" s="1246"/>
      <c r="D90" s="89"/>
      <c r="E90" s="145"/>
      <c r="F90" s="146"/>
      <c r="G90" s="146"/>
      <c r="H90" s="147"/>
      <c r="I90" s="89"/>
      <c r="J90" s="145"/>
      <c r="K90" s="146"/>
      <c r="L90" s="146"/>
      <c r="M90" s="147"/>
      <c r="N90" s="89"/>
      <c r="O90" s="145"/>
      <c r="P90" s="146"/>
      <c r="Q90" s="146"/>
      <c r="R90" s="147"/>
      <c r="S90" s="89"/>
      <c r="T90" s="342"/>
      <c r="U90" s="150"/>
      <c r="V90" s="150"/>
      <c r="W90" s="343"/>
      <c r="X90" s="1045"/>
      <c r="Y90" s="1042"/>
      <c r="Z90" s="1043"/>
      <c r="AA90" s="1043"/>
      <c r="AB90" s="1044"/>
      <c r="AC90" s="1045"/>
      <c r="AD90" s="1042"/>
      <c r="AE90" s="1043"/>
      <c r="AF90" s="1043"/>
      <c r="AG90" s="1044"/>
      <c r="AH90" s="1045"/>
      <c r="AI90" s="1042"/>
      <c r="AJ90" s="1043"/>
      <c r="AK90" s="1043"/>
      <c r="AL90" s="1044"/>
      <c r="AM90" s="1045"/>
      <c r="AN90" s="1042"/>
      <c r="AO90" s="1043"/>
      <c r="AP90" s="1043"/>
      <c r="AQ90" s="1044"/>
      <c r="AR90" s="1045"/>
      <c r="AS90" s="1042"/>
      <c r="AT90" s="1043"/>
      <c r="AU90" s="1043"/>
      <c r="AV90" s="1044"/>
      <c r="AW90" s="1045"/>
      <c r="AX90" s="1042"/>
      <c r="AY90" s="1043"/>
      <c r="AZ90" s="1043"/>
      <c r="BA90" s="1044"/>
      <c r="BB90" s="1045"/>
      <c r="BC90" s="1042"/>
      <c r="BD90" s="1043"/>
      <c r="BE90" s="1043"/>
      <c r="BF90" s="1044"/>
      <c r="BG90" s="1045"/>
      <c r="BH90" s="1042"/>
      <c r="BI90" s="1043"/>
      <c r="BJ90" s="1043"/>
      <c r="BK90" s="1044"/>
      <c r="BL90" s="1045"/>
      <c r="BM90" s="1042"/>
      <c r="BN90" s="1043"/>
      <c r="BO90" s="1043"/>
      <c r="BP90" s="1044"/>
      <c r="BQ90" s="1047"/>
      <c r="BR90" s="87"/>
      <c r="BS90" s="87"/>
      <c r="BT90" s="87"/>
      <c r="BU90" s="87"/>
      <c r="BV90" s="87"/>
      <c r="BW90" s="87"/>
      <c r="BX90" s="87"/>
      <c r="BY90" s="87"/>
      <c r="BZ90" s="87"/>
      <c r="CA90" s="87"/>
      <c r="CB90" s="87"/>
      <c r="CC90" s="87"/>
      <c r="CD90" s="87"/>
      <c r="CE90" s="87"/>
      <c r="CF90" s="87"/>
      <c r="CG90" s="87"/>
      <c r="CH90" s="87"/>
      <c r="CI90" s="87"/>
      <c r="CJ90" s="87"/>
      <c r="CK90" s="87"/>
      <c r="CL90" s="87"/>
      <c r="CM90" s="87"/>
      <c r="CN90" s="87"/>
      <c r="CO90" s="87"/>
      <c r="CP90" s="91"/>
      <c r="CQ90" s="91"/>
      <c r="CR90" s="1018"/>
      <c r="CS90" s="1018"/>
      <c r="CT90" s="821"/>
      <c r="CU90" s="12"/>
      <c r="CV90" s="12"/>
      <c r="CW90" s="12"/>
      <c r="CX90" s="12"/>
      <c r="CY90" s="12"/>
      <c r="CZ90" s="91"/>
      <c r="DA90" s="91"/>
      <c r="DB90" s="91"/>
      <c r="DC90" s="91"/>
      <c r="DD90" s="91"/>
      <c r="DE90" s="91"/>
      <c r="DF90" s="12"/>
      <c r="DG90" s="12"/>
      <c r="DH90" s="12"/>
      <c r="DI90" s="12"/>
      <c r="DJ90" s="12"/>
      <c r="DK90" s="12"/>
      <c r="DL90" s="12"/>
      <c r="DM90" s="12"/>
      <c r="DN90" s="12"/>
    </row>
    <row r="91" spans="1:128">
      <c r="A91" s="1847"/>
      <c r="B91" s="89"/>
      <c r="C91" s="1848" t="s">
        <v>953</v>
      </c>
      <c r="D91" s="1849"/>
      <c r="E91" s="1850"/>
      <c r="F91" s="1851"/>
      <c r="G91" s="1851"/>
      <c r="H91" s="1851"/>
      <c r="I91" s="1852"/>
      <c r="J91" s="1851"/>
      <c r="K91" s="1851"/>
      <c r="L91" s="1851"/>
      <c r="M91" s="1853"/>
      <c r="N91" s="1854"/>
      <c r="O91" s="1850"/>
      <c r="P91" s="1851"/>
      <c r="Q91" s="1851"/>
      <c r="R91" s="1853"/>
      <c r="S91" s="1849"/>
      <c r="T91" s="1855"/>
      <c r="U91" s="1856"/>
      <c r="V91" s="1856"/>
      <c r="W91" s="1857"/>
      <c r="X91" s="1858"/>
      <c r="Y91" s="1859"/>
      <c r="Z91" s="1860"/>
      <c r="AA91" s="1860"/>
      <c r="AB91" s="1861"/>
      <c r="AC91" s="1858"/>
      <c r="AD91" s="1859"/>
      <c r="AE91" s="1860"/>
      <c r="AF91" s="1860"/>
      <c r="AG91" s="1861"/>
      <c r="AH91" s="1858"/>
      <c r="AI91" s="1859"/>
      <c r="AJ91" s="1860"/>
      <c r="AK91" s="1860"/>
      <c r="AL91" s="1861"/>
      <c r="AM91" s="1858"/>
      <c r="AN91" s="1859"/>
      <c r="AO91" s="1860"/>
      <c r="AP91" s="1860"/>
      <c r="AQ91" s="1861"/>
      <c r="AR91" s="1858"/>
      <c r="AS91" s="1859"/>
      <c r="AT91" s="1860"/>
      <c r="AU91" s="1860"/>
      <c r="AV91" s="1861"/>
      <c r="AW91" s="1858"/>
      <c r="AX91" s="1859"/>
      <c r="AY91" s="1860"/>
      <c r="AZ91" s="1860"/>
      <c r="BA91" s="1861"/>
      <c r="BB91" s="1858"/>
      <c r="BC91" s="1859"/>
      <c r="BD91" s="1860"/>
      <c r="BE91" s="1860"/>
      <c r="BF91" s="1861"/>
      <c r="BG91" s="1858"/>
      <c r="BH91" s="1862"/>
      <c r="BI91" s="1863"/>
      <c r="BJ91" s="1863"/>
      <c r="BK91" s="1864"/>
      <c r="BL91" s="1858"/>
      <c r="BM91" s="1862"/>
      <c r="BN91" s="1863"/>
      <c r="BO91" s="1863"/>
      <c r="BP91" s="1864"/>
      <c r="BQ91" s="1858"/>
      <c r="BR91" s="1884"/>
      <c r="BS91" s="87"/>
      <c r="BT91" s="87"/>
      <c r="BU91" s="87"/>
      <c r="BV91" s="87"/>
      <c r="BW91" s="87"/>
      <c r="BX91" s="87"/>
      <c r="BY91" s="87"/>
      <c r="BZ91" s="87"/>
      <c r="CA91" s="87"/>
      <c r="CB91" s="87"/>
      <c r="CC91" s="87"/>
      <c r="CD91" s="87"/>
      <c r="CE91" s="87"/>
      <c r="CF91" s="87"/>
      <c r="CG91" s="87"/>
      <c r="CH91" s="87"/>
      <c r="CI91" s="87"/>
      <c r="CJ91" s="87"/>
      <c r="CK91" s="87"/>
      <c r="CL91" s="87"/>
      <c r="CM91" s="87"/>
      <c r="CN91" s="87"/>
      <c r="CO91" s="87"/>
      <c r="CP91" s="1847"/>
      <c r="CQ91" s="1847"/>
      <c r="CR91" s="1847"/>
      <c r="CS91" s="1847"/>
      <c r="CT91" s="1847"/>
      <c r="CU91" s="1847"/>
      <c r="CV91" s="1847"/>
      <c r="CW91" s="1847"/>
      <c r="CX91" s="1847"/>
      <c r="CY91" s="1847"/>
      <c r="CZ91" s="1847"/>
      <c r="DA91" s="1847"/>
      <c r="DB91" s="1847"/>
      <c r="DC91" s="1847"/>
      <c r="DD91" s="1866"/>
      <c r="DE91" s="1865"/>
      <c r="DF91" s="1865"/>
      <c r="DG91" s="1865"/>
      <c r="DH91" s="1865"/>
      <c r="DI91" s="1865"/>
      <c r="DJ91" s="1847"/>
      <c r="DK91" s="1847"/>
      <c r="DL91" s="1847"/>
      <c r="DM91" s="1847"/>
      <c r="DN91" s="1847"/>
      <c r="DO91" s="1847"/>
      <c r="DP91" s="1865"/>
      <c r="DQ91" s="1865"/>
      <c r="DR91" s="1865"/>
      <c r="DS91" s="1865"/>
      <c r="DT91" s="1865"/>
      <c r="DU91" s="1865"/>
      <c r="DV91" s="1865"/>
      <c r="DW91" s="1865"/>
      <c r="DX91" s="1865"/>
    </row>
    <row r="92" spans="1:128">
      <c r="A92" s="1847"/>
      <c r="B92" s="89"/>
      <c r="C92" s="1867" t="s">
        <v>954</v>
      </c>
      <c r="D92" s="1849"/>
      <c r="E92" s="1850"/>
      <c r="F92" s="1851"/>
      <c r="G92" s="1851"/>
      <c r="H92" s="1851"/>
      <c r="I92" s="1852"/>
      <c r="J92" s="1851"/>
      <c r="K92" s="1851"/>
      <c r="L92" s="1851"/>
      <c r="M92" s="1853"/>
      <c r="N92" s="1854"/>
      <c r="O92" s="1850"/>
      <c r="P92" s="1851"/>
      <c r="Q92" s="1851"/>
      <c r="R92" s="1853"/>
      <c r="S92" s="1849"/>
      <c r="T92" s="1855"/>
      <c r="U92" s="1856"/>
      <c r="V92" s="1856"/>
      <c r="W92" s="1857"/>
      <c r="X92" s="1858"/>
      <c r="Y92" s="1859"/>
      <c r="Z92" s="1860"/>
      <c r="AA92" s="1860"/>
      <c r="AB92" s="1861"/>
      <c r="AC92" s="1858"/>
      <c r="AD92" s="1859"/>
      <c r="AE92" s="1860"/>
      <c r="AF92" s="1860"/>
      <c r="AG92" s="1861"/>
      <c r="AH92" s="1858"/>
      <c r="AI92" s="1859"/>
      <c r="AJ92" s="1860"/>
      <c r="AK92" s="1860"/>
      <c r="AL92" s="1861"/>
      <c r="AM92" s="1858"/>
      <c r="AN92" s="1859"/>
      <c r="AO92" s="1860"/>
      <c r="AP92" s="1860"/>
      <c r="AQ92" s="1861"/>
      <c r="AR92" s="1858"/>
      <c r="AS92" s="1859"/>
      <c r="AT92" s="1860"/>
      <c r="AU92" s="1860"/>
      <c r="AV92" s="1861"/>
      <c r="AW92" s="1858"/>
      <c r="AX92" s="1859"/>
      <c r="AY92" s="1860"/>
      <c r="AZ92" s="1860"/>
      <c r="BA92" s="1861"/>
      <c r="BB92" s="1858"/>
      <c r="BC92" s="1859"/>
      <c r="BD92" s="1860"/>
      <c r="BE92" s="1860"/>
      <c r="BF92" s="1861"/>
      <c r="BG92" s="1858"/>
      <c r="BH92" s="1862">
        <f>BI92</f>
        <v>0</v>
      </c>
      <c r="BI92" s="1863">
        <f>BJ92</f>
        <v>0</v>
      </c>
      <c r="BJ92" s="1863">
        <f>BK92</f>
        <v>0</v>
      </c>
      <c r="BK92" s="1864">
        <f>BL92</f>
        <v>0</v>
      </c>
      <c r="BL92" s="1858">
        <f>Valuation!CG37</f>
        <v>0</v>
      </c>
      <c r="BM92" s="1862">
        <f>BN92</f>
        <v>0</v>
      </c>
      <c r="BN92" s="1863">
        <f>BO92</f>
        <v>0</v>
      </c>
      <c r="BO92" s="1863">
        <f>BP92</f>
        <v>0</v>
      </c>
      <c r="BP92" s="1864">
        <f>BQ92</f>
        <v>0</v>
      </c>
      <c r="BQ92" s="1882">
        <f>Valuation!CG37</f>
        <v>0</v>
      </c>
      <c r="BR92" s="1884"/>
      <c r="BS92" s="87"/>
      <c r="BT92" s="87"/>
      <c r="BU92" s="87"/>
      <c r="BV92" s="87"/>
      <c r="BW92" s="87"/>
      <c r="BX92" s="87"/>
      <c r="BY92" s="87"/>
      <c r="BZ92" s="87"/>
      <c r="CA92" s="87"/>
      <c r="CB92" s="87"/>
      <c r="CC92" s="87"/>
      <c r="CD92" s="87"/>
      <c r="CE92" s="87"/>
      <c r="CF92" s="87"/>
      <c r="CG92" s="87"/>
      <c r="CH92" s="87"/>
      <c r="CI92" s="87"/>
      <c r="CJ92" s="87"/>
      <c r="CK92" s="87"/>
      <c r="CL92" s="87"/>
      <c r="CM92" s="87"/>
      <c r="CN92" s="87"/>
      <c r="CO92" s="87"/>
      <c r="CP92" s="1847"/>
      <c r="CQ92" s="1847"/>
      <c r="CR92" s="1847"/>
      <c r="CS92" s="1847"/>
      <c r="CT92" s="1847"/>
      <c r="CU92" s="1847"/>
      <c r="CV92" s="1847"/>
      <c r="CW92" s="1847"/>
      <c r="CX92" s="1847"/>
      <c r="CY92" s="1847"/>
      <c r="CZ92" s="1847"/>
      <c r="DA92" s="1847"/>
      <c r="DB92" s="1847"/>
      <c r="DC92" s="1847"/>
      <c r="DD92" s="1866"/>
      <c r="DE92" s="1865"/>
      <c r="DF92" s="1865"/>
      <c r="DG92" s="1865"/>
      <c r="DH92" s="1865"/>
      <c r="DI92" s="1865"/>
      <c r="DJ92" s="1847"/>
      <c r="DK92" s="1847"/>
      <c r="DL92" s="1847"/>
      <c r="DM92" s="1847"/>
      <c r="DN92" s="1847"/>
      <c r="DO92" s="1847"/>
      <c r="DP92" s="1865"/>
      <c r="DQ92" s="1865"/>
      <c r="DR92" s="1865"/>
      <c r="DS92" s="1865"/>
      <c r="DT92" s="1865"/>
      <c r="DU92" s="1865"/>
      <c r="DV92" s="1865"/>
      <c r="DW92" s="1865"/>
      <c r="DX92" s="1865"/>
    </row>
    <row r="93" spans="1:128">
      <c r="A93" s="1847"/>
      <c r="B93" s="89"/>
      <c r="C93" s="1867" t="s">
        <v>955</v>
      </c>
      <c r="D93" s="1849"/>
      <c r="E93" s="1850"/>
      <c r="F93" s="1851"/>
      <c r="G93" s="1851"/>
      <c r="H93" s="1851"/>
      <c r="I93" s="1868">
        <v>0.6</v>
      </c>
      <c r="J93" s="1851"/>
      <c r="K93" s="1851"/>
      <c r="L93" s="1851"/>
      <c r="M93" s="1853"/>
      <c r="N93" s="1854" t="s">
        <v>956</v>
      </c>
      <c r="O93" s="1850"/>
      <c r="P93" s="1851"/>
      <c r="Q93" s="1851"/>
      <c r="R93" s="1853"/>
      <c r="S93" s="1849"/>
      <c r="T93" s="1855"/>
      <c r="U93" s="1856"/>
      <c r="V93" s="1856"/>
      <c r="W93" s="1857"/>
      <c r="X93" s="1858"/>
      <c r="Y93" s="1859"/>
      <c r="Z93" s="1860"/>
      <c r="AA93" s="1860"/>
      <c r="AB93" s="1861"/>
      <c r="AC93" s="1858"/>
      <c r="AD93" s="1859"/>
      <c r="AE93" s="1860"/>
      <c r="AF93" s="1860"/>
      <c r="AG93" s="1861"/>
      <c r="AH93" s="1858"/>
      <c r="AI93" s="1859"/>
      <c r="AJ93" s="1860"/>
      <c r="AK93" s="1860"/>
      <c r="AL93" s="1861"/>
      <c r="AM93" s="1858"/>
      <c r="AN93" s="1859"/>
      <c r="AO93" s="1860"/>
      <c r="AP93" s="1860"/>
      <c r="AQ93" s="1861"/>
      <c r="AR93" s="1858"/>
      <c r="AS93" s="1859"/>
      <c r="AT93" s="1860"/>
      <c r="AU93" s="1860"/>
      <c r="AV93" s="1861"/>
      <c r="AW93" s="1858"/>
      <c r="AX93" s="1859"/>
      <c r="AY93" s="1860"/>
      <c r="AZ93" s="1860"/>
      <c r="BA93" s="1861"/>
      <c r="BB93" s="1858"/>
      <c r="BC93" s="1859"/>
      <c r="BD93" s="1860"/>
      <c r="BE93" s="1860"/>
      <c r="BF93" s="1861"/>
      <c r="BG93" s="1858"/>
      <c r="BH93" s="1862">
        <f t="shared" ref="BH93:BQ93" si="154">$I$93*BH$92</f>
        <v>0</v>
      </c>
      <c r="BI93" s="1863">
        <f t="shared" si="154"/>
        <v>0</v>
      </c>
      <c r="BJ93" s="1863">
        <f t="shared" si="154"/>
        <v>0</v>
      </c>
      <c r="BK93" s="1864">
        <f t="shared" si="154"/>
        <v>0</v>
      </c>
      <c r="BL93" s="1858">
        <f t="shared" si="154"/>
        <v>0</v>
      </c>
      <c r="BM93" s="1862">
        <f t="shared" si="154"/>
        <v>0</v>
      </c>
      <c r="BN93" s="1863">
        <f t="shared" si="154"/>
        <v>0</v>
      </c>
      <c r="BO93" s="1863">
        <f t="shared" si="154"/>
        <v>0</v>
      </c>
      <c r="BP93" s="1864">
        <f t="shared" si="154"/>
        <v>0</v>
      </c>
      <c r="BQ93" s="1883">
        <f t="shared" si="154"/>
        <v>0</v>
      </c>
      <c r="BR93" s="1884"/>
      <c r="BS93" s="87"/>
      <c r="BT93" s="87"/>
      <c r="BU93" s="87"/>
      <c r="BV93" s="87"/>
      <c r="BW93" s="87"/>
      <c r="BX93" s="87"/>
      <c r="BY93" s="87"/>
      <c r="BZ93" s="87"/>
      <c r="CA93" s="87"/>
      <c r="CB93" s="87"/>
      <c r="CC93" s="87"/>
      <c r="CD93" s="87"/>
      <c r="CE93" s="87"/>
      <c r="CF93" s="87"/>
      <c r="CG93" s="87"/>
      <c r="CH93" s="87"/>
      <c r="CI93" s="87"/>
      <c r="CJ93" s="87"/>
      <c r="CK93" s="87"/>
      <c r="CL93" s="87"/>
      <c r="CM93" s="87"/>
      <c r="CN93" s="87"/>
      <c r="CO93" s="87"/>
      <c r="CP93" s="1847"/>
      <c r="CQ93" s="1847"/>
      <c r="CR93" s="1847"/>
      <c r="CS93" s="1847"/>
      <c r="CT93" s="1847"/>
      <c r="CU93" s="1847"/>
      <c r="CV93" s="1847"/>
      <c r="CW93" s="1847"/>
      <c r="CX93" s="1847"/>
      <c r="CY93" s="1847"/>
      <c r="CZ93" s="1847"/>
      <c r="DA93" s="1847"/>
      <c r="DB93" s="1847"/>
      <c r="DC93" s="1847"/>
      <c r="DD93" s="1866"/>
      <c r="DE93" s="1865"/>
      <c r="DF93" s="1865"/>
      <c r="DG93" s="1865"/>
      <c r="DH93" s="1865"/>
      <c r="DI93" s="1865"/>
      <c r="DJ93" s="1847"/>
      <c r="DK93" s="1847"/>
      <c r="DL93" s="1847"/>
      <c r="DM93" s="1847"/>
      <c r="DN93" s="1847"/>
      <c r="DO93" s="1847"/>
      <c r="DP93" s="1865"/>
      <c r="DQ93" s="1865"/>
      <c r="DR93" s="1865"/>
      <c r="DS93" s="1865"/>
      <c r="DT93" s="1865"/>
      <c r="DU93" s="1865"/>
      <c r="DV93" s="1865"/>
      <c r="DW93" s="1865"/>
      <c r="DX93" s="1865"/>
    </row>
    <row r="94" spans="1:128">
      <c r="A94" s="1847"/>
      <c r="B94" s="89"/>
      <c r="C94" s="1867" t="s">
        <v>957</v>
      </c>
      <c r="D94" s="1849"/>
      <c r="E94" s="1850"/>
      <c r="F94" s="1851"/>
      <c r="G94" s="1851"/>
      <c r="H94" s="1851"/>
      <c r="I94" s="1868">
        <v>0.4</v>
      </c>
      <c r="J94" s="1851"/>
      <c r="K94" s="1851"/>
      <c r="L94" s="1851"/>
      <c r="M94" s="1853"/>
      <c r="N94" s="1854"/>
      <c r="O94" s="1850"/>
      <c r="P94" s="1851"/>
      <c r="Q94" s="1851"/>
      <c r="R94" s="1853"/>
      <c r="S94" s="1849"/>
      <c r="T94" s="1855"/>
      <c r="U94" s="1856"/>
      <c r="V94" s="1856"/>
      <c r="W94" s="1857"/>
      <c r="X94" s="1858"/>
      <c r="Y94" s="1859"/>
      <c r="Z94" s="1860"/>
      <c r="AA94" s="1860"/>
      <c r="AB94" s="1861"/>
      <c r="AC94" s="1858"/>
      <c r="AD94" s="1859"/>
      <c r="AE94" s="1860"/>
      <c r="AF94" s="1860"/>
      <c r="AG94" s="1861"/>
      <c r="AH94" s="1858"/>
      <c r="AI94" s="1859"/>
      <c r="AJ94" s="1860"/>
      <c r="AK94" s="1860"/>
      <c r="AL94" s="1861"/>
      <c r="AM94" s="1858"/>
      <c r="AN94" s="1859"/>
      <c r="AO94" s="1860"/>
      <c r="AP94" s="1860"/>
      <c r="AQ94" s="1861"/>
      <c r="AR94" s="1858"/>
      <c r="AS94" s="1859"/>
      <c r="AT94" s="1860"/>
      <c r="AU94" s="1860"/>
      <c r="AV94" s="1861"/>
      <c r="AW94" s="1858"/>
      <c r="AX94" s="1859"/>
      <c r="AY94" s="1860"/>
      <c r="AZ94" s="1860"/>
      <c r="BA94" s="1861"/>
      <c r="BB94" s="1858"/>
      <c r="BC94" s="1859"/>
      <c r="BD94" s="1860"/>
      <c r="BE94" s="1860"/>
      <c r="BF94" s="1861"/>
      <c r="BG94" s="1858"/>
      <c r="BH94" s="1862">
        <f t="shared" ref="BH94:BQ94" si="155">BH$92*$I$94</f>
        <v>0</v>
      </c>
      <c r="BI94" s="1863">
        <f t="shared" si="155"/>
        <v>0</v>
      </c>
      <c r="BJ94" s="1863">
        <f t="shared" si="155"/>
        <v>0</v>
      </c>
      <c r="BK94" s="1864">
        <f t="shared" si="155"/>
        <v>0</v>
      </c>
      <c r="BL94" s="1858">
        <f t="shared" si="155"/>
        <v>0</v>
      </c>
      <c r="BM94" s="1862">
        <f t="shared" si="155"/>
        <v>0</v>
      </c>
      <c r="BN94" s="1863">
        <f t="shared" si="155"/>
        <v>0</v>
      </c>
      <c r="BO94" s="1863">
        <f t="shared" si="155"/>
        <v>0</v>
      </c>
      <c r="BP94" s="1864">
        <f t="shared" si="155"/>
        <v>0</v>
      </c>
      <c r="BQ94" s="1858">
        <f t="shared" si="155"/>
        <v>0</v>
      </c>
      <c r="BR94" s="1884"/>
      <c r="BS94" s="87"/>
      <c r="BT94" s="87"/>
      <c r="BU94" s="87"/>
      <c r="BV94" s="87"/>
      <c r="BW94" s="87"/>
      <c r="BX94" s="87"/>
      <c r="BY94" s="87"/>
      <c r="BZ94" s="87"/>
      <c r="CA94" s="87"/>
      <c r="CB94" s="87"/>
      <c r="CC94" s="87"/>
      <c r="CD94" s="87"/>
      <c r="CE94" s="87"/>
      <c r="CF94" s="87"/>
      <c r="CG94" s="87"/>
      <c r="CH94" s="87"/>
      <c r="CI94" s="87"/>
      <c r="CJ94" s="87"/>
      <c r="CK94" s="87"/>
      <c r="CL94" s="87"/>
      <c r="CM94" s="87"/>
      <c r="CN94" s="87"/>
      <c r="CO94" s="87"/>
      <c r="CP94" s="1847"/>
      <c r="CQ94" s="1847"/>
      <c r="CR94" s="1847"/>
      <c r="CS94" s="1847"/>
      <c r="CT94" s="1847"/>
      <c r="CU94" s="1847"/>
      <c r="CV94" s="1847"/>
      <c r="CW94" s="1847"/>
      <c r="CX94" s="1847"/>
      <c r="CY94" s="1847"/>
      <c r="CZ94" s="1847"/>
      <c r="DA94" s="1847"/>
      <c r="DB94" s="1847"/>
      <c r="DC94" s="1847"/>
      <c r="DD94" s="1866"/>
      <c r="DE94" s="1865"/>
      <c r="DF94" s="1865"/>
      <c r="DG94" s="1865"/>
      <c r="DH94" s="1865"/>
      <c r="DI94" s="1865"/>
      <c r="DJ94" s="1847"/>
      <c r="DK94" s="1847"/>
      <c r="DL94" s="1847"/>
      <c r="DM94" s="1847"/>
      <c r="DN94" s="1847"/>
      <c r="DO94" s="1847"/>
      <c r="DP94" s="1865"/>
      <c r="DQ94" s="1865"/>
      <c r="DR94" s="1865"/>
      <c r="DS94" s="1865"/>
      <c r="DT94" s="1865"/>
      <c r="DU94" s="1865"/>
      <c r="DV94" s="1865"/>
      <c r="DW94" s="1865"/>
      <c r="DX94" s="1865"/>
    </row>
    <row r="95" spans="1:128">
      <c r="A95" s="1847"/>
      <c r="B95" s="89"/>
      <c r="C95" s="1867" t="s">
        <v>958</v>
      </c>
      <c r="D95" s="1849"/>
      <c r="E95" s="1850"/>
      <c r="F95" s="1851"/>
      <c r="G95" s="1851"/>
      <c r="H95" s="1851"/>
      <c r="I95" s="1868">
        <v>1.1000000000000001</v>
      </c>
      <c r="J95" s="1851"/>
      <c r="K95" s="1851"/>
      <c r="L95" s="1851"/>
      <c r="M95" s="1853"/>
      <c r="N95" s="1854"/>
      <c r="O95" s="1850"/>
      <c r="P95" s="1851"/>
      <c r="Q95" s="1851"/>
      <c r="R95" s="1853"/>
      <c r="S95" s="1849"/>
      <c r="T95" s="1855"/>
      <c r="U95" s="1856"/>
      <c r="V95" s="1856"/>
      <c r="W95" s="1857"/>
      <c r="X95" s="1858"/>
      <c r="Y95" s="1859"/>
      <c r="Z95" s="1860"/>
      <c r="AA95" s="1860"/>
      <c r="AB95" s="1861"/>
      <c r="AC95" s="1858"/>
      <c r="AD95" s="1859"/>
      <c r="AE95" s="1860"/>
      <c r="AF95" s="1860"/>
      <c r="AG95" s="1861"/>
      <c r="AH95" s="1858"/>
      <c r="AI95" s="1859"/>
      <c r="AJ95" s="1860"/>
      <c r="AK95" s="1860"/>
      <c r="AL95" s="1861"/>
      <c r="AM95" s="1858"/>
      <c r="AN95" s="1859"/>
      <c r="AO95" s="1860"/>
      <c r="AP95" s="1860"/>
      <c r="AQ95" s="1861"/>
      <c r="AR95" s="1858"/>
      <c r="AS95" s="1859"/>
      <c r="AT95" s="1860"/>
      <c r="AU95" s="1860"/>
      <c r="AV95" s="1861"/>
      <c r="AW95" s="1858"/>
      <c r="AX95" s="1859"/>
      <c r="AY95" s="1860"/>
      <c r="AZ95" s="1860"/>
      <c r="BA95" s="1861"/>
      <c r="BB95" s="1858"/>
      <c r="BC95" s="1859"/>
      <c r="BD95" s="1860"/>
      <c r="BE95" s="1860"/>
      <c r="BF95" s="1861"/>
      <c r="BG95" s="1858"/>
      <c r="BH95" s="1862">
        <f t="shared" ref="BH95:BQ95" si="156">$I$95*BH$92</f>
        <v>0</v>
      </c>
      <c r="BI95" s="1863">
        <f t="shared" si="156"/>
        <v>0</v>
      </c>
      <c r="BJ95" s="1863">
        <f t="shared" si="156"/>
        <v>0</v>
      </c>
      <c r="BK95" s="1864">
        <f t="shared" si="156"/>
        <v>0</v>
      </c>
      <c r="BL95" s="1858">
        <f t="shared" si="156"/>
        <v>0</v>
      </c>
      <c r="BM95" s="1862">
        <f t="shared" si="156"/>
        <v>0</v>
      </c>
      <c r="BN95" s="1863">
        <f t="shared" si="156"/>
        <v>0</v>
      </c>
      <c r="BO95" s="1863">
        <f t="shared" si="156"/>
        <v>0</v>
      </c>
      <c r="BP95" s="1864">
        <f t="shared" si="156"/>
        <v>0</v>
      </c>
      <c r="BQ95" s="1858">
        <f t="shared" si="156"/>
        <v>0</v>
      </c>
      <c r="BR95" s="1884"/>
      <c r="BS95" s="87"/>
      <c r="BT95" s="87"/>
      <c r="BU95" s="87"/>
      <c r="BV95" s="87"/>
      <c r="BW95" s="87"/>
      <c r="BX95" s="87"/>
      <c r="BY95" s="87"/>
      <c r="BZ95" s="87"/>
      <c r="CA95" s="87"/>
      <c r="CB95" s="87"/>
      <c r="CC95" s="87"/>
      <c r="CD95" s="87"/>
      <c r="CE95" s="87"/>
      <c r="CF95" s="87"/>
      <c r="CG95" s="87"/>
      <c r="CH95" s="87"/>
      <c r="CI95" s="87"/>
      <c r="CJ95" s="87"/>
      <c r="CK95" s="87"/>
      <c r="CL95" s="87"/>
      <c r="CM95" s="87"/>
      <c r="CN95" s="87"/>
      <c r="CO95" s="87"/>
      <c r="CP95" s="1847"/>
      <c r="CQ95" s="1847"/>
      <c r="CR95" s="1847"/>
      <c r="CS95" s="1847"/>
      <c r="CT95" s="1847"/>
      <c r="CU95" s="1847"/>
      <c r="CV95" s="1847"/>
      <c r="CW95" s="1847"/>
      <c r="CX95" s="1847"/>
      <c r="CY95" s="1847"/>
      <c r="CZ95" s="1847"/>
      <c r="DA95" s="1847"/>
      <c r="DB95" s="1847"/>
      <c r="DC95" s="1847"/>
      <c r="DD95" s="1866"/>
      <c r="DE95" s="1865"/>
      <c r="DF95" s="1865"/>
      <c r="DG95" s="1865"/>
      <c r="DH95" s="1865"/>
      <c r="DI95" s="1865"/>
      <c r="DJ95" s="1847"/>
      <c r="DK95" s="1847"/>
      <c r="DL95" s="1847"/>
      <c r="DM95" s="1847"/>
      <c r="DN95" s="1847"/>
      <c r="DO95" s="1847"/>
      <c r="DP95" s="1865"/>
      <c r="DQ95" s="1865"/>
      <c r="DR95" s="1865"/>
      <c r="DS95" s="1865"/>
      <c r="DT95" s="1865"/>
      <c r="DU95" s="1865"/>
      <c r="DV95" s="1865"/>
      <c r="DW95" s="1865"/>
      <c r="DX95" s="1865"/>
    </row>
    <row r="96" spans="1:128">
      <c r="A96" s="91"/>
      <c r="B96" s="89"/>
      <c r="C96" s="1869"/>
      <c r="D96" s="1870"/>
      <c r="E96" s="1871"/>
      <c r="F96" s="1872"/>
      <c r="G96" s="1872"/>
      <c r="H96" s="1873"/>
      <c r="I96" s="1870"/>
      <c r="J96" s="1871"/>
      <c r="K96" s="1872"/>
      <c r="L96" s="1872"/>
      <c r="M96" s="1873"/>
      <c r="N96" s="1870"/>
      <c r="O96" s="1871"/>
      <c r="P96" s="1872"/>
      <c r="Q96" s="1872"/>
      <c r="R96" s="1873"/>
      <c r="S96" s="1870"/>
      <c r="T96" s="1874"/>
      <c r="U96" s="1875"/>
      <c r="V96" s="1875"/>
      <c r="W96" s="1876"/>
      <c r="X96" s="1877"/>
      <c r="Y96" s="1878"/>
      <c r="Z96" s="1879"/>
      <c r="AA96" s="1879"/>
      <c r="AB96" s="1880"/>
      <c r="AC96" s="1877"/>
      <c r="AD96" s="1878"/>
      <c r="AE96" s="1879"/>
      <c r="AF96" s="1879"/>
      <c r="AG96" s="1880"/>
      <c r="AH96" s="1877"/>
      <c r="AI96" s="1878"/>
      <c r="AJ96" s="1879"/>
      <c r="AK96" s="1879"/>
      <c r="AL96" s="1880"/>
      <c r="AM96" s="1877"/>
      <c r="AN96" s="1878"/>
      <c r="AO96" s="1879"/>
      <c r="AP96" s="1879"/>
      <c r="AQ96" s="1880"/>
      <c r="AR96" s="1877"/>
      <c r="AS96" s="1878"/>
      <c r="AT96" s="1879"/>
      <c r="AU96" s="1879"/>
      <c r="AV96" s="1880"/>
      <c r="AW96" s="1877"/>
      <c r="AX96" s="1878"/>
      <c r="AY96" s="1879"/>
      <c r="AZ96" s="1879"/>
      <c r="BA96" s="1880"/>
      <c r="BB96" s="1877"/>
      <c r="BC96" s="1878"/>
      <c r="BD96" s="1879"/>
      <c r="BE96" s="1879"/>
      <c r="BF96" s="1880"/>
      <c r="BG96" s="1877"/>
      <c r="BH96" s="1878"/>
      <c r="BI96" s="1879"/>
      <c r="BJ96" s="1879"/>
      <c r="BK96" s="1880"/>
      <c r="BL96" s="1877"/>
      <c r="BM96" s="1878"/>
      <c r="BN96" s="1879"/>
      <c r="BO96" s="1879"/>
      <c r="BP96" s="1880"/>
      <c r="BQ96" s="1881"/>
      <c r="BR96" s="87"/>
      <c r="BS96" s="87"/>
      <c r="BT96" s="87"/>
      <c r="BU96" s="87"/>
      <c r="BV96" s="87"/>
      <c r="BW96" s="87"/>
      <c r="BX96" s="87"/>
      <c r="BY96" s="87"/>
      <c r="BZ96" s="87"/>
      <c r="CA96" s="87"/>
      <c r="CB96" s="87"/>
      <c r="CC96" s="87"/>
      <c r="CD96" s="87"/>
      <c r="CE96" s="87"/>
      <c r="CF96" s="87"/>
      <c r="CG96" s="87"/>
      <c r="CH96" s="87"/>
      <c r="CI96" s="87"/>
      <c r="CJ96" s="87"/>
      <c r="CK96" s="87"/>
      <c r="CL96" s="87"/>
      <c r="CM96" s="87"/>
      <c r="CN96" s="87"/>
      <c r="CO96" s="87"/>
      <c r="CP96" s="91"/>
      <c r="CQ96" s="91"/>
      <c r="CR96" s="1018"/>
      <c r="CS96" s="1018"/>
      <c r="CT96" s="821"/>
      <c r="CU96" s="12"/>
      <c r="CV96" s="12"/>
      <c r="CW96" s="12"/>
      <c r="CX96" s="12"/>
      <c r="CY96" s="12"/>
      <c r="CZ96" s="91"/>
      <c r="DA96" s="91"/>
      <c r="DB96" s="91"/>
      <c r="DC96" s="91"/>
      <c r="DD96" s="91"/>
      <c r="DE96" s="91"/>
      <c r="DF96" s="12"/>
      <c r="DG96" s="12"/>
      <c r="DH96" s="12"/>
      <c r="DI96" s="12"/>
      <c r="DJ96" s="12"/>
      <c r="DK96" s="12"/>
      <c r="DL96" s="12"/>
      <c r="DM96" s="12"/>
      <c r="DN96" s="12"/>
    </row>
    <row r="97" spans="1:118" s="29" customFormat="1">
      <c r="A97" s="328"/>
      <c r="B97" s="328"/>
      <c r="C97" s="1222"/>
      <c r="D97" s="341"/>
      <c r="E97" s="344"/>
      <c r="F97" s="151"/>
      <c r="G97" s="151"/>
      <c r="H97" s="345"/>
      <c r="I97" s="274"/>
      <c r="J97" s="344"/>
      <c r="K97" s="151"/>
      <c r="L97" s="151"/>
      <c r="M97" s="345"/>
      <c r="N97" s="274"/>
      <c r="O97" s="344"/>
      <c r="P97" s="151"/>
      <c r="Q97" s="151"/>
      <c r="R97" s="345"/>
      <c r="S97" s="274"/>
      <c r="T97" s="344"/>
      <c r="U97" s="151"/>
      <c r="V97" s="151"/>
      <c r="W97" s="345"/>
      <c r="X97" s="274"/>
      <c r="Y97" s="344"/>
      <c r="Z97" s="151"/>
      <c r="AA97" s="151"/>
      <c r="AB97" s="345"/>
      <c r="AC97" s="274"/>
      <c r="AD97" s="344"/>
      <c r="AE97" s="151"/>
      <c r="AF97" s="151"/>
      <c r="AG97" s="345"/>
      <c r="AH97" s="274"/>
      <c r="AI97" s="344"/>
      <c r="AJ97" s="151"/>
      <c r="AK97" s="151"/>
      <c r="AL97" s="345"/>
      <c r="AM97" s="274"/>
      <c r="AN97" s="344"/>
      <c r="AO97" s="151"/>
      <c r="AP97" s="151"/>
      <c r="AQ97" s="345"/>
      <c r="AR97" s="274"/>
      <c r="AS97" s="344"/>
      <c r="AT97" s="151"/>
      <c r="AU97" s="151"/>
      <c r="AV97" s="345"/>
      <c r="AW97" s="274"/>
      <c r="AX97" s="344"/>
      <c r="AY97" s="151"/>
      <c r="AZ97" s="151"/>
      <c r="BA97" s="345"/>
      <c r="BB97" s="274"/>
      <c r="BC97" s="344"/>
      <c r="BD97" s="151"/>
      <c r="BE97" s="151"/>
      <c r="BF97" s="345"/>
      <c r="BG97" s="274"/>
      <c r="BH97" s="344"/>
      <c r="BI97" s="151"/>
      <c r="BJ97" s="151"/>
      <c r="BK97" s="345"/>
      <c r="BL97" s="274"/>
      <c r="BM97" s="344"/>
      <c r="BN97" s="151"/>
      <c r="BO97" s="151"/>
      <c r="BP97" s="345"/>
      <c r="BQ97" s="274"/>
      <c r="BR97" s="181"/>
      <c r="BS97" s="87"/>
      <c r="BT97" s="87"/>
      <c r="BU97" s="87"/>
      <c r="BV97" s="87"/>
      <c r="BW97" s="87"/>
      <c r="BX97" s="87"/>
      <c r="BY97" s="87"/>
      <c r="BZ97" s="87"/>
      <c r="CA97" s="87"/>
      <c r="CB97" s="87"/>
      <c r="CC97" s="87"/>
      <c r="CD97" s="87"/>
      <c r="CE97" s="87"/>
      <c r="CF97" s="87"/>
      <c r="CG97" s="87"/>
      <c r="CH97" s="87"/>
      <c r="CI97" s="87"/>
      <c r="CJ97" s="87"/>
      <c r="CK97" s="87"/>
      <c r="CL97" s="87"/>
      <c r="CM97" s="87"/>
      <c r="CN97" s="87"/>
      <c r="CO97" s="87"/>
      <c r="CP97"/>
      <c r="CQ97"/>
    </row>
    <row r="98" spans="1:118" s="29" customFormat="1">
      <c r="A98" s="328"/>
      <c r="B98" s="328"/>
      <c r="C98" s="1222"/>
      <c r="D98" s="341"/>
      <c r="E98" s="344"/>
      <c r="F98" s="151"/>
      <c r="G98" s="151"/>
      <c r="H98" s="345"/>
      <c r="I98" s="274"/>
      <c r="J98" s="344"/>
      <c r="K98" s="151"/>
      <c r="L98" s="151"/>
      <c r="M98" s="345"/>
      <c r="N98" s="274"/>
      <c r="O98" s="344"/>
      <c r="P98" s="151"/>
      <c r="Q98" s="151"/>
      <c r="R98" s="345"/>
      <c r="S98" s="274"/>
      <c r="T98" s="344"/>
      <c r="U98" s="151"/>
      <c r="V98" s="151"/>
      <c r="W98" s="345"/>
      <c r="X98" s="274"/>
      <c r="Y98" s="344"/>
      <c r="Z98" s="151"/>
      <c r="AA98" s="151"/>
      <c r="AB98" s="345"/>
      <c r="AC98" s="274"/>
      <c r="AD98" s="344"/>
      <c r="AE98" s="151"/>
      <c r="AF98" s="151"/>
      <c r="AG98" s="345"/>
      <c r="AH98" s="274"/>
      <c r="AI98" s="344"/>
      <c r="AJ98" s="151"/>
      <c r="AK98" s="151"/>
      <c r="AL98" s="345"/>
      <c r="AM98" s="93"/>
      <c r="AN98" s="344"/>
      <c r="AO98" s="151"/>
      <c r="AP98" s="151"/>
      <c r="AQ98" s="345"/>
      <c r="AR98" s="274"/>
      <c r="AS98" s="344"/>
      <c r="AT98" s="151"/>
      <c r="AU98" s="151"/>
      <c r="AV98" s="345"/>
      <c r="AW98" s="274"/>
      <c r="AX98" s="344"/>
      <c r="AY98" s="151"/>
      <c r="AZ98" s="151"/>
      <c r="BA98" s="345"/>
      <c r="BB98" s="274"/>
      <c r="BC98" s="344"/>
      <c r="BD98" s="151"/>
      <c r="BE98" s="151"/>
      <c r="BF98" s="345"/>
      <c r="BG98" s="274"/>
      <c r="BH98" s="344"/>
      <c r="BI98" s="151"/>
      <c r="BJ98" s="151"/>
      <c r="BK98" s="345"/>
      <c r="BL98" s="274"/>
      <c r="BM98" s="344"/>
      <c r="BN98" s="151"/>
      <c r="BO98" s="151"/>
      <c r="BP98" s="345"/>
      <c r="BQ98" s="274"/>
      <c r="BR98" s="181"/>
      <c r="BS98" s="87"/>
      <c r="BT98" s="87"/>
      <c r="BU98" s="87"/>
      <c r="BV98" s="87"/>
      <c r="BW98" s="87"/>
      <c r="BX98" s="87"/>
      <c r="BY98" s="87"/>
      <c r="BZ98" s="87"/>
      <c r="CA98" s="87"/>
      <c r="CB98" s="87"/>
      <c r="CC98" s="87"/>
      <c r="CD98" s="87"/>
      <c r="CE98" s="87"/>
      <c r="CF98" s="87"/>
      <c r="CG98" s="87"/>
      <c r="CH98" s="87"/>
      <c r="CI98" s="87"/>
      <c r="CJ98" s="87"/>
      <c r="CK98" s="87"/>
      <c r="CL98" s="87"/>
      <c r="CM98" s="87"/>
      <c r="CN98" s="87"/>
      <c r="CO98" s="87"/>
      <c r="CP98"/>
      <c r="CQ98"/>
    </row>
    <row r="99" spans="1:118">
      <c r="A99" s="91"/>
      <c r="B99" s="126" t="s">
        <v>596</v>
      </c>
      <c r="C99" s="1247"/>
      <c r="D99" s="1017"/>
      <c r="E99" s="145"/>
      <c r="F99" s="146"/>
      <c r="G99" s="146"/>
      <c r="H99" s="147"/>
      <c r="I99" s="87"/>
      <c r="J99" s="145"/>
      <c r="K99" s="146"/>
      <c r="L99" s="146"/>
      <c r="M99" s="147"/>
      <c r="N99" s="89"/>
      <c r="O99" s="145"/>
      <c r="P99" s="146"/>
      <c r="Q99" s="146"/>
      <c r="R99" s="147"/>
      <c r="S99" s="89"/>
      <c r="T99" s="145"/>
      <c r="U99" s="146"/>
      <c r="V99" s="146"/>
      <c r="W99" s="147"/>
      <c r="X99" s="89"/>
      <c r="Y99" s="145"/>
      <c r="Z99" s="146"/>
      <c r="AA99" s="146"/>
      <c r="AB99" s="147"/>
      <c r="AC99" s="89"/>
      <c r="AD99" s="145"/>
      <c r="AE99" s="146"/>
      <c r="AF99" s="146"/>
      <c r="AG99" s="147"/>
      <c r="AH99" s="89"/>
      <c r="AI99" s="145"/>
      <c r="AJ99" s="146"/>
      <c r="AK99" s="146"/>
      <c r="AL99" s="147"/>
      <c r="AM99" s="93"/>
      <c r="AN99" s="145"/>
      <c r="AO99" s="146"/>
      <c r="AP99" s="146"/>
      <c r="AQ99" s="147"/>
      <c r="AR99" s="89"/>
      <c r="AS99" s="145"/>
      <c r="AT99" s="146"/>
      <c r="AU99" s="146"/>
      <c r="AV99" s="147"/>
      <c r="AW99" s="89"/>
      <c r="AX99" s="145"/>
      <c r="AY99" s="146"/>
      <c r="AZ99" s="146"/>
      <c r="BA99" s="147"/>
      <c r="BB99" s="89"/>
      <c r="BC99" s="145"/>
      <c r="BD99" s="146"/>
      <c r="BE99" s="146"/>
      <c r="BF99" s="147"/>
      <c r="BG99" s="89"/>
      <c r="BH99" s="145"/>
      <c r="BI99" s="146"/>
      <c r="BJ99" s="146"/>
      <c r="BK99" s="147"/>
      <c r="BL99" s="89"/>
      <c r="BM99" s="145"/>
      <c r="BN99" s="146"/>
      <c r="BO99" s="146"/>
      <c r="BP99" s="147"/>
      <c r="BQ99" s="89"/>
      <c r="BR99" s="87"/>
      <c r="BS99" s="87"/>
      <c r="BT99" s="87"/>
      <c r="BU99" s="87"/>
      <c r="BV99" s="87"/>
      <c r="BW99" s="87"/>
      <c r="BX99" s="87"/>
      <c r="BY99" s="87"/>
      <c r="BZ99" s="87"/>
      <c r="CA99" s="87"/>
      <c r="CB99" s="87"/>
      <c r="CC99" s="87"/>
      <c r="CD99" s="87"/>
      <c r="CE99" s="87"/>
      <c r="CF99" s="87"/>
      <c r="CG99" s="87"/>
      <c r="CH99" s="87"/>
      <c r="CI99" s="87"/>
      <c r="CJ99" s="87"/>
      <c r="CK99" s="87"/>
      <c r="CL99" s="87"/>
      <c r="CM99" s="87"/>
      <c r="CN99" s="87"/>
      <c r="CO99" s="87"/>
      <c r="CP99" s="91"/>
      <c r="CQ99" s="91"/>
      <c r="CR99" s="1018"/>
      <c r="CS99" s="1018"/>
      <c r="CT99" s="821"/>
      <c r="CU99" s="12"/>
      <c r="CV99" s="12"/>
      <c r="CW99" s="12"/>
      <c r="CX99" s="12"/>
      <c r="CY99" s="12"/>
      <c r="CZ99" s="91"/>
      <c r="DA99" s="91"/>
      <c r="DB99" s="91"/>
      <c r="DC99" s="91"/>
      <c r="DD99" s="91"/>
      <c r="DE99" s="91"/>
      <c r="DF99" s="12"/>
      <c r="DG99" s="12"/>
      <c r="DH99" s="12"/>
      <c r="DI99" s="12"/>
      <c r="DJ99" s="12"/>
      <c r="DK99" s="12"/>
      <c r="DL99" s="12"/>
      <c r="DM99" s="12"/>
      <c r="DN99" s="12"/>
    </row>
    <row r="100" spans="1:118">
      <c r="A100" s="91"/>
      <c r="B100" s="89"/>
      <c r="C100" s="1184" t="s">
        <v>597</v>
      </c>
      <c r="D100" s="89"/>
      <c r="E100" s="145"/>
      <c r="F100" s="146"/>
      <c r="G100" s="146"/>
      <c r="H100" s="147"/>
      <c r="I100" s="87"/>
      <c r="J100" s="145"/>
      <c r="K100" s="146"/>
      <c r="L100" s="146"/>
      <c r="M100" s="147"/>
      <c r="N100" s="89"/>
      <c r="O100" s="145"/>
      <c r="P100" s="146"/>
      <c r="Q100" s="146"/>
      <c r="R100" s="147"/>
      <c r="S100" s="89"/>
      <c r="T100" s="1073"/>
      <c r="U100" s="1074"/>
      <c r="V100" s="1074"/>
      <c r="W100" s="1075"/>
      <c r="X100" s="258"/>
      <c r="Y100" s="1073">
        <f>+Y262</f>
        <v>230.24217796744625</v>
      </c>
      <c r="Z100" s="1074">
        <f>+Z262</f>
        <v>232.12207691818986</v>
      </c>
      <c r="AA100" s="1074">
        <f>+AA262</f>
        <v>228.94120894468563</v>
      </c>
      <c r="AB100" s="1075">
        <f>+AB262</f>
        <v>213.03754789682176</v>
      </c>
      <c r="AC100" s="258">
        <f t="shared" ref="AC100:AC105" si="157">SUM(Y100:AB100)</f>
        <v>904.34301172714345</v>
      </c>
      <c r="AD100" s="1073">
        <f>+AD262</f>
        <v>553.37355968148245</v>
      </c>
      <c r="AE100" s="1074">
        <f>+AE262</f>
        <v>272.50301749797194</v>
      </c>
      <c r="AF100" s="1074">
        <f>+AF262</f>
        <v>214.14486718077524</v>
      </c>
      <c r="AG100" s="1075">
        <f>+AG262</f>
        <v>229.52818732083284</v>
      </c>
      <c r="AH100" s="258">
        <f t="shared" ref="AH100:AH106" si="158">SUM(AD100:AG100)</f>
        <v>1269.5496316810625</v>
      </c>
      <c r="AI100" s="1073">
        <f>+AI262</f>
        <v>287.16532907133779</v>
      </c>
      <c r="AJ100" s="1074">
        <f>+AJ262</f>
        <v>187.04051310224725</v>
      </c>
      <c r="AK100" s="1074">
        <f>+AK262</f>
        <v>179.20936838490712</v>
      </c>
      <c r="AL100" s="1075">
        <f>+AL262</f>
        <v>152.35685209289022</v>
      </c>
      <c r="AM100" s="258">
        <f t="shared" ref="AM100:AM105" si="159">SUM(AI100:AL100)</f>
        <v>805.77206265138238</v>
      </c>
      <c r="AN100" s="1073">
        <f>+AN262</f>
        <v>150.94346629448916</v>
      </c>
      <c r="AO100" s="1074">
        <f>+AO262</f>
        <v>156.54018264507187</v>
      </c>
      <c r="AP100" s="1074">
        <f>+AP262</f>
        <v>187.12975714747603</v>
      </c>
      <c r="AQ100" s="1075">
        <f>+AQ262</f>
        <v>176.81186282246364</v>
      </c>
      <c r="AR100" s="258">
        <f t="shared" ref="AR100:AR105" si="160">SUM(AN100:AQ100)</f>
        <v>671.42526890950069</v>
      </c>
      <c r="AS100" s="1073">
        <f>+AS262</f>
        <v>163.40268284078482</v>
      </c>
      <c r="AT100" s="1074">
        <f>+AT262</f>
        <v>163.40268284078482</v>
      </c>
      <c r="AU100" s="1074">
        <f t="shared" ref="AU100" si="161">+AU262</f>
        <v>175.68485831393917</v>
      </c>
      <c r="AV100" s="1075">
        <f>+AV262</f>
        <v>191.09221251504823</v>
      </c>
      <c r="AW100" s="258">
        <f t="shared" ref="AW100:AW105" si="162">SUM(AS100:AV100)</f>
        <v>693.58243651055705</v>
      </c>
      <c r="AX100" s="1073">
        <f>+AX262</f>
        <v>252.19234592967211</v>
      </c>
      <c r="AY100" s="1074">
        <f>+AY262</f>
        <v>168.19349712501619</v>
      </c>
      <c r="AZ100" s="1074">
        <f>+AZ262</f>
        <v>175.54555342501621</v>
      </c>
      <c r="BA100" s="1075">
        <f>+BA262</f>
        <v>166.74491505501621</v>
      </c>
      <c r="BB100" s="258">
        <f t="shared" ref="BB100:BB105" si="163">SUM(AX100:BA100)</f>
        <v>762.67631153472075</v>
      </c>
      <c r="BC100" s="1073">
        <f>+BC262</f>
        <v>220.21971068648162</v>
      </c>
      <c r="BD100" s="1074">
        <f>+BD262</f>
        <v>145.15964915816119</v>
      </c>
      <c r="BE100" s="1074">
        <f>+BE262</f>
        <v>155.65850923695484</v>
      </c>
      <c r="BF100" s="1075">
        <f>+BF262</f>
        <v>210.71845578601352</v>
      </c>
      <c r="BG100" s="258">
        <f t="shared" ref="BG100:BG105" si="164">SUM(BC100:BF100)</f>
        <v>731.75632486761106</v>
      </c>
      <c r="BH100" s="1073">
        <f>+BH262</f>
        <v>215.63033531075718</v>
      </c>
      <c r="BI100" s="1074">
        <f>+BI262</f>
        <v>141.29877359429986</v>
      </c>
      <c r="BJ100" s="1074">
        <f>+BJ262</f>
        <v>151.72501064641642</v>
      </c>
      <c r="BK100" s="1075">
        <f>+BK262</f>
        <v>206.22094544981809</v>
      </c>
      <c r="BL100" s="258">
        <f t="shared" ref="BL100:BL105" si="165">SUM(BH100:BK100)</f>
        <v>714.87506500129155</v>
      </c>
      <c r="BM100" s="1073">
        <f>+BM262</f>
        <v>204.2077938664417</v>
      </c>
      <c r="BN100" s="1074">
        <f>+BN262</f>
        <v>138.19303270171628</v>
      </c>
      <c r="BO100" s="1074">
        <f>+BO262</f>
        <v>136.92897916927731</v>
      </c>
      <c r="BP100" s="1075">
        <f>+BP262</f>
        <v>198.66789993492961</v>
      </c>
      <c r="BQ100" s="258">
        <f t="shared" ref="BQ100:BQ105" si="166">SUM(BM100:BP100)</f>
        <v>677.99770567236487</v>
      </c>
      <c r="BR100" s="87"/>
      <c r="BS100" s="87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91"/>
      <c r="CL100" s="91"/>
      <c r="CM100" s="91"/>
      <c r="CN100" s="91"/>
      <c r="CO100" s="91"/>
      <c r="CP100" s="91"/>
      <c r="CQ100" s="91"/>
      <c r="CR100" s="1018"/>
      <c r="CS100" s="1018"/>
      <c r="CT100" s="821"/>
      <c r="CU100" s="12"/>
      <c r="CV100" s="12"/>
      <c r="CW100" s="12"/>
      <c r="CX100" s="12"/>
      <c r="CY100" s="12"/>
      <c r="CZ100" s="91"/>
      <c r="DA100" s="91"/>
      <c r="DB100" s="91"/>
      <c r="DC100" s="91"/>
      <c r="DD100" s="91"/>
      <c r="DE100" s="91"/>
      <c r="DF100" s="12"/>
      <c r="DG100" s="12"/>
      <c r="DH100" s="12"/>
      <c r="DI100" s="12"/>
      <c r="DJ100" s="12"/>
      <c r="DK100" s="12"/>
      <c r="DL100" s="12"/>
      <c r="DM100" s="12"/>
      <c r="DN100" s="12"/>
    </row>
    <row r="101" spans="1:118">
      <c r="A101" s="91"/>
      <c r="B101" s="89"/>
      <c r="C101" s="1184" t="s">
        <v>600</v>
      </c>
      <c r="D101" s="89"/>
      <c r="E101" s="145"/>
      <c r="F101" s="146"/>
      <c r="G101" s="146"/>
      <c r="H101" s="147"/>
      <c r="I101" s="87"/>
      <c r="J101" s="145"/>
      <c r="K101" s="146"/>
      <c r="L101" s="146"/>
      <c r="M101" s="147"/>
      <c r="N101" s="89"/>
      <c r="O101" s="145"/>
      <c r="P101" s="146"/>
      <c r="Q101" s="146"/>
      <c r="R101" s="147"/>
      <c r="S101" s="89"/>
      <c r="T101" s="1073"/>
      <c r="U101" s="1074"/>
      <c r="V101" s="1074"/>
      <c r="W101" s="1075"/>
      <c r="X101" s="258"/>
      <c r="Y101" s="1073">
        <f>+Y300</f>
        <v>79.830292650031936</v>
      </c>
      <c r="Z101" s="1074">
        <f>+Z300</f>
        <v>107.37728188531088</v>
      </c>
      <c r="AA101" s="1074">
        <f>+AA300</f>
        <v>129.2710616744169</v>
      </c>
      <c r="AB101" s="1075">
        <f>+AB300</f>
        <v>42.058633900812112</v>
      </c>
      <c r="AC101" s="258">
        <f t="shared" si="157"/>
        <v>358.53727011057185</v>
      </c>
      <c r="AD101" s="1073">
        <f>+AD300</f>
        <v>437.04889659845958</v>
      </c>
      <c r="AE101" s="1074">
        <f>+AE300</f>
        <v>120.02061398452923</v>
      </c>
      <c r="AF101" s="1074">
        <f>+AF300</f>
        <v>51.952258976312919</v>
      </c>
      <c r="AG101" s="1075">
        <f>+AG300</f>
        <v>77.327686633688586</v>
      </c>
      <c r="AH101" s="258">
        <f t="shared" si="158"/>
        <v>686.34945619299037</v>
      </c>
      <c r="AI101" s="1073">
        <f>+AI300</f>
        <v>146.63615478523974</v>
      </c>
      <c r="AJ101" s="1074">
        <f>+AJ300</f>
        <v>50.369548255317568</v>
      </c>
      <c r="AK101" s="1074">
        <f>+AK300</f>
        <v>48.847870736651487</v>
      </c>
      <c r="AL101" s="1075">
        <f>+AL300</f>
        <v>31.23632604803359</v>
      </c>
      <c r="AM101" s="258">
        <f t="shared" si="159"/>
        <v>277.08989982524236</v>
      </c>
      <c r="AN101" s="1073">
        <f>+AN300</f>
        <v>33.241066717143639</v>
      </c>
      <c r="AO101" s="1074">
        <f>+AO300</f>
        <v>54.171616790382487</v>
      </c>
      <c r="AP101" s="1074">
        <f>+AP300</f>
        <v>93.465904430114932</v>
      </c>
      <c r="AQ101" s="1075">
        <f>+AQ300</f>
        <v>59.046249811668673</v>
      </c>
      <c r="AR101" s="258">
        <f t="shared" si="160"/>
        <v>239.92483774930972</v>
      </c>
      <c r="AS101" s="1073">
        <f>+AS300</f>
        <v>36.468362551897684</v>
      </c>
      <c r="AT101" s="1074">
        <f>+AT300</f>
        <v>36.468362551897684</v>
      </c>
      <c r="AU101" s="1074">
        <f t="shared" ref="AU101" si="167">+AU300</f>
        <v>53.815667896341296</v>
      </c>
      <c r="AV101" s="1075">
        <f>+AV300</f>
        <v>25.702184252801658</v>
      </c>
      <c r="AW101" s="258">
        <f t="shared" si="162"/>
        <v>152.45457725293832</v>
      </c>
      <c r="AX101" s="1073">
        <f>+AX300</f>
        <v>94.126987311954281</v>
      </c>
      <c r="AY101" s="1074">
        <f>+AY300</f>
        <v>58.044376849999992</v>
      </c>
      <c r="AZ101" s="1074">
        <f>+AZ300</f>
        <v>69.647749434375015</v>
      </c>
      <c r="BA101" s="1075">
        <f>+BA300</f>
        <v>52.171001865937455</v>
      </c>
      <c r="BB101" s="258">
        <f t="shared" si="163"/>
        <v>273.99011546226677</v>
      </c>
      <c r="BC101" s="1073">
        <f>+BC300</f>
        <v>72.939808608735063</v>
      </c>
      <c r="BD101" s="1074">
        <f>+BD300</f>
        <v>28.332531584470317</v>
      </c>
      <c r="BE101" s="1074">
        <f>+BE300</f>
        <v>39.868328646978583</v>
      </c>
      <c r="BF101" s="1075">
        <f>+BF300</f>
        <v>41.651180806826801</v>
      </c>
      <c r="BG101" s="258">
        <f t="shared" si="164"/>
        <v>182.79184964701076</v>
      </c>
      <c r="BH101" s="1073">
        <f>+BH300</f>
        <v>69.952868681428242</v>
      </c>
      <c r="BI101" s="1074">
        <f>+BI300</f>
        <v>27.083153608301714</v>
      </c>
      <c r="BJ101" s="1074">
        <f>+BJ300</f>
        <v>38.513761536139597</v>
      </c>
      <c r="BK101" s="1075">
        <f>+BK300</f>
        <v>38.772949677123052</v>
      </c>
      <c r="BL101" s="258">
        <f t="shared" si="165"/>
        <v>174.32273350299261</v>
      </c>
      <c r="BM101" s="1073">
        <f>+BM300</f>
        <v>51.841597791735737</v>
      </c>
      <c r="BN101" s="1074">
        <f>+BN300</f>
        <v>48.052689305722268</v>
      </c>
      <c r="BO101" s="1074">
        <f>+BO300</f>
        <v>48.027408151708173</v>
      </c>
      <c r="BP101" s="1075">
        <f>+BP300</f>
        <v>38.811611954688502</v>
      </c>
      <c r="BQ101" s="258">
        <f t="shared" si="166"/>
        <v>186.73330720385468</v>
      </c>
      <c r="BR101" s="87"/>
      <c r="BS101" s="87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91"/>
      <c r="CL101" s="91"/>
      <c r="CM101" s="91"/>
      <c r="CN101" s="91"/>
      <c r="CO101" s="91"/>
      <c r="CP101" s="91"/>
      <c r="CQ101" s="91"/>
      <c r="CR101" s="1018"/>
      <c r="CS101" s="1018"/>
      <c r="CT101" s="821"/>
      <c r="CU101" s="12"/>
      <c r="CV101" s="12"/>
      <c r="CW101" s="12"/>
      <c r="CX101" s="12"/>
      <c r="CY101" s="12"/>
      <c r="CZ101" s="91"/>
      <c r="DA101" s="91"/>
      <c r="DB101" s="91"/>
      <c r="DC101" s="91"/>
      <c r="DD101" s="91"/>
      <c r="DE101" s="91"/>
      <c r="DF101" s="12"/>
      <c r="DG101" s="12"/>
      <c r="DH101" s="12"/>
      <c r="DI101" s="12"/>
      <c r="DJ101" s="12"/>
      <c r="DK101" s="12"/>
      <c r="DL101" s="12"/>
      <c r="DM101" s="12"/>
      <c r="DN101" s="12"/>
    </row>
    <row r="102" spans="1:118">
      <c r="A102" s="91"/>
      <c r="B102" s="89"/>
      <c r="C102" s="1184" t="s">
        <v>599</v>
      </c>
      <c r="D102" s="89"/>
      <c r="E102" s="145"/>
      <c r="F102" s="146"/>
      <c r="G102" s="146"/>
      <c r="H102" s="147"/>
      <c r="I102" s="87"/>
      <c r="J102" s="145"/>
      <c r="K102" s="146"/>
      <c r="L102" s="146"/>
      <c r="M102" s="147"/>
      <c r="N102" s="89"/>
      <c r="O102" s="145"/>
      <c r="P102" s="146"/>
      <c r="Q102" s="146"/>
      <c r="R102" s="147"/>
      <c r="S102" s="89"/>
      <c r="T102" s="1073"/>
      <c r="U102" s="1074"/>
      <c r="V102" s="1074"/>
      <c r="W102" s="1075"/>
      <c r="X102" s="258"/>
      <c r="Y102" s="1073">
        <f>+Y354</f>
        <v>1.7506220387091602</v>
      </c>
      <c r="Z102" s="1074">
        <f>+Z354</f>
        <v>6.075289365545455</v>
      </c>
      <c r="AA102" s="1074">
        <f>+AA354</f>
        <v>16.963194203074963</v>
      </c>
      <c r="AB102" s="1075">
        <f>+AB354</f>
        <v>2.3820842882157258</v>
      </c>
      <c r="AC102" s="258">
        <f t="shared" si="157"/>
        <v>27.171189895545304</v>
      </c>
      <c r="AD102" s="1073">
        <f>+AD354</f>
        <v>2.4558212596801532</v>
      </c>
      <c r="AE102" s="1074">
        <f>+AE354</f>
        <v>3.7905364560771133</v>
      </c>
      <c r="AF102" s="1074">
        <f>+AF354</f>
        <v>5.283432912011218</v>
      </c>
      <c r="AG102" s="1075">
        <f>+AG354</f>
        <v>0.45752280909413745</v>
      </c>
      <c r="AH102" s="258">
        <f t="shared" si="158"/>
        <v>11.987313436862621</v>
      </c>
      <c r="AI102" s="1073">
        <f>+AI354</f>
        <v>0.24898746564653074</v>
      </c>
      <c r="AJ102" s="1074">
        <f>+AJ354</f>
        <v>2.4551160661657434</v>
      </c>
      <c r="AK102" s="1074">
        <f>+AK354</f>
        <v>7.7387406656938147</v>
      </c>
      <c r="AL102" s="1075">
        <f>+AL354</f>
        <v>0.66500684863100457</v>
      </c>
      <c r="AM102" s="258">
        <f t="shared" si="159"/>
        <v>11.107851046137093</v>
      </c>
      <c r="AN102" s="1073">
        <f>+AN354</f>
        <v>1.8268314278079956E-2</v>
      </c>
      <c r="AO102" s="1074">
        <f>+AO354</f>
        <v>1.910777493117001</v>
      </c>
      <c r="AP102" s="1074">
        <f>+AP354</f>
        <v>7.6388668978196144</v>
      </c>
      <c r="AQ102" s="1075">
        <f>+AQ354</f>
        <v>0.26468676668640168</v>
      </c>
      <c r="AR102" s="258">
        <f t="shared" si="160"/>
        <v>9.8325994719010978</v>
      </c>
      <c r="AS102" s="1073">
        <f>+AS354</f>
        <v>0.80442631396720365</v>
      </c>
      <c r="AT102" s="1074">
        <f>+AT354</f>
        <v>1.6088526279344073</v>
      </c>
      <c r="AU102" s="1074">
        <f t="shared" ref="AU102" si="168">+AU354</f>
        <v>5.9742263464109406</v>
      </c>
      <c r="AV102" s="1075">
        <f>+AV354</f>
        <v>0</v>
      </c>
      <c r="AW102" s="258">
        <f t="shared" si="162"/>
        <v>8.3875052883125516</v>
      </c>
      <c r="AX102" s="1073">
        <f>+AX354</f>
        <v>0</v>
      </c>
      <c r="AY102" s="1074">
        <f>+AY354</f>
        <v>0</v>
      </c>
      <c r="AZ102" s="1074">
        <f>+AZ354</f>
        <v>0</v>
      </c>
      <c r="BA102" s="1075">
        <f>+BA354</f>
        <v>0</v>
      </c>
      <c r="BB102" s="258">
        <f t="shared" si="163"/>
        <v>0</v>
      </c>
      <c r="BC102" s="1073">
        <f>+BC354</f>
        <v>0</v>
      </c>
      <c r="BD102" s="1074">
        <f>+BD354</f>
        <v>0</v>
      </c>
      <c r="BE102" s="1074">
        <f>+BE354</f>
        <v>0</v>
      </c>
      <c r="BF102" s="1075">
        <f>+BF354</f>
        <v>0</v>
      </c>
      <c r="BG102" s="258">
        <f t="shared" si="164"/>
        <v>0</v>
      </c>
      <c r="BH102" s="1073">
        <f>+BH354</f>
        <v>0</v>
      </c>
      <c r="BI102" s="1074">
        <f>+BI354</f>
        <v>0</v>
      </c>
      <c r="BJ102" s="1074">
        <f>+BJ354</f>
        <v>0</v>
      </c>
      <c r="BK102" s="1075">
        <f>+BK354</f>
        <v>0</v>
      </c>
      <c r="BL102" s="258">
        <f t="shared" si="165"/>
        <v>0</v>
      </c>
      <c r="BM102" s="1073">
        <f>+BM354</f>
        <v>0</v>
      </c>
      <c r="BN102" s="1074">
        <f>+BN354</f>
        <v>0</v>
      </c>
      <c r="BO102" s="1074">
        <f>+BO354</f>
        <v>0</v>
      </c>
      <c r="BP102" s="1075">
        <f>+BP354</f>
        <v>0</v>
      </c>
      <c r="BQ102" s="258">
        <f t="shared" si="166"/>
        <v>0</v>
      </c>
      <c r="BR102" s="87"/>
      <c r="BS102" s="87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91"/>
      <c r="CL102" s="91"/>
      <c r="CM102" s="91"/>
      <c r="CN102" s="91"/>
      <c r="CO102" s="91"/>
      <c r="CP102" s="91"/>
      <c r="CQ102" s="91"/>
      <c r="CR102" s="1018"/>
      <c r="CS102" s="1018"/>
      <c r="CT102" s="821"/>
      <c r="CU102" s="12"/>
      <c r="CV102" s="12"/>
      <c r="CW102" s="12"/>
      <c r="CX102" s="12"/>
      <c r="CY102" s="12"/>
      <c r="CZ102" s="91"/>
      <c r="DA102" s="91"/>
      <c r="DB102" s="91"/>
      <c r="DC102" s="91"/>
      <c r="DD102" s="91"/>
      <c r="DE102" s="91"/>
      <c r="DF102" s="12"/>
      <c r="DG102" s="12"/>
      <c r="DH102" s="12"/>
      <c r="DI102" s="12"/>
      <c r="DJ102" s="12"/>
      <c r="DK102" s="12"/>
      <c r="DL102" s="12"/>
      <c r="DM102" s="12"/>
      <c r="DN102" s="12"/>
    </row>
    <row r="103" spans="1:118">
      <c r="A103" s="91"/>
      <c r="B103" s="89"/>
      <c r="C103" s="1184" t="s">
        <v>598</v>
      </c>
      <c r="D103" s="89"/>
      <c r="E103" s="145"/>
      <c r="F103" s="146"/>
      <c r="G103" s="146"/>
      <c r="H103" s="147"/>
      <c r="I103" s="87"/>
      <c r="J103" s="145"/>
      <c r="K103" s="146"/>
      <c r="L103" s="146"/>
      <c r="M103" s="147"/>
      <c r="N103" s="89"/>
      <c r="O103" s="145"/>
      <c r="P103" s="146"/>
      <c r="Q103" s="146"/>
      <c r="R103" s="147"/>
      <c r="S103" s="89"/>
      <c r="T103" s="1073"/>
      <c r="U103" s="1074"/>
      <c r="V103" s="1074"/>
      <c r="W103" s="1075"/>
      <c r="X103" s="258"/>
      <c r="Y103" s="1073">
        <f>+Y392</f>
        <v>5.9415504682184057</v>
      </c>
      <c r="Z103" s="1074">
        <f>+Z392</f>
        <v>8.3582466123234234</v>
      </c>
      <c r="AA103" s="1074">
        <f>+AA392</f>
        <v>14.207746362827525</v>
      </c>
      <c r="AB103" s="1075">
        <f>+AB392</f>
        <v>6.2733305023229633</v>
      </c>
      <c r="AC103" s="258">
        <f t="shared" si="157"/>
        <v>34.780873945692321</v>
      </c>
      <c r="AD103" s="1073">
        <f>+AD392</f>
        <v>10.620883082564745</v>
      </c>
      <c r="AE103" s="1074">
        <f>+AE392</f>
        <v>15.14092809102689</v>
      </c>
      <c r="AF103" s="1074">
        <f>+AF392</f>
        <v>17.152431752404826</v>
      </c>
      <c r="AG103" s="1075">
        <f>+AG392</f>
        <v>15.129945358391176</v>
      </c>
      <c r="AH103" s="258">
        <f t="shared" si="158"/>
        <v>58.044188284387637</v>
      </c>
      <c r="AI103" s="1073">
        <f>+AI392</f>
        <v>4.9203760728546264</v>
      </c>
      <c r="AJ103" s="1074">
        <f>+AJ392</f>
        <v>22.287376527099745</v>
      </c>
      <c r="AK103" s="1074">
        <f>+AK392</f>
        <v>24.132207879322809</v>
      </c>
      <c r="AL103" s="1075">
        <f>+AL392</f>
        <v>18.839396770986848</v>
      </c>
      <c r="AM103" s="258">
        <f t="shared" si="159"/>
        <v>70.179357250264033</v>
      </c>
      <c r="AN103" s="1073">
        <f>+AN392</f>
        <v>13.500775378134779</v>
      </c>
      <c r="AO103" s="1074">
        <f>+AO392</f>
        <v>16.852135284838461</v>
      </c>
      <c r="AP103" s="1074">
        <f>+AP392</f>
        <v>23.862600238521598</v>
      </c>
      <c r="AQ103" s="1075">
        <f>+AQ392</f>
        <v>12.931717507345873</v>
      </c>
      <c r="AR103" s="258">
        <f t="shared" si="160"/>
        <v>67.147228408840704</v>
      </c>
      <c r="AS103" s="1073">
        <f>+AS392</f>
        <v>9.5293962851890797</v>
      </c>
      <c r="AT103" s="1074">
        <f>+AT392</f>
        <v>9.5293962851890797</v>
      </c>
      <c r="AU103" s="1074">
        <f t="shared" ref="AU103" si="169">+AU392</f>
        <v>17.80918799342281</v>
      </c>
      <c r="AV103" s="1075">
        <f>+AV392</f>
        <v>0.62714170222568244</v>
      </c>
      <c r="AW103" s="258">
        <f t="shared" si="162"/>
        <v>37.495122266026655</v>
      </c>
      <c r="AX103" s="1073">
        <f>+AX392</f>
        <v>0</v>
      </c>
      <c r="AY103" s="1074">
        <f>+AY392</f>
        <v>0.39692567400000067</v>
      </c>
      <c r="AZ103" s="1074">
        <f>+AZ392</f>
        <v>0.48782906999999875</v>
      </c>
      <c r="BA103" s="1075">
        <f>+BA392</f>
        <v>0.14159882999999907</v>
      </c>
      <c r="BB103" s="258">
        <f t="shared" si="163"/>
        <v>1.0263535739999985</v>
      </c>
      <c r="BC103" s="1073">
        <f>+BC392</f>
        <v>0.76720325946846168</v>
      </c>
      <c r="BD103" s="1074">
        <f>+BD392</f>
        <v>4.5301132584064874E-2</v>
      </c>
      <c r="BE103" s="1074">
        <f>+BE392</f>
        <v>0.26463124564079754</v>
      </c>
      <c r="BF103" s="1075">
        <f>+BF392</f>
        <v>0.46865308629231395</v>
      </c>
      <c r="BG103" s="258">
        <f t="shared" si="164"/>
        <v>1.545788723985638</v>
      </c>
      <c r="BH103" s="1073">
        <f>+BH392</f>
        <v>0.70314202998097608</v>
      </c>
      <c r="BI103" s="1074">
        <f>+BI392</f>
        <v>0</v>
      </c>
      <c r="BJ103" s="1074">
        <f>+BJ392</f>
        <v>0.20872364670982302</v>
      </c>
      <c r="BK103" s="1075">
        <f>+BK392</f>
        <v>0.40292339537347255</v>
      </c>
      <c r="BL103" s="258">
        <f t="shared" si="165"/>
        <v>1.3147890720642716</v>
      </c>
      <c r="BM103" s="1073">
        <f>+BM392</f>
        <v>1.8928340973834503</v>
      </c>
      <c r="BN103" s="1074">
        <f>+BN392</f>
        <v>0</v>
      </c>
      <c r="BO103" s="1074">
        <f>+BO392</f>
        <v>0</v>
      </c>
      <c r="BP103" s="1075">
        <f>+BP392</f>
        <v>2.0087270256183638</v>
      </c>
      <c r="BQ103" s="258">
        <f t="shared" si="166"/>
        <v>3.9015611230018141</v>
      </c>
      <c r="BR103" s="87"/>
      <c r="BS103" s="87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91"/>
      <c r="CL103" s="91"/>
      <c r="CM103" s="91"/>
      <c r="CN103" s="91"/>
      <c r="CO103" s="91"/>
      <c r="CP103" s="91"/>
      <c r="CQ103" s="91"/>
      <c r="CR103" s="1018"/>
      <c r="CS103" s="1018"/>
      <c r="CT103" s="821"/>
      <c r="CU103" s="12"/>
      <c r="CV103" s="12"/>
      <c r="CW103" s="12"/>
      <c r="CX103" s="12"/>
      <c r="CY103" s="12"/>
      <c r="CZ103" s="91"/>
      <c r="DA103" s="91"/>
      <c r="DB103" s="91"/>
      <c r="DC103" s="91"/>
      <c r="DD103" s="91"/>
      <c r="DE103" s="91"/>
      <c r="DF103" s="12"/>
      <c r="DG103" s="12"/>
      <c r="DH103" s="12"/>
      <c r="DI103" s="12"/>
      <c r="DJ103" s="12"/>
      <c r="DK103" s="12"/>
      <c r="DL103" s="12"/>
      <c r="DM103" s="12"/>
      <c r="DN103" s="12"/>
    </row>
    <row r="104" spans="1:118">
      <c r="A104" s="91"/>
      <c r="B104" s="89"/>
      <c r="C104" s="1202" t="s">
        <v>607</v>
      </c>
      <c r="D104" s="89"/>
      <c r="E104" s="145"/>
      <c r="F104" s="146"/>
      <c r="G104" s="146"/>
      <c r="H104" s="147"/>
      <c r="I104" s="87"/>
      <c r="J104" s="145"/>
      <c r="K104" s="146"/>
      <c r="L104" s="146"/>
      <c r="M104" s="147"/>
      <c r="N104" s="89"/>
      <c r="O104" s="145"/>
      <c r="P104" s="146"/>
      <c r="Q104" s="146"/>
      <c r="R104" s="147"/>
      <c r="S104" s="89"/>
      <c r="T104" s="1073"/>
      <c r="U104" s="1074"/>
      <c r="V104" s="1074"/>
      <c r="W104" s="1075"/>
      <c r="X104" s="258"/>
      <c r="Y104" s="1073">
        <f>+Y240</f>
        <v>34.773805500000009</v>
      </c>
      <c r="Z104" s="1074">
        <f>+Z240</f>
        <v>40.990462383333337</v>
      </c>
      <c r="AA104" s="1074">
        <f>+AA240</f>
        <v>53.423776150000002</v>
      </c>
      <c r="AB104" s="1075">
        <f>+AB240</f>
        <v>44.633296825000002</v>
      </c>
      <c r="AC104" s="258">
        <f t="shared" si="157"/>
        <v>173.82134085833334</v>
      </c>
      <c r="AD104" s="1073">
        <f>+AD240</f>
        <v>32.558159687499995</v>
      </c>
      <c r="AE104" s="1074">
        <f>+AE240</f>
        <v>65.866959618055546</v>
      </c>
      <c r="AF104" s="1074">
        <f>+AF240</f>
        <v>119.72263256249998</v>
      </c>
      <c r="AG104" s="1075">
        <f>+AG240</f>
        <v>119.72263256249998</v>
      </c>
      <c r="AH104" s="258">
        <f t="shared" si="158"/>
        <v>337.87038443055553</v>
      </c>
      <c r="AI104" s="1073">
        <f>+AI240</f>
        <v>120.90591693749998</v>
      </c>
      <c r="AJ104" s="1074">
        <f>+AJ240</f>
        <v>172.1970273888889</v>
      </c>
      <c r="AK104" s="1074">
        <f>+AK240</f>
        <v>294.99978899999996</v>
      </c>
      <c r="AL104" s="1075">
        <f>+AL240</f>
        <v>294.99978899999996</v>
      </c>
      <c r="AM104" s="258">
        <f t="shared" si="159"/>
        <v>883.10252232638879</v>
      </c>
      <c r="AN104" s="1073">
        <f>+AN240</f>
        <v>294.99978899999996</v>
      </c>
      <c r="AO104" s="1074">
        <f>+AO240</f>
        <v>233.34056502962957</v>
      </c>
      <c r="AP104" s="1074">
        <f>+AP240</f>
        <v>138.31232376666665</v>
      </c>
      <c r="AQ104" s="1075">
        <f>+AQ240</f>
        <v>138.31232376666665</v>
      </c>
      <c r="AR104" s="258">
        <f t="shared" si="160"/>
        <v>804.96500156296281</v>
      </c>
      <c r="AS104" s="1073">
        <f>+AS240</f>
        <v>139.23329501111112</v>
      </c>
      <c r="AT104" s="1074">
        <f>+AT240</f>
        <v>136.48733660801901</v>
      </c>
      <c r="AU104" s="1074">
        <f t="shared" ref="AU104" si="170">+AU240</f>
        <v>131.32319345183487</v>
      </c>
      <c r="AV104" s="1075">
        <f>+AV240</f>
        <v>131.32319345183487</v>
      </c>
      <c r="AW104" s="258">
        <f t="shared" si="162"/>
        <v>538.36701852279987</v>
      </c>
      <c r="AX104" s="1073">
        <f>+AX240</f>
        <v>131.32319345183487</v>
      </c>
      <c r="AY104" s="1074">
        <f>+AY240</f>
        <v>125.10415764844547</v>
      </c>
      <c r="AZ104" s="1074">
        <f>+AZ240</f>
        <v>110.47910885</v>
      </c>
      <c r="BA104" s="1075">
        <f>+BA240</f>
        <v>110.47910885</v>
      </c>
      <c r="BB104" s="258">
        <f t="shared" si="163"/>
        <v>477.38556880028034</v>
      </c>
      <c r="BC104" s="1073">
        <f>+BC240</f>
        <v>110.47910885</v>
      </c>
      <c r="BD104" s="1074">
        <f>+BD240</f>
        <v>96.002905900000016</v>
      </c>
      <c r="BE104" s="1074">
        <f>+BE240</f>
        <v>67.0505</v>
      </c>
      <c r="BF104" s="1075">
        <f>+BF240</f>
        <v>67.0505</v>
      </c>
      <c r="BG104" s="258">
        <f t="shared" si="164"/>
        <v>340.58301475000002</v>
      </c>
      <c r="BH104" s="1073">
        <f>+BH240</f>
        <v>67.0505</v>
      </c>
      <c r="BI104" s="1074">
        <f>+BI240</f>
        <v>67.0505</v>
      </c>
      <c r="BJ104" s="1074">
        <f>+BJ240</f>
        <v>51.313747650000003</v>
      </c>
      <c r="BK104" s="1075">
        <f>+BK240</f>
        <v>51.313747650000003</v>
      </c>
      <c r="BL104" s="258">
        <f t="shared" si="165"/>
        <v>236.72849530000002</v>
      </c>
      <c r="BM104" s="1073">
        <f>+BM240</f>
        <v>109.12359375</v>
      </c>
      <c r="BN104" s="1074">
        <f>+BN240</f>
        <v>109.12359375</v>
      </c>
      <c r="BO104" s="1074">
        <f>+BO240</f>
        <v>109.12359375</v>
      </c>
      <c r="BP104" s="1075">
        <f>+BP240</f>
        <v>109.12359375</v>
      </c>
      <c r="BQ104" s="258">
        <f t="shared" si="166"/>
        <v>436.49437499999999</v>
      </c>
      <c r="BR104" s="508"/>
      <c r="BS104" s="87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91"/>
      <c r="CL104" s="91"/>
      <c r="CM104" s="91"/>
      <c r="CN104" s="91"/>
      <c r="CO104" s="91"/>
      <c r="CP104" s="91"/>
      <c r="CQ104" s="91"/>
      <c r="CR104" s="1018"/>
      <c r="CS104" s="1018"/>
      <c r="CT104" s="821"/>
      <c r="CU104" s="12"/>
      <c r="CV104" s="12"/>
      <c r="CW104" s="12"/>
      <c r="CX104" s="12"/>
      <c r="CY104" s="12"/>
      <c r="CZ104" s="91"/>
      <c r="DA104" s="91"/>
      <c r="DB104" s="91"/>
      <c r="DC104" s="91"/>
      <c r="DD104" s="91"/>
      <c r="DE104" s="91"/>
      <c r="DF104" s="12"/>
      <c r="DG104" s="12"/>
      <c r="DH104" s="12"/>
      <c r="DI104" s="12"/>
      <c r="DJ104" s="12"/>
      <c r="DK104" s="12"/>
      <c r="DL104" s="12"/>
      <c r="DM104" s="12"/>
      <c r="DN104" s="12"/>
    </row>
    <row r="105" spans="1:118">
      <c r="A105" s="91"/>
      <c r="B105" s="89"/>
      <c r="C105" s="1184" t="s">
        <v>66</v>
      </c>
      <c r="D105" s="89"/>
      <c r="E105" s="145"/>
      <c r="F105" s="146"/>
      <c r="G105" s="146"/>
      <c r="H105" s="147"/>
      <c r="I105" s="87"/>
      <c r="J105" s="145"/>
      <c r="K105" s="146"/>
      <c r="L105" s="146"/>
      <c r="M105" s="147"/>
      <c r="N105" s="89"/>
      <c r="O105" s="145"/>
      <c r="P105" s="146"/>
      <c r="Q105" s="146"/>
      <c r="R105" s="147"/>
      <c r="S105" s="89"/>
      <c r="T105" s="1073"/>
      <c r="U105" s="1074"/>
      <c r="V105" s="1074"/>
      <c r="W105" s="1075"/>
      <c r="X105" s="258"/>
      <c r="Y105" s="1073">
        <f>+Y215</f>
        <v>0</v>
      </c>
      <c r="Z105" s="1074">
        <f>+Z215</f>
        <v>0</v>
      </c>
      <c r="AA105" s="1074">
        <f>+AA215</f>
        <v>0</v>
      </c>
      <c r="AB105" s="1075">
        <f>+AB215</f>
        <v>0</v>
      </c>
      <c r="AC105" s="258">
        <f t="shared" si="157"/>
        <v>0</v>
      </c>
      <c r="AD105" s="1073">
        <f>+AD215</f>
        <v>-524.2620070219823</v>
      </c>
      <c r="AE105" s="1074">
        <f>+AE215</f>
        <v>183.04905696399257</v>
      </c>
      <c r="AF105" s="1074">
        <f>+AF215</f>
        <v>366.64959499690298</v>
      </c>
      <c r="AG105" s="1075">
        <f>+AG215</f>
        <v>291.11640731664039</v>
      </c>
      <c r="AH105" s="258">
        <f t="shared" si="158"/>
        <v>316.55305225555367</v>
      </c>
      <c r="AI105" s="1073">
        <f>+AI215</f>
        <v>-97.471989275131392</v>
      </c>
      <c r="AJ105" s="1074">
        <f>+AJ215</f>
        <v>44.074569382295266</v>
      </c>
      <c r="AK105" s="1074">
        <f>+AK215</f>
        <v>34.323721724333325</v>
      </c>
      <c r="AL105" s="1075">
        <f>+AL215</f>
        <v>90.021755308563144</v>
      </c>
      <c r="AM105" s="258">
        <f t="shared" si="159"/>
        <v>70.948057140060342</v>
      </c>
      <c r="AN105" s="1073">
        <f>+AN215</f>
        <v>106.11623008285919</v>
      </c>
      <c r="AO105" s="1074">
        <f>+AO215</f>
        <v>18.429494650519032</v>
      </c>
      <c r="AP105" s="1074">
        <f>+AP215</f>
        <v>60.883509114410728</v>
      </c>
      <c r="AQ105" s="1075">
        <f>+AQ215</f>
        <v>61.536792601789145</v>
      </c>
      <c r="AR105" s="258">
        <f t="shared" si="160"/>
        <v>246.96602644957812</v>
      </c>
      <c r="AS105" s="1073">
        <f>+AS215</f>
        <v>50.874071775211846</v>
      </c>
      <c r="AT105" s="1074">
        <f>+AT215</f>
        <v>60.051720836637855</v>
      </c>
      <c r="AU105" s="1074">
        <f t="shared" ref="AU105" si="171">+AU215</f>
        <v>26.604634014655716</v>
      </c>
      <c r="AV105" s="1075">
        <f>+AV215</f>
        <v>31.195217871429762</v>
      </c>
      <c r="AW105" s="258">
        <f t="shared" si="162"/>
        <v>168.72564449793515</v>
      </c>
      <c r="AX105" s="1073">
        <f>+AX215</f>
        <v>-79.685303374777448</v>
      </c>
      <c r="AY105" s="1074">
        <f>+AY215</f>
        <v>14.333145694131282</v>
      </c>
      <c r="AZ105" s="1074">
        <f>+AZ215</f>
        <v>-8.4531924804273011</v>
      </c>
      <c r="BA105" s="1075">
        <f>+BA215</f>
        <v>16.3674632820548</v>
      </c>
      <c r="BB105" s="258">
        <f t="shared" si="163"/>
        <v>-57.437886879018677</v>
      </c>
      <c r="BC105" s="1073">
        <f>+BC215</f>
        <v>-70.888924678081906</v>
      </c>
      <c r="BD105" s="1074">
        <f>+BD215</f>
        <v>45.979195170233723</v>
      </c>
      <c r="BE105" s="1074">
        <f>+BE215</f>
        <v>37.587102142366149</v>
      </c>
      <c r="BF105" s="1075">
        <f>+BF215</f>
        <v>-32.061937654517592</v>
      </c>
      <c r="BG105" s="258">
        <f t="shared" si="164"/>
        <v>-19.384565019999627</v>
      </c>
      <c r="BH105" s="1073">
        <f>+BH215</f>
        <v>-38.30029382287676</v>
      </c>
      <c r="BI105" s="1074">
        <f>+BI215</f>
        <v>64.053987754747567</v>
      </c>
      <c r="BJ105" s="1074">
        <f>+BJ215</f>
        <v>50.905235845355435</v>
      </c>
      <c r="BK105" s="1075">
        <f>+BK215</f>
        <v>-13.823502193176839</v>
      </c>
      <c r="BL105" s="258">
        <f t="shared" si="165"/>
        <v>62.835427584049398</v>
      </c>
      <c r="BM105" s="1073">
        <f>+BM215</f>
        <v>-5.3368736716911904</v>
      </c>
      <c r="BN105" s="1074">
        <f>+BN215</f>
        <v>28.100846212081347</v>
      </c>
      <c r="BO105" s="1074">
        <f>+BO215</f>
        <v>27.394822331788127</v>
      </c>
      <c r="BP105" s="1075">
        <f>+BP215</f>
        <v>9.7049537399917583</v>
      </c>
      <c r="BQ105" s="258">
        <f t="shared" si="166"/>
        <v>59.863748612170042</v>
      </c>
      <c r="BR105" s="256"/>
      <c r="BS105" s="87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91"/>
      <c r="CL105" s="91"/>
      <c r="CM105" s="91"/>
      <c r="CN105" s="91"/>
      <c r="CO105" s="91"/>
      <c r="CP105" s="91"/>
      <c r="CQ105" s="91"/>
      <c r="CR105" s="1018"/>
      <c r="CS105" s="1018"/>
      <c r="CT105" s="821"/>
      <c r="CU105" s="12"/>
      <c r="CV105" s="12"/>
      <c r="CW105" s="12"/>
      <c r="CX105" s="12"/>
      <c r="CY105" s="12"/>
      <c r="CZ105" s="91"/>
      <c r="DA105" s="91"/>
      <c r="DB105" s="91"/>
      <c r="DC105" s="91"/>
      <c r="DD105" s="91"/>
      <c r="DE105" s="91"/>
      <c r="DF105" s="12"/>
      <c r="DG105" s="12"/>
      <c r="DH105" s="12"/>
      <c r="DI105" s="12"/>
      <c r="DJ105" s="12"/>
      <c r="DK105" s="12"/>
      <c r="DL105" s="12"/>
      <c r="DM105" s="12"/>
      <c r="DN105" s="12"/>
    </row>
    <row r="106" spans="1:118">
      <c r="A106" s="91"/>
      <c r="B106" s="89"/>
      <c r="C106" s="1184" t="s">
        <v>673</v>
      </c>
      <c r="D106" s="89"/>
      <c r="E106" s="145"/>
      <c r="F106" s="146"/>
      <c r="G106" s="146"/>
      <c r="H106" s="147"/>
      <c r="I106" s="87"/>
      <c r="J106" s="145"/>
      <c r="K106" s="146"/>
      <c r="L106" s="146"/>
      <c r="M106" s="147"/>
      <c r="N106" s="89"/>
      <c r="O106" s="145"/>
      <c r="P106" s="146"/>
      <c r="Q106" s="146"/>
      <c r="R106" s="147"/>
      <c r="S106" s="89"/>
      <c r="T106" s="1073"/>
      <c r="U106" s="1074"/>
      <c r="V106" s="1074"/>
      <c r="W106" s="1075"/>
      <c r="X106" s="258"/>
      <c r="Y106" s="1073">
        <f>+Y254</f>
        <v>39.211295665903833</v>
      </c>
      <c r="Z106" s="1074">
        <f>+Z254</f>
        <v>30.375052044830756</v>
      </c>
      <c r="AA106" s="1074">
        <f>+AA254</f>
        <v>21.763803266584528</v>
      </c>
      <c r="AB106" s="1075">
        <f>+AB254</f>
        <v>13.512339063703818</v>
      </c>
      <c r="AC106" s="258">
        <f>SUM(Y106:AB106)</f>
        <v>104.86249004102294</v>
      </c>
      <c r="AD106" s="1073">
        <f>+AD254</f>
        <v>28.277694304831709</v>
      </c>
      <c r="AE106" s="1074">
        <f>+AE254</f>
        <v>16.211109401610678</v>
      </c>
      <c r="AF106" s="1074">
        <f>+AF254</f>
        <v>3.3916270137548605</v>
      </c>
      <c r="AG106" s="1075">
        <f>+AG254</f>
        <v>-1.4888319410192483</v>
      </c>
      <c r="AH106" s="258">
        <f t="shared" si="158"/>
        <v>46.391598779177997</v>
      </c>
      <c r="AI106" s="1073">
        <f>+AI254</f>
        <v>-1.6648932617019627</v>
      </c>
      <c r="AJ106" s="1074">
        <f>+AJ254</f>
        <v>-4.1842291689085869</v>
      </c>
      <c r="AK106" s="1074">
        <f>+AK254</f>
        <v>-12.081497455528837</v>
      </c>
      <c r="AL106" s="1075">
        <f>+AL254</f>
        <v>-29.289184766826899</v>
      </c>
      <c r="AM106" s="258">
        <f>SUM(AI106:AL106)</f>
        <v>-47.219804652966289</v>
      </c>
      <c r="AN106" s="1073">
        <f>+AN254</f>
        <v>-9.8425322012848842</v>
      </c>
      <c r="AO106" s="1074">
        <f>+AO254</f>
        <v>-10.907323696896627</v>
      </c>
      <c r="AP106" s="1074">
        <f>+AP254</f>
        <v>-20.229925744218733</v>
      </c>
      <c r="AQ106" s="1075">
        <f>+AQ254</f>
        <v>-5.9467705221472276</v>
      </c>
      <c r="AR106" s="258">
        <f>SUM(AN106:AQ106)</f>
        <v>-46.926552164547466</v>
      </c>
      <c r="AS106" s="1073">
        <f>+AS254</f>
        <v>1.8924208627976</v>
      </c>
      <c r="AT106" s="1074">
        <f>+AT254</f>
        <v>1.8924208627976</v>
      </c>
      <c r="AU106" s="1074">
        <f t="shared" ref="AU106" si="172">+AU254</f>
        <v>2.8242083928807835</v>
      </c>
      <c r="AV106" s="1075">
        <f>+AV254</f>
        <v>12.393369520442352</v>
      </c>
      <c r="AW106" s="258">
        <f>SUM(AS106:AV106)</f>
        <v>19.002419638918337</v>
      </c>
      <c r="AX106" s="1073">
        <f>+AX254</f>
        <v>27.244883553209121</v>
      </c>
      <c r="AY106" s="1074">
        <f>+AY254</f>
        <v>-6.378525562500009</v>
      </c>
      <c r="AZ106" s="1074">
        <f>+AZ254</f>
        <v>-6.2783500007812814</v>
      </c>
      <c r="BA106" s="1075">
        <f>+BA254</f>
        <v>-6.8813856119531174</v>
      </c>
      <c r="BB106" s="258">
        <f>SUM(AX106:BA106)</f>
        <v>7.7066223779747141</v>
      </c>
      <c r="BC106" s="1073">
        <f>+BC254</f>
        <v>0</v>
      </c>
      <c r="BD106" s="1074">
        <f>+BD254</f>
        <v>0</v>
      </c>
      <c r="BE106" s="1074">
        <f>+BE254</f>
        <v>0</v>
      </c>
      <c r="BF106" s="1075">
        <f>+BF254</f>
        <v>0</v>
      </c>
      <c r="BG106" s="258">
        <f>SUM(BC106:BF106)</f>
        <v>0</v>
      </c>
      <c r="BH106" s="1073">
        <f>+BH254</f>
        <v>0</v>
      </c>
      <c r="BI106" s="1074">
        <f>+BI254</f>
        <v>0</v>
      </c>
      <c r="BJ106" s="1074">
        <f>+BJ254</f>
        <v>0</v>
      </c>
      <c r="BK106" s="1075">
        <f>+BK254</f>
        <v>0</v>
      </c>
      <c r="BL106" s="258">
        <f>SUM(BH106:BK106)</f>
        <v>0</v>
      </c>
      <c r="BM106" s="1073">
        <f>+BM254</f>
        <v>0</v>
      </c>
      <c r="BN106" s="1074">
        <f>+BN254</f>
        <v>0</v>
      </c>
      <c r="BO106" s="1074">
        <f>+BO254</f>
        <v>0</v>
      </c>
      <c r="BP106" s="1075">
        <f>+BP254</f>
        <v>0</v>
      </c>
      <c r="BQ106" s="258">
        <f>SUM(BM106:BP106)</f>
        <v>0</v>
      </c>
      <c r="BR106" s="1332"/>
      <c r="BS106" s="87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91"/>
      <c r="CL106" s="91"/>
      <c r="CM106" s="91"/>
      <c r="CN106" s="91"/>
      <c r="CO106" s="91"/>
      <c r="CP106" s="91"/>
      <c r="CQ106" s="91"/>
      <c r="CR106" s="1018"/>
      <c r="CS106" s="1018"/>
      <c r="CT106" s="821"/>
      <c r="CU106" s="12"/>
      <c r="CV106" s="12"/>
      <c r="CW106" s="12"/>
      <c r="CX106" s="12"/>
      <c r="CY106" s="12"/>
      <c r="CZ106" s="91"/>
      <c r="DA106" s="91"/>
      <c r="DB106" s="91"/>
      <c r="DC106" s="91"/>
      <c r="DD106" s="91"/>
      <c r="DE106" s="91"/>
      <c r="DF106" s="12"/>
      <c r="DG106" s="12"/>
      <c r="DH106" s="12"/>
      <c r="DI106" s="12"/>
      <c r="DJ106" s="12"/>
      <c r="DK106" s="12"/>
      <c r="DL106" s="12"/>
      <c r="DM106" s="12"/>
      <c r="DN106" s="12"/>
    </row>
    <row r="107" spans="1:118">
      <c r="A107" s="91"/>
      <c r="B107" s="89"/>
      <c r="C107" s="1184" t="s">
        <v>461</v>
      </c>
      <c r="D107" s="89"/>
      <c r="E107" s="145"/>
      <c r="F107" s="146"/>
      <c r="G107" s="146"/>
      <c r="H107" s="147"/>
      <c r="I107" s="87"/>
      <c r="J107" s="145"/>
      <c r="K107" s="146"/>
      <c r="L107" s="146"/>
      <c r="M107" s="147"/>
      <c r="N107" s="89"/>
      <c r="O107" s="145"/>
      <c r="P107" s="146"/>
      <c r="Q107" s="146"/>
      <c r="R107" s="147"/>
      <c r="S107" s="89"/>
      <c r="T107" s="1073"/>
      <c r="U107" s="1074"/>
      <c r="V107" s="1074"/>
      <c r="W107" s="1075"/>
      <c r="X107" s="258"/>
      <c r="Y107" s="1073">
        <f>Y450</f>
        <v>3.4777199999999997</v>
      </c>
      <c r="Z107" s="1074">
        <f t="shared" ref="Z107:AR107" si="173">Z450</f>
        <v>3.4777199999999997</v>
      </c>
      <c r="AA107" s="1074">
        <f t="shared" si="173"/>
        <v>3.4777199999999997</v>
      </c>
      <c r="AB107" s="1075">
        <f t="shared" si="173"/>
        <v>3.4777199999999997</v>
      </c>
      <c r="AC107" s="258">
        <f t="shared" si="173"/>
        <v>13.910879999999999</v>
      </c>
      <c r="AD107" s="1073">
        <f t="shared" si="173"/>
        <v>3.4777199999999997</v>
      </c>
      <c r="AE107" s="1074">
        <f t="shared" si="173"/>
        <v>3.4777199999999997</v>
      </c>
      <c r="AF107" s="1074">
        <f t="shared" si="173"/>
        <v>3.4777199999999997</v>
      </c>
      <c r="AG107" s="1075">
        <f t="shared" si="173"/>
        <v>3.4777199999999997</v>
      </c>
      <c r="AH107" s="258">
        <f t="shared" si="173"/>
        <v>13.910879999999999</v>
      </c>
      <c r="AI107" s="1073">
        <f t="shared" si="173"/>
        <v>3.4777199999999997</v>
      </c>
      <c r="AJ107" s="1074">
        <f t="shared" si="173"/>
        <v>3.4777199999999997</v>
      </c>
      <c r="AK107" s="1074">
        <f t="shared" si="173"/>
        <v>3.4777199999999997</v>
      </c>
      <c r="AL107" s="1075">
        <f t="shared" si="173"/>
        <v>3.4777199999999997</v>
      </c>
      <c r="AM107" s="258">
        <f t="shared" si="173"/>
        <v>13.910879999999999</v>
      </c>
      <c r="AN107" s="1073">
        <f t="shared" si="173"/>
        <v>3.4777199999999997</v>
      </c>
      <c r="AO107" s="1074">
        <f t="shared" ref="AO107:AP107" si="174">AO450</f>
        <v>3.4777199999999997</v>
      </c>
      <c r="AP107" s="1074">
        <f t="shared" si="174"/>
        <v>3.4777199999999997</v>
      </c>
      <c r="AQ107" s="1075">
        <f t="shared" si="173"/>
        <v>3.4777199999999997</v>
      </c>
      <c r="AR107" s="258">
        <f t="shared" si="173"/>
        <v>13.910879999999999</v>
      </c>
      <c r="AS107" s="1073">
        <f t="shared" ref="AS107:AT107" si="175">AS450</f>
        <v>3.4777199999999997</v>
      </c>
      <c r="AT107" s="1074">
        <f t="shared" si="175"/>
        <v>3.4777199999999997</v>
      </c>
      <c r="AU107" s="1074">
        <f t="shared" ref="AU107:AW107" si="176">AU450</f>
        <v>3.4777199999999997</v>
      </c>
      <c r="AV107" s="1075">
        <f t="shared" si="176"/>
        <v>3.4777199999999997</v>
      </c>
      <c r="AW107" s="258">
        <f t="shared" si="176"/>
        <v>13.910879999999999</v>
      </c>
      <c r="AX107" s="1073">
        <f>AX450</f>
        <v>3.4777199999999997</v>
      </c>
      <c r="AY107" s="1074">
        <f>AY450</f>
        <v>3.4777199999999997</v>
      </c>
      <c r="AZ107" s="1074">
        <f>AZ450</f>
        <v>3.4777199999999997</v>
      </c>
      <c r="BA107" s="1075">
        <f>BA450</f>
        <v>3.4777199999999997</v>
      </c>
      <c r="BB107" s="258">
        <f>BB450</f>
        <v>13.910879999999999</v>
      </c>
      <c r="BC107" s="1073">
        <f t="shared" ref="BC107:BL107" si="177">BC450</f>
        <v>3.4777199999999997</v>
      </c>
      <c r="BD107" s="1074">
        <f t="shared" si="177"/>
        <v>3.4777199999999997</v>
      </c>
      <c r="BE107" s="1074">
        <f t="shared" si="177"/>
        <v>3.4777199999999997</v>
      </c>
      <c r="BF107" s="1075">
        <f t="shared" si="177"/>
        <v>3.4777199999999997</v>
      </c>
      <c r="BG107" s="258">
        <f t="shared" si="177"/>
        <v>13.910879999999999</v>
      </c>
      <c r="BH107" s="1073">
        <f t="shared" si="177"/>
        <v>3.4777199999999997</v>
      </c>
      <c r="BI107" s="1074">
        <f t="shared" si="177"/>
        <v>3.4777199999999997</v>
      </c>
      <c r="BJ107" s="1074">
        <f t="shared" si="177"/>
        <v>3.4777199999999997</v>
      </c>
      <c r="BK107" s="1075">
        <f t="shared" si="177"/>
        <v>3.4777199999999997</v>
      </c>
      <c r="BL107" s="258">
        <f t="shared" si="177"/>
        <v>13.910879999999999</v>
      </c>
      <c r="BM107" s="1073">
        <f t="shared" ref="BM107:BQ107" si="178">BM450</f>
        <v>3.4777199999999997</v>
      </c>
      <c r="BN107" s="1074">
        <f t="shared" si="178"/>
        <v>3.4777199999999997</v>
      </c>
      <c r="BO107" s="1074">
        <f t="shared" si="178"/>
        <v>3.4777199999999997</v>
      </c>
      <c r="BP107" s="1075">
        <f t="shared" si="178"/>
        <v>3.4777199999999997</v>
      </c>
      <c r="BQ107" s="258">
        <f t="shared" si="178"/>
        <v>13.910879999999999</v>
      </c>
      <c r="BR107" s="1332"/>
      <c r="BS107" s="87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91"/>
      <c r="CL107" s="91"/>
      <c r="CM107" s="91"/>
      <c r="CN107" s="91"/>
      <c r="CO107" s="91"/>
      <c r="CP107" s="91"/>
      <c r="CQ107" s="91"/>
      <c r="CR107" s="1018"/>
      <c r="CS107" s="1018"/>
      <c r="CT107" s="821"/>
      <c r="CU107" s="12"/>
      <c r="CV107" s="12"/>
      <c r="CW107" s="12"/>
      <c r="CX107" s="12"/>
      <c r="CY107" s="12"/>
      <c r="CZ107" s="91"/>
      <c r="DA107" s="91"/>
      <c r="DB107" s="91"/>
      <c r="DC107" s="91"/>
      <c r="DD107" s="91"/>
      <c r="DE107" s="91"/>
      <c r="DF107" s="12"/>
      <c r="DG107" s="12"/>
      <c r="DH107" s="12"/>
      <c r="DI107" s="12"/>
      <c r="DJ107" s="12"/>
      <c r="DK107" s="12"/>
      <c r="DL107" s="12"/>
      <c r="DM107" s="12"/>
      <c r="DN107" s="12"/>
    </row>
    <row r="108" spans="1:118">
      <c r="A108" s="91"/>
      <c r="B108" s="88"/>
      <c r="C108" s="1248" t="s">
        <v>215</v>
      </c>
      <c r="D108" s="88"/>
      <c r="E108" s="214"/>
      <c r="F108" s="148"/>
      <c r="G108" s="148"/>
      <c r="H108" s="215"/>
      <c r="I108" s="88"/>
      <c r="J108" s="214"/>
      <c r="K108" s="148"/>
      <c r="L108" s="148"/>
      <c r="M108" s="215"/>
      <c r="N108" s="88"/>
      <c r="O108" s="214"/>
      <c r="P108" s="148"/>
      <c r="Q108" s="148"/>
      <c r="R108" s="215"/>
      <c r="S108" s="88"/>
      <c r="T108" s="240"/>
      <c r="U108" s="241"/>
      <c r="V108" s="241"/>
      <c r="W108" s="1059"/>
      <c r="X108" s="242"/>
      <c r="Y108" s="240">
        <f>SUM(Y100:Y107)</f>
        <v>395.22746429030957</v>
      </c>
      <c r="Z108" s="241">
        <f t="shared" ref="Z108:AQ108" si="179">SUM(Z100:Z107)</f>
        <v>428.77612920953368</v>
      </c>
      <c r="AA108" s="241">
        <f t="shared" si="179"/>
        <v>468.04851060158956</v>
      </c>
      <c r="AB108" s="1059">
        <f t="shared" si="179"/>
        <v>325.37495247687633</v>
      </c>
      <c r="AC108" s="242">
        <f t="shared" si="179"/>
        <v>1617.427056578309</v>
      </c>
      <c r="AD108" s="240">
        <f t="shared" si="179"/>
        <v>543.5507275925363</v>
      </c>
      <c r="AE108" s="241">
        <f t="shared" si="179"/>
        <v>680.05994201326394</v>
      </c>
      <c r="AF108" s="241">
        <f t="shared" si="179"/>
        <v>781.77456539466198</v>
      </c>
      <c r="AG108" s="1059">
        <f t="shared" si="179"/>
        <v>735.2712700601279</v>
      </c>
      <c r="AH108" s="242">
        <f t="shared" si="179"/>
        <v>2740.65650506059</v>
      </c>
      <c r="AI108" s="240">
        <f t="shared" si="179"/>
        <v>464.21760179574528</v>
      </c>
      <c r="AJ108" s="241">
        <f t="shared" si="179"/>
        <v>477.71764155310586</v>
      </c>
      <c r="AK108" s="241">
        <f t="shared" si="179"/>
        <v>580.64792093537972</v>
      </c>
      <c r="AL108" s="1059">
        <f t="shared" si="179"/>
        <v>562.30766130227778</v>
      </c>
      <c r="AM108" s="242">
        <f>SUM(AM100:AM107)</f>
        <v>2084.890825586509</v>
      </c>
      <c r="AN108" s="240">
        <f t="shared" si="179"/>
        <v>592.45478358561979</v>
      </c>
      <c r="AO108" s="241">
        <f t="shared" ref="AO108:AP108" si="180">SUM(AO100:AO107)</f>
        <v>473.81516819666172</v>
      </c>
      <c r="AP108" s="241">
        <f t="shared" si="180"/>
        <v>494.54075585079079</v>
      </c>
      <c r="AQ108" s="1059">
        <f t="shared" si="179"/>
        <v>446.43458275447313</v>
      </c>
      <c r="AR108" s="242">
        <f>SUM(AR100:AR107)</f>
        <v>2007.2452903875453</v>
      </c>
      <c r="AS108" s="240">
        <f t="shared" ref="AS108:AT108" si="181">SUM(AS100:AS107)</f>
        <v>405.68237564095938</v>
      </c>
      <c r="AT108" s="241">
        <f t="shared" si="181"/>
        <v>412.91849261326047</v>
      </c>
      <c r="AU108" s="241">
        <f t="shared" ref="AU108:AV108" si="182">SUM(AU100:AU107)</f>
        <v>417.51369640948553</v>
      </c>
      <c r="AV108" s="1059">
        <f t="shared" si="182"/>
        <v>395.81103931378254</v>
      </c>
      <c r="AW108" s="242">
        <f>SUM(AW100:AW107)</f>
        <v>1631.925603977488</v>
      </c>
      <c r="AX108" s="240">
        <f t="shared" ref="AX108:BL108" si="183">SUM(AX100:AX107)</f>
        <v>428.67982687189294</v>
      </c>
      <c r="AY108" s="241">
        <f t="shared" si="183"/>
        <v>363.17129742909293</v>
      </c>
      <c r="AZ108" s="241">
        <f t="shared" si="183"/>
        <v>344.90641829818264</v>
      </c>
      <c r="BA108" s="1059">
        <f t="shared" si="183"/>
        <v>342.5004222710553</v>
      </c>
      <c r="BB108" s="242">
        <f t="shared" si="183"/>
        <v>1479.257964870224</v>
      </c>
      <c r="BC108" s="240">
        <f t="shared" si="183"/>
        <v>336.9946267266032</v>
      </c>
      <c r="BD108" s="241">
        <f t="shared" si="183"/>
        <v>318.99730294544923</v>
      </c>
      <c r="BE108" s="241">
        <f t="shared" si="183"/>
        <v>303.90679127194028</v>
      </c>
      <c r="BF108" s="1059">
        <f t="shared" si="183"/>
        <v>291.30457202461503</v>
      </c>
      <c r="BG108" s="242">
        <f t="shared" si="183"/>
        <v>1251.2032929686077</v>
      </c>
      <c r="BH108" s="240">
        <f t="shared" si="183"/>
        <v>318.51427219928962</v>
      </c>
      <c r="BI108" s="241">
        <f t="shared" si="183"/>
        <v>302.96413495734907</v>
      </c>
      <c r="BJ108" s="241">
        <f t="shared" si="183"/>
        <v>296.14419932462124</v>
      </c>
      <c r="BK108" s="1059">
        <f t="shared" si="183"/>
        <v>286.36478397913771</v>
      </c>
      <c r="BL108" s="242">
        <f t="shared" si="183"/>
        <v>1203.9873904603978</v>
      </c>
      <c r="BM108" s="240">
        <f t="shared" ref="BM108:BQ108" si="184">SUM(BM100:BM107)</f>
        <v>365.20666583386969</v>
      </c>
      <c r="BN108" s="241">
        <f t="shared" si="184"/>
        <v>326.94788196951987</v>
      </c>
      <c r="BO108" s="241">
        <f t="shared" si="184"/>
        <v>324.95252340277358</v>
      </c>
      <c r="BP108" s="1059">
        <f t="shared" si="184"/>
        <v>361.79450640522816</v>
      </c>
      <c r="BQ108" s="242">
        <f t="shared" si="184"/>
        <v>1378.9015776113913</v>
      </c>
      <c r="BR108" s="87"/>
      <c r="BS108" s="87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91"/>
      <c r="CL108" s="91"/>
      <c r="CM108" s="91"/>
      <c r="CN108" s="91"/>
      <c r="CO108" s="91"/>
      <c r="CP108" s="91"/>
      <c r="CQ108" s="91"/>
      <c r="CR108" s="1018"/>
      <c r="CS108" s="1018"/>
      <c r="CT108" s="821"/>
      <c r="CU108" s="12"/>
      <c r="CV108" s="12"/>
      <c r="CW108" s="12"/>
      <c r="CX108" s="12"/>
      <c r="CY108" s="12"/>
      <c r="CZ108" s="91"/>
      <c r="DA108" s="91"/>
      <c r="DB108" s="91"/>
      <c r="DC108" s="91"/>
      <c r="DD108" s="91"/>
      <c r="DE108" s="91"/>
      <c r="DF108" s="12"/>
      <c r="DG108" s="12"/>
      <c r="DH108" s="12"/>
      <c r="DI108" s="12"/>
      <c r="DJ108" s="12"/>
      <c r="DK108" s="12"/>
      <c r="DL108" s="12"/>
      <c r="DM108" s="12"/>
      <c r="DN108" s="12"/>
    </row>
    <row r="109" spans="1:118">
      <c r="A109" s="91"/>
      <c r="B109" s="89"/>
      <c r="C109" s="1184"/>
      <c r="D109" s="89"/>
      <c r="E109" s="145"/>
      <c r="F109" s="146"/>
      <c r="G109" s="146"/>
      <c r="H109" s="147"/>
      <c r="I109" s="87"/>
      <c r="J109" s="145"/>
      <c r="K109" s="146"/>
      <c r="L109" s="146"/>
      <c r="M109" s="147"/>
      <c r="N109" s="89"/>
      <c r="O109" s="145"/>
      <c r="P109" s="146"/>
      <c r="Q109" s="146"/>
      <c r="R109" s="147"/>
      <c r="S109" s="89"/>
      <c r="T109" s="145"/>
      <c r="U109" s="146"/>
      <c r="V109" s="146"/>
      <c r="W109" s="147"/>
      <c r="X109" s="89"/>
      <c r="Y109" s="145"/>
      <c r="Z109" s="146"/>
      <c r="AA109" s="146"/>
      <c r="AB109" s="147"/>
      <c r="AC109" s="258"/>
      <c r="AD109" s="145"/>
      <c r="AE109" s="146"/>
      <c r="AF109" s="146"/>
      <c r="AG109" s="147"/>
      <c r="AH109" s="89"/>
      <c r="AI109" s="145"/>
      <c r="AJ109" s="146"/>
      <c r="AK109" s="146"/>
      <c r="AL109" s="147"/>
      <c r="AM109" s="89"/>
      <c r="AN109" s="145"/>
      <c r="AO109" s="146"/>
      <c r="AP109" s="146"/>
      <c r="AQ109" s="147"/>
      <c r="AR109" s="89"/>
      <c r="AS109" s="145"/>
      <c r="AT109" s="146"/>
      <c r="AU109" s="146"/>
      <c r="AV109" s="147"/>
      <c r="AW109" s="89"/>
      <c r="AX109" s="145"/>
      <c r="AY109" s="146"/>
      <c r="AZ109" s="146"/>
      <c r="BA109" s="147"/>
      <c r="BB109" s="89"/>
      <c r="BC109" s="145"/>
      <c r="BD109" s="146"/>
      <c r="BE109" s="146"/>
      <c r="BF109" s="147"/>
      <c r="BG109" s="89"/>
      <c r="BH109" s="145"/>
      <c r="BI109" s="146"/>
      <c r="BJ109" s="146"/>
      <c r="BK109" s="147"/>
      <c r="BL109" s="89"/>
      <c r="BM109" s="145"/>
      <c r="BN109" s="146"/>
      <c r="BO109" s="146"/>
      <c r="BP109" s="147"/>
      <c r="BQ109" s="89"/>
      <c r="BR109" s="87"/>
      <c r="BS109" s="87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91"/>
      <c r="CL109" s="91"/>
      <c r="CM109" s="91"/>
      <c r="CN109" s="91"/>
      <c r="CO109" s="91"/>
      <c r="CP109" s="91"/>
      <c r="CQ109" s="91"/>
      <c r="CR109" s="1018"/>
      <c r="CS109" s="1018"/>
      <c r="CT109" s="821"/>
      <c r="CU109" s="12"/>
      <c r="CV109" s="12"/>
      <c r="CW109" s="12"/>
      <c r="CX109" s="12"/>
      <c r="CY109" s="12"/>
      <c r="CZ109" s="91"/>
      <c r="DA109" s="91"/>
      <c r="DB109" s="91"/>
      <c r="DC109" s="91"/>
      <c r="DD109" s="91"/>
      <c r="DE109" s="91"/>
      <c r="DF109" s="12"/>
      <c r="DG109" s="12"/>
      <c r="DH109" s="12"/>
      <c r="DI109" s="12"/>
      <c r="DJ109" s="12"/>
      <c r="DK109" s="12"/>
      <c r="DL109" s="12"/>
      <c r="DM109" s="12"/>
      <c r="DN109" s="12"/>
    </row>
    <row r="110" spans="1:118">
      <c r="A110" s="91"/>
      <c r="B110" s="89"/>
      <c r="C110" s="1184" t="s">
        <v>699</v>
      </c>
      <c r="D110" s="89"/>
      <c r="E110" s="145"/>
      <c r="F110" s="146"/>
      <c r="G110" s="146"/>
      <c r="H110" s="147"/>
      <c r="I110" s="87"/>
      <c r="J110" s="145"/>
      <c r="K110" s="146"/>
      <c r="L110" s="146"/>
      <c r="M110" s="147"/>
      <c r="N110" s="89"/>
      <c r="O110" s="145"/>
      <c r="P110" s="146"/>
      <c r="Q110" s="146"/>
      <c r="R110" s="147"/>
      <c r="S110" s="89"/>
      <c r="T110" s="145"/>
      <c r="U110" s="146"/>
      <c r="V110" s="146"/>
      <c r="W110" s="147"/>
      <c r="X110" s="89"/>
      <c r="Y110" s="145"/>
      <c r="Z110" s="146"/>
      <c r="AA110" s="146"/>
      <c r="AB110" s="147"/>
      <c r="AC110" s="258">
        <f>+AC108-AC105-AC104</f>
        <v>1443.6057157199757</v>
      </c>
      <c r="AD110" s="145"/>
      <c r="AE110" s="146"/>
      <c r="AF110" s="146"/>
      <c r="AG110" s="147"/>
      <c r="AH110" s="258">
        <f>+AH108-AH105-AH104</f>
        <v>2086.2330683744808</v>
      </c>
      <c r="AI110" s="145"/>
      <c r="AJ110" s="146"/>
      <c r="AK110" s="146"/>
      <c r="AL110" s="147"/>
      <c r="AM110" s="258">
        <f>+AM108-AM105-AM104</f>
        <v>1130.8402461200599</v>
      </c>
      <c r="AN110" s="145"/>
      <c r="AO110" s="146"/>
      <c r="AP110" s="146"/>
      <c r="AQ110" s="147"/>
      <c r="AR110" s="258">
        <f>+AR108-AR105-AR104</f>
        <v>955.31426237500443</v>
      </c>
      <c r="AS110" s="145"/>
      <c r="AT110" s="146"/>
      <c r="AU110" s="146"/>
      <c r="AV110" s="147"/>
      <c r="AW110" s="258">
        <f>+AW108-AW105-AW104</f>
        <v>924.83294095675308</v>
      </c>
      <c r="AX110" s="145"/>
      <c r="AY110" s="146"/>
      <c r="AZ110" s="146"/>
      <c r="BA110" s="147"/>
      <c r="BB110" s="258">
        <f>+BB108-BB105-BB104</f>
        <v>1059.3102829489621</v>
      </c>
      <c r="BC110" s="145"/>
      <c r="BD110" s="146"/>
      <c r="BE110" s="146"/>
      <c r="BF110" s="147"/>
      <c r="BG110" s="258">
        <f>+BG108-BG105-BG104</f>
        <v>930.00484323860724</v>
      </c>
      <c r="BH110" s="145"/>
      <c r="BI110" s="146"/>
      <c r="BJ110" s="146"/>
      <c r="BK110" s="147"/>
      <c r="BL110" s="258">
        <f>+BL108-BL105-BL104</f>
        <v>904.42346757634846</v>
      </c>
      <c r="BM110" s="145"/>
      <c r="BN110" s="146"/>
      <c r="BO110" s="146"/>
      <c r="BP110" s="147"/>
      <c r="BQ110" s="258">
        <f>+BQ108-BQ105-BQ104</f>
        <v>882.54345399922136</v>
      </c>
      <c r="BR110" s="87"/>
      <c r="BS110" s="87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91"/>
      <c r="CL110" s="91"/>
      <c r="CM110" s="91"/>
      <c r="CN110" s="91"/>
      <c r="CO110" s="91"/>
      <c r="CP110" s="91"/>
      <c r="CQ110" s="91"/>
      <c r="CR110" s="1018"/>
      <c r="CS110" s="1018"/>
      <c r="CT110" s="821"/>
      <c r="CU110" s="12"/>
      <c r="CV110" s="12"/>
      <c r="CW110" s="12"/>
      <c r="CX110" s="12"/>
      <c r="CY110" s="12"/>
      <c r="CZ110" s="91"/>
      <c r="DA110" s="91"/>
      <c r="DB110" s="91"/>
      <c r="DC110" s="91"/>
      <c r="DD110" s="91"/>
      <c r="DE110" s="91"/>
      <c r="DF110" s="12"/>
      <c r="DG110" s="12"/>
      <c r="DH110" s="12"/>
      <c r="DI110" s="12"/>
      <c r="DJ110" s="12"/>
      <c r="DK110" s="12"/>
      <c r="DL110" s="12"/>
      <c r="DM110" s="12"/>
      <c r="DN110" s="12"/>
    </row>
    <row r="111" spans="1:118">
      <c r="A111" s="91"/>
      <c r="B111" s="89"/>
      <c r="C111" s="1184"/>
      <c r="D111" s="89"/>
      <c r="E111" s="145"/>
      <c r="F111" s="146"/>
      <c r="G111" s="146"/>
      <c r="H111" s="147"/>
      <c r="I111" s="87"/>
      <c r="J111" s="145"/>
      <c r="K111" s="146"/>
      <c r="L111" s="146"/>
      <c r="M111" s="147"/>
      <c r="N111" s="89"/>
      <c r="O111" s="145"/>
      <c r="P111" s="146"/>
      <c r="Q111" s="146"/>
      <c r="R111" s="147"/>
      <c r="S111" s="89"/>
      <c r="T111" s="145"/>
      <c r="U111" s="146"/>
      <c r="V111" s="146"/>
      <c r="W111" s="147"/>
      <c r="X111" s="89"/>
      <c r="Y111" s="145"/>
      <c r="Z111" s="146"/>
      <c r="AA111" s="146"/>
      <c r="AB111" s="147"/>
      <c r="AC111" s="258"/>
      <c r="AD111" s="145"/>
      <c r="AE111" s="146"/>
      <c r="AF111" s="146"/>
      <c r="AG111" s="147"/>
      <c r="AH111" s="258"/>
      <c r="AI111" s="145"/>
      <c r="AJ111" s="146"/>
      <c r="AK111" s="146"/>
      <c r="AL111" s="147"/>
      <c r="AM111" s="258"/>
      <c r="AN111" s="145"/>
      <c r="AO111" s="146"/>
      <c r="AP111" s="146"/>
      <c r="AQ111" s="147"/>
      <c r="AR111" s="258"/>
      <c r="AS111" s="145"/>
      <c r="AT111" s="146"/>
      <c r="AU111" s="146"/>
      <c r="AV111" s="147"/>
      <c r="AW111" s="258"/>
      <c r="AX111" s="145"/>
      <c r="AY111" s="146"/>
      <c r="AZ111" s="146"/>
      <c r="BA111" s="147"/>
      <c r="BB111" s="258"/>
      <c r="BC111" s="145"/>
      <c r="BD111" s="146"/>
      <c r="BE111" s="146"/>
      <c r="BF111" s="147"/>
      <c r="BG111" s="258"/>
      <c r="BH111" s="145"/>
      <c r="BI111" s="146"/>
      <c r="BJ111" s="146"/>
      <c r="BK111" s="147"/>
      <c r="BL111" s="258"/>
      <c r="BM111" s="145"/>
      <c r="BN111" s="146"/>
      <c r="BO111" s="146"/>
      <c r="BP111" s="147"/>
      <c r="BQ111" s="258"/>
      <c r="BR111" s="87"/>
      <c r="BS111" s="87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91"/>
      <c r="CL111" s="91"/>
      <c r="CM111" s="91"/>
      <c r="CN111" s="91"/>
      <c r="CO111" s="91"/>
      <c r="CP111" s="91"/>
      <c r="CQ111" s="91"/>
      <c r="CR111" s="1018"/>
      <c r="CS111" s="1018"/>
      <c r="CT111" s="821"/>
      <c r="CU111" s="12"/>
      <c r="CV111" s="12"/>
      <c r="CW111" s="12"/>
      <c r="CX111" s="12"/>
      <c r="CY111" s="12"/>
      <c r="CZ111" s="91"/>
      <c r="DA111" s="91"/>
      <c r="DB111" s="91"/>
      <c r="DC111" s="91"/>
      <c r="DD111" s="91"/>
      <c r="DE111" s="91"/>
      <c r="DF111" s="12"/>
      <c r="DG111" s="12"/>
      <c r="DH111" s="12"/>
      <c r="DI111" s="12"/>
      <c r="DJ111" s="12"/>
      <c r="DK111" s="12"/>
      <c r="DL111" s="12"/>
      <c r="DM111" s="12"/>
      <c r="DN111" s="12"/>
    </row>
    <row r="112" spans="1:118">
      <c r="A112" s="91"/>
      <c r="B112" s="89"/>
      <c r="C112" s="1184"/>
      <c r="D112" s="89"/>
      <c r="E112" s="145"/>
      <c r="F112" s="146"/>
      <c r="G112" s="146"/>
      <c r="H112" s="147"/>
      <c r="I112" s="87"/>
      <c r="J112" s="145"/>
      <c r="K112" s="146"/>
      <c r="L112" s="146"/>
      <c r="M112" s="147"/>
      <c r="N112" s="89"/>
      <c r="O112" s="145"/>
      <c r="P112" s="146"/>
      <c r="Q112" s="146"/>
      <c r="R112" s="147"/>
      <c r="S112" s="89"/>
      <c r="T112" s="145"/>
      <c r="U112" s="146"/>
      <c r="V112" s="146"/>
      <c r="W112" s="147"/>
      <c r="X112" s="89"/>
      <c r="Y112" s="145"/>
      <c r="Z112" s="146"/>
      <c r="AA112" s="146"/>
      <c r="AB112" s="147"/>
      <c r="AC112" s="89"/>
      <c r="AD112" s="145"/>
      <c r="AE112" s="146"/>
      <c r="AF112" s="146"/>
      <c r="AG112" s="147"/>
      <c r="AH112" s="89"/>
      <c r="AI112" s="145"/>
      <c r="AJ112" s="146"/>
      <c r="AK112" s="146"/>
      <c r="AL112" s="147"/>
      <c r="AM112" s="89"/>
      <c r="AN112" s="145"/>
      <c r="AO112" s="146"/>
      <c r="AP112" s="146"/>
      <c r="AQ112" s="147"/>
      <c r="AR112" s="89"/>
      <c r="AS112" s="145"/>
      <c r="AT112" s="146"/>
      <c r="AU112" s="146"/>
      <c r="AV112" s="147"/>
      <c r="AW112" s="89"/>
      <c r="AX112" s="145"/>
      <c r="AY112" s="146"/>
      <c r="AZ112" s="146"/>
      <c r="BA112" s="147"/>
      <c r="BB112" s="89"/>
      <c r="BC112" s="145"/>
      <c r="BD112" s="146"/>
      <c r="BE112" s="146"/>
      <c r="BF112" s="147"/>
      <c r="BG112" s="89"/>
      <c r="BH112" s="145"/>
      <c r="BI112" s="146"/>
      <c r="BJ112" s="146"/>
      <c r="BK112" s="147"/>
      <c r="BL112" s="89"/>
      <c r="BM112" s="145"/>
      <c r="BN112" s="146"/>
      <c r="BO112" s="146"/>
      <c r="BP112" s="147"/>
      <c r="BQ112" s="89"/>
      <c r="BR112" s="87"/>
      <c r="BS112" s="87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91"/>
      <c r="CL112" s="91"/>
      <c r="CM112" s="91"/>
      <c r="CN112" s="91"/>
      <c r="CO112" s="91"/>
      <c r="CP112" s="91"/>
      <c r="CQ112" s="91"/>
      <c r="CR112" s="1018"/>
      <c r="CS112" s="1018"/>
      <c r="CT112" s="821"/>
      <c r="CU112" s="12"/>
      <c r="CV112" s="12"/>
      <c r="CW112" s="12"/>
      <c r="CX112" s="12"/>
      <c r="CY112" s="12"/>
      <c r="CZ112" s="91"/>
      <c r="DA112" s="91"/>
      <c r="DB112" s="91"/>
      <c r="DC112" s="91"/>
      <c r="DD112" s="91"/>
      <c r="DE112" s="91"/>
      <c r="DF112" s="12"/>
      <c r="DG112" s="12"/>
      <c r="DH112" s="12"/>
      <c r="DI112" s="12"/>
      <c r="DJ112" s="12"/>
      <c r="DK112" s="12"/>
      <c r="DL112" s="12"/>
      <c r="DM112" s="12"/>
      <c r="DN112" s="12"/>
    </row>
    <row r="113" spans="1:118">
      <c r="A113" s="91"/>
      <c r="B113" s="126" t="s">
        <v>1120</v>
      </c>
      <c r="C113" s="1247"/>
      <c r="D113" s="1017"/>
      <c r="E113" s="145"/>
      <c r="F113" s="146"/>
      <c r="G113" s="146"/>
      <c r="H113" s="147"/>
      <c r="I113" s="87"/>
      <c r="J113" s="145"/>
      <c r="K113" s="146"/>
      <c r="L113" s="2034"/>
      <c r="M113" s="2181"/>
      <c r="N113" s="2094"/>
      <c r="O113" s="2180"/>
      <c r="P113" s="2034"/>
      <c r="Q113" s="2034"/>
      <c r="R113" s="2181"/>
      <c r="S113" s="2094"/>
      <c r="T113" s="2180"/>
      <c r="U113" s="2034"/>
      <c r="V113" s="2034"/>
      <c r="W113" s="2181"/>
      <c r="X113" s="2094"/>
      <c r="Y113" s="2180"/>
      <c r="Z113" s="2034"/>
      <c r="AA113" s="2034"/>
      <c r="AB113" s="2181"/>
      <c r="AC113" s="2094"/>
      <c r="AD113" s="2180"/>
      <c r="AE113" s="2034"/>
      <c r="AF113" s="2034"/>
      <c r="AG113" s="2181"/>
      <c r="AH113" s="2094"/>
      <c r="AI113" s="2180"/>
      <c r="AJ113" s="2034"/>
      <c r="AK113" s="2034"/>
      <c r="AL113" s="2181"/>
      <c r="AM113" s="2094"/>
      <c r="AN113" s="2180"/>
      <c r="AO113" s="2034"/>
      <c r="AP113" s="2034"/>
      <c r="AQ113" s="2181"/>
      <c r="AR113" s="2094"/>
      <c r="AS113" s="2180"/>
      <c r="AT113" s="2034"/>
      <c r="AU113" s="2034"/>
      <c r="AV113" s="2181"/>
      <c r="AW113" s="2094"/>
      <c r="AX113" s="2180"/>
      <c r="AY113" s="2034"/>
      <c r="AZ113" s="2034"/>
      <c r="BA113" s="2181"/>
      <c r="BB113" s="2094"/>
      <c r="BC113" s="2180"/>
      <c r="BD113" s="2034"/>
      <c r="BE113" s="2034"/>
      <c r="BF113" s="2181"/>
      <c r="BG113" s="2094"/>
      <c r="BH113" s="2180"/>
      <c r="BI113" s="2034"/>
      <c r="BJ113" s="2034"/>
      <c r="BK113" s="2181"/>
      <c r="BL113" s="2094"/>
      <c r="BM113" s="2180"/>
      <c r="BN113" s="2034"/>
      <c r="BO113" s="2034"/>
      <c r="BP113" s="2181"/>
      <c r="BQ113" s="2094"/>
      <c r="BR113" s="2182"/>
      <c r="BS113" s="2182"/>
      <c r="BT113" s="2052"/>
      <c r="BU113" s="2052"/>
      <c r="BV113" s="2052"/>
      <c r="BW113" s="2052"/>
      <c r="BX113" s="205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91"/>
      <c r="CL113" s="91"/>
      <c r="CM113" s="91"/>
      <c r="CN113" s="91"/>
      <c r="CO113" s="91"/>
      <c r="CP113" s="91"/>
      <c r="CQ113" s="91"/>
      <c r="CR113" s="1018"/>
      <c r="CS113" s="1018"/>
      <c r="CT113" s="821"/>
      <c r="CU113" s="12"/>
      <c r="CV113" s="12"/>
      <c r="CW113" s="12"/>
      <c r="CX113" s="12"/>
      <c r="CY113" s="12"/>
      <c r="CZ113" s="91"/>
      <c r="DA113" s="91"/>
      <c r="DB113" s="91"/>
      <c r="DC113" s="91"/>
      <c r="DD113" s="91"/>
      <c r="DE113" s="91"/>
      <c r="DF113" s="12"/>
      <c r="DG113" s="12"/>
      <c r="DH113" s="12"/>
      <c r="DI113" s="12"/>
      <c r="DJ113" s="12"/>
      <c r="DK113" s="12"/>
      <c r="DL113" s="12"/>
      <c r="DM113" s="12"/>
      <c r="DN113" s="12"/>
    </row>
    <row r="114" spans="1:118">
      <c r="A114" s="91"/>
      <c r="B114" s="89"/>
      <c r="C114" s="2183" t="s">
        <v>568</v>
      </c>
      <c r="D114" s="2094"/>
      <c r="E114" s="2180"/>
      <c r="F114" s="2034"/>
      <c r="G114" s="2034"/>
      <c r="H114" s="2181"/>
      <c r="I114" s="2182"/>
      <c r="J114" s="2180"/>
      <c r="K114" s="2034"/>
      <c r="L114" s="2034"/>
      <c r="M114" s="2181"/>
      <c r="N114" s="2094"/>
      <c r="O114" s="2180"/>
      <c r="P114" s="2034"/>
      <c r="Q114" s="2034"/>
      <c r="R114" s="2181"/>
      <c r="S114" s="2094"/>
      <c r="T114" s="2180"/>
      <c r="U114" s="2034"/>
      <c r="V114" s="2034"/>
      <c r="W114" s="2181"/>
      <c r="X114" s="2094"/>
      <c r="Y114" s="2180"/>
      <c r="Z114" s="2034"/>
      <c r="AA114" s="2034"/>
      <c r="AB114" s="2181"/>
      <c r="AC114" s="2094"/>
      <c r="AD114" s="2180"/>
      <c r="AE114" s="2034"/>
      <c r="AF114" s="2034"/>
      <c r="AG114" s="2181"/>
      <c r="AH114" s="2094"/>
      <c r="AI114" s="2180"/>
      <c r="AJ114" s="2034"/>
      <c r="AK114" s="2034"/>
      <c r="AL114" s="2181"/>
      <c r="AM114" s="2094"/>
      <c r="AN114" s="2180"/>
      <c r="AO114" s="2034"/>
      <c r="AP114" s="2034"/>
      <c r="AQ114" s="2181"/>
      <c r="AR114" s="2094"/>
      <c r="AS114" s="2184">
        <f t="shared" ref="AS114:AW114" si="185">AS489+AS511+67+AS517+AS520+AS522+AS523+AS524+AS525</f>
        <v>2982</v>
      </c>
      <c r="AT114" s="2185">
        <f t="shared" si="185"/>
        <v>2982</v>
      </c>
      <c r="AU114" s="2185">
        <f t="shared" si="185"/>
        <v>2982</v>
      </c>
      <c r="AV114" s="2186">
        <f t="shared" ref="AV114" si="186">AV489+AV511+67+AV517+AV520+AV522+AV523+AV524+AV525</f>
        <v>1410</v>
      </c>
      <c r="AW114" s="2187">
        <f t="shared" si="185"/>
        <v>1410</v>
      </c>
      <c r="AX114" s="2184">
        <f t="shared" ref="AX114:BL114" si="187">AX489+AX511+67+AX517+AX520+AX522+AX523+AX524+AX525</f>
        <v>1410</v>
      </c>
      <c r="AY114" s="2185">
        <f t="shared" si="187"/>
        <v>1410</v>
      </c>
      <c r="AZ114" s="2185">
        <f t="shared" si="187"/>
        <v>1410</v>
      </c>
      <c r="BA114" s="2186">
        <f t="shared" si="187"/>
        <v>1410</v>
      </c>
      <c r="BB114" s="2187">
        <f t="shared" si="187"/>
        <v>110</v>
      </c>
      <c r="BC114" s="2184">
        <f t="shared" si="187"/>
        <v>110</v>
      </c>
      <c r="BD114" s="2185">
        <f t="shared" si="187"/>
        <v>110</v>
      </c>
      <c r="BE114" s="2185">
        <f t="shared" si="187"/>
        <v>110</v>
      </c>
      <c r="BF114" s="2186">
        <f t="shared" si="187"/>
        <v>110</v>
      </c>
      <c r="BG114" s="2187">
        <f t="shared" si="187"/>
        <v>110</v>
      </c>
      <c r="BH114" s="2184">
        <f t="shared" si="187"/>
        <v>110</v>
      </c>
      <c r="BI114" s="2185">
        <f t="shared" si="187"/>
        <v>110</v>
      </c>
      <c r="BJ114" s="2185">
        <f t="shared" si="187"/>
        <v>110</v>
      </c>
      <c r="BK114" s="2186">
        <f t="shared" si="187"/>
        <v>110</v>
      </c>
      <c r="BL114" s="2187">
        <f t="shared" si="187"/>
        <v>110</v>
      </c>
      <c r="BM114" s="2184">
        <f t="shared" ref="BM114:BQ114" si="188">BM489+BM511+67+BM517+BM520+BM522+BM523+BM524+BM525</f>
        <v>110</v>
      </c>
      <c r="BN114" s="2185">
        <f t="shared" si="188"/>
        <v>110</v>
      </c>
      <c r="BO114" s="2185">
        <f t="shared" si="188"/>
        <v>110</v>
      </c>
      <c r="BP114" s="2186">
        <f t="shared" si="188"/>
        <v>110</v>
      </c>
      <c r="BQ114" s="2187">
        <f t="shared" si="188"/>
        <v>110</v>
      </c>
      <c r="BR114" s="2182"/>
      <c r="BS114" s="2182"/>
      <c r="BT114" s="2052"/>
      <c r="BU114" s="2052"/>
      <c r="BV114" s="2052"/>
      <c r="BW114" s="2052"/>
      <c r="BX114" s="205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91"/>
      <c r="CL114" s="91"/>
      <c r="CM114" s="91"/>
      <c r="CN114" s="91"/>
      <c r="CO114" s="91"/>
      <c r="CP114" s="91"/>
      <c r="CQ114" s="91"/>
      <c r="CR114" s="1018"/>
      <c r="CS114" s="1018"/>
      <c r="CT114" s="821"/>
      <c r="CU114" s="12"/>
      <c r="CV114" s="12"/>
      <c r="CW114" s="12"/>
      <c r="CX114" s="12"/>
      <c r="CY114" s="12"/>
      <c r="CZ114" s="91"/>
      <c r="DA114" s="91"/>
      <c r="DB114" s="91"/>
      <c r="DC114" s="91"/>
      <c r="DD114" s="91"/>
      <c r="DE114" s="91"/>
      <c r="DF114" s="12"/>
      <c r="DG114" s="12"/>
      <c r="DH114" s="12"/>
      <c r="DI114" s="12"/>
      <c r="DJ114" s="12"/>
      <c r="DK114" s="12"/>
      <c r="DL114" s="12"/>
      <c r="DM114" s="12"/>
      <c r="DN114" s="12"/>
    </row>
    <row r="115" spans="1:118">
      <c r="A115" s="91"/>
      <c r="B115" s="89"/>
      <c r="C115" s="2188" t="s">
        <v>689</v>
      </c>
      <c r="D115" s="2094"/>
      <c r="E115" s="2180"/>
      <c r="F115" s="2034"/>
      <c r="G115" s="2034"/>
      <c r="H115" s="2181"/>
      <c r="I115" s="2182"/>
      <c r="J115" s="2180"/>
      <c r="K115" s="2034"/>
      <c r="L115" s="2034"/>
      <c r="M115" s="2181"/>
      <c r="N115" s="2094"/>
      <c r="O115" s="2180"/>
      <c r="P115" s="2034"/>
      <c r="Q115" s="2034"/>
      <c r="R115" s="2181"/>
      <c r="S115" s="2094"/>
      <c r="T115" s="2180"/>
      <c r="U115" s="2034"/>
      <c r="V115" s="2034"/>
      <c r="W115" s="2181"/>
      <c r="X115" s="2094"/>
      <c r="Y115" s="2180"/>
      <c r="Z115" s="2034"/>
      <c r="AA115" s="2034"/>
      <c r="AB115" s="2181"/>
      <c r="AC115" s="2094"/>
      <c r="AD115" s="2180"/>
      <c r="AE115" s="2034"/>
      <c r="AF115" s="2034"/>
      <c r="AG115" s="2181"/>
      <c r="AH115" s="2094"/>
      <c r="AI115" s="2180"/>
      <c r="AJ115" s="2034"/>
      <c r="AK115" s="2034"/>
      <c r="AL115" s="2181"/>
      <c r="AM115" s="2094"/>
      <c r="AN115" s="2180"/>
      <c r="AO115" s="2034"/>
      <c r="AP115" s="2034"/>
      <c r="AQ115" s="2181"/>
      <c r="AR115" s="2094"/>
      <c r="AS115" s="2184">
        <f t="shared" ref="AS115:AW115" si="189">(AS511+67)</f>
        <v>1367</v>
      </c>
      <c r="AT115" s="2185">
        <f t="shared" si="189"/>
        <v>1367</v>
      </c>
      <c r="AU115" s="2185">
        <f t="shared" si="189"/>
        <v>1367</v>
      </c>
      <c r="AV115" s="2186">
        <f t="shared" ref="AV115" si="190">(AV511+67)</f>
        <v>1367</v>
      </c>
      <c r="AW115" s="2187">
        <f t="shared" si="189"/>
        <v>1367</v>
      </c>
      <c r="AX115" s="2184">
        <f t="shared" ref="AX115:BL115" si="191">(AX511+67)</f>
        <v>1367</v>
      </c>
      <c r="AY115" s="2185">
        <f t="shared" si="191"/>
        <v>1367</v>
      </c>
      <c r="AZ115" s="2185">
        <f t="shared" si="191"/>
        <v>1367</v>
      </c>
      <c r="BA115" s="2186">
        <f t="shared" si="191"/>
        <v>1367</v>
      </c>
      <c r="BB115" s="2187">
        <f t="shared" si="191"/>
        <v>67</v>
      </c>
      <c r="BC115" s="2184">
        <f t="shared" si="191"/>
        <v>67</v>
      </c>
      <c r="BD115" s="2185">
        <f t="shared" si="191"/>
        <v>67</v>
      </c>
      <c r="BE115" s="2185">
        <f t="shared" si="191"/>
        <v>67</v>
      </c>
      <c r="BF115" s="2186">
        <f t="shared" si="191"/>
        <v>67</v>
      </c>
      <c r="BG115" s="2187">
        <f t="shared" si="191"/>
        <v>67</v>
      </c>
      <c r="BH115" s="2184">
        <f t="shared" si="191"/>
        <v>67</v>
      </c>
      <c r="BI115" s="2185">
        <f t="shared" si="191"/>
        <v>67</v>
      </c>
      <c r="BJ115" s="2185">
        <f t="shared" si="191"/>
        <v>67</v>
      </c>
      <c r="BK115" s="2186">
        <f t="shared" si="191"/>
        <v>67</v>
      </c>
      <c r="BL115" s="2187">
        <f t="shared" si="191"/>
        <v>67</v>
      </c>
      <c r="BM115" s="2184">
        <f t="shared" ref="BM115:BQ115" si="192">(BM511+67)</f>
        <v>67</v>
      </c>
      <c r="BN115" s="2185">
        <f t="shared" si="192"/>
        <v>67</v>
      </c>
      <c r="BO115" s="2185">
        <f t="shared" si="192"/>
        <v>67</v>
      </c>
      <c r="BP115" s="2186">
        <f t="shared" si="192"/>
        <v>67</v>
      </c>
      <c r="BQ115" s="2187">
        <f t="shared" si="192"/>
        <v>67</v>
      </c>
      <c r="BR115" s="2182"/>
      <c r="BS115" s="2182"/>
      <c r="BT115" s="2052"/>
      <c r="BU115" s="2052"/>
      <c r="BV115" s="2052"/>
      <c r="BW115" s="2052"/>
      <c r="BX115" s="205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91"/>
      <c r="CL115" s="91"/>
      <c r="CM115" s="91"/>
      <c r="CN115" s="91"/>
      <c r="CO115" s="91"/>
      <c r="CP115" s="91"/>
      <c r="CQ115" s="91"/>
      <c r="CR115" s="1018"/>
      <c r="CS115" s="1018"/>
      <c r="CT115" s="821"/>
      <c r="CU115" s="12"/>
      <c r="CV115" s="12"/>
      <c r="CW115" s="12"/>
      <c r="CX115" s="12"/>
      <c r="CY115" s="12"/>
      <c r="CZ115" s="91"/>
      <c r="DA115" s="91"/>
      <c r="DB115" s="91"/>
      <c r="DC115" s="91"/>
      <c r="DD115" s="91"/>
      <c r="DE115" s="91"/>
      <c r="DF115" s="12"/>
      <c r="DG115" s="12"/>
      <c r="DH115" s="12"/>
      <c r="DI115" s="12"/>
      <c r="DJ115" s="12"/>
      <c r="DK115" s="12"/>
      <c r="DL115" s="12"/>
      <c r="DM115" s="12"/>
      <c r="DN115" s="12"/>
    </row>
    <row r="116" spans="1:118">
      <c r="A116" s="91"/>
      <c r="B116" s="89"/>
      <c r="C116" s="2188" t="s">
        <v>453</v>
      </c>
      <c r="D116" s="2094"/>
      <c r="E116" s="2180"/>
      <c r="F116" s="2034"/>
      <c r="G116" s="2034"/>
      <c r="H116" s="2181"/>
      <c r="I116" s="2182"/>
      <c r="J116" s="2180"/>
      <c r="K116" s="2034"/>
      <c r="L116" s="2034"/>
      <c r="M116" s="2181"/>
      <c r="N116" s="2094"/>
      <c r="O116" s="2180"/>
      <c r="P116" s="2034"/>
      <c r="Q116" s="2034"/>
      <c r="R116" s="2181"/>
      <c r="S116" s="2094"/>
      <c r="T116" s="2180"/>
      <c r="U116" s="2034"/>
      <c r="V116" s="2034"/>
      <c r="W116" s="2181"/>
      <c r="X116" s="2094"/>
      <c r="Y116" s="2180"/>
      <c r="Z116" s="2034"/>
      <c r="AA116" s="2034"/>
      <c r="AB116" s="2181"/>
      <c r="AC116" s="2094"/>
      <c r="AD116" s="2180"/>
      <c r="AE116" s="2034"/>
      <c r="AF116" s="2034"/>
      <c r="AG116" s="2181"/>
      <c r="AH116" s="2094"/>
      <c r="AI116" s="2180"/>
      <c r="AJ116" s="2034"/>
      <c r="AK116" s="2034"/>
      <c r="AL116" s="2181"/>
      <c r="AM116" s="2094"/>
      <c r="AN116" s="2180"/>
      <c r="AO116" s="2034"/>
      <c r="AP116" s="2034"/>
      <c r="AQ116" s="2181"/>
      <c r="AR116" s="2094"/>
      <c r="AS116" s="2184">
        <f t="shared" ref="AS116:AW116" si="193">AS489</f>
        <v>713</v>
      </c>
      <c r="AT116" s="2185">
        <f t="shared" si="193"/>
        <v>713</v>
      </c>
      <c r="AU116" s="2185">
        <f t="shared" si="193"/>
        <v>713</v>
      </c>
      <c r="AV116" s="2186">
        <f t="shared" ref="AV116" si="194">AV489</f>
        <v>0</v>
      </c>
      <c r="AW116" s="2187">
        <f t="shared" si="193"/>
        <v>0</v>
      </c>
      <c r="AX116" s="2184">
        <f t="shared" ref="AX116:BL116" si="195">AX489</f>
        <v>0</v>
      </c>
      <c r="AY116" s="2185">
        <f t="shared" si="195"/>
        <v>0</v>
      </c>
      <c r="AZ116" s="2185">
        <f t="shared" si="195"/>
        <v>0</v>
      </c>
      <c r="BA116" s="2186">
        <f t="shared" si="195"/>
        <v>0</v>
      </c>
      <c r="BB116" s="2187">
        <f t="shared" si="195"/>
        <v>0</v>
      </c>
      <c r="BC116" s="2184">
        <f t="shared" si="195"/>
        <v>0</v>
      </c>
      <c r="BD116" s="2185">
        <f t="shared" si="195"/>
        <v>0</v>
      </c>
      <c r="BE116" s="2185">
        <f t="shared" si="195"/>
        <v>0</v>
      </c>
      <c r="BF116" s="2186">
        <f t="shared" si="195"/>
        <v>0</v>
      </c>
      <c r="BG116" s="2187">
        <f t="shared" si="195"/>
        <v>0</v>
      </c>
      <c r="BH116" s="2184">
        <f t="shared" si="195"/>
        <v>0</v>
      </c>
      <c r="BI116" s="2185">
        <f t="shared" si="195"/>
        <v>0</v>
      </c>
      <c r="BJ116" s="2185">
        <f t="shared" si="195"/>
        <v>0</v>
      </c>
      <c r="BK116" s="2186">
        <f t="shared" si="195"/>
        <v>0</v>
      </c>
      <c r="BL116" s="2187">
        <f t="shared" si="195"/>
        <v>0</v>
      </c>
      <c r="BM116" s="2184">
        <f t="shared" ref="BM116:BQ116" si="196">BM489</f>
        <v>0</v>
      </c>
      <c r="BN116" s="2185">
        <f t="shared" si="196"/>
        <v>0</v>
      </c>
      <c r="BO116" s="2185">
        <f t="shared" si="196"/>
        <v>0</v>
      </c>
      <c r="BP116" s="2186">
        <f t="shared" si="196"/>
        <v>0</v>
      </c>
      <c r="BQ116" s="2187">
        <f t="shared" si="196"/>
        <v>0</v>
      </c>
      <c r="BR116" s="2182"/>
      <c r="BS116" s="2182"/>
      <c r="BT116" s="2052"/>
      <c r="BU116" s="2052"/>
      <c r="BV116" s="2052"/>
      <c r="BW116" s="2052"/>
      <c r="BX116" s="205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91"/>
      <c r="CL116" s="91"/>
      <c r="CM116" s="91"/>
      <c r="CN116" s="91"/>
      <c r="CO116" s="91"/>
      <c r="CP116" s="91"/>
      <c r="CQ116" s="91"/>
      <c r="CR116" s="1018"/>
      <c r="CS116" s="1018"/>
      <c r="CT116" s="821"/>
      <c r="CU116" s="12"/>
      <c r="CV116" s="12"/>
      <c r="CW116" s="12"/>
      <c r="CX116" s="12"/>
      <c r="CY116" s="12"/>
      <c r="CZ116" s="91"/>
      <c r="DA116" s="91"/>
      <c r="DB116" s="91"/>
      <c r="DC116" s="91"/>
      <c r="DD116" s="91"/>
      <c r="DE116" s="91"/>
      <c r="DF116" s="12"/>
      <c r="DG116" s="12"/>
      <c r="DH116" s="12"/>
      <c r="DI116" s="12"/>
      <c r="DJ116" s="12"/>
      <c r="DK116" s="12"/>
      <c r="DL116" s="12"/>
      <c r="DM116" s="12"/>
      <c r="DN116" s="12"/>
    </row>
    <row r="117" spans="1:118">
      <c r="A117" s="91"/>
      <c r="B117" s="89"/>
      <c r="C117" s="2188" t="s">
        <v>688</v>
      </c>
      <c r="D117" s="2094"/>
      <c r="E117" s="2180"/>
      <c r="F117" s="2034"/>
      <c r="G117" s="2034"/>
      <c r="H117" s="2181"/>
      <c r="I117" s="2182"/>
      <c r="J117" s="2180"/>
      <c r="K117" s="2034"/>
      <c r="L117" s="2034"/>
      <c r="M117" s="2181"/>
      <c r="N117" s="2094"/>
      <c r="O117" s="2180"/>
      <c r="P117" s="2034"/>
      <c r="Q117" s="2034"/>
      <c r="R117" s="2181"/>
      <c r="S117" s="2094"/>
      <c r="T117" s="2180"/>
      <c r="U117" s="2034"/>
      <c r="V117" s="2034"/>
      <c r="W117" s="2181"/>
      <c r="X117" s="2094"/>
      <c r="Y117" s="2180"/>
      <c r="Z117" s="2034"/>
      <c r="AA117" s="2034"/>
      <c r="AB117" s="2181"/>
      <c r="AC117" s="2094"/>
      <c r="AD117" s="2180"/>
      <c r="AE117" s="2034"/>
      <c r="AF117" s="2034"/>
      <c r="AG117" s="2181"/>
      <c r="AH117" s="2094"/>
      <c r="AI117" s="2180"/>
      <c r="AJ117" s="2034"/>
      <c r="AK117" s="2034"/>
      <c r="AL117" s="2181"/>
      <c r="AM117" s="2094"/>
      <c r="AN117" s="2180"/>
      <c r="AO117" s="2034"/>
      <c r="AP117" s="2034"/>
      <c r="AQ117" s="2181"/>
      <c r="AR117" s="2094"/>
      <c r="AS117" s="2184">
        <f t="shared" ref="AS117" si="197">AS517+AS520+SUM(AS522:AS525)</f>
        <v>902</v>
      </c>
      <c r="AT117" s="2185">
        <f t="shared" ref="AT117:AW117" si="198">AT517+AT520+SUM(AT522:AT525)</f>
        <v>902</v>
      </c>
      <c r="AU117" s="2185">
        <f t="shared" ref="AU117:AV117" si="199">AU517+AU520+SUM(AU522:AU525)</f>
        <v>902</v>
      </c>
      <c r="AV117" s="2186">
        <f t="shared" si="199"/>
        <v>43</v>
      </c>
      <c r="AW117" s="2187">
        <f t="shared" si="198"/>
        <v>43</v>
      </c>
      <c r="AX117" s="2184">
        <f t="shared" ref="AX117:BL117" si="200">AX517+AX520+SUM(AX522:AX525)</f>
        <v>43</v>
      </c>
      <c r="AY117" s="2185">
        <f t="shared" si="200"/>
        <v>43</v>
      </c>
      <c r="AZ117" s="2185">
        <f t="shared" si="200"/>
        <v>43</v>
      </c>
      <c r="BA117" s="2186">
        <f t="shared" si="200"/>
        <v>43</v>
      </c>
      <c r="BB117" s="2187">
        <f t="shared" si="200"/>
        <v>43</v>
      </c>
      <c r="BC117" s="2184">
        <f t="shared" si="200"/>
        <v>43</v>
      </c>
      <c r="BD117" s="2185">
        <f>BD517+BD520+SUM(BD522:BD525)</f>
        <v>43</v>
      </c>
      <c r="BE117" s="2185">
        <f t="shared" si="200"/>
        <v>43</v>
      </c>
      <c r="BF117" s="2186">
        <f t="shared" si="200"/>
        <v>43</v>
      </c>
      <c r="BG117" s="2187">
        <f t="shared" si="200"/>
        <v>43</v>
      </c>
      <c r="BH117" s="2184">
        <f t="shared" si="200"/>
        <v>43</v>
      </c>
      <c r="BI117" s="2185">
        <f t="shared" si="200"/>
        <v>43</v>
      </c>
      <c r="BJ117" s="2185">
        <f t="shared" si="200"/>
        <v>43</v>
      </c>
      <c r="BK117" s="2186">
        <f t="shared" si="200"/>
        <v>43</v>
      </c>
      <c r="BL117" s="2187">
        <f t="shared" si="200"/>
        <v>43</v>
      </c>
      <c r="BM117" s="2184">
        <f t="shared" ref="BM117:BQ117" si="201">BM517+BM520+SUM(BM522:BM525)</f>
        <v>43</v>
      </c>
      <c r="BN117" s="2185">
        <f t="shared" si="201"/>
        <v>43</v>
      </c>
      <c r="BO117" s="2185">
        <f t="shared" si="201"/>
        <v>43</v>
      </c>
      <c r="BP117" s="2186">
        <f t="shared" si="201"/>
        <v>43</v>
      </c>
      <c r="BQ117" s="2187">
        <f t="shared" si="201"/>
        <v>43</v>
      </c>
      <c r="BR117" s="2182"/>
      <c r="BS117" s="2182"/>
      <c r="BT117" s="2052"/>
      <c r="BU117" s="2052"/>
      <c r="BV117" s="2052"/>
      <c r="BW117" s="2052"/>
      <c r="BX117" s="205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91"/>
      <c r="CL117" s="91"/>
      <c r="CM117" s="91"/>
      <c r="CN117" s="91"/>
      <c r="CO117" s="91"/>
      <c r="CP117" s="91"/>
      <c r="CQ117" s="91"/>
      <c r="CR117" s="1018"/>
      <c r="CS117" s="1018"/>
      <c r="CT117" s="821"/>
      <c r="CU117" s="12"/>
      <c r="CV117" s="12"/>
      <c r="CW117" s="12"/>
      <c r="CX117" s="12"/>
      <c r="CY117" s="12"/>
      <c r="CZ117" s="91"/>
      <c r="DA117" s="91"/>
      <c r="DB117" s="91"/>
      <c r="DC117" s="91"/>
      <c r="DD117" s="91"/>
      <c r="DE117" s="91"/>
      <c r="DF117" s="12"/>
      <c r="DG117" s="12"/>
      <c r="DH117" s="12"/>
      <c r="DI117" s="12"/>
      <c r="DJ117" s="12"/>
      <c r="DK117" s="12"/>
      <c r="DL117" s="12"/>
      <c r="DM117" s="12"/>
      <c r="DN117" s="12"/>
    </row>
    <row r="118" spans="1:118">
      <c r="A118" s="91"/>
      <c r="B118" s="89"/>
      <c r="C118" s="2188"/>
      <c r="D118" s="2094"/>
      <c r="E118" s="2180"/>
      <c r="F118" s="2034"/>
      <c r="G118" s="2034"/>
      <c r="H118" s="2181"/>
      <c r="I118" s="2182"/>
      <c r="J118" s="2180"/>
      <c r="K118" s="2034"/>
      <c r="L118" s="2034"/>
      <c r="M118" s="2181"/>
      <c r="N118" s="2094"/>
      <c r="O118" s="2180"/>
      <c r="P118" s="2034"/>
      <c r="Q118" s="2034"/>
      <c r="R118" s="2181"/>
      <c r="S118" s="2094"/>
      <c r="T118" s="2180"/>
      <c r="U118" s="2034"/>
      <c r="V118" s="2034"/>
      <c r="W118" s="2181"/>
      <c r="X118" s="2094"/>
      <c r="Y118" s="2180"/>
      <c r="Z118" s="2034"/>
      <c r="AA118" s="2034"/>
      <c r="AB118" s="2181"/>
      <c r="AC118" s="2094"/>
      <c r="AD118" s="2180"/>
      <c r="AE118" s="2034"/>
      <c r="AF118" s="2034"/>
      <c r="AG118" s="2181"/>
      <c r="AH118" s="2094"/>
      <c r="AI118" s="2180"/>
      <c r="AJ118" s="2034"/>
      <c r="AK118" s="2034"/>
      <c r="AL118" s="2181"/>
      <c r="AM118" s="2094"/>
      <c r="AN118" s="2180"/>
      <c r="AO118" s="2034"/>
      <c r="AP118" s="2034"/>
      <c r="AQ118" s="2181"/>
      <c r="AR118" s="2094"/>
      <c r="AS118" s="2184"/>
      <c r="AT118" s="2185"/>
      <c r="AU118" s="2185"/>
      <c r="AV118" s="2186"/>
      <c r="AW118" s="2187"/>
      <c r="AX118" s="2184"/>
      <c r="AY118" s="2185"/>
      <c r="AZ118" s="2185"/>
      <c r="BA118" s="2186"/>
      <c r="BB118" s="2187"/>
      <c r="BC118" s="2184"/>
      <c r="BD118" s="2185"/>
      <c r="BE118" s="2185"/>
      <c r="BF118" s="2186"/>
      <c r="BG118" s="2187"/>
      <c r="BH118" s="2184"/>
      <c r="BI118" s="2185"/>
      <c r="BJ118" s="2185"/>
      <c r="BK118" s="2186"/>
      <c r="BL118" s="2187"/>
      <c r="BM118" s="2184"/>
      <c r="BN118" s="2185"/>
      <c r="BO118" s="2185"/>
      <c r="BP118" s="2186"/>
      <c r="BQ118" s="2187"/>
      <c r="BR118" s="2182"/>
      <c r="BS118" s="2182"/>
      <c r="BT118" s="2052"/>
      <c r="BU118" s="2052"/>
      <c r="BV118" s="2052"/>
      <c r="BW118" s="2052"/>
      <c r="BX118" s="205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91"/>
      <c r="CL118" s="91"/>
      <c r="CM118" s="91"/>
      <c r="CN118" s="91"/>
      <c r="CO118" s="91"/>
      <c r="CP118" s="91"/>
      <c r="CQ118" s="91"/>
      <c r="CR118" s="1018"/>
      <c r="CS118" s="1018"/>
      <c r="CT118" s="821"/>
      <c r="CU118" s="12"/>
      <c r="CV118" s="12"/>
      <c r="CW118" s="12"/>
      <c r="CX118" s="12"/>
      <c r="CY118" s="12"/>
      <c r="CZ118" s="91"/>
      <c r="DA118" s="91"/>
      <c r="DB118" s="91"/>
      <c r="DC118" s="91"/>
      <c r="DD118" s="91"/>
      <c r="DE118" s="91"/>
      <c r="DF118" s="12"/>
      <c r="DG118" s="12"/>
      <c r="DH118" s="12"/>
      <c r="DI118" s="12"/>
      <c r="DJ118" s="12"/>
      <c r="DK118" s="12"/>
      <c r="DL118" s="12"/>
      <c r="DM118" s="12"/>
      <c r="DN118" s="12"/>
    </row>
    <row r="119" spans="1:118">
      <c r="A119" s="91"/>
      <c r="B119" s="89"/>
      <c r="C119" s="2211" t="s">
        <v>1131</v>
      </c>
      <c r="D119" s="2094"/>
      <c r="E119" s="2034"/>
      <c r="F119" s="2034"/>
      <c r="G119" s="2034"/>
      <c r="H119" s="2034"/>
      <c r="I119" s="2182"/>
      <c r="J119" s="2034"/>
      <c r="K119" s="2034"/>
      <c r="L119" s="2034"/>
      <c r="M119" s="2034"/>
      <c r="N119" s="2094"/>
      <c r="O119" s="2034"/>
      <c r="P119" s="2034"/>
      <c r="Q119" s="2034"/>
      <c r="R119" s="2034"/>
      <c r="S119" s="2094"/>
      <c r="T119" s="2034"/>
      <c r="U119" s="2034"/>
      <c r="V119" s="2034"/>
      <c r="W119" s="2034"/>
      <c r="X119" s="2094"/>
      <c r="Y119" s="2034"/>
      <c r="Z119" s="2034"/>
      <c r="AA119" s="2034"/>
      <c r="AB119" s="2034"/>
      <c r="AC119" s="2094"/>
      <c r="AD119" s="2034"/>
      <c r="AE119" s="2034"/>
      <c r="AF119" s="2034"/>
      <c r="AG119" s="2034"/>
      <c r="AH119" s="2094"/>
      <c r="AI119" s="2180"/>
      <c r="AJ119" s="2034"/>
      <c r="AK119" s="2034"/>
      <c r="AL119" s="2181"/>
      <c r="AM119" s="2094"/>
      <c r="AN119" s="2180"/>
      <c r="AO119" s="2034"/>
      <c r="AP119" s="2034"/>
      <c r="AQ119" s="2181"/>
      <c r="AR119" s="2094"/>
      <c r="AS119" s="2184"/>
      <c r="AT119" s="2185"/>
      <c r="AU119" s="2185"/>
      <c r="AV119" s="2186"/>
      <c r="AW119" s="2187"/>
      <c r="AX119" s="2184"/>
      <c r="AY119" s="2185"/>
      <c r="AZ119" s="2185"/>
      <c r="BA119" s="2186"/>
      <c r="BB119" s="2187"/>
      <c r="BC119" s="2184"/>
      <c r="BD119" s="2185"/>
      <c r="BE119" s="2185"/>
      <c r="BF119" s="2186"/>
      <c r="BG119" s="2187"/>
      <c r="BH119" s="2184"/>
      <c r="BI119" s="2185"/>
      <c r="BJ119" s="2185"/>
      <c r="BK119" s="2186"/>
      <c r="BL119" s="2187"/>
      <c r="BM119" s="2184"/>
      <c r="BN119" s="2185"/>
      <c r="BO119" s="2185"/>
      <c r="BP119" s="2186"/>
      <c r="BQ119" s="2187"/>
      <c r="BR119" s="2182"/>
      <c r="BS119" s="2182"/>
      <c r="BT119" s="2052"/>
      <c r="BU119" s="2052"/>
      <c r="BV119" s="2052"/>
      <c r="BW119" s="2052"/>
      <c r="BX119" s="205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91"/>
      <c r="CL119" s="91"/>
      <c r="CM119" s="91"/>
      <c r="CN119" s="91"/>
      <c r="CO119" s="91"/>
      <c r="CP119" s="91"/>
      <c r="CQ119" s="91"/>
      <c r="CR119" s="1018"/>
      <c r="CS119" s="1018"/>
      <c r="CT119" s="821"/>
      <c r="CU119" s="12"/>
      <c r="CV119" s="12"/>
      <c r="CW119" s="12"/>
      <c r="CX119" s="12"/>
      <c r="CY119" s="12"/>
      <c r="CZ119" s="91"/>
      <c r="DA119" s="91"/>
      <c r="DB119" s="91"/>
      <c r="DC119" s="91"/>
      <c r="DD119" s="91"/>
      <c r="DE119" s="91"/>
      <c r="DF119" s="12"/>
      <c r="DG119" s="12"/>
      <c r="DH119" s="12"/>
      <c r="DI119" s="12"/>
      <c r="DJ119" s="12"/>
      <c r="DK119" s="12"/>
      <c r="DL119" s="12"/>
      <c r="DM119" s="12"/>
      <c r="DN119" s="12"/>
    </row>
    <row r="120" spans="1:118">
      <c r="A120" s="91"/>
      <c r="B120" s="89"/>
      <c r="C120" s="2210" t="s">
        <v>1132</v>
      </c>
      <c r="AI120" s="2180"/>
      <c r="AJ120" s="2034"/>
      <c r="AK120" s="2034"/>
      <c r="AL120" s="2181"/>
      <c r="AM120" s="2094"/>
      <c r="AN120" s="2180"/>
      <c r="AO120" s="2034"/>
      <c r="AP120" s="2034"/>
      <c r="AQ120" s="2181"/>
      <c r="AS120" s="2302">
        <f t="shared" ref="AS120:AW120" si="202">IFERROR(AS489/AS490,0)</f>
        <v>1</v>
      </c>
      <c r="AT120" s="2303">
        <f t="shared" si="202"/>
        <v>1</v>
      </c>
      <c r="AU120" s="2303">
        <f t="shared" si="202"/>
        <v>1</v>
      </c>
      <c r="AV120" s="2304">
        <f t="shared" ref="AV120" si="203">IFERROR(AV489/AV490,0)</f>
        <v>0</v>
      </c>
      <c r="AW120" s="2305">
        <f t="shared" si="202"/>
        <v>0</v>
      </c>
      <c r="AX120" s="833">
        <f t="shared" ref="AX120:BQ120" si="204">IFERROR(AX489/AX490,0)</f>
        <v>0</v>
      </c>
      <c r="AY120" s="834">
        <f t="shared" si="204"/>
        <v>0</v>
      </c>
      <c r="AZ120" s="834">
        <f t="shared" si="204"/>
        <v>0</v>
      </c>
      <c r="BA120" s="835">
        <f t="shared" si="204"/>
        <v>0</v>
      </c>
      <c r="BB120" s="1054">
        <f t="shared" si="204"/>
        <v>0</v>
      </c>
      <c r="BC120" s="833">
        <f t="shared" si="204"/>
        <v>0</v>
      </c>
      <c r="BD120" s="834">
        <f t="shared" si="204"/>
        <v>0</v>
      </c>
      <c r="BE120" s="834">
        <f t="shared" si="204"/>
        <v>0</v>
      </c>
      <c r="BF120" s="835">
        <f t="shared" si="204"/>
        <v>0</v>
      </c>
      <c r="BG120" s="1054">
        <f t="shared" si="204"/>
        <v>0</v>
      </c>
      <c r="BH120" s="833">
        <f t="shared" si="204"/>
        <v>0</v>
      </c>
      <c r="BI120" s="834">
        <f t="shared" si="204"/>
        <v>0</v>
      </c>
      <c r="BJ120" s="834">
        <f t="shared" si="204"/>
        <v>0</v>
      </c>
      <c r="BK120" s="835">
        <f t="shared" si="204"/>
        <v>0</v>
      </c>
      <c r="BL120" s="1054">
        <f t="shared" si="204"/>
        <v>0</v>
      </c>
      <c r="BM120" s="833">
        <f t="shared" si="204"/>
        <v>0</v>
      </c>
      <c r="BN120" s="834">
        <f t="shared" si="204"/>
        <v>0</v>
      </c>
      <c r="BO120" s="834">
        <f t="shared" si="204"/>
        <v>0</v>
      </c>
      <c r="BP120" s="835">
        <f t="shared" si="204"/>
        <v>0</v>
      </c>
      <c r="BQ120" s="1054">
        <f t="shared" si="204"/>
        <v>0</v>
      </c>
      <c r="BR120" s="2182"/>
      <c r="BS120" s="2182"/>
      <c r="BT120" s="2052"/>
      <c r="BU120" s="2052"/>
      <c r="BV120" s="2052"/>
      <c r="BW120" s="2052"/>
      <c r="BX120" s="205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91"/>
      <c r="CL120" s="91"/>
      <c r="CM120" s="91"/>
      <c r="CN120" s="91"/>
      <c r="CO120" s="91"/>
      <c r="CP120" s="91"/>
      <c r="CQ120" s="91"/>
      <c r="CR120" s="1018"/>
      <c r="CS120" s="1018"/>
      <c r="CT120" s="821"/>
      <c r="CU120" s="12"/>
      <c r="CV120" s="12"/>
      <c r="CW120" s="12"/>
      <c r="CX120" s="12"/>
      <c r="CY120" s="12"/>
      <c r="CZ120" s="91"/>
      <c r="DA120" s="91"/>
      <c r="DB120" s="91"/>
      <c r="DC120" s="91"/>
      <c r="DD120" s="91"/>
      <c r="DE120" s="91"/>
      <c r="DF120" s="12"/>
      <c r="DG120" s="12"/>
      <c r="DH120" s="12"/>
      <c r="DI120" s="12"/>
      <c r="DJ120" s="12"/>
      <c r="DK120" s="12"/>
      <c r="DL120" s="12"/>
      <c r="DM120" s="12"/>
      <c r="DN120" s="12"/>
    </row>
    <row r="121" spans="1:118">
      <c r="A121" s="91"/>
      <c r="B121" s="89"/>
      <c r="C121" s="2210" t="s">
        <v>560</v>
      </c>
      <c r="AI121" s="2180"/>
      <c r="AJ121" s="2034"/>
      <c r="AK121" s="2034"/>
      <c r="AL121" s="2181"/>
      <c r="AM121" s="2094"/>
      <c r="AN121" s="2180"/>
      <c r="AO121" s="2034"/>
      <c r="AP121" s="2034"/>
      <c r="AQ121" s="2181"/>
      <c r="AS121" s="2302">
        <f t="shared" ref="AS121:AW121" si="205">(AS511+67)/AS515</f>
        <v>0.92552471225457011</v>
      </c>
      <c r="AT121" s="2303">
        <f t="shared" si="205"/>
        <v>0.92552471225457011</v>
      </c>
      <c r="AU121" s="2303">
        <f t="shared" si="205"/>
        <v>0.92552471225457011</v>
      </c>
      <c r="AV121" s="2304">
        <f t="shared" ref="AV121" si="206">(AV511+67)/AV515</f>
        <v>0.92552471225457011</v>
      </c>
      <c r="AW121" s="2305">
        <f t="shared" si="205"/>
        <v>0.92552471225457011</v>
      </c>
      <c r="AX121" s="833">
        <f t="shared" ref="AX121:BL121" si="207">(AX511+67)/AX515</f>
        <v>0.92552471225457011</v>
      </c>
      <c r="AY121" s="834">
        <f t="shared" si="207"/>
        <v>0.92552471225457011</v>
      </c>
      <c r="AZ121" s="834">
        <f t="shared" si="207"/>
        <v>0.92552471225457011</v>
      </c>
      <c r="BA121" s="835">
        <f t="shared" si="207"/>
        <v>0.92552471225457011</v>
      </c>
      <c r="BB121" s="1054">
        <f t="shared" si="207"/>
        <v>0.37853107344632769</v>
      </c>
      <c r="BC121" s="833">
        <f t="shared" si="207"/>
        <v>0.37853107344632769</v>
      </c>
      <c r="BD121" s="834">
        <f t="shared" si="207"/>
        <v>0.37853107344632769</v>
      </c>
      <c r="BE121" s="834">
        <f t="shared" si="207"/>
        <v>0.37853107344632769</v>
      </c>
      <c r="BF121" s="835">
        <f t="shared" si="207"/>
        <v>0.37853107344632769</v>
      </c>
      <c r="BG121" s="1054">
        <f t="shared" si="207"/>
        <v>0.37853107344632769</v>
      </c>
      <c r="BH121" s="833">
        <f t="shared" si="207"/>
        <v>0.37853107344632769</v>
      </c>
      <c r="BI121" s="834">
        <f t="shared" si="207"/>
        <v>0.37853107344632769</v>
      </c>
      <c r="BJ121" s="834">
        <f t="shared" si="207"/>
        <v>0.37853107344632769</v>
      </c>
      <c r="BK121" s="835">
        <f t="shared" si="207"/>
        <v>0.37853107344632769</v>
      </c>
      <c r="BL121" s="1054">
        <f t="shared" si="207"/>
        <v>0.37853107344632769</v>
      </c>
      <c r="BM121" s="833">
        <f t="shared" ref="BM121:BQ121" si="208">(BM511+67)/BM515</f>
        <v>0.37853107344632769</v>
      </c>
      <c r="BN121" s="834">
        <f t="shared" si="208"/>
        <v>0.37853107344632769</v>
      </c>
      <c r="BO121" s="834">
        <f t="shared" si="208"/>
        <v>0.37853107344632769</v>
      </c>
      <c r="BP121" s="835">
        <f t="shared" si="208"/>
        <v>0.37853107344632769</v>
      </c>
      <c r="BQ121" s="1054">
        <f t="shared" si="208"/>
        <v>0.37853107344632769</v>
      </c>
      <c r="BR121" s="2182"/>
      <c r="BS121" s="2182"/>
      <c r="BT121" s="2052"/>
      <c r="BU121" s="2052"/>
      <c r="BV121" s="2052"/>
      <c r="BW121" s="2052"/>
      <c r="BX121" s="205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91"/>
      <c r="CL121" s="91"/>
      <c r="CM121" s="91"/>
      <c r="CN121" s="91"/>
      <c r="CO121" s="91"/>
      <c r="CP121" s="91"/>
      <c r="CQ121" s="91"/>
      <c r="CR121" s="1018"/>
      <c r="CS121" s="1018"/>
      <c r="CT121" s="821"/>
      <c r="CU121" s="12"/>
      <c r="CV121" s="12"/>
      <c r="CW121" s="12"/>
      <c r="CX121" s="12"/>
      <c r="CY121" s="12"/>
      <c r="CZ121" s="91"/>
      <c r="DA121" s="91"/>
      <c r="DB121" s="91"/>
      <c r="DC121" s="91"/>
      <c r="DD121" s="91"/>
      <c r="DE121" s="91"/>
      <c r="DF121" s="12"/>
      <c r="DG121" s="12"/>
      <c r="DH121" s="12"/>
      <c r="DI121" s="12"/>
      <c r="DJ121" s="12"/>
      <c r="DK121" s="12"/>
      <c r="DL121" s="12"/>
      <c r="DM121" s="12"/>
      <c r="DN121" s="12"/>
    </row>
    <row r="122" spans="1:118">
      <c r="A122" s="91"/>
      <c r="B122" s="89"/>
      <c r="C122" s="2210" t="s">
        <v>1130</v>
      </c>
      <c r="AI122" s="2180"/>
      <c r="AJ122" s="2034"/>
      <c r="AK122" s="2034"/>
      <c r="AL122" s="2181"/>
      <c r="AM122" s="2094"/>
      <c r="AN122" s="2180"/>
      <c r="AO122" s="2034"/>
      <c r="AP122" s="2034"/>
      <c r="AQ122" s="2181"/>
      <c r="AS122" s="2302">
        <f t="shared" ref="AS122:AW122" si="209">IFERROR(AS517/AS517,0)</f>
        <v>1</v>
      </c>
      <c r="AT122" s="2303">
        <f t="shared" si="209"/>
        <v>1</v>
      </c>
      <c r="AU122" s="2303">
        <f t="shared" si="209"/>
        <v>1</v>
      </c>
      <c r="AV122" s="2304">
        <f t="shared" ref="AV122" si="210">IFERROR(AV517/AV517,0)</f>
        <v>0</v>
      </c>
      <c r="AW122" s="2305">
        <f t="shared" si="209"/>
        <v>0</v>
      </c>
      <c r="AX122" s="833">
        <f t="shared" ref="AX122:BQ122" si="211">IFERROR(AX517/AX517,0)</f>
        <v>0</v>
      </c>
      <c r="AY122" s="834">
        <f t="shared" si="211"/>
        <v>0</v>
      </c>
      <c r="AZ122" s="834">
        <f t="shared" si="211"/>
        <v>0</v>
      </c>
      <c r="BA122" s="835">
        <f t="shared" si="211"/>
        <v>0</v>
      </c>
      <c r="BB122" s="1054">
        <f t="shared" si="211"/>
        <v>0</v>
      </c>
      <c r="BC122" s="833">
        <f t="shared" si="211"/>
        <v>0</v>
      </c>
      <c r="BD122" s="834">
        <f t="shared" si="211"/>
        <v>0</v>
      </c>
      <c r="BE122" s="834">
        <f t="shared" si="211"/>
        <v>0</v>
      </c>
      <c r="BF122" s="835">
        <f t="shared" si="211"/>
        <v>0</v>
      </c>
      <c r="BG122" s="1054">
        <f t="shared" si="211"/>
        <v>0</v>
      </c>
      <c r="BH122" s="833">
        <f t="shared" si="211"/>
        <v>0</v>
      </c>
      <c r="BI122" s="834">
        <f t="shared" si="211"/>
        <v>0</v>
      </c>
      <c r="BJ122" s="834">
        <f t="shared" si="211"/>
        <v>0</v>
      </c>
      <c r="BK122" s="835">
        <f t="shared" si="211"/>
        <v>0</v>
      </c>
      <c r="BL122" s="1054">
        <f t="shared" si="211"/>
        <v>0</v>
      </c>
      <c r="BM122" s="833">
        <f t="shared" si="211"/>
        <v>0</v>
      </c>
      <c r="BN122" s="834">
        <f t="shared" si="211"/>
        <v>0</v>
      </c>
      <c r="BO122" s="834">
        <f t="shared" si="211"/>
        <v>0</v>
      </c>
      <c r="BP122" s="835">
        <f t="shared" si="211"/>
        <v>0</v>
      </c>
      <c r="BQ122" s="1054">
        <f t="shared" si="211"/>
        <v>0</v>
      </c>
      <c r="BR122" s="2182"/>
      <c r="BS122" s="2182"/>
      <c r="BT122" s="2052"/>
      <c r="BU122" s="2052"/>
      <c r="BV122" s="2052"/>
      <c r="BW122" s="2052"/>
      <c r="BX122" s="205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91"/>
      <c r="CL122" s="91"/>
      <c r="CM122" s="91"/>
      <c r="CN122" s="91"/>
      <c r="CO122" s="91"/>
      <c r="CP122" s="91"/>
      <c r="CQ122" s="91"/>
      <c r="CR122" s="1018"/>
      <c r="CS122" s="1018"/>
      <c r="CT122" s="821"/>
      <c r="CU122" s="12"/>
      <c r="CV122" s="12"/>
      <c r="CW122" s="12"/>
      <c r="CX122" s="12"/>
      <c r="CY122" s="12"/>
      <c r="CZ122" s="91"/>
      <c r="DA122" s="91"/>
      <c r="DB122" s="91"/>
      <c r="DC122" s="91"/>
      <c r="DD122" s="91"/>
      <c r="DE122" s="91"/>
      <c r="DF122" s="12"/>
      <c r="DG122" s="12"/>
      <c r="DH122" s="12"/>
      <c r="DI122" s="12"/>
      <c r="DJ122" s="12"/>
      <c r="DK122" s="12"/>
      <c r="DL122" s="12"/>
      <c r="DM122" s="12"/>
      <c r="DN122" s="12"/>
    </row>
    <row r="123" spans="1:118">
      <c r="A123" s="91"/>
      <c r="B123" s="89"/>
      <c r="C123" s="2210" t="s">
        <v>562</v>
      </c>
      <c r="AI123" s="2180"/>
      <c r="AJ123" s="2034"/>
      <c r="AK123" s="2034"/>
      <c r="AL123" s="2181"/>
      <c r="AM123" s="2094"/>
      <c r="AN123" s="2180"/>
      <c r="AO123" s="2034"/>
      <c r="AP123" s="2034"/>
      <c r="AQ123" s="2181"/>
      <c r="AS123" s="2302">
        <f t="shared" ref="AS123:AW123" si="212">(AS520+AS522+AS524+AS525+AS523)/AS526</f>
        <v>0.4394506866416979</v>
      </c>
      <c r="AT123" s="2303">
        <f t="shared" si="212"/>
        <v>0.4394506866416979</v>
      </c>
      <c r="AU123" s="2303">
        <f t="shared" si="212"/>
        <v>0.4394506866416979</v>
      </c>
      <c r="AV123" s="2304">
        <f t="shared" ref="AV123" si="213">(AV520+AV522+AV524+AV525+AV523)/AV526</f>
        <v>8.7398373983739841E-2</v>
      </c>
      <c r="AW123" s="2305">
        <f t="shared" si="212"/>
        <v>8.7398373983739841E-2</v>
      </c>
      <c r="AX123" s="833">
        <f t="shared" ref="AX123:BL123" si="214">(AX520+AX522+AX524+AX525+AX523)/AX526</f>
        <v>8.7398373983739841E-2</v>
      </c>
      <c r="AY123" s="834">
        <f t="shared" si="214"/>
        <v>8.7398373983739841E-2</v>
      </c>
      <c r="AZ123" s="834">
        <f t="shared" si="214"/>
        <v>8.7398373983739841E-2</v>
      </c>
      <c r="BA123" s="835">
        <f t="shared" si="214"/>
        <v>8.7398373983739841E-2</v>
      </c>
      <c r="BB123" s="1054">
        <f t="shared" si="214"/>
        <v>8.7398373983739841E-2</v>
      </c>
      <c r="BC123" s="833">
        <f t="shared" si="214"/>
        <v>8.7398373983739841E-2</v>
      </c>
      <c r="BD123" s="834">
        <f t="shared" si="214"/>
        <v>8.7398373983739841E-2</v>
      </c>
      <c r="BE123" s="834">
        <f t="shared" si="214"/>
        <v>8.7398373983739841E-2</v>
      </c>
      <c r="BF123" s="835">
        <f t="shared" si="214"/>
        <v>8.7398373983739841E-2</v>
      </c>
      <c r="BG123" s="1054">
        <f t="shared" si="214"/>
        <v>8.7398373983739841E-2</v>
      </c>
      <c r="BH123" s="833">
        <f t="shared" si="214"/>
        <v>8.7398373983739841E-2</v>
      </c>
      <c r="BI123" s="834">
        <f t="shared" si="214"/>
        <v>8.7398373983739841E-2</v>
      </c>
      <c r="BJ123" s="834">
        <f t="shared" si="214"/>
        <v>8.7398373983739841E-2</v>
      </c>
      <c r="BK123" s="835">
        <f t="shared" si="214"/>
        <v>8.7398373983739841E-2</v>
      </c>
      <c r="BL123" s="1054">
        <f t="shared" si="214"/>
        <v>8.7398373983739841E-2</v>
      </c>
      <c r="BM123" s="833">
        <f t="shared" ref="BM123:BQ123" si="215">(BM520+BM522+BM524+BM525+BM523)/BM526</f>
        <v>8.7398373983739841E-2</v>
      </c>
      <c r="BN123" s="834">
        <f t="shared" si="215"/>
        <v>8.7398373983739841E-2</v>
      </c>
      <c r="BO123" s="834">
        <f t="shared" si="215"/>
        <v>8.7398373983739841E-2</v>
      </c>
      <c r="BP123" s="835">
        <f t="shared" si="215"/>
        <v>8.7398373983739841E-2</v>
      </c>
      <c r="BQ123" s="1054">
        <f t="shared" si="215"/>
        <v>8.7398373983739841E-2</v>
      </c>
      <c r="BR123" s="2182"/>
      <c r="BS123" s="2182"/>
      <c r="BT123" s="2052"/>
      <c r="BU123" s="2052"/>
      <c r="BV123" s="2052"/>
      <c r="BW123" s="2052"/>
      <c r="BX123" s="205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91"/>
      <c r="CL123" s="91"/>
      <c r="CM123" s="91"/>
      <c r="CN123" s="91"/>
      <c r="CO123" s="91"/>
      <c r="CP123" s="91"/>
      <c r="CQ123" s="91"/>
      <c r="CR123" s="1018"/>
      <c r="CS123" s="1018"/>
      <c r="CT123" s="821"/>
      <c r="CU123" s="12"/>
      <c r="CV123" s="12"/>
      <c r="CW123" s="12"/>
      <c r="CX123" s="12"/>
      <c r="CY123" s="12"/>
      <c r="CZ123" s="91"/>
      <c r="DA123" s="91"/>
      <c r="DB123" s="91"/>
      <c r="DC123" s="91"/>
      <c r="DD123" s="91"/>
      <c r="DE123" s="91"/>
      <c r="DF123" s="12"/>
      <c r="DG123" s="12"/>
      <c r="DH123" s="12"/>
      <c r="DI123" s="12"/>
      <c r="DJ123" s="12"/>
      <c r="DK123" s="12"/>
      <c r="DL123" s="12"/>
      <c r="DM123" s="12"/>
      <c r="DN123" s="12"/>
    </row>
    <row r="124" spans="1:118">
      <c r="A124" s="91"/>
      <c r="B124" s="89"/>
      <c r="C124" s="2188"/>
      <c r="D124" s="2094"/>
      <c r="E124" s="2180"/>
      <c r="F124" s="2034"/>
      <c r="G124" s="2034"/>
      <c r="H124" s="2181"/>
      <c r="I124" s="2182"/>
      <c r="J124" s="2180"/>
      <c r="K124" s="2034"/>
      <c r="L124" s="2034"/>
      <c r="M124" s="2181"/>
      <c r="N124" s="2094"/>
      <c r="O124" s="2180"/>
      <c r="P124" s="2034"/>
      <c r="Q124" s="2034"/>
      <c r="R124" s="2181"/>
      <c r="S124" s="2094"/>
      <c r="T124" s="2180"/>
      <c r="U124" s="2034"/>
      <c r="V124" s="2034"/>
      <c r="W124" s="2181"/>
      <c r="X124" s="2094"/>
      <c r="Y124" s="2180"/>
      <c r="Z124" s="2034"/>
      <c r="AA124" s="2034"/>
      <c r="AB124" s="2181"/>
      <c r="AC124" s="2094"/>
      <c r="AD124" s="2180"/>
      <c r="AE124" s="2034"/>
      <c r="AF124" s="2034"/>
      <c r="AG124" s="2181"/>
      <c r="AH124" s="2094"/>
      <c r="AI124" s="2180"/>
      <c r="AJ124" s="2034"/>
      <c r="AK124" s="2034"/>
      <c r="AL124" s="2181"/>
      <c r="AM124" s="2094"/>
      <c r="AN124" s="2180"/>
      <c r="AO124" s="2034"/>
      <c r="AP124" s="2034"/>
      <c r="AQ124" s="2181"/>
      <c r="AR124" s="2094"/>
      <c r="AS124" s="2184"/>
      <c r="AT124" s="2185"/>
      <c r="AU124" s="2185"/>
      <c r="AV124" s="2186"/>
      <c r="AW124" s="2187"/>
      <c r="AX124" s="2184"/>
      <c r="AY124" s="2185"/>
      <c r="AZ124" s="2185"/>
      <c r="BA124" s="2186"/>
      <c r="BB124" s="2187"/>
      <c r="BC124" s="2184"/>
      <c r="BD124" s="2185"/>
      <c r="BE124" s="2185"/>
      <c r="BF124" s="2186"/>
      <c r="BG124" s="2187"/>
      <c r="BH124" s="2184"/>
      <c r="BI124" s="2185"/>
      <c r="BJ124" s="2185"/>
      <c r="BK124" s="2186"/>
      <c r="BL124" s="2187"/>
      <c r="BM124" s="2184"/>
      <c r="BN124" s="2185"/>
      <c r="BO124" s="2185"/>
      <c r="BP124" s="2186"/>
      <c r="BQ124" s="2187"/>
      <c r="BR124" s="2182"/>
      <c r="BS124" s="2182"/>
      <c r="BT124" s="2052"/>
      <c r="BU124" s="2052"/>
      <c r="BV124" s="2052"/>
      <c r="BW124" s="2052"/>
      <c r="BX124" s="205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91"/>
      <c r="CL124" s="91"/>
      <c r="CM124" s="91"/>
      <c r="CN124" s="91"/>
      <c r="CO124" s="91"/>
      <c r="CP124" s="91"/>
      <c r="CQ124" s="91"/>
      <c r="CR124" s="1018"/>
      <c r="CS124" s="1018"/>
      <c r="CT124" s="821"/>
      <c r="CU124" s="12"/>
      <c r="CV124" s="12"/>
      <c r="CW124" s="12"/>
      <c r="CX124" s="12"/>
      <c r="CY124" s="12"/>
      <c r="CZ124" s="91"/>
      <c r="DA124" s="91"/>
      <c r="DB124" s="91"/>
      <c r="DC124" s="91"/>
      <c r="DD124" s="91"/>
      <c r="DE124" s="91"/>
      <c r="DF124" s="12"/>
      <c r="DG124" s="12"/>
      <c r="DH124" s="12"/>
      <c r="DI124" s="12"/>
      <c r="DJ124" s="12"/>
      <c r="DK124" s="12"/>
      <c r="DL124" s="12"/>
      <c r="DM124" s="12"/>
      <c r="DN124" s="12"/>
    </row>
    <row r="125" spans="1:118">
      <c r="A125" s="91"/>
      <c r="B125" s="89"/>
      <c r="C125" s="2189" t="s">
        <v>187</v>
      </c>
      <c r="D125" s="2094"/>
      <c r="E125" s="2180"/>
      <c r="F125" s="2034"/>
      <c r="G125" s="2034"/>
      <c r="H125" s="2181"/>
      <c r="I125" s="2182"/>
      <c r="J125" s="2180"/>
      <c r="K125" s="2034"/>
      <c r="L125" s="2034"/>
      <c r="M125" s="2181"/>
      <c r="N125" s="2094"/>
      <c r="O125" s="2180"/>
      <c r="P125" s="2034"/>
      <c r="Q125" s="2034"/>
      <c r="R125" s="2181"/>
      <c r="S125" s="2094"/>
      <c r="T125" s="2180"/>
      <c r="U125" s="2034"/>
      <c r="V125" s="2034"/>
      <c r="W125" s="2181"/>
      <c r="X125" s="2094"/>
      <c r="Y125" s="2180"/>
      <c r="Z125" s="2034"/>
      <c r="AA125" s="2034"/>
      <c r="AB125" s="2181"/>
      <c r="AC125" s="2094"/>
      <c r="AD125" s="2180"/>
      <c r="AE125" s="2034"/>
      <c r="AF125" s="2034"/>
      <c r="AG125" s="2181"/>
      <c r="AH125" s="2094"/>
      <c r="AI125" s="2180"/>
      <c r="AJ125" s="2034"/>
      <c r="AK125" s="2034"/>
      <c r="AL125" s="2181"/>
      <c r="AM125" s="2094"/>
      <c r="AN125" s="2180"/>
      <c r="AO125" s="2034"/>
      <c r="AP125" s="2034"/>
      <c r="AQ125" s="2181"/>
      <c r="AR125" s="2094"/>
      <c r="AS125" s="2184"/>
      <c r="AT125" s="2185"/>
      <c r="AU125" s="2185"/>
      <c r="AV125" s="2186"/>
      <c r="AW125" s="2187"/>
      <c r="AX125" s="2184"/>
      <c r="AY125" s="2185"/>
      <c r="AZ125" s="2185"/>
      <c r="BA125" s="2186"/>
      <c r="BB125" s="2187"/>
      <c r="BC125" s="2184"/>
      <c r="BD125" s="2185"/>
      <c r="BE125" s="2185"/>
      <c r="BF125" s="2186"/>
      <c r="BG125" s="2187"/>
      <c r="BH125" s="2184"/>
      <c r="BI125" s="2185"/>
      <c r="BJ125" s="2185"/>
      <c r="BK125" s="2186"/>
      <c r="BL125" s="2187"/>
      <c r="BM125" s="2184"/>
      <c r="BN125" s="2185"/>
      <c r="BO125" s="2185"/>
      <c r="BP125" s="2186"/>
      <c r="BQ125" s="2187"/>
      <c r="BR125" s="2182"/>
      <c r="BS125" s="2182"/>
      <c r="BT125" s="2052"/>
      <c r="BU125" s="2052"/>
      <c r="BV125" s="2052"/>
      <c r="BW125" s="2052"/>
      <c r="BX125" s="205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91"/>
      <c r="CL125" s="91"/>
      <c r="CM125" s="91"/>
      <c r="CN125" s="91"/>
      <c r="CO125" s="91"/>
      <c r="CP125" s="91"/>
      <c r="CQ125" s="91"/>
      <c r="CR125" s="1018"/>
      <c r="CS125" s="1018"/>
      <c r="CT125" s="821"/>
      <c r="CU125" s="12"/>
      <c r="CV125" s="12"/>
      <c r="CW125" s="12"/>
      <c r="CX125" s="12"/>
      <c r="CY125" s="12"/>
      <c r="CZ125" s="91"/>
      <c r="DA125" s="91"/>
      <c r="DB125" s="91"/>
      <c r="DC125" s="91"/>
      <c r="DD125" s="91"/>
      <c r="DE125" s="91"/>
      <c r="DF125" s="12"/>
      <c r="DG125" s="12"/>
      <c r="DH125" s="12"/>
      <c r="DI125" s="12"/>
      <c r="DJ125" s="12"/>
      <c r="DK125" s="12"/>
      <c r="DL125" s="12"/>
      <c r="DM125" s="12"/>
      <c r="DN125" s="12"/>
    </row>
    <row r="126" spans="1:118">
      <c r="A126" s="91"/>
      <c r="B126" s="89"/>
      <c r="C126" s="2183" t="s">
        <v>1121</v>
      </c>
      <c r="D126" s="2094"/>
      <c r="E126" s="2180"/>
      <c r="F126" s="2034"/>
      <c r="G126" s="2034"/>
      <c r="H126" s="2181"/>
      <c r="I126" s="2182"/>
      <c r="J126" s="2180"/>
      <c r="K126" s="2034"/>
      <c r="L126" s="2034"/>
      <c r="M126" s="2181"/>
      <c r="N126" s="2094"/>
      <c r="O126" s="2180"/>
      <c r="P126" s="2034"/>
      <c r="Q126" s="2034"/>
      <c r="R126" s="2181"/>
      <c r="S126" s="2094"/>
      <c r="T126" s="2180"/>
      <c r="U126" s="2034"/>
      <c r="V126" s="2034"/>
      <c r="W126" s="2181"/>
      <c r="X126" s="2094"/>
      <c r="Y126" s="2180"/>
      <c r="Z126" s="2034"/>
      <c r="AA126" s="2034"/>
      <c r="AB126" s="2181"/>
      <c r="AC126" s="2094"/>
      <c r="AD126" s="2180"/>
      <c r="AE126" s="2034"/>
      <c r="AF126" s="2034"/>
      <c r="AG126" s="2181"/>
      <c r="AH126" s="2094"/>
      <c r="AI126" s="2180"/>
      <c r="AJ126" s="2034"/>
      <c r="AK126" s="2034"/>
      <c r="AL126" s="2181"/>
      <c r="AM126" s="2094"/>
      <c r="AN126" s="2180"/>
      <c r="AO126" s="2034"/>
      <c r="AP126" s="2034"/>
      <c r="AQ126" s="2181"/>
      <c r="AR126" s="2094"/>
      <c r="AS126" s="2184">
        <f t="shared" ref="AS126:AW126" si="216">AS120*AS371+AS121*AS346+AS122*AS416+AS123*AS429</f>
        <v>17.602718812869185</v>
      </c>
      <c r="AT126" s="2185">
        <f t="shared" si="216"/>
        <v>18.40714512683639</v>
      </c>
      <c r="AU126" s="2185">
        <f t="shared" si="216"/>
        <v>32.889900728631503</v>
      </c>
      <c r="AV126" s="2186">
        <f t="shared" ref="AV126" si="217">AV120*AV371+AV121*AV346+AV122*AV416+AV123*AV429</f>
        <v>10.515795396598667</v>
      </c>
      <c r="AW126" s="2187">
        <f t="shared" si="216"/>
        <v>36.799068171806049</v>
      </c>
      <c r="AX126" s="2184">
        <f t="shared" ref="AX126:BL126" si="218">AX120*AX371+AX121*AX346+AX122*AX416+AX123*AX429</f>
        <v>34.660242471219092</v>
      </c>
      <c r="AY126" s="2185">
        <f t="shared" si="218"/>
        <v>11.38092735850001</v>
      </c>
      <c r="AZ126" s="2185">
        <f t="shared" si="218"/>
        <v>14.244516371249995</v>
      </c>
      <c r="BA126" s="2186">
        <f t="shared" si="218"/>
        <v>12.109820144687488</v>
      </c>
      <c r="BB126" s="2187">
        <f t="shared" si="218"/>
        <v>29.662109060007399</v>
      </c>
      <c r="BC126" s="2184">
        <f t="shared" si="218"/>
        <v>1.3446142769436915</v>
      </c>
      <c r="BD126" s="2185">
        <f t="shared" si="218"/>
        <v>0.29475552053053722</v>
      </c>
      <c r="BE126" s="2185">
        <f t="shared" si="218"/>
        <v>0.45608300767218823</v>
      </c>
      <c r="BF126" s="2186">
        <f t="shared" si="218"/>
        <v>0.89943558476090468</v>
      </c>
      <c r="BG126" s="2187">
        <f t="shared" si="218"/>
        <v>2.9948883899073224</v>
      </c>
      <c r="BH126" s="2184">
        <f t="shared" si="218"/>
        <v>1.3170616227635679</v>
      </c>
      <c r="BI126" s="2185">
        <f t="shared" si="218"/>
        <v>0.28668658977580497</v>
      </c>
      <c r="BJ126" s="2185">
        <f t="shared" si="218"/>
        <v>0.44675169112407964</v>
      </c>
      <c r="BK126" s="2186">
        <f t="shared" si="218"/>
        <v>0.87233026471104125</v>
      </c>
      <c r="BL126" s="2187">
        <f t="shared" si="218"/>
        <v>2.9228301683744933</v>
      </c>
      <c r="BM126" s="2184">
        <f t="shared" ref="BM126:BQ126" si="219">BM120*BM371+BM121*BM346+BM122*BM416+BM123*BM429</f>
        <v>1.6092199210997817</v>
      </c>
      <c r="BN126" s="2185">
        <f t="shared" si="219"/>
        <v>9.5697023669219939E-3</v>
      </c>
      <c r="BO126" s="2185">
        <f t="shared" si="219"/>
        <v>0</v>
      </c>
      <c r="BP126" s="2186">
        <f t="shared" si="219"/>
        <v>1.336235482299116</v>
      </c>
      <c r="BQ126" s="2187">
        <f t="shared" si="219"/>
        <v>2.9550251057658192</v>
      </c>
      <c r="BR126" s="2182"/>
      <c r="BS126" s="2182"/>
      <c r="BT126" s="2052"/>
      <c r="BU126" s="2052"/>
      <c r="BV126" s="2052"/>
      <c r="BW126" s="2052"/>
      <c r="BX126" s="205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91"/>
      <c r="CL126" s="91"/>
      <c r="CM126" s="91"/>
      <c r="CN126" s="91"/>
      <c r="CO126" s="91"/>
      <c r="CP126" s="91"/>
      <c r="CQ126" s="91"/>
      <c r="CR126" s="1018"/>
      <c r="CS126" s="1018"/>
      <c r="CT126" s="821"/>
      <c r="CU126" s="12"/>
      <c r="CV126" s="12"/>
      <c r="CW126" s="12"/>
      <c r="CX126" s="12"/>
      <c r="CY126" s="12"/>
      <c r="CZ126" s="91"/>
      <c r="DA126" s="91"/>
      <c r="DB126" s="91"/>
      <c r="DC126" s="91"/>
      <c r="DD126" s="91"/>
      <c r="DE126" s="91"/>
      <c r="DF126" s="12"/>
      <c r="DG126" s="12"/>
      <c r="DH126" s="12"/>
      <c r="DI126" s="12"/>
      <c r="DJ126" s="12"/>
      <c r="DK126" s="12"/>
      <c r="DL126" s="12"/>
      <c r="DM126" s="12"/>
      <c r="DN126" s="12"/>
    </row>
    <row r="127" spans="1:118">
      <c r="A127" s="91"/>
      <c r="B127" s="89"/>
      <c r="C127" s="2183" t="s">
        <v>1122</v>
      </c>
      <c r="D127" s="2094"/>
      <c r="E127" s="2180"/>
      <c r="F127" s="2034"/>
      <c r="G127" s="2034"/>
      <c r="H127" s="2181"/>
      <c r="I127" s="2182"/>
      <c r="J127" s="2180"/>
      <c r="K127" s="2034"/>
      <c r="L127" s="2034"/>
      <c r="M127" s="2181"/>
      <c r="N127" s="2094"/>
      <c r="O127" s="2180"/>
      <c r="P127" s="2034"/>
      <c r="Q127" s="2034"/>
      <c r="R127" s="2181"/>
      <c r="S127" s="2094"/>
      <c r="T127" s="2180"/>
      <c r="U127" s="2034"/>
      <c r="V127" s="2034"/>
      <c r="W127" s="2181"/>
      <c r="X127" s="2094"/>
      <c r="Y127" s="2180"/>
      <c r="Z127" s="2034"/>
      <c r="AA127" s="2034"/>
      <c r="AB127" s="2181"/>
      <c r="AC127" s="2094"/>
      <c r="AD127" s="2180"/>
      <c r="AE127" s="2034"/>
      <c r="AF127" s="2034"/>
      <c r="AG127" s="2181"/>
      <c r="AH127" s="2094"/>
      <c r="AI127" s="2180"/>
      <c r="AJ127" s="2034"/>
      <c r="AK127" s="2034"/>
      <c r="AL127" s="2181"/>
      <c r="AM127" s="2094"/>
      <c r="AN127" s="2180"/>
      <c r="AO127" s="2034"/>
      <c r="AP127" s="2034"/>
      <c r="AQ127" s="2181"/>
      <c r="AR127" s="2094"/>
      <c r="AS127" s="2190">
        <v>0</v>
      </c>
      <c r="AT127" s="2191">
        <v>0</v>
      </c>
      <c r="AU127" s="2191">
        <v>0</v>
      </c>
      <c r="AV127" s="2192">
        <v>0</v>
      </c>
      <c r="AW127" s="2094">
        <f>SUM(AS127:AV127)</f>
        <v>0</v>
      </c>
      <c r="AX127" s="2190">
        <v>0</v>
      </c>
      <c r="AY127" s="2191">
        <v>0</v>
      </c>
      <c r="AZ127" s="2191">
        <v>0</v>
      </c>
      <c r="BA127" s="2192">
        <v>0</v>
      </c>
      <c r="BB127" s="2094">
        <f>SUM(AX127:BA127)</f>
        <v>0</v>
      </c>
      <c r="BC127" s="2190">
        <v>0</v>
      </c>
      <c r="BD127" s="2191">
        <v>0</v>
      </c>
      <c r="BE127" s="2191">
        <v>0</v>
      </c>
      <c r="BF127" s="2192">
        <v>0</v>
      </c>
      <c r="BG127" s="2094">
        <f>SUM(BC127:BF127)</f>
        <v>0</v>
      </c>
      <c r="BH127" s="2190">
        <v>0</v>
      </c>
      <c r="BI127" s="2191">
        <v>0</v>
      </c>
      <c r="BJ127" s="2191">
        <v>0</v>
      </c>
      <c r="BK127" s="2192">
        <v>0</v>
      </c>
      <c r="BL127" s="2094">
        <f>SUM(BH127:BK127)</f>
        <v>0</v>
      </c>
      <c r="BM127" s="2190">
        <v>0</v>
      </c>
      <c r="BN127" s="2191">
        <v>0</v>
      </c>
      <c r="BO127" s="2191">
        <v>0</v>
      </c>
      <c r="BP127" s="2192">
        <v>0</v>
      </c>
      <c r="BQ127" s="2094">
        <f>SUM(BM127:BP127)</f>
        <v>0</v>
      </c>
      <c r="BR127" s="2182"/>
      <c r="BS127" s="2182"/>
      <c r="BT127" s="2052"/>
      <c r="BU127" s="2052"/>
      <c r="BV127" s="2052"/>
      <c r="BW127" s="2052"/>
      <c r="BX127" s="205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91"/>
      <c r="CL127" s="91"/>
      <c r="CM127" s="91"/>
      <c r="CN127" s="91"/>
      <c r="CO127" s="91"/>
      <c r="CP127" s="91"/>
      <c r="CQ127" s="91"/>
      <c r="CR127" s="1018"/>
      <c r="CS127" s="1018"/>
      <c r="CT127" s="821"/>
      <c r="CU127" s="12"/>
      <c r="CV127" s="12"/>
      <c r="CW127" s="12"/>
      <c r="CX127" s="12"/>
      <c r="CY127" s="12"/>
      <c r="CZ127" s="91"/>
      <c r="DA127" s="91"/>
      <c r="DB127" s="91"/>
      <c r="DC127" s="91"/>
      <c r="DD127" s="91"/>
      <c r="DE127" s="91"/>
      <c r="DF127" s="12"/>
      <c r="DG127" s="12"/>
      <c r="DH127" s="12"/>
      <c r="DI127" s="12"/>
      <c r="DJ127" s="12"/>
      <c r="DK127" s="12"/>
      <c r="DL127" s="12"/>
      <c r="DM127" s="12"/>
      <c r="DN127" s="12"/>
    </row>
    <row r="128" spans="1:118">
      <c r="A128" s="91"/>
      <c r="B128" s="89"/>
      <c r="C128" s="2183" t="s">
        <v>1123</v>
      </c>
      <c r="D128" s="2094"/>
      <c r="E128" s="2180"/>
      <c r="F128" s="2034"/>
      <c r="G128" s="2034"/>
      <c r="H128" s="2181"/>
      <c r="I128" s="2182"/>
      <c r="J128" s="2180"/>
      <c r="K128" s="2034"/>
      <c r="L128" s="2034"/>
      <c r="M128" s="2181"/>
      <c r="N128" s="2094"/>
      <c r="O128" s="2180"/>
      <c r="P128" s="2034"/>
      <c r="Q128" s="2034"/>
      <c r="R128" s="2181"/>
      <c r="S128" s="2094"/>
      <c r="T128" s="2180"/>
      <c r="U128" s="2034"/>
      <c r="V128" s="2034"/>
      <c r="W128" s="2181"/>
      <c r="X128" s="2094"/>
      <c r="Y128" s="2180"/>
      <c r="Z128" s="2034"/>
      <c r="AA128" s="2034"/>
      <c r="AB128" s="2181"/>
      <c r="AC128" s="2094"/>
      <c r="AD128" s="2180"/>
      <c r="AE128" s="2034"/>
      <c r="AF128" s="2034"/>
      <c r="AG128" s="2181"/>
      <c r="AH128" s="2094"/>
      <c r="AI128" s="2180"/>
      <c r="AJ128" s="2034"/>
      <c r="AK128" s="2034"/>
      <c r="AL128" s="2181"/>
      <c r="AM128" s="2094"/>
      <c r="AN128" s="2180"/>
      <c r="AO128" s="2034"/>
      <c r="AP128" s="2034"/>
      <c r="AQ128" s="2181"/>
      <c r="AR128" s="2094"/>
      <c r="AS128" s="2184">
        <f>(SUM(AS489,AS515*AS121,AS517,AS520,AS522:AS524)*AS222+AS525*AS227)*AS129*365/1000000/4</f>
        <v>16.628836881970649</v>
      </c>
      <c r="AT128" s="2185">
        <f>(SUM(AT489,AT515*AT121,AT517,AT520,AT522:AT524)*AT222+AT525*AT227)*AT129*365/1000000/4</f>
        <v>16.628836881970649</v>
      </c>
      <c r="AU128" s="2185">
        <f t="shared" ref="AU128:AV128" si="220">(SUM(AU489,AU515*AU121,AU517,AU520,AU522:AU524)*AU222+AU525*AU227)*AU129*365/1000000/4</f>
        <v>24.886884276729557</v>
      </c>
      <c r="AV128" s="2186">
        <f t="shared" si="220"/>
        <v>11.767440251572328</v>
      </c>
      <c r="AW128" s="2187">
        <f>SUM(AS128:AV128)</f>
        <v>69.911998292243183</v>
      </c>
      <c r="AX128" s="2184">
        <f>(SUM(AX489,AX515*AX121,AX517,AX520,AX522:AX524)*AX222+AX525*AX227)*AX129*365/1000000/4</f>
        <v>11.508222118463179</v>
      </c>
      <c r="AY128" s="2185">
        <f>(SUM(AY489,AY515*AY121,AY517,AY520,AY522:AY524)*AY222+AY525*AY227)*AY129*365/1000000/4</f>
        <v>12.939397408028725</v>
      </c>
      <c r="AZ128" s="2185">
        <f>(SUM(AZ489,AZ515*AZ121,AZ517,AZ520,AZ522:AZ524)*AZ222+AZ525*AZ227)*AZ129*365/1000000/4</f>
        <v>15.801747987159816</v>
      </c>
      <c r="BA128" s="2186">
        <f>(SUM(BA489,BA515*BA121,BA517,BA520,BA522:BA524)*BA222+BA525*BA227)*BA129*365/1000000/4</f>
        <v>15.801747987159816</v>
      </c>
      <c r="BB128" s="2187">
        <f>SUM(AX128:BA128)</f>
        <v>56.051115500811534</v>
      </c>
      <c r="BC128" s="2184">
        <f>(SUM(BC489,BC515*BC121,BC517,BC520,BC522:BC524)*BC222+BC525*BC227)*BC129*365/1000000/4</f>
        <v>1.1790726664887941</v>
      </c>
      <c r="BD128" s="2185">
        <f>(SUM(BD489,BD515*BD121,BD517,BD520,BD522:BD524)*BD222+BD525*BD227)*BD129*365/1000000/4</f>
        <v>1.0245774375667023</v>
      </c>
      <c r="BE128" s="2185">
        <f>(SUM(BE489,BE515*BE121,BE517,BE520,BE522:BE524)*BE222+BE525*BE227)*BE129*365/1000000/4</f>
        <v>0.71558697972251872</v>
      </c>
      <c r="BF128" s="2186">
        <f>(SUM(BF489,BF515*BF121,BF517,BF520,BF522:BF524)*BF222+BF525*BF227)*BF129*365/1000000/4</f>
        <v>0.71558697972251872</v>
      </c>
      <c r="BG128" s="2187">
        <f>SUM(BC128:BF128)</f>
        <v>3.6348240635005338</v>
      </c>
      <c r="BH128" s="2184">
        <f>(SUM(BH489,BH515*BH121,BH517,BH520,BH522:BH524)*BH222+BH525*BH227)*BH129*365/1000000/4</f>
        <v>0.71558697972251872</v>
      </c>
      <c r="BI128" s="2185">
        <f>(SUM(BI489,BI515*BI121,BI517,BI520,BI522:BI524)*BI222+BI525*BI227)*BI129*365/1000000/4</f>
        <v>0.71558697972251872</v>
      </c>
      <c r="BJ128" s="2185">
        <f>(SUM(BJ489,BJ515*BJ121,BJ517,BJ520,BJ522:BJ524)*BJ222+BJ525*BJ227)*BJ129*365/1000000/4</f>
        <v>0.54763871558164356</v>
      </c>
      <c r="BK128" s="2186">
        <f>(SUM(BK489,BK515*BK121,BK517,BK520,BK522:BK524)*BK222+BK525*BK227)*BK129*365/1000000/4</f>
        <v>0.54763871558164356</v>
      </c>
      <c r="BL128" s="2187">
        <f>SUM(BH128:BK128)</f>
        <v>2.5264513906083246</v>
      </c>
      <c r="BM128" s="2184">
        <f>(SUM(BM489,BM515*BM121,BM517,BM520,BM522:BM524)*BM222+BM525*BM227)*BM129*365/1000000/4</f>
        <v>1.0733804695837781</v>
      </c>
      <c r="BN128" s="2185">
        <f>(SUM(BN489,BN515*BN121,BN517,BN520,BN522:BN524)*BN222+BN525*BN227)*BN129*365/1000000/4</f>
        <v>1.0733804695837781</v>
      </c>
      <c r="BO128" s="2185">
        <f>(SUM(BO489,BO515*BO121,BO517,BO520,BO522:BO524)*BO222+BO525*BO227)*BO129*365/1000000/4</f>
        <v>1.0733804695837781</v>
      </c>
      <c r="BP128" s="2186">
        <f>(SUM(BP489,BP515*BP121,BP517,BP520,BP522:BP524)*BP222+BP525*BP227)*BP129*365/1000000/4</f>
        <v>1.0733804695837781</v>
      </c>
      <c r="BQ128" s="2187">
        <f>SUM(BM128:BP128)</f>
        <v>4.2935218783351123</v>
      </c>
      <c r="BR128" s="2182"/>
      <c r="BS128" s="2182"/>
      <c r="BT128" s="2052"/>
      <c r="BU128" s="2052">
        <f>BU129/(AM153+BB156)*1000</f>
        <v>5.6123560845797558</v>
      </c>
      <c r="BV128" s="2052"/>
      <c r="BW128" s="2052"/>
      <c r="BX128" s="205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91"/>
      <c r="CL128" s="91"/>
      <c r="CM128" s="91"/>
      <c r="CN128" s="91"/>
      <c r="CO128" s="91"/>
      <c r="CP128" s="91"/>
      <c r="CQ128" s="91"/>
      <c r="CR128" s="1018"/>
      <c r="CS128" s="1018"/>
      <c r="CT128" s="821"/>
      <c r="CU128" s="12"/>
      <c r="CV128" s="12"/>
      <c r="CW128" s="12"/>
      <c r="CX128" s="12"/>
      <c r="CY128" s="12"/>
      <c r="CZ128" s="91"/>
      <c r="DA128" s="91"/>
      <c r="DB128" s="91"/>
      <c r="DC128" s="91"/>
      <c r="DD128" s="91"/>
      <c r="DE128" s="91"/>
      <c r="DF128" s="12"/>
      <c r="DG128" s="12"/>
      <c r="DH128" s="12"/>
      <c r="DI128" s="12"/>
      <c r="DJ128" s="12"/>
      <c r="DK128" s="12"/>
      <c r="DL128" s="12"/>
      <c r="DM128" s="12"/>
      <c r="DN128" s="12"/>
    </row>
    <row r="129" spans="1:118">
      <c r="A129" s="91"/>
      <c r="B129" s="89"/>
      <c r="C129" s="2188" t="s">
        <v>1124</v>
      </c>
      <c r="D129" s="2094"/>
      <c r="E129" s="2180"/>
      <c r="F129" s="2034"/>
      <c r="G129" s="2034"/>
      <c r="H129" s="2181"/>
      <c r="I129" s="2182"/>
      <c r="J129" s="2180"/>
      <c r="K129" s="2034"/>
      <c r="L129" s="2034"/>
      <c r="M129" s="2181"/>
      <c r="N129" s="2094"/>
      <c r="O129" s="2180"/>
      <c r="P129" s="2034"/>
      <c r="Q129" s="2034"/>
      <c r="R129" s="2181"/>
      <c r="S129" s="2094"/>
      <c r="T129" s="2180"/>
      <c r="U129" s="2034"/>
      <c r="V129" s="2034"/>
      <c r="W129" s="2181"/>
      <c r="X129" s="2094"/>
      <c r="Y129" s="2180"/>
      <c r="Z129" s="2034"/>
      <c r="AA129" s="2034"/>
      <c r="AB129" s="2181"/>
      <c r="AC129" s="2094"/>
      <c r="AD129" s="2180"/>
      <c r="AE129" s="2034"/>
      <c r="AF129" s="2034"/>
      <c r="AG129" s="2181"/>
      <c r="AH129" s="2094"/>
      <c r="AI129" s="2180"/>
      <c r="AJ129" s="2034"/>
      <c r="AK129" s="2034"/>
      <c r="AL129" s="2181"/>
      <c r="AM129" s="2094"/>
      <c r="AN129" s="2180"/>
      <c r="AO129" s="2034"/>
      <c r="AP129" s="2034"/>
      <c r="AQ129" s="2181"/>
      <c r="AR129" s="2094"/>
      <c r="AS129" s="2193">
        <f>AW129</f>
        <v>0.76216459416252647</v>
      </c>
      <c r="AT129" s="2194">
        <f>AS129</f>
        <v>0.76216459416252647</v>
      </c>
      <c r="AU129" s="2194">
        <f t="shared" ref="AU129:AV129" si="221">AT129</f>
        <v>0.76216459416252647</v>
      </c>
      <c r="AV129" s="2195">
        <f t="shared" si="221"/>
        <v>0.76216459416252647</v>
      </c>
      <c r="AW129" s="2130">
        <f>(AW221+AW226+AW231)/AW165</f>
        <v>0.76216459416252647</v>
      </c>
      <c r="AX129" s="2193">
        <f>BB129</f>
        <v>0.74537531127712542</v>
      </c>
      <c r="AY129" s="2194">
        <f>AX129</f>
        <v>0.74537531127712542</v>
      </c>
      <c r="AZ129" s="2194">
        <f t="shared" ref="AZ129:BA129" si="222">AY129</f>
        <v>0.74537531127712542</v>
      </c>
      <c r="BA129" s="2195">
        <f t="shared" si="222"/>
        <v>0.74537531127712542</v>
      </c>
      <c r="BB129" s="2130">
        <f>(BB221+BB226+BB231)/BB165</f>
        <v>0.74537531127712542</v>
      </c>
      <c r="BC129" s="2193">
        <f>BG129</f>
        <v>0.71291355389541089</v>
      </c>
      <c r="BD129" s="2194">
        <f>BC129</f>
        <v>0.71291355389541089</v>
      </c>
      <c r="BE129" s="2194">
        <f t="shared" ref="BE129:BF129" si="223">BD129</f>
        <v>0.71291355389541089</v>
      </c>
      <c r="BF129" s="2195">
        <f t="shared" si="223"/>
        <v>0.71291355389541089</v>
      </c>
      <c r="BG129" s="2130">
        <f>(BG221+BG226+BG231)/BG165</f>
        <v>0.71291355389541089</v>
      </c>
      <c r="BH129" s="2193">
        <f>BL129</f>
        <v>0.71291355389541089</v>
      </c>
      <c r="BI129" s="2194">
        <f>BH129</f>
        <v>0.71291355389541089</v>
      </c>
      <c r="BJ129" s="2194">
        <f t="shared" ref="BJ129:BK129" si="224">BI129</f>
        <v>0.71291355389541089</v>
      </c>
      <c r="BK129" s="2195">
        <f t="shared" si="224"/>
        <v>0.71291355389541089</v>
      </c>
      <c r="BL129" s="2130">
        <f>(BL221+BL226+BL231)/BL165</f>
        <v>0.71291355389541089</v>
      </c>
      <c r="BM129" s="2193">
        <f>BQ129</f>
        <v>0.71291355389541089</v>
      </c>
      <c r="BN129" s="2194">
        <f>BM129</f>
        <v>0.71291355389541089</v>
      </c>
      <c r="BO129" s="2194">
        <f t="shared" ref="BO129" si="225">BN129</f>
        <v>0.71291355389541089</v>
      </c>
      <c r="BP129" s="2195">
        <f t="shared" ref="BP129" si="226">BO129</f>
        <v>0.71291355389541089</v>
      </c>
      <c r="BQ129" s="2130">
        <f>(BQ221+BQ226+BQ231)/BQ165</f>
        <v>0.71291355389541089</v>
      </c>
      <c r="BR129" s="2182"/>
      <c r="BS129" s="2182"/>
      <c r="BT129" s="2052"/>
      <c r="BU129" s="2052">
        <f>(BU134*BB161+BV134*BB164)/1000</f>
        <v>219.42</v>
      </c>
      <c r="BV129" s="2052"/>
      <c r="BW129" s="2052"/>
      <c r="BX129" s="205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91"/>
      <c r="CL129" s="91"/>
      <c r="CM129" s="91"/>
      <c r="CN129" s="91"/>
      <c r="CO129" s="91"/>
      <c r="CP129" s="91"/>
      <c r="CQ129" s="91"/>
      <c r="CR129" s="1018"/>
      <c r="CS129" s="1018"/>
      <c r="CT129" s="821"/>
      <c r="CU129" s="12"/>
      <c r="CV129" s="12"/>
      <c r="CW129" s="12"/>
      <c r="CX129" s="12"/>
      <c r="CY129" s="12"/>
      <c r="CZ129" s="91"/>
      <c r="DA129" s="91"/>
      <c r="DB129" s="91"/>
      <c r="DC129" s="91"/>
      <c r="DD129" s="91"/>
      <c r="DE129" s="91"/>
      <c r="DF129" s="12"/>
      <c r="DG129" s="12"/>
      <c r="DH129" s="12"/>
      <c r="DI129" s="12"/>
      <c r="DJ129" s="12"/>
      <c r="DK129" s="12"/>
      <c r="DL129" s="12"/>
      <c r="DM129" s="12"/>
      <c r="DN129" s="12"/>
    </row>
    <row r="130" spans="1:118">
      <c r="A130" s="91"/>
      <c r="B130" s="89"/>
      <c r="C130" s="2183" t="s">
        <v>1133</v>
      </c>
      <c r="D130" s="2094"/>
      <c r="E130" s="2180"/>
      <c r="F130" s="2034"/>
      <c r="G130" s="2034"/>
      <c r="H130" s="2181"/>
      <c r="I130" s="2182"/>
      <c r="J130" s="2180"/>
      <c r="K130" s="2034"/>
      <c r="L130" s="2034"/>
      <c r="M130" s="2181"/>
      <c r="N130" s="2094"/>
      <c r="O130" s="2180"/>
      <c r="P130" s="2034"/>
      <c r="Q130" s="2034"/>
      <c r="R130" s="2181"/>
      <c r="S130" s="2094"/>
      <c r="T130" s="2180"/>
      <c r="U130" s="2034"/>
      <c r="V130" s="2034"/>
      <c r="W130" s="2181"/>
      <c r="X130" s="2094"/>
      <c r="Y130" s="2180"/>
      <c r="Z130" s="2034"/>
      <c r="AA130" s="2034"/>
      <c r="AB130" s="2181"/>
      <c r="AC130" s="2094"/>
      <c r="AD130" s="2180"/>
      <c r="AE130" s="2034"/>
      <c r="AF130" s="2034"/>
      <c r="AG130" s="2181"/>
      <c r="AH130" s="2094"/>
      <c r="AI130" s="2180"/>
      <c r="AJ130" s="2034"/>
      <c r="AK130" s="2034"/>
      <c r="AL130" s="2181"/>
      <c r="AM130" s="2094"/>
      <c r="AN130" s="2180"/>
      <c r="AO130" s="2034"/>
      <c r="AP130" s="2034"/>
      <c r="AQ130" s="2181"/>
      <c r="AR130" s="2094"/>
      <c r="AS130" s="2184">
        <f t="shared" ref="AS130:AW130" si="227">AS114/AS165*AS238</f>
        <v>11.616185692085894</v>
      </c>
      <c r="AT130" s="2185">
        <f t="shared" si="227"/>
        <v>10.917150958478679</v>
      </c>
      <c r="AU130" s="2185">
        <f t="shared" si="227"/>
        <v>9.5190814912642505</v>
      </c>
      <c r="AV130" s="2186">
        <f t="shared" ref="AV130" si="228">AV114/AV165*AV238</f>
        <v>5.1105658884369047</v>
      </c>
      <c r="AW130" s="2187">
        <f t="shared" si="227"/>
        <v>22.318738226059278</v>
      </c>
      <c r="AX130" s="2184">
        <f t="shared" ref="AX130:BL130" si="229">AX114/AX165*AX238</f>
        <v>5.1105658884369047</v>
      </c>
      <c r="AY130" s="2185">
        <f t="shared" si="229"/>
        <v>3.407043925624603</v>
      </c>
      <c r="AZ130" s="2185">
        <f t="shared" si="229"/>
        <v>0</v>
      </c>
      <c r="BA130" s="2186">
        <f t="shared" si="229"/>
        <v>0</v>
      </c>
      <c r="BB130" s="2187">
        <f t="shared" si="229"/>
        <v>0.74830564659969512</v>
      </c>
      <c r="BC130" s="2184">
        <f t="shared" si="229"/>
        <v>0</v>
      </c>
      <c r="BD130" s="2185">
        <f t="shared" si="229"/>
        <v>0</v>
      </c>
      <c r="BE130" s="2185">
        <f t="shared" si="229"/>
        <v>0</v>
      </c>
      <c r="BF130" s="2186">
        <f t="shared" si="229"/>
        <v>0</v>
      </c>
      <c r="BG130" s="2187">
        <f t="shared" si="229"/>
        <v>0</v>
      </c>
      <c r="BH130" s="2184">
        <f t="shared" si="229"/>
        <v>0</v>
      </c>
      <c r="BI130" s="2185">
        <f t="shared" si="229"/>
        <v>0</v>
      </c>
      <c r="BJ130" s="2185">
        <f t="shared" si="229"/>
        <v>0</v>
      </c>
      <c r="BK130" s="2186">
        <f t="shared" si="229"/>
        <v>0</v>
      </c>
      <c r="BL130" s="2187">
        <f t="shared" si="229"/>
        <v>0</v>
      </c>
      <c r="BM130" s="2184">
        <f t="shared" ref="BM130:BQ130" si="230">BM114/BM165*BM238</f>
        <v>0</v>
      </c>
      <c r="BN130" s="2185">
        <f t="shared" si="230"/>
        <v>0</v>
      </c>
      <c r="BO130" s="2185">
        <f t="shared" si="230"/>
        <v>0</v>
      </c>
      <c r="BP130" s="2186">
        <f t="shared" si="230"/>
        <v>0</v>
      </c>
      <c r="BQ130" s="2187">
        <f t="shared" si="230"/>
        <v>0</v>
      </c>
      <c r="BR130" s="2182"/>
      <c r="BS130" s="2182"/>
      <c r="BT130" s="2052"/>
      <c r="BU130" s="2196">
        <f>(BW134*BB162+BX134*BB160)/1000</f>
        <v>647.67999999999995</v>
      </c>
      <c r="BV130" s="2052"/>
      <c r="BW130" s="2052"/>
      <c r="BX130" s="205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91"/>
      <c r="CL130" s="91"/>
      <c r="CM130" s="91"/>
      <c r="CN130" s="91"/>
      <c r="CO130" s="91"/>
      <c r="CP130" s="91"/>
      <c r="CQ130" s="91"/>
      <c r="CR130" s="1018"/>
      <c r="CS130" s="1018"/>
      <c r="CT130" s="821"/>
      <c r="CU130" s="12"/>
      <c r="CV130" s="12"/>
      <c r="CW130" s="12"/>
      <c r="CX130" s="12"/>
      <c r="CY130" s="12"/>
      <c r="CZ130" s="91"/>
      <c r="DA130" s="91"/>
      <c r="DB130" s="91"/>
      <c r="DC130" s="91"/>
      <c r="DD130" s="91"/>
      <c r="DE130" s="91"/>
      <c r="DF130" s="12"/>
      <c r="DG130" s="12"/>
      <c r="DH130" s="12"/>
      <c r="DI130" s="12"/>
      <c r="DJ130" s="12"/>
      <c r="DK130" s="12"/>
      <c r="DL130" s="12"/>
      <c r="DM130" s="12"/>
      <c r="DN130" s="12"/>
    </row>
    <row r="131" spans="1:118">
      <c r="A131" s="91"/>
      <c r="B131" s="89"/>
      <c r="C131" s="2183" t="s">
        <v>1125</v>
      </c>
      <c r="D131" s="2094"/>
      <c r="E131" s="2180"/>
      <c r="F131" s="2034"/>
      <c r="G131" s="2034"/>
      <c r="H131" s="2181"/>
      <c r="I131" s="2182"/>
      <c r="J131" s="2180"/>
      <c r="K131" s="2034"/>
      <c r="L131" s="2034"/>
      <c r="M131" s="2181"/>
      <c r="N131" s="2094"/>
      <c r="O131" s="2180"/>
      <c r="P131" s="2034"/>
      <c r="Q131" s="2034"/>
      <c r="R131" s="2181"/>
      <c r="S131" s="2094"/>
      <c r="T131" s="2180"/>
      <c r="U131" s="2034"/>
      <c r="V131" s="2034"/>
      <c r="W131" s="2181"/>
      <c r="X131" s="2094"/>
      <c r="Y131" s="2180"/>
      <c r="Z131" s="2034"/>
      <c r="AA131" s="2034"/>
      <c r="AB131" s="2181"/>
      <c r="AC131" s="2094"/>
      <c r="AD131" s="2180"/>
      <c r="AE131" s="2034"/>
      <c r="AF131" s="2034"/>
      <c r="AG131" s="2181"/>
      <c r="AH131" s="2094"/>
      <c r="AI131" s="2180"/>
      <c r="AJ131" s="2034"/>
      <c r="AK131" s="2034"/>
      <c r="AL131" s="2181"/>
      <c r="AM131" s="2094"/>
      <c r="AN131" s="2180"/>
      <c r="AO131" s="2034"/>
      <c r="AP131" s="2034"/>
      <c r="AQ131" s="2181"/>
      <c r="AR131" s="2094"/>
      <c r="AS131" s="2184">
        <f>(AS121*AS342)/AS252*AS254</f>
        <v>0.40913163363028932</v>
      </c>
      <c r="AT131" s="2185">
        <f>(AT121*AT342)/AT252*AT254</f>
        <v>0.40913163363028932</v>
      </c>
      <c r="AU131" s="2185">
        <f t="shared" ref="AU131:AV131" si="231">(AU121*AU342)/AU252*AU254</f>
        <v>0.61057929354231077</v>
      </c>
      <c r="AV131" s="2186">
        <f t="shared" si="231"/>
        <v>2.6793825928269328</v>
      </c>
      <c r="AW131" s="2187">
        <f>SUM(AS131:AV131)</f>
        <v>4.1082251536298227</v>
      </c>
      <c r="AX131" s="2184">
        <f>(AX121*AX342)/AX252*AX254</f>
        <v>5.8902033555649007</v>
      </c>
      <c r="AY131" s="2185">
        <f>(AY121*AY342)/AY252*AY254</f>
        <v>-0.87566602500000135</v>
      </c>
      <c r="AZ131" s="2185">
        <f>(AZ121*AZ342)/AZ252*AZ254</f>
        <v>-0.86191357781250444</v>
      </c>
      <c r="BA131" s="2186">
        <f>(BA121*BA342)/BA252*BA254</f>
        <v>-1.4877200903906234</v>
      </c>
      <c r="BB131" s="2187">
        <f>SUM(AX131:BA131)</f>
        <v>2.6649036623617723</v>
      </c>
      <c r="BC131" s="2208">
        <f>(BC121*BC342)/BC252*BC254</f>
        <v>0</v>
      </c>
      <c r="BD131" s="2185">
        <f>(BD121*BD342)/BD252*BD254</f>
        <v>0</v>
      </c>
      <c r="BE131" s="2185">
        <f>(BE121*BE342)/BE252*BE254</f>
        <v>0</v>
      </c>
      <c r="BF131" s="2186">
        <f>(BF121*BF342)/BF252*BF254</f>
        <v>0</v>
      </c>
      <c r="BG131" s="2187">
        <f>SUM(BC131:BF131)</f>
        <v>0</v>
      </c>
      <c r="BH131" s="2208">
        <f>(BH121*BH342)/BH252*BH254</f>
        <v>0</v>
      </c>
      <c r="BI131" s="2185">
        <f>(BI121*BI342)/BI252*BI254</f>
        <v>0</v>
      </c>
      <c r="BJ131" s="2185">
        <f>(BJ121*BJ342)/BJ252*BJ254</f>
        <v>0</v>
      </c>
      <c r="BK131" s="2186">
        <f>(BK121*BK342)/BK252*BK254</f>
        <v>0</v>
      </c>
      <c r="BL131" s="2187">
        <f>SUM(BH131:BK131)</f>
        <v>0</v>
      </c>
      <c r="BM131" s="2208">
        <f>(BM121*BM342)/BM252*BM254</f>
        <v>0</v>
      </c>
      <c r="BN131" s="2185">
        <f>(BN121*BN342)/BN252*BN254</f>
        <v>0</v>
      </c>
      <c r="BO131" s="2185">
        <f>(BO121*BO342)/BO252*BO254</f>
        <v>0</v>
      </c>
      <c r="BP131" s="2186">
        <f>(BP121*BP342)/BP252*BP254</f>
        <v>0</v>
      </c>
      <c r="BQ131" s="2187">
        <f>SUM(BM131:BP131)</f>
        <v>0</v>
      </c>
      <c r="BR131" s="2182"/>
      <c r="BS131" s="2182"/>
      <c r="BT131" s="1950">
        <f>BB12</f>
        <v>1253.98</v>
      </c>
      <c r="BU131" s="2196">
        <f>BU129+BU130</f>
        <v>867.09999999999991</v>
      </c>
      <c r="BV131" s="2052"/>
      <c r="BW131" s="2052"/>
      <c r="BX131" s="2197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91"/>
      <c r="CL131" s="91"/>
      <c r="CM131" s="91"/>
      <c r="CN131" s="91"/>
      <c r="CO131" s="91"/>
      <c r="CP131" s="91"/>
      <c r="CQ131" s="91"/>
      <c r="CR131" s="1018"/>
      <c r="CS131" s="1018"/>
      <c r="CT131" s="821"/>
      <c r="CU131" s="12"/>
      <c r="CV131" s="12"/>
      <c r="CW131" s="12"/>
      <c r="CX131" s="12"/>
      <c r="CY131" s="12"/>
      <c r="CZ131" s="91"/>
      <c r="DA131" s="91"/>
      <c r="DB131" s="91"/>
      <c r="DC131" s="91"/>
      <c r="DD131" s="91"/>
      <c r="DE131" s="91"/>
      <c r="DF131" s="12"/>
      <c r="DG131" s="12"/>
      <c r="DH131" s="12"/>
      <c r="DI131" s="12"/>
      <c r="DJ131" s="12"/>
      <c r="DK131" s="12"/>
      <c r="DL131" s="12"/>
      <c r="DM131" s="12"/>
      <c r="DN131" s="12"/>
    </row>
    <row r="132" spans="1:118">
      <c r="A132" s="91"/>
      <c r="B132" s="89"/>
      <c r="C132" s="2179" t="s">
        <v>215</v>
      </c>
      <c r="D132" s="2094"/>
      <c r="E132" s="2180"/>
      <c r="F132" s="2034"/>
      <c r="G132" s="2034"/>
      <c r="H132" s="2181"/>
      <c r="I132" s="2182"/>
      <c r="J132" s="2180"/>
      <c r="K132" s="2034"/>
      <c r="L132" s="2034"/>
      <c r="M132" s="2181"/>
      <c r="N132" s="2094"/>
      <c r="O132" s="2180"/>
      <c r="P132" s="2034"/>
      <c r="Q132" s="2034"/>
      <c r="R132" s="2181"/>
      <c r="S132" s="2094"/>
      <c r="T132" s="2180"/>
      <c r="U132" s="2034"/>
      <c r="V132" s="2034"/>
      <c r="W132" s="2181"/>
      <c r="X132" s="2094"/>
      <c r="Y132" s="2180"/>
      <c r="Z132" s="2034"/>
      <c r="AA132" s="2034"/>
      <c r="AB132" s="2181"/>
      <c r="AC132" s="2094"/>
      <c r="AD132" s="2180"/>
      <c r="AE132" s="2034"/>
      <c r="AF132" s="2034"/>
      <c r="AG132" s="2181"/>
      <c r="AH132" s="2094"/>
      <c r="AI132" s="2180"/>
      <c r="AJ132" s="2034"/>
      <c r="AK132" s="2034"/>
      <c r="AL132" s="2181"/>
      <c r="AM132" s="2094"/>
      <c r="AN132" s="2180"/>
      <c r="AO132" s="2034"/>
      <c r="AP132" s="2034"/>
      <c r="AQ132" s="2181"/>
      <c r="AR132" s="2094"/>
      <c r="AS132" s="2198">
        <f t="shared" ref="AS132:AW132" si="232">AS126+AS127+AS128+AS130+AS131</f>
        <v>46.256873020556014</v>
      </c>
      <c r="AT132" s="2185">
        <f t="shared" si="232"/>
        <v>46.362264600916006</v>
      </c>
      <c r="AU132" s="2185">
        <f t="shared" si="232"/>
        <v>67.906445790167623</v>
      </c>
      <c r="AV132" s="2186">
        <f t="shared" ref="AV132" si="233">AV126+AV127+AV128+AV130+AV131</f>
        <v>30.073184129434832</v>
      </c>
      <c r="AW132" s="2187">
        <f t="shared" si="232"/>
        <v>133.13802984373834</v>
      </c>
      <c r="AX132" s="2198">
        <f t="shared" ref="AX132:BL132" si="234">AX126+AX127+AX128+AX130+AX131</f>
        <v>57.169233833684075</v>
      </c>
      <c r="AY132" s="2199">
        <f t="shared" si="234"/>
        <v>26.851702667153337</v>
      </c>
      <c r="AZ132" s="2199">
        <f t="shared" si="234"/>
        <v>29.184350780597306</v>
      </c>
      <c r="BA132" s="2200">
        <f t="shared" si="234"/>
        <v>26.423848041456679</v>
      </c>
      <c r="BB132" s="2201">
        <f t="shared" si="234"/>
        <v>89.126433869780385</v>
      </c>
      <c r="BC132" s="2198">
        <f t="shared" si="234"/>
        <v>2.5236869434324856</v>
      </c>
      <c r="BD132" s="2199">
        <f t="shared" si="234"/>
        <v>1.3193329580972395</v>
      </c>
      <c r="BE132" s="2199">
        <f t="shared" si="234"/>
        <v>1.171669987394707</v>
      </c>
      <c r="BF132" s="2200">
        <f t="shared" si="234"/>
        <v>1.6150225644834233</v>
      </c>
      <c r="BG132" s="2201">
        <f t="shared" si="234"/>
        <v>6.6297124534078566</v>
      </c>
      <c r="BH132" s="2198">
        <f t="shared" si="234"/>
        <v>2.0326486024860868</v>
      </c>
      <c r="BI132" s="2199">
        <f t="shared" si="234"/>
        <v>1.0022735694983238</v>
      </c>
      <c r="BJ132" s="2199">
        <f t="shared" si="234"/>
        <v>0.99439040670572321</v>
      </c>
      <c r="BK132" s="2200">
        <f t="shared" si="234"/>
        <v>1.4199689802926847</v>
      </c>
      <c r="BL132" s="2201">
        <f t="shared" si="234"/>
        <v>5.4492815589828183</v>
      </c>
      <c r="BM132" s="2198">
        <f t="shared" ref="BM132:BQ132" si="235">BM126+BM127+BM128+BM130+BM131</f>
        <v>2.68260039068356</v>
      </c>
      <c r="BN132" s="2199">
        <f t="shared" si="235"/>
        <v>1.0829501719507</v>
      </c>
      <c r="BO132" s="2199">
        <f t="shared" si="235"/>
        <v>1.0733804695837781</v>
      </c>
      <c r="BP132" s="2200">
        <f t="shared" si="235"/>
        <v>2.4096159518828939</v>
      </c>
      <c r="BQ132" s="2201">
        <f t="shared" si="235"/>
        <v>7.2485469841009316</v>
      </c>
      <c r="BR132" s="2182"/>
      <c r="BS132" s="2182"/>
      <c r="BT132" s="2052"/>
      <c r="BU132" s="2052"/>
      <c r="BV132" s="2052"/>
      <c r="BW132" s="2052"/>
      <c r="BX132" s="205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91"/>
      <c r="CL132" s="91"/>
      <c r="CM132" s="91"/>
      <c r="CN132" s="91"/>
      <c r="CO132" s="91"/>
      <c r="CP132" s="91"/>
      <c r="CQ132" s="91"/>
      <c r="CR132" s="1018"/>
      <c r="CS132" s="1018"/>
      <c r="CT132" s="821"/>
      <c r="CU132" s="12"/>
      <c r="CV132" s="12"/>
      <c r="CW132" s="12"/>
      <c r="CX132" s="12"/>
      <c r="CY132" s="12"/>
      <c r="CZ132" s="91"/>
      <c r="DA132" s="91"/>
      <c r="DB132" s="91"/>
      <c r="DC132" s="91"/>
      <c r="DD132" s="91"/>
      <c r="DE132" s="91"/>
      <c r="DF132" s="12"/>
      <c r="DG132" s="12"/>
      <c r="DH132" s="12"/>
      <c r="DI132" s="12"/>
      <c r="DJ132" s="12"/>
      <c r="DK132" s="12"/>
      <c r="DL132" s="12"/>
      <c r="DM132" s="12"/>
      <c r="DN132" s="12"/>
    </row>
    <row r="133" spans="1:118">
      <c r="A133" s="91"/>
      <c r="B133" s="89"/>
      <c r="C133" s="2183"/>
      <c r="D133" s="2094"/>
      <c r="E133" s="2180"/>
      <c r="F133" s="2034"/>
      <c r="G133" s="2034"/>
      <c r="H133" s="2181"/>
      <c r="I133" s="2182"/>
      <c r="J133" s="2180"/>
      <c r="K133" s="2034"/>
      <c r="L133" s="2034"/>
      <c r="M133" s="2181"/>
      <c r="N133" s="2094"/>
      <c r="O133" s="2180"/>
      <c r="P133" s="2034"/>
      <c r="Q133" s="2034"/>
      <c r="R133" s="2181"/>
      <c r="S133" s="2094"/>
      <c r="T133" s="2180"/>
      <c r="U133" s="2034"/>
      <c r="V133" s="2034"/>
      <c r="W133" s="2181"/>
      <c r="X133" s="2094"/>
      <c r="Y133" s="2180"/>
      <c r="Z133" s="2034"/>
      <c r="AA133" s="2034"/>
      <c r="AB133" s="2181"/>
      <c r="AC133" s="2094"/>
      <c r="AD133" s="2180"/>
      <c r="AE133" s="2034"/>
      <c r="AF133" s="2034"/>
      <c r="AG133" s="2181"/>
      <c r="AH133" s="2094"/>
      <c r="AI133" s="2180"/>
      <c r="AJ133" s="2034"/>
      <c r="AK133" s="2034"/>
      <c r="AL133" s="2181"/>
      <c r="AM133" s="2094"/>
      <c r="AN133" s="2180"/>
      <c r="AO133" s="2034"/>
      <c r="AP133" s="2034"/>
      <c r="AQ133" s="2181"/>
      <c r="AR133" s="2094"/>
      <c r="AS133" s="2180"/>
      <c r="AT133" s="2185"/>
      <c r="AU133" s="2185"/>
      <c r="AV133" s="2186"/>
      <c r="AW133" s="2187"/>
      <c r="AX133" s="2180"/>
      <c r="AY133" s="2034"/>
      <c r="AZ133" s="2034"/>
      <c r="BA133" s="2181"/>
      <c r="BB133" s="2094"/>
      <c r="BC133" s="2180"/>
      <c r="BD133" s="2034"/>
      <c r="BE133" s="2034"/>
      <c r="BF133" s="2181"/>
      <c r="BG133" s="2094"/>
      <c r="BH133" s="2180"/>
      <c r="BI133" s="2034"/>
      <c r="BJ133" s="2034"/>
      <c r="BK133" s="2181"/>
      <c r="BL133" s="2094"/>
      <c r="BM133" s="2180"/>
      <c r="BN133" s="2034"/>
      <c r="BO133" s="2034"/>
      <c r="BP133" s="2181"/>
      <c r="BQ133" s="2094"/>
      <c r="BR133" s="2182"/>
      <c r="BS133" s="2089"/>
      <c r="BU133" s="2202" t="s">
        <v>689</v>
      </c>
      <c r="BV133" s="2063" t="s">
        <v>688</v>
      </c>
      <c r="BW133" s="2063" t="s">
        <v>453</v>
      </c>
      <c r="BX133" s="2197" t="s">
        <v>686</v>
      </c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91"/>
      <c r="CL133" s="91"/>
      <c r="CM133" s="91"/>
      <c r="CN133" s="91"/>
      <c r="CO133" s="91"/>
      <c r="CP133" s="91"/>
      <c r="CQ133" s="91"/>
      <c r="CR133" s="1018"/>
      <c r="CS133" s="1018"/>
      <c r="CT133" s="821"/>
      <c r="CU133" s="12"/>
      <c r="CV133" s="12"/>
      <c r="CW133" s="12"/>
      <c r="CX133" s="12"/>
      <c r="CY133" s="12"/>
      <c r="CZ133" s="91"/>
      <c r="DA133" s="91"/>
      <c r="DB133" s="91"/>
      <c r="DC133" s="91"/>
      <c r="DD133" s="91"/>
      <c r="DE133" s="91"/>
      <c r="DF133" s="12"/>
      <c r="DG133" s="12"/>
      <c r="DH133" s="12"/>
      <c r="DI133" s="12"/>
      <c r="DJ133" s="12"/>
      <c r="DK133" s="12"/>
      <c r="DL133" s="12"/>
      <c r="DM133" s="12"/>
      <c r="DN133" s="12"/>
    </row>
    <row r="134" spans="1:118">
      <c r="A134" s="91"/>
      <c r="B134" s="89"/>
      <c r="C134" s="2183" t="s">
        <v>663</v>
      </c>
      <c r="D134" s="2094"/>
      <c r="E134" s="2180"/>
      <c r="F134" s="2034"/>
      <c r="G134" s="2034"/>
      <c r="H134" s="2181"/>
      <c r="I134" s="2182"/>
      <c r="J134" s="2180"/>
      <c r="K134" s="2034"/>
      <c r="L134" s="2034"/>
      <c r="M134" s="2181"/>
      <c r="N134" s="2094"/>
      <c r="O134" s="2180"/>
      <c r="P134" s="2034"/>
      <c r="Q134" s="2034"/>
      <c r="R134" s="2181"/>
      <c r="S134" s="2094"/>
      <c r="T134" s="2180"/>
      <c r="U134" s="2034"/>
      <c r="V134" s="2034"/>
      <c r="W134" s="2181"/>
      <c r="X134" s="2094"/>
      <c r="Y134" s="2180"/>
      <c r="Z134" s="2034"/>
      <c r="AA134" s="2034"/>
      <c r="AB134" s="2181"/>
      <c r="AC134" s="2094"/>
      <c r="AD134" s="2180"/>
      <c r="AE134" s="2034"/>
      <c r="AF134" s="2034"/>
      <c r="AG134" s="2181"/>
      <c r="AH134" s="2094"/>
      <c r="AI134" s="2180"/>
      <c r="AJ134" s="2034"/>
      <c r="AK134" s="2034"/>
      <c r="AL134" s="2181"/>
      <c r="AM134" s="2094"/>
      <c r="AN134" s="2180"/>
      <c r="AO134" s="2034"/>
      <c r="AP134" s="2034"/>
      <c r="AQ134" s="2181"/>
      <c r="AR134" s="2094"/>
      <c r="AS134" s="2184">
        <f>AW134/4</f>
        <v>13.938750000000001</v>
      </c>
      <c r="AT134" s="2185">
        <f>AS134</f>
        <v>13.938750000000001</v>
      </c>
      <c r="AU134" s="2185">
        <f t="shared" ref="AU134:AV136" si="236">AT134</f>
        <v>13.938750000000001</v>
      </c>
      <c r="AV134" s="2186">
        <f t="shared" si="236"/>
        <v>13.938750000000001</v>
      </c>
      <c r="AW134" s="2187">
        <f>($BU$134*AW115+$BV$134*AW117+$BW$134*AW116)/1000</f>
        <v>55.755000000000003</v>
      </c>
      <c r="AX134" s="2184">
        <f>BB134/4</f>
        <v>0.93874999999999997</v>
      </c>
      <c r="AY134" s="2185">
        <f>AX134</f>
        <v>0.93874999999999997</v>
      </c>
      <c r="AZ134" s="2185">
        <f t="shared" ref="AZ134:BA136" si="237">AY134</f>
        <v>0.93874999999999997</v>
      </c>
      <c r="BA134" s="2186">
        <f t="shared" si="237"/>
        <v>0.93874999999999997</v>
      </c>
      <c r="BB134" s="2187">
        <f>($BU$134*BB115+$BV$134*BB117+$BW$134*BB116)/1000</f>
        <v>3.7549999999999999</v>
      </c>
      <c r="BC134" s="2184">
        <f>BG134/4</f>
        <v>0.93874999999999997</v>
      </c>
      <c r="BD134" s="2185">
        <f>BC134</f>
        <v>0.93874999999999997</v>
      </c>
      <c r="BE134" s="2185">
        <f t="shared" ref="BE134:BF136" si="238">BD134</f>
        <v>0.93874999999999997</v>
      </c>
      <c r="BF134" s="2186">
        <f t="shared" si="238"/>
        <v>0.93874999999999997</v>
      </c>
      <c r="BG134" s="2187">
        <f>($BU$134*BG115+$BV$134*BG117+$BW$134*BG116)/1000</f>
        <v>3.7549999999999999</v>
      </c>
      <c r="BH134" s="2184">
        <f>BL134/4</f>
        <v>0.93874999999999997</v>
      </c>
      <c r="BI134" s="2185">
        <f>BH134</f>
        <v>0.93874999999999997</v>
      </c>
      <c r="BJ134" s="2185">
        <f t="shared" ref="BJ134:BK136" si="239">BI134</f>
        <v>0.93874999999999997</v>
      </c>
      <c r="BK134" s="2186">
        <f t="shared" si="239"/>
        <v>0.93874999999999997</v>
      </c>
      <c r="BL134" s="2187">
        <f>($BU$134*BL115+$BV$134*BL117+$BW$134*BL116)/1000</f>
        <v>3.7549999999999999</v>
      </c>
      <c r="BM134" s="2184">
        <f>BQ134/4</f>
        <v>0.93874999999999997</v>
      </c>
      <c r="BN134" s="2185">
        <f>BM134</f>
        <v>0.93874999999999997</v>
      </c>
      <c r="BO134" s="2185">
        <f t="shared" ref="BO134:BO136" si="240">BN134</f>
        <v>0.93874999999999997</v>
      </c>
      <c r="BP134" s="2186">
        <f t="shared" ref="BP134:BP136" si="241">BO134</f>
        <v>0.93874999999999997</v>
      </c>
      <c r="BQ134" s="2187">
        <f>($BU$134*BQ115+$BV$134*BQ117+$BW$134*BQ116)/1000</f>
        <v>3.7549999999999999</v>
      </c>
      <c r="BR134" s="2182"/>
      <c r="BS134" s="2089"/>
      <c r="BT134" s="2089" t="s">
        <v>1126</v>
      </c>
      <c r="BU134" s="2203">
        <v>40</v>
      </c>
      <c r="BV134" s="2204">
        <v>25</v>
      </c>
      <c r="BW134" s="2205">
        <v>4.5</v>
      </c>
      <c r="BX134" s="2212">
        <v>160</v>
      </c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91"/>
      <c r="CL134" s="91"/>
      <c r="CM134" s="91"/>
      <c r="CN134" s="91"/>
      <c r="CO134" s="91"/>
      <c r="CP134" s="91"/>
      <c r="CQ134" s="91"/>
      <c r="CR134" s="1018"/>
      <c r="CS134" s="1018"/>
      <c r="CT134" s="821"/>
      <c r="CU134" s="12"/>
      <c r="CV134" s="12"/>
      <c r="CW134" s="12"/>
      <c r="CX134" s="12"/>
      <c r="CY134" s="12"/>
      <c r="CZ134" s="91"/>
      <c r="DA134" s="91"/>
      <c r="DB134" s="91"/>
      <c r="DC134" s="91"/>
      <c r="DD134" s="91"/>
      <c r="DE134" s="91"/>
      <c r="DF134" s="12"/>
      <c r="DG134" s="12"/>
      <c r="DH134" s="12"/>
      <c r="DI134" s="12"/>
      <c r="DJ134" s="12"/>
      <c r="DK134" s="12"/>
      <c r="DL134" s="12"/>
      <c r="DM134" s="12"/>
      <c r="DN134" s="12"/>
    </row>
    <row r="135" spans="1:118">
      <c r="A135" s="91"/>
      <c r="B135" s="89"/>
      <c r="C135" s="2183" t="s">
        <v>221</v>
      </c>
      <c r="D135" s="2094"/>
      <c r="E135" s="2180"/>
      <c r="F135" s="2034"/>
      <c r="G135" s="2034"/>
      <c r="H135" s="2181"/>
      <c r="I135" s="2182"/>
      <c r="J135" s="2180"/>
      <c r="K135" s="2034"/>
      <c r="L135" s="2034"/>
      <c r="M135" s="2181"/>
      <c r="N135" s="2094"/>
      <c r="O135" s="2180"/>
      <c r="P135" s="2034"/>
      <c r="Q135" s="2034"/>
      <c r="R135" s="2181"/>
      <c r="S135" s="2094"/>
      <c r="T135" s="2180"/>
      <c r="U135" s="2034"/>
      <c r="V135" s="2034"/>
      <c r="W135" s="2181"/>
      <c r="X135" s="2094"/>
      <c r="Y135" s="2180"/>
      <c r="Z135" s="2034"/>
      <c r="AA135" s="2034"/>
      <c r="AB135" s="2181"/>
      <c r="AC135" s="2094"/>
      <c r="AD135" s="2180"/>
      <c r="AE135" s="2034"/>
      <c r="AF135" s="2034"/>
      <c r="AG135" s="2181"/>
      <c r="AH135" s="2094"/>
      <c r="AI135" s="2180"/>
      <c r="AJ135" s="2034"/>
      <c r="AK135" s="2034"/>
      <c r="AL135" s="2181"/>
      <c r="AM135" s="2094"/>
      <c r="AN135" s="2180"/>
      <c r="AO135" s="2034"/>
      <c r="AP135" s="2034"/>
      <c r="AQ135" s="2181"/>
      <c r="AR135" s="2094"/>
      <c r="AS135" s="2184">
        <f>AW135/4</f>
        <v>3.5836133367795298</v>
      </c>
      <c r="AT135" s="2185">
        <f>AS135</f>
        <v>3.5836133367795298</v>
      </c>
      <c r="AU135" s="2185">
        <f t="shared" si="236"/>
        <v>3.5836133367795298</v>
      </c>
      <c r="AV135" s="2186">
        <f t="shared" si="236"/>
        <v>3.5836133367795298</v>
      </c>
      <c r="AW135" s="2187">
        <f>AW114/AW165*AW13</f>
        <v>14.334453347118119</v>
      </c>
      <c r="AX135" s="2184">
        <f>BB135/4</f>
        <v>0.26285588134579574</v>
      </c>
      <c r="AY135" s="2185">
        <f>AX135</f>
        <v>0.26285588134579574</v>
      </c>
      <c r="AZ135" s="2185">
        <f t="shared" si="237"/>
        <v>0.26285588134579574</v>
      </c>
      <c r="BA135" s="2186">
        <f t="shared" si="237"/>
        <v>0.26285588134579574</v>
      </c>
      <c r="BB135" s="2187">
        <f>BB114/BB165*BB13</f>
        <v>1.051423525383183</v>
      </c>
      <c r="BC135" s="2184">
        <f>BG135/4</f>
        <v>0.31111301079200199</v>
      </c>
      <c r="BD135" s="2185">
        <f>BC135</f>
        <v>0.31111301079200199</v>
      </c>
      <c r="BE135" s="2185">
        <f t="shared" si="238"/>
        <v>0.31111301079200199</v>
      </c>
      <c r="BF135" s="2186">
        <f t="shared" si="238"/>
        <v>0.31111301079200199</v>
      </c>
      <c r="BG135" s="2187">
        <f>BG114/BG165*BG13</f>
        <v>1.2444520431680079</v>
      </c>
      <c r="BH135" s="2184">
        <f>BL135/4</f>
        <v>0.3548119182897162</v>
      </c>
      <c r="BI135" s="2185">
        <f>BH135</f>
        <v>0.3548119182897162</v>
      </c>
      <c r="BJ135" s="2185">
        <f t="shared" si="239"/>
        <v>0.3548119182897162</v>
      </c>
      <c r="BK135" s="2186">
        <f t="shared" si="239"/>
        <v>0.3548119182897162</v>
      </c>
      <c r="BL135" s="2187">
        <f>BL114/BL165*BL13</f>
        <v>1.4192476731588648</v>
      </c>
      <c r="BM135" s="2184">
        <f>BQ135/4</f>
        <v>0.39438315964634252</v>
      </c>
      <c r="BN135" s="2185">
        <f>BM135</f>
        <v>0.39438315964634252</v>
      </c>
      <c r="BO135" s="2185">
        <f t="shared" si="240"/>
        <v>0.39438315964634252</v>
      </c>
      <c r="BP135" s="2186">
        <f t="shared" si="241"/>
        <v>0.39438315964634252</v>
      </c>
      <c r="BQ135" s="2187">
        <f>BQ114/BQ165*BQ13</f>
        <v>1.5775326385853701</v>
      </c>
      <c r="BR135" s="2182"/>
      <c r="BS135" s="2089"/>
      <c r="BT135" s="2197" t="s">
        <v>1127</v>
      </c>
      <c r="BU135" s="2203">
        <v>25</v>
      </c>
      <c r="BV135" s="2204">
        <v>7.5</v>
      </c>
      <c r="BW135" s="2206">
        <v>10</v>
      </c>
      <c r="BX135" s="205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91"/>
      <c r="CL135" s="91"/>
      <c r="CM135" s="91"/>
      <c r="CN135" s="91"/>
      <c r="CO135" s="91"/>
      <c r="CP135" s="91"/>
      <c r="CQ135" s="91"/>
      <c r="CR135" s="1018"/>
      <c r="CS135" s="1018"/>
      <c r="CT135" s="821"/>
      <c r="CU135" s="12"/>
      <c r="CV135" s="12"/>
      <c r="CW135" s="12"/>
      <c r="CX135" s="12"/>
      <c r="CY135" s="12"/>
      <c r="CZ135" s="91"/>
      <c r="DA135" s="91"/>
      <c r="DB135" s="91"/>
      <c r="DC135" s="91"/>
      <c r="DD135" s="91"/>
      <c r="DE135" s="91"/>
      <c r="DF135" s="12"/>
      <c r="DG135" s="12"/>
      <c r="DH135" s="12"/>
      <c r="DI135" s="12"/>
      <c r="DJ135" s="12"/>
      <c r="DK135" s="12"/>
      <c r="DL135" s="12"/>
      <c r="DM135" s="12"/>
      <c r="DN135" s="12"/>
    </row>
    <row r="136" spans="1:118">
      <c r="A136" s="91"/>
      <c r="B136" s="89"/>
      <c r="C136" s="2183" t="s">
        <v>1128</v>
      </c>
      <c r="D136" s="2094"/>
      <c r="E136" s="2180"/>
      <c r="F136" s="2034"/>
      <c r="G136" s="2034"/>
      <c r="H136" s="2181"/>
      <c r="I136" s="2182"/>
      <c r="J136" s="2180"/>
      <c r="K136" s="2034"/>
      <c r="L136" s="2034"/>
      <c r="M136" s="2181"/>
      <c r="N136" s="2094"/>
      <c r="O136" s="2180"/>
      <c r="P136" s="2034"/>
      <c r="Q136" s="2034"/>
      <c r="R136" s="2181"/>
      <c r="S136" s="2094"/>
      <c r="T136" s="2180"/>
      <c r="U136" s="2034"/>
      <c r="V136" s="2034"/>
      <c r="W136" s="2181"/>
      <c r="X136" s="2094"/>
      <c r="Y136" s="2180"/>
      <c r="Z136" s="2034"/>
      <c r="AA136" s="2034"/>
      <c r="AB136" s="2181"/>
      <c r="AC136" s="2094"/>
      <c r="AD136" s="2180"/>
      <c r="AE136" s="2034"/>
      <c r="AF136" s="2034"/>
      <c r="AG136" s="2181"/>
      <c r="AH136" s="2094"/>
      <c r="AI136" s="2180"/>
      <c r="AJ136" s="2034"/>
      <c r="AK136" s="2034"/>
      <c r="AL136" s="2181"/>
      <c r="AM136" s="2094"/>
      <c r="AN136" s="2180"/>
      <c r="AO136" s="2034"/>
      <c r="AP136" s="2034"/>
      <c r="AQ136" s="2181"/>
      <c r="AR136" s="2094"/>
      <c r="AS136" s="2184">
        <f>AW136/4</f>
        <v>3.0065908503489274</v>
      </c>
      <c r="AT136" s="2185">
        <f>AS136</f>
        <v>3.0065908503489274</v>
      </c>
      <c r="AU136" s="2185">
        <f t="shared" si="236"/>
        <v>3.0065908503489274</v>
      </c>
      <c r="AV136" s="2186">
        <f t="shared" si="236"/>
        <v>3.0065908503489274</v>
      </c>
      <c r="AW136" s="2187">
        <f>AW114/AW165*AW14</f>
        <v>12.026363401395709</v>
      </c>
      <c r="AX136" s="2184">
        <f>BB136/4</f>
        <v>0.26678228388473857</v>
      </c>
      <c r="AY136" s="2185">
        <f>AX136</f>
        <v>0.26678228388473857</v>
      </c>
      <c r="AZ136" s="2185">
        <f t="shared" si="237"/>
        <v>0.26678228388473857</v>
      </c>
      <c r="BA136" s="2186">
        <f t="shared" si="237"/>
        <v>0.26678228388473857</v>
      </c>
      <c r="BB136" s="2187">
        <f>BB114/BB165*BB14</f>
        <v>1.0671291355389543</v>
      </c>
      <c r="BC136" s="2184">
        <f>BG136/4</f>
        <v>0.26945010672358594</v>
      </c>
      <c r="BD136" s="2185">
        <f>BC136</f>
        <v>0.26945010672358594</v>
      </c>
      <c r="BE136" s="2185">
        <f t="shared" si="238"/>
        <v>0.26945010672358594</v>
      </c>
      <c r="BF136" s="2186">
        <f t="shared" si="238"/>
        <v>0.26945010672358594</v>
      </c>
      <c r="BG136" s="2187">
        <f>BG114/BG165*BG14</f>
        <v>1.0778004268943437</v>
      </c>
      <c r="BH136" s="2184">
        <f>BL136/4</f>
        <v>0.27214460779082178</v>
      </c>
      <c r="BI136" s="2185">
        <f>BH136</f>
        <v>0.27214460779082178</v>
      </c>
      <c r="BJ136" s="2185">
        <f t="shared" si="239"/>
        <v>0.27214460779082178</v>
      </c>
      <c r="BK136" s="2186">
        <f t="shared" si="239"/>
        <v>0.27214460779082178</v>
      </c>
      <c r="BL136" s="2187">
        <f>BL114/BL165*BL14</f>
        <v>1.0885784311632871</v>
      </c>
      <c r="BM136" s="2184">
        <f>BQ136/4</f>
        <v>0.27486605386873003</v>
      </c>
      <c r="BN136" s="2185">
        <f>BM136</f>
        <v>0.27486605386873003</v>
      </c>
      <c r="BO136" s="2185">
        <f t="shared" si="240"/>
        <v>0.27486605386873003</v>
      </c>
      <c r="BP136" s="2186">
        <f t="shared" si="241"/>
        <v>0.27486605386873003</v>
      </c>
      <c r="BQ136" s="2187">
        <f>BQ114/BQ165*BQ14</f>
        <v>1.0994642154749201</v>
      </c>
      <c r="BR136" s="2182"/>
      <c r="BS136" s="2182"/>
      <c r="BX136" s="205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91"/>
      <c r="CL136" s="91"/>
      <c r="CM136" s="91"/>
      <c r="CN136" s="91"/>
      <c r="CO136" s="91"/>
      <c r="CP136" s="91"/>
      <c r="CQ136" s="91"/>
      <c r="CR136" s="1018"/>
      <c r="CS136" s="1018"/>
      <c r="CT136" s="821"/>
      <c r="CU136" s="12"/>
      <c r="CV136" s="12"/>
      <c r="CW136" s="12"/>
      <c r="CX136" s="12"/>
      <c r="CY136" s="12"/>
      <c r="CZ136" s="91"/>
      <c r="DA136" s="91"/>
      <c r="DB136" s="91"/>
      <c r="DC136" s="91"/>
      <c r="DD136" s="91"/>
      <c r="DE136" s="91"/>
      <c r="DF136" s="12"/>
      <c r="DG136" s="12"/>
      <c r="DH136" s="12"/>
      <c r="DI136" s="12"/>
      <c r="DJ136" s="12"/>
      <c r="DK136" s="12"/>
      <c r="DL136" s="12"/>
      <c r="DM136" s="12"/>
      <c r="DN136" s="12"/>
    </row>
    <row r="137" spans="1:118">
      <c r="A137" s="91"/>
      <c r="B137" s="89"/>
      <c r="C137" s="2183" t="s">
        <v>199</v>
      </c>
      <c r="D137" s="2094"/>
      <c r="E137" s="2180"/>
      <c r="F137" s="2034"/>
      <c r="G137" s="2034"/>
      <c r="H137" s="2181"/>
      <c r="I137" s="2182"/>
      <c r="J137" s="2180"/>
      <c r="K137" s="2034"/>
      <c r="L137" s="2034"/>
      <c r="M137" s="2181"/>
      <c r="N137" s="2094"/>
      <c r="O137" s="2180"/>
      <c r="P137" s="2034"/>
      <c r="Q137" s="2034"/>
      <c r="R137" s="2181"/>
      <c r="S137" s="2094"/>
      <c r="T137" s="2180"/>
      <c r="U137" s="2034"/>
      <c r="V137" s="2034"/>
      <c r="W137" s="2181"/>
      <c r="X137" s="2094"/>
      <c r="Y137" s="2180"/>
      <c r="Z137" s="2034"/>
      <c r="AA137" s="2034"/>
      <c r="AB137" s="2181"/>
      <c r="AC137" s="2094"/>
      <c r="AD137" s="2180"/>
      <c r="AE137" s="2034"/>
      <c r="AF137" s="2034"/>
      <c r="AG137" s="2181"/>
      <c r="AH137" s="2094"/>
      <c r="AI137" s="2180"/>
      <c r="AJ137" s="2034"/>
      <c r="AK137" s="2034"/>
      <c r="AL137" s="2181"/>
      <c r="AM137" s="2094"/>
      <c r="AN137" s="2180"/>
      <c r="AO137" s="2034"/>
      <c r="AP137" s="2034"/>
      <c r="AQ137" s="2181"/>
      <c r="AR137" s="2094"/>
      <c r="AS137" s="2184">
        <f t="shared" ref="AS137:AU137" si="242">AS132-AS134-AS136</f>
        <v>29.311532170207087</v>
      </c>
      <c r="AT137" s="2185">
        <f t="shared" si="242"/>
        <v>29.416923750567079</v>
      </c>
      <c r="AU137" s="2185">
        <f t="shared" si="242"/>
        <v>50.961104939818696</v>
      </c>
      <c r="AV137" s="2186">
        <f t="shared" ref="AV137" si="243">AV132-AV134-AV136</f>
        <v>13.127843279085901</v>
      </c>
      <c r="AW137" s="2187">
        <f>AW132-AW134-AW136</f>
        <v>65.356666442342629</v>
      </c>
      <c r="AX137" s="2184">
        <f t="shared" ref="AX137:BA137" si="244">AX132-AX134-AX136</f>
        <v>55.963701549799339</v>
      </c>
      <c r="AY137" s="2185">
        <f t="shared" si="244"/>
        <v>25.646170383268601</v>
      </c>
      <c r="AZ137" s="2185">
        <f t="shared" si="244"/>
        <v>27.97881849671257</v>
      </c>
      <c r="BA137" s="2186">
        <f t="shared" si="244"/>
        <v>25.218315757571943</v>
      </c>
      <c r="BB137" s="2187">
        <f>BB132-BB134-BB136</f>
        <v>84.304304734241441</v>
      </c>
      <c r="BC137" s="2184">
        <f t="shared" ref="BC137:BF137" si="245">BC132-BC134-BC136</f>
        <v>1.3154868367088997</v>
      </c>
      <c r="BD137" s="2185">
        <f t="shared" si="245"/>
        <v>0.11113285137365359</v>
      </c>
      <c r="BE137" s="2185">
        <f t="shared" si="245"/>
        <v>-3.6530119328878952E-2</v>
      </c>
      <c r="BF137" s="2186">
        <f t="shared" si="245"/>
        <v>0.40682245775983739</v>
      </c>
      <c r="BG137" s="2187">
        <f>BG132-BG134-BG136</f>
        <v>1.796912026513513</v>
      </c>
      <c r="BH137" s="2184">
        <f t="shared" ref="BH137:BK137" si="246">BH132-BH134-BH136</f>
        <v>0.821753994695265</v>
      </c>
      <c r="BI137" s="2185">
        <f t="shared" si="246"/>
        <v>-0.20862103829249795</v>
      </c>
      <c r="BJ137" s="2185">
        <f t="shared" si="246"/>
        <v>-0.21650420108509855</v>
      </c>
      <c r="BK137" s="2186">
        <f t="shared" si="246"/>
        <v>0.20907437250186295</v>
      </c>
      <c r="BL137" s="2187">
        <f>BL132-BL134-BL136</f>
        <v>0.60570312781953128</v>
      </c>
      <c r="BM137" s="2184">
        <f t="shared" ref="BM137:BP137" si="247">BM132-BM134-BM136</f>
        <v>1.4689843368148301</v>
      </c>
      <c r="BN137" s="2185">
        <f t="shared" si="247"/>
        <v>-0.13066588191803002</v>
      </c>
      <c r="BO137" s="2185">
        <f t="shared" si="247"/>
        <v>-0.14023558428495192</v>
      </c>
      <c r="BP137" s="2186">
        <f t="shared" si="247"/>
        <v>1.195999898014164</v>
      </c>
      <c r="BQ137" s="2187">
        <f>BQ132-BQ134-BQ136</f>
        <v>2.3940827686260118</v>
      </c>
      <c r="BR137" s="2182"/>
      <c r="BS137" s="2182"/>
      <c r="BT137" s="2052">
        <f>445-75-70-110</f>
        <v>190</v>
      </c>
      <c r="BU137" s="2052">
        <f>(BU135*BB161+BV135*BB164+BB162*BW135)/1000</f>
        <v>131.125</v>
      </c>
      <c r="BV137" s="2052"/>
      <c r="BW137" s="2052"/>
      <c r="BX137" s="205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91"/>
      <c r="CL137" s="91"/>
      <c r="CM137" s="91"/>
      <c r="CN137" s="91"/>
      <c r="CO137" s="91"/>
      <c r="CP137" s="91"/>
      <c r="CQ137" s="91"/>
      <c r="CR137" s="1018"/>
      <c r="CS137" s="1018"/>
      <c r="CT137" s="821"/>
      <c r="CU137" s="12"/>
      <c r="CV137" s="12"/>
      <c r="CW137" s="12"/>
      <c r="CX137" s="12"/>
      <c r="CY137" s="12"/>
      <c r="CZ137" s="91"/>
      <c r="DA137" s="91"/>
      <c r="DB137" s="91"/>
      <c r="DC137" s="91"/>
      <c r="DD137" s="91"/>
      <c r="DE137" s="91"/>
      <c r="DF137" s="12"/>
      <c r="DG137" s="12"/>
      <c r="DH137" s="12"/>
      <c r="DI137" s="12"/>
      <c r="DJ137" s="12"/>
      <c r="DK137" s="12"/>
      <c r="DL137" s="12"/>
      <c r="DM137" s="12"/>
      <c r="DN137" s="12"/>
    </row>
    <row r="138" spans="1:118">
      <c r="A138" s="91"/>
      <c r="B138" s="89"/>
      <c r="C138" s="2183"/>
      <c r="D138" s="2094"/>
      <c r="E138" s="2180"/>
      <c r="F138" s="2034"/>
      <c r="G138" s="2034"/>
      <c r="H138" s="2181"/>
      <c r="I138" s="2182"/>
      <c r="J138" s="2180"/>
      <c r="K138" s="2034"/>
      <c r="L138" s="2034"/>
      <c r="M138" s="2181"/>
      <c r="N138" s="2094"/>
      <c r="O138" s="2180"/>
      <c r="P138" s="2034"/>
      <c r="Q138" s="2034"/>
      <c r="R138" s="2181"/>
      <c r="S138" s="2094"/>
      <c r="T138" s="2180"/>
      <c r="U138" s="2034"/>
      <c r="V138" s="2034"/>
      <c r="W138" s="2181"/>
      <c r="X138" s="2094"/>
      <c r="Y138" s="2180"/>
      <c r="Z138" s="2034"/>
      <c r="AA138" s="2034"/>
      <c r="AB138" s="2181"/>
      <c r="AC138" s="2094"/>
      <c r="AD138" s="2180"/>
      <c r="AE138" s="2034"/>
      <c r="AF138" s="2034"/>
      <c r="AG138" s="2181"/>
      <c r="AH138" s="2094"/>
      <c r="AI138" s="2180"/>
      <c r="AJ138" s="2034"/>
      <c r="AK138" s="2034"/>
      <c r="AL138" s="2181"/>
      <c r="AM138" s="2094"/>
      <c r="AN138" s="2180"/>
      <c r="AO138" s="2034"/>
      <c r="AP138" s="2034"/>
      <c r="AQ138" s="2181"/>
      <c r="AR138" s="2094"/>
      <c r="AS138" s="2184"/>
      <c r="AT138" s="2185"/>
      <c r="AU138" s="2185"/>
      <c r="AV138" s="2186"/>
      <c r="AW138" s="2187"/>
      <c r="AX138" s="2184"/>
      <c r="AY138" s="2185"/>
      <c r="AZ138" s="2185"/>
      <c r="BA138" s="2186"/>
      <c r="BB138" s="2187"/>
      <c r="BC138" s="2184"/>
      <c r="BD138" s="2185"/>
      <c r="BE138" s="2185"/>
      <c r="BF138" s="2186"/>
      <c r="BG138" s="2187"/>
      <c r="BH138" s="2184"/>
      <c r="BI138" s="2185"/>
      <c r="BJ138" s="2185"/>
      <c r="BK138" s="2186"/>
      <c r="BL138" s="2187"/>
      <c r="BM138" s="2184"/>
      <c r="BN138" s="2185"/>
      <c r="BO138" s="2185"/>
      <c r="BP138" s="2186"/>
      <c r="BQ138" s="2187"/>
      <c r="BR138" s="2182"/>
      <c r="BS138" s="2182"/>
      <c r="BT138" s="2052"/>
      <c r="BU138" s="2052"/>
      <c r="BV138" s="2052"/>
      <c r="BW138" s="2052"/>
      <c r="BX138" s="205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91"/>
      <c r="CL138" s="91"/>
      <c r="CM138" s="91"/>
      <c r="CN138" s="91"/>
      <c r="CO138" s="91"/>
      <c r="CP138" s="91"/>
      <c r="CQ138" s="91"/>
      <c r="CR138" s="1018"/>
      <c r="CS138" s="1018"/>
      <c r="CT138" s="821"/>
      <c r="CU138" s="12"/>
      <c r="CV138" s="12"/>
      <c r="CW138" s="12"/>
      <c r="CX138" s="12"/>
      <c r="CY138" s="12"/>
      <c r="CZ138" s="91"/>
      <c r="DA138" s="91"/>
      <c r="DB138" s="91"/>
      <c r="DC138" s="91"/>
      <c r="DD138" s="91"/>
      <c r="DE138" s="91"/>
      <c r="DF138" s="12"/>
      <c r="DG138" s="12"/>
      <c r="DH138" s="12"/>
      <c r="DI138" s="12"/>
      <c r="DJ138" s="12"/>
      <c r="DK138" s="12"/>
      <c r="DL138" s="12"/>
      <c r="DM138" s="12"/>
      <c r="DN138" s="12"/>
    </row>
    <row r="139" spans="1:118">
      <c r="A139" s="91"/>
      <c r="B139" s="89"/>
      <c r="C139" s="2183"/>
      <c r="D139" s="2094"/>
      <c r="E139" s="2180"/>
      <c r="F139" s="2034"/>
      <c r="G139" s="2034"/>
      <c r="H139" s="2181"/>
      <c r="I139" s="2182"/>
      <c r="J139" s="2180"/>
      <c r="K139" s="2034"/>
      <c r="L139" s="2034"/>
      <c r="M139" s="2181"/>
      <c r="N139" s="2094"/>
      <c r="O139" s="2180"/>
      <c r="P139" s="2034"/>
      <c r="Q139" s="2034"/>
      <c r="R139" s="2181"/>
      <c r="S139" s="2094"/>
      <c r="T139" s="2180"/>
      <c r="U139" s="2034"/>
      <c r="V139" s="2034"/>
      <c r="W139" s="2181"/>
      <c r="X139" s="2094"/>
      <c r="Y139" s="2180"/>
      <c r="Z139" s="2034"/>
      <c r="AA139" s="2034"/>
      <c r="AB139" s="2181"/>
      <c r="AC139" s="2094"/>
      <c r="AD139" s="2180"/>
      <c r="AE139" s="2034"/>
      <c r="AF139" s="2034"/>
      <c r="AG139" s="2181"/>
      <c r="AH139" s="2094"/>
      <c r="AI139" s="2180"/>
      <c r="AJ139" s="2034"/>
      <c r="AK139" s="2034"/>
      <c r="AL139" s="2181"/>
      <c r="AM139" s="2094"/>
      <c r="AN139" s="2180"/>
      <c r="AO139" s="2034"/>
      <c r="AP139" s="2034"/>
      <c r="AQ139" s="2181"/>
      <c r="AR139" s="2094"/>
      <c r="AS139" s="2184"/>
      <c r="AT139" s="2185"/>
      <c r="AU139" s="2185"/>
      <c r="AV139" s="2186"/>
      <c r="AW139" s="2187"/>
      <c r="AX139" s="2184"/>
      <c r="AY139" s="2185"/>
      <c r="AZ139" s="2185"/>
      <c r="BA139" s="2186"/>
      <c r="BB139" s="2187"/>
      <c r="BC139" s="2184"/>
      <c r="BD139" s="2185"/>
      <c r="BE139" s="2185"/>
      <c r="BF139" s="2186"/>
      <c r="BG139" s="2187"/>
      <c r="BH139" s="2184"/>
      <c r="BI139" s="2185"/>
      <c r="BJ139" s="2185"/>
      <c r="BK139" s="2186"/>
      <c r="BL139" s="2187"/>
      <c r="BM139" s="2184"/>
      <c r="BN139" s="2185"/>
      <c r="BO139" s="2185"/>
      <c r="BP139" s="2186"/>
      <c r="BQ139" s="2187"/>
      <c r="BR139" s="2182"/>
      <c r="BS139" s="2182"/>
      <c r="BT139" t="s">
        <v>1129</v>
      </c>
      <c r="BU139" s="2207">
        <v>0.37</v>
      </c>
      <c r="BV139" s="2052"/>
      <c r="BW139" s="2052"/>
      <c r="BX139" s="205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91"/>
      <c r="CL139" s="91"/>
      <c r="CM139" s="91"/>
      <c r="CN139" s="91"/>
      <c r="CO139" s="91"/>
      <c r="CP139" s="91"/>
      <c r="CQ139" s="91"/>
      <c r="CR139" s="1018"/>
      <c r="CS139" s="1018"/>
      <c r="CT139" s="821"/>
      <c r="CU139" s="12"/>
      <c r="CV139" s="12"/>
      <c r="CW139" s="12"/>
      <c r="CX139" s="12"/>
      <c r="CY139" s="12"/>
      <c r="CZ139" s="91"/>
      <c r="DA139" s="91"/>
      <c r="DB139" s="91"/>
      <c r="DC139" s="91"/>
      <c r="DD139" s="91"/>
      <c r="DE139" s="91"/>
      <c r="DF139" s="12"/>
      <c r="DG139" s="12"/>
      <c r="DH139" s="12"/>
      <c r="DI139" s="12"/>
      <c r="DJ139" s="12"/>
      <c r="DK139" s="12"/>
      <c r="DL139" s="12"/>
      <c r="DM139" s="12"/>
      <c r="DN139" s="12"/>
    </row>
    <row r="140" spans="1:118">
      <c r="A140" s="91"/>
      <c r="B140" s="89"/>
      <c r="C140" s="2183" t="s">
        <v>753</v>
      </c>
      <c r="D140" s="2094"/>
      <c r="E140" s="2180"/>
      <c r="F140" s="2034"/>
      <c r="G140" s="2034"/>
      <c r="H140" s="2181"/>
      <c r="I140" s="2182"/>
      <c r="J140" s="2180"/>
      <c r="K140" s="2034"/>
      <c r="L140" s="2034"/>
      <c r="M140" s="2181"/>
      <c r="N140" s="2094"/>
      <c r="O140" s="2180"/>
      <c r="P140" s="2034"/>
      <c r="Q140" s="2034"/>
      <c r="R140" s="2181"/>
      <c r="S140" s="2094"/>
      <c r="T140" s="2180"/>
      <c r="U140" s="2034"/>
      <c r="V140" s="2034"/>
      <c r="W140" s="2181"/>
      <c r="X140" s="2094"/>
      <c r="Y140" s="2180"/>
      <c r="Z140" s="2034"/>
      <c r="AA140" s="2034"/>
      <c r="AB140" s="2181"/>
      <c r="AC140" s="2094"/>
      <c r="AD140" s="2180"/>
      <c r="AE140" s="2034"/>
      <c r="AF140" s="2034"/>
      <c r="AG140" s="2181"/>
      <c r="AH140" s="2094"/>
      <c r="AI140" s="2180"/>
      <c r="AJ140" s="2034"/>
      <c r="AK140" s="2034"/>
      <c r="AL140" s="2181"/>
      <c r="AM140" s="2094"/>
      <c r="AN140" s="2180"/>
      <c r="AO140" s="2034"/>
      <c r="AP140" s="2034"/>
      <c r="AQ140" s="2181"/>
      <c r="AR140" s="2094"/>
      <c r="AS140" s="2184">
        <f>AW140/4</f>
        <v>8.6243750000000006</v>
      </c>
      <c r="AT140" s="2185">
        <f>AS140</f>
        <v>8.6243750000000006</v>
      </c>
      <c r="AU140" s="2185">
        <f t="shared" ref="AU140:AV140" si="248">AT140</f>
        <v>8.6243750000000006</v>
      </c>
      <c r="AV140" s="2186">
        <f t="shared" si="248"/>
        <v>8.6243750000000006</v>
      </c>
      <c r="AW140" s="2187">
        <f>($BU$135*AW115+$BV$135*AW117+$BW$135*AW116)/1000</f>
        <v>34.497500000000002</v>
      </c>
      <c r="AX140" s="2184">
        <f>BB140/4</f>
        <v>0.49937500000000001</v>
      </c>
      <c r="AY140" s="2185">
        <f>AX140</f>
        <v>0.49937500000000001</v>
      </c>
      <c r="AZ140" s="2185">
        <f t="shared" ref="AZ140:BA140" si="249">AY140</f>
        <v>0.49937500000000001</v>
      </c>
      <c r="BA140" s="2186">
        <f t="shared" si="249"/>
        <v>0.49937500000000001</v>
      </c>
      <c r="BB140" s="2187">
        <f>($BU$135*BB115+$BV$135*BB117+$BW$135*BB116)/1000</f>
        <v>1.9975000000000001</v>
      </c>
      <c r="BC140" s="2184">
        <f>BG140/4</f>
        <v>0.49937500000000001</v>
      </c>
      <c r="BD140" s="2185">
        <f>BC140</f>
        <v>0.49937500000000001</v>
      </c>
      <c r="BE140" s="2185">
        <f t="shared" ref="BE140:BF140" si="250">BD140</f>
        <v>0.49937500000000001</v>
      </c>
      <c r="BF140" s="2186">
        <f t="shared" si="250"/>
        <v>0.49937500000000001</v>
      </c>
      <c r="BG140" s="2187">
        <f>($BU$135*BG115+$BV$135*BG117+$BW$135*BG116)/1000</f>
        <v>1.9975000000000001</v>
      </c>
      <c r="BH140" s="2184">
        <f>BL140/4</f>
        <v>0.49937500000000001</v>
      </c>
      <c r="BI140" s="2185">
        <f>BH140</f>
        <v>0.49937500000000001</v>
      </c>
      <c r="BJ140" s="2185">
        <f t="shared" ref="BJ140:BK140" si="251">BI140</f>
        <v>0.49937500000000001</v>
      </c>
      <c r="BK140" s="2186">
        <f t="shared" si="251"/>
        <v>0.49937500000000001</v>
      </c>
      <c r="BL140" s="2187">
        <f>($BU$135*BL115+$BV$135*BL117+$BW$135*BL116)/1000</f>
        <v>1.9975000000000001</v>
      </c>
      <c r="BM140" s="2184">
        <f>BQ140/4</f>
        <v>0.49937500000000001</v>
      </c>
      <c r="BN140" s="2185">
        <f>BM140</f>
        <v>0.49937500000000001</v>
      </c>
      <c r="BO140" s="2185">
        <f t="shared" ref="BO140" si="252">BN140</f>
        <v>0.49937500000000001</v>
      </c>
      <c r="BP140" s="2186">
        <f t="shared" ref="BP140" si="253">BO140</f>
        <v>0.49937500000000001</v>
      </c>
      <c r="BQ140" s="2187">
        <f>($BU$135*BQ115+$BV$135*BQ117+$BW$135*BQ116)/1000</f>
        <v>1.9975000000000001</v>
      </c>
      <c r="BR140" s="2182"/>
      <c r="BS140" s="2182"/>
      <c r="BT140" s="2052"/>
      <c r="BU140" s="2052"/>
      <c r="BV140" s="2052"/>
      <c r="BW140" s="2052"/>
      <c r="BX140" s="205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91"/>
      <c r="CL140" s="91"/>
      <c r="CM140" s="91"/>
      <c r="CN140" s="91"/>
      <c r="CO140" s="91"/>
      <c r="CP140" s="91"/>
      <c r="CQ140" s="91"/>
      <c r="CR140" s="1018"/>
      <c r="CS140" s="1018"/>
      <c r="CT140" s="821"/>
      <c r="CU140" s="12"/>
      <c r="CV140" s="12"/>
      <c r="CW140" s="12"/>
      <c r="CX140" s="12"/>
      <c r="CY140" s="12"/>
      <c r="CZ140" s="91"/>
      <c r="DA140" s="91"/>
      <c r="DB140" s="91"/>
      <c r="DC140" s="91"/>
      <c r="DD140" s="91"/>
      <c r="DE140" s="91"/>
      <c r="DF140" s="12"/>
      <c r="DG140" s="12"/>
      <c r="DH140" s="12"/>
      <c r="DI140" s="12"/>
      <c r="DJ140" s="12"/>
      <c r="DK140" s="12"/>
      <c r="DL140" s="12"/>
      <c r="DM140" s="12"/>
      <c r="DN140" s="12"/>
    </row>
    <row r="141" spans="1:118">
      <c r="A141" s="91"/>
      <c r="B141" s="89"/>
      <c r="C141" s="1184"/>
      <c r="D141" s="89"/>
      <c r="E141" s="145"/>
      <c r="F141" s="146"/>
      <c r="G141" s="146"/>
      <c r="H141" s="147"/>
      <c r="I141" s="87"/>
      <c r="J141" s="145"/>
      <c r="K141" s="146"/>
      <c r="L141" s="146"/>
      <c r="M141" s="147"/>
      <c r="N141" s="89"/>
      <c r="O141" s="145"/>
      <c r="P141" s="146"/>
      <c r="Q141" s="146"/>
      <c r="R141" s="147"/>
      <c r="S141" s="89"/>
      <c r="T141" s="145"/>
      <c r="U141" s="146"/>
      <c r="V141" s="146"/>
      <c r="W141" s="147"/>
      <c r="X141" s="89"/>
      <c r="Y141" s="145"/>
      <c r="Z141" s="146"/>
      <c r="AA141" s="146"/>
      <c r="AB141" s="147"/>
      <c r="AC141" s="89"/>
      <c r="AD141" s="145"/>
      <c r="AE141" s="146"/>
      <c r="AF141" s="146"/>
      <c r="AG141" s="147"/>
      <c r="AH141" s="89"/>
      <c r="AI141" s="145"/>
      <c r="AJ141" s="146"/>
      <c r="AK141" s="146"/>
      <c r="AL141" s="147"/>
      <c r="AM141" s="89"/>
      <c r="AN141" s="145"/>
      <c r="AO141" s="146"/>
      <c r="AP141" s="146"/>
      <c r="AQ141" s="147"/>
      <c r="AR141" s="89"/>
      <c r="AS141" s="2180"/>
      <c r="AT141" s="2034"/>
      <c r="AU141" s="2034"/>
      <c r="AV141" s="2181"/>
      <c r="AW141" s="2094"/>
      <c r="AX141" s="145"/>
      <c r="AY141" s="146"/>
      <c r="AZ141" s="146"/>
      <c r="BA141" s="147"/>
      <c r="BB141" s="89"/>
      <c r="BC141" s="145"/>
      <c r="BD141" s="146"/>
      <c r="BE141" s="146"/>
      <c r="BF141" s="147"/>
      <c r="BG141" s="89"/>
      <c r="BH141" s="145"/>
      <c r="BI141" s="146"/>
      <c r="BJ141" s="146"/>
      <c r="BK141" s="147"/>
      <c r="BL141" s="89"/>
      <c r="BM141" s="145"/>
      <c r="BN141" s="146"/>
      <c r="BO141" s="146"/>
      <c r="BP141" s="147"/>
      <c r="BQ141" s="89"/>
      <c r="BR141" s="87"/>
      <c r="BS141" s="87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91"/>
      <c r="CL141" s="91"/>
      <c r="CM141" s="91"/>
      <c r="CN141" s="91"/>
      <c r="CO141" s="91"/>
      <c r="CP141" s="91"/>
      <c r="CQ141" s="91"/>
      <c r="CR141" s="1018"/>
      <c r="CS141" s="1018"/>
      <c r="CT141" s="821"/>
      <c r="CU141" s="12"/>
      <c r="CV141" s="12"/>
      <c r="CW141" s="12"/>
      <c r="CX141" s="12"/>
      <c r="CY141" s="12"/>
      <c r="CZ141" s="91"/>
      <c r="DA141" s="91"/>
      <c r="DB141" s="91"/>
      <c r="DC141" s="91"/>
      <c r="DD141" s="91"/>
      <c r="DE141" s="91"/>
      <c r="DF141" s="12"/>
      <c r="DG141" s="12"/>
      <c r="DH141" s="12"/>
      <c r="DI141" s="12"/>
      <c r="DJ141" s="12"/>
      <c r="DK141" s="12"/>
      <c r="DL141" s="12"/>
      <c r="DM141" s="12"/>
      <c r="DN141" s="12"/>
    </row>
    <row r="142" spans="1:118">
      <c r="A142" s="91"/>
      <c r="B142" s="89"/>
      <c r="C142" s="1184"/>
      <c r="D142" s="89"/>
      <c r="E142" s="145"/>
      <c r="F142" s="146"/>
      <c r="G142" s="146"/>
      <c r="H142" s="147"/>
      <c r="I142" s="87"/>
      <c r="J142" s="145"/>
      <c r="K142" s="146"/>
      <c r="L142" s="146"/>
      <c r="M142" s="147"/>
      <c r="N142" s="89"/>
      <c r="O142" s="145"/>
      <c r="P142" s="146"/>
      <c r="Q142" s="146"/>
      <c r="R142" s="147"/>
      <c r="S142" s="89"/>
      <c r="T142" s="145"/>
      <c r="U142" s="146"/>
      <c r="V142" s="146"/>
      <c r="W142" s="147"/>
      <c r="X142" s="89"/>
      <c r="Y142" s="145"/>
      <c r="Z142" s="146"/>
      <c r="AA142" s="146"/>
      <c r="AB142" s="147"/>
      <c r="AC142" s="89"/>
      <c r="AD142" s="145"/>
      <c r="AE142" s="146"/>
      <c r="AF142" s="146"/>
      <c r="AG142" s="147"/>
      <c r="AH142" s="89"/>
      <c r="AI142" s="145"/>
      <c r="AJ142" s="146"/>
      <c r="AK142" s="146"/>
      <c r="AL142" s="147"/>
      <c r="AM142" s="89"/>
      <c r="AN142" s="145"/>
      <c r="AO142" s="146"/>
      <c r="AP142" s="146"/>
      <c r="AQ142" s="147"/>
      <c r="AR142" s="89"/>
      <c r="AS142" s="145"/>
      <c r="AT142" s="146"/>
      <c r="AU142" s="146"/>
      <c r="AV142" s="147"/>
      <c r="AW142" s="89"/>
      <c r="AX142" s="145"/>
      <c r="AY142" s="146"/>
      <c r="AZ142" s="146"/>
      <c r="BA142" s="147"/>
      <c r="BB142" s="89"/>
      <c r="BC142" s="145"/>
      <c r="BD142" s="146"/>
      <c r="BE142" s="146"/>
      <c r="BF142" s="147"/>
      <c r="BG142" s="89"/>
      <c r="BH142" s="145"/>
      <c r="BI142" s="146"/>
      <c r="BJ142" s="146"/>
      <c r="BK142" s="147"/>
      <c r="BL142" s="89"/>
      <c r="BM142" s="145"/>
      <c r="BN142" s="146"/>
      <c r="BO142" s="146"/>
      <c r="BP142" s="147"/>
      <c r="BQ142" s="89"/>
      <c r="BR142" s="87"/>
      <c r="BS142" s="87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91"/>
      <c r="CL142" s="91"/>
      <c r="CM142" s="91"/>
      <c r="CN142" s="91"/>
      <c r="CO142" s="91"/>
      <c r="CP142" s="91"/>
      <c r="CQ142" s="91"/>
      <c r="CR142" s="1018"/>
      <c r="CS142" s="1018"/>
      <c r="CT142" s="821"/>
      <c r="CU142" s="12"/>
      <c r="CV142" s="12"/>
      <c r="CW142" s="12"/>
      <c r="CX142" s="12"/>
      <c r="CY142" s="12"/>
      <c r="CZ142" s="91"/>
      <c r="DA142" s="91"/>
      <c r="DB142" s="91"/>
      <c r="DC142" s="91"/>
      <c r="DD142" s="91"/>
      <c r="DE142" s="91"/>
      <c r="DF142" s="12"/>
      <c r="DG142" s="12"/>
      <c r="DH142" s="12"/>
      <c r="DI142" s="12"/>
      <c r="DJ142" s="12"/>
      <c r="DK142" s="12"/>
      <c r="DL142" s="12"/>
      <c r="DM142" s="12"/>
      <c r="DN142" s="12"/>
    </row>
    <row r="143" spans="1:118">
      <c r="A143" s="91"/>
      <c r="B143" s="126" t="s">
        <v>601</v>
      </c>
      <c r="C143" s="1247"/>
      <c r="D143" s="1017"/>
      <c r="E143" s="145"/>
      <c r="F143" s="146"/>
      <c r="G143" s="146"/>
      <c r="H143" s="147"/>
      <c r="I143" s="87"/>
      <c r="J143" s="145"/>
      <c r="K143" s="146"/>
      <c r="L143" s="146"/>
      <c r="M143" s="147"/>
      <c r="N143" s="89"/>
      <c r="O143" s="145"/>
      <c r="P143" s="146"/>
      <c r="Q143" s="146"/>
      <c r="R143" s="147"/>
      <c r="S143" s="89"/>
      <c r="T143" s="145"/>
      <c r="U143" s="146"/>
      <c r="V143" s="146"/>
      <c r="W143" s="147"/>
      <c r="X143" s="89"/>
      <c r="Y143" s="145"/>
      <c r="Z143" s="146"/>
      <c r="AA143" s="146"/>
      <c r="AB143" s="147"/>
      <c r="AC143" s="89"/>
      <c r="AD143" s="145"/>
      <c r="AE143" s="146"/>
      <c r="AF143" s="146"/>
      <c r="AG143" s="147"/>
      <c r="AH143" s="89"/>
      <c r="AI143" s="145"/>
      <c r="AJ143" s="146"/>
      <c r="AK143" s="146"/>
      <c r="AL143" s="147"/>
      <c r="AM143" s="1067"/>
      <c r="AN143" s="145"/>
      <c r="AO143" s="146"/>
      <c r="AP143" s="146"/>
      <c r="AQ143" s="147"/>
      <c r="AR143" s="242"/>
      <c r="AS143" s="145"/>
      <c r="AT143" s="146"/>
      <c r="AU143" s="146"/>
      <c r="AV143" s="147"/>
      <c r="AW143" s="242"/>
      <c r="AX143" s="145"/>
      <c r="AY143" s="146"/>
      <c r="AZ143" s="146"/>
      <c r="BA143" s="147"/>
      <c r="BB143" s="242"/>
      <c r="BC143" s="145"/>
      <c r="BD143" s="146"/>
      <c r="BE143" s="146"/>
      <c r="BF143" s="147"/>
      <c r="BG143" s="242"/>
      <c r="BH143" s="145"/>
      <c r="BI143" s="146"/>
      <c r="BJ143" s="146"/>
      <c r="BK143" s="147"/>
      <c r="BL143" s="242"/>
      <c r="BM143" s="145"/>
      <c r="BN143" s="146"/>
      <c r="BO143" s="146"/>
      <c r="BP143" s="147"/>
      <c r="BQ143" s="242"/>
      <c r="BR143" s="87"/>
      <c r="BS143" s="87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91"/>
      <c r="CL143" s="91"/>
      <c r="CM143" s="91"/>
      <c r="CN143" s="91"/>
      <c r="CO143" s="91"/>
      <c r="CP143" s="91"/>
      <c r="CQ143" s="91"/>
      <c r="CR143" s="1018"/>
      <c r="CS143" s="1018"/>
      <c r="CT143" s="821"/>
      <c r="CU143" s="12"/>
      <c r="CV143" s="12"/>
      <c r="CW143" s="12"/>
      <c r="CX143" s="12"/>
      <c r="CY143" s="12"/>
      <c r="CZ143" s="91"/>
      <c r="DA143" s="91"/>
      <c r="DB143" s="91"/>
      <c r="DC143" s="91"/>
      <c r="DD143" s="91"/>
      <c r="DE143" s="91"/>
      <c r="DF143" s="12"/>
      <c r="DG143" s="12"/>
      <c r="DH143" s="12"/>
      <c r="DI143" s="12"/>
      <c r="DJ143" s="12"/>
      <c r="DK143" s="12"/>
      <c r="DL143" s="12"/>
      <c r="DM143" s="12"/>
      <c r="DN143" s="12"/>
    </row>
    <row r="144" spans="1:118">
      <c r="A144" s="91"/>
      <c r="B144" s="89"/>
      <c r="C144" s="1226"/>
      <c r="D144" s="89"/>
      <c r="E144" s="145"/>
      <c r="F144" s="146"/>
      <c r="G144" s="146"/>
      <c r="H144" s="147"/>
      <c r="I144" s="87"/>
      <c r="J144" s="145"/>
      <c r="K144" s="146"/>
      <c r="L144" s="146"/>
      <c r="M144" s="147"/>
      <c r="N144" s="89"/>
      <c r="O144" s="145"/>
      <c r="P144" s="146"/>
      <c r="Q144" s="146"/>
      <c r="R144" s="147"/>
      <c r="S144" s="89"/>
      <c r="T144" s="145"/>
      <c r="U144" s="146"/>
      <c r="V144" s="146"/>
      <c r="W144" s="147"/>
      <c r="X144" s="89"/>
      <c r="Y144" s="145"/>
      <c r="Z144" s="146"/>
      <c r="AA144" s="146"/>
      <c r="AB144" s="147"/>
      <c r="AC144" s="89"/>
      <c r="AD144" s="145"/>
      <c r="AE144" s="146"/>
      <c r="AF144" s="146"/>
      <c r="AG144" s="147"/>
      <c r="AH144" s="89"/>
      <c r="AI144" s="145"/>
      <c r="AJ144" s="146"/>
      <c r="AK144" s="146"/>
      <c r="AL144" s="147"/>
      <c r="AM144" s="89"/>
      <c r="AN144" s="145"/>
      <c r="AO144" s="146"/>
      <c r="AP144" s="146"/>
      <c r="AQ144" s="147"/>
      <c r="AR144" s="96"/>
      <c r="AS144" s="145"/>
      <c r="AT144" s="146"/>
      <c r="AU144" s="146"/>
      <c r="AV144" s="147"/>
      <c r="AW144" s="96"/>
      <c r="AX144" s="145"/>
      <c r="AY144" s="146"/>
      <c r="AZ144" s="146"/>
      <c r="BA144" s="147"/>
      <c r="BB144" s="96"/>
      <c r="BC144" s="145"/>
      <c r="BD144" s="146"/>
      <c r="BE144" s="146"/>
      <c r="BF144" s="147"/>
      <c r="BG144" s="96"/>
      <c r="BH144" s="145"/>
      <c r="BI144" s="146"/>
      <c r="BJ144" s="146"/>
      <c r="BK144" s="147"/>
      <c r="BL144" s="96"/>
      <c r="BM144" s="145"/>
      <c r="BN144" s="146"/>
      <c r="BO144" s="146"/>
      <c r="BP144" s="147"/>
      <c r="BQ144" s="96"/>
      <c r="BR144" s="87"/>
      <c r="BS144" s="87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91"/>
      <c r="CL144" s="91"/>
      <c r="CM144" s="91"/>
      <c r="CN144" s="91"/>
      <c r="CO144" s="91"/>
      <c r="CP144" s="91"/>
      <c r="CQ144" s="91"/>
      <c r="CR144" s="1018"/>
      <c r="CS144" s="1018"/>
      <c r="CT144" s="821"/>
      <c r="CU144" s="12"/>
      <c r="CV144" s="12"/>
      <c r="CW144" s="12"/>
      <c r="CX144" s="12"/>
      <c r="CY144" s="12"/>
      <c r="CZ144" s="91"/>
      <c r="DA144" s="91"/>
      <c r="DB144" s="91"/>
      <c r="DC144" s="91"/>
      <c r="DD144" s="91"/>
      <c r="DE144" s="91"/>
      <c r="DF144" s="12"/>
      <c r="DG144" s="12"/>
      <c r="DH144" s="12"/>
      <c r="DI144" s="12"/>
      <c r="DJ144" s="12"/>
      <c r="DK144" s="12"/>
      <c r="DL144" s="12"/>
      <c r="DM144" s="12"/>
      <c r="DN144" s="12"/>
    </row>
    <row r="145" spans="1:118">
      <c r="A145" s="91"/>
      <c r="B145" s="89"/>
      <c r="C145" s="1249" t="s">
        <v>602</v>
      </c>
      <c r="D145" s="89"/>
      <c r="E145" s="145"/>
      <c r="F145" s="146"/>
      <c r="G145" s="146"/>
      <c r="H145" s="147"/>
      <c r="I145" s="87"/>
      <c r="J145" s="145"/>
      <c r="K145" s="146"/>
      <c r="L145" s="146"/>
      <c r="M145" s="147"/>
      <c r="N145" s="89"/>
      <c r="O145" s="145"/>
      <c r="P145" s="146"/>
      <c r="Q145" s="146"/>
      <c r="R145" s="147"/>
      <c r="S145" s="89"/>
      <c r="T145" s="145"/>
      <c r="U145" s="146"/>
      <c r="V145" s="146"/>
      <c r="W145" s="147"/>
      <c r="X145" s="89"/>
      <c r="Y145" s="145"/>
      <c r="Z145" s="146"/>
      <c r="AA145" s="146"/>
      <c r="AB145" s="147"/>
      <c r="AC145" s="89"/>
      <c r="AD145" s="145"/>
      <c r="AE145" s="146"/>
      <c r="AF145" s="146"/>
      <c r="AG145" s="147"/>
      <c r="AH145" s="89"/>
      <c r="AI145" s="145"/>
      <c r="AJ145" s="146"/>
      <c r="AK145" s="146"/>
      <c r="AL145" s="147"/>
      <c r="AM145" s="89"/>
      <c r="AN145" s="145"/>
      <c r="AO145" s="146"/>
      <c r="AP145" s="146"/>
      <c r="AQ145" s="147"/>
      <c r="AR145" s="96"/>
      <c r="AS145" s="145"/>
      <c r="AT145" s="146"/>
      <c r="AU145" s="146"/>
      <c r="AV145" s="147"/>
      <c r="AW145" s="96"/>
      <c r="AX145" s="145"/>
      <c r="AY145" s="146"/>
      <c r="AZ145" s="146"/>
      <c r="BA145" s="147"/>
      <c r="BB145" s="96"/>
      <c r="BC145" s="145"/>
      <c r="BD145" s="146"/>
      <c r="BE145" s="146"/>
      <c r="BF145" s="147"/>
      <c r="BG145" s="96"/>
      <c r="BH145" s="145"/>
      <c r="BI145" s="146"/>
      <c r="BJ145" s="146"/>
      <c r="BK145" s="147"/>
      <c r="BL145" s="96"/>
      <c r="BM145" s="145"/>
      <c r="BN145" s="146"/>
      <c r="BO145" s="146"/>
      <c r="BP145" s="147"/>
      <c r="BQ145" s="96"/>
      <c r="BR145" s="87"/>
      <c r="BS145" s="87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91"/>
      <c r="CL145" s="91"/>
      <c r="CM145" s="91"/>
      <c r="CN145" s="91"/>
      <c r="CO145" s="91"/>
      <c r="CP145" s="91"/>
      <c r="CQ145" s="91"/>
      <c r="CR145" s="1018"/>
      <c r="CS145" s="1018"/>
      <c r="CT145" s="821"/>
      <c r="CU145" s="12"/>
      <c r="CV145" s="12"/>
      <c r="CW145" s="12"/>
      <c r="CX145" s="12"/>
      <c r="CY145" s="12"/>
      <c r="CZ145" s="91"/>
      <c r="DA145" s="91"/>
      <c r="DB145" s="91"/>
      <c r="DC145" s="91"/>
      <c r="DD145" s="91"/>
      <c r="DE145" s="91"/>
      <c r="DF145" s="12"/>
      <c r="DG145" s="12"/>
      <c r="DH145" s="12"/>
      <c r="DI145" s="12"/>
      <c r="DJ145" s="12"/>
      <c r="DK145" s="12"/>
      <c r="DL145" s="12"/>
      <c r="DM145" s="12"/>
      <c r="DN145" s="12"/>
    </row>
    <row r="146" spans="1:118">
      <c r="A146" s="91"/>
      <c r="B146" s="89"/>
      <c r="C146" s="1202" t="s">
        <v>685</v>
      </c>
      <c r="D146" s="89"/>
      <c r="E146" s="145"/>
      <c r="F146" s="146"/>
      <c r="G146" s="146"/>
      <c r="H146" s="147"/>
      <c r="I146" s="87"/>
      <c r="J146" s="145"/>
      <c r="K146" s="146"/>
      <c r="L146" s="146"/>
      <c r="M146" s="147"/>
      <c r="N146" s="89"/>
      <c r="O146" s="145"/>
      <c r="P146" s="146"/>
      <c r="Q146" s="146"/>
      <c r="R146" s="147"/>
      <c r="S146" s="89"/>
      <c r="T146" s="1073"/>
      <c r="U146" s="1074"/>
      <c r="V146" s="1074"/>
      <c r="W146" s="1075"/>
      <c r="X146" s="258"/>
      <c r="Y146" s="1073">
        <f t="shared" ref="Y146:AT146" si="254">SUM(Y275,Y322)</f>
        <v>9404.5607999999993</v>
      </c>
      <c r="Z146" s="1074">
        <f t="shared" si="254"/>
        <v>9404.5607999999993</v>
      </c>
      <c r="AA146" s="1074">
        <f t="shared" si="254"/>
        <v>9404.5607999999993</v>
      </c>
      <c r="AB146" s="1075">
        <f t="shared" si="254"/>
        <v>9404.5607999999993</v>
      </c>
      <c r="AC146" s="258">
        <f t="shared" si="254"/>
        <v>37618.243199999997</v>
      </c>
      <c r="AD146" s="1073">
        <f t="shared" si="254"/>
        <v>11813.122800000001</v>
      </c>
      <c r="AE146" s="1074">
        <f t="shared" si="254"/>
        <v>11813.122800000001</v>
      </c>
      <c r="AF146" s="1074">
        <f t="shared" si="254"/>
        <v>11813.122800000001</v>
      </c>
      <c r="AG146" s="1075">
        <f t="shared" si="254"/>
        <v>11813.122800000001</v>
      </c>
      <c r="AH146" s="258">
        <f t="shared" si="254"/>
        <v>47252.491200000004</v>
      </c>
      <c r="AI146" s="1073">
        <f t="shared" si="254"/>
        <v>11622.5052</v>
      </c>
      <c r="AJ146" s="1074">
        <f t="shared" si="254"/>
        <v>11622.5052</v>
      </c>
      <c r="AK146" s="1074">
        <f t="shared" si="254"/>
        <v>11622.5052</v>
      </c>
      <c r="AL146" s="1075">
        <f t="shared" si="254"/>
        <v>11622.5052</v>
      </c>
      <c r="AM146" s="258">
        <f t="shared" si="254"/>
        <v>46490.020799999998</v>
      </c>
      <c r="AN146" s="1073">
        <f t="shared" si="254"/>
        <v>8629.3008000000009</v>
      </c>
      <c r="AO146" s="1074">
        <f t="shared" si="254"/>
        <v>8629.3008000000009</v>
      </c>
      <c r="AP146" s="1074">
        <f t="shared" ref="AP146" si="255">SUM(AP275,AP322)</f>
        <v>11813.122800000001</v>
      </c>
      <c r="AQ146" s="1075">
        <f t="shared" si="254"/>
        <v>11813.122800000001</v>
      </c>
      <c r="AR146" s="258">
        <f t="shared" si="254"/>
        <v>40884.847200000004</v>
      </c>
      <c r="AS146" s="1073">
        <f t="shared" ref="AS146" si="256">SUM(AS275,AS322)</f>
        <v>8629.3008000000009</v>
      </c>
      <c r="AT146" s="1074">
        <f t="shared" si="254"/>
        <v>8629.3008000000009</v>
      </c>
      <c r="AU146" s="1074">
        <f t="shared" ref="AU146:AW146" si="257">SUM(AU275,AU322)</f>
        <v>8629.3008000000009</v>
      </c>
      <c r="AV146" s="1075">
        <f t="shared" si="257"/>
        <v>8629.3008000000009</v>
      </c>
      <c r="AW146" s="258">
        <f t="shared" si="257"/>
        <v>34517.203200000004</v>
      </c>
      <c r="AX146" s="1073">
        <f t="shared" ref="AX146:BL146" si="258">SUM(AX275,AX322)</f>
        <v>11479.541999999999</v>
      </c>
      <c r="AY146" s="1074">
        <f t="shared" si="258"/>
        <v>11479.541999999999</v>
      </c>
      <c r="AZ146" s="1074">
        <f t="shared" si="258"/>
        <v>11479.541999999999</v>
      </c>
      <c r="BA146" s="1075">
        <f t="shared" si="258"/>
        <v>11479.541999999999</v>
      </c>
      <c r="BB146" s="258">
        <f t="shared" si="258"/>
        <v>45918.167999999998</v>
      </c>
      <c r="BC146" s="1073">
        <f t="shared" si="258"/>
        <v>11813.122800000001</v>
      </c>
      <c r="BD146" s="1074">
        <f t="shared" si="258"/>
        <v>8629.3008000000009</v>
      </c>
      <c r="BE146" s="1074">
        <f t="shared" si="258"/>
        <v>8629.3008000000009</v>
      </c>
      <c r="BF146" s="1075">
        <f t="shared" si="258"/>
        <v>11813.122800000001</v>
      </c>
      <c r="BG146" s="258">
        <f t="shared" si="258"/>
        <v>40884.847200000004</v>
      </c>
      <c r="BH146" s="1073">
        <f t="shared" si="258"/>
        <v>11813.122800000001</v>
      </c>
      <c r="BI146" s="1074">
        <f t="shared" si="258"/>
        <v>8629.3008000000009</v>
      </c>
      <c r="BJ146" s="1074">
        <f t="shared" si="258"/>
        <v>8629.3008000000009</v>
      </c>
      <c r="BK146" s="1075">
        <f t="shared" si="258"/>
        <v>11813.122800000001</v>
      </c>
      <c r="BL146" s="258">
        <f t="shared" si="258"/>
        <v>40884.847200000004</v>
      </c>
      <c r="BM146" s="1073">
        <f t="shared" ref="BM146:BQ146" si="259">SUM(BM275,BM322)</f>
        <v>8629.3008000000009</v>
      </c>
      <c r="BN146" s="1074">
        <f t="shared" si="259"/>
        <v>8629.3008000000009</v>
      </c>
      <c r="BO146" s="1074">
        <f t="shared" si="259"/>
        <v>8629.3008000000009</v>
      </c>
      <c r="BP146" s="1075">
        <f t="shared" si="259"/>
        <v>8629.3008000000009</v>
      </c>
      <c r="BQ146" s="258">
        <f t="shared" si="259"/>
        <v>34517.203200000004</v>
      </c>
      <c r="BR146" s="87"/>
      <c r="BS146" s="87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91"/>
      <c r="CL146" s="91"/>
      <c r="CM146" s="91"/>
      <c r="CN146" s="91"/>
      <c r="CO146" s="91"/>
      <c r="CP146" s="91"/>
      <c r="CQ146" s="91"/>
      <c r="CR146" s="1018"/>
      <c r="CS146" s="1018"/>
      <c r="CT146" s="821"/>
      <c r="CU146" s="12"/>
      <c r="CV146" s="12"/>
      <c r="CW146" s="12"/>
      <c r="CX146" s="12"/>
      <c r="CY146" s="12"/>
      <c r="CZ146" s="91"/>
      <c r="DA146" s="91"/>
      <c r="DB146" s="91"/>
      <c r="DC146" s="91"/>
      <c r="DD146" s="91"/>
      <c r="DE146" s="91"/>
      <c r="DF146" s="12"/>
      <c r="DG146" s="12"/>
      <c r="DH146" s="12"/>
      <c r="DI146" s="12"/>
      <c r="DJ146" s="12"/>
      <c r="DK146" s="12"/>
      <c r="DL146" s="12"/>
      <c r="DM146" s="12"/>
      <c r="DN146" s="12"/>
    </row>
    <row r="147" spans="1:118">
      <c r="A147" s="91"/>
      <c r="B147" s="89"/>
      <c r="C147" s="1202" t="s">
        <v>608</v>
      </c>
      <c r="D147" s="89"/>
      <c r="E147" s="145"/>
      <c r="F147" s="146"/>
      <c r="G147" s="146"/>
      <c r="H147" s="147"/>
      <c r="I147" s="87"/>
      <c r="J147" s="145"/>
      <c r="K147" s="146"/>
      <c r="L147" s="146"/>
      <c r="M147" s="147"/>
      <c r="N147" s="89"/>
      <c r="O147" s="145"/>
      <c r="P147" s="146"/>
      <c r="Q147" s="146"/>
      <c r="R147" s="147"/>
      <c r="S147" s="89"/>
      <c r="T147" s="1073"/>
      <c r="U147" s="1074"/>
      <c r="V147" s="1074"/>
      <c r="W147" s="1075"/>
      <c r="X147" s="258"/>
      <c r="Y147" s="1073">
        <f t="shared" ref="Y147:AT147" si="260">SUM(Y288,Y342,Y367,Y412,Y425,Y438,Y380)</f>
        <v>12227.295599999999</v>
      </c>
      <c r="Z147" s="1074">
        <f t="shared" si="260"/>
        <v>9243.4206000000013</v>
      </c>
      <c r="AA147" s="1074">
        <f t="shared" si="260"/>
        <v>10360.758600000001</v>
      </c>
      <c r="AB147" s="1075">
        <f t="shared" si="260"/>
        <v>7411.4855999999991</v>
      </c>
      <c r="AC147" s="258">
        <f t="shared" si="260"/>
        <v>39242.960399999996</v>
      </c>
      <c r="AD147" s="1073">
        <f t="shared" si="260"/>
        <v>6278.2920000000004</v>
      </c>
      <c r="AE147" s="1074">
        <f t="shared" si="260"/>
        <v>7342.7195999999985</v>
      </c>
      <c r="AF147" s="1074">
        <f t="shared" si="260"/>
        <v>7772.1238499999999</v>
      </c>
      <c r="AG147" s="1075">
        <f t="shared" si="260"/>
        <v>7186.5725999999995</v>
      </c>
      <c r="AH147" s="258">
        <f t="shared" si="260"/>
        <v>28579.708050000001</v>
      </c>
      <c r="AI147" s="1073">
        <f t="shared" si="260"/>
        <v>6606.2663999999995</v>
      </c>
      <c r="AJ147" s="1074">
        <f t="shared" si="260"/>
        <v>7178.732399999999</v>
      </c>
      <c r="AK147" s="1074">
        <f t="shared" si="260"/>
        <v>7608.1366500000004</v>
      </c>
      <c r="AL147" s="1075">
        <f t="shared" si="260"/>
        <v>7022.5853999999999</v>
      </c>
      <c r="AM147" s="258">
        <f t="shared" si="260"/>
        <v>28415.720850000002</v>
      </c>
      <c r="AN147" s="1073">
        <f t="shared" si="260"/>
        <v>7186.5725999999995</v>
      </c>
      <c r="AO147" s="1074">
        <f t="shared" si="260"/>
        <v>6372.3305999999993</v>
      </c>
      <c r="AP147" s="1074">
        <f t="shared" ref="AP147" si="261">SUM(AP288,AP342,AP367,AP412,AP425,AP438,AP380)</f>
        <v>7772.1238499999999</v>
      </c>
      <c r="AQ147" s="1075">
        <f t="shared" si="260"/>
        <v>7186.5725999999995</v>
      </c>
      <c r="AR147" s="258">
        <f t="shared" si="260"/>
        <v>28517.599649999996</v>
      </c>
      <c r="AS147" s="1073">
        <f t="shared" ref="AS147" si="262">SUM(AS288,AS342,AS367,AS412,AS425,AS438,AS380)</f>
        <v>6216.1836000000003</v>
      </c>
      <c r="AT147" s="1074">
        <f t="shared" si="260"/>
        <v>6372.3305999999993</v>
      </c>
      <c r="AU147" s="1074">
        <f t="shared" ref="AU147:AW147" si="263">SUM(AU288,AU342,AU367,AU412,AU425,AU438,AU380)</f>
        <v>6801.7348500000007</v>
      </c>
      <c r="AV147" s="1075">
        <f t="shared" si="263"/>
        <v>5173.3055999999997</v>
      </c>
      <c r="AW147" s="258">
        <f t="shared" si="263"/>
        <v>24563.554650000002</v>
      </c>
      <c r="AX147" s="1073">
        <f t="shared" ref="AX147:BL147" si="264">SUM(AX288,AX342,AX367,AX412,AX425,AX438,AX380)</f>
        <v>5748.9690000000001</v>
      </c>
      <c r="AY147" s="1074">
        <f t="shared" si="264"/>
        <v>4886.3279999999995</v>
      </c>
      <c r="AZ147" s="1074">
        <f t="shared" si="264"/>
        <v>4886.3279999999995</v>
      </c>
      <c r="BA147" s="1075">
        <f t="shared" si="264"/>
        <v>5856.7169999999996</v>
      </c>
      <c r="BB147" s="258">
        <f t="shared" si="264"/>
        <v>21378.341999999997</v>
      </c>
      <c r="BC147" s="1073">
        <f t="shared" si="264"/>
        <v>4150.7945999999993</v>
      </c>
      <c r="BD147" s="1074">
        <f t="shared" si="264"/>
        <v>4034.5056</v>
      </c>
      <c r="BE147" s="1074">
        <f t="shared" si="264"/>
        <v>4034.5056</v>
      </c>
      <c r="BF147" s="1075">
        <f t="shared" si="264"/>
        <v>4150.7945999999993</v>
      </c>
      <c r="BG147" s="258">
        <f t="shared" si="264"/>
        <v>16370.600399999999</v>
      </c>
      <c r="BH147" s="1073">
        <f t="shared" si="264"/>
        <v>4150.7945999999993</v>
      </c>
      <c r="BI147" s="1074">
        <f t="shared" si="264"/>
        <v>3926.7575999999999</v>
      </c>
      <c r="BJ147" s="1074">
        <f t="shared" si="264"/>
        <v>4034.5056</v>
      </c>
      <c r="BK147" s="1075">
        <f t="shared" si="264"/>
        <v>4150.7945999999993</v>
      </c>
      <c r="BL147" s="258">
        <f t="shared" si="264"/>
        <v>16262.8524</v>
      </c>
      <c r="BM147" s="1073">
        <f t="shared" ref="BM147:BQ147" si="265">SUM(BM288,BM342,BM367,BM412,BM425,BM438,BM380)</f>
        <v>4150.7945999999993</v>
      </c>
      <c r="BN147" s="1074">
        <f t="shared" si="265"/>
        <v>3926.7575999999999</v>
      </c>
      <c r="BO147" s="1074">
        <f t="shared" si="265"/>
        <v>3771.7055999999998</v>
      </c>
      <c r="BP147" s="1075">
        <f t="shared" si="265"/>
        <v>4034.5056</v>
      </c>
      <c r="BQ147" s="258">
        <f t="shared" si="265"/>
        <v>15883.763399999998</v>
      </c>
      <c r="BR147" s="87"/>
      <c r="BS147" s="87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91"/>
      <c r="CL147" s="91"/>
      <c r="CM147" s="91"/>
      <c r="CN147" s="91"/>
      <c r="CO147" s="91"/>
      <c r="CP147" s="91"/>
      <c r="CQ147" s="91"/>
      <c r="CR147" s="1018"/>
      <c r="CS147" s="1018"/>
      <c r="CT147" s="821"/>
      <c r="CU147" s="12"/>
      <c r="CV147" s="12"/>
      <c r="CW147" s="12"/>
      <c r="CX147" s="12"/>
      <c r="CY147" s="12"/>
      <c r="CZ147" s="91"/>
      <c r="DA147" s="91"/>
      <c r="DB147" s="91"/>
      <c r="DC147" s="91"/>
      <c r="DD147" s="91"/>
      <c r="DE147" s="91"/>
      <c r="DF147" s="12"/>
      <c r="DG147" s="12"/>
      <c r="DH147" s="12"/>
      <c r="DI147" s="12"/>
      <c r="DJ147" s="12"/>
      <c r="DK147" s="12"/>
      <c r="DL147" s="12"/>
      <c r="DM147" s="12"/>
      <c r="DN147" s="12"/>
    </row>
    <row r="148" spans="1:118">
      <c r="A148" s="91"/>
      <c r="B148" s="89"/>
      <c r="C148" s="1621" t="s">
        <v>459</v>
      </c>
      <c r="D148" s="89"/>
      <c r="E148" s="145"/>
      <c r="F148" s="146"/>
      <c r="G148" s="146"/>
      <c r="H148" s="147"/>
      <c r="I148" s="87"/>
      <c r="J148" s="145"/>
      <c r="K148" s="146"/>
      <c r="L148" s="146"/>
      <c r="M148" s="147"/>
      <c r="N148" s="89"/>
      <c r="O148" s="145"/>
      <c r="P148" s="146"/>
      <c r="Q148" s="146"/>
      <c r="R148" s="147"/>
      <c r="S148" s="89"/>
      <c r="T148" s="1073"/>
      <c r="U148" s="1074"/>
      <c r="V148" s="1074"/>
      <c r="W148" s="1075"/>
      <c r="X148" s="258"/>
      <c r="Y148" s="1073">
        <f>Y453</f>
        <v>321.49199999999996</v>
      </c>
      <c r="Z148" s="1074">
        <f t="shared" ref="Z148:AT148" si="266">Z453</f>
        <v>321.49199999999996</v>
      </c>
      <c r="AA148" s="1074">
        <f t="shared" si="266"/>
        <v>321.49199999999996</v>
      </c>
      <c r="AB148" s="1075">
        <f t="shared" si="266"/>
        <v>321.49199999999996</v>
      </c>
      <c r="AC148" s="258">
        <f t="shared" si="266"/>
        <v>1285.9679999999998</v>
      </c>
      <c r="AD148" s="1073">
        <f t="shared" si="266"/>
        <v>321.49199999999996</v>
      </c>
      <c r="AE148" s="1074">
        <f t="shared" si="266"/>
        <v>321.49199999999996</v>
      </c>
      <c r="AF148" s="1074">
        <f t="shared" si="266"/>
        <v>321.49199999999996</v>
      </c>
      <c r="AG148" s="1075">
        <f t="shared" si="266"/>
        <v>321.49199999999996</v>
      </c>
      <c r="AH148" s="258">
        <f t="shared" si="266"/>
        <v>1285.9679999999998</v>
      </c>
      <c r="AI148" s="1073">
        <f t="shared" si="266"/>
        <v>321.49199999999996</v>
      </c>
      <c r="AJ148" s="1074">
        <f t="shared" si="266"/>
        <v>321.49199999999996</v>
      </c>
      <c r="AK148" s="1074">
        <f t="shared" si="266"/>
        <v>321.49199999999996</v>
      </c>
      <c r="AL148" s="1075">
        <f t="shared" si="266"/>
        <v>321.49199999999996</v>
      </c>
      <c r="AM148" s="258">
        <f t="shared" si="266"/>
        <v>1285.9679999999998</v>
      </c>
      <c r="AN148" s="1073">
        <f t="shared" si="266"/>
        <v>321.49199999999996</v>
      </c>
      <c r="AO148" s="1074">
        <f t="shared" si="266"/>
        <v>321.49199999999996</v>
      </c>
      <c r="AP148" s="1074">
        <f t="shared" ref="AP148" si="267">AP453</f>
        <v>321.49199999999996</v>
      </c>
      <c r="AQ148" s="1075">
        <f t="shared" si="266"/>
        <v>321.49199999999996</v>
      </c>
      <c r="AR148" s="258">
        <f t="shared" si="266"/>
        <v>1285.9679999999998</v>
      </c>
      <c r="AS148" s="1073">
        <f t="shared" ref="AS148" si="268">AS453</f>
        <v>321.49199999999996</v>
      </c>
      <c r="AT148" s="1074">
        <f t="shared" si="266"/>
        <v>321.49199999999996</v>
      </c>
      <c r="AU148" s="1074">
        <f t="shared" ref="AU148:AW148" si="269">AU453</f>
        <v>321.49199999999996</v>
      </c>
      <c r="AV148" s="1075">
        <f t="shared" si="269"/>
        <v>321.49199999999996</v>
      </c>
      <c r="AW148" s="258">
        <f t="shared" si="269"/>
        <v>1285.9679999999998</v>
      </c>
      <c r="AX148" s="1073">
        <f>AX453</f>
        <v>321.49199999999996</v>
      </c>
      <c r="AY148" s="1074">
        <f>AY453</f>
        <v>321.49199999999996</v>
      </c>
      <c r="AZ148" s="1074">
        <f>AZ453</f>
        <v>321.49199999999996</v>
      </c>
      <c r="BA148" s="1075">
        <f>BA453</f>
        <v>321.49199999999996</v>
      </c>
      <c r="BB148" s="258">
        <f>BB453</f>
        <v>1285.9679999999998</v>
      </c>
      <c r="BC148" s="1073">
        <f t="shared" ref="BC148:BL148" si="270">BC453</f>
        <v>321.49199999999996</v>
      </c>
      <c r="BD148" s="1074">
        <f t="shared" si="270"/>
        <v>321.49199999999996</v>
      </c>
      <c r="BE148" s="1074">
        <f t="shared" si="270"/>
        <v>321.49199999999996</v>
      </c>
      <c r="BF148" s="1075">
        <f t="shared" si="270"/>
        <v>321.49199999999996</v>
      </c>
      <c r="BG148" s="258">
        <f t="shared" si="270"/>
        <v>1285.9679999999998</v>
      </c>
      <c r="BH148" s="1073">
        <f t="shared" si="270"/>
        <v>321.49199999999996</v>
      </c>
      <c r="BI148" s="1074">
        <f t="shared" si="270"/>
        <v>321.49199999999996</v>
      </c>
      <c r="BJ148" s="1074">
        <f t="shared" si="270"/>
        <v>321.49199999999996</v>
      </c>
      <c r="BK148" s="1075">
        <f t="shared" si="270"/>
        <v>321.49199999999996</v>
      </c>
      <c r="BL148" s="258">
        <f t="shared" si="270"/>
        <v>1285.9679999999998</v>
      </c>
      <c r="BM148" s="1073">
        <f t="shared" ref="BM148:BQ148" si="271">BM453</f>
        <v>321.49199999999996</v>
      </c>
      <c r="BN148" s="1074">
        <f t="shared" si="271"/>
        <v>321.49199999999996</v>
      </c>
      <c r="BO148" s="1074">
        <f t="shared" si="271"/>
        <v>321.49199999999996</v>
      </c>
      <c r="BP148" s="1075">
        <f t="shared" si="271"/>
        <v>321.49199999999996</v>
      </c>
      <c r="BQ148" s="258">
        <f t="shared" si="271"/>
        <v>1285.9679999999998</v>
      </c>
      <c r="BR148" s="87"/>
      <c r="BS148" s="87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91"/>
      <c r="CL148" s="91"/>
      <c r="CM148" s="91"/>
      <c r="CN148" s="91"/>
      <c r="CO148" s="91"/>
      <c r="CP148" s="91"/>
      <c r="CQ148" s="91"/>
      <c r="CR148" s="1018"/>
      <c r="CS148" s="1018"/>
      <c r="CT148" s="821"/>
      <c r="CU148" s="12"/>
      <c r="CV148" s="12"/>
      <c r="CW148" s="12"/>
      <c r="CX148" s="12"/>
      <c r="CY148" s="12"/>
      <c r="CZ148" s="91"/>
      <c r="DA148" s="91"/>
      <c r="DB148" s="91"/>
      <c r="DC148" s="91"/>
      <c r="DD148" s="91"/>
      <c r="DE148" s="91"/>
      <c r="DF148" s="12"/>
      <c r="DG148" s="12"/>
      <c r="DH148" s="12"/>
      <c r="DI148" s="12"/>
      <c r="DJ148" s="12"/>
      <c r="DK148" s="12"/>
      <c r="DL148" s="12"/>
      <c r="DM148" s="12"/>
      <c r="DN148" s="12"/>
    </row>
    <row r="149" spans="1:118">
      <c r="A149" s="91"/>
      <c r="B149" s="88"/>
      <c r="C149" s="1248" t="s">
        <v>215</v>
      </c>
      <c r="D149" s="88"/>
      <c r="E149" s="214"/>
      <c r="F149" s="148"/>
      <c r="G149" s="148"/>
      <c r="H149" s="215"/>
      <c r="I149" s="88"/>
      <c r="J149" s="214"/>
      <c r="K149" s="148"/>
      <c r="L149" s="148"/>
      <c r="M149" s="215"/>
      <c r="N149" s="88"/>
      <c r="O149" s="214"/>
      <c r="P149" s="148"/>
      <c r="Q149" s="148"/>
      <c r="R149" s="215"/>
      <c r="S149" s="88"/>
      <c r="T149" s="240"/>
      <c r="U149" s="241"/>
      <c r="V149" s="241"/>
      <c r="W149" s="1059"/>
      <c r="X149" s="242"/>
      <c r="Y149" s="240">
        <f>SUM(Y146:Y148)</f>
        <v>21953.348399999995</v>
      </c>
      <c r="Z149" s="241">
        <f t="shared" ref="Z149:AT149" si="272">SUM(Z146:Z148)</f>
        <v>18969.473399999999</v>
      </c>
      <c r="AA149" s="241">
        <f t="shared" si="272"/>
        <v>20086.811399999999</v>
      </c>
      <c r="AB149" s="1059">
        <f t="shared" si="272"/>
        <v>17137.538399999998</v>
      </c>
      <c r="AC149" s="242">
        <f t="shared" si="272"/>
        <v>78147.171599999987</v>
      </c>
      <c r="AD149" s="240">
        <f t="shared" si="272"/>
        <v>18412.906800000001</v>
      </c>
      <c r="AE149" s="241">
        <f t="shared" si="272"/>
        <v>19477.3344</v>
      </c>
      <c r="AF149" s="241">
        <f t="shared" si="272"/>
        <v>19906.738649999999</v>
      </c>
      <c r="AG149" s="1059">
        <f t="shared" si="272"/>
        <v>19321.187399999999</v>
      </c>
      <c r="AH149" s="242">
        <f t="shared" si="272"/>
        <v>77118.167249999999</v>
      </c>
      <c r="AI149" s="240">
        <f t="shared" si="272"/>
        <v>18550.263599999998</v>
      </c>
      <c r="AJ149" s="241">
        <f t="shared" si="272"/>
        <v>19122.729599999999</v>
      </c>
      <c r="AK149" s="241">
        <f t="shared" si="272"/>
        <v>19552.133849999998</v>
      </c>
      <c r="AL149" s="1059">
        <f t="shared" si="272"/>
        <v>18966.582599999998</v>
      </c>
      <c r="AM149" s="242">
        <f t="shared" si="272"/>
        <v>76191.70964999999</v>
      </c>
      <c r="AN149" s="240">
        <f t="shared" si="272"/>
        <v>16137.365400000001</v>
      </c>
      <c r="AO149" s="241">
        <f t="shared" si="272"/>
        <v>15323.1234</v>
      </c>
      <c r="AP149" s="241">
        <f t="shared" ref="AP149" si="273">SUM(AP146:AP148)</f>
        <v>19906.738649999999</v>
      </c>
      <c r="AQ149" s="1059">
        <f t="shared" si="272"/>
        <v>19321.187399999999</v>
      </c>
      <c r="AR149" s="242">
        <f t="shared" si="272"/>
        <v>70688.414850000001</v>
      </c>
      <c r="AS149" s="240">
        <f t="shared" ref="AS149" si="274">SUM(AS146:AS148)</f>
        <v>15166.976400000001</v>
      </c>
      <c r="AT149" s="241">
        <f t="shared" si="272"/>
        <v>15323.1234</v>
      </c>
      <c r="AU149" s="241">
        <f t="shared" ref="AU149:AW149" si="275">SUM(AU146:AU148)</f>
        <v>15752.527650000002</v>
      </c>
      <c r="AV149" s="1059">
        <f t="shared" si="275"/>
        <v>14124.098400000001</v>
      </c>
      <c r="AW149" s="242">
        <f t="shared" si="275"/>
        <v>60366.72585000001</v>
      </c>
      <c r="AX149" s="240">
        <f>SUM(AX146:AX148)</f>
        <v>17550.002999999997</v>
      </c>
      <c r="AY149" s="241">
        <f>SUM(AY146:AY148)</f>
        <v>16687.361999999997</v>
      </c>
      <c r="AZ149" s="241">
        <f>SUM(AZ146:AZ148)</f>
        <v>16687.361999999997</v>
      </c>
      <c r="BA149" s="1059">
        <f>SUM(BA146:BA148)</f>
        <v>17657.750999999997</v>
      </c>
      <c r="BB149" s="242">
        <f>SUM(BB146:BB148)</f>
        <v>68582.477999999988</v>
      </c>
      <c r="BC149" s="240">
        <f t="shared" ref="BC149:BL149" si="276">SUM(BC146:BC148)</f>
        <v>16285.4094</v>
      </c>
      <c r="BD149" s="241">
        <f t="shared" si="276"/>
        <v>12985.298400000001</v>
      </c>
      <c r="BE149" s="241">
        <f t="shared" si="276"/>
        <v>12985.298400000001</v>
      </c>
      <c r="BF149" s="1059">
        <f t="shared" si="276"/>
        <v>16285.4094</v>
      </c>
      <c r="BG149" s="242">
        <f t="shared" si="276"/>
        <v>58541.4156</v>
      </c>
      <c r="BH149" s="240">
        <f t="shared" si="276"/>
        <v>16285.4094</v>
      </c>
      <c r="BI149" s="241">
        <f t="shared" si="276"/>
        <v>12877.550400000002</v>
      </c>
      <c r="BJ149" s="241">
        <f t="shared" si="276"/>
        <v>12985.298400000001</v>
      </c>
      <c r="BK149" s="1059">
        <f t="shared" si="276"/>
        <v>16285.4094</v>
      </c>
      <c r="BL149" s="242">
        <f t="shared" si="276"/>
        <v>58433.667600000008</v>
      </c>
      <c r="BM149" s="240">
        <f t="shared" ref="BM149:BQ149" si="277">SUM(BM146:BM148)</f>
        <v>13101.5874</v>
      </c>
      <c r="BN149" s="241">
        <f t="shared" si="277"/>
        <v>12877.550400000002</v>
      </c>
      <c r="BO149" s="241">
        <f t="shared" si="277"/>
        <v>12722.4984</v>
      </c>
      <c r="BP149" s="1059">
        <f t="shared" si="277"/>
        <v>12985.298400000001</v>
      </c>
      <c r="BQ149" s="242">
        <f t="shared" si="277"/>
        <v>51686.934600000001</v>
      </c>
      <c r="BR149" s="87"/>
      <c r="BS149" s="87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91"/>
      <c r="CL149" s="91"/>
      <c r="CM149" s="91"/>
      <c r="CN149" s="91"/>
      <c r="CO149" s="91"/>
      <c r="CP149" s="91"/>
      <c r="CQ149" s="91"/>
      <c r="CR149" s="1018"/>
      <c r="CS149" s="1018"/>
      <c r="CT149" s="821"/>
      <c r="CU149" s="12"/>
      <c r="CV149" s="12"/>
      <c r="CW149" s="12"/>
      <c r="CX149" s="12"/>
      <c r="CY149" s="12"/>
      <c r="CZ149" s="91"/>
      <c r="DA149" s="91"/>
      <c r="DB149" s="91"/>
      <c r="DC149" s="91"/>
      <c r="DD149" s="91"/>
      <c r="DE149" s="91"/>
      <c r="DF149" s="12"/>
      <c r="DG149" s="12"/>
      <c r="DH149" s="12"/>
      <c r="DI149" s="12"/>
      <c r="DJ149" s="12"/>
      <c r="DK149" s="12"/>
      <c r="DL149" s="12"/>
      <c r="DM149" s="12"/>
      <c r="DN149" s="12"/>
    </row>
    <row r="150" spans="1:118">
      <c r="A150" s="91"/>
      <c r="B150" s="89"/>
      <c r="C150" s="1249"/>
      <c r="D150" s="89"/>
      <c r="E150" s="145"/>
      <c r="F150" s="146"/>
      <c r="G150" s="146"/>
      <c r="H150" s="147"/>
      <c r="I150" s="87"/>
      <c r="J150" s="145"/>
      <c r="K150" s="146"/>
      <c r="L150" s="146"/>
      <c r="M150" s="147"/>
      <c r="N150" s="89"/>
      <c r="O150" s="145"/>
      <c r="P150" s="146"/>
      <c r="Q150" s="146"/>
      <c r="R150" s="147"/>
      <c r="S150" s="89"/>
      <c r="T150" s="145"/>
      <c r="U150" s="146"/>
      <c r="V150" s="146"/>
      <c r="W150" s="147"/>
      <c r="X150" s="258"/>
      <c r="Y150" s="145"/>
      <c r="Z150" s="146"/>
      <c r="AA150" s="146"/>
      <c r="AB150" s="147"/>
      <c r="AC150" s="258"/>
      <c r="AD150" s="145"/>
      <c r="AE150" s="146"/>
      <c r="AF150" s="146"/>
      <c r="AG150" s="147"/>
      <c r="AH150" s="258"/>
      <c r="AI150" s="145"/>
      <c r="AJ150" s="146"/>
      <c r="AK150" s="146"/>
      <c r="AL150" s="147"/>
      <c r="AM150" s="258"/>
      <c r="AN150" s="145"/>
      <c r="AO150" s="146"/>
      <c r="AP150" s="146"/>
      <c r="AQ150" s="147"/>
      <c r="AR150" s="258"/>
      <c r="AS150" s="145"/>
      <c r="AT150" s="146"/>
      <c r="AU150" s="146"/>
      <c r="AV150" s="147"/>
      <c r="AW150" s="258"/>
      <c r="AX150" s="145"/>
      <c r="AY150" s="146"/>
      <c r="AZ150" s="146"/>
      <c r="BA150" s="147"/>
      <c r="BB150" s="258"/>
      <c r="BC150" s="145"/>
      <c r="BD150" s="146"/>
      <c r="BE150" s="146"/>
      <c r="BF150" s="147"/>
      <c r="BG150" s="258"/>
      <c r="BH150" s="145"/>
      <c r="BI150" s="146"/>
      <c r="BJ150" s="146"/>
      <c r="BK150" s="147"/>
      <c r="BL150" s="258"/>
      <c r="BM150" s="145"/>
      <c r="BN150" s="146"/>
      <c r="BO150" s="146"/>
      <c r="BP150" s="147"/>
      <c r="BQ150" s="258"/>
      <c r="BR150" s="87"/>
      <c r="BS150" s="87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91"/>
      <c r="CL150" s="91"/>
      <c r="CM150" s="91"/>
      <c r="CN150" s="91"/>
      <c r="CO150" s="91"/>
      <c r="CP150" s="91"/>
      <c r="CQ150" s="91"/>
      <c r="CR150" s="1018"/>
      <c r="CS150" s="1018"/>
      <c r="CT150" s="821"/>
      <c r="CU150" s="12"/>
      <c r="CV150" s="12"/>
      <c r="CW150" s="12"/>
      <c r="CX150" s="12"/>
      <c r="CY150" s="12"/>
      <c r="CZ150" s="91"/>
      <c r="DA150" s="91"/>
      <c r="DB150" s="91"/>
      <c r="DC150" s="91"/>
      <c r="DD150" s="91"/>
      <c r="DE150" s="91"/>
      <c r="DF150" s="12"/>
      <c r="DG150" s="12"/>
      <c r="DH150" s="12"/>
      <c r="DI150" s="12"/>
      <c r="DJ150" s="12"/>
      <c r="DK150" s="12"/>
      <c r="DL150" s="12"/>
      <c r="DM150" s="12"/>
      <c r="DN150" s="12"/>
    </row>
    <row r="151" spans="1:118">
      <c r="A151" s="91"/>
      <c r="B151" s="89"/>
      <c r="C151" s="1249" t="s">
        <v>603</v>
      </c>
      <c r="D151" s="89"/>
      <c r="E151" s="145"/>
      <c r="F151" s="146"/>
      <c r="G151" s="146"/>
      <c r="H151" s="147"/>
      <c r="I151" s="87"/>
      <c r="J151" s="145"/>
      <c r="K151" s="146"/>
      <c r="L151" s="146"/>
      <c r="M151" s="147"/>
      <c r="N151" s="89"/>
      <c r="O151" s="145"/>
      <c r="P151" s="146"/>
      <c r="Q151" s="146"/>
      <c r="R151" s="147"/>
      <c r="S151" s="89"/>
      <c r="T151" s="145"/>
      <c r="U151" s="146"/>
      <c r="V151" s="146"/>
      <c r="W151" s="147"/>
      <c r="X151" s="89"/>
      <c r="Y151" s="145"/>
      <c r="Z151" s="146"/>
      <c r="AA151" s="146"/>
      <c r="AB151" s="147"/>
      <c r="AC151" s="89"/>
      <c r="AD151" s="145"/>
      <c r="AE151" s="146"/>
      <c r="AF151" s="146"/>
      <c r="AG151" s="147"/>
      <c r="AH151" s="1067"/>
      <c r="AI151" s="145"/>
      <c r="AJ151" s="146"/>
      <c r="AK151" s="146"/>
      <c r="AL151" s="147"/>
      <c r="AM151" s="89"/>
      <c r="AN151" s="145"/>
      <c r="AO151" s="146"/>
      <c r="AP151" s="146"/>
      <c r="AQ151" s="147"/>
      <c r="AR151" s="89"/>
      <c r="AS151" s="145"/>
      <c r="AT151" s="146"/>
      <c r="AU151" s="146"/>
      <c r="AV151" s="147"/>
      <c r="AW151" s="89"/>
      <c r="AX151" s="145"/>
      <c r="AY151" s="146"/>
      <c r="AZ151" s="146"/>
      <c r="BA151" s="147"/>
      <c r="BB151" s="89"/>
      <c r="BC151" s="145"/>
      <c r="BD151" s="146"/>
      <c r="BE151" s="146"/>
      <c r="BF151" s="147"/>
      <c r="BG151" s="89"/>
      <c r="BH151" s="145"/>
      <c r="BI151" s="146"/>
      <c r="BJ151" s="146"/>
      <c r="BK151" s="147"/>
      <c r="BL151" s="89"/>
      <c r="BM151" s="145"/>
      <c r="BN151" s="146"/>
      <c r="BO151" s="146"/>
      <c r="BP151" s="147"/>
      <c r="BQ151" s="89"/>
      <c r="BR151" s="87"/>
      <c r="BS151" s="87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91"/>
      <c r="CL151" s="91"/>
      <c r="CM151" s="91"/>
      <c r="CN151" s="91"/>
      <c r="CO151" s="91"/>
      <c r="CP151" s="91"/>
      <c r="CQ151" s="91"/>
      <c r="CR151" s="1018"/>
      <c r="CS151" s="1018"/>
      <c r="CT151" s="821"/>
      <c r="CU151" s="12"/>
      <c r="CV151" s="12"/>
      <c r="CW151" s="12"/>
      <c r="CX151" s="12"/>
      <c r="CY151" s="12"/>
      <c r="CZ151" s="91"/>
      <c r="DA151" s="91"/>
      <c r="DB151" s="91"/>
      <c r="DC151" s="91"/>
      <c r="DD151" s="91"/>
      <c r="DE151" s="91"/>
      <c r="DF151" s="12"/>
      <c r="DG151" s="12"/>
      <c r="DH151" s="12"/>
      <c r="DI151" s="12"/>
      <c r="DJ151" s="12"/>
      <c r="DK151" s="12"/>
      <c r="DL151" s="12"/>
      <c r="DM151" s="12"/>
      <c r="DN151" s="12"/>
    </row>
    <row r="152" spans="1:118">
      <c r="A152" s="91"/>
      <c r="B152" s="89"/>
      <c r="C152" s="1184" t="s">
        <v>686</v>
      </c>
      <c r="D152" s="89"/>
      <c r="E152" s="145"/>
      <c r="F152" s="146"/>
      <c r="G152" s="146"/>
      <c r="H152" s="147"/>
      <c r="I152" s="87"/>
      <c r="J152" s="145"/>
      <c r="K152" s="146"/>
      <c r="L152" s="146"/>
      <c r="M152" s="147"/>
      <c r="N152" s="89"/>
      <c r="O152" s="145"/>
      <c r="P152" s="146"/>
      <c r="Q152" s="146"/>
      <c r="R152" s="147"/>
      <c r="S152" s="89"/>
      <c r="T152" s="1073"/>
      <c r="U152" s="246"/>
      <c r="V152" s="246"/>
      <c r="W152" s="1053"/>
      <c r="X152" s="256"/>
      <c r="Y152" s="1073">
        <f t="shared" ref="Y152:AO152" si="278">+Y265</f>
        <v>8155.9104000000007</v>
      </c>
      <c r="Z152" s="246">
        <f t="shared" si="278"/>
        <v>8155.9104000000007</v>
      </c>
      <c r="AA152" s="246">
        <f t="shared" si="278"/>
        <v>8155.9104000000007</v>
      </c>
      <c r="AB152" s="1053">
        <f t="shared" si="278"/>
        <v>8155.9104000000007</v>
      </c>
      <c r="AC152" s="256">
        <f t="shared" si="278"/>
        <v>32623.641600000003</v>
      </c>
      <c r="AD152" s="1073">
        <f t="shared" si="278"/>
        <v>7663.9488000000001</v>
      </c>
      <c r="AE152" s="246">
        <f t="shared" si="278"/>
        <v>8155.9104000000007</v>
      </c>
      <c r="AF152" s="246">
        <f t="shared" si="278"/>
        <v>8155.9104000000007</v>
      </c>
      <c r="AG152" s="1053">
        <f t="shared" si="278"/>
        <v>8155.9104000000007</v>
      </c>
      <c r="AH152" s="256">
        <f t="shared" si="278"/>
        <v>32131.68</v>
      </c>
      <c r="AI152" s="1073">
        <f t="shared" si="278"/>
        <v>7801.3055999999997</v>
      </c>
      <c r="AJ152" s="246">
        <f t="shared" si="278"/>
        <v>7801.3055999999997</v>
      </c>
      <c r="AK152" s="246">
        <f t="shared" si="278"/>
        <v>7801.3055999999997</v>
      </c>
      <c r="AL152" s="1053">
        <f t="shared" si="278"/>
        <v>7801.3055999999997</v>
      </c>
      <c r="AM152" s="256">
        <f t="shared" si="278"/>
        <v>31205.222399999999</v>
      </c>
      <c r="AN152" s="1073">
        <f t="shared" si="278"/>
        <v>8155.9104000000007</v>
      </c>
      <c r="AO152" s="246">
        <f t="shared" si="278"/>
        <v>8155.9104000000007</v>
      </c>
      <c r="AP152" s="246">
        <f t="shared" ref="AP152" si="279">+AP265</f>
        <v>8155.9104000000007</v>
      </c>
      <c r="AQ152" s="1053">
        <f t="shared" ref="AQ152:AT152" si="280">+AQ265</f>
        <v>8155.9104000000007</v>
      </c>
      <c r="AR152" s="256">
        <f t="shared" si="280"/>
        <v>32623.641600000003</v>
      </c>
      <c r="AS152" s="1073">
        <f t="shared" si="280"/>
        <v>8155.9104000000007</v>
      </c>
      <c r="AT152" s="246">
        <f t="shared" si="280"/>
        <v>8155.9104000000007</v>
      </c>
      <c r="AU152" s="246">
        <f t="shared" ref="AU152:AW152" si="281">+AU265</f>
        <v>8155.9104000000007</v>
      </c>
      <c r="AV152" s="1053">
        <f t="shared" si="281"/>
        <v>8155.9104000000007</v>
      </c>
      <c r="AW152" s="256">
        <f t="shared" si="281"/>
        <v>32623.641600000003</v>
      </c>
      <c r="AX152" s="1073">
        <f t="shared" ref="AX152:BL152" si="282">+AX265</f>
        <v>7535.3519999999999</v>
      </c>
      <c r="AY152" s="246">
        <f t="shared" si="282"/>
        <v>7535.3519999999999</v>
      </c>
      <c r="AZ152" s="246">
        <f t="shared" si="282"/>
        <v>7535.3519999999999</v>
      </c>
      <c r="BA152" s="1053">
        <f t="shared" si="282"/>
        <v>7535.3519999999999</v>
      </c>
      <c r="BB152" s="256">
        <f t="shared" si="282"/>
        <v>30141.407999999999</v>
      </c>
      <c r="BC152" s="1073">
        <f t="shared" si="282"/>
        <v>8155.9104000000007</v>
      </c>
      <c r="BD152" s="246">
        <f t="shared" si="282"/>
        <v>8155.9104000000007</v>
      </c>
      <c r="BE152" s="246">
        <f t="shared" si="282"/>
        <v>8155.9104000000007</v>
      </c>
      <c r="BF152" s="1053">
        <f t="shared" si="282"/>
        <v>8155.9104000000007</v>
      </c>
      <c r="BG152" s="256">
        <f t="shared" si="282"/>
        <v>32623.641600000003</v>
      </c>
      <c r="BH152" s="1073">
        <f t="shared" si="282"/>
        <v>8155.9104000000007</v>
      </c>
      <c r="BI152" s="246">
        <f t="shared" si="282"/>
        <v>8155.9104000000007</v>
      </c>
      <c r="BJ152" s="246">
        <f t="shared" si="282"/>
        <v>8155.9104000000007</v>
      </c>
      <c r="BK152" s="1053">
        <f t="shared" si="282"/>
        <v>8155.9104000000007</v>
      </c>
      <c r="BL152" s="256">
        <f t="shared" si="282"/>
        <v>32623.641600000003</v>
      </c>
      <c r="BM152" s="1073">
        <f t="shared" ref="BM152:BQ152" si="283">+BM265</f>
        <v>8155.9104000000007</v>
      </c>
      <c r="BN152" s="246">
        <f t="shared" si="283"/>
        <v>8155.9104000000007</v>
      </c>
      <c r="BO152" s="246">
        <f t="shared" si="283"/>
        <v>8155.9104000000007</v>
      </c>
      <c r="BP152" s="1053">
        <f t="shared" si="283"/>
        <v>8155.9104000000007</v>
      </c>
      <c r="BQ152" s="256">
        <f t="shared" si="283"/>
        <v>32623.641600000003</v>
      </c>
      <c r="BR152" s="87"/>
      <c r="BS152" s="88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91"/>
      <c r="CL152" s="91"/>
      <c r="CM152" s="91"/>
      <c r="CN152" s="91"/>
      <c r="CO152" s="91"/>
      <c r="CP152" s="91"/>
      <c r="CQ152" s="91"/>
      <c r="CR152" s="1018"/>
      <c r="CS152" s="1018"/>
      <c r="CT152" s="821"/>
      <c r="CU152" s="12"/>
      <c r="CV152" s="12"/>
      <c r="CW152" s="12"/>
      <c r="CX152" s="12"/>
      <c r="CY152" s="12"/>
      <c r="CZ152" s="91"/>
      <c r="DA152" s="91"/>
      <c r="DB152" s="91"/>
      <c r="DC152" s="91"/>
      <c r="DD152" s="91"/>
      <c r="DE152" s="91"/>
      <c r="DF152" s="12"/>
      <c r="DG152" s="12"/>
      <c r="DH152" s="12"/>
      <c r="DI152" s="12"/>
      <c r="DJ152" s="12"/>
      <c r="DK152" s="12"/>
      <c r="DL152" s="12"/>
      <c r="DM152" s="12"/>
      <c r="DN152" s="12"/>
    </row>
    <row r="153" spans="1:118">
      <c r="A153" s="91"/>
      <c r="B153" s="89"/>
      <c r="C153" s="1184" t="s">
        <v>689</v>
      </c>
      <c r="D153" s="89"/>
      <c r="E153" s="145"/>
      <c r="F153" s="146"/>
      <c r="G153" s="146"/>
      <c r="H153" s="147"/>
      <c r="I153" s="87"/>
      <c r="J153" s="145"/>
      <c r="K153" s="146"/>
      <c r="L153" s="146"/>
      <c r="M153" s="147"/>
      <c r="N153" s="89"/>
      <c r="O153" s="145"/>
      <c r="P153" s="146"/>
      <c r="Q153" s="146"/>
      <c r="R153" s="147"/>
      <c r="S153" s="89"/>
      <c r="T153" s="1073"/>
      <c r="U153" s="246"/>
      <c r="V153" s="246"/>
      <c r="W153" s="1053"/>
      <c r="X153" s="256"/>
      <c r="Y153" s="1073">
        <f t="shared" ref="Y153:AO153" si="284">+Y303</f>
        <v>12610.239</v>
      </c>
      <c r="Z153" s="246">
        <f t="shared" si="284"/>
        <v>9357.4320000000007</v>
      </c>
      <c r="AA153" s="246">
        <f t="shared" si="284"/>
        <v>9357.4320000000007</v>
      </c>
      <c r="AB153" s="1053">
        <f t="shared" si="284"/>
        <v>7284.5969999999998</v>
      </c>
      <c r="AC153" s="256">
        <f t="shared" si="284"/>
        <v>38609.699999999997</v>
      </c>
      <c r="AD153" s="1073">
        <f t="shared" si="284"/>
        <v>9693.1589999999997</v>
      </c>
      <c r="AE153" s="246">
        <f t="shared" si="284"/>
        <v>9693.1589999999997</v>
      </c>
      <c r="AF153" s="246">
        <f t="shared" si="284"/>
        <v>9693.1589999999997</v>
      </c>
      <c r="AG153" s="1053">
        <f t="shared" si="284"/>
        <v>9693.1589999999997</v>
      </c>
      <c r="AH153" s="256">
        <f t="shared" si="284"/>
        <v>38772.635999999999</v>
      </c>
      <c r="AI153" s="1073">
        <f t="shared" si="284"/>
        <v>9693.1589999999997</v>
      </c>
      <c r="AJ153" s="246">
        <f t="shared" si="284"/>
        <v>9693.1589999999997</v>
      </c>
      <c r="AK153" s="246">
        <f t="shared" si="284"/>
        <v>9693.1589999999997</v>
      </c>
      <c r="AL153" s="1053">
        <f t="shared" si="284"/>
        <v>9693.1589999999997</v>
      </c>
      <c r="AM153" s="256">
        <f t="shared" si="284"/>
        <v>38772.635999999999</v>
      </c>
      <c r="AN153" s="1073">
        <f t="shared" si="284"/>
        <v>6509.3370000000004</v>
      </c>
      <c r="AO153" s="246">
        <f t="shared" si="284"/>
        <v>5538.9480000000003</v>
      </c>
      <c r="AP153" s="246">
        <f t="shared" ref="AP153" si="285">+AP303</f>
        <v>9693.1589999999997</v>
      </c>
      <c r="AQ153" s="1053">
        <f t="shared" ref="AQ153:AT153" si="286">+AQ303</f>
        <v>9693.1589999999997</v>
      </c>
      <c r="AR153" s="256">
        <f t="shared" si="286"/>
        <v>31434.602999999999</v>
      </c>
      <c r="AS153" s="1073">
        <f t="shared" si="286"/>
        <v>5538.9480000000003</v>
      </c>
      <c r="AT153" s="246">
        <f t="shared" si="286"/>
        <v>5538.9480000000003</v>
      </c>
      <c r="AU153" s="246">
        <f t="shared" ref="AU153:AW153" si="287">+AU303</f>
        <v>5538.9480000000003</v>
      </c>
      <c r="AV153" s="1053">
        <f t="shared" si="287"/>
        <v>5538.9480000000003</v>
      </c>
      <c r="AW153" s="256">
        <f t="shared" si="287"/>
        <v>22155.792000000001</v>
      </c>
      <c r="AX153" s="1073">
        <f t="shared" ref="AX153:BL153" si="288">+AX303</f>
        <v>9693.1589999999997</v>
      </c>
      <c r="AY153" s="246">
        <f t="shared" si="288"/>
        <v>8722.77</v>
      </c>
      <c r="AZ153" s="246">
        <f t="shared" si="288"/>
        <v>8722.77</v>
      </c>
      <c r="BA153" s="1053">
        <f t="shared" si="288"/>
        <v>9693.1589999999997</v>
      </c>
      <c r="BB153" s="256">
        <f t="shared" si="288"/>
        <v>36831.858</v>
      </c>
      <c r="BC153" s="1073">
        <f t="shared" si="288"/>
        <v>7700.259</v>
      </c>
      <c r="BD153" s="246">
        <f t="shared" si="288"/>
        <v>4400.1480000000001</v>
      </c>
      <c r="BE153" s="246">
        <f t="shared" si="288"/>
        <v>4400.1480000000001</v>
      </c>
      <c r="BF153" s="1053">
        <f t="shared" si="288"/>
        <v>7700.259</v>
      </c>
      <c r="BG153" s="256">
        <f t="shared" si="288"/>
        <v>24200.813999999998</v>
      </c>
      <c r="BH153" s="1073">
        <f t="shared" si="288"/>
        <v>7700.259</v>
      </c>
      <c r="BI153" s="246">
        <f t="shared" si="288"/>
        <v>4400.1480000000001</v>
      </c>
      <c r="BJ153" s="246">
        <f t="shared" si="288"/>
        <v>4400.1480000000001</v>
      </c>
      <c r="BK153" s="1053">
        <f t="shared" si="288"/>
        <v>7700.259</v>
      </c>
      <c r="BL153" s="256">
        <f t="shared" si="288"/>
        <v>24200.813999999998</v>
      </c>
      <c r="BM153" s="1073">
        <f t="shared" ref="BM153:BQ153" si="289">+BM303</f>
        <v>4516.4370000000008</v>
      </c>
      <c r="BN153" s="246">
        <f t="shared" si="289"/>
        <v>4400.1480000000001</v>
      </c>
      <c r="BO153" s="246">
        <f t="shared" si="289"/>
        <v>4245.0960000000005</v>
      </c>
      <c r="BP153" s="1053">
        <f t="shared" si="289"/>
        <v>4400.1480000000001</v>
      </c>
      <c r="BQ153" s="256">
        <f t="shared" si="289"/>
        <v>17561.829000000002</v>
      </c>
      <c r="BR153" s="87"/>
      <c r="BS153" s="88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91"/>
      <c r="CL153" s="91"/>
      <c r="CM153" s="91"/>
      <c r="CN153" s="91"/>
      <c r="CO153" s="91"/>
      <c r="CP153" s="91"/>
      <c r="CQ153" s="91"/>
      <c r="CR153" s="1018"/>
      <c r="CS153" s="1018"/>
      <c r="CT153" s="821"/>
      <c r="CU153" s="12"/>
      <c r="CV153" s="12"/>
      <c r="CW153" s="12"/>
      <c r="CX153" s="12"/>
      <c r="CY153" s="12"/>
      <c r="CZ153" s="91"/>
      <c r="DA153" s="91"/>
      <c r="DB153" s="91"/>
      <c r="DC153" s="91"/>
      <c r="DD153" s="91"/>
      <c r="DE153" s="91"/>
      <c r="DF153" s="12"/>
      <c r="DG153" s="12"/>
      <c r="DH153" s="12"/>
      <c r="DI153" s="12"/>
      <c r="DJ153" s="12"/>
      <c r="DK153" s="12"/>
      <c r="DL153" s="12"/>
      <c r="DM153" s="12"/>
      <c r="DN153" s="12"/>
    </row>
    <row r="154" spans="1:118">
      <c r="A154" s="91"/>
      <c r="B154" s="89"/>
      <c r="C154" s="1184" t="s">
        <v>453</v>
      </c>
      <c r="D154" s="89"/>
      <c r="E154" s="145"/>
      <c r="F154" s="146"/>
      <c r="G154" s="146"/>
      <c r="H154" s="147"/>
      <c r="I154" s="87"/>
      <c r="J154" s="145"/>
      <c r="K154" s="146"/>
      <c r="L154" s="146"/>
      <c r="M154" s="147"/>
      <c r="N154" s="89"/>
      <c r="O154" s="145"/>
      <c r="P154" s="146"/>
      <c r="Q154" s="146"/>
      <c r="R154" s="147"/>
      <c r="S154" s="89"/>
      <c r="T154" s="1073"/>
      <c r="U154" s="77"/>
      <c r="V154" s="77"/>
      <c r="W154" s="102"/>
      <c r="X154" s="96"/>
      <c r="Y154" s="1073">
        <f t="shared" ref="Y154:AO154" si="290">+Y357</f>
        <v>46.646999999999998</v>
      </c>
      <c r="Z154" s="77">
        <f t="shared" si="290"/>
        <v>556.47900000000004</v>
      </c>
      <c r="AA154" s="77">
        <f t="shared" si="290"/>
        <v>1257.4979999999998</v>
      </c>
      <c r="AB154" s="102">
        <f t="shared" si="290"/>
        <v>556.47900000000004</v>
      </c>
      <c r="AC154" s="96">
        <f t="shared" si="290"/>
        <v>2417.1030000000001</v>
      </c>
      <c r="AD154" s="1073">
        <f t="shared" si="290"/>
        <v>156.14699999999999</v>
      </c>
      <c r="AE154" s="77">
        <f t="shared" si="290"/>
        <v>312.29399999999998</v>
      </c>
      <c r="AF154" s="77">
        <f t="shared" si="290"/>
        <v>741.69825000000003</v>
      </c>
      <c r="AG154" s="102">
        <f t="shared" si="290"/>
        <v>156.14699999999999</v>
      </c>
      <c r="AH154" s="96">
        <f t="shared" si="290"/>
        <v>1366.2862499999999</v>
      </c>
      <c r="AI154" s="1073">
        <f t="shared" si="290"/>
        <v>156.14699999999999</v>
      </c>
      <c r="AJ154" s="77">
        <f t="shared" si="290"/>
        <v>312.29399999999998</v>
      </c>
      <c r="AK154" s="77">
        <f t="shared" si="290"/>
        <v>741.69825000000003</v>
      </c>
      <c r="AL154" s="102">
        <f t="shared" si="290"/>
        <v>156.14699999999999</v>
      </c>
      <c r="AM154" s="96">
        <f t="shared" si="290"/>
        <v>1366.2862499999999</v>
      </c>
      <c r="AN154" s="1073">
        <f t="shared" si="290"/>
        <v>156.14699999999999</v>
      </c>
      <c r="AO154" s="77">
        <f t="shared" si="290"/>
        <v>312.29399999999998</v>
      </c>
      <c r="AP154" s="77">
        <f t="shared" ref="AP154" si="291">+AP357</f>
        <v>741.69825000000003</v>
      </c>
      <c r="AQ154" s="102">
        <f t="shared" ref="AQ154:AT154" si="292">+AQ357</f>
        <v>156.14699999999999</v>
      </c>
      <c r="AR154" s="96">
        <f t="shared" si="292"/>
        <v>1366.2862499999999</v>
      </c>
      <c r="AS154" s="1073">
        <f t="shared" si="292"/>
        <v>156.14699999999999</v>
      </c>
      <c r="AT154" s="77">
        <f t="shared" si="292"/>
        <v>312.29399999999998</v>
      </c>
      <c r="AU154" s="77">
        <f t="shared" ref="AU154:AW154" si="293">+AU357</f>
        <v>741.69825000000003</v>
      </c>
      <c r="AV154" s="102">
        <f t="shared" si="293"/>
        <v>0</v>
      </c>
      <c r="AW154" s="96">
        <f t="shared" si="293"/>
        <v>1210.1392499999999</v>
      </c>
      <c r="AX154" s="1073">
        <f t="shared" ref="AX154:BL154" si="294">+AX357</f>
        <v>0</v>
      </c>
      <c r="AY154" s="77">
        <f t="shared" si="294"/>
        <v>0</v>
      </c>
      <c r="AZ154" s="77">
        <f t="shared" si="294"/>
        <v>0</v>
      </c>
      <c r="BA154" s="102">
        <f t="shared" si="294"/>
        <v>0</v>
      </c>
      <c r="BB154" s="96">
        <f t="shared" si="294"/>
        <v>0</v>
      </c>
      <c r="BC154" s="1073">
        <f t="shared" si="294"/>
        <v>0</v>
      </c>
      <c r="BD154" s="77">
        <f t="shared" si="294"/>
        <v>0</v>
      </c>
      <c r="BE154" s="77">
        <f t="shared" si="294"/>
        <v>0</v>
      </c>
      <c r="BF154" s="102">
        <f t="shared" si="294"/>
        <v>0</v>
      </c>
      <c r="BG154" s="96">
        <f t="shared" si="294"/>
        <v>0</v>
      </c>
      <c r="BH154" s="1073">
        <f t="shared" si="294"/>
        <v>0</v>
      </c>
      <c r="BI154" s="77">
        <f t="shared" si="294"/>
        <v>0</v>
      </c>
      <c r="BJ154" s="77">
        <f t="shared" si="294"/>
        <v>0</v>
      </c>
      <c r="BK154" s="102">
        <f t="shared" si="294"/>
        <v>0</v>
      </c>
      <c r="BL154" s="96">
        <f t="shared" si="294"/>
        <v>0</v>
      </c>
      <c r="BM154" s="1073">
        <f t="shared" ref="BM154:BQ154" si="295">+BM357</f>
        <v>0</v>
      </c>
      <c r="BN154" s="77">
        <f t="shared" si="295"/>
        <v>0</v>
      </c>
      <c r="BO154" s="77">
        <f t="shared" si="295"/>
        <v>0</v>
      </c>
      <c r="BP154" s="102">
        <f t="shared" si="295"/>
        <v>0</v>
      </c>
      <c r="BQ154" s="96">
        <f t="shared" si="295"/>
        <v>0</v>
      </c>
      <c r="BR154" s="87"/>
      <c r="BS154" s="88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91"/>
      <c r="CL154" s="91"/>
      <c r="CM154" s="91"/>
      <c r="CN154" s="91"/>
      <c r="CO154" s="91"/>
      <c r="CP154" s="91"/>
      <c r="CQ154" s="91"/>
      <c r="CR154" s="1018"/>
      <c r="CS154" s="1018"/>
      <c r="CT154" s="821"/>
      <c r="CU154" s="12"/>
      <c r="CV154" s="12"/>
      <c r="CW154" s="12"/>
      <c r="CX154" s="12"/>
      <c r="CY154" s="12"/>
      <c r="CZ154" s="91"/>
      <c r="DA154" s="91"/>
      <c r="DB154" s="91"/>
      <c r="DC154" s="91"/>
      <c r="DD154" s="91"/>
      <c r="DE154" s="91"/>
      <c r="DF154" s="12"/>
      <c r="DG154" s="12"/>
      <c r="DH154" s="12"/>
      <c r="DI154" s="12"/>
      <c r="DJ154" s="12"/>
      <c r="DK154" s="12"/>
      <c r="DL154" s="12"/>
      <c r="DM154" s="12"/>
      <c r="DN154" s="12"/>
    </row>
    <row r="155" spans="1:118">
      <c r="A155" s="91"/>
      <c r="B155" s="89"/>
      <c r="C155" s="1184" t="s">
        <v>460</v>
      </c>
      <c r="D155" s="89"/>
      <c r="E155" s="145"/>
      <c r="F155" s="146"/>
      <c r="G155" s="146"/>
      <c r="H155" s="147"/>
      <c r="I155" s="87"/>
      <c r="J155" s="145"/>
      <c r="K155" s="146"/>
      <c r="L155" s="146"/>
      <c r="M155" s="147"/>
      <c r="N155" s="89"/>
      <c r="O155" s="145"/>
      <c r="P155" s="146"/>
      <c r="Q155" s="146"/>
      <c r="R155" s="147"/>
      <c r="S155" s="89"/>
      <c r="T155" s="1073"/>
      <c r="U155" s="77"/>
      <c r="V155" s="77"/>
      <c r="W155" s="102"/>
      <c r="X155" s="96"/>
      <c r="Y155" s="1073">
        <f>Y453</f>
        <v>321.49199999999996</v>
      </c>
      <c r="Z155" s="77">
        <f t="shared" ref="Z155:AT155" si="296">Z453</f>
        <v>321.49199999999996</v>
      </c>
      <c r="AA155" s="77">
        <f t="shared" si="296"/>
        <v>321.49199999999996</v>
      </c>
      <c r="AB155" s="102">
        <f t="shared" si="296"/>
        <v>321.49199999999996</v>
      </c>
      <c r="AC155" s="96">
        <f t="shared" si="296"/>
        <v>1285.9679999999998</v>
      </c>
      <c r="AD155" s="1073">
        <f t="shared" si="296"/>
        <v>321.49199999999996</v>
      </c>
      <c r="AE155" s="77">
        <f t="shared" si="296"/>
        <v>321.49199999999996</v>
      </c>
      <c r="AF155" s="77">
        <f t="shared" si="296"/>
        <v>321.49199999999996</v>
      </c>
      <c r="AG155" s="102">
        <f t="shared" si="296"/>
        <v>321.49199999999996</v>
      </c>
      <c r="AH155" s="96">
        <f t="shared" si="296"/>
        <v>1285.9679999999998</v>
      </c>
      <c r="AI155" s="1073">
        <f t="shared" si="296"/>
        <v>321.49199999999996</v>
      </c>
      <c r="AJ155" s="77">
        <f t="shared" si="296"/>
        <v>321.49199999999996</v>
      </c>
      <c r="AK155" s="77">
        <f t="shared" si="296"/>
        <v>321.49199999999996</v>
      </c>
      <c r="AL155" s="102">
        <f t="shared" si="296"/>
        <v>321.49199999999996</v>
      </c>
      <c r="AM155" s="96">
        <f t="shared" si="296"/>
        <v>1285.9679999999998</v>
      </c>
      <c r="AN155" s="1073">
        <f t="shared" si="296"/>
        <v>321.49199999999996</v>
      </c>
      <c r="AO155" s="77">
        <f t="shared" si="296"/>
        <v>321.49199999999996</v>
      </c>
      <c r="AP155" s="77">
        <f t="shared" ref="AP155" si="297">AP453</f>
        <v>321.49199999999996</v>
      </c>
      <c r="AQ155" s="102">
        <f t="shared" si="296"/>
        <v>321.49199999999996</v>
      </c>
      <c r="AR155" s="96">
        <f t="shared" si="296"/>
        <v>1285.9679999999998</v>
      </c>
      <c r="AS155" s="1073">
        <f t="shared" ref="AS155" si="298">AS453</f>
        <v>321.49199999999996</v>
      </c>
      <c r="AT155" s="77">
        <f t="shared" si="296"/>
        <v>321.49199999999996</v>
      </c>
      <c r="AU155" s="77">
        <f t="shared" ref="AU155:AW155" si="299">AU453</f>
        <v>321.49199999999996</v>
      </c>
      <c r="AV155" s="102">
        <f t="shared" si="299"/>
        <v>321.49199999999996</v>
      </c>
      <c r="AW155" s="96">
        <f t="shared" si="299"/>
        <v>1285.9679999999998</v>
      </c>
      <c r="AX155" s="1073">
        <f>AX453</f>
        <v>321.49199999999996</v>
      </c>
      <c r="AY155" s="77">
        <f>AY453</f>
        <v>321.49199999999996</v>
      </c>
      <c r="AZ155" s="77">
        <f>AZ453</f>
        <v>321.49199999999996</v>
      </c>
      <c r="BA155" s="102">
        <f>BA453</f>
        <v>321.49199999999996</v>
      </c>
      <c r="BB155" s="96">
        <f>BB453</f>
        <v>1285.9679999999998</v>
      </c>
      <c r="BC155" s="1073">
        <f t="shared" ref="BC155:BL155" si="300">BC453</f>
        <v>321.49199999999996</v>
      </c>
      <c r="BD155" s="77">
        <f t="shared" si="300"/>
        <v>321.49199999999996</v>
      </c>
      <c r="BE155" s="77">
        <f t="shared" si="300"/>
        <v>321.49199999999996</v>
      </c>
      <c r="BF155" s="102">
        <f t="shared" si="300"/>
        <v>321.49199999999996</v>
      </c>
      <c r="BG155" s="96">
        <f t="shared" si="300"/>
        <v>1285.9679999999998</v>
      </c>
      <c r="BH155" s="1073">
        <f t="shared" si="300"/>
        <v>321.49199999999996</v>
      </c>
      <c r="BI155" s="77">
        <f t="shared" si="300"/>
        <v>321.49199999999996</v>
      </c>
      <c r="BJ155" s="77">
        <f t="shared" si="300"/>
        <v>321.49199999999996</v>
      </c>
      <c r="BK155" s="102">
        <f t="shared" si="300"/>
        <v>321.49199999999996</v>
      </c>
      <c r="BL155" s="96">
        <f t="shared" si="300"/>
        <v>1285.9679999999998</v>
      </c>
      <c r="BM155" s="1073">
        <f t="shared" ref="BM155:BQ155" si="301">BM453</f>
        <v>321.49199999999996</v>
      </c>
      <c r="BN155" s="77">
        <f t="shared" si="301"/>
        <v>321.49199999999996</v>
      </c>
      <c r="BO155" s="77">
        <f t="shared" si="301"/>
        <v>321.49199999999996</v>
      </c>
      <c r="BP155" s="102">
        <f t="shared" si="301"/>
        <v>321.49199999999996</v>
      </c>
      <c r="BQ155" s="96">
        <f t="shared" si="301"/>
        <v>1285.9679999999998</v>
      </c>
      <c r="BR155" s="87"/>
      <c r="BS155" s="88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91"/>
      <c r="CL155" s="91"/>
      <c r="CM155" s="91"/>
      <c r="CN155" s="91"/>
      <c r="CO155" s="91"/>
      <c r="CP155" s="91"/>
      <c r="CQ155" s="91"/>
      <c r="CR155" s="1018"/>
      <c r="CS155" s="1018"/>
      <c r="CT155" s="821"/>
      <c r="CU155" s="12"/>
      <c r="CV155" s="12"/>
      <c r="CW155" s="12"/>
      <c r="CX155" s="12"/>
      <c r="CY155" s="12"/>
      <c r="CZ155" s="91"/>
      <c r="DA155" s="91"/>
      <c r="DB155" s="91"/>
      <c r="DC155" s="91"/>
      <c r="DD155" s="91"/>
      <c r="DE155" s="91"/>
      <c r="DF155" s="12"/>
      <c r="DG155" s="12"/>
      <c r="DH155" s="12"/>
      <c r="DI155" s="12"/>
      <c r="DJ155" s="12"/>
      <c r="DK155" s="12"/>
      <c r="DL155" s="12"/>
      <c r="DM155" s="12"/>
      <c r="DN155" s="12"/>
    </row>
    <row r="156" spans="1:118">
      <c r="A156" s="91"/>
      <c r="B156" s="89"/>
      <c r="C156" s="1184" t="s">
        <v>604</v>
      </c>
      <c r="D156" s="89"/>
      <c r="E156" s="145"/>
      <c r="F156" s="146"/>
      <c r="G156" s="146"/>
      <c r="H156" s="147"/>
      <c r="I156" s="87"/>
      <c r="J156" s="145"/>
      <c r="K156" s="146"/>
      <c r="L156" s="146"/>
      <c r="M156" s="147"/>
      <c r="N156" s="89"/>
      <c r="O156" s="145"/>
      <c r="P156" s="146"/>
      <c r="Q156" s="146"/>
      <c r="R156" s="147"/>
      <c r="S156" s="89"/>
      <c r="T156" s="1073"/>
      <c r="U156" s="246"/>
      <c r="V156" s="246"/>
      <c r="W156" s="1053"/>
      <c r="X156" s="256"/>
      <c r="Y156" s="1073">
        <f t="shared" ref="Y156:AO156" si="302">+Y395</f>
        <v>819.06</v>
      </c>
      <c r="Z156" s="246">
        <f t="shared" si="302"/>
        <v>578.16</v>
      </c>
      <c r="AA156" s="246">
        <f t="shared" si="302"/>
        <v>994.47899999999993</v>
      </c>
      <c r="AB156" s="1053">
        <f t="shared" si="302"/>
        <v>819.06</v>
      </c>
      <c r="AC156" s="256">
        <f t="shared" si="302"/>
        <v>3210.7589999999996</v>
      </c>
      <c r="AD156" s="1073">
        <f t="shared" si="302"/>
        <v>578.16</v>
      </c>
      <c r="AE156" s="246">
        <f t="shared" si="302"/>
        <v>994.47899999999993</v>
      </c>
      <c r="AF156" s="246">
        <f t="shared" si="302"/>
        <v>994.47899999999993</v>
      </c>
      <c r="AG156" s="1053">
        <f t="shared" si="302"/>
        <v>994.47899999999993</v>
      </c>
      <c r="AH156" s="256">
        <f t="shared" si="302"/>
        <v>3561.5969999999998</v>
      </c>
      <c r="AI156" s="1073">
        <f t="shared" si="302"/>
        <v>578.16</v>
      </c>
      <c r="AJ156" s="246">
        <f t="shared" si="302"/>
        <v>994.47899999999993</v>
      </c>
      <c r="AK156" s="246">
        <f t="shared" si="302"/>
        <v>994.47899999999993</v>
      </c>
      <c r="AL156" s="1053">
        <f t="shared" si="302"/>
        <v>994.47899999999993</v>
      </c>
      <c r="AM156" s="256">
        <f t="shared" si="302"/>
        <v>3561.5969999999998</v>
      </c>
      <c r="AN156" s="1073">
        <f t="shared" si="302"/>
        <v>994.47899999999993</v>
      </c>
      <c r="AO156" s="246">
        <f t="shared" si="302"/>
        <v>994.47899999999993</v>
      </c>
      <c r="AP156" s="246">
        <f t="shared" ref="AP156" si="303">+AP395</f>
        <v>994.47899999999993</v>
      </c>
      <c r="AQ156" s="1053">
        <f t="shared" ref="AQ156:AT156" si="304">+AQ395</f>
        <v>994.47899999999993</v>
      </c>
      <c r="AR156" s="256">
        <f t="shared" si="304"/>
        <v>3977.9159999999997</v>
      </c>
      <c r="AS156" s="1073">
        <f t="shared" si="304"/>
        <v>994.47899999999993</v>
      </c>
      <c r="AT156" s="246">
        <f t="shared" si="304"/>
        <v>994.47899999999993</v>
      </c>
      <c r="AU156" s="246">
        <f t="shared" ref="AU156:AW156" si="305">+AU395</f>
        <v>994.47899999999993</v>
      </c>
      <c r="AV156" s="1053">
        <f t="shared" si="305"/>
        <v>107.748</v>
      </c>
      <c r="AW156" s="256">
        <f t="shared" si="305"/>
        <v>3091.1849999999999</v>
      </c>
      <c r="AX156" s="1073">
        <f t="shared" ref="AX156:BL156" si="306">+AX395</f>
        <v>0</v>
      </c>
      <c r="AY156" s="246">
        <f t="shared" si="306"/>
        <v>107.748</v>
      </c>
      <c r="AZ156" s="246">
        <f t="shared" si="306"/>
        <v>107.748</v>
      </c>
      <c r="BA156" s="1053">
        <f t="shared" si="306"/>
        <v>107.748</v>
      </c>
      <c r="BB156" s="256">
        <f t="shared" si="306"/>
        <v>323.24400000000003</v>
      </c>
      <c r="BC156" s="1073">
        <f t="shared" si="306"/>
        <v>107.748</v>
      </c>
      <c r="BD156" s="246">
        <f t="shared" si="306"/>
        <v>107.748</v>
      </c>
      <c r="BE156" s="246">
        <f t="shared" si="306"/>
        <v>107.748</v>
      </c>
      <c r="BF156" s="1053">
        <f t="shared" si="306"/>
        <v>107.748</v>
      </c>
      <c r="BG156" s="256">
        <f t="shared" si="306"/>
        <v>430.99200000000002</v>
      </c>
      <c r="BH156" s="1073">
        <f t="shared" si="306"/>
        <v>107.748</v>
      </c>
      <c r="BI156" s="246">
        <f t="shared" si="306"/>
        <v>0</v>
      </c>
      <c r="BJ156" s="246">
        <f t="shared" si="306"/>
        <v>107.748</v>
      </c>
      <c r="BK156" s="1053">
        <f t="shared" si="306"/>
        <v>107.748</v>
      </c>
      <c r="BL156" s="256">
        <f t="shared" si="306"/>
        <v>323.24400000000003</v>
      </c>
      <c r="BM156" s="1073">
        <f t="shared" ref="BM156:BQ156" si="307">+BM395</f>
        <v>107.748</v>
      </c>
      <c r="BN156" s="246">
        <f t="shared" si="307"/>
        <v>0</v>
      </c>
      <c r="BO156" s="246">
        <f t="shared" si="307"/>
        <v>0</v>
      </c>
      <c r="BP156" s="1053">
        <f t="shared" si="307"/>
        <v>107.748</v>
      </c>
      <c r="BQ156" s="256">
        <f t="shared" si="307"/>
        <v>215.49600000000001</v>
      </c>
      <c r="BR156" s="87"/>
      <c r="BS156" s="88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91"/>
      <c r="CL156" s="91"/>
      <c r="CM156" s="91"/>
      <c r="CN156" s="91"/>
      <c r="CO156" s="91"/>
      <c r="CP156" s="91"/>
      <c r="CQ156" s="91"/>
      <c r="CR156" s="1018"/>
      <c r="CS156" s="1018"/>
      <c r="CT156" s="821"/>
      <c r="CU156" s="12"/>
      <c r="CV156" s="12"/>
      <c r="CW156" s="12"/>
      <c r="CX156" s="12"/>
      <c r="CY156" s="12"/>
      <c r="CZ156" s="91"/>
      <c r="DA156" s="91"/>
      <c r="DB156" s="91"/>
      <c r="DC156" s="91"/>
      <c r="DD156" s="91"/>
      <c r="DE156" s="91"/>
      <c r="DF156" s="12"/>
      <c r="DG156" s="12"/>
      <c r="DH156" s="12"/>
      <c r="DI156" s="12"/>
      <c r="DJ156" s="12"/>
      <c r="DK156" s="12"/>
      <c r="DL156" s="12"/>
      <c r="DM156" s="12"/>
      <c r="DN156" s="12"/>
    </row>
    <row r="157" spans="1:118">
      <c r="A157" s="91"/>
      <c r="B157" s="88"/>
      <c r="C157" s="1248" t="s">
        <v>215</v>
      </c>
      <c r="D157" s="88"/>
      <c r="E157" s="214"/>
      <c r="F157" s="148"/>
      <c r="G157" s="148"/>
      <c r="H157" s="215"/>
      <c r="I157" s="88"/>
      <c r="J157" s="214"/>
      <c r="K157" s="148"/>
      <c r="L157" s="148"/>
      <c r="M157" s="215"/>
      <c r="N157" s="88"/>
      <c r="O157" s="214"/>
      <c r="P157" s="148"/>
      <c r="Q157" s="148"/>
      <c r="R157" s="215"/>
      <c r="S157" s="88"/>
      <c r="T157" s="240"/>
      <c r="U157" s="241"/>
      <c r="V157" s="241"/>
      <c r="W157" s="1059"/>
      <c r="X157" s="242"/>
      <c r="Y157" s="240">
        <f t="shared" ref="Y157:AO157" si="308">SUM(Y152:Y156)</f>
        <v>21953.348400000003</v>
      </c>
      <c r="Z157" s="241">
        <f t="shared" si="308"/>
        <v>18969.473399999999</v>
      </c>
      <c r="AA157" s="241">
        <f t="shared" si="308"/>
        <v>20086.811399999999</v>
      </c>
      <c r="AB157" s="1059">
        <f t="shared" si="308"/>
        <v>17137.538400000001</v>
      </c>
      <c r="AC157" s="242">
        <f t="shared" si="308"/>
        <v>78147.171600000001</v>
      </c>
      <c r="AD157" s="240">
        <f t="shared" si="308"/>
        <v>18412.906799999997</v>
      </c>
      <c r="AE157" s="241">
        <f t="shared" si="308"/>
        <v>19477.3344</v>
      </c>
      <c r="AF157" s="241">
        <f t="shared" si="308"/>
        <v>19906.738649999999</v>
      </c>
      <c r="AG157" s="1059">
        <f t="shared" si="308"/>
        <v>19321.187399999999</v>
      </c>
      <c r="AH157" s="242">
        <f t="shared" si="308"/>
        <v>77118.167249999984</v>
      </c>
      <c r="AI157" s="240">
        <f t="shared" si="308"/>
        <v>18550.263599999998</v>
      </c>
      <c r="AJ157" s="241">
        <f t="shared" si="308"/>
        <v>19122.729599999999</v>
      </c>
      <c r="AK157" s="241">
        <f t="shared" si="308"/>
        <v>19552.133849999998</v>
      </c>
      <c r="AL157" s="1059">
        <f t="shared" si="308"/>
        <v>18966.582599999998</v>
      </c>
      <c r="AM157" s="242">
        <f t="shared" si="308"/>
        <v>76191.70964999999</v>
      </c>
      <c r="AN157" s="240">
        <f t="shared" si="308"/>
        <v>16137.365400000001</v>
      </c>
      <c r="AO157" s="241">
        <f t="shared" si="308"/>
        <v>15323.1234</v>
      </c>
      <c r="AP157" s="241">
        <f t="shared" ref="AP157" si="309">SUM(AP152:AP156)</f>
        <v>19906.738649999999</v>
      </c>
      <c r="AQ157" s="1059">
        <f t="shared" ref="AQ157:AT157" si="310">SUM(AQ152:AQ156)</f>
        <v>19321.187399999999</v>
      </c>
      <c r="AR157" s="242">
        <f t="shared" si="310"/>
        <v>70688.414850000001</v>
      </c>
      <c r="AS157" s="240">
        <f t="shared" si="310"/>
        <v>15166.976400000001</v>
      </c>
      <c r="AT157" s="241">
        <f t="shared" si="310"/>
        <v>15323.1234</v>
      </c>
      <c r="AU157" s="241">
        <f t="shared" ref="AU157:AW157" si="311">SUM(AU152:AU156)</f>
        <v>15752.52765</v>
      </c>
      <c r="AV157" s="1059">
        <f t="shared" si="311"/>
        <v>14124.098400000001</v>
      </c>
      <c r="AW157" s="242">
        <f t="shared" si="311"/>
        <v>60366.725850000003</v>
      </c>
      <c r="AX157" s="240">
        <f t="shared" ref="AX157:BL157" si="312">SUM(AX152:AX156)</f>
        <v>17550.002999999997</v>
      </c>
      <c r="AY157" s="241">
        <f t="shared" si="312"/>
        <v>16687.361999999997</v>
      </c>
      <c r="AZ157" s="241">
        <f t="shared" si="312"/>
        <v>16687.361999999997</v>
      </c>
      <c r="BA157" s="1059">
        <f t="shared" si="312"/>
        <v>17657.750999999997</v>
      </c>
      <c r="BB157" s="242">
        <f t="shared" si="312"/>
        <v>68582.478000000003</v>
      </c>
      <c r="BC157" s="240">
        <f t="shared" si="312"/>
        <v>16285.4094</v>
      </c>
      <c r="BD157" s="241">
        <f t="shared" si="312"/>
        <v>12985.298400000001</v>
      </c>
      <c r="BE157" s="241">
        <f t="shared" si="312"/>
        <v>12985.298400000001</v>
      </c>
      <c r="BF157" s="1059">
        <f t="shared" si="312"/>
        <v>16285.4094</v>
      </c>
      <c r="BG157" s="242">
        <f t="shared" si="312"/>
        <v>58541.4156</v>
      </c>
      <c r="BH157" s="240">
        <f t="shared" si="312"/>
        <v>16285.4094</v>
      </c>
      <c r="BI157" s="241">
        <f t="shared" si="312"/>
        <v>12877.550400000002</v>
      </c>
      <c r="BJ157" s="241">
        <f t="shared" si="312"/>
        <v>12985.298400000001</v>
      </c>
      <c r="BK157" s="1059">
        <f t="shared" si="312"/>
        <v>16285.4094</v>
      </c>
      <c r="BL157" s="242">
        <f t="shared" si="312"/>
        <v>58433.667600000001</v>
      </c>
      <c r="BM157" s="240">
        <f t="shared" ref="BM157:BQ157" si="313">SUM(BM152:BM156)</f>
        <v>13101.587400000002</v>
      </c>
      <c r="BN157" s="241">
        <f t="shared" si="313"/>
        <v>12877.550400000002</v>
      </c>
      <c r="BO157" s="241">
        <f t="shared" si="313"/>
        <v>12722.498400000002</v>
      </c>
      <c r="BP157" s="1059">
        <f t="shared" si="313"/>
        <v>12985.298400000001</v>
      </c>
      <c r="BQ157" s="242">
        <f t="shared" si="313"/>
        <v>51686.934600000001</v>
      </c>
      <c r="BR157" s="87"/>
      <c r="BS157" s="88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91"/>
      <c r="CL157" s="91"/>
      <c r="CM157" s="91"/>
      <c r="CN157" s="91"/>
      <c r="CO157" s="91"/>
      <c r="CP157" s="91"/>
      <c r="CQ157" s="91"/>
      <c r="CR157" s="1018"/>
      <c r="CS157" s="1018"/>
      <c r="CT157" s="821"/>
      <c r="CU157" s="12"/>
      <c r="CV157" s="12"/>
      <c r="CW157" s="12"/>
      <c r="CX157" s="12"/>
      <c r="CY157" s="12"/>
      <c r="CZ157" s="91"/>
      <c r="DA157" s="91"/>
      <c r="DB157" s="91"/>
      <c r="DC157" s="91"/>
      <c r="DD157" s="91"/>
      <c r="DE157" s="91"/>
      <c r="DF157" s="12"/>
      <c r="DG157" s="12"/>
      <c r="DH157" s="12"/>
      <c r="DI157" s="12"/>
      <c r="DJ157" s="12"/>
      <c r="DK157" s="12"/>
      <c r="DL157" s="12"/>
      <c r="DM157" s="12"/>
      <c r="DN157" s="12"/>
    </row>
    <row r="158" spans="1:118">
      <c r="A158" s="91"/>
      <c r="B158" s="89"/>
      <c r="C158" s="1249"/>
      <c r="D158" s="89"/>
      <c r="E158" s="145"/>
      <c r="F158" s="146"/>
      <c r="G158" s="146"/>
      <c r="H158" s="147"/>
      <c r="I158" s="87"/>
      <c r="J158" s="145"/>
      <c r="K158" s="146"/>
      <c r="L158" s="146"/>
      <c r="M158" s="147"/>
      <c r="N158" s="89"/>
      <c r="O158" s="145"/>
      <c r="P158" s="146"/>
      <c r="Q158" s="146"/>
      <c r="R158" s="147"/>
      <c r="S158" s="89"/>
      <c r="T158" s="316"/>
      <c r="U158" s="1074"/>
      <c r="V158" s="1074"/>
      <c r="W158" s="1075"/>
      <c r="X158" s="258"/>
      <c r="Y158" s="316"/>
      <c r="Z158" s="1074"/>
      <c r="AA158" s="1074"/>
      <c r="AB158" s="1075"/>
      <c r="AC158" s="258"/>
      <c r="AD158" s="316"/>
      <c r="AE158" s="1074"/>
      <c r="AF158" s="1074"/>
      <c r="AG158" s="1075"/>
      <c r="AH158" s="258"/>
      <c r="AI158" s="316"/>
      <c r="AJ158" s="1074"/>
      <c r="AK158" s="1074"/>
      <c r="AL158" s="1075"/>
      <c r="AM158" s="258"/>
      <c r="AN158" s="316"/>
      <c r="AO158" s="1074"/>
      <c r="AP158" s="1074"/>
      <c r="AQ158" s="1075"/>
      <c r="AR158" s="258"/>
      <c r="AS158" s="316"/>
      <c r="AT158" s="1074"/>
      <c r="AU158" s="1074"/>
      <c r="AV158" s="1075"/>
      <c r="AW158" s="258"/>
      <c r="AX158" s="316"/>
      <c r="AY158" s="1074"/>
      <c r="AZ158" s="1074"/>
      <c r="BA158" s="1075"/>
      <c r="BB158" s="258"/>
      <c r="BC158" s="316"/>
      <c r="BD158" s="1074"/>
      <c r="BE158" s="1074"/>
      <c r="BF158" s="1075"/>
      <c r="BG158" s="258"/>
      <c r="BH158" s="316"/>
      <c r="BI158" s="1074"/>
      <c r="BJ158" s="1074"/>
      <c r="BK158" s="1075"/>
      <c r="BL158" s="258"/>
      <c r="BM158" s="316"/>
      <c r="BN158" s="1074"/>
      <c r="BO158" s="1074"/>
      <c r="BP158" s="1075"/>
      <c r="BQ158" s="258"/>
      <c r="BR158" s="87"/>
      <c r="BS158" s="87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91"/>
      <c r="CL158" s="91"/>
      <c r="CM158" s="91"/>
      <c r="CN158" s="91"/>
      <c r="CO158" s="91"/>
      <c r="CP158" s="91"/>
      <c r="CQ158" s="91"/>
      <c r="CR158" s="1018"/>
      <c r="CS158" s="1018"/>
      <c r="CT158" s="821"/>
      <c r="CU158" s="12"/>
      <c r="CV158" s="12"/>
      <c r="CW158" s="12"/>
      <c r="CX158" s="12"/>
      <c r="CY158" s="12"/>
      <c r="CZ158" s="91"/>
      <c r="DA158" s="91"/>
      <c r="DB158" s="91"/>
      <c r="DC158" s="91"/>
      <c r="DD158" s="91"/>
      <c r="DE158" s="91"/>
      <c r="DF158" s="12"/>
      <c r="DG158" s="12"/>
      <c r="DH158" s="12"/>
      <c r="DI158" s="12"/>
      <c r="DJ158" s="12"/>
      <c r="DK158" s="12"/>
      <c r="DL158" s="12"/>
      <c r="DM158" s="12"/>
      <c r="DN158" s="12"/>
    </row>
    <row r="159" spans="1:118">
      <c r="A159" s="91"/>
      <c r="B159" s="89"/>
      <c r="C159" s="1249" t="s">
        <v>605</v>
      </c>
      <c r="D159" s="89"/>
      <c r="E159" s="145"/>
      <c r="F159" s="146"/>
      <c r="G159" s="146"/>
      <c r="H159" s="147"/>
      <c r="I159" s="87"/>
      <c r="J159" s="145"/>
      <c r="K159" s="146"/>
      <c r="L159" s="146"/>
      <c r="M159" s="147"/>
      <c r="N159" s="89"/>
      <c r="O159" s="145"/>
      <c r="P159" s="146"/>
      <c r="Q159" s="146"/>
      <c r="R159" s="147"/>
      <c r="S159" s="89"/>
      <c r="T159" s="145"/>
      <c r="U159" s="146"/>
      <c r="V159" s="146"/>
      <c r="W159" s="147"/>
      <c r="X159" s="89"/>
      <c r="Y159" s="145"/>
      <c r="Z159" s="146"/>
      <c r="AA159" s="146"/>
      <c r="AB159" s="147"/>
      <c r="AC159" s="258"/>
      <c r="AD159" s="145"/>
      <c r="AE159" s="146"/>
      <c r="AF159" s="146"/>
      <c r="AG159" s="147"/>
      <c r="AH159" s="89"/>
      <c r="AI159" s="145"/>
      <c r="AJ159" s="146"/>
      <c r="AK159" s="146"/>
      <c r="AL159" s="147"/>
      <c r="AM159" s="89"/>
      <c r="AN159" s="145"/>
      <c r="AO159" s="146"/>
      <c r="AP159" s="146"/>
      <c r="AQ159" s="147"/>
      <c r="AR159" s="96"/>
      <c r="AS159" s="145"/>
      <c r="AT159" s="146"/>
      <c r="AU159" s="146"/>
      <c r="AV159" s="147"/>
      <c r="AW159" s="96"/>
      <c r="AX159" s="145"/>
      <c r="AY159" s="146"/>
      <c r="AZ159" s="146"/>
      <c r="BA159" s="147"/>
      <c r="BB159" s="96"/>
      <c r="BC159" s="145"/>
      <c r="BD159" s="146"/>
      <c r="BE159" s="146"/>
      <c r="BF159" s="147"/>
      <c r="BG159" s="96"/>
      <c r="BH159" s="145"/>
      <c r="BI159" s="146"/>
      <c r="BJ159" s="146"/>
      <c r="BK159" s="147"/>
      <c r="BL159" s="96"/>
      <c r="BM159" s="145"/>
      <c r="BN159" s="146"/>
      <c r="BO159" s="146"/>
      <c r="BP159" s="147"/>
      <c r="BQ159" s="96"/>
      <c r="BR159" s="87"/>
      <c r="BS159" s="87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91"/>
      <c r="CL159" s="91"/>
      <c r="CM159" s="91"/>
      <c r="CN159" s="91"/>
      <c r="CO159" s="91"/>
      <c r="CP159" s="91"/>
      <c r="CQ159" s="91"/>
      <c r="CR159" s="1018"/>
      <c r="CS159" s="1018"/>
      <c r="CT159" s="821"/>
      <c r="CU159" s="12"/>
      <c r="CV159" s="12"/>
      <c r="CW159" s="12"/>
      <c r="CX159" s="12"/>
      <c r="CY159" s="12"/>
      <c r="CZ159" s="91"/>
      <c r="DA159" s="91"/>
      <c r="DB159" s="91"/>
      <c r="DC159" s="91"/>
      <c r="DD159" s="91"/>
      <c r="DE159" s="91"/>
      <c r="DF159" s="12"/>
      <c r="DG159" s="12"/>
      <c r="DH159" s="12"/>
      <c r="DI159" s="12"/>
      <c r="DJ159" s="12"/>
      <c r="DK159" s="12"/>
      <c r="DL159" s="12"/>
      <c r="DM159" s="12"/>
      <c r="DN159" s="12"/>
    </row>
    <row r="160" spans="1:118">
      <c r="A160" s="91"/>
      <c r="B160" s="89"/>
      <c r="C160" s="1184" t="s">
        <v>686</v>
      </c>
      <c r="D160" s="89"/>
      <c r="E160" s="145"/>
      <c r="F160" s="146"/>
      <c r="G160" s="146"/>
      <c r="H160" s="147"/>
      <c r="I160" s="87"/>
      <c r="J160" s="145"/>
      <c r="K160" s="146"/>
      <c r="L160" s="146"/>
      <c r="M160" s="147"/>
      <c r="N160" s="89"/>
      <c r="O160" s="145"/>
      <c r="P160" s="146"/>
      <c r="Q160" s="146"/>
      <c r="R160" s="147"/>
      <c r="S160" s="89"/>
      <c r="T160" s="1073"/>
      <c r="U160" s="246"/>
      <c r="V160" s="246"/>
      <c r="W160" s="1053"/>
      <c r="X160" s="258"/>
      <c r="Y160" s="1073">
        <f t="shared" ref="Y160:AO160" si="314">+Y264</f>
        <v>4048</v>
      </c>
      <c r="Z160" s="246">
        <f t="shared" si="314"/>
        <v>4048</v>
      </c>
      <c r="AA160" s="246">
        <f t="shared" si="314"/>
        <v>4048</v>
      </c>
      <c r="AB160" s="1053">
        <f t="shared" si="314"/>
        <v>4048</v>
      </c>
      <c r="AC160" s="258">
        <f t="shared" si="314"/>
        <v>4048</v>
      </c>
      <c r="AD160" s="1073">
        <f t="shared" si="314"/>
        <v>4048</v>
      </c>
      <c r="AE160" s="246">
        <f t="shared" si="314"/>
        <v>4048</v>
      </c>
      <c r="AF160" s="246">
        <f t="shared" si="314"/>
        <v>4048</v>
      </c>
      <c r="AG160" s="1053">
        <f t="shared" si="314"/>
        <v>4048</v>
      </c>
      <c r="AH160" s="258">
        <f t="shared" si="314"/>
        <v>4048</v>
      </c>
      <c r="AI160" s="1073">
        <f t="shared" si="314"/>
        <v>4048</v>
      </c>
      <c r="AJ160" s="246">
        <f t="shared" si="314"/>
        <v>4048</v>
      </c>
      <c r="AK160" s="246">
        <f t="shared" si="314"/>
        <v>4048</v>
      </c>
      <c r="AL160" s="1053">
        <f t="shared" si="314"/>
        <v>4048</v>
      </c>
      <c r="AM160" s="258">
        <f t="shared" si="314"/>
        <v>4048</v>
      </c>
      <c r="AN160" s="1073">
        <f t="shared" si="314"/>
        <v>4048</v>
      </c>
      <c r="AO160" s="246">
        <f t="shared" si="314"/>
        <v>4048</v>
      </c>
      <c r="AP160" s="246">
        <f t="shared" ref="AP160" si="315">+AP264</f>
        <v>4048</v>
      </c>
      <c r="AQ160" s="1053">
        <f t="shared" ref="AQ160:AT160" si="316">+AQ264</f>
        <v>4048</v>
      </c>
      <c r="AR160" s="258">
        <f t="shared" si="316"/>
        <v>4048</v>
      </c>
      <c r="AS160" s="1073">
        <f t="shared" si="316"/>
        <v>4048</v>
      </c>
      <c r="AT160" s="246">
        <f t="shared" si="316"/>
        <v>4048</v>
      </c>
      <c r="AU160" s="246">
        <f t="shared" ref="AU160:AW160" si="317">+AU264</f>
        <v>4048</v>
      </c>
      <c r="AV160" s="1053">
        <f t="shared" si="317"/>
        <v>4048</v>
      </c>
      <c r="AW160" s="258">
        <f t="shared" si="317"/>
        <v>4048</v>
      </c>
      <c r="AX160" s="1073">
        <f t="shared" ref="AX160:BL160" si="318">+AX264</f>
        <v>4048</v>
      </c>
      <c r="AY160" s="246">
        <f t="shared" si="318"/>
        <v>4048</v>
      </c>
      <c r="AZ160" s="246">
        <f t="shared" si="318"/>
        <v>4048</v>
      </c>
      <c r="BA160" s="1053">
        <f t="shared" si="318"/>
        <v>4048</v>
      </c>
      <c r="BB160" s="258">
        <f t="shared" si="318"/>
        <v>4048</v>
      </c>
      <c r="BC160" s="1073">
        <f t="shared" si="318"/>
        <v>4048</v>
      </c>
      <c r="BD160" s="246">
        <f t="shared" si="318"/>
        <v>4048</v>
      </c>
      <c r="BE160" s="246">
        <f t="shared" si="318"/>
        <v>4048</v>
      </c>
      <c r="BF160" s="1053">
        <f t="shared" si="318"/>
        <v>4048</v>
      </c>
      <c r="BG160" s="258">
        <f t="shared" si="318"/>
        <v>4048</v>
      </c>
      <c r="BH160" s="1073">
        <f t="shared" si="318"/>
        <v>4048</v>
      </c>
      <c r="BI160" s="246">
        <f t="shared" si="318"/>
        <v>4048</v>
      </c>
      <c r="BJ160" s="246">
        <f t="shared" si="318"/>
        <v>4048</v>
      </c>
      <c r="BK160" s="1053">
        <f t="shared" si="318"/>
        <v>4048</v>
      </c>
      <c r="BL160" s="258">
        <f t="shared" si="318"/>
        <v>4048</v>
      </c>
      <c r="BM160" s="1073">
        <f t="shared" ref="BM160:BQ160" si="319">+BM264</f>
        <v>4048</v>
      </c>
      <c r="BN160" s="246">
        <f t="shared" si="319"/>
        <v>4048</v>
      </c>
      <c r="BO160" s="246">
        <f t="shared" si="319"/>
        <v>4048</v>
      </c>
      <c r="BP160" s="1053">
        <f t="shared" si="319"/>
        <v>4048</v>
      </c>
      <c r="BQ160" s="258">
        <f t="shared" si="319"/>
        <v>4048</v>
      </c>
      <c r="BR160" s="87"/>
      <c r="BS160" s="87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91"/>
      <c r="CL160" s="91"/>
      <c r="CM160" s="91"/>
      <c r="CN160" s="91"/>
      <c r="CO160" s="91"/>
      <c r="CP160" s="91"/>
      <c r="CQ160" s="91"/>
      <c r="CR160" s="1018"/>
      <c r="CS160" s="1018"/>
      <c r="CT160" s="821"/>
      <c r="CU160" s="12"/>
      <c r="CV160" s="12"/>
      <c r="CW160" s="12"/>
      <c r="CX160" s="12"/>
      <c r="CY160" s="12"/>
      <c r="CZ160" s="91"/>
      <c r="DA160" s="91"/>
      <c r="DB160" s="91"/>
      <c r="DC160" s="91"/>
      <c r="DD160" s="91"/>
      <c r="DE160" s="91"/>
      <c r="DF160" s="12"/>
      <c r="DG160" s="12"/>
      <c r="DH160" s="12"/>
      <c r="DI160" s="12"/>
      <c r="DJ160" s="12"/>
      <c r="DK160" s="12"/>
      <c r="DL160" s="12"/>
      <c r="DM160" s="12"/>
      <c r="DN160" s="12"/>
    </row>
    <row r="161" spans="1:118">
      <c r="A161" s="91"/>
      <c r="B161" s="89"/>
      <c r="C161" s="1184" t="s">
        <v>689</v>
      </c>
      <c r="D161" s="89"/>
      <c r="E161" s="145"/>
      <c r="F161" s="146"/>
      <c r="G161" s="146"/>
      <c r="H161" s="147"/>
      <c r="I161" s="87"/>
      <c r="J161" s="145"/>
      <c r="K161" s="146"/>
      <c r="L161" s="146"/>
      <c r="M161" s="147"/>
      <c r="N161" s="89"/>
      <c r="O161" s="145"/>
      <c r="P161" s="146"/>
      <c r="Q161" s="146"/>
      <c r="R161" s="147"/>
      <c r="S161" s="89"/>
      <c r="T161" s="1073"/>
      <c r="U161" s="246"/>
      <c r="V161" s="246"/>
      <c r="W161" s="1053"/>
      <c r="X161" s="258"/>
      <c r="Y161" s="1073">
        <f t="shared" ref="Y161:AO161" si="320">+Y302</f>
        <v>10682</v>
      </c>
      <c r="Z161" s="246">
        <f t="shared" si="320"/>
        <v>10682</v>
      </c>
      <c r="AA161" s="246">
        <f t="shared" si="320"/>
        <v>10682</v>
      </c>
      <c r="AB161" s="1053">
        <f t="shared" si="320"/>
        <v>7208</v>
      </c>
      <c r="AC161" s="258">
        <f t="shared" si="320"/>
        <v>7208</v>
      </c>
      <c r="AD161" s="1073">
        <f t="shared" si="320"/>
        <v>6323</v>
      </c>
      <c r="AE161" s="246">
        <f t="shared" si="320"/>
        <v>6323</v>
      </c>
      <c r="AF161" s="246">
        <f t="shared" si="320"/>
        <v>6323</v>
      </c>
      <c r="AG161" s="1053">
        <f t="shared" si="320"/>
        <v>6323</v>
      </c>
      <c r="AH161" s="258">
        <f t="shared" si="320"/>
        <v>6323</v>
      </c>
      <c r="AI161" s="1073">
        <f t="shared" si="320"/>
        <v>6323</v>
      </c>
      <c r="AJ161" s="246">
        <f t="shared" si="320"/>
        <v>6323</v>
      </c>
      <c r="AK161" s="246">
        <f t="shared" si="320"/>
        <v>6323</v>
      </c>
      <c r="AL161" s="1053">
        <f t="shared" si="320"/>
        <v>6323</v>
      </c>
      <c r="AM161" s="258">
        <f t="shared" si="320"/>
        <v>6323</v>
      </c>
      <c r="AN161" s="1073">
        <f t="shared" si="320"/>
        <v>6323</v>
      </c>
      <c r="AO161" s="246">
        <f t="shared" si="320"/>
        <v>6323</v>
      </c>
      <c r="AP161" s="246">
        <f t="shared" ref="AP161" si="321">+AP302</f>
        <v>6323</v>
      </c>
      <c r="AQ161" s="1053">
        <f t="shared" ref="AQ161:AT161" si="322">+AQ302</f>
        <v>6323</v>
      </c>
      <c r="AR161" s="258">
        <f t="shared" si="322"/>
        <v>6323</v>
      </c>
      <c r="AS161" s="1073">
        <f t="shared" si="322"/>
        <v>6323</v>
      </c>
      <c r="AT161" s="246">
        <f t="shared" si="322"/>
        <v>6323</v>
      </c>
      <c r="AU161" s="246">
        <f t="shared" ref="AU161:AW161" si="323">+AU302</f>
        <v>6323</v>
      </c>
      <c r="AV161" s="1053">
        <f t="shared" si="323"/>
        <v>6323</v>
      </c>
      <c r="AW161" s="258">
        <f t="shared" si="323"/>
        <v>6323</v>
      </c>
      <c r="AX161" s="1073">
        <f t="shared" ref="AX161:BL161" si="324">+AX302</f>
        <v>6323</v>
      </c>
      <c r="AY161" s="246">
        <f t="shared" si="324"/>
        <v>6323</v>
      </c>
      <c r="AZ161" s="246">
        <f t="shared" si="324"/>
        <v>6323</v>
      </c>
      <c r="BA161" s="1053">
        <f t="shared" si="324"/>
        <v>6323</v>
      </c>
      <c r="BB161" s="258">
        <f t="shared" si="324"/>
        <v>5023</v>
      </c>
      <c r="BC161" s="1073">
        <f t="shared" si="324"/>
        <v>5023</v>
      </c>
      <c r="BD161" s="246">
        <f t="shared" si="324"/>
        <v>5023</v>
      </c>
      <c r="BE161" s="246">
        <f t="shared" si="324"/>
        <v>5023</v>
      </c>
      <c r="BF161" s="1053">
        <f t="shared" si="324"/>
        <v>5023</v>
      </c>
      <c r="BG161" s="258">
        <f t="shared" si="324"/>
        <v>5023</v>
      </c>
      <c r="BH161" s="1073">
        <f t="shared" si="324"/>
        <v>5023</v>
      </c>
      <c r="BI161" s="246">
        <f t="shared" si="324"/>
        <v>5023</v>
      </c>
      <c r="BJ161" s="246">
        <f t="shared" si="324"/>
        <v>5023</v>
      </c>
      <c r="BK161" s="1053">
        <f t="shared" si="324"/>
        <v>5023</v>
      </c>
      <c r="BL161" s="258">
        <f t="shared" si="324"/>
        <v>5023</v>
      </c>
      <c r="BM161" s="1073">
        <f t="shared" ref="BM161:BQ161" si="325">+BM302</f>
        <v>5023</v>
      </c>
      <c r="BN161" s="246">
        <f t="shared" si="325"/>
        <v>5023</v>
      </c>
      <c r="BO161" s="246">
        <f t="shared" si="325"/>
        <v>5023</v>
      </c>
      <c r="BP161" s="1053">
        <f t="shared" si="325"/>
        <v>5023</v>
      </c>
      <c r="BQ161" s="258">
        <f t="shared" si="325"/>
        <v>5023</v>
      </c>
      <c r="BR161" s="87"/>
      <c r="BS161" s="87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91"/>
      <c r="CL161" s="91"/>
      <c r="CM161" s="91"/>
      <c r="CN161" s="91"/>
      <c r="CO161" s="91"/>
      <c r="CP161" s="91"/>
      <c r="CQ161" s="91"/>
      <c r="CR161" s="1018"/>
      <c r="CS161" s="1018"/>
      <c r="CT161" s="821"/>
      <c r="CU161" s="12"/>
      <c r="CV161" s="12"/>
      <c r="CW161" s="12"/>
      <c r="CX161" s="12"/>
      <c r="CY161" s="12"/>
      <c r="CZ161" s="91"/>
      <c r="DA161" s="91"/>
      <c r="DB161" s="91"/>
      <c r="DC161" s="91"/>
      <c r="DD161" s="91"/>
      <c r="DE161" s="91"/>
      <c r="DF161" s="12"/>
      <c r="DG161" s="12"/>
      <c r="DH161" s="12"/>
      <c r="DI161" s="12"/>
      <c r="DJ161" s="12"/>
      <c r="DK161" s="12"/>
      <c r="DL161" s="12"/>
      <c r="DM161" s="12"/>
      <c r="DN161" s="12"/>
    </row>
    <row r="162" spans="1:118">
      <c r="A162" s="91"/>
      <c r="B162" s="89"/>
      <c r="C162" s="1184" t="s">
        <v>453</v>
      </c>
      <c r="D162" s="89"/>
      <c r="E162" s="145"/>
      <c r="F162" s="146"/>
      <c r="G162" s="146"/>
      <c r="H162" s="147"/>
      <c r="I162" s="87"/>
      <c r="J162" s="145"/>
      <c r="K162" s="146"/>
      <c r="L162" s="146"/>
      <c r="M162" s="147"/>
      <c r="N162" s="89"/>
      <c r="O162" s="145"/>
      <c r="P162" s="146"/>
      <c r="Q162" s="146"/>
      <c r="R162" s="147"/>
      <c r="S162" s="89"/>
      <c r="T162" s="1073"/>
      <c r="U162" s="77"/>
      <c r="V162" s="77"/>
      <c r="W162" s="102"/>
      <c r="X162" s="258"/>
      <c r="Y162" s="1073">
        <f t="shared" ref="Y162:AO162" si="326">+Y356</f>
        <v>1235</v>
      </c>
      <c r="Z162" s="77">
        <f t="shared" si="326"/>
        <v>1235</v>
      </c>
      <c r="AA162" s="77">
        <f t="shared" si="326"/>
        <v>1235</v>
      </c>
      <c r="AB162" s="102">
        <f t="shared" si="326"/>
        <v>1235</v>
      </c>
      <c r="AC162" s="258">
        <f t="shared" si="326"/>
        <v>1235</v>
      </c>
      <c r="AD162" s="1073">
        <f t="shared" si="326"/>
        <v>713</v>
      </c>
      <c r="AE162" s="77">
        <f t="shared" si="326"/>
        <v>713</v>
      </c>
      <c r="AF162" s="77">
        <f t="shared" si="326"/>
        <v>713</v>
      </c>
      <c r="AG162" s="102">
        <f t="shared" si="326"/>
        <v>713</v>
      </c>
      <c r="AH162" s="258">
        <f t="shared" si="326"/>
        <v>713</v>
      </c>
      <c r="AI162" s="1073">
        <f t="shared" si="326"/>
        <v>713</v>
      </c>
      <c r="AJ162" s="77">
        <f t="shared" si="326"/>
        <v>713</v>
      </c>
      <c r="AK162" s="77">
        <f t="shared" si="326"/>
        <v>713</v>
      </c>
      <c r="AL162" s="102">
        <f t="shared" si="326"/>
        <v>713</v>
      </c>
      <c r="AM162" s="258">
        <f t="shared" si="326"/>
        <v>713</v>
      </c>
      <c r="AN162" s="1073">
        <f t="shared" si="326"/>
        <v>713</v>
      </c>
      <c r="AO162" s="77">
        <f t="shared" si="326"/>
        <v>713</v>
      </c>
      <c r="AP162" s="77">
        <f t="shared" ref="AP162" si="327">+AP356</f>
        <v>713</v>
      </c>
      <c r="AQ162" s="102">
        <f t="shared" ref="AQ162:AT162" si="328">+AQ356</f>
        <v>713</v>
      </c>
      <c r="AR162" s="258">
        <f t="shared" si="328"/>
        <v>713</v>
      </c>
      <c r="AS162" s="1073">
        <f t="shared" si="328"/>
        <v>713</v>
      </c>
      <c r="AT162" s="77">
        <f t="shared" si="328"/>
        <v>713</v>
      </c>
      <c r="AU162" s="77">
        <f t="shared" ref="AU162:AW162" si="329">+AU356</f>
        <v>713</v>
      </c>
      <c r="AV162" s="102">
        <f t="shared" si="329"/>
        <v>0</v>
      </c>
      <c r="AW162" s="258">
        <f t="shared" si="329"/>
        <v>0</v>
      </c>
      <c r="AX162" s="1073">
        <f t="shared" ref="AX162:BL162" si="330">+AX356</f>
        <v>0</v>
      </c>
      <c r="AY162" s="77">
        <f t="shared" si="330"/>
        <v>0</v>
      </c>
      <c r="AZ162" s="77">
        <f t="shared" si="330"/>
        <v>0</v>
      </c>
      <c r="BA162" s="102">
        <f t="shared" si="330"/>
        <v>0</v>
      </c>
      <c r="BB162" s="258">
        <f t="shared" si="330"/>
        <v>0</v>
      </c>
      <c r="BC162" s="1073">
        <f t="shared" si="330"/>
        <v>0</v>
      </c>
      <c r="BD162" s="77">
        <f t="shared" si="330"/>
        <v>0</v>
      </c>
      <c r="BE162" s="77">
        <f t="shared" si="330"/>
        <v>0</v>
      </c>
      <c r="BF162" s="102">
        <f t="shared" si="330"/>
        <v>0</v>
      </c>
      <c r="BG162" s="258">
        <f t="shared" si="330"/>
        <v>0</v>
      </c>
      <c r="BH162" s="1073">
        <f t="shared" si="330"/>
        <v>0</v>
      </c>
      <c r="BI162" s="77">
        <f t="shared" si="330"/>
        <v>0</v>
      </c>
      <c r="BJ162" s="77">
        <f t="shared" si="330"/>
        <v>0</v>
      </c>
      <c r="BK162" s="102">
        <f t="shared" si="330"/>
        <v>0</v>
      </c>
      <c r="BL162" s="258">
        <f t="shared" si="330"/>
        <v>0</v>
      </c>
      <c r="BM162" s="1073">
        <f t="shared" ref="BM162:BQ162" si="331">+BM356</f>
        <v>0</v>
      </c>
      <c r="BN162" s="77">
        <f t="shared" si="331"/>
        <v>0</v>
      </c>
      <c r="BO162" s="77">
        <f t="shared" si="331"/>
        <v>0</v>
      </c>
      <c r="BP162" s="102">
        <f t="shared" si="331"/>
        <v>0</v>
      </c>
      <c r="BQ162" s="258">
        <f t="shared" si="331"/>
        <v>0</v>
      </c>
      <c r="BR162" s="87"/>
      <c r="BS162" s="87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91"/>
      <c r="CL162" s="91"/>
      <c r="CM162" s="91"/>
      <c r="CN162" s="91"/>
      <c r="CO162" s="91"/>
      <c r="CP162" s="91"/>
      <c r="CQ162" s="91"/>
      <c r="CR162" s="1018"/>
      <c r="CS162" s="1018"/>
      <c r="CT162" s="821"/>
      <c r="CU162" s="12"/>
      <c r="CV162" s="12"/>
      <c r="CW162" s="12"/>
      <c r="CX162" s="12"/>
      <c r="CY162" s="12"/>
      <c r="CZ162" s="91"/>
      <c r="DA162" s="91"/>
      <c r="DB162" s="91"/>
      <c r="DC162" s="91"/>
      <c r="DD162" s="91"/>
      <c r="DE162" s="91"/>
      <c r="DF162" s="12"/>
      <c r="DG162" s="12"/>
      <c r="DH162" s="12"/>
      <c r="DI162" s="12"/>
      <c r="DJ162" s="12"/>
      <c r="DK162" s="12"/>
      <c r="DL162" s="12"/>
      <c r="DM162" s="12"/>
      <c r="DN162" s="12"/>
    </row>
    <row r="163" spans="1:118">
      <c r="A163" s="91"/>
      <c r="B163" s="89"/>
      <c r="C163" s="1184" t="s">
        <v>460</v>
      </c>
      <c r="D163" s="89"/>
      <c r="E163" s="145"/>
      <c r="F163" s="146"/>
      <c r="G163" s="146"/>
      <c r="H163" s="147"/>
      <c r="I163" s="87"/>
      <c r="J163" s="145"/>
      <c r="K163" s="146"/>
      <c r="L163" s="146"/>
      <c r="M163" s="147"/>
      <c r="N163" s="89"/>
      <c r="O163" s="145"/>
      <c r="P163" s="146"/>
      <c r="Q163" s="146"/>
      <c r="R163" s="147"/>
      <c r="S163" s="89"/>
      <c r="T163" s="1073"/>
      <c r="U163" s="77"/>
      <c r="V163" s="77"/>
      <c r="W163" s="102"/>
      <c r="X163" s="258"/>
      <c r="Y163" s="1073">
        <f>Y452</f>
        <v>496</v>
      </c>
      <c r="Z163" s="77">
        <f t="shared" ref="Z163:AT163" si="332">Z452</f>
        <v>496</v>
      </c>
      <c r="AA163" s="77">
        <f t="shared" si="332"/>
        <v>496</v>
      </c>
      <c r="AB163" s="102">
        <f t="shared" si="332"/>
        <v>496</v>
      </c>
      <c r="AC163" s="258">
        <f t="shared" si="332"/>
        <v>496</v>
      </c>
      <c r="AD163" s="1073">
        <f t="shared" si="332"/>
        <v>496</v>
      </c>
      <c r="AE163" s="77">
        <f t="shared" si="332"/>
        <v>496</v>
      </c>
      <c r="AF163" s="77">
        <f t="shared" si="332"/>
        <v>496</v>
      </c>
      <c r="AG163" s="102">
        <f t="shared" si="332"/>
        <v>496</v>
      </c>
      <c r="AH163" s="258">
        <f t="shared" si="332"/>
        <v>496</v>
      </c>
      <c r="AI163" s="1073">
        <f t="shared" si="332"/>
        <v>496</v>
      </c>
      <c r="AJ163" s="77">
        <f t="shared" si="332"/>
        <v>496</v>
      </c>
      <c r="AK163" s="77">
        <f t="shared" si="332"/>
        <v>496</v>
      </c>
      <c r="AL163" s="102">
        <f t="shared" si="332"/>
        <v>496</v>
      </c>
      <c r="AM163" s="258">
        <f t="shared" si="332"/>
        <v>496</v>
      </c>
      <c r="AN163" s="1073">
        <f t="shared" si="332"/>
        <v>496</v>
      </c>
      <c r="AO163" s="77">
        <f t="shared" si="332"/>
        <v>496</v>
      </c>
      <c r="AP163" s="77">
        <f t="shared" ref="AP163" si="333">AP452</f>
        <v>496</v>
      </c>
      <c r="AQ163" s="102">
        <f t="shared" si="332"/>
        <v>496</v>
      </c>
      <c r="AR163" s="258">
        <f t="shared" si="332"/>
        <v>496</v>
      </c>
      <c r="AS163" s="1073">
        <f t="shared" ref="AS163" si="334">AS452</f>
        <v>496</v>
      </c>
      <c r="AT163" s="77">
        <f t="shared" si="332"/>
        <v>496</v>
      </c>
      <c r="AU163" s="77">
        <f t="shared" ref="AU163:AW163" si="335">AU452</f>
        <v>496</v>
      </c>
      <c r="AV163" s="102">
        <f t="shared" si="335"/>
        <v>496</v>
      </c>
      <c r="AW163" s="258">
        <f t="shared" si="335"/>
        <v>496</v>
      </c>
      <c r="AX163" s="1073">
        <f>AX452</f>
        <v>496</v>
      </c>
      <c r="AY163" s="77">
        <f>AY452</f>
        <v>496</v>
      </c>
      <c r="AZ163" s="77">
        <f>AZ452</f>
        <v>496</v>
      </c>
      <c r="BA163" s="102">
        <f>BA452</f>
        <v>496</v>
      </c>
      <c r="BB163" s="258">
        <f>BB452</f>
        <v>496</v>
      </c>
      <c r="BC163" s="1073">
        <f t="shared" ref="BC163:BL163" si="336">BC452</f>
        <v>496</v>
      </c>
      <c r="BD163" s="77">
        <f t="shared" si="336"/>
        <v>496</v>
      </c>
      <c r="BE163" s="77">
        <f t="shared" si="336"/>
        <v>496</v>
      </c>
      <c r="BF163" s="102">
        <f t="shared" si="336"/>
        <v>496</v>
      </c>
      <c r="BG163" s="258">
        <f t="shared" si="336"/>
        <v>496</v>
      </c>
      <c r="BH163" s="1073">
        <f t="shared" si="336"/>
        <v>496</v>
      </c>
      <c r="BI163" s="77">
        <f t="shared" si="336"/>
        <v>496</v>
      </c>
      <c r="BJ163" s="77">
        <f t="shared" si="336"/>
        <v>496</v>
      </c>
      <c r="BK163" s="102">
        <f t="shared" si="336"/>
        <v>496</v>
      </c>
      <c r="BL163" s="258">
        <f t="shared" si="336"/>
        <v>496</v>
      </c>
      <c r="BM163" s="1073">
        <f t="shared" ref="BM163:BQ163" si="337">BM452</f>
        <v>496</v>
      </c>
      <c r="BN163" s="77">
        <f t="shared" si="337"/>
        <v>496</v>
      </c>
      <c r="BO163" s="77">
        <f t="shared" si="337"/>
        <v>496</v>
      </c>
      <c r="BP163" s="102">
        <f t="shared" si="337"/>
        <v>496</v>
      </c>
      <c r="BQ163" s="258">
        <f t="shared" si="337"/>
        <v>496</v>
      </c>
      <c r="BR163" s="87"/>
      <c r="BS163" s="87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91"/>
      <c r="CL163" s="91"/>
      <c r="CM163" s="91"/>
      <c r="CN163" s="91"/>
      <c r="CO163" s="91"/>
      <c r="CP163" s="91"/>
      <c r="CQ163" s="91"/>
      <c r="CR163" s="1018"/>
      <c r="CS163" s="1018"/>
      <c r="CT163" s="821"/>
      <c r="CU163" s="12"/>
      <c r="CV163" s="12"/>
      <c r="CW163" s="12"/>
      <c r="CX163" s="12"/>
      <c r="CY163" s="12"/>
      <c r="CZ163" s="91"/>
      <c r="DA163" s="91"/>
      <c r="DB163" s="91"/>
      <c r="DC163" s="91"/>
      <c r="DD163" s="91"/>
      <c r="DE163" s="91"/>
      <c r="DF163" s="12"/>
      <c r="DG163" s="12"/>
      <c r="DH163" s="12"/>
      <c r="DI163" s="12"/>
      <c r="DJ163" s="12"/>
      <c r="DK163" s="12"/>
      <c r="DL163" s="12"/>
      <c r="DM163" s="12"/>
      <c r="DN163" s="12"/>
    </row>
    <row r="164" spans="1:118">
      <c r="A164" s="91"/>
      <c r="B164" s="89"/>
      <c r="C164" s="1184" t="s">
        <v>604</v>
      </c>
      <c r="D164" s="89"/>
      <c r="E164" s="145"/>
      <c r="F164" s="146"/>
      <c r="G164" s="146"/>
      <c r="H164" s="147"/>
      <c r="I164" s="87"/>
      <c r="J164" s="145"/>
      <c r="K164" s="146"/>
      <c r="L164" s="146"/>
      <c r="M164" s="147"/>
      <c r="N164" s="89"/>
      <c r="O164" s="145"/>
      <c r="P164" s="146"/>
      <c r="Q164" s="146"/>
      <c r="R164" s="147"/>
      <c r="S164" s="89"/>
      <c r="T164" s="1073"/>
      <c r="U164" s="246"/>
      <c r="V164" s="246"/>
      <c r="W164" s="1053"/>
      <c r="X164" s="258"/>
      <c r="Y164" s="1073">
        <f t="shared" ref="Y164:AO164" si="338">+Y394</f>
        <v>1599</v>
      </c>
      <c r="Z164" s="246">
        <f t="shared" si="338"/>
        <v>1599</v>
      </c>
      <c r="AA164" s="246">
        <f t="shared" si="338"/>
        <v>1599</v>
      </c>
      <c r="AB164" s="1053">
        <f t="shared" si="338"/>
        <v>1599</v>
      </c>
      <c r="AC164" s="258">
        <f t="shared" si="338"/>
        <v>1599</v>
      </c>
      <c r="AD164" s="1073">
        <f t="shared" si="338"/>
        <v>1599</v>
      </c>
      <c r="AE164" s="246">
        <f t="shared" si="338"/>
        <v>1599</v>
      </c>
      <c r="AF164" s="246">
        <f t="shared" si="338"/>
        <v>1599</v>
      </c>
      <c r="AG164" s="1053">
        <f t="shared" si="338"/>
        <v>1599</v>
      </c>
      <c r="AH164" s="258">
        <f t="shared" si="338"/>
        <v>1599</v>
      </c>
      <c r="AI164" s="1073">
        <f t="shared" si="338"/>
        <v>1599</v>
      </c>
      <c r="AJ164" s="246">
        <f t="shared" si="338"/>
        <v>1599</v>
      </c>
      <c r="AK164" s="246">
        <f t="shared" si="338"/>
        <v>1599</v>
      </c>
      <c r="AL164" s="1053">
        <f t="shared" si="338"/>
        <v>1599</v>
      </c>
      <c r="AM164" s="258">
        <f t="shared" si="338"/>
        <v>1599</v>
      </c>
      <c r="AN164" s="1073">
        <f t="shared" si="338"/>
        <v>1599</v>
      </c>
      <c r="AO164" s="246">
        <f t="shared" si="338"/>
        <v>1599</v>
      </c>
      <c r="AP164" s="246">
        <f t="shared" ref="AP164" si="339">+AP394</f>
        <v>1599</v>
      </c>
      <c r="AQ164" s="1053">
        <f t="shared" ref="AQ164:AT164" si="340">+AQ394</f>
        <v>1599</v>
      </c>
      <c r="AR164" s="258">
        <f t="shared" si="340"/>
        <v>1599</v>
      </c>
      <c r="AS164" s="1073">
        <f t="shared" si="340"/>
        <v>1599</v>
      </c>
      <c r="AT164" s="246">
        <f t="shared" si="340"/>
        <v>1599</v>
      </c>
      <c r="AU164" s="246">
        <f t="shared" ref="AU164:AW164" si="341">+AU394</f>
        <v>1599</v>
      </c>
      <c r="AV164" s="1053">
        <f t="shared" si="341"/>
        <v>740</v>
      </c>
      <c r="AW164" s="258">
        <f t="shared" si="341"/>
        <v>740</v>
      </c>
      <c r="AX164" s="1073">
        <f t="shared" ref="AX164:BL164" si="342">+AX394</f>
        <v>740</v>
      </c>
      <c r="AY164" s="246">
        <f t="shared" si="342"/>
        <v>740</v>
      </c>
      <c r="AZ164" s="246">
        <f t="shared" si="342"/>
        <v>740</v>
      </c>
      <c r="BA164" s="1053">
        <f t="shared" si="342"/>
        <v>740</v>
      </c>
      <c r="BB164" s="258">
        <f t="shared" si="342"/>
        <v>740</v>
      </c>
      <c r="BC164" s="1073">
        <f t="shared" si="342"/>
        <v>740</v>
      </c>
      <c r="BD164" s="246">
        <f t="shared" si="342"/>
        <v>740</v>
      </c>
      <c r="BE164" s="246">
        <f t="shared" si="342"/>
        <v>740</v>
      </c>
      <c r="BF164" s="1053">
        <f t="shared" si="342"/>
        <v>740</v>
      </c>
      <c r="BG164" s="258">
        <f t="shared" si="342"/>
        <v>740</v>
      </c>
      <c r="BH164" s="1073">
        <f t="shared" si="342"/>
        <v>740</v>
      </c>
      <c r="BI164" s="246">
        <f t="shared" si="342"/>
        <v>740</v>
      </c>
      <c r="BJ164" s="246">
        <f t="shared" si="342"/>
        <v>740</v>
      </c>
      <c r="BK164" s="1053">
        <f t="shared" si="342"/>
        <v>740</v>
      </c>
      <c r="BL164" s="258">
        <f t="shared" si="342"/>
        <v>740</v>
      </c>
      <c r="BM164" s="1073">
        <f t="shared" ref="BM164:BQ164" si="343">+BM394</f>
        <v>740</v>
      </c>
      <c r="BN164" s="246">
        <f t="shared" si="343"/>
        <v>740</v>
      </c>
      <c r="BO164" s="246">
        <f t="shared" si="343"/>
        <v>740</v>
      </c>
      <c r="BP164" s="1053">
        <f t="shared" si="343"/>
        <v>740</v>
      </c>
      <c r="BQ164" s="258">
        <f t="shared" si="343"/>
        <v>740</v>
      </c>
      <c r="BR164" s="87"/>
      <c r="BS164" s="87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91"/>
      <c r="CL164" s="91"/>
      <c r="CM164" s="91"/>
      <c r="CN164" s="91"/>
      <c r="CO164" s="91"/>
      <c r="CP164" s="91"/>
      <c r="CQ164" s="91"/>
      <c r="CR164" s="1018"/>
      <c r="CS164" s="1018"/>
      <c r="CT164" s="821"/>
      <c r="CU164" s="12"/>
      <c r="CV164" s="12"/>
      <c r="CW164" s="12"/>
      <c r="CX164" s="12"/>
      <c r="CY164" s="12"/>
      <c r="CZ164" s="91"/>
      <c r="DA164" s="91"/>
      <c r="DB164" s="91"/>
      <c r="DC164" s="91"/>
      <c r="DD164" s="91"/>
      <c r="DE164" s="91"/>
      <c r="DF164" s="12"/>
      <c r="DG164" s="12"/>
      <c r="DH164" s="12"/>
      <c r="DI164" s="12"/>
      <c r="DJ164" s="12"/>
      <c r="DK164" s="12"/>
      <c r="DL164" s="12"/>
      <c r="DM164" s="12"/>
      <c r="DN164" s="12"/>
    </row>
    <row r="165" spans="1:118">
      <c r="A165" s="91"/>
      <c r="B165" s="88"/>
      <c r="C165" s="1248" t="s">
        <v>215</v>
      </c>
      <c r="D165" s="88"/>
      <c r="E165" s="214"/>
      <c r="F165" s="148"/>
      <c r="G165" s="148"/>
      <c r="H165" s="215"/>
      <c r="I165" s="88"/>
      <c r="J165" s="214"/>
      <c r="K165" s="148"/>
      <c r="L165" s="148"/>
      <c r="M165" s="215"/>
      <c r="N165" s="88"/>
      <c r="O165" s="214"/>
      <c r="P165" s="148"/>
      <c r="Q165" s="148"/>
      <c r="R165" s="215"/>
      <c r="S165" s="88"/>
      <c r="T165" s="240"/>
      <c r="U165" s="241"/>
      <c r="V165" s="241"/>
      <c r="W165" s="1059"/>
      <c r="X165" s="242"/>
      <c r="Y165" s="240">
        <f t="shared" ref="Y165:AO165" si="344">SUM(Y160:Y164)</f>
        <v>18060</v>
      </c>
      <c r="Z165" s="241">
        <f t="shared" si="344"/>
        <v>18060</v>
      </c>
      <c r="AA165" s="241">
        <f t="shared" si="344"/>
        <v>18060</v>
      </c>
      <c r="AB165" s="1059">
        <f t="shared" si="344"/>
        <v>14586</v>
      </c>
      <c r="AC165" s="242">
        <f t="shared" si="344"/>
        <v>14586</v>
      </c>
      <c r="AD165" s="240">
        <f t="shared" si="344"/>
        <v>13179</v>
      </c>
      <c r="AE165" s="241">
        <f t="shared" si="344"/>
        <v>13179</v>
      </c>
      <c r="AF165" s="241">
        <f t="shared" si="344"/>
        <v>13179</v>
      </c>
      <c r="AG165" s="1059">
        <f t="shared" si="344"/>
        <v>13179</v>
      </c>
      <c r="AH165" s="242">
        <f t="shared" si="344"/>
        <v>13179</v>
      </c>
      <c r="AI165" s="240">
        <f t="shared" si="344"/>
        <v>13179</v>
      </c>
      <c r="AJ165" s="241">
        <f t="shared" si="344"/>
        <v>13179</v>
      </c>
      <c r="AK165" s="241">
        <f t="shared" si="344"/>
        <v>13179</v>
      </c>
      <c r="AL165" s="1059">
        <f t="shared" si="344"/>
        <v>13179</v>
      </c>
      <c r="AM165" s="242">
        <f t="shared" si="344"/>
        <v>13179</v>
      </c>
      <c r="AN165" s="240">
        <f t="shared" si="344"/>
        <v>13179</v>
      </c>
      <c r="AO165" s="241">
        <f t="shared" si="344"/>
        <v>13179</v>
      </c>
      <c r="AP165" s="241">
        <f t="shared" ref="AP165" si="345">SUM(AP160:AP164)</f>
        <v>13179</v>
      </c>
      <c r="AQ165" s="1059">
        <f t="shared" ref="AQ165:AT165" si="346">SUM(AQ160:AQ164)</f>
        <v>13179</v>
      </c>
      <c r="AR165" s="242">
        <f t="shared" si="346"/>
        <v>13179</v>
      </c>
      <c r="AS165" s="240">
        <f t="shared" si="346"/>
        <v>13179</v>
      </c>
      <c r="AT165" s="241">
        <f t="shared" si="346"/>
        <v>13179</v>
      </c>
      <c r="AU165" s="241">
        <f t="shared" ref="AU165:AW165" si="347">SUM(AU160:AU164)</f>
        <v>13179</v>
      </c>
      <c r="AV165" s="1059">
        <f t="shared" si="347"/>
        <v>11607</v>
      </c>
      <c r="AW165" s="242">
        <f t="shared" si="347"/>
        <v>11607</v>
      </c>
      <c r="AX165" s="240">
        <f t="shared" ref="AX165:BL165" si="348">SUM(AX160:AX164)</f>
        <v>11607</v>
      </c>
      <c r="AY165" s="241">
        <f t="shared" si="348"/>
        <v>11607</v>
      </c>
      <c r="AZ165" s="241">
        <f t="shared" si="348"/>
        <v>11607</v>
      </c>
      <c r="BA165" s="1059">
        <f t="shared" si="348"/>
        <v>11607</v>
      </c>
      <c r="BB165" s="242">
        <f t="shared" si="348"/>
        <v>10307</v>
      </c>
      <c r="BC165" s="240">
        <f t="shared" si="348"/>
        <v>10307</v>
      </c>
      <c r="BD165" s="241">
        <f t="shared" si="348"/>
        <v>10307</v>
      </c>
      <c r="BE165" s="241">
        <f t="shared" si="348"/>
        <v>10307</v>
      </c>
      <c r="BF165" s="1059">
        <f t="shared" si="348"/>
        <v>10307</v>
      </c>
      <c r="BG165" s="242">
        <f t="shared" si="348"/>
        <v>10307</v>
      </c>
      <c r="BH165" s="240">
        <f t="shared" si="348"/>
        <v>10307</v>
      </c>
      <c r="BI165" s="241">
        <f t="shared" si="348"/>
        <v>10307</v>
      </c>
      <c r="BJ165" s="241">
        <f t="shared" si="348"/>
        <v>10307</v>
      </c>
      <c r="BK165" s="1059">
        <f t="shared" si="348"/>
        <v>10307</v>
      </c>
      <c r="BL165" s="242">
        <f t="shared" si="348"/>
        <v>10307</v>
      </c>
      <c r="BM165" s="240">
        <f t="shared" ref="BM165:BQ165" si="349">SUM(BM160:BM164)</f>
        <v>10307</v>
      </c>
      <c r="BN165" s="241">
        <f t="shared" si="349"/>
        <v>10307</v>
      </c>
      <c r="BO165" s="241">
        <f t="shared" si="349"/>
        <v>10307</v>
      </c>
      <c r="BP165" s="1059">
        <f t="shared" si="349"/>
        <v>10307</v>
      </c>
      <c r="BQ165" s="242">
        <f t="shared" si="349"/>
        <v>10307</v>
      </c>
      <c r="BR165" s="87"/>
      <c r="BS165" s="87"/>
      <c r="BV165" s="12"/>
      <c r="BW165" s="12"/>
      <c r="BX165" s="12"/>
      <c r="BY165" s="771" t="s">
        <v>1066</v>
      </c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91"/>
      <c r="CL165" s="91"/>
      <c r="CM165" s="91"/>
      <c r="CN165" s="91"/>
      <c r="CO165" s="91"/>
      <c r="CP165" s="91"/>
      <c r="CQ165" s="91"/>
      <c r="CR165" s="1018"/>
      <c r="CS165" s="1018"/>
      <c r="CT165" s="821"/>
      <c r="CU165" s="12"/>
      <c r="CV165" s="12"/>
      <c r="CW165" s="12"/>
      <c r="CX165" s="12"/>
      <c r="CY165" s="12"/>
      <c r="CZ165" s="91"/>
      <c r="DA165" s="91"/>
      <c r="DB165" s="91"/>
      <c r="DC165" s="91"/>
      <c r="DD165" s="91"/>
      <c r="DE165" s="91"/>
      <c r="DF165" s="12"/>
      <c r="DG165" s="12"/>
      <c r="DH165" s="12"/>
      <c r="DI165" s="12"/>
      <c r="DJ165" s="12"/>
      <c r="DK165" s="12"/>
      <c r="DL165" s="12"/>
      <c r="DM165" s="12"/>
      <c r="DN165" s="12"/>
    </row>
    <row r="166" spans="1:118">
      <c r="A166" s="91"/>
      <c r="B166" s="88"/>
      <c r="C166" s="1248"/>
      <c r="D166" s="88"/>
      <c r="E166" s="214"/>
      <c r="F166" s="148"/>
      <c r="G166" s="148"/>
      <c r="H166" s="215"/>
      <c r="I166" s="88"/>
      <c r="J166" s="214"/>
      <c r="K166" s="148"/>
      <c r="L166" s="148"/>
      <c r="M166" s="215"/>
      <c r="N166" s="88"/>
      <c r="O166" s="214"/>
      <c r="P166" s="148"/>
      <c r="Q166" s="148"/>
      <c r="R166" s="215"/>
      <c r="S166" s="88"/>
      <c r="T166" s="240"/>
      <c r="U166" s="241"/>
      <c r="V166" s="241"/>
      <c r="W166" s="1059"/>
      <c r="X166" s="242"/>
      <c r="Y166" s="240"/>
      <c r="Z166" s="241"/>
      <c r="AA166" s="241"/>
      <c r="AB166" s="1059"/>
      <c r="AC166" s="242"/>
      <c r="AD166" s="240"/>
      <c r="AE166" s="241"/>
      <c r="AF166" s="241"/>
      <c r="AG166" s="1059"/>
      <c r="AH166" s="242"/>
      <c r="AI166" s="240"/>
      <c r="AJ166" s="241"/>
      <c r="AK166" s="241"/>
      <c r="AL166" s="1059"/>
      <c r="AM166" s="242"/>
      <c r="AN166" s="240"/>
      <c r="AO166" s="241"/>
      <c r="AP166" s="241"/>
      <c r="AQ166" s="1059"/>
      <c r="AR166" s="242"/>
      <c r="AS166" s="240"/>
      <c r="AT166" s="241"/>
      <c r="AU166" s="241"/>
      <c r="AV166" s="1059"/>
      <c r="AW166" s="242"/>
      <c r="AX166" s="240"/>
      <c r="AY166" s="241"/>
      <c r="AZ166" s="241"/>
      <c r="BA166" s="1059"/>
      <c r="BB166" s="242"/>
      <c r="BC166" s="240"/>
      <c r="BD166" s="241"/>
      <c r="BE166" s="241"/>
      <c r="BF166" s="1059"/>
      <c r="BG166" s="242"/>
      <c r="BH166" s="240"/>
      <c r="BI166" s="241"/>
      <c r="BJ166" s="241"/>
      <c r="BK166" s="1059"/>
      <c r="BL166" s="242"/>
      <c r="BM166" s="240"/>
      <c r="BN166" s="241"/>
      <c r="BO166" s="241"/>
      <c r="BP166" s="1059"/>
      <c r="BQ166" s="242"/>
      <c r="BR166" s="87"/>
      <c r="BS166" s="87"/>
      <c r="BV166" s="12"/>
      <c r="BW166" s="12"/>
      <c r="BX166" s="771" t="s">
        <v>1064</v>
      </c>
      <c r="BY166" s="771" t="s">
        <v>299</v>
      </c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91"/>
      <c r="CL166" s="91"/>
      <c r="CM166" s="91"/>
      <c r="CN166" s="91"/>
      <c r="CO166" s="91"/>
      <c r="CP166" s="91"/>
      <c r="CQ166" s="91"/>
      <c r="CR166" s="1018"/>
      <c r="CS166" s="1018"/>
      <c r="CT166" s="821"/>
      <c r="CU166" s="12"/>
      <c r="CV166" s="12"/>
      <c r="CW166" s="12"/>
      <c r="CX166" s="12"/>
      <c r="CY166" s="12"/>
      <c r="CZ166" s="91"/>
      <c r="DA166" s="91"/>
      <c r="DB166" s="91"/>
      <c r="DC166" s="91"/>
      <c r="DD166" s="91"/>
      <c r="DE166" s="91"/>
      <c r="DF166" s="12"/>
      <c r="DG166" s="12"/>
      <c r="DH166" s="12"/>
      <c r="DI166" s="12"/>
      <c r="DJ166" s="12"/>
      <c r="DK166" s="12"/>
      <c r="DL166" s="12"/>
      <c r="DM166" s="12"/>
      <c r="DN166" s="12"/>
    </row>
    <row r="167" spans="1:118">
      <c r="A167" s="91"/>
      <c r="B167" s="91"/>
      <c r="C167" s="1249" t="s">
        <v>606</v>
      </c>
      <c r="D167" s="89"/>
      <c r="E167" s="145"/>
      <c r="F167" s="146"/>
      <c r="G167" s="146"/>
      <c r="H167" s="147"/>
      <c r="I167" s="87"/>
      <c r="J167" s="145"/>
      <c r="K167" s="146"/>
      <c r="L167" s="146"/>
      <c r="M167" s="147"/>
      <c r="N167" s="89"/>
      <c r="O167" s="145"/>
      <c r="P167" s="146"/>
      <c r="Q167" s="146"/>
      <c r="R167" s="147"/>
      <c r="S167" s="89"/>
      <c r="T167" s="1073"/>
      <c r="U167" s="1074"/>
      <c r="V167" s="1074"/>
      <c r="W167" s="1075"/>
      <c r="X167" s="258"/>
      <c r="Y167" s="1073"/>
      <c r="Z167" s="1074"/>
      <c r="AA167" s="1074"/>
      <c r="AB167" s="1075"/>
      <c r="AC167" s="258"/>
      <c r="AD167" s="1073"/>
      <c r="AE167" s="1074"/>
      <c r="AF167" s="1074"/>
      <c r="AG167" s="1075"/>
      <c r="AH167" s="258"/>
      <c r="AI167" s="1073"/>
      <c r="AJ167" s="1074"/>
      <c r="AK167" s="1074"/>
      <c r="AL167" s="1075"/>
      <c r="AM167" s="258"/>
      <c r="AN167" s="1073"/>
      <c r="AO167" s="1074"/>
      <c r="AP167" s="1074"/>
      <c r="AQ167" s="1075"/>
      <c r="AR167" s="258"/>
      <c r="AS167" s="1073"/>
      <c r="AT167" s="1074"/>
      <c r="AU167" s="1074"/>
      <c r="AV167" s="1075"/>
      <c r="AW167" s="258"/>
      <c r="AX167" s="1073"/>
      <c r="AY167" s="1074"/>
      <c r="AZ167" s="1074"/>
      <c r="BA167" s="1075"/>
      <c r="BB167" s="258"/>
      <c r="BC167" s="1073"/>
      <c r="BD167" s="1074"/>
      <c r="BE167" s="1074"/>
      <c r="BF167" s="1075"/>
      <c r="BG167" s="258"/>
      <c r="BH167" s="1073"/>
      <c r="BI167" s="1074"/>
      <c r="BJ167" s="1074"/>
      <c r="BK167" s="1075"/>
      <c r="BL167" s="258"/>
      <c r="BM167" s="1073"/>
      <c r="BN167" s="1074"/>
      <c r="BO167" s="1074"/>
      <c r="BP167" s="1075"/>
      <c r="BQ167" s="258"/>
      <c r="BR167" s="87"/>
      <c r="BS167" s="87"/>
      <c r="BV167" s="12"/>
      <c r="BW167" s="12"/>
      <c r="BX167" s="12">
        <v>17.399999999999999</v>
      </c>
      <c r="BY167" s="12">
        <v>55</v>
      </c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91"/>
      <c r="CL167" s="91"/>
      <c r="CM167" s="91"/>
      <c r="CN167" s="91"/>
      <c r="CO167" s="91"/>
      <c r="CP167" s="91"/>
      <c r="CQ167" s="91"/>
      <c r="CR167" s="1018"/>
      <c r="CS167" s="1018"/>
      <c r="CT167" s="821"/>
      <c r="CU167" s="12"/>
      <c r="CV167" s="12"/>
      <c r="CW167" s="12"/>
      <c r="CX167" s="12"/>
      <c r="CY167" s="12"/>
      <c r="CZ167" s="91"/>
      <c r="DA167" s="91"/>
      <c r="DB167" s="91"/>
      <c r="DC167" s="91"/>
      <c r="DD167" s="91"/>
      <c r="DE167" s="91"/>
      <c r="DF167" s="12"/>
      <c r="DG167" s="12"/>
      <c r="DH167" s="12"/>
      <c r="DI167" s="12"/>
      <c r="DJ167" s="12"/>
      <c r="DK167" s="12"/>
      <c r="DL167" s="12"/>
      <c r="DM167" s="12"/>
      <c r="DN167" s="12"/>
    </row>
    <row r="168" spans="1:118">
      <c r="A168" s="91"/>
      <c r="B168" s="91"/>
      <c r="C168" s="1202" t="s">
        <v>435</v>
      </c>
      <c r="D168" s="89"/>
      <c r="E168" s="145"/>
      <c r="F168" s="146"/>
      <c r="G168" s="146"/>
      <c r="H168" s="147"/>
      <c r="I168" s="87"/>
      <c r="J168" s="145"/>
      <c r="K168" s="146"/>
      <c r="L168" s="146"/>
      <c r="M168" s="147"/>
      <c r="N168" s="89"/>
      <c r="O168" s="145"/>
      <c r="P168" s="146"/>
      <c r="Q168" s="146"/>
      <c r="R168" s="147"/>
      <c r="S168" s="89"/>
      <c r="T168" s="1073"/>
      <c r="U168" s="1074"/>
      <c r="V168" s="1074"/>
      <c r="W168" s="1075"/>
      <c r="X168" s="258"/>
      <c r="Y168" s="1073">
        <f t="shared" ref="Y168:AR168" si="350">SUM(Y486,Y494,Y515,Y517,Y520:Y524,Y532,Y489)</f>
        <v>8570</v>
      </c>
      <c r="Z168" s="1074">
        <f t="shared" si="350"/>
        <v>8570</v>
      </c>
      <c r="AA168" s="1074">
        <f t="shared" si="350"/>
        <v>8570</v>
      </c>
      <c r="AB168" s="1075">
        <f t="shared" si="350"/>
        <v>5096</v>
      </c>
      <c r="AC168" s="258">
        <f t="shared" si="350"/>
        <v>5096</v>
      </c>
      <c r="AD168" s="1073">
        <f t="shared" si="350"/>
        <v>5025</v>
      </c>
      <c r="AE168" s="1074">
        <f t="shared" si="350"/>
        <v>5025</v>
      </c>
      <c r="AF168" s="1074">
        <f t="shared" si="350"/>
        <v>5025</v>
      </c>
      <c r="AG168" s="1075">
        <f t="shared" si="350"/>
        <v>5025</v>
      </c>
      <c r="AH168" s="258">
        <f t="shared" si="350"/>
        <v>5025</v>
      </c>
      <c r="AI168" s="1073">
        <f t="shared" si="350"/>
        <v>5025</v>
      </c>
      <c r="AJ168" s="1074">
        <f t="shared" si="350"/>
        <v>5025</v>
      </c>
      <c r="AK168" s="1074">
        <f t="shared" si="350"/>
        <v>5025</v>
      </c>
      <c r="AL168" s="1075">
        <f t="shared" si="350"/>
        <v>5025</v>
      </c>
      <c r="AM168" s="258">
        <f t="shared" si="350"/>
        <v>5025</v>
      </c>
      <c r="AN168" s="1073">
        <f t="shared" si="350"/>
        <v>5025</v>
      </c>
      <c r="AO168" s="1074">
        <f t="shared" si="350"/>
        <v>5025</v>
      </c>
      <c r="AP168" s="1074">
        <f t="shared" ref="AP168" si="351">SUM(AP486,AP494,AP515,AP517,AP520:AP524,AP532,AP489)</f>
        <v>5025</v>
      </c>
      <c r="AQ168" s="1075">
        <f t="shared" si="350"/>
        <v>5025</v>
      </c>
      <c r="AR168" s="258">
        <f t="shared" si="350"/>
        <v>5025</v>
      </c>
      <c r="AS168" s="1073">
        <f t="shared" ref="AS168" si="352">SUM(AS486,AS494,AS515,AS517,AS520:AS524,AS532,AS489)</f>
        <v>5025</v>
      </c>
      <c r="AT168" s="1074">
        <f t="shared" ref="AT168:BB168" si="353">SUM(AT486,AT494,AT515,AT517,AT520:AT524,AT532,AT489)</f>
        <v>5025</v>
      </c>
      <c r="AU168" s="1074">
        <f t="shared" ref="AU168:AW168" si="354">SUM(AU486,AU494,AU515,AU517,AU520:AU524,AU532,AU489)</f>
        <v>5025</v>
      </c>
      <c r="AV168" s="1075">
        <f t="shared" si="354"/>
        <v>3498</v>
      </c>
      <c r="AW168" s="258">
        <f t="shared" si="354"/>
        <v>3498</v>
      </c>
      <c r="AX168" s="1073">
        <f t="shared" si="353"/>
        <v>3498</v>
      </c>
      <c r="AY168" s="1074">
        <f t="shared" si="353"/>
        <v>3498</v>
      </c>
      <c r="AZ168" s="1074">
        <f t="shared" si="353"/>
        <v>3498</v>
      </c>
      <c r="BA168" s="1075">
        <f t="shared" si="353"/>
        <v>3498</v>
      </c>
      <c r="BB168" s="258">
        <f t="shared" si="353"/>
        <v>2198</v>
      </c>
      <c r="BC168" s="1073">
        <f t="shared" ref="BC168:BL168" si="355">SUM(BC486,BC494,BC515,BC517,BC520:BC524,BC532,BC489)</f>
        <v>2198</v>
      </c>
      <c r="BD168" s="1074">
        <f t="shared" si="355"/>
        <v>2198</v>
      </c>
      <c r="BE168" s="1074">
        <f t="shared" si="355"/>
        <v>2198</v>
      </c>
      <c r="BF168" s="1075">
        <f t="shared" si="355"/>
        <v>2198</v>
      </c>
      <c r="BG168" s="258">
        <f t="shared" si="355"/>
        <v>2198</v>
      </c>
      <c r="BH168" s="1073">
        <f t="shared" si="355"/>
        <v>2198</v>
      </c>
      <c r="BI168" s="1074">
        <f t="shared" si="355"/>
        <v>2198</v>
      </c>
      <c r="BJ168" s="1074">
        <f t="shared" si="355"/>
        <v>2198</v>
      </c>
      <c r="BK168" s="1075">
        <f t="shared" si="355"/>
        <v>2198</v>
      </c>
      <c r="BL168" s="258">
        <f t="shared" si="355"/>
        <v>2198</v>
      </c>
      <c r="BM168" s="1073">
        <f t="shared" ref="BM168:BQ168" si="356">SUM(BM486,BM494,BM515,BM517,BM520:BM524,BM532,BM489)</f>
        <v>2198</v>
      </c>
      <c r="BN168" s="1074">
        <f t="shared" si="356"/>
        <v>2198</v>
      </c>
      <c r="BO168" s="1074">
        <f t="shared" si="356"/>
        <v>2198</v>
      </c>
      <c r="BP168" s="1075">
        <f t="shared" si="356"/>
        <v>2198</v>
      </c>
      <c r="BQ168" s="258">
        <f t="shared" si="356"/>
        <v>2198</v>
      </c>
      <c r="BR168" s="826"/>
      <c r="BS168" s="87"/>
      <c r="BV168" s="12"/>
      <c r="BW168" s="12"/>
      <c r="BX168" s="12">
        <v>23</v>
      </c>
      <c r="BY168" s="12">
        <v>59</v>
      </c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91"/>
      <c r="CL168" s="91"/>
      <c r="CM168" s="91"/>
      <c r="CN168" s="91"/>
      <c r="CO168" s="91"/>
      <c r="CP168" s="91"/>
      <c r="CQ168" s="91"/>
      <c r="CR168" s="1018"/>
      <c r="CS168" s="1018"/>
      <c r="CT168" s="821"/>
      <c r="CU168" s="12"/>
      <c r="CV168" s="12"/>
      <c r="CW168" s="12"/>
      <c r="CX168" s="12"/>
      <c r="CY168" s="12"/>
      <c r="CZ168" s="91"/>
      <c r="DA168" s="91"/>
      <c r="DB168" s="91"/>
      <c r="DC168" s="91"/>
      <c r="DD168" s="91"/>
      <c r="DE168" s="91"/>
      <c r="DF168" s="12"/>
      <c r="DG168" s="12"/>
      <c r="DH168" s="12"/>
      <c r="DI168" s="12"/>
      <c r="DJ168" s="12"/>
      <c r="DK168" s="12"/>
      <c r="DL168" s="12"/>
      <c r="DM168" s="12"/>
      <c r="DN168" s="12"/>
    </row>
    <row r="169" spans="1:118">
      <c r="A169" s="91"/>
      <c r="B169" s="91"/>
      <c r="C169" s="1202" t="s">
        <v>692</v>
      </c>
      <c r="D169" s="89"/>
      <c r="E169" s="145"/>
      <c r="F169" s="146"/>
      <c r="G169" s="146"/>
      <c r="H169" s="147"/>
      <c r="I169" s="87"/>
      <c r="J169" s="145"/>
      <c r="K169" s="146"/>
      <c r="L169" s="146"/>
      <c r="M169" s="147"/>
      <c r="N169" s="89"/>
      <c r="O169" s="145"/>
      <c r="P169" s="146"/>
      <c r="Q169" s="146"/>
      <c r="R169" s="147"/>
      <c r="S169" s="89"/>
      <c r="T169" s="1073"/>
      <c r="U169" s="1074"/>
      <c r="V169" s="1074"/>
      <c r="W169" s="1075"/>
      <c r="X169" s="258"/>
      <c r="Y169" s="1073">
        <f t="shared" ref="Y169:AR169" si="357">SUM(Y488,Y525)</f>
        <v>496</v>
      </c>
      <c r="Z169" s="1074">
        <f t="shared" si="357"/>
        <v>496</v>
      </c>
      <c r="AA169" s="1074">
        <f t="shared" si="357"/>
        <v>496</v>
      </c>
      <c r="AB169" s="1075">
        <f t="shared" si="357"/>
        <v>496</v>
      </c>
      <c r="AC169" s="258">
        <f t="shared" si="357"/>
        <v>496</v>
      </c>
      <c r="AD169" s="1073">
        <f t="shared" si="357"/>
        <v>45</v>
      </c>
      <c r="AE169" s="1074">
        <f t="shared" si="357"/>
        <v>45</v>
      </c>
      <c r="AF169" s="1074">
        <f t="shared" si="357"/>
        <v>45</v>
      </c>
      <c r="AG169" s="1075">
        <f t="shared" si="357"/>
        <v>45</v>
      </c>
      <c r="AH169" s="258">
        <f t="shared" si="357"/>
        <v>45</v>
      </c>
      <c r="AI169" s="1073">
        <f t="shared" si="357"/>
        <v>45</v>
      </c>
      <c r="AJ169" s="1074">
        <f t="shared" si="357"/>
        <v>45</v>
      </c>
      <c r="AK169" s="1074">
        <f t="shared" si="357"/>
        <v>45</v>
      </c>
      <c r="AL169" s="1075">
        <f t="shared" si="357"/>
        <v>45</v>
      </c>
      <c r="AM169" s="258">
        <f t="shared" si="357"/>
        <v>45</v>
      </c>
      <c r="AN169" s="1073">
        <f t="shared" si="357"/>
        <v>45</v>
      </c>
      <c r="AO169" s="1074">
        <f t="shared" si="357"/>
        <v>45</v>
      </c>
      <c r="AP169" s="1074">
        <f t="shared" ref="AP169" si="358">SUM(AP488,AP525)</f>
        <v>45</v>
      </c>
      <c r="AQ169" s="1075">
        <f t="shared" si="357"/>
        <v>45</v>
      </c>
      <c r="AR169" s="258">
        <f t="shared" si="357"/>
        <v>45</v>
      </c>
      <c r="AS169" s="1073">
        <f t="shared" ref="AS169" si="359">SUM(AS488,AS525)</f>
        <v>45</v>
      </c>
      <c r="AT169" s="1074">
        <f t="shared" ref="AT169:BB169" si="360">SUM(AT488,AT525)</f>
        <v>45</v>
      </c>
      <c r="AU169" s="1074">
        <f t="shared" ref="AU169:AW169" si="361">SUM(AU488,AU525)</f>
        <v>45</v>
      </c>
      <c r="AV169" s="1075">
        <f t="shared" si="361"/>
        <v>0</v>
      </c>
      <c r="AW169" s="258">
        <f t="shared" si="361"/>
        <v>0</v>
      </c>
      <c r="AX169" s="1073">
        <f t="shared" si="360"/>
        <v>0</v>
      </c>
      <c r="AY169" s="1074">
        <f t="shared" si="360"/>
        <v>0</v>
      </c>
      <c r="AZ169" s="1074">
        <f t="shared" si="360"/>
        <v>0</v>
      </c>
      <c r="BA169" s="1075">
        <f t="shared" si="360"/>
        <v>0</v>
      </c>
      <c r="BB169" s="258">
        <f t="shared" si="360"/>
        <v>0</v>
      </c>
      <c r="BC169" s="1073">
        <f t="shared" ref="BC169:BL169" si="362">SUM(BC488,BC525)</f>
        <v>0</v>
      </c>
      <c r="BD169" s="1074">
        <f t="shared" si="362"/>
        <v>0</v>
      </c>
      <c r="BE169" s="1074">
        <f t="shared" si="362"/>
        <v>0</v>
      </c>
      <c r="BF169" s="1075">
        <f t="shared" si="362"/>
        <v>0</v>
      </c>
      <c r="BG169" s="258">
        <f t="shared" si="362"/>
        <v>0</v>
      </c>
      <c r="BH169" s="1073">
        <f t="shared" si="362"/>
        <v>0</v>
      </c>
      <c r="BI169" s="1074">
        <f t="shared" si="362"/>
        <v>0</v>
      </c>
      <c r="BJ169" s="1074">
        <f t="shared" si="362"/>
        <v>0</v>
      </c>
      <c r="BK169" s="1075">
        <f t="shared" si="362"/>
        <v>0</v>
      </c>
      <c r="BL169" s="258">
        <f t="shared" si="362"/>
        <v>0</v>
      </c>
      <c r="BM169" s="1073">
        <f t="shared" ref="BM169:BQ169" si="363">SUM(BM488,BM525)</f>
        <v>0</v>
      </c>
      <c r="BN169" s="1074">
        <f t="shared" si="363"/>
        <v>0</v>
      </c>
      <c r="BO169" s="1074">
        <f t="shared" si="363"/>
        <v>0</v>
      </c>
      <c r="BP169" s="1075">
        <f t="shared" si="363"/>
        <v>0</v>
      </c>
      <c r="BQ169" s="258">
        <f t="shared" si="363"/>
        <v>0</v>
      </c>
      <c r="BR169" s="826"/>
      <c r="BS169" s="87"/>
      <c r="BT169" s="12"/>
      <c r="BU169" s="12"/>
      <c r="BV169" s="12"/>
      <c r="BW169" s="12"/>
      <c r="BX169" s="12">
        <v>8.6</v>
      </c>
      <c r="BY169" s="12">
        <v>42</v>
      </c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91"/>
      <c r="CL169" s="91"/>
      <c r="CM169" s="91"/>
      <c r="CN169" s="91"/>
      <c r="CO169" s="91"/>
      <c r="CP169" s="91"/>
      <c r="CQ169" s="91"/>
      <c r="CR169" s="1018"/>
      <c r="CS169" s="1018"/>
      <c r="CT169" s="821"/>
      <c r="CU169" s="12"/>
      <c r="CV169" s="12"/>
      <c r="CW169" s="12"/>
      <c r="CX169" s="12"/>
      <c r="CY169" s="12"/>
      <c r="CZ169" s="91"/>
      <c r="DA169" s="91"/>
      <c r="DB169" s="91"/>
      <c r="DC169" s="91"/>
      <c r="DD169" s="91"/>
      <c r="DE169" s="91"/>
      <c r="DF169" s="12"/>
      <c r="DG169" s="12"/>
      <c r="DH169" s="12"/>
      <c r="DI169" s="12"/>
      <c r="DJ169" s="12"/>
      <c r="DK169" s="12"/>
      <c r="DL169" s="12"/>
      <c r="DM169" s="12"/>
      <c r="DN169" s="12"/>
    </row>
    <row r="170" spans="1:118">
      <c r="A170" s="91"/>
      <c r="B170" s="91"/>
      <c r="C170" s="1202" t="s">
        <v>685</v>
      </c>
      <c r="D170" s="89"/>
      <c r="E170" s="145"/>
      <c r="F170" s="146"/>
      <c r="G170" s="146"/>
      <c r="H170" s="147"/>
      <c r="I170" s="87"/>
      <c r="J170" s="145"/>
      <c r="K170" s="146"/>
      <c r="L170" s="146"/>
      <c r="M170" s="147"/>
      <c r="N170" s="89"/>
      <c r="O170" s="145"/>
      <c r="P170" s="146"/>
      <c r="Q170" s="146"/>
      <c r="R170" s="147"/>
      <c r="S170" s="89"/>
      <c r="T170" s="1073"/>
      <c r="U170" s="1074"/>
      <c r="V170" s="1074"/>
      <c r="W170" s="1075"/>
      <c r="X170" s="258"/>
      <c r="Y170" s="1073">
        <f t="shared" ref="Y170:AR170" si="364">SUM(Y484,Y506,Y519,Y528:Y531)</f>
        <v>8498</v>
      </c>
      <c r="Z170" s="1074">
        <f t="shared" si="364"/>
        <v>8498</v>
      </c>
      <c r="AA170" s="1074">
        <f t="shared" si="364"/>
        <v>8498</v>
      </c>
      <c r="AB170" s="1075">
        <f t="shared" si="364"/>
        <v>8498</v>
      </c>
      <c r="AC170" s="258">
        <f t="shared" si="364"/>
        <v>8498</v>
      </c>
      <c r="AD170" s="1073">
        <f t="shared" si="364"/>
        <v>7613</v>
      </c>
      <c r="AE170" s="1074">
        <f t="shared" si="364"/>
        <v>7613</v>
      </c>
      <c r="AF170" s="1074">
        <f t="shared" si="364"/>
        <v>7613</v>
      </c>
      <c r="AG170" s="1075">
        <f t="shared" si="364"/>
        <v>7613</v>
      </c>
      <c r="AH170" s="258">
        <f t="shared" si="364"/>
        <v>7613</v>
      </c>
      <c r="AI170" s="1073">
        <f t="shared" si="364"/>
        <v>7613</v>
      </c>
      <c r="AJ170" s="1074">
        <f t="shared" si="364"/>
        <v>7613</v>
      </c>
      <c r="AK170" s="1074">
        <f t="shared" si="364"/>
        <v>7613</v>
      </c>
      <c r="AL170" s="1075">
        <f t="shared" si="364"/>
        <v>7613</v>
      </c>
      <c r="AM170" s="258">
        <f t="shared" si="364"/>
        <v>7613</v>
      </c>
      <c r="AN170" s="1073">
        <f t="shared" si="364"/>
        <v>7613</v>
      </c>
      <c r="AO170" s="1074">
        <f t="shared" si="364"/>
        <v>7613</v>
      </c>
      <c r="AP170" s="1074">
        <f t="shared" ref="AP170" si="365">SUM(AP484,AP506,AP519,AP528:AP531)</f>
        <v>7613</v>
      </c>
      <c r="AQ170" s="1075">
        <f t="shared" si="364"/>
        <v>7613</v>
      </c>
      <c r="AR170" s="258">
        <f t="shared" si="364"/>
        <v>7613</v>
      </c>
      <c r="AS170" s="1073">
        <f t="shared" ref="AS170" si="366">SUM(AS484,AS506,AS519,AS528:AS531)</f>
        <v>7613</v>
      </c>
      <c r="AT170" s="1074">
        <f t="shared" ref="AT170:BB170" si="367">SUM(AT484,AT506,AT519,AT528:AT531)</f>
        <v>7613</v>
      </c>
      <c r="AU170" s="1074">
        <f t="shared" ref="AU170:AW170" si="368">SUM(AU484,AU506,AU519,AU528:AU531)</f>
        <v>7613</v>
      </c>
      <c r="AV170" s="1075">
        <f t="shared" si="368"/>
        <v>7613</v>
      </c>
      <c r="AW170" s="258">
        <f t="shared" si="368"/>
        <v>7613</v>
      </c>
      <c r="AX170" s="1073">
        <f t="shared" si="367"/>
        <v>7613</v>
      </c>
      <c r="AY170" s="1074">
        <f t="shared" si="367"/>
        <v>7613</v>
      </c>
      <c r="AZ170" s="1074">
        <f t="shared" si="367"/>
        <v>7613</v>
      </c>
      <c r="BA170" s="1075">
        <f t="shared" si="367"/>
        <v>7613</v>
      </c>
      <c r="BB170" s="258">
        <f t="shared" si="367"/>
        <v>7613</v>
      </c>
      <c r="BC170" s="1073">
        <f t="shared" ref="BC170:BL170" si="369">SUM(BC484,BC506,BC519,BC528:BC531)</f>
        <v>7613</v>
      </c>
      <c r="BD170" s="1074">
        <f t="shared" si="369"/>
        <v>7613</v>
      </c>
      <c r="BE170" s="1074">
        <f t="shared" si="369"/>
        <v>7613</v>
      </c>
      <c r="BF170" s="1075">
        <f t="shared" si="369"/>
        <v>7613</v>
      </c>
      <c r="BG170" s="258">
        <f t="shared" si="369"/>
        <v>7613</v>
      </c>
      <c r="BH170" s="1073">
        <f t="shared" si="369"/>
        <v>7613</v>
      </c>
      <c r="BI170" s="1074">
        <f t="shared" si="369"/>
        <v>7613</v>
      </c>
      <c r="BJ170" s="1074">
        <f t="shared" si="369"/>
        <v>7613</v>
      </c>
      <c r="BK170" s="1075">
        <f t="shared" si="369"/>
        <v>7613</v>
      </c>
      <c r="BL170" s="258">
        <f t="shared" si="369"/>
        <v>7613</v>
      </c>
      <c r="BM170" s="1073">
        <f t="shared" ref="BM170:BQ170" si="370">SUM(BM484,BM506,BM519,BM528:BM531)</f>
        <v>7613</v>
      </c>
      <c r="BN170" s="1074">
        <f t="shared" si="370"/>
        <v>7613</v>
      </c>
      <c r="BO170" s="1074">
        <f t="shared" si="370"/>
        <v>7613</v>
      </c>
      <c r="BP170" s="1075">
        <f t="shared" si="370"/>
        <v>7613</v>
      </c>
      <c r="BQ170" s="258">
        <f t="shared" si="370"/>
        <v>7613</v>
      </c>
      <c r="BR170" s="826"/>
      <c r="BS170" s="87"/>
      <c r="BT170" s="12"/>
      <c r="BU170" s="12"/>
      <c r="BV170" s="12"/>
      <c r="BW170" s="12"/>
      <c r="BX170" s="12">
        <v>15.2</v>
      </c>
      <c r="BY170" s="12">
        <v>30</v>
      </c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91"/>
      <c r="CL170" s="91"/>
      <c r="CM170" s="91"/>
      <c r="CN170" s="91"/>
      <c r="CO170" s="91"/>
      <c r="CP170" s="91"/>
      <c r="CQ170" s="91"/>
      <c r="CR170" s="1018"/>
      <c r="CS170" s="1018"/>
      <c r="CT170" s="821"/>
      <c r="CU170" s="12"/>
      <c r="CV170" s="12"/>
      <c r="CW170" s="12"/>
      <c r="CX170" s="12"/>
      <c r="CY170" s="12"/>
      <c r="CZ170" s="91"/>
      <c r="DA170" s="91"/>
      <c r="DB170" s="91"/>
      <c r="DC170" s="91"/>
      <c r="DD170" s="91"/>
      <c r="DE170" s="91"/>
      <c r="DF170" s="12"/>
      <c r="DG170" s="12"/>
      <c r="DH170" s="12"/>
      <c r="DI170" s="12"/>
      <c r="DJ170" s="12"/>
      <c r="DK170" s="12"/>
      <c r="DL170" s="12"/>
      <c r="DM170" s="12"/>
      <c r="DN170" s="12"/>
    </row>
    <row r="171" spans="1:118">
      <c r="A171" s="91"/>
      <c r="B171" s="91"/>
      <c r="C171" s="1248" t="s">
        <v>215</v>
      </c>
      <c r="D171" s="88"/>
      <c r="E171" s="214"/>
      <c r="F171" s="148"/>
      <c r="G171" s="148"/>
      <c r="H171" s="215"/>
      <c r="I171" s="88"/>
      <c r="J171" s="214"/>
      <c r="K171" s="148"/>
      <c r="L171" s="148"/>
      <c r="M171" s="215"/>
      <c r="N171" s="88"/>
      <c r="O171" s="214"/>
      <c r="P171" s="148"/>
      <c r="Q171" s="148"/>
      <c r="R171" s="215"/>
      <c r="S171" s="88"/>
      <c r="T171" s="240"/>
      <c r="U171" s="241"/>
      <c r="V171" s="241"/>
      <c r="W171" s="1059"/>
      <c r="X171" s="242"/>
      <c r="Y171" s="240">
        <f t="shared" ref="Y171:AR171" si="371">SUM(Y168:Y170)</f>
        <v>17564</v>
      </c>
      <c r="Z171" s="241">
        <f t="shared" si="371"/>
        <v>17564</v>
      </c>
      <c r="AA171" s="241">
        <f t="shared" si="371"/>
        <v>17564</v>
      </c>
      <c r="AB171" s="1059">
        <f t="shared" si="371"/>
        <v>14090</v>
      </c>
      <c r="AC171" s="242">
        <f t="shared" si="371"/>
        <v>14090</v>
      </c>
      <c r="AD171" s="240">
        <f t="shared" si="371"/>
        <v>12683</v>
      </c>
      <c r="AE171" s="241">
        <f t="shared" si="371"/>
        <v>12683</v>
      </c>
      <c r="AF171" s="241">
        <f t="shared" si="371"/>
        <v>12683</v>
      </c>
      <c r="AG171" s="1059">
        <f t="shared" si="371"/>
        <v>12683</v>
      </c>
      <c r="AH171" s="242">
        <f t="shared" si="371"/>
        <v>12683</v>
      </c>
      <c r="AI171" s="240">
        <f t="shared" si="371"/>
        <v>12683</v>
      </c>
      <c r="AJ171" s="241">
        <f t="shared" si="371"/>
        <v>12683</v>
      </c>
      <c r="AK171" s="241">
        <f t="shared" si="371"/>
        <v>12683</v>
      </c>
      <c r="AL171" s="1059">
        <f t="shared" si="371"/>
        <v>12683</v>
      </c>
      <c r="AM171" s="242">
        <f t="shared" si="371"/>
        <v>12683</v>
      </c>
      <c r="AN171" s="240">
        <f t="shared" si="371"/>
        <v>12683</v>
      </c>
      <c r="AO171" s="241">
        <f t="shared" si="371"/>
        <v>12683</v>
      </c>
      <c r="AP171" s="241">
        <f t="shared" ref="AP171" si="372">SUM(AP168:AP170)</f>
        <v>12683</v>
      </c>
      <c r="AQ171" s="1059">
        <f t="shared" si="371"/>
        <v>12683</v>
      </c>
      <c r="AR171" s="242">
        <f t="shared" si="371"/>
        <v>12683</v>
      </c>
      <c r="AS171" s="240">
        <f t="shared" ref="AS171" si="373">SUM(AS168:AS170)</f>
        <v>12683</v>
      </c>
      <c r="AT171" s="241">
        <f t="shared" ref="AT171:BB171" si="374">SUM(AT168:AT170)</f>
        <v>12683</v>
      </c>
      <c r="AU171" s="241">
        <f t="shared" ref="AU171" si="375">SUM(AU168:AU170)</f>
        <v>12683</v>
      </c>
      <c r="AV171" s="1059">
        <f t="shared" ref="AV171:AW171" si="376">SUM(AV168:AV170)</f>
        <v>11111</v>
      </c>
      <c r="AW171" s="242">
        <f t="shared" si="376"/>
        <v>11111</v>
      </c>
      <c r="AX171" s="240">
        <f t="shared" si="374"/>
        <v>11111</v>
      </c>
      <c r="AY171" s="241">
        <f t="shared" si="374"/>
        <v>11111</v>
      </c>
      <c r="AZ171" s="241">
        <f t="shared" si="374"/>
        <v>11111</v>
      </c>
      <c r="BA171" s="1059">
        <f t="shared" si="374"/>
        <v>11111</v>
      </c>
      <c r="BB171" s="242">
        <f t="shared" si="374"/>
        <v>9811</v>
      </c>
      <c r="BC171" s="240">
        <f t="shared" ref="BC171:BL171" si="377">SUM(BC168:BC170)</f>
        <v>9811</v>
      </c>
      <c r="BD171" s="241">
        <f t="shared" si="377"/>
        <v>9811</v>
      </c>
      <c r="BE171" s="241">
        <f t="shared" si="377"/>
        <v>9811</v>
      </c>
      <c r="BF171" s="1059">
        <f t="shared" si="377"/>
        <v>9811</v>
      </c>
      <c r="BG171" s="242">
        <f t="shared" si="377"/>
        <v>9811</v>
      </c>
      <c r="BH171" s="240">
        <f t="shared" si="377"/>
        <v>9811</v>
      </c>
      <c r="BI171" s="241">
        <f t="shared" si="377"/>
        <v>9811</v>
      </c>
      <c r="BJ171" s="241">
        <f t="shared" si="377"/>
        <v>9811</v>
      </c>
      <c r="BK171" s="1059">
        <f t="shared" si="377"/>
        <v>9811</v>
      </c>
      <c r="BL171" s="242">
        <f t="shared" si="377"/>
        <v>9811</v>
      </c>
      <c r="BM171" s="240">
        <f t="shared" ref="BM171:BQ171" si="378">SUM(BM168:BM170)</f>
        <v>9811</v>
      </c>
      <c r="BN171" s="241">
        <f t="shared" si="378"/>
        <v>9811</v>
      </c>
      <c r="BO171" s="241">
        <f t="shared" si="378"/>
        <v>9811</v>
      </c>
      <c r="BP171" s="1059">
        <f t="shared" si="378"/>
        <v>9811</v>
      </c>
      <c r="BQ171" s="242">
        <f t="shared" si="378"/>
        <v>9811</v>
      </c>
      <c r="BR171" s="826"/>
      <c r="BS171" s="87"/>
      <c r="BT171" s="12"/>
      <c r="BU171" s="91"/>
      <c r="BV171" s="91"/>
      <c r="BW171" s="91"/>
      <c r="BX171" s="12"/>
      <c r="BY171" s="47">
        <f>SUMPRODUCT(BY167:BY170,BX167:BX170)</f>
        <v>3131.2</v>
      </c>
      <c r="BZ171" s="91"/>
      <c r="CA171" s="91"/>
      <c r="CB171" s="91"/>
      <c r="CC171" s="91"/>
      <c r="CD171" s="91"/>
      <c r="CE171" s="91"/>
      <c r="CF171" s="91"/>
      <c r="CG171" s="91"/>
      <c r="CH171" s="91"/>
      <c r="CI171" s="91"/>
      <c r="CJ171" s="91"/>
      <c r="CK171" s="91"/>
      <c r="CL171" s="91"/>
      <c r="CM171" s="91"/>
      <c r="CN171" s="91"/>
      <c r="CO171" s="91"/>
      <c r="CP171" s="91"/>
      <c r="CQ171" s="91"/>
      <c r="CR171" s="1018"/>
      <c r="CS171" s="1018"/>
      <c r="CT171" s="821"/>
      <c r="CU171" s="12"/>
      <c r="CV171" s="12"/>
      <c r="CW171" s="12"/>
      <c r="CX171" s="12"/>
      <c r="CY171" s="12"/>
      <c r="CZ171" s="91"/>
      <c r="DA171" s="91"/>
      <c r="DB171" s="91"/>
      <c r="DC171" s="91"/>
      <c r="DD171" s="91"/>
      <c r="DE171" s="91"/>
      <c r="DF171" s="12"/>
      <c r="DG171" s="12"/>
      <c r="DH171" s="12"/>
      <c r="DI171" s="12"/>
      <c r="DJ171" s="12"/>
      <c r="DK171" s="12"/>
      <c r="DL171" s="12"/>
      <c r="DM171" s="12"/>
      <c r="DN171" s="12"/>
    </row>
    <row r="172" spans="1:118" s="29" customFormat="1">
      <c r="A172" s="328"/>
      <c r="B172" s="328"/>
      <c r="C172" s="1222"/>
      <c r="D172" s="341"/>
      <c r="E172" s="344"/>
      <c r="F172" s="151"/>
      <c r="G172" s="151"/>
      <c r="H172" s="345"/>
      <c r="I172" s="274"/>
      <c r="J172" s="344"/>
      <c r="K172" s="151"/>
      <c r="L172" s="151"/>
      <c r="M172" s="345"/>
      <c r="N172" s="274"/>
      <c r="O172" s="344"/>
      <c r="P172" s="151"/>
      <c r="Q172" s="151"/>
      <c r="R172" s="345"/>
      <c r="S172" s="274"/>
      <c r="T172" s="344"/>
      <c r="U172" s="151"/>
      <c r="V172" s="151"/>
      <c r="W172" s="345"/>
      <c r="X172" s="274"/>
      <c r="Y172" s="344"/>
      <c r="Z172" s="151"/>
      <c r="AA172" s="151"/>
      <c r="AB172" s="345"/>
      <c r="AC172" s="274"/>
      <c r="AD172" s="344"/>
      <c r="AE172" s="151"/>
      <c r="AF172" s="151"/>
      <c r="AG172" s="345"/>
      <c r="AH172" s="274"/>
      <c r="AI172" s="344"/>
      <c r="AJ172" s="151"/>
      <c r="AK172" s="151"/>
      <c r="AL172" s="345"/>
      <c r="AM172" s="274"/>
      <c r="AN172" s="344"/>
      <c r="AO172" s="151"/>
      <c r="AP172" s="151"/>
      <c r="AQ172" s="345"/>
      <c r="AR172" s="274"/>
      <c r="AS172" s="344"/>
      <c r="AT172" s="151"/>
      <c r="AU172" s="151"/>
      <c r="AV172" s="345"/>
      <c r="AW172" s="274"/>
      <c r="AX172" s="344"/>
      <c r="AY172" s="151"/>
      <c r="AZ172" s="151"/>
      <c r="BA172" s="345"/>
      <c r="BB172" s="274"/>
      <c r="BC172" s="344"/>
      <c r="BD172" s="151"/>
      <c r="BE172" s="151"/>
      <c r="BF172" s="345"/>
      <c r="BG172" s="274"/>
      <c r="BH172" s="344"/>
      <c r="BI172" s="151"/>
      <c r="BJ172" s="151"/>
      <c r="BK172" s="345"/>
      <c r="BL172" s="274"/>
      <c r="BM172" s="344"/>
      <c r="BN172" s="151"/>
      <c r="BO172" s="151"/>
      <c r="BP172" s="345"/>
      <c r="BQ172" s="274"/>
      <c r="BR172" s="826"/>
      <c r="BS172" s="181"/>
      <c r="BT172"/>
      <c r="BU172"/>
      <c r="BV172"/>
      <c r="BW172"/>
      <c r="BX172" s="771" t="s">
        <v>1065</v>
      </c>
      <c r="BY172" s="24">
        <f>BY171/SUM(BX167:BX170)</f>
        <v>48.772585669781925</v>
      </c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</row>
    <row r="173" spans="1:118" s="29" customFormat="1">
      <c r="A173" s="328"/>
      <c r="B173" s="328"/>
      <c r="C173" s="1222"/>
      <c r="D173" s="341"/>
      <c r="E173" s="344"/>
      <c r="F173" s="151"/>
      <c r="G173" s="151"/>
      <c r="H173" s="345"/>
      <c r="I173" s="274"/>
      <c r="J173" s="344"/>
      <c r="K173" s="151"/>
      <c r="L173" s="151"/>
      <c r="M173" s="345"/>
      <c r="N173" s="274"/>
      <c r="O173" s="344"/>
      <c r="P173" s="151"/>
      <c r="Q173" s="151"/>
      <c r="R173" s="345"/>
      <c r="S173" s="274"/>
      <c r="T173" s="344"/>
      <c r="U173" s="151"/>
      <c r="V173" s="151"/>
      <c r="W173" s="345"/>
      <c r="X173" s="274"/>
      <c r="Y173" s="344"/>
      <c r="Z173" s="151"/>
      <c r="AA173" s="151"/>
      <c r="AB173" s="345"/>
      <c r="AC173" s="274"/>
      <c r="AD173" s="344"/>
      <c r="AE173" s="151"/>
      <c r="AF173" s="151"/>
      <c r="AG173" s="345"/>
      <c r="AH173" s="274"/>
      <c r="AI173" s="344"/>
      <c r="AJ173" s="151"/>
      <c r="AK173" s="151"/>
      <c r="AL173" s="345"/>
      <c r="AM173" s="274"/>
      <c r="AN173" s="344"/>
      <c r="AO173" s="151"/>
      <c r="AP173" s="151"/>
      <c r="AQ173" s="345"/>
      <c r="AR173" s="274"/>
      <c r="AS173" s="344"/>
      <c r="AT173" s="151"/>
      <c r="AU173" s="151"/>
      <c r="AV173" s="345"/>
      <c r="AW173" s="274"/>
      <c r="AX173" s="344"/>
      <c r="AY173" s="151"/>
      <c r="AZ173" s="151"/>
      <c r="BA173" s="345"/>
      <c r="BB173" s="274"/>
      <c r="BC173" s="344"/>
      <c r="BD173" s="151"/>
      <c r="BE173" s="151"/>
      <c r="BF173" s="345"/>
      <c r="BG173" s="274"/>
      <c r="BH173" s="344"/>
      <c r="BI173" s="151"/>
      <c r="BJ173" s="151"/>
      <c r="BK173" s="345"/>
      <c r="BL173" s="274"/>
      <c r="BM173" s="344"/>
      <c r="BN173" s="151"/>
      <c r="BO173" s="151"/>
      <c r="BP173" s="345"/>
      <c r="BQ173" s="274"/>
      <c r="BR173" s="181"/>
      <c r="BS173" s="181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</row>
    <row r="174" spans="1:118">
      <c r="A174" s="120"/>
      <c r="B174" s="126" t="s">
        <v>51</v>
      </c>
      <c r="C174" s="1250"/>
      <c r="D174" s="278"/>
      <c r="E174" s="288"/>
      <c r="F174" s="289"/>
      <c r="G174" s="289"/>
      <c r="H174" s="299"/>
      <c r="I174" s="291"/>
      <c r="J174" s="288"/>
      <c r="K174" s="289"/>
      <c r="L174" s="289"/>
      <c r="M174" s="299"/>
      <c r="N174" s="315"/>
      <c r="O174" s="288"/>
      <c r="P174" s="289"/>
      <c r="Q174" s="289"/>
      <c r="R174" s="299"/>
      <c r="S174" s="315"/>
      <c r="T174" s="133"/>
      <c r="U174" s="134"/>
      <c r="V174" s="134"/>
      <c r="W174" s="135"/>
      <c r="X174" s="178"/>
      <c r="Y174" s="133"/>
      <c r="Z174" s="134"/>
      <c r="AA174" s="134"/>
      <c r="AB174" s="135"/>
      <c r="AC174" s="178"/>
      <c r="AD174" s="133"/>
      <c r="AE174" s="134"/>
      <c r="AF174" s="134"/>
      <c r="AG174" s="135"/>
      <c r="AH174" s="178"/>
      <c r="AI174" s="133"/>
      <c r="AJ174" s="134"/>
      <c r="AK174" s="134"/>
      <c r="AL174" s="135"/>
      <c r="AM174" s="178"/>
      <c r="AN174" s="133"/>
      <c r="AO174" s="134"/>
      <c r="AP174" s="134"/>
      <c r="AQ174" s="135"/>
      <c r="AR174" s="178"/>
      <c r="AS174" s="133"/>
      <c r="AT174" s="134"/>
      <c r="AU174" s="134"/>
      <c r="AV174" s="135"/>
      <c r="AW174" s="178"/>
      <c r="AX174" s="133"/>
      <c r="AY174" s="134"/>
      <c r="AZ174" s="134"/>
      <c r="BA174" s="135"/>
      <c r="BB174" s="178"/>
      <c r="BC174" s="133"/>
      <c r="BD174" s="134"/>
      <c r="BE174" s="134"/>
      <c r="BF174" s="135"/>
      <c r="BG174" s="178"/>
      <c r="BH174" s="133"/>
      <c r="BI174" s="134"/>
      <c r="BJ174" s="134"/>
      <c r="BK174" s="135"/>
      <c r="BL174" s="178"/>
      <c r="BM174" s="133"/>
      <c r="BN174" s="134"/>
      <c r="BO174" s="134"/>
      <c r="BP174" s="135"/>
      <c r="BQ174" s="178"/>
    </row>
    <row r="175" spans="1:118" s="29" customFormat="1">
      <c r="A175" s="328"/>
      <c r="B175" s="328"/>
      <c r="C175" s="1222"/>
      <c r="D175" s="341"/>
      <c r="E175" s="344"/>
      <c r="F175" s="151"/>
      <c r="G175" s="151"/>
      <c r="H175" s="345"/>
      <c r="I175" s="274"/>
      <c r="J175" s="344"/>
      <c r="K175" s="151"/>
      <c r="L175" s="151"/>
      <c r="M175" s="345"/>
      <c r="N175" s="274"/>
      <c r="O175" s="344"/>
      <c r="P175" s="151"/>
      <c r="Q175" s="151"/>
      <c r="R175" s="345"/>
      <c r="S175" s="274"/>
      <c r="T175" s="344"/>
      <c r="U175" s="151"/>
      <c r="V175" s="151"/>
      <c r="W175" s="345"/>
      <c r="X175" s="274"/>
      <c r="Y175" s="344"/>
      <c r="Z175" s="151"/>
      <c r="AA175" s="151"/>
      <c r="AB175" s="345"/>
      <c r="AC175" s="274"/>
      <c r="AD175" s="344"/>
      <c r="AE175" s="151"/>
      <c r="AF175" s="151"/>
      <c r="AG175" s="345"/>
      <c r="AH175" s="274"/>
      <c r="AI175" s="344"/>
      <c r="AJ175" s="151"/>
      <c r="AK175" s="151"/>
      <c r="AL175" s="345"/>
      <c r="AM175" s="93"/>
      <c r="AN175" s="344"/>
      <c r="AO175" s="151"/>
      <c r="AP175" s="151"/>
      <c r="AQ175" s="345"/>
      <c r="AR175" s="274"/>
      <c r="AS175" s="344"/>
      <c r="AT175" s="151"/>
      <c r="AU175" s="151"/>
      <c r="AV175" s="345"/>
      <c r="AW175" s="274"/>
      <c r="AX175" s="344"/>
      <c r="AY175" s="151"/>
      <c r="AZ175" s="151"/>
      <c r="BA175" s="345"/>
      <c r="BB175" s="274"/>
      <c r="BC175" s="344"/>
      <c r="BD175" s="151"/>
      <c r="BE175" s="151"/>
      <c r="BF175" s="345"/>
      <c r="BG175" s="274"/>
      <c r="BH175" s="344"/>
      <c r="BI175" s="151"/>
      <c r="BJ175" s="151"/>
      <c r="BK175" s="345"/>
      <c r="BL175" s="274"/>
      <c r="BM175" s="344"/>
      <c r="BN175" s="151"/>
      <c r="BO175" s="151"/>
      <c r="BP175" s="345"/>
      <c r="BQ175" s="274"/>
      <c r="BR175" s="181"/>
      <c r="BS175" s="181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</row>
    <row r="176" spans="1:118">
      <c r="A176" s="120"/>
      <c r="B176" s="120"/>
      <c r="C176" s="1186" t="s">
        <v>682</v>
      </c>
      <c r="E176" s="288"/>
      <c r="F176" s="289"/>
      <c r="G176" s="289"/>
      <c r="H176" s="299"/>
      <c r="I176" s="291"/>
      <c r="J176" s="288"/>
      <c r="K176" s="289"/>
      <c r="L176" s="289"/>
      <c r="M176" s="299"/>
      <c r="N176" s="315"/>
      <c r="O176" s="288"/>
      <c r="P176" s="289"/>
      <c r="Q176" s="319"/>
      <c r="R176" s="314"/>
      <c r="S176" s="802">
        <f>79249+10856</f>
        <v>90105</v>
      </c>
      <c r="T176" s="106"/>
      <c r="U176" s="76"/>
      <c r="V176" s="76"/>
      <c r="W176" s="107"/>
      <c r="X176" s="802">
        <v>99691</v>
      </c>
      <c r="Y176" s="169">
        <f>+AC176*Y$180</f>
        <v>0</v>
      </c>
      <c r="Z176" s="167">
        <f>+AC176*Z$180</f>
        <v>0</v>
      </c>
      <c r="AA176" s="167">
        <f>+AC176*AA$180</f>
        <v>0</v>
      </c>
      <c r="AB176" s="168">
        <f>+AC176*AB$180</f>
        <v>0</v>
      </c>
      <c r="AC176" s="802">
        <v>108570</v>
      </c>
      <c r="AD176" s="169">
        <f>+AH176*AD$180</f>
        <v>24719</v>
      </c>
      <c r="AE176" s="167">
        <f>+AH176*AE$180</f>
        <v>24719</v>
      </c>
      <c r="AF176" s="167">
        <f>+AH176*AF$180</f>
        <v>24719</v>
      </c>
      <c r="AG176" s="168">
        <f>+AH176*AG$180</f>
        <v>24719</v>
      </c>
      <c r="AH176" s="802">
        <v>98876</v>
      </c>
      <c r="AI176" s="169">
        <f>+AM176*AI$180</f>
        <v>18044.87</v>
      </c>
      <c r="AJ176" s="167">
        <f>+AM176*AJ$180</f>
        <v>18044.87</v>
      </c>
      <c r="AK176" s="167">
        <f>+AM176*AK$180</f>
        <v>18044.87</v>
      </c>
      <c r="AL176" s="168">
        <f>+AM176*AL$180</f>
        <v>18044.87</v>
      </c>
      <c r="AM176" s="93">
        <f>AH176*(1+AM$179)</f>
        <v>72179.48</v>
      </c>
      <c r="AN176" s="1789">
        <f>+AR176*AN$180</f>
        <v>16059.934299999999</v>
      </c>
      <c r="AO176" s="1790">
        <f>+AR176*AO$180</f>
        <v>12847.94744</v>
      </c>
      <c r="AP176" s="1790">
        <f>+AR176*AP$180</f>
        <v>19271.921159999998</v>
      </c>
      <c r="AQ176" s="1791">
        <f>+AR176*AQ$180</f>
        <v>16059.934299999999</v>
      </c>
      <c r="AR176" s="93">
        <f>AM176*(1+AR$179)</f>
        <v>64239.737199999996</v>
      </c>
      <c r="AS176" s="1789">
        <f>+AW176*AS$180</f>
        <v>13811.543497999999</v>
      </c>
      <c r="AT176" s="1790">
        <f>+AW176*AT$180</f>
        <v>13811.543497999999</v>
      </c>
      <c r="AU176" s="1790">
        <f>+AW176*AU$180</f>
        <v>13811.543497999999</v>
      </c>
      <c r="AV176" s="1791">
        <f>+AW176*AV$180</f>
        <v>13811.543497999999</v>
      </c>
      <c r="AW176" s="93">
        <f>AR176*(1+AW$179)</f>
        <v>55246.173991999996</v>
      </c>
      <c r="AX176" s="1789">
        <f>+BB176*AX$180</f>
        <v>13811.543497999999</v>
      </c>
      <c r="AY176" s="1790">
        <f>+BB176*AY$180</f>
        <v>13811.543497999999</v>
      </c>
      <c r="AZ176" s="1790">
        <f>+BB176*AZ$180</f>
        <v>13811.543497999999</v>
      </c>
      <c r="BA176" s="1791">
        <f>+BB176*BA$180</f>
        <v>13811.543497999999</v>
      </c>
      <c r="BB176" s="93">
        <f>AW176*(1+BB$179)</f>
        <v>55246.173991999996</v>
      </c>
      <c r="BC176" s="1789">
        <f>+BG176*BC$180</f>
        <v>13811.543497999999</v>
      </c>
      <c r="BD176" s="1790">
        <f>+BG176*BD$180</f>
        <v>13811.543497999999</v>
      </c>
      <c r="BE176" s="1790">
        <f>+BG176*BE$180</f>
        <v>13811.543497999999</v>
      </c>
      <c r="BF176" s="1791">
        <f>+BG176*BF$180</f>
        <v>13811.543497999999</v>
      </c>
      <c r="BG176" s="93">
        <f>BB176*(1+BG$179)</f>
        <v>55246.173991999996</v>
      </c>
      <c r="BH176" s="1789">
        <f>+BL176*BH$180</f>
        <v>13811.543497999999</v>
      </c>
      <c r="BI176" s="1790">
        <f>+BL176*BI$180</f>
        <v>13811.543497999999</v>
      </c>
      <c r="BJ176" s="1790">
        <f>+BL176*BJ$180</f>
        <v>13811.543497999999</v>
      </c>
      <c r="BK176" s="1791">
        <f>+BL176*BK$180</f>
        <v>13811.543497999999</v>
      </c>
      <c r="BL176" s="93">
        <f>BG176*(1+BL$179)</f>
        <v>55246.173991999996</v>
      </c>
      <c r="BM176" s="1789">
        <f>+BQ176*BM$180</f>
        <v>13811.543497999999</v>
      </c>
      <c r="BN176" s="1790">
        <f>+BQ176*BN$180</f>
        <v>13811.543497999999</v>
      </c>
      <c r="BO176" s="1790">
        <f>+BQ176*BO$180</f>
        <v>13811.543497999999</v>
      </c>
      <c r="BP176" s="1791">
        <f>+BQ176*BP$180</f>
        <v>13811.543497999999</v>
      </c>
      <c r="BQ176" s="93">
        <f>BL176*(1+BQ$179)</f>
        <v>55246.173991999996</v>
      </c>
      <c r="BT176" s="1099" t="s">
        <v>619</v>
      </c>
    </row>
    <row r="177" spans="1:84">
      <c r="A177" s="120"/>
      <c r="B177" s="120"/>
      <c r="C177" s="1187"/>
      <c r="E177" s="288"/>
      <c r="F177" s="289"/>
      <c r="G177" s="289"/>
      <c r="H177" s="299"/>
      <c r="I177" s="291"/>
      <c r="J177" s="288"/>
      <c r="K177" s="289"/>
      <c r="L177" s="289"/>
      <c r="M177" s="299"/>
      <c r="N177" s="315"/>
      <c r="O177" s="288"/>
      <c r="P177" s="289"/>
      <c r="Q177" s="289"/>
      <c r="R177" s="299"/>
      <c r="S177" s="315"/>
      <c r="T177" s="133"/>
      <c r="U177" s="134"/>
      <c r="V177" s="134"/>
      <c r="W177" s="135"/>
      <c r="X177" s="178"/>
      <c r="Y177" s="133"/>
      <c r="Z177" s="134"/>
      <c r="AA177" s="134"/>
      <c r="AB177" s="135"/>
      <c r="AC177" s="178"/>
      <c r="AD177" s="133"/>
      <c r="AE177" s="134"/>
      <c r="AF177" s="134"/>
      <c r="AG177" s="135"/>
      <c r="AH177" s="178"/>
      <c r="AI177" s="133"/>
      <c r="AJ177" s="134"/>
      <c r="AK177" s="134"/>
      <c r="AL177" s="135"/>
      <c r="AM177" s="178"/>
      <c r="AN177" s="133"/>
      <c r="AO177" s="134"/>
      <c r="AP177" s="134"/>
      <c r="AQ177" s="135"/>
      <c r="AR177" s="178"/>
      <c r="AS177" s="133"/>
      <c r="AT177" s="134"/>
      <c r="AU177" s="134"/>
      <c r="AV177" s="135"/>
      <c r="AW177" s="178"/>
      <c r="AX177" s="133"/>
      <c r="AY177" s="134"/>
      <c r="AZ177" s="134"/>
      <c r="BA177" s="135"/>
      <c r="BB177" s="178"/>
      <c r="BC177" s="133"/>
      <c r="BD177" s="134"/>
      <c r="BE177" s="134"/>
      <c r="BF177" s="135"/>
      <c r="BG177" s="178"/>
      <c r="BH177" s="133"/>
      <c r="BI177" s="134"/>
      <c r="BJ177" s="134"/>
      <c r="BK177" s="135"/>
      <c r="BL177" s="178"/>
      <c r="BM177" s="133"/>
      <c r="BN177" s="134"/>
      <c r="BO177" s="134"/>
      <c r="BP177" s="135"/>
      <c r="BQ177" s="178"/>
      <c r="BT177" s="1023" t="s">
        <v>448</v>
      </c>
      <c r="BU177" s="1112" t="s">
        <v>622</v>
      </c>
      <c r="BV177" s="1112"/>
      <c r="BW177" s="1112">
        <v>2014</v>
      </c>
      <c r="BX177" s="1112">
        <v>2015</v>
      </c>
      <c r="BY177" s="1112">
        <v>2016</v>
      </c>
      <c r="BZ177" s="1112">
        <v>2017</v>
      </c>
      <c r="CA177" s="1112">
        <v>2018</v>
      </c>
      <c r="CB177" s="1112">
        <v>2019</v>
      </c>
      <c r="CC177" s="1112">
        <v>2020</v>
      </c>
      <c r="CD177" s="1113">
        <v>2021</v>
      </c>
    </row>
    <row r="178" spans="1:84">
      <c r="A178" s="120"/>
      <c r="B178" s="120"/>
      <c r="C178" s="1251" t="s">
        <v>62</v>
      </c>
      <c r="E178" s="288"/>
      <c r="F178" s="289"/>
      <c r="G178" s="289"/>
      <c r="H178" s="299"/>
      <c r="I178" s="291"/>
      <c r="J178" s="288"/>
      <c r="K178" s="289"/>
      <c r="L178" s="289"/>
      <c r="M178" s="299"/>
      <c r="N178" s="315"/>
      <c r="O178" s="288"/>
      <c r="P178" s="289"/>
      <c r="Q178" s="289"/>
      <c r="R178" s="299"/>
      <c r="S178" s="315"/>
      <c r="T178" s="133"/>
      <c r="U178" s="134"/>
      <c r="V178" s="134"/>
      <c r="W178" s="135"/>
      <c r="X178" s="178"/>
      <c r="Y178" s="133"/>
      <c r="Z178" s="134"/>
      <c r="AA178" s="134"/>
      <c r="AB178" s="135"/>
      <c r="AC178" s="178"/>
      <c r="AD178" s="133"/>
      <c r="AE178" s="134"/>
      <c r="AF178" s="134"/>
      <c r="AG178" s="135"/>
      <c r="AH178" s="178"/>
      <c r="AI178" s="133"/>
      <c r="AJ178" s="134"/>
      <c r="AK178" s="134"/>
      <c r="AL178" s="135"/>
      <c r="AM178" s="178"/>
      <c r="AN178" s="133"/>
      <c r="AO178" s="134"/>
      <c r="AP178" s="134"/>
      <c r="AQ178" s="135"/>
      <c r="AR178" s="178"/>
      <c r="AS178" s="133"/>
      <c r="AT178" s="134"/>
      <c r="AU178" s="134"/>
      <c r="AV178" s="135"/>
      <c r="AW178" s="178"/>
      <c r="AX178" s="133"/>
      <c r="AY178" s="134"/>
      <c r="AZ178" s="134"/>
      <c r="BA178" s="135"/>
      <c r="BB178" s="178"/>
      <c r="BC178" s="133"/>
      <c r="BD178" s="134"/>
      <c r="BE178" s="134"/>
      <c r="BF178" s="135"/>
      <c r="BG178" s="178"/>
      <c r="BH178" s="133"/>
      <c r="BI178" s="134"/>
      <c r="BJ178" s="134"/>
      <c r="BK178" s="135"/>
      <c r="BL178" s="178"/>
      <c r="BM178" s="133"/>
      <c r="BN178" s="134"/>
      <c r="BO178" s="134"/>
      <c r="BP178" s="135"/>
      <c r="BQ178" s="178"/>
      <c r="BT178" s="1114" t="s">
        <v>660</v>
      </c>
      <c r="BU178" s="124"/>
      <c r="BV178" s="1115"/>
      <c r="BW178" s="1803">
        <f>+AH185</f>
        <v>56</v>
      </c>
      <c r="BX178" s="1803">
        <v>56</v>
      </c>
      <c r="BY178" s="1803">
        <f>+AR185</f>
        <v>52</v>
      </c>
      <c r="BZ178" s="1804">
        <f>SUM(BZ179:BZ185)</f>
        <v>47.109374197454741</v>
      </c>
      <c r="CA178" s="1804">
        <f>SUM(CA179:CA185)</f>
        <v>51.89902359429226</v>
      </c>
      <c r="CB178" s="1804">
        <f>SUM(CB179:CB185)</f>
        <v>49.16729237336574</v>
      </c>
      <c r="CC178" s="1804">
        <f>SUM(CC179:CC185)</f>
        <v>47.886268581716479</v>
      </c>
      <c r="CD178" s="1805">
        <f>SUM(CD179:CD185)</f>
        <v>48.538947750077966</v>
      </c>
    </row>
    <row r="179" spans="1:84">
      <c r="A179" s="328"/>
      <c r="B179" s="328"/>
      <c r="C179" s="1187" t="s">
        <v>174</v>
      </c>
      <c r="E179" s="288"/>
      <c r="F179" s="289"/>
      <c r="G179" s="289"/>
      <c r="H179" s="299"/>
      <c r="I179" s="291"/>
      <c r="J179" s="288"/>
      <c r="K179" s="289"/>
      <c r="L179" s="289"/>
      <c r="M179" s="299"/>
      <c r="N179" s="315"/>
      <c r="O179" s="288"/>
      <c r="P179" s="289"/>
      <c r="Q179" s="289"/>
      <c r="R179" s="299"/>
      <c r="S179" s="730"/>
      <c r="T179" s="133"/>
      <c r="U179" s="134"/>
      <c r="V179" s="134"/>
      <c r="W179" s="135"/>
      <c r="X179" s="178"/>
      <c r="Y179" s="133"/>
      <c r="Z179" s="134"/>
      <c r="AA179" s="134"/>
      <c r="AB179" s="135"/>
      <c r="AC179" s="1272"/>
      <c r="AD179" s="133"/>
      <c r="AE179" s="134"/>
      <c r="AF179" s="134"/>
      <c r="AG179" s="135"/>
      <c r="AH179" s="1272">
        <f>+AH176/AC176-1</f>
        <v>-8.9288016947591364E-2</v>
      </c>
      <c r="AI179" s="836"/>
      <c r="AJ179" s="837"/>
      <c r="AK179" s="837"/>
      <c r="AL179" s="838"/>
      <c r="AM179" s="850">
        <v>-0.27</v>
      </c>
      <c r="AN179" s="836"/>
      <c r="AO179" s="837"/>
      <c r="AP179" s="837"/>
      <c r="AQ179" s="838"/>
      <c r="AR179" s="850">
        <v>-0.11</v>
      </c>
      <c r="AS179" s="836"/>
      <c r="AT179" s="837"/>
      <c r="AU179" s="837"/>
      <c r="AV179" s="838"/>
      <c r="AW179" s="2220">
        <v>-0.14000000000000001</v>
      </c>
      <c r="AX179" s="836"/>
      <c r="AY179" s="837"/>
      <c r="AZ179" s="837"/>
      <c r="BA179" s="838"/>
      <c r="BB179" s="850">
        <v>0</v>
      </c>
      <c r="BC179" s="836"/>
      <c r="BD179" s="837"/>
      <c r="BE179" s="837"/>
      <c r="BF179" s="838"/>
      <c r="BG179" s="850">
        <v>0</v>
      </c>
      <c r="BH179" s="836"/>
      <c r="BI179" s="837"/>
      <c r="BJ179" s="837"/>
      <c r="BK179" s="838"/>
      <c r="BL179" s="850">
        <v>0</v>
      </c>
      <c r="BM179" s="836"/>
      <c r="BN179" s="837"/>
      <c r="BO179" s="837"/>
      <c r="BP179" s="838"/>
      <c r="BQ179" s="850">
        <v>0</v>
      </c>
      <c r="BT179" s="1158" t="s">
        <v>696</v>
      </c>
      <c r="BU179" s="94" t="s">
        <v>620</v>
      </c>
      <c r="BV179" s="1161"/>
      <c r="BW179" s="1804">
        <f>+AH202</f>
        <v>43.487175165000529</v>
      </c>
      <c r="BX179" s="1804">
        <f>+AM202</f>
        <v>30.885174131682103</v>
      </c>
      <c r="BY179" s="1804">
        <f>+AR202</f>
        <v>27.401558493716657</v>
      </c>
      <c r="BZ179" s="1804">
        <f>+AW202</f>
        <v>28.354568558466088</v>
      </c>
      <c r="CA179" s="1804">
        <f>+BB202</f>
        <v>31.93415986619717</v>
      </c>
      <c r="CB179" s="1804">
        <f>+BG202</f>
        <v>29.849274791617503</v>
      </c>
      <c r="CC179" s="1804">
        <f>+BL202</f>
        <v>29.491426458300005</v>
      </c>
      <c r="CD179" s="1805">
        <f>+BQ202</f>
        <v>28.642375323477101</v>
      </c>
    </row>
    <row r="180" spans="1:84">
      <c r="A180" s="328"/>
      <c r="B180" s="328"/>
      <c r="C180" s="1187" t="s">
        <v>52</v>
      </c>
      <c r="E180" s="288"/>
      <c r="F180" s="289"/>
      <c r="G180" s="289"/>
      <c r="H180" s="299"/>
      <c r="I180" s="291"/>
      <c r="J180" s="288"/>
      <c r="K180" s="289"/>
      <c r="L180" s="289"/>
      <c r="M180" s="299"/>
      <c r="N180" s="315"/>
      <c r="O180" s="288"/>
      <c r="P180" s="289"/>
      <c r="Q180" s="289"/>
      <c r="R180" s="299"/>
      <c r="S180" s="730"/>
      <c r="T180" s="820"/>
      <c r="U180" s="818"/>
      <c r="V180" s="818"/>
      <c r="W180" s="819"/>
      <c r="X180" s="283"/>
      <c r="Y180" s="820"/>
      <c r="Z180" s="818"/>
      <c r="AA180" s="818"/>
      <c r="AB180" s="819"/>
      <c r="AC180" s="1101"/>
      <c r="AD180" s="820">
        <v>0.25</v>
      </c>
      <c r="AE180" s="818">
        <v>0.25</v>
      </c>
      <c r="AF180" s="818">
        <v>0.25</v>
      </c>
      <c r="AG180" s="819">
        <v>0.25</v>
      </c>
      <c r="AH180" s="1101">
        <f>SUM(AD180:AG180)</f>
        <v>1</v>
      </c>
      <c r="AI180" s="820">
        <v>0.25</v>
      </c>
      <c r="AJ180" s="818">
        <v>0.25</v>
      </c>
      <c r="AK180" s="818">
        <v>0.25</v>
      </c>
      <c r="AL180" s="819">
        <v>0.25</v>
      </c>
      <c r="AM180" s="1792">
        <f>SUM(AI180:AL180)</f>
        <v>1</v>
      </c>
      <c r="AN180" s="1325">
        <v>0.25</v>
      </c>
      <c r="AO180" s="1307">
        <v>0.2</v>
      </c>
      <c r="AP180" s="1307">
        <v>0.3</v>
      </c>
      <c r="AQ180" s="1326">
        <v>0.25</v>
      </c>
      <c r="AR180" s="1792">
        <f>SUM(AN180:AQ180)</f>
        <v>1</v>
      </c>
      <c r="AS180" s="1325">
        <v>0.25</v>
      </c>
      <c r="AT180" s="1307">
        <v>0.25</v>
      </c>
      <c r="AU180" s="1307">
        <v>0.25</v>
      </c>
      <c r="AV180" s="1326">
        <v>0.25</v>
      </c>
      <c r="AW180" s="1792">
        <f>SUM(AS180:AV180)</f>
        <v>1</v>
      </c>
      <c r="AX180" s="1325">
        <v>0.25</v>
      </c>
      <c r="AY180" s="1307">
        <v>0.25</v>
      </c>
      <c r="AZ180" s="1307">
        <v>0.25</v>
      </c>
      <c r="BA180" s="1326">
        <v>0.25</v>
      </c>
      <c r="BB180" s="1792">
        <f>SUM(AX180:BA180)</f>
        <v>1</v>
      </c>
      <c r="BC180" s="1325">
        <v>0.25</v>
      </c>
      <c r="BD180" s="1307">
        <v>0.25</v>
      </c>
      <c r="BE180" s="1307">
        <v>0.25</v>
      </c>
      <c r="BF180" s="1326">
        <v>0.25</v>
      </c>
      <c r="BG180" s="1792">
        <f>SUM(BC180:BF180)</f>
        <v>1</v>
      </c>
      <c r="BH180" s="1325">
        <v>0.25</v>
      </c>
      <c r="BI180" s="1307">
        <v>0.25</v>
      </c>
      <c r="BJ180" s="1307">
        <v>0.25</v>
      </c>
      <c r="BK180" s="1326">
        <v>0.25</v>
      </c>
      <c r="BL180" s="1792">
        <f>SUM(BH180:BK180)</f>
        <v>1</v>
      </c>
      <c r="BM180" s="1325">
        <v>0.25</v>
      </c>
      <c r="BN180" s="1307">
        <v>0.25</v>
      </c>
      <c r="BO180" s="1307">
        <v>0.25</v>
      </c>
      <c r="BP180" s="1326">
        <v>0.25</v>
      </c>
      <c r="BQ180" s="1792">
        <f>SUM(BM180:BP180)</f>
        <v>1</v>
      </c>
      <c r="BT180" s="1114" t="s">
        <v>697</v>
      </c>
      <c r="BU180" s="94" t="s">
        <v>620</v>
      </c>
      <c r="BV180" s="1161"/>
      <c r="BW180" s="1804">
        <f>+AH203</f>
        <v>1.9490243055555556</v>
      </c>
      <c r="BX180" s="1804">
        <f>+AM203</f>
        <v>4.498255208333334</v>
      </c>
      <c r="BY180" s="1804">
        <f>+AR203</f>
        <v>3.392086805555556</v>
      </c>
      <c r="BZ180" s="1804">
        <f>+AW203</f>
        <v>2.4963888888888888</v>
      </c>
      <c r="CA180" s="1804">
        <f>+BB203</f>
        <v>3.348487847222223</v>
      </c>
      <c r="CB180" s="1804">
        <f>+BG203</f>
        <v>2.9101302083333338</v>
      </c>
      <c r="CC180" s="1804">
        <f>+BL203</f>
        <v>2.0227395833333337</v>
      </c>
      <c r="CD180" s="1805">
        <f>+BQ203</f>
        <v>3.6093750000000004</v>
      </c>
    </row>
    <row r="181" spans="1:84">
      <c r="A181" s="120"/>
      <c r="B181" s="120"/>
      <c r="C181" s="1187"/>
      <c r="E181" s="288"/>
      <c r="F181" s="289"/>
      <c r="G181" s="289"/>
      <c r="H181" s="299"/>
      <c r="I181" s="291"/>
      <c r="J181" s="288"/>
      <c r="K181" s="289"/>
      <c r="L181" s="289"/>
      <c r="M181" s="299"/>
      <c r="N181" s="315"/>
      <c r="O181" s="815"/>
      <c r="P181" s="812"/>
      <c r="Q181" s="812"/>
      <c r="R181" s="813"/>
      <c r="S181" s="814"/>
      <c r="T181" s="815"/>
      <c r="U181" s="812"/>
      <c r="V181" s="812"/>
      <c r="W181" s="813"/>
      <c r="X181" s="814"/>
      <c r="Y181" s="815"/>
      <c r="Z181" s="812"/>
      <c r="AA181" s="812"/>
      <c r="AB181" s="813"/>
      <c r="AC181" s="814"/>
      <c r="AD181" s="815"/>
      <c r="AE181" s="812"/>
      <c r="AF181" s="812"/>
      <c r="AG181" s="813"/>
      <c r="AH181" s="814"/>
      <c r="AI181" s="815"/>
      <c r="AJ181" s="812"/>
      <c r="AK181" s="812"/>
      <c r="AL181" s="813"/>
      <c r="AM181" s="1793"/>
      <c r="AN181" s="1794"/>
      <c r="AO181" s="1795"/>
      <c r="AP181" s="1795"/>
      <c r="AQ181" s="1796"/>
      <c r="AR181" s="178"/>
      <c r="AS181" s="1794"/>
      <c r="AT181" s="1795"/>
      <c r="AU181" s="1795"/>
      <c r="AV181" s="1796"/>
      <c r="AW181" s="178"/>
      <c r="AX181" s="1794"/>
      <c r="AY181" s="1795"/>
      <c r="AZ181" s="1795"/>
      <c r="BA181" s="1796"/>
      <c r="BB181" s="178"/>
      <c r="BC181" s="1794"/>
      <c r="BD181" s="1795"/>
      <c r="BE181" s="1795"/>
      <c r="BF181" s="1796"/>
      <c r="BG181" s="178"/>
      <c r="BH181" s="1794"/>
      <c r="BI181" s="1795"/>
      <c r="BJ181" s="1795"/>
      <c r="BK181" s="1796"/>
      <c r="BL181" s="178"/>
      <c r="BM181" s="1794"/>
      <c r="BN181" s="1795"/>
      <c r="BO181" s="1795"/>
      <c r="BP181" s="1796"/>
      <c r="BQ181" s="178"/>
      <c r="BT181" s="1114" t="s">
        <v>786</v>
      </c>
      <c r="BU181" s="124" t="s">
        <v>620</v>
      </c>
      <c r="BV181" s="1161"/>
      <c r="BW181" s="1804">
        <f>+AH204</f>
        <v>2.1743587582500266</v>
      </c>
      <c r="BX181" s="1804">
        <f>+AM204</f>
        <v>1.5442587065841049</v>
      </c>
      <c r="BY181" s="1804">
        <f>+AR204</f>
        <v>1.370077924685833</v>
      </c>
      <c r="BZ181" s="1804">
        <f>+AW204</f>
        <v>1.4177284279233044</v>
      </c>
      <c r="CA181" s="1804">
        <f>+BB204</f>
        <v>1.5967079933098587</v>
      </c>
      <c r="CB181" s="1804">
        <f>+BG204</f>
        <v>1.4924637395808753</v>
      </c>
      <c r="CC181" s="1804">
        <f>+BL204</f>
        <v>1.4745713229150004</v>
      </c>
      <c r="CD181" s="1805">
        <f>+BQ204</f>
        <v>1.432118766173855</v>
      </c>
    </row>
    <row r="182" spans="1:84">
      <c r="A182" s="120"/>
      <c r="B182" s="120"/>
      <c r="C182" s="1187" t="s">
        <v>53</v>
      </c>
      <c r="E182" s="288"/>
      <c r="F182" s="289"/>
      <c r="G182" s="289"/>
      <c r="H182" s="299"/>
      <c r="I182" s="291"/>
      <c r="J182" s="288"/>
      <c r="K182" s="289"/>
      <c r="L182" s="289"/>
      <c r="M182" s="299"/>
      <c r="N182" s="315"/>
      <c r="O182" s="288"/>
      <c r="P182" s="289"/>
      <c r="Q182" s="289"/>
      <c r="R182" s="299"/>
      <c r="S182" s="730"/>
      <c r="T182" s="836"/>
      <c r="U182" s="837"/>
      <c r="V182" s="837"/>
      <c r="W182" s="838"/>
      <c r="X182" s="1272"/>
      <c r="Y182" s="836"/>
      <c r="Z182" s="837"/>
      <c r="AA182" s="837"/>
      <c r="AB182" s="838"/>
      <c r="AC182" s="1272"/>
      <c r="AD182" s="836"/>
      <c r="AE182" s="837"/>
      <c r="AF182" s="837"/>
      <c r="AG182" s="838"/>
      <c r="AH182" s="1272">
        <f>+BW195</f>
        <v>0.98102674056393868</v>
      </c>
      <c r="AI182" s="836"/>
      <c r="AJ182" s="837"/>
      <c r="AK182" s="837"/>
      <c r="AL182" s="838"/>
      <c r="AM182" s="1797">
        <f>+BX195</f>
        <v>1</v>
      </c>
      <c r="AN182" s="836"/>
      <c r="AO182" s="837"/>
      <c r="AP182" s="837"/>
      <c r="AQ182" s="838"/>
      <c r="AR182" s="1797">
        <f>+BY195</f>
        <v>1</v>
      </c>
      <c r="AS182" s="2221">
        <f t="shared" ref="AS182:AS183" si="379">AW182</f>
        <v>0.76</v>
      </c>
      <c r="AT182" s="2222">
        <f t="shared" ref="AT182:AT183" si="380">AW182</f>
        <v>0.76</v>
      </c>
      <c r="AU182" s="2222">
        <f t="shared" ref="AU182:AU183" si="381">AW182</f>
        <v>0.76</v>
      </c>
      <c r="AV182" s="2223">
        <f t="shared" ref="AV182:AV183" si="382">AW182</f>
        <v>0.76</v>
      </c>
      <c r="AW182" s="2220">
        <v>0.76</v>
      </c>
      <c r="AX182" s="2221">
        <f t="shared" ref="AX182:AX183" si="383">BB182</f>
        <v>0.47</v>
      </c>
      <c r="AY182" s="2222">
        <f t="shared" ref="AY182:AY183" si="384">BB182</f>
        <v>0.47</v>
      </c>
      <c r="AZ182" s="2222">
        <f t="shared" ref="AZ182:AZ183" si="385">BB182</f>
        <v>0.47</v>
      </c>
      <c r="BA182" s="2223">
        <f t="shared" ref="BA182:BA183" si="386">BB182</f>
        <v>0.47</v>
      </c>
      <c r="BB182" s="2220">
        <v>0.47</v>
      </c>
      <c r="BC182" s="836"/>
      <c r="BD182" s="837"/>
      <c r="BE182" s="837"/>
      <c r="BF182" s="838"/>
      <c r="BG182" s="850">
        <v>0</v>
      </c>
      <c r="BH182" s="836"/>
      <c r="BI182" s="837"/>
      <c r="BJ182" s="837"/>
      <c r="BK182" s="838"/>
      <c r="BL182" s="850">
        <v>0</v>
      </c>
      <c r="BM182" s="836"/>
      <c r="BN182" s="837"/>
      <c r="BO182" s="837"/>
      <c r="BP182" s="838"/>
      <c r="BQ182" s="850">
        <v>0</v>
      </c>
      <c r="BT182" s="1114" t="s">
        <v>623</v>
      </c>
      <c r="BU182" s="94" t="s">
        <v>621</v>
      </c>
      <c r="BV182" s="1161"/>
      <c r="BW182" s="1804">
        <f>+AH205</f>
        <v>4.174358758250027</v>
      </c>
      <c r="BX182" s="1804">
        <f>+AM205</f>
        <v>3.5442587065841051</v>
      </c>
      <c r="BY182" s="1804">
        <f>+AR205</f>
        <v>3.370077924685833</v>
      </c>
      <c r="BZ182" s="1804">
        <f>+AW205</f>
        <v>3.4177284279233047</v>
      </c>
      <c r="CA182" s="1804">
        <f>+BB205</f>
        <v>3.5967079933098587</v>
      </c>
      <c r="CB182" s="1804">
        <f>+BG205</f>
        <v>3.4924637395808751</v>
      </c>
      <c r="CC182" s="1804">
        <f>+BL205</f>
        <v>3.4745713229150001</v>
      </c>
      <c r="CD182" s="1805">
        <f>+BQ205</f>
        <v>3.432118766173855</v>
      </c>
    </row>
    <row r="183" spans="1:84">
      <c r="A183" s="120"/>
      <c r="B183" s="120"/>
      <c r="C183" s="2183" t="s">
        <v>1151</v>
      </c>
      <c r="E183" s="288"/>
      <c r="F183" s="289"/>
      <c r="G183" s="289"/>
      <c r="H183" s="299"/>
      <c r="I183" s="291"/>
      <c r="J183" s="288"/>
      <c r="K183" s="289"/>
      <c r="L183" s="289"/>
      <c r="M183" s="299"/>
      <c r="N183" s="315"/>
      <c r="O183" s="288"/>
      <c r="P183" s="289"/>
      <c r="Q183" s="289"/>
      <c r="R183" s="299"/>
      <c r="S183" s="730"/>
      <c r="T183" s="836"/>
      <c r="U183" s="837"/>
      <c r="V183" s="837"/>
      <c r="W183" s="838"/>
      <c r="X183" s="1272"/>
      <c r="Y183" s="836"/>
      <c r="Z183" s="837"/>
      <c r="AA183" s="837"/>
      <c r="AB183" s="838"/>
      <c r="AC183" s="1272"/>
      <c r="AD183" s="836"/>
      <c r="AE183" s="837"/>
      <c r="AF183" s="837"/>
      <c r="AG183" s="838"/>
      <c r="AH183" s="1272"/>
      <c r="AI183" s="836"/>
      <c r="AJ183" s="837"/>
      <c r="AK183" s="837"/>
      <c r="AL183" s="838"/>
      <c r="AM183" s="1797"/>
      <c r="AN183" s="836"/>
      <c r="AO183" s="837"/>
      <c r="AP183" s="837"/>
      <c r="AQ183" s="838"/>
      <c r="AR183" s="1797"/>
      <c r="AS183" s="2221">
        <f t="shared" si="379"/>
        <v>0.09</v>
      </c>
      <c r="AT183" s="2222">
        <f t="shared" si="380"/>
        <v>0.09</v>
      </c>
      <c r="AU183" s="2222">
        <f t="shared" si="381"/>
        <v>0.09</v>
      </c>
      <c r="AV183" s="2223">
        <f t="shared" si="382"/>
        <v>0.09</v>
      </c>
      <c r="AW183" s="2220">
        <v>0.09</v>
      </c>
      <c r="AX183" s="2221">
        <f t="shared" si="383"/>
        <v>0.02</v>
      </c>
      <c r="AY183" s="2222">
        <f t="shared" si="384"/>
        <v>0.02</v>
      </c>
      <c r="AZ183" s="2222">
        <f t="shared" si="385"/>
        <v>0.02</v>
      </c>
      <c r="BA183" s="2223">
        <f t="shared" si="386"/>
        <v>0.02</v>
      </c>
      <c r="BB183" s="2220">
        <v>0.02</v>
      </c>
      <c r="BC183" s="836"/>
      <c r="BD183" s="837"/>
      <c r="BE183" s="837"/>
      <c r="BF183" s="838"/>
      <c r="BG183" s="850"/>
      <c r="BH183" s="836"/>
      <c r="BI183" s="837"/>
      <c r="BJ183" s="837"/>
      <c r="BK183" s="838"/>
      <c r="BL183" s="850"/>
      <c r="BM183" s="836"/>
      <c r="BN183" s="837"/>
      <c r="BO183" s="837"/>
      <c r="BP183" s="838"/>
      <c r="BQ183" s="850"/>
      <c r="BT183" s="1114"/>
      <c r="BU183" s="94"/>
      <c r="BV183" s="1161"/>
      <c r="BW183" s="1804"/>
      <c r="BX183" s="1804"/>
      <c r="BY183" s="1804"/>
      <c r="BZ183" s="1804"/>
      <c r="CA183" s="1804"/>
      <c r="CB183" s="1804"/>
      <c r="CC183" s="1804"/>
      <c r="CD183" s="2255"/>
    </row>
    <row r="184" spans="1:84">
      <c r="A184" s="120"/>
      <c r="B184" s="120"/>
      <c r="C184" s="1187"/>
      <c r="E184" s="288"/>
      <c r="F184" s="289"/>
      <c r="G184" s="289"/>
      <c r="H184" s="299"/>
      <c r="I184" s="291"/>
      <c r="J184" s="288"/>
      <c r="K184" s="289"/>
      <c r="L184" s="289"/>
      <c r="M184" s="299"/>
      <c r="N184" s="315"/>
      <c r="O184" s="288"/>
      <c r="P184" s="289"/>
      <c r="Q184" s="289"/>
      <c r="R184" s="299"/>
      <c r="S184" s="730"/>
      <c r="T184" s="836"/>
      <c r="U184" s="837"/>
      <c r="V184" s="837"/>
      <c r="W184" s="838"/>
      <c r="X184" s="839"/>
      <c r="Y184" s="836"/>
      <c r="Z184" s="837"/>
      <c r="AA184" s="837"/>
      <c r="AB184" s="838"/>
      <c r="AC184" s="839"/>
      <c r="AD184" s="836"/>
      <c r="AE184" s="837"/>
      <c r="AF184" s="837"/>
      <c r="AG184" s="838"/>
      <c r="AH184" s="282"/>
      <c r="AI184" s="836"/>
      <c r="AJ184" s="837"/>
      <c r="AK184" s="837"/>
      <c r="AL184" s="838"/>
      <c r="AM184" s="850"/>
      <c r="AN184" s="836"/>
      <c r="AO184" s="837"/>
      <c r="AP184" s="837"/>
      <c r="AQ184" s="838"/>
      <c r="AR184" s="850"/>
      <c r="AS184" s="2221"/>
      <c r="AT184" s="2222"/>
      <c r="AU184" s="2222"/>
      <c r="AV184" s="2223"/>
      <c r="AW184" s="2220"/>
      <c r="AX184" s="2221"/>
      <c r="AY184" s="2222"/>
      <c r="AZ184" s="2222"/>
      <c r="BA184" s="2223"/>
      <c r="BB184" s="2220"/>
      <c r="BC184" s="836"/>
      <c r="BD184" s="837"/>
      <c r="BE184" s="837"/>
      <c r="BF184" s="838"/>
      <c r="BG184" s="850"/>
      <c r="BH184" s="836"/>
      <c r="BI184" s="837"/>
      <c r="BJ184" s="837"/>
      <c r="BK184" s="838"/>
      <c r="BL184" s="850"/>
      <c r="BM184" s="836"/>
      <c r="BN184" s="837"/>
      <c r="BO184" s="837"/>
      <c r="BP184" s="838"/>
      <c r="BQ184" s="850"/>
      <c r="BT184" s="1160" t="s">
        <v>466</v>
      </c>
      <c r="BU184" s="124"/>
      <c r="BV184" s="124"/>
      <c r="BW184" s="1804">
        <f>AH206</f>
        <v>1</v>
      </c>
      <c r="BX184" s="1804">
        <f>AM206</f>
        <v>8.3417988070698872</v>
      </c>
      <c r="BY184" s="1804">
        <f>AR206</f>
        <v>9.5041209814364116</v>
      </c>
      <c r="BZ184" s="1804">
        <f>AW206</f>
        <v>8.9229598942531503</v>
      </c>
      <c r="CA184" s="1804">
        <f>BB206</f>
        <v>8.9229598942531503</v>
      </c>
      <c r="CB184" s="1804">
        <f>BG206</f>
        <v>8.9229598942531503</v>
      </c>
      <c r="CC184" s="1804">
        <f>BL206</f>
        <v>8.9229598942531503</v>
      </c>
      <c r="CD184" s="1805">
        <f>BQ206</f>
        <v>8.9229598942531503</v>
      </c>
    </row>
    <row r="185" spans="1:84" s="12" customFormat="1">
      <c r="A185" s="87"/>
      <c r="B185" s="87"/>
      <c r="C185" s="1179" t="s">
        <v>59</v>
      </c>
      <c r="E185" s="301"/>
      <c r="F185" s="302"/>
      <c r="G185" s="302"/>
      <c r="H185" s="303"/>
      <c r="I185" s="300"/>
      <c r="J185" s="301"/>
      <c r="K185" s="302"/>
      <c r="L185" s="302"/>
      <c r="M185" s="303"/>
      <c r="N185" s="285"/>
      <c r="O185" s="301"/>
      <c r="P185" s="302"/>
      <c r="Q185" s="302"/>
      <c r="R185" s="303"/>
      <c r="S185" s="508"/>
      <c r="T185" s="840"/>
      <c r="U185" s="841"/>
      <c r="V185" s="841"/>
      <c r="W185" s="842"/>
      <c r="X185" s="1103"/>
      <c r="Y185" s="840"/>
      <c r="Z185" s="841"/>
      <c r="AA185" s="841"/>
      <c r="AB185" s="842"/>
      <c r="AC185" s="1103"/>
      <c r="AD185" s="840">
        <f>AH185</f>
        <v>56</v>
      </c>
      <c r="AE185" s="841">
        <f>AH185</f>
        <v>56</v>
      </c>
      <c r="AF185" s="841">
        <f>AH185</f>
        <v>56</v>
      </c>
      <c r="AG185" s="842">
        <f>AH185</f>
        <v>56</v>
      </c>
      <c r="AH185" s="1103">
        <v>56</v>
      </c>
      <c r="AI185" s="840">
        <f>AM185</f>
        <v>55.77622377622378</v>
      </c>
      <c r="AJ185" s="841">
        <f>AM185</f>
        <v>55.77622377622378</v>
      </c>
      <c r="AK185" s="841">
        <f>AM185</f>
        <v>55.77622377622378</v>
      </c>
      <c r="AL185" s="842">
        <f>AM185</f>
        <v>55.77622377622378</v>
      </c>
      <c r="AM185" s="1103">
        <f>(27.6*56+28*63+10.6*45+38*5.3)/(27.6+28+10.6+5.3)</f>
        <v>55.77622377622378</v>
      </c>
      <c r="AN185" s="2016">
        <f>AR185+2</f>
        <v>54</v>
      </c>
      <c r="AO185" s="2017">
        <f>AR185-2</f>
        <v>50</v>
      </c>
      <c r="AP185" s="2017">
        <f>AR185</f>
        <v>52</v>
      </c>
      <c r="AQ185" s="1800">
        <f>AR185</f>
        <v>52</v>
      </c>
      <c r="AR185" s="1103">
        <v>52</v>
      </c>
      <c r="AS185" s="2224">
        <f>AW185</f>
        <v>50</v>
      </c>
      <c r="AT185" s="2225">
        <f>AW185</f>
        <v>50</v>
      </c>
      <c r="AU185" s="2225">
        <f>AW185</f>
        <v>50</v>
      </c>
      <c r="AV185" s="2226">
        <f>AW185</f>
        <v>50</v>
      </c>
      <c r="AW185" s="2227">
        <v>50</v>
      </c>
      <c r="AX185" s="2224">
        <f>BB185</f>
        <v>50</v>
      </c>
      <c r="AY185" s="2225">
        <f>BB185</f>
        <v>50</v>
      </c>
      <c r="AZ185" s="2225">
        <f>BB185</f>
        <v>50</v>
      </c>
      <c r="BA185" s="2226">
        <f>BB185</f>
        <v>50</v>
      </c>
      <c r="BB185" s="2227">
        <v>50</v>
      </c>
      <c r="BC185" s="1798">
        <f>BG185</f>
        <v>0</v>
      </c>
      <c r="BD185" s="1799">
        <f>BG185</f>
        <v>0</v>
      </c>
      <c r="BE185" s="1799">
        <f>BG185</f>
        <v>0</v>
      </c>
      <c r="BF185" s="1800">
        <f>BG185</f>
        <v>0</v>
      </c>
      <c r="BG185" s="1022">
        <v>0</v>
      </c>
      <c r="BH185" s="1798">
        <f>BL185</f>
        <v>0</v>
      </c>
      <c r="BI185" s="1799">
        <f>BL185</f>
        <v>0</v>
      </c>
      <c r="BJ185" s="1799">
        <f>BL185</f>
        <v>0</v>
      </c>
      <c r="BK185" s="1800">
        <f>BL185</f>
        <v>0</v>
      </c>
      <c r="BL185" s="1022">
        <v>0</v>
      </c>
      <c r="BM185" s="1798">
        <f>BQ185</f>
        <v>0</v>
      </c>
      <c r="BN185" s="1799">
        <f>BQ185</f>
        <v>0</v>
      </c>
      <c r="BO185" s="1799">
        <f>BQ185</f>
        <v>0</v>
      </c>
      <c r="BP185" s="1800">
        <f>BQ185</f>
        <v>0</v>
      </c>
      <c r="BQ185" s="1022">
        <v>0</v>
      </c>
      <c r="BR185" s="91"/>
      <c r="BS185" s="91"/>
      <c r="BT185" s="1159" t="s">
        <v>624</v>
      </c>
      <c r="BU185" s="94"/>
      <c r="BV185" s="346"/>
      <c r="BW185" s="346">
        <f>+BW178-SUM(BW179:BW184)</f>
        <v>3.2150830129438575</v>
      </c>
      <c r="BX185" s="346">
        <f>+BX178-SUM(BX179:BX184)</f>
        <v>7.1862544397464703</v>
      </c>
      <c r="BY185" s="346">
        <f>+BY178-SUM(BY179:BY184)</f>
        <v>6.9620778699197103</v>
      </c>
      <c r="BZ185" s="1604">
        <f>+BZ192</f>
        <v>2.5</v>
      </c>
      <c r="CA185" s="1604">
        <f>+CA192</f>
        <v>2.5</v>
      </c>
      <c r="CB185" s="1604">
        <f>+CB192</f>
        <v>2.5</v>
      </c>
      <c r="CC185" s="1604">
        <f>+CC192</f>
        <v>2.5</v>
      </c>
      <c r="CD185" s="1601">
        <f>+CD192</f>
        <v>2.5</v>
      </c>
      <c r="CE185"/>
      <c r="CF185"/>
    </row>
    <row r="186" spans="1:84" s="12" customFormat="1">
      <c r="A186" s="87"/>
      <c r="B186" s="87"/>
      <c r="C186" s="1179" t="s">
        <v>741</v>
      </c>
      <c r="E186" s="301"/>
      <c r="F186" s="302"/>
      <c r="G186" s="302"/>
      <c r="H186" s="303"/>
      <c r="I186" s="103"/>
      <c r="J186" s="101"/>
      <c r="K186" s="75"/>
      <c r="L186" s="75"/>
      <c r="M186" s="1102"/>
      <c r="N186" s="96"/>
      <c r="O186" s="101"/>
      <c r="P186" s="75"/>
      <c r="Q186" s="75"/>
      <c r="R186" s="1102"/>
      <c r="S186" s="96"/>
      <c r="T186" s="104"/>
      <c r="U186" s="77"/>
      <c r="V186" s="77"/>
      <c r="W186" s="102"/>
      <c r="X186" s="96"/>
      <c r="Y186" s="104"/>
      <c r="Z186" s="77"/>
      <c r="AA186" s="77"/>
      <c r="AB186" s="102"/>
      <c r="AC186" s="96"/>
      <c r="AD186" s="104">
        <f>AH186*AD180</f>
        <v>24250</v>
      </c>
      <c r="AE186" s="77">
        <f>AH186*AE180</f>
        <v>24250</v>
      </c>
      <c r="AF186" s="77">
        <f>AH186*AF180</f>
        <v>24250</v>
      </c>
      <c r="AG186" s="102">
        <f>AH186*AG180</f>
        <v>24250</v>
      </c>
      <c r="AH186" s="96">
        <f>AH176*AH182</f>
        <v>97000</v>
      </c>
      <c r="AI186" s="104">
        <f>AM186*AI180</f>
        <v>18044.87</v>
      </c>
      <c r="AJ186" s="77">
        <f>AM186*AJ180</f>
        <v>18044.87</v>
      </c>
      <c r="AK186" s="77">
        <f>AM186*AK180</f>
        <v>18044.87</v>
      </c>
      <c r="AL186" s="102">
        <f>AM186*AL180</f>
        <v>18044.87</v>
      </c>
      <c r="AM186" s="1758">
        <f>AM176*AM182</f>
        <v>72179.48</v>
      </c>
      <c r="AN186" s="1789">
        <f>AR186*AN180</f>
        <v>16059.934299999999</v>
      </c>
      <c r="AO186" s="1790">
        <f>AR186*AO180</f>
        <v>12847.94744</v>
      </c>
      <c r="AP186" s="1790">
        <f>AR186*AP180</f>
        <v>19271.921159999998</v>
      </c>
      <c r="AQ186" s="1791">
        <f>AR186*AQ180</f>
        <v>16059.934299999999</v>
      </c>
      <c r="AR186" s="1758">
        <f>AR176*AR182</f>
        <v>64239.737199999996</v>
      </c>
      <c r="AS186" s="2228">
        <f>AS176*AS182</f>
        <v>10496.773058479999</v>
      </c>
      <c r="AT186" s="2229">
        <f t="shared" ref="AT186:AV186" si="387">AT176*AT182</f>
        <v>10496.773058479999</v>
      </c>
      <c r="AU186" s="2229">
        <f t="shared" si="387"/>
        <v>10496.773058479999</v>
      </c>
      <c r="AV186" s="2230">
        <f t="shared" si="387"/>
        <v>10496.773058479999</v>
      </c>
      <c r="AW186" s="2231">
        <f>SUM(AS186:AV186)</f>
        <v>41987.092233919997</v>
      </c>
      <c r="AX186" s="2228">
        <f>AX176*AX182</f>
        <v>6491.4254440599989</v>
      </c>
      <c r="AY186" s="2229">
        <f t="shared" ref="AY186:BA186" si="388">AY176*AY182</f>
        <v>6491.4254440599989</v>
      </c>
      <c r="AZ186" s="2229">
        <f t="shared" si="388"/>
        <v>6491.4254440599989</v>
      </c>
      <c r="BA186" s="2230">
        <f t="shared" si="388"/>
        <v>6491.4254440599989</v>
      </c>
      <c r="BB186" s="2231">
        <f>SUM(AX186:BA186)</f>
        <v>25965.701776239996</v>
      </c>
      <c r="BC186" s="1789">
        <f>BG186*BC180</f>
        <v>0</v>
      </c>
      <c r="BD186" s="1790">
        <f>BG186*BD180</f>
        <v>0</v>
      </c>
      <c r="BE186" s="1790">
        <f>BG186*BE180</f>
        <v>0</v>
      </c>
      <c r="BF186" s="1791">
        <f>BG186*BF180</f>
        <v>0</v>
      </c>
      <c r="BG186" s="1758">
        <f>BG176*BG182</f>
        <v>0</v>
      </c>
      <c r="BH186" s="1789">
        <f>BL186*BH180</f>
        <v>0</v>
      </c>
      <c r="BI186" s="1790">
        <f>BL186*BI180</f>
        <v>0</v>
      </c>
      <c r="BJ186" s="1790">
        <f>BL186*BJ180</f>
        <v>0</v>
      </c>
      <c r="BK186" s="1791">
        <f>BL186*BK180</f>
        <v>0</v>
      </c>
      <c r="BL186" s="1758">
        <f>BL176*BL182</f>
        <v>0</v>
      </c>
      <c r="BM186" s="1789">
        <f>BQ186*BM180</f>
        <v>0</v>
      </c>
      <c r="BN186" s="1790">
        <f>BQ186*BN180</f>
        <v>0</v>
      </c>
      <c r="BO186" s="1790">
        <f>BQ186*BO180</f>
        <v>0</v>
      </c>
      <c r="BP186" s="1791">
        <f>BQ186*BP180</f>
        <v>0</v>
      </c>
      <c r="BQ186" s="1758">
        <f>BQ176*BQ182</f>
        <v>0</v>
      </c>
      <c r="BR186" s="91"/>
      <c r="BS186" s="91"/>
      <c r="BT186" s="1160"/>
      <c r="BU186" s="94"/>
      <c r="BV186" s="94"/>
      <c r="BW186" s="94"/>
      <c r="BX186" s="94"/>
      <c r="BY186" s="94"/>
      <c r="BZ186" s="94"/>
      <c r="CA186" s="94"/>
      <c r="CB186" s="94"/>
      <c r="CC186" s="94"/>
      <c r="CD186" s="2256"/>
      <c r="CE186"/>
      <c r="CF186"/>
    </row>
    <row r="187" spans="1:84" s="12" customFormat="1">
      <c r="A187" s="87"/>
      <c r="B187" s="87"/>
      <c r="C187" s="2183" t="s">
        <v>1152</v>
      </c>
      <c r="E187" s="301"/>
      <c r="F187" s="302"/>
      <c r="G187" s="302"/>
      <c r="H187" s="303"/>
      <c r="I187" s="103"/>
      <c r="J187" s="101"/>
      <c r="K187" s="75"/>
      <c r="L187" s="75"/>
      <c r="M187" s="1102"/>
      <c r="N187" s="96"/>
      <c r="O187" s="101"/>
      <c r="P187" s="75"/>
      <c r="Q187" s="75"/>
      <c r="R187" s="1102"/>
      <c r="S187" s="96"/>
      <c r="T187" s="104"/>
      <c r="U187" s="77"/>
      <c r="V187" s="77"/>
      <c r="W187" s="102"/>
      <c r="X187" s="96"/>
      <c r="Y187" s="104"/>
      <c r="Z187" s="77"/>
      <c r="AA187" s="77"/>
      <c r="AB187" s="102"/>
      <c r="AC187" s="96"/>
      <c r="AD187" s="104"/>
      <c r="AE187" s="77"/>
      <c r="AF187" s="77"/>
      <c r="AG187" s="102"/>
      <c r="AH187" s="96"/>
      <c r="AI187" s="104"/>
      <c r="AJ187" s="77"/>
      <c r="AK187" s="77"/>
      <c r="AL187" s="102"/>
      <c r="AM187" s="1758"/>
      <c r="AN187" s="1789"/>
      <c r="AO187" s="1790"/>
      <c r="AP187" s="1790"/>
      <c r="AQ187" s="1791"/>
      <c r="AR187" s="1758"/>
      <c r="AS187" s="2224">
        <f>AS188-AS65</f>
        <v>10.034599651971909</v>
      </c>
      <c r="AT187" s="2225">
        <f t="shared" ref="AT187:AV187" si="389">AT188-AT65</f>
        <v>3.6512663186385765</v>
      </c>
      <c r="AU187" s="2225">
        <f>AU188-AU65</f>
        <v>1.6807100021092118</v>
      </c>
      <c r="AV187" s="2226">
        <f t="shared" si="389"/>
        <v>1.7559831267492676</v>
      </c>
      <c r="AW187" s="2232">
        <f>AVERAGE(AS187:AV187)</f>
        <v>4.2806397748672413</v>
      </c>
      <c r="AX187" s="2224">
        <f>AX188-AX65</f>
        <v>-7.9972798122021516E-2</v>
      </c>
      <c r="AY187" s="2225">
        <f t="shared" ref="AY187:BA187" si="390">AY188-AY65</f>
        <v>-1.079583333333332</v>
      </c>
      <c r="AZ187" s="2225">
        <f t="shared" si="390"/>
        <v>-1.0279166666666626</v>
      </c>
      <c r="BA187" s="2226">
        <f t="shared" si="390"/>
        <v>-1.365833333536667</v>
      </c>
      <c r="BB187" s="2233">
        <f>AVERAGE(AX187:BA187)</f>
        <v>-0.88832653291467079</v>
      </c>
      <c r="BC187" s="1789"/>
      <c r="BD187" s="1790"/>
      <c r="BE187" s="1790"/>
      <c r="BF187" s="1791"/>
      <c r="BG187" s="1758"/>
      <c r="BH187" s="1789"/>
      <c r="BI187" s="1790"/>
      <c r="BJ187" s="1790"/>
      <c r="BK187" s="1791"/>
      <c r="BL187" s="1758"/>
      <c r="BM187" s="1789"/>
      <c r="BN187" s="1790"/>
      <c r="BO187" s="1790"/>
      <c r="BP187" s="1791"/>
      <c r="BQ187" s="1758"/>
      <c r="BR187" s="91"/>
      <c r="BS187" s="91"/>
      <c r="BT187" s="1160"/>
      <c r="BU187" s="94"/>
      <c r="BV187" s="94"/>
      <c r="BW187" s="94"/>
      <c r="BX187" s="94"/>
      <c r="BY187" s="94"/>
      <c r="BZ187" s="94"/>
      <c r="CA187" s="94"/>
      <c r="CB187" s="94"/>
      <c r="CC187" s="94"/>
      <c r="CD187" s="2256"/>
      <c r="CE187"/>
      <c r="CF187"/>
    </row>
    <row r="188" spans="1:84" s="12" customFormat="1">
      <c r="A188" s="87"/>
      <c r="B188" s="87"/>
      <c r="C188" s="2183" t="s">
        <v>1153</v>
      </c>
      <c r="E188" s="301"/>
      <c r="F188" s="302"/>
      <c r="G188" s="302"/>
      <c r="H188" s="303"/>
      <c r="I188" s="103"/>
      <c r="J188" s="101"/>
      <c r="K188" s="75"/>
      <c r="L188" s="75"/>
      <c r="M188" s="1102"/>
      <c r="N188" s="96"/>
      <c r="O188" s="101"/>
      <c r="P188" s="75"/>
      <c r="Q188" s="75"/>
      <c r="R188" s="1102"/>
      <c r="S188" s="96"/>
      <c r="T188" s="104"/>
      <c r="U188" s="77"/>
      <c r="V188" s="77"/>
      <c r="W188" s="102"/>
      <c r="X188" s="96"/>
      <c r="Y188" s="104"/>
      <c r="Z188" s="77"/>
      <c r="AA188" s="77"/>
      <c r="AB188" s="102"/>
      <c r="AC188" s="96"/>
      <c r="AD188" s="104"/>
      <c r="AE188" s="77"/>
      <c r="AF188" s="77"/>
      <c r="AG188" s="102"/>
      <c r="AH188" s="96"/>
      <c r="AI188" s="104"/>
      <c r="AJ188" s="77"/>
      <c r="AK188" s="77"/>
      <c r="AL188" s="102"/>
      <c r="AM188" s="1758"/>
      <c r="AN188" s="1789"/>
      <c r="AO188" s="1790"/>
      <c r="AP188" s="1790"/>
      <c r="AQ188" s="1791"/>
      <c r="AR188" s="1758"/>
      <c r="AS188" s="2234">
        <v>37.58</v>
      </c>
      <c r="AT188" s="2235">
        <v>31.196666666666665</v>
      </c>
      <c r="AU188" s="2235">
        <v>31.00708333333333</v>
      </c>
      <c r="AV188" s="2236">
        <v>30.75708333333333</v>
      </c>
      <c r="AW188" s="2232">
        <f>AVERAGE(AS188:AV188)</f>
        <v>32.635208333333331</v>
      </c>
      <c r="AX188" s="2234">
        <v>36.80083333333333</v>
      </c>
      <c r="AY188" s="2235">
        <v>29.157083333333333</v>
      </c>
      <c r="AZ188" s="2235">
        <v>30.118333333333339</v>
      </c>
      <c r="BA188" s="2236">
        <v>28.107083333129999</v>
      </c>
      <c r="BB188" s="2232">
        <f>AVERAGE(AX188:BA188)</f>
        <v>31.045833333282502</v>
      </c>
      <c r="BC188" s="1789"/>
      <c r="BD188" s="1790"/>
      <c r="BE188" s="1790"/>
      <c r="BF188" s="1791"/>
      <c r="BG188" s="1758"/>
      <c r="BH188" s="1789"/>
      <c r="BI188" s="1790"/>
      <c r="BJ188" s="1790"/>
      <c r="BK188" s="1791"/>
      <c r="BL188" s="1758"/>
      <c r="BM188" s="1789"/>
      <c r="BN188" s="1790"/>
      <c r="BO188" s="1790"/>
      <c r="BP188" s="1791"/>
      <c r="BQ188" s="1758"/>
      <c r="BR188" s="91"/>
      <c r="BS188" s="91"/>
      <c r="BT188" s="1160"/>
      <c r="BU188" s="94"/>
      <c r="BV188" s="94"/>
      <c r="BW188" s="94"/>
      <c r="BX188" s="94"/>
      <c r="BY188" s="94"/>
      <c r="BZ188" s="94"/>
      <c r="CA188" s="94"/>
      <c r="CB188" s="94"/>
      <c r="CC188" s="94"/>
      <c r="CD188" s="2256"/>
      <c r="CE188"/>
      <c r="CF188"/>
    </row>
    <row r="189" spans="1:84" s="12" customFormat="1">
      <c r="A189" s="87"/>
      <c r="B189" s="87"/>
      <c r="C189" s="2183" t="s">
        <v>1154</v>
      </c>
      <c r="E189" s="301"/>
      <c r="F189" s="302"/>
      <c r="G189" s="302"/>
      <c r="H189" s="303"/>
      <c r="I189" s="103"/>
      <c r="J189" s="101"/>
      <c r="K189" s="75"/>
      <c r="L189" s="75"/>
      <c r="M189" s="1102"/>
      <c r="N189" s="96"/>
      <c r="O189" s="101"/>
      <c r="P189" s="75"/>
      <c r="Q189" s="75"/>
      <c r="R189" s="1102"/>
      <c r="S189" s="96"/>
      <c r="T189" s="104"/>
      <c r="U189" s="77"/>
      <c r="V189" s="77"/>
      <c r="W189" s="102"/>
      <c r="X189" s="96"/>
      <c r="Y189" s="104"/>
      <c r="Z189" s="77"/>
      <c r="AA189" s="77"/>
      <c r="AB189" s="102"/>
      <c r="AC189" s="96"/>
      <c r="AD189" s="104"/>
      <c r="AE189" s="77"/>
      <c r="AF189" s="77"/>
      <c r="AG189" s="102"/>
      <c r="AH189" s="96"/>
      <c r="AI189" s="104"/>
      <c r="AJ189" s="77"/>
      <c r="AK189" s="77"/>
      <c r="AL189" s="102"/>
      <c r="AM189" s="1758"/>
      <c r="AN189" s="1789"/>
      <c r="AO189" s="1790"/>
      <c r="AP189" s="1790"/>
      <c r="AQ189" s="1791"/>
      <c r="AR189" s="1758"/>
      <c r="AS189" s="2228">
        <f>AW189*AS180</f>
        <v>1243.0389148199999</v>
      </c>
      <c r="AT189" s="2229">
        <f>AW189*AT180</f>
        <v>1243.0389148199999</v>
      </c>
      <c r="AU189" s="2229">
        <f>AW189*AU180</f>
        <v>1243.0389148199999</v>
      </c>
      <c r="AV189" s="2230">
        <f>AW189*AV180</f>
        <v>1243.0389148199999</v>
      </c>
      <c r="AW189" s="2231">
        <f>AW176*AW183</f>
        <v>4972.1556592799998</v>
      </c>
      <c r="AX189" s="2228">
        <f>BB189*AX180</f>
        <v>276.23086996000001</v>
      </c>
      <c r="AY189" s="2229">
        <f>BB189*AY180</f>
        <v>276.23086996000001</v>
      </c>
      <c r="AZ189" s="2229">
        <f>BB189*AZ180</f>
        <v>276.23086996000001</v>
      </c>
      <c r="BA189" s="2230">
        <f>BB189*BA180</f>
        <v>276.23086996000001</v>
      </c>
      <c r="BB189" s="2231">
        <f>BB176*BB183</f>
        <v>1104.92347984</v>
      </c>
      <c r="BC189" s="1789"/>
      <c r="BD189" s="1790"/>
      <c r="BE189" s="1790"/>
      <c r="BF189" s="1791"/>
      <c r="BG189" s="1758"/>
      <c r="BH189" s="1789"/>
      <c r="BI189" s="1790"/>
      <c r="BJ189" s="1790"/>
      <c r="BK189" s="1791"/>
      <c r="BL189" s="1758"/>
      <c r="BM189" s="1789"/>
      <c r="BN189" s="1790"/>
      <c r="BO189" s="1790"/>
      <c r="BP189" s="1791"/>
      <c r="BQ189" s="1758"/>
      <c r="BR189" s="91"/>
      <c r="BS189" s="91"/>
      <c r="BT189" s="1160"/>
      <c r="BU189" s="94"/>
      <c r="BV189" s="94"/>
      <c r="BW189" s="94"/>
      <c r="BX189" s="94"/>
      <c r="BY189" s="94"/>
      <c r="BZ189" s="94"/>
      <c r="CA189" s="94"/>
      <c r="CB189" s="94"/>
      <c r="CC189" s="94"/>
      <c r="CD189" s="2256"/>
      <c r="CE189"/>
      <c r="CF189"/>
    </row>
    <row r="190" spans="1:84" s="12" customFormat="1">
      <c r="A190" s="87"/>
      <c r="B190" s="87"/>
      <c r="C190" s="2183" t="s">
        <v>1155</v>
      </c>
      <c r="E190" s="301"/>
      <c r="F190" s="302"/>
      <c r="G190" s="302"/>
      <c r="H190" s="303"/>
      <c r="I190" s="103"/>
      <c r="J190" s="101"/>
      <c r="K190" s="75"/>
      <c r="L190" s="75"/>
      <c r="M190" s="1102"/>
      <c r="N190" s="96"/>
      <c r="O190" s="101"/>
      <c r="P190" s="75"/>
      <c r="Q190" s="75"/>
      <c r="R190" s="1102"/>
      <c r="S190" s="96"/>
      <c r="T190" s="104"/>
      <c r="U190" s="77"/>
      <c r="V190" s="77"/>
      <c r="W190" s="102"/>
      <c r="X190" s="96"/>
      <c r="Y190" s="104"/>
      <c r="Z190" s="77"/>
      <c r="AA190" s="77"/>
      <c r="AB190" s="102"/>
      <c r="AC190" s="96"/>
      <c r="AD190" s="104"/>
      <c r="AE190" s="77"/>
      <c r="AF190" s="77"/>
      <c r="AG190" s="102"/>
      <c r="AH190" s="96"/>
      <c r="AI190" s="104"/>
      <c r="AJ190" s="77"/>
      <c r="AK190" s="77"/>
      <c r="AL190" s="102"/>
      <c r="AM190" s="1758"/>
      <c r="AN190" s="1789"/>
      <c r="AO190" s="1790"/>
      <c r="AP190" s="1790"/>
      <c r="AQ190" s="1791"/>
      <c r="AR190" s="1758"/>
      <c r="AS190" s="2228">
        <f>AS187*AS189/1000</f>
        <v>12.473397862040311</v>
      </c>
      <c r="AT190" s="2229">
        <f t="shared" ref="AT190:AV190" si="391">AT187*AT189/1000</f>
        <v>4.5386661224393121</v>
      </c>
      <c r="AU190" s="2229">
        <f t="shared" si="391"/>
        <v>2.0891879371489543</v>
      </c>
      <c r="AV190" s="2230">
        <f t="shared" si="391"/>
        <v>2.1827553603166403</v>
      </c>
      <c r="AW190" s="2231">
        <f>SUM(AS190:AV190)</f>
        <v>21.284007281945218</v>
      </c>
      <c r="AX190" s="2228">
        <f>AX187*AX189/1000</f>
        <v>-2.2090955598381458E-2</v>
      </c>
      <c r="AY190" s="2229">
        <f t="shared" ref="AY190:BA190" si="392">AY187*AY189/1000</f>
        <v>-0.29821424336098296</v>
      </c>
      <c r="AZ190" s="2229">
        <f t="shared" si="392"/>
        <v>-0.28394231507971557</v>
      </c>
      <c r="BA190" s="2230">
        <f t="shared" si="392"/>
        <v>-0.37728532994320041</v>
      </c>
      <c r="BB190" s="2231">
        <f>SUM(AX190:BA190)</f>
        <v>-0.98153284398228036</v>
      </c>
      <c r="BC190" s="1789"/>
      <c r="BD190" s="1790"/>
      <c r="BE190" s="1790"/>
      <c r="BF190" s="1791"/>
      <c r="BG190" s="1758"/>
      <c r="BH190" s="1789"/>
      <c r="BI190" s="1790"/>
      <c r="BJ190" s="1790"/>
      <c r="BK190" s="1791"/>
      <c r="BL190" s="1758"/>
      <c r="BM190" s="1789"/>
      <c r="BN190" s="1790"/>
      <c r="BO190" s="1790"/>
      <c r="BP190" s="1791"/>
      <c r="BQ190" s="1758"/>
      <c r="BR190" s="91"/>
      <c r="BS190" s="91"/>
      <c r="BT190" s="1160"/>
      <c r="BU190" s="94"/>
      <c r="BV190" s="94"/>
      <c r="BW190" s="94"/>
      <c r="BX190" s="94"/>
      <c r="BY190" s="94"/>
      <c r="BZ190" s="94"/>
      <c r="CA190" s="94"/>
      <c r="CB190" s="94"/>
      <c r="CC190" s="94"/>
      <c r="CD190" s="2256"/>
      <c r="CE190"/>
      <c r="CF190"/>
    </row>
    <row r="191" spans="1:84">
      <c r="A191" s="120"/>
      <c r="B191" s="120"/>
      <c r="C191" s="1187"/>
      <c r="E191" s="288"/>
      <c r="F191" s="289"/>
      <c r="G191" s="289"/>
      <c r="H191" s="299"/>
      <c r="I191" s="291"/>
      <c r="J191" s="288"/>
      <c r="K191" s="289"/>
      <c r="L191" s="289"/>
      <c r="M191" s="299"/>
      <c r="N191" s="315"/>
      <c r="O191" s="288"/>
      <c r="P191" s="289"/>
      <c r="Q191" s="289"/>
      <c r="R191" s="299"/>
      <c r="S191" s="315"/>
      <c r="T191" s="133"/>
      <c r="U191" s="134"/>
      <c r="V191" s="134"/>
      <c r="W191" s="135"/>
      <c r="X191" s="178"/>
      <c r="Y191" s="133"/>
      <c r="Z191" s="134"/>
      <c r="AA191" s="134"/>
      <c r="AB191" s="135"/>
      <c r="AC191" s="178"/>
      <c r="AD191" s="133"/>
      <c r="AE191" s="134"/>
      <c r="AF191" s="134"/>
      <c r="AG191" s="135"/>
      <c r="AH191" s="178"/>
      <c r="AI191" s="133"/>
      <c r="AJ191" s="134"/>
      <c r="AK191" s="134"/>
      <c r="AL191" s="135"/>
      <c r="AM191" s="178"/>
      <c r="AN191" s="133"/>
      <c r="AO191" s="134"/>
      <c r="AP191" s="134"/>
      <c r="AQ191" s="135"/>
      <c r="AR191" s="178"/>
      <c r="AS191" s="2237"/>
      <c r="AT191" s="134"/>
      <c r="AU191" s="134"/>
      <c r="AV191" s="135"/>
      <c r="AW191" s="178"/>
      <c r="AX191" s="133"/>
      <c r="AY191" s="134"/>
      <c r="AZ191" s="134"/>
      <c r="BA191" s="135"/>
      <c r="BB191" s="178"/>
      <c r="BC191" s="133"/>
      <c r="BD191" s="134"/>
      <c r="BE191" s="134"/>
      <c r="BF191" s="135"/>
      <c r="BG191" s="178"/>
      <c r="BH191" s="133"/>
      <c r="BI191" s="134"/>
      <c r="BJ191" s="134"/>
      <c r="BK191" s="135"/>
      <c r="BL191" s="178"/>
      <c r="BM191" s="133"/>
      <c r="BN191" s="134"/>
      <c r="BO191" s="134"/>
      <c r="BP191" s="135"/>
      <c r="BQ191" s="178"/>
      <c r="BT191" s="1163" t="s">
        <v>449</v>
      </c>
      <c r="BU191" s="94"/>
      <c r="BV191" s="94"/>
      <c r="BW191" s="94"/>
      <c r="BX191" s="94"/>
      <c r="BY191" s="94"/>
      <c r="BZ191" s="94"/>
      <c r="CA191" s="94"/>
      <c r="CB191" s="94"/>
      <c r="CC191" s="94"/>
      <c r="CD191" s="2255"/>
    </row>
    <row r="192" spans="1:84">
      <c r="A192" s="120"/>
      <c r="B192" s="120"/>
      <c r="C192" s="1179" t="s">
        <v>54</v>
      </c>
      <c r="E192" s="288"/>
      <c r="F192" s="289"/>
      <c r="G192" s="289"/>
      <c r="H192" s="299"/>
      <c r="I192" s="291"/>
      <c r="J192" s="288"/>
      <c r="K192" s="289"/>
      <c r="L192" s="289"/>
      <c r="M192" s="299"/>
      <c r="N192" s="315"/>
      <c r="O192" s="288"/>
      <c r="P192" s="289"/>
      <c r="Q192" s="289"/>
      <c r="R192" s="299"/>
      <c r="S192" s="315"/>
      <c r="T192" s="133"/>
      <c r="U192" s="134"/>
      <c r="V192" s="134"/>
      <c r="W192" s="135"/>
      <c r="X192" s="166"/>
      <c r="Y192" s="133"/>
      <c r="Z192" s="134"/>
      <c r="AA192" s="134"/>
      <c r="AB192" s="135"/>
      <c r="AC192" s="166"/>
      <c r="AD192" s="133"/>
      <c r="AE192" s="134"/>
      <c r="AF192" s="134"/>
      <c r="AG192" s="135"/>
      <c r="AH192" s="166">
        <f>+AH176-AH186</f>
        <v>1876</v>
      </c>
      <c r="AI192" s="133"/>
      <c r="AJ192" s="134"/>
      <c r="AK192" s="134"/>
      <c r="AL192" s="135"/>
      <c r="AM192" s="166">
        <f>+AM176-AM186</f>
        <v>0</v>
      </c>
      <c r="AN192" s="133"/>
      <c r="AO192" s="134"/>
      <c r="AP192" s="134"/>
      <c r="AQ192" s="135"/>
      <c r="AR192" s="166">
        <f>+AR176-AR186</f>
        <v>0</v>
      </c>
      <c r="AS192" s="2237">
        <f t="shared" ref="AS192" si="393">+AS176-AS186-AS189</f>
        <v>2071.7315246999997</v>
      </c>
      <c r="AT192" s="2238">
        <f t="shared" ref="AT192:BA192" si="394">+AT176-AT186-AT189</f>
        <v>2071.7315246999997</v>
      </c>
      <c r="AU192" s="2238">
        <f t="shared" si="394"/>
        <v>2071.7315246999997</v>
      </c>
      <c r="AV192" s="2239">
        <f t="shared" si="394"/>
        <v>2071.7315246999997</v>
      </c>
      <c r="AW192" s="2240">
        <f>+AW176-AW186-AW189</f>
        <v>8286.9260987999987</v>
      </c>
      <c r="AX192" s="2237">
        <f t="shared" si="394"/>
        <v>7043.8871839800004</v>
      </c>
      <c r="AY192" s="2238">
        <f t="shared" si="394"/>
        <v>7043.8871839800004</v>
      </c>
      <c r="AZ192" s="2238">
        <f t="shared" si="394"/>
        <v>7043.8871839800004</v>
      </c>
      <c r="BA192" s="2239">
        <f t="shared" si="394"/>
        <v>7043.8871839800004</v>
      </c>
      <c r="BB192" s="2240">
        <f>+BB176-BB186-BB189</f>
        <v>28175.548735920001</v>
      </c>
      <c r="BC192" s="133"/>
      <c r="BD192" s="134"/>
      <c r="BE192" s="134"/>
      <c r="BF192" s="135"/>
      <c r="BG192" s="166">
        <f>+BG176-BG186</f>
        <v>55246.173991999996</v>
      </c>
      <c r="BH192" s="133"/>
      <c r="BI192" s="134"/>
      <c r="BJ192" s="134"/>
      <c r="BK192" s="135"/>
      <c r="BL192" s="166">
        <f>+BL176-BL186</f>
        <v>55246.173991999996</v>
      </c>
      <c r="BM192" s="133"/>
      <c r="BN192" s="134"/>
      <c r="BO192" s="134"/>
      <c r="BP192" s="135"/>
      <c r="BQ192" s="166">
        <f>+BQ176-BQ186</f>
        <v>55246.173991999996</v>
      </c>
      <c r="BT192" s="1160" t="s">
        <v>447</v>
      </c>
      <c r="BU192" s="94"/>
      <c r="BV192" s="1162"/>
      <c r="BW192" s="1162">
        <v>2.5</v>
      </c>
      <c r="BX192" s="1162">
        <v>2.5</v>
      </c>
      <c r="BY192" s="2037">
        <f>BY193-SUM(BY179:BY184)</f>
        <v>3.7346635397016357</v>
      </c>
      <c r="BZ192" s="1162">
        <v>2.5</v>
      </c>
      <c r="CA192" s="1162">
        <v>2.5</v>
      </c>
      <c r="CB192" s="1162">
        <v>2.5</v>
      </c>
      <c r="CC192" s="1162">
        <v>2.5</v>
      </c>
      <c r="CD192" s="1602">
        <v>2.5</v>
      </c>
    </row>
    <row r="193" spans="1:82" s="12" customFormat="1">
      <c r="A193" s="87"/>
      <c r="B193" s="87"/>
      <c r="C193" s="1179" t="s">
        <v>58</v>
      </c>
      <c r="E193" s="301"/>
      <c r="F193" s="302"/>
      <c r="G193" s="302"/>
      <c r="H193" s="303"/>
      <c r="I193" s="300"/>
      <c r="J193" s="301"/>
      <c r="K193" s="302"/>
      <c r="L193" s="302"/>
      <c r="M193" s="303"/>
      <c r="N193" s="285"/>
      <c r="O193" s="301"/>
      <c r="P193" s="302"/>
      <c r="Q193" s="302"/>
      <c r="R193" s="303"/>
      <c r="S193" s="508"/>
      <c r="T193" s="840"/>
      <c r="U193" s="841"/>
      <c r="V193" s="841"/>
      <c r="W193" s="842"/>
      <c r="X193" s="1022"/>
      <c r="Y193" s="840"/>
      <c r="Z193" s="841"/>
      <c r="AA193" s="841"/>
      <c r="AB193" s="842"/>
      <c r="AC193" s="1022"/>
      <c r="AD193" s="840">
        <f>AH193</f>
        <v>55.284916987056143</v>
      </c>
      <c r="AE193" s="841">
        <f>AH193</f>
        <v>55.284916987056143</v>
      </c>
      <c r="AF193" s="841">
        <f>AH193</f>
        <v>55.284916987056143</v>
      </c>
      <c r="AG193" s="842">
        <f>AH193</f>
        <v>55.284916987056143</v>
      </c>
      <c r="AH193" s="1022">
        <f>+BW193</f>
        <v>55.284916987056143</v>
      </c>
      <c r="AI193" s="840">
        <f>AM193</f>
        <v>51.31374556025353</v>
      </c>
      <c r="AJ193" s="841">
        <f>AM193</f>
        <v>51.31374556025353</v>
      </c>
      <c r="AK193" s="841">
        <f>AM193</f>
        <v>51.31374556025353</v>
      </c>
      <c r="AL193" s="842">
        <f>AM193</f>
        <v>51.31374556025353</v>
      </c>
      <c r="AM193" s="1022">
        <f>+BX193</f>
        <v>51.31374556025353</v>
      </c>
      <c r="AN193" s="1798">
        <f>AR193</f>
        <v>48.772585669781925</v>
      </c>
      <c r="AO193" s="1799">
        <f>AR193</f>
        <v>48.772585669781925</v>
      </c>
      <c r="AP193" s="1799">
        <f>AR193</f>
        <v>48.772585669781925</v>
      </c>
      <c r="AQ193" s="1800">
        <f>AR193</f>
        <v>48.772585669781925</v>
      </c>
      <c r="AR193" s="1022">
        <f>+BY193</f>
        <v>48.772585669781925</v>
      </c>
      <c r="AS193" s="2224">
        <f>AW193</f>
        <v>47.109374197454741</v>
      </c>
      <c r="AT193" s="1799">
        <f>AW193</f>
        <v>47.109374197454741</v>
      </c>
      <c r="AU193" s="1799">
        <f>AW193</f>
        <v>47.109374197454741</v>
      </c>
      <c r="AV193" s="1800">
        <f>AW193</f>
        <v>47.109374197454741</v>
      </c>
      <c r="AW193" s="1022">
        <f>+BZ193</f>
        <v>47.109374197454741</v>
      </c>
      <c r="AX193" s="1798">
        <f>BB193</f>
        <v>51.89902359429226</v>
      </c>
      <c r="AY193" s="1799">
        <f>BB193</f>
        <v>51.89902359429226</v>
      </c>
      <c r="AZ193" s="1799">
        <f>BB193</f>
        <v>51.89902359429226</v>
      </c>
      <c r="BA193" s="1800">
        <f>BB193</f>
        <v>51.89902359429226</v>
      </c>
      <c r="BB193" s="1022">
        <f>$CA$193</f>
        <v>51.89902359429226</v>
      </c>
      <c r="BC193" s="1798">
        <f>BG193</f>
        <v>49.16729237336574</v>
      </c>
      <c r="BD193" s="1799">
        <f>BG193</f>
        <v>49.16729237336574</v>
      </c>
      <c r="BE193" s="1799">
        <f>BG193</f>
        <v>49.16729237336574</v>
      </c>
      <c r="BF193" s="1800">
        <f>BG193</f>
        <v>49.16729237336574</v>
      </c>
      <c r="BG193" s="1022">
        <f>$CB$193</f>
        <v>49.16729237336574</v>
      </c>
      <c r="BH193" s="1798">
        <f>BL193</f>
        <v>47.886268581716479</v>
      </c>
      <c r="BI193" s="1799">
        <f>BL193</f>
        <v>47.886268581716479</v>
      </c>
      <c r="BJ193" s="1799">
        <f>BL193</f>
        <v>47.886268581716479</v>
      </c>
      <c r="BK193" s="1800">
        <f>BL193</f>
        <v>47.886268581716479</v>
      </c>
      <c r="BL193" s="1022">
        <f>$CC$193</f>
        <v>47.886268581716479</v>
      </c>
      <c r="BM193" s="1798">
        <f>BQ193</f>
        <v>48.538947750077966</v>
      </c>
      <c r="BN193" s="1799">
        <f>BQ193</f>
        <v>48.538947750077966</v>
      </c>
      <c r="BO193" s="1799">
        <f>BQ193</f>
        <v>48.538947750077966</v>
      </c>
      <c r="BP193" s="1800">
        <f>BQ193</f>
        <v>48.538947750077966</v>
      </c>
      <c r="BQ193" s="1022">
        <f>$CD$193</f>
        <v>48.538947750077966</v>
      </c>
      <c r="BR193" s="91"/>
      <c r="BS193" s="91"/>
      <c r="BT193" s="1160" t="s">
        <v>446</v>
      </c>
      <c r="BU193" s="94"/>
      <c r="BV193" s="1116"/>
      <c r="BW193" s="1116">
        <f t="shared" ref="BW193:CD193" si="395">(BW192+SUM(BW179:BW184))</f>
        <v>55.284916987056143</v>
      </c>
      <c r="BX193" s="1116">
        <f t="shared" si="395"/>
        <v>51.31374556025353</v>
      </c>
      <c r="BY193" s="1116">
        <f>$BY$172</f>
        <v>48.772585669781925</v>
      </c>
      <c r="BZ193" s="1116">
        <f t="shared" si="395"/>
        <v>47.109374197454741</v>
      </c>
      <c r="CA193" s="1116">
        <f t="shared" si="395"/>
        <v>51.89902359429226</v>
      </c>
      <c r="CB193" s="1116">
        <f t="shared" si="395"/>
        <v>49.16729237336574</v>
      </c>
      <c r="CC193" s="1116">
        <f t="shared" si="395"/>
        <v>47.886268581716479</v>
      </c>
      <c r="CD193" s="1603">
        <f t="shared" si="395"/>
        <v>48.538947750077966</v>
      </c>
    </row>
    <row r="194" spans="1:82">
      <c r="A194" s="120"/>
      <c r="B194" s="120"/>
      <c r="C194" s="1179"/>
      <c r="E194" s="288"/>
      <c r="F194" s="289"/>
      <c r="G194" s="289"/>
      <c r="H194" s="299"/>
      <c r="I194" s="291"/>
      <c r="J194" s="288"/>
      <c r="K194" s="289"/>
      <c r="L194" s="289"/>
      <c r="M194" s="299"/>
      <c r="N194" s="315"/>
      <c r="O194" s="288"/>
      <c r="P194" s="289"/>
      <c r="Q194" s="289"/>
      <c r="R194" s="299"/>
      <c r="S194" s="315"/>
      <c r="T194" s="133"/>
      <c r="U194" s="134"/>
      <c r="V194" s="134"/>
      <c r="W194" s="135"/>
      <c r="X194" s="166"/>
      <c r="Y194" s="133"/>
      <c r="Z194" s="134"/>
      <c r="AA194" s="134"/>
      <c r="AB194" s="135"/>
      <c r="AC194" s="166"/>
      <c r="AD194" s="133"/>
      <c r="AE194" s="134"/>
      <c r="AF194" s="134"/>
      <c r="AG194" s="135"/>
      <c r="AH194" s="166"/>
      <c r="AI194" s="133"/>
      <c r="AJ194" s="134"/>
      <c r="AK194" s="134"/>
      <c r="AL194" s="135"/>
      <c r="AM194" s="166"/>
      <c r="AN194" s="133"/>
      <c r="AO194" s="134"/>
      <c r="AP194" s="134"/>
      <c r="AQ194" s="135"/>
      <c r="AR194" s="166"/>
      <c r="AS194" s="133"/>
      <c r="AT194" s="134"/>
      <c r="AU194" s="134"/>
      <c r="AV194" s="135"/>
      <c r="AW194" s="166"/>
      <c r="AX194" s="133"/>
      <c r="AY194" s="134"/>
      <c r="AZ194" s="134"/>
      <c r="BA194" s="135"/>
      <c r="BB194" s="166"/>
      <c r="BC194" s="133"/>
      <c r="BD194" s="134"/>
      <c r="BE194" s="134"/>
      <c r="BF194" s="135"/>
      <c r="BG194" s="166"/>
      <c r="BH194" s="133"/>
      <c r="BI194" s="134"/>
      <c r="BJ194" s="134"/>
      <c r="BK194" s="135"/>
      <c r="BL194" s="166"/>
      <c r="BM194" s="133"/>
      <c r="BN194" s="134"/>
      <c r="BO194" s="134"/>
      <c r="BP194" s="135"/>
      <c r="BQ194" s="166"/>
      <c r="BT194" s="1160"/>
      <c r="BU194" s="94"/>
      <c r="BV194" s="94"/>
      <c r="BW194" s="94"/>
      <c r="BX194" s="94"/>
      <c r="BY194" s="94"/>
      <c r="BZ194" s="94"/>
      <c r="CA194" s="94"/>
      <c r="CB194" s="94"/>
      <c r="CC194" s="94"/>
      <c r="CD194" s="2255"/>
    </row>
    <row r="195" spans="1:82">
      <c r="A195" s="120"/>
      <c r="B195" s="120"/>
      <c r="C195" s="1252" t="s">
        <v>61</v>
      </c>
      <c r="D195" s="816"/>
      <c r="E195" s="1104"/>
      <c r="F195" s="1105"/>
      <c r="G195" s="1105"/>
      <c r="H195" s="1106"/>
      <c r="I195" s="1107"/>
      <c r="J195" s="1104"/>
      <c r="K195" s="1105"/>
      <c r="L195" s="1105"/>
      <c r="M195" s="1106"/>
      <c r="N195" s="1108"/>
      <c r="O195" s="1104"/>
      <c r="P195" s="1105"/>
      <c r="Q195" s="1105"/>
      <c r="R195" s="1106"/>
      <c r="S195" s="1108"/>
      <c r="T195" s="840"/>
      <c r="U195" s="841"/>
      <c r="V195" s="841"/>
      <c r="W195" s="842"/>
      <c r="X195" s="1109"/>
      <c r="Y195" s="840"/>
      <c r="Z195" s="841"/>
      <c r="AA195" s="841"/>
      <c r="AB195" s="842"/>
      <c r="AC195" s="1109"/>
      <c r="AD195" s="840">
        <f>AH195</f>
        <v>55.98643254447709</v>
      </c>
      <c r="AE195" s="841">
        <f>AH195</f>
        <v>55.98643254447709</v>
      </c>
      <c r="AF195" s="841">
        <f>AH195</f>
        <v>55.98643254447709</v>
      </c>
      <c r="AG195" s="842">
        <f>AH195</f>
        <v>55.98643254447709</v>
      </c>
      <c r="AH195" s="1109">
        <f>(AH182*AH185)+((1-AH182)*AH193)</f>
        <v>55.98643254447709</v>
      </c>
      <c r="AI195" s="840">
        <f>AM195</f>
        <v>55.77622377622378</v>
      </c>
      <c r="AJ195" s="841">
        <f>AM195</f>
        <v>55.77622377622378</v>
      </c>
      <c r="AK195" s="841">
        <f>AM195</f>
        <v>55.77622377622378</v>
      </c>
      <c r="AL195" s="842">
        <f>AM195</f>
        <v>55.77622377622378</v>
      </c>
      <c r="AM195" s="1109">
        <f>(AM182*AM185)+((1-AM182)*AM193)</f>
        <v>55.77622377622378</v>
      </c>
      <c r="AN195" s="1798">
        <f>AN185</f>
        <v>54</v>
      </c>
      <c r="AO195" s="1799">
        <f>AO185</f>
        <v>50</v>
      </c>
      <c r="AP195" s="1799">
        <f>AR195</f>
        <v>52</v>
      </c>
      <c r="AQ195" s="1800">
        <f>AR195</f>
        <v>52</v>
      </c>
      <c r="AR195" s="1109">
        <f>(AR182*AR185)+((1-AR182)*AR193)</f>
        <v>52</v>
      </c>
      <c r="AS195" s="1798">
        <f>AS185</f>
        <v>50</v>
      </c>
      <c r="AT195" s="1799">
        <f>AW195</f>
        <v>49.306249807389136</v>
      </c>
      <c r="AU195" s="1799">
        <f>AW195</f>
        <v>49.306249807389136</v>
      </c>
      <c r="AV195" s="1800">
        <f>AW195</f>
        <v>49.306249807389136</v>
      </c>
      <c r="AW195" s="1109">
        <f>(AW182*AW185)+((1-AW182)*AW193)</f>
        <v>49.306249807389136</v>
      </c>
      <c r="AX195" s="1798">
        <f>BB195</f>
        <v>51.006482504974898</v>
      </c>
      <c r="AY195" s="1799">
        <f>BB195</f>
        <v>51.006482504974898</v>
      </c>
      <c r="AZ195" s="1799">
        <f>BB195</f>
        <v>51.006482504974898</v>
      </c>
      <c r="BA195" s="1800">
        <f>BB195</f>
        <v>51.006482504974898</v>
      </c>
      <c r="BB195" s="1109">
        <f>(BB182*BB185)+((1-BB182)*BB193)</f>
        <v>51.006482504974898</v>
      </c>
      <c r="BC195" s="1798">
        <f>BG195</f>
        <v>49.16729237336574</v>
      </c>
      <c r="BD195" s="1799">
        <f>BG195</f>
        <v>49.16729237336574</v>
      </c>
      <c r="BE195" s="1799">
        <f>BG195</f>
        <v>49.16729237336574</v>
      </c>
      <c r="BF195" s="1800">
        <f>BG195</f>
        <v>49.16729237336574</v>
      </c>
      <c r="BG195" s="1109">
        <f>(BG182*BG185)+((1-BG182)*BG193)</f>
        <v>49.16729237336574</v>
      </c>
      <c r="BH195" s="1798">
        <f>BL195</f>
        <v>47.886268581716479</v>
      </c>
      <c r="BI195" s="1799">
        <f>BL195</f>
        <v>47.886268581716479</v>
      </c>
      <c r="BJ195" s="1799">
        <f>BL195</f>
        <v>47.886268581716479</v>
      </c>
      <c r="BK195" s="1800">
        <f>BL195</f>
        <v>47.886268581716479</v>
      </c>
      <c r="BL195" s="1109">
        <f>(BL182*BL185)+((1-BL182)*BL193)</f>
        <v>47.886268581716479</v>
      </c>
      <c r="BM195" s="1798">
        <f>BQ195</f>
        <v>48.538947750077966</v>
      </c>
      <c r="BN195" s="1799">
        <f>BQ195</f>
        <v>48.538947750077966</v>
      </c>
      <c r="BO195" s="1799">
        <f>BQ195</f>
        <v>48.538947750077966</v>
      </c>
      <c r="BP195" s="1800">
        <f>BQ195</f>
        <v>48.538947750077966</v>
      </c>
      <c r="BQ195" s="1109">
        <f>(BQ182*BQ185)+((1-BQ182)*BQ193)</f>
        <v>48.538947750077966</v>
      </c>
      <c r="BT195" s="1159" t="s">
        <v>450</v>
      </c>
      <c r="BU195" s="149"/>
      <c r="BV195" s="1256"/>
      <c r="BW195" s="1256">
        <f>97000/AH176</f>
        <v>0.98102674056393868</v>
      </c>
      <c r="BX195" s="1256">
        <v>1</v>
      </c>
      <c r="BY195" s="1256">
        <v>1</v>
      </c>
      <c r="BZ195" s="2258">
        <f>+AW182</f>
        <v>0.76</v>
      </c>
      <c r="CA195" s="2258">
        <f>+BB182</f>
        <v>0.47</v>
      </c>
      <c r="CB195" s="2258">
        <f>+BG182</f>
        <v>0</v>
      </c>
      <c r="CC195" s="2258">
        <f>+BL182</f>
        <v>0</v>
      </c>
      <c r="CD195" s="2255"/>
    </row>
    <row r="196" spans="1:82">
      <c r="A196" s="120"/>
      <c r="B196" s="120"/>
      <c r="C196" s="1187"/>
      <c r="E196" s="288"/>
      <c r="F196" s="289"/>
      <c r="G196" s="289"/>
      <c r="H196" s="299"/>
      <c r="I196" s="291"/>
      <c r="J196" s="288"/>
      <c r="K196" s="289"/>
      <c r="L196" s="289"/>
      <c r="M196" s="299"/>
      <c r="N196" s="315"/>
      <c r="O196" s="288"/>
      <c r="P196" s="289"/>
      <c r="Q196" s="289"/>
      <c r="R196" s="299"/>
      <c r="S196" s="315"/>
      <c r="T196" s="133"/>
      <c r="U196" s="134"/>
      <c r="V196" s="134"/>
      <c r="W196" s="135"/>
      <c r="X196" s="178"/>
      <c r="Y196" s="133"/>
      <c r="Z196" s="134"/>
      <c r="AA196" s="134"/>
      <c r="AB196" s="135"/>
      <c r="AC196" s="178"/>
      <c r="AD196" s="133"/>
      <c r="AE196" s="134"/>
      <c r="AF196" s="134"/>
      <c r="AG196" s="135"/>
      <c r="AH196" s="178"/>
      <c r="AI196" s="133"/>
      <c r="AJ196" s="134"/>
      <c r="AK196" s="134"/>
      <c r="AL196" s="135"/>
      <c r="AM196" s="178"/>
      <c r="AN196" s="133"/>
      <c r="AO196" s="134"/>
      <c r="AP196" s="134"/>
      <c r="AQ196" s="135"/>
      <c r="AR196" s="178"/>
      <c r="AS196" s="133"/>
      <c r="AT196" s="134"/>
      <c r="AU196" s="134"/>
      <c r="AV196" s="135"/>
      <c r="AW196" s="178"/>
      <c r="AX196" s="133"/>
      <c r="AY196" s="134"/>
      <c r="AZ196" s="134"/>
      <c r="BA196" s="135"/>
      <c r="BB196" s="178"/>
      <c r="BC196" s="133"/>
      <c r="BD196" s="134"/>
      <c r="BE196" s="134"/>
      <c r="BF196" s="135"/>
      <c r="BG196" s="178"/>
      <c r="BH196" s="133"/>
      <c r="BI196" s="134"/>
      <c r="BJ196" s="134"/>
      <c r="BK196" s="135"/>
      <c r="BL196" s="178"/>
      <c r="BM196" s="133"/>
      <c r="BN196" s="134"/>
      <c r="BO196" s="134"/>
      <c r="BP196" s="135"/>
      <c r="BQ196" s="178"/>
      <c r="BT196" s="1025" t="s">
        <v>451</v>
      </c>
      <c r="BU196" s="1219"/>
      <c r="BV196" s="1117"/>
      <c r="BW196" s="1117">
        <f t="shared" ref="BW196:CC196" si="396">+BW195*BW185+((1-BW195)*BW192)</f>
        <v>3.2015155574209535</v>
      </c>
      <c r="BX196" s="1117">
        <f t="shared" si="396"/>
        <v>7.1862544397464703</v>
      </c>
      <c r="BY196" s="1117">
        <f t="shared" si="396"/>
        <v>6.9620778699197103</v>
      </c>
      <c r="BZ196" s="2259">
        <f t="shared" si="396"/>
        <v>2.5</v>
      </c>
      <c r="CA196" s="2259">
        <f t="shared" si="396"/>
        <v>2.5</v>
      </c>
      <c r="CB196" s="2259">
        <f t="shared" si="396"/>
        <v>2.5</v>
      </c>
      <c r="CC196" s="2259">
        <f t="shared" si="396"/>
        <v>2.5</v>
      </c>
      <c r="CD196" s="2257"/>
    </row>
    <row r="197" spans="1:82">
      <c r="A197" s="120"/>
      <c r="B197" s="120"/>
      <c r="C197" s="1251" t="s">
        <v>63</v>
      </c>
      <c r="E197" s="288"/>
      <c r="F197" s="289"/>
      <c r="G197" s="289"/>
      <c r="H197" s="299"/>
      <c r="I197" s="291"/>
      <c r="J197" s="288"/>
      <c r="K197" s="289"/>
      <c r="L197" s="289"/>
      <c r="M197" s="299"/>
      <c r="N197" s="315"/>
      <c r="O197" s="288"/>
      <c r="P197" s="289"/>
      <c r="Q197" s="289"/>
      <c r="R197" s="299"/>
      <c r="S197" s="315"/>
      <c r="T197" s="133"/>
      <c r="U197" s="134"/>
      <c r="V197" s="134"/>
      <c r="W197" s="135"/>
      <c r="X197" s="178"/>
      <c r="Y197" s="133"/>
      <c r="Z197" s="134"/>
      <c r="AA197" s="134"/>
      <c r="AB197" s="135"/>
      <c r="AC197" s="178"/>
      <c r="AD197" s="133"/>
      <c r="AE197" s="134"/>
      <c r="AF197" s="134"/>
      <c r="AG197" s="135"/>
      <c r="AH197" s="178"/>
      <c r="AI197" s="133"/>
      <c r="AJ197" s="134"/>
      <c r="AK197" s="134"/>
      <c r="AL197" s="135"/>
      <c r="AM197" s="178"/>
      <c r="AN197" s="133"/>
      <c r="AO197" s="134"/>
      <c r="AP197" s="134"/>
      <c r="AQ197" s="135"/>
      <c r="AR197" s="178"/>
      <c r="AS197" s="133"/>
      <c r="AT197" s="134"/>
      <c r="AU197" s="134"/>
      <c r="AV197" s="135"/>
      <c r="AW197" s="178"/>
      <c r="AX197" s="133"/>
      <c r="AY197" s="134"/>
      <c r="AZ197" s="134"/>
      <c r="BA197" s="135"/>
      <c r="BB197" s="178"/>
      <c r="BC197" s="133"/>
      <c r="BD197" s="134"/>
      <c r="BE197" s="134"/>
      <c r="BF197" s="135"/>
      <c r="BG197" s="178"/>
      <c r="BH197" s="133"/>
      <c r="BI197" s="134"/>
      <c r="BJ197" s="134"/>
      <c r="BK197" s="135"/>
      <c r="BL197" s="178"/>
      <c r="BM197" s="133"/>
      <c r="BN197" s="134"/>
      <c r="BO197" s="134"/>
      <c r="BP197" s="135"/>
      <c r="BQ197" s="178"/>
    </row>
    <row r="198" spans="1:82">
      <c r="A198" s="120"/>
      <c r="B198" s="120"/>
      <c r="C198" s="1187" t="s">
        <v>56</v>
      </c>
      <c r="E198" s="288"/>
      <c r="F198" s="289"/>
      <c r="G198" s="289"/>
      <c r="H198" s="299"/>
      <c r="I198" s="291"/>
      <c r="J198" s="288"/>
      <c r="K198" s="289"/>
      <c r="L198" s="289"/>
      <c r="M198" s="299"/>
      <c r="N198" s="315"/>
      <c r="O198" s="288"/>
      <c r="P198" s="289"/>
      <c r="Q198" s="289"/>
      <c r="R198" s="299"/>
      <c r="S198" s="315"/>
      <c r="T198" s="169"/>
      <c r="U198" s="167"/>
      <c r="V198" s="167"/>
      <c r="W198" s="168"/>
      <c r="X198" s="166"/>
      <c r="Y198" s="169"/>
      <c r="Z198" s="167"/>
      <c r="AA198" s="167"/>
      <c r="AB198" s="168"/>
      <c r="AC198" s="166"/>
      <c r="AD198" s="169">
        <f t="shared" ref="AD198:AW198" si="397">+AD157</f>
        <v>18412.906799999997</v>
      </c>
      <c r="AE198" s="167">
        <f t="shared" si="397"/>
        <v>19477.3344</v>
      </c>
      <c r="AF198" s="167">
        <f t="shared" si="397"/>
        <v>19906.738649999999</v>
      </c>
      <c r="AG198" s="168">
        <f t="shared" si="397"/>
        <v>19321.187399999999</v>
      </c>
      <c r="AH198" s="166">
        <f t="shared" si="397"/>
        <v>77118.167249999984</v>
      </c>
      <c r="AI198" s="169">
        <f t="shared" si="397"/>
        <v>18550.263599999998</v>
      </c>
      <c r="AJ198" s="167">
        <f t="shared" si="397"/>
        <v>19122.729599999999</v>
      </c>
      <c r="AK198" s="167">
        <f>+AK157</f>
        <v>19552.133849999998</v>
      </c>
      <c r="AL198" s="168">
        <f>+AL157</f>
        <v>18966.582599999998</v>
      </c>
      <c r="AM198" s="166">
        <f>+AM157</f>
        <v>76191.70964999999</v>
      </c>
      <c r="AN198" s="169">
        <f t="shared" si="397"/>
        <v>16137.365400000001</v>
      </c>
      <c r="AO198" s="167">
        <f t="shared" si="397"/>
        <v>15323.1234</v>
      </c>
      <c r="AP198" s="167">
        <f t="shared" si="397"/>
        <v>19906.738649999999</v>
      </c>
      <c r="AQ198" s="168">
        <f t="shared" si="397"/>
        <v>19321.187399999999</v>
      </c>
      <c r="AR198" s="166">
        <f t="shared" si="397"/>
        <v>70688.414850000001</v>
      </c>
      <c r="AS198" s="169">
        <f t="shared" ref="AS198" si="398">+AS157</f>
        <v>15166.976400000001</v>
      </c>
      <c r="AT198" s="167">
        <f t="shared" si="397"/>
        <v>15323.1234</v>
      </c>
      <c r="AU198" s="167">
        <f t="shared" si="397"/>
        <v>15752.52765</v>
      </c>
      <c r="AV198" s="168">
        <f t="shared" si="397"/>
        <v>14124.098400000001</v>
      </c>
      <c r="AW198" s="166">
        <f t="shared" si="397"/>
        <v>60366.725850000003</v>
      </c>
      <c r="AX198" s="169">
        <f>+AX157</f>
        <v>17550.002999999997</v>
      </c>
      <c r="AY198" s="167">
        <f>+AY157</f>
        <v>16687.361999999997</v>
      </c>
      <c r="AZ198" s="167">
        <f>+AZ157</f>
        <v>16687.361999999997</v>
      </c>
      <c r="BA198" s="168">
        <f>+BA157</f>
        <v>17657.750999999997</v>
      </c>
      <c r="BB198" s="166">
        <f>+BB157</f>
        <v>68582.478000000003</v>
      </c>
      <c r="BC198" s="169">
        <f t="shared" ref="BC198:BL198" si="399">+BC157</f>
        <v>16285.4094</v>
      </c>
      <c r="BD198" s="167">
        <f t="shared" si="399"/>
        <v>12985.298400000001</v>
      </c>
      <c r="BE198" s="167">
        <f t="shared" si="399"/>
        <v>12985.298400000001</v>
      </c>
      <c r="BF198" s="168">
        <f t="shared" si="399"/>
        <v>16285.4094</v>
      </c>
      <c r="BG198" s="166">
        <f t="shared" si="399"/>
        <v>58541.4156</v>
      </c>
      <c r="BH198" s="169">
        <f t="shared" si="399"/>
        <v>16285.4094</v>
      </c>
      <c r="BI198" s="167">
        <f t="shared" si="399"/>
        <v>12877.550400000002</v>
      </c>
      <c r="BJ198" s="167">
        <f t="shared" si="399"/>
        <v>12985.298400000001</v>
      </c>
      <c r="BK198" s="168">
        <f t="shared" si="399"/>
        <v>16285.4094</v>
      </c>
      <c r="BL198" s="166">
        <f t="shared" si="399"/>
        <v>58433.667600000001</v>
      </c>
      <c r="BM198" s="169">
        <f t="shared" ref="BM198:BQ198" si="400">+BM157</f>
        <v>13101.587400000002</v>
      </c>
      <c r="BN198" s="167">
        <f t="shared" si="400"/>
        <v>12877.550400000002</v>
      </c>
      <c r="BO198" s="167">
        <f t="shared" si="400"/>
        <v>12722.498400000002</v>
      </c>
      <c r="BP198" s="168">
        <f t="shared" si="400"/>
        <v>12985.298400000001</v>
      </c>
      <c r="BQ198" s="166">
        <f t="shared" si="400"/>
        <v>51686.934600000001</v>
      </c>
      <c r="BT198" t="s">
        <v>107</v>
      </c>
      <c r="BV198" s="29"/>
      <c r="BW198" s="29">
        <f>+AH42</f>
        <v>0.23515439429928742</v>
      </c>
      <c r="BX198" s="29">
        <f>+AM42</f>
        <v>0.6132075471698113</v>
      </c>
      <c r="BY198" s="29">
        <f>+AR42</f>
        <v>0.60093896713615025</v>
      </c>
      <c r="BZ198" s="29">
        <f>+AW42</f>
        <v>0.46171171171171171</v>
      </c>
      <c r="CA198" s="29">
        <f>+BB42</f>
        <v>-0.12991255158265183</v>
      </c>
      <c r="CB198" s="29">
        <f>+BG42</f>
        <v>-0.37905205376250078</v>
      </c>
      <c r="CC198" s="29">
        <f>+BL42</f>
        <v>-0.42678644580883757</v>
      </c>
    </row>
    <row r="199" spans="1:82">
      <c r="A199" s="120"/>
      <c r="B199" s="120"/>
      <c r="C199" s="1187" t="s">
        <v>57</v>
      </c>
      <c r="E199" s="288"/>
      <c r="F199" s="289"/>
      <c r="G199" s="289"/>
      <c r="H199" s="299"/>
      <c r="I199" s="291"/>
      <c r="J199" s="288"/>
      <c r="K199" s="289"/>
      <c r="L199" s="289"/>
      <c r="M199" s="299"/>
      <c r="N199" s="315"/>
      <c r="O199" s="288"/>
      <c r="P199" s="289"/>
      <c r="Q199" s="289"/>
      <c r="R199" s="299"/>
      <c r="S199" s="315"/>
      <c r="T199" s="169"/>
      <c r="U199" s="167"/>
      <c r="V199" s="167"/>
      <c r="W199" s="168"/>
      <c r="X199" s="166"/>
      <c r="Y199" s="169"/>
      <c r="Z199" s="167"/>
      <c r="AA199" s="167"/>
      <c r="AB199" s="168"/>
      <c r="AC199" s="166"/>
      <c r="AD199" s="169">
        <f>IF(AD176&lt;AD149,0,AD176-AD198)</f>
        <v>6306.093200000003</v>
      </c>
      <c r="AE199" s="167">
        <f>IF(AE176&lt;AE149,0,AE176-AE198)</f>
        <v>5241.6656000000003</v>
      </c>
      <c r="AF199" s="167">
        <f>IF(AF176&lt;AF149,0,AF176-AF198)</f>
        <v>4812.2613500000007</v>
      </c>
      <c r="AG199" s="168">
        <f>IF(AG176&lt;AG149,0,AG176-AG198)</f>
        <v>5397.8126000000011</v>
      </c>
      <c r="AH199" s="166">
        <f>SUM(AD199:AG199)</f>
        <v>21757.832750000005</v>
      </c>
      <c r="AI199" s="169">
        <f>AM199/4</f>
        <v>2600</v>
      </c>
      <c r="AJ199" s="167">
        <f>AM199/4</f>
        <v>2600</v>
      </c>
      <c r="AK199" s="167">
        <f>AM199/4</f>
        <v>2600</v>
      </c>
      <c r="AL199" s="168">
        <f>AM199/4</f>
        <v>2600</v>
      </c>
      <c r="AM199" s="1801">
        <v>10400</v>
      </c>
      <c r="AN199" s="169">
        <f>AR199/4</f>
        <v>1325</v>
      </c>
      <c r="AO199" s="167">
        <f>AR199/4</f>
        <v>1325</v>
      </c>
      <c r="AP199" s="167">
        <f>AR199/4</f>
        <v>1325</v>
      </c>
      <c r="AQ199" s="168">
        <f>AR199/4</f>
        <v>1325</v>
      </c>
      <c r="AR199" s="1801">
        <v>5300</v>
      </c>
      <c r="AS199" s="169">
        <f>AW199/4</f>
        <v>875</v>
      </c>
      <c r="AT199" s="167">
        <f>AW199/4</f>
        <v>875</v>
      </c>
      <c r="AU199" s="167">
        <f>AW199/4</f>
        <v>875</v>
      </c>
      <c r="AV199" s="168">
        <f>AW199/4</f>
        <v>875</v>
      </c>
      <c r="AW199" s="1801">
        <v>3500</v>
      </c>
      <c r="AX199" s="169">
        <f>BB199/4</f>
        <v>875</v>
      </c>
      <c r="AY199" s="167">
        <f>BB199/4</f>
        <v>875</v>
      </c>
      <c r="AZ199" s="167">
        <f>BB199/4</f>
        <v>875</v>
      </c>
      <c r="BA199" s="168">
        <f>BB199/4</f>
        <v>875</v>
      </c>
      <c r="BB199" s="1801">
        <v>3500</v>
      </c>
      <c r="BC199" s="169">
        <f>BG199/4</f>
        <v>875</v>
      </c>
      <c r="BD199" s="167">
        <f>BG199/4</f>
        <v>875</v>
      </c>
      <c r="BE199" s="167">
        <f>BG199/4</f>
        <v>875</v>
      </c>
      <c r="BF199" s="168">
        <f>BG199/4</f>
        <v>875</v>
      </c>
      <c r="BG199" s="1801">
        <v>3500</v>
      </c>
      <c r="BH199" s="169">
        <f>BL199/4</f>
        <v>875</v>
      </c>
      <c r="BI199" s="167">
        <f>BL199/4</f>
        <v>875</v>
      </c>
      <c r="BJ199" s="167">
        <f>BL199/4</f>
        <v>875</v>
      </c>
      <c r="BK199" s="168">
        <f>BL199/4</f>
        <v>875</v>
      </c>
      <c r="BL199" s="1801">
        <v>3500</v>
      </c>
      <c r="BM199" s="169">
        <f>BQ199/4</f>
        <v>875</v>
      </c>
      <c r="BN199" s="167">
        <f>BQ199/4</f>
        <v>875</v>
      </c>
      <c r="BO199" s="167">
        <f>BQ199/4</f>
        <v>875</v>
      </c>
      <c r="BP199" s="168">
        <f>BQ199/4</f>
        <v>875</v>
      </c>
      <c r="BQ199" s="1801">
        <v>3500</v>
      </c>
      <c r="BT199" t="s">
        <v>108</v>
      </c>
      <c r="BV199" s="29"/>
      <c r="BW199" s="29">
        <f>Financial!AH14</f>
        <v>2.5534441805225656</v>
      </c>
      <c r="BX199" s="29">
        <f>Financial!AM14</f>
        <v>2.6981132075471699</v>
      </c>
      <c r="BY199" s="29">
        <f>Financial!AR14</f>
        <v>2.6291079812206579</v>
      </c>
      <c r="BZ199" s="29">
        <f>Financial!AW14</f>
        <v>3.0765765765765765</v>
      </c>
      <c r="CA199" s="29">
        <f>Financial!BB14</f>
        <v>2.5859130963383268</v>
      </c>
      <c r="CB199" s="29">
        <f>Financial!$BG$14</f>
        <v>2.3942056368198159</v>
      </c>
      <c r="CC199" s="29">
        <f>Financial!$BL$14</f>
        <v>2.0326370356634955</v>
      </c>
    </row>
    <row r="200" spans="1:82">
      <c r="A200" s="120"/>
      <c r="B200" s="120"/>
      <c r="C200" s="1187"/>
      <c r="E200" s="288"/>
      <c r="F200" s="289"/>
      <c r="G200" s="289"/>
      <c r="H200" s="299"/>
      <c r="I200" s="291"/>
      <c r="J200" s="288"/>
      <c r="K200" s="289"/>
      <c r="L200" s="289"/>
      <c r="M200" s="299"/>
      <c r="N200" s="315"/>
      <c r="O200" s="288"/>
      <c r="P200" s="289"/>
      <c r="Q200" s="289"/>
      <c r="R200" s="299"/>
      <c r="S200" s="315"/>
      <c r="T200" s="133"/>
      <c r="U200" s="134"/>
      <c r="V200" s="134"/>
      <c r="W200" s="135"/>
      <c r="X200" s="178"/>
      <c r="Y200" s="133"/>
      <c r="Z200" s="134"/>
      <c r="AA200" s="134"/>
      <c r="AB200" s="135"/>
      <c r="AC200" s="178"/>
      <c r="AD200" s="133"/>
      <c r="AE200" s="134"/>
      <c r="AF200" s="134"/>
      <c r="AG200" s="135"/>
      <c r="AH200" s="178"/>
      <c r="AI200" s="133"/>
      <c r="AJ200" s="134"/>
      <c r="AK200" s="134"/>
      <c r="AL200" s="135"/>
      <c r="AM200" s="178"/>
      <c r="AN200" s="133"/>
      <c r="AO200" s="134"/>
      <c r="AP200" s="134"/>
      <c r="AQ200" s="135"/>
      <c r="AR200" s="178"/>
      <c r="AS200" s="133"/>
      <c r="AT200" s="134"/>
      <c r="AU200" s="134"/>
      <c r="AV200" s="135"/>
      <c r="AW200" s="178"/>
      <c r="AX200" s="133"/>
      <c r="AY200" s="134"/>
      <c r="AZ200" s="134"/>
      <c r="BA200" s="135"/>
      <c r="BB200" s="178"/>
      <c r="BC200" s="133"/>
      <c r="BD200" s="134"/>
      <c r="BE200" s="134"/>
      <c r="BF200" s="135"/>
      <c r="BG200" s="178"/>
      <c r="BH200" s="133"/>
      <c r="BI200" s="134"/>
      <c r="BJ200" s="134"/>
      <c r="BK200" s="135"/>
      <c r="BL200" s="178"/>
      <c r="BM200" s="133"/>
      <c r="BN200" s="134"/>
      <c r="BO200" s="134"/>
      <c r="BP200" s="135"/>
      <c r="BQ200" s="178"/>
      <c r="BV200" s="29"/>
      <c r="BW200" s="29"/>
      <c r="BX200" s="29"/>
      <c r="BY200" s="29"/>
      <c r="BZ200" s="29"/>
      <c r="CA200" s="29"/>
      <c r="CB200" s="29"/>
      <c r="CC200" s="29"/>
    </row>
    <row r="201" spans="1:82">
      <c r="A201" s="120"/>
      <c r="B201" s="120"/>
      <c r="C201" s="1184" t="s">
        <v>469</v>
      </c>
      <c r="E201" s="288"/>
      <c r="F201" s="289"/>
      <c r="G201" s="289"/>
      <c r="H201" s="299"/>
      <c r="I201" s="291"/>
      <c r="J201" s="288"/>
      <c r="K201" s="289"/>
      <c r="L201" s="289"/>
      <c r="M201" s="299"/>
      <c r="N201" s="315"/>
      <c r="O201" s="288"/>
      <c r="P201" s="289"/>
      <c r="Q201" s="289"/>
      <c r="R201" s="299"/>
      <c r="S201" s="315"/>
      <c r="T201" s="133"/>
      <c r="U201" s="134"/>
      <c r="V201" s="134"/>
      <c r="W201" s="135"/>
      <c r="X201" s="178"/>
      <c r="Y201" s="133"/>
      <c r="Z201" s="134"/>
      <c r="AA201" s="134"/>
      <c r="AB201" s="135"/>
      <c r="AC201" s="178"/>
      <c r="AD201" s="1028">
        <f>AD202</f>
        <v>66.872564849566501</v>
      </c>
      <c r="AE201" s="1029">
        <f>AE202</f>
        <v>40.177417696582026</v>
      </c>
      <c r="AF201" s="1029">
        <f>AF202</f>
        <v>32.060416659281586</v>
      </c>
      <c r="AG201" s="1030">
        <f>AG202</f>
        <v>34.838301454572012</v>
      </c>
      <c r="AH201" s="1067">
        <f>AH202</f>
        <v>43.487175165000529</v>
      </c>
      <c r="AI201" s="1028">
        <f>AJ201</f>
        <v>41.5</v>
      </c>
      <c r="AJ201" s="1029">
        <f>AK201</f>
        <v>41.5</v>
      </c>
      <c r="AK201" s="1029">
        <f>AL201</f>
        <v>41.5</v>
      </c>
      <c r="AL201" s="1030">
        <f>AM201</f>
        <v>41.5</v>
      </c>
      <c r="AM201" s="1802">
        <v>41.5</v>
      </c>
      <c r="AN201" s="1028">
        <f>AO201</f>
        <v>39</v>
      </c>
      <c r="AO201" s="1029">
        <f>AP201</f>
        <v>39</v>
      </c>
      <c r="AP201" s="1029">
        <f>AQ201</f>
        <v>39</v>
      </c>
      <c r="AQ201" s="1030">
        <f>AR201</f>
        <v>39</v>
      </c>
      <c r="AR201" s="1802">
        <v>39</v>
      </c>
      <c r="AS201" s="1028">
        <f>AT201</f>
        <v>45</v>
      </c>
      <c r="AT201" s="1029">
        <f>AU201</f>
        <v>45</v>
      </c>
      <c r="AU201" s="1029">
        <f>AV201</f>
        <v>45</v>
      </c>
      <c r="AV201" s="1030">
        <f>AW201</f>
        <v>45</v>
      </c>
      <c r="AW201" s="1802">
        <v>45</v>
      </c>
      <c r="AX201" s="1028">
        <f>AY201</f>
        <v>45</v>
      </c>
      <c r="AY201" s="1029">
        <f>AZ201</f>
        <v>45</v>
      </c>
      <c r="AZ201" s="1029">
        <f>BA201</f>
        <v>45</v>
      </c>
      <c r="BA201" s="1030">
        <f>BB201</f>
        <v>45</v>
      </c>
      <c r="BB201" s="1802">
        <v>45</v>
      </c>
      <c r="BC201" s="1028">
        <f>BD201</f>
        <v>45</v>
      </c>
      <c r="BD201" s="1029">
        <f>BE201</f>
        <v>45</v>
      </c>
      <c r="BE201" s="1029">
        <f>BF201</f>
        <v>45</v>
      </c>
      <c r="BF201" s="1030">
        <f>BG201</f>
        <v>45</v>
      </c>
      <c r="BG201" s="1802">
        <v>45</v>
      </c>
      <c r="BH201" s="1028">
        <f t="shared" ref="BH201:BQ201" si="401">BH202</f>
        <v>33.004201566720702</v>
      </c>
      <c r="BI201" s="1029">
        <f t="shared" si="401"/>
        <v>25.855406930483028</v>
      </c>
      <c r="BJ201" s="1029">
        <f t="shared" si="401"/>
        <v>27.292603632538821</v>
      </c>
      <c r="BK201" s="1030">
        <f t="shared" si="401"/>
        <v>31.813493703457461</v>
      </c>
      <c r="BL201" s="1067">
        <f t="shared" si="401"/>
        <v>29.491426458300005</v>
      </c>
      <c r="BM201" s="1028">
        <f t="shared" si="401"/>
        <v>30.060397343536238</v>
      </c>
      <c r="BN201" s="1029">
        <f t="shared" si="401"/>
        <v>27.724985586756461</v>
      </c>
      <c r="BO201" s="1029">
        <f t="shared" si="401"/>
        <v>27.774296857869906</v>
      </c>
      <c r="BP201" s="1030">
        <f t="shared" si="401"/>
        <v>29.009821505745798</v>
      </c>
      <c r="BQ201" s="1067">
        <f t="shared" si="401"/>
        <v>28.642375323477101</v>
      </c>
    </row>
    <row r="202" spans="1:82">
      <c r="A202" s="120"/>
      <c r="B202" s="120"/>
      <c r="C202" s="1187" t="s">
        <v>764</v>
      </c>
      <c r="E202" s="288"/>
      <c r="F202" s="289"/>
      <c r="G202" s="289"/>
      <c r="H202" s="299"/>
      <c r="I202" s="291"/>
      <c r="J202" s="288"/>
      <c r="K202" s="289"/>
      <c r="L202" s="289"/>
      <c r="M202" s="299"/>
      <c r="N202" s="315"/>
      <c r="O202" s="288"/>
      <c r="P202" s="289"/>
      <c r="Q202" s="289"/>
      <c r="R202" s="299"/>
      <c r="S202" s="315"/>
      <c r="T202" s="1028"/>
      <c r="U202" s="1029"/>
      <c r="V202" s="1029"/>
      <c r="W202" s="1030"/>
      <c r="X202" s="1067"/>
      <c r="Y202" s="1028"/>
      <c r="Z202" s="1029"/>
      <c r="AA202" s="1029"/>
      <c r="AB202" s="1030"/>
      <c r="AC202" s="1067"/>
      <c r="AD202" s="1028">
        <f>AD65</f>
        <v>66.872564849566501</v>
      </c>
      <c r="AE202" s="1029">
        <f>AE65</f>
        <v>40.177417696582026</v>
      </c>
      <c r="AF202" s="1029">
        <f>AF65</f>
        <v>32.060416659281586</v>
      </c>
      <c r="AG202" s="1030">
        <f>AG65</f>
        <v>34.838301454572012</v>
      </c>
      <c r="AH202" s="1067">
        <f>SUMPRODUCT(AD202:AG202,AD176:AG176)/AH176</f>
        <v>43.487175165000529</v>
      </c>
      <c r="AI202" s="1028">
        <f>AI65</f>
        <v>38.153873424009447</v>
      </c>
      <c r="AJ202" s="1029">
        <f>AJ65</f>
        <v>30.185958428233931</v>
      </c>
      <c r="AK202" s="1029">
        <f>AK65</f>
        <v>29.003450923291169</v>
      </c>
      <c r="AL202" s="1030">
        <f>AL65</f>
        <v>26.197413751193867</v>
      </c>
      <c r="AM202" s="1067">
        <f>SUMPRODUCT(AI202:AL202,AI176:AL176)/AM176</f>
        <v>30.885174131682103</v>
      </c>
      <c r="AN202" s="1028">
        <f>AN65</f>
        <v>24.565247968398072</v>
      </c>
      <c r="AO202" s="1029">
        <f>AO65</f>
        <v>26.00943360825946</v>
      </c>
      <c r="AP202" s="1029">
        <f>AP65</f>
        <v>29.69651641867782</v>
      </c>
      <c r="AQ202" s="1030">
        <f>AQ65</f>
        <v>28.597619417447596</v>
      </c>
      <c r="AR202" s="1067">
        <f>SUMPRODUCT(AN202:AQ202,AN176:AQ176)/AR176</f>
        <v>27.401558493716657</v>
      </c>
      <c r="AS202" s="1028">
        <f>AS65</f>
        <v>27.545400348028089</v>
      </c>
      <c r="AT202" s="1029">
        <f>AT65</f>
        <v>27.545400348028089</v>
      </c>
      <c r="AU202" s="1029">
        <f>AU65</f>
        <v>29.326373331224119</v>
      </c>
      <c r="AV202" s="1030">
        <f>AV65</f>
        <v>29.001100206584063</v>
      </c>
      <c r="AW202" s="1067">
        <f>SUMPRODUCT(AS202:AV202,AS176:AV176)/AW176</f>
        <v>28.354568558466088</v>
      </c>
      <c r="AX202" s="1028">
        <f>AX65</f>
        <v>36.880806131455351</v>
      </c>
      <c r="AY202" s="1029">
        <f>AY65</f>
        <v>30.236666666666665</v>
      </c>
      <c r="AZ202" s="1029">
        <f>AZ65</f>
        <v>31.146250000000002</v>
      </c>
      <c r="BA202" s="1030">
        <f>BA65</f>
        <v>29.472916666666666</v>
      </c>
      <c r="BB202" s="1067">
        <f>SUMPRODUCT(AX202:BA202,AX176:BA176)/BB176</f>
        <v>31.93415986619717</v>
      </c>
      <c r="BC202" s="1028">
        <f>BC65</f>
        <v>33.409147660424338</v>
      </c>
      <c r="BD202" s="1029">
        <f>BD65</f>
        <v>26.166551772286908</v>
      </c>
      <c r="BE202" s="1029">
        <f>BE65</f>
        <v>27.618511853446023</v>
      </c>
      <c r="BF202" s="1030">
        <f>BF65</f>
        <v>32.202887880312737</v>
      </c>
      <c r="BG202" s="1067">
        <f>SUMPRODUCT(BC202:BF202,BC176:BF176)/BG176</f>
        <v>29.849274791617503</v>
      </c>
      <c r="BH202" s="1028">
        <f>BH65</f>
        <v>33.004201566720702</v>
      </c>
      <c r="BI202" s="1029">
        <f>BI65</f>
        <v>25.855406930483028</v>
      </c>
      <c r="BJ202" s="1029">
        <f>BJ65</f>
        <v>27.292603632538821</v>
      </c>
      <c r="BK202" s="1030">
        <f>BK65</f>
        <v>31.813493703457461</v>
      </c>
      <c r="BL202" s="1067">
        <f>SUMPRODUCT(BH202:BK202,BH176:BK176)/BL176</f>
        <v>29.491426458300005</v>
      </c>
      <c r="BM202" s="1028">
        <f>BM65</f>
        <v>30.060397343536238</v>
      </c>
      <c r="BN202" s="1029">
        <f>BN65</f>
        <v>27.724985586756461</v>
      </c>
      <c r="BO202" s="1029">
        <f>BO65</f>
        <v>27.774296857869906</v>
      </c>
      <c r="BP202" s="1030">
        <f>BP65</f>
        <v>29.009821505745798</v>
      </c>
      <c r="BQ202" s="1067">
        <f>SUMPRODUCT(BM202:BP202,BM176:BP176)/BQ176</f>
        <v>28.642375323477101</v>
      </c>
      <c r="BT202" t="s">
        <v>463</v>
      </c>
      <c r="BX202" s="1806">
        <f>1235+20</f>
        <v>1255</v>
      </c>
      <c r="BY202" s="1806">
        <v>970</v>
      </c>
    </row>
    <row r="203" spans="1:82">
      <c r="A203" s="120"/>
      <c r="B203" s="120"/>
      <c r="C203" s="124" t="s">
        <v>765</v>
      </c>
      <c r="E203" s="288"/>
      <c r="F203" s="289"/>
      <c r="G203" s="289"/>
      <c r="H203" s="299"/>
      <c r="I203" s="291"/>
      <c r="J203" s="288"/>
      <c r="K203" s="289"/>
      <c r="L203" s="289"/>
      <c r="M203" s="299"/>
      <c r="N203" s="315"/>
      <c r="O203" s="288"/>
      <c r="P203" s="289"/>
      <c r="Q203" s="289"/>
      <c r="R203" s="299"/>
      <c r="S203" s="315"/>
      <c r="T203" s="1028"/>
      <c r="U203" s="1029"/>
      <c r="V203" s="1029"/>
      <c r="W203" s="1030"/>
      <c r="X203" s="1067"/>
      <c r="Y203" s="1028"/>
      <c r="Z203" s="1029"/>
      <c r="AA203" s="1029"/>
      <c r="AB203" s="1030"/>
      <c r="AC203" s="1067"/>
      <c r="AD203" s="1028">
        <f>AVERAGE(AD79,AD81)/24*0.55</f>
        <v>0.63547916666666682</v>
      </c>
      <c r="AE203" s="1029">
        <f>AVERAGE(AE79,AE81)/24*0.55</f>
        <v>1.3860763888888887</v>
      </c>
      <c r="AF203" s="1029">
        <f>AVERAGE(AF79,AF81)/24*0.55</f>
        <v>2.8872708333333335</v>
      </c>
      <c r="AG203" s="1030">
        <f>AVERAGE(AG79,AG81)/24*0.55</f>
        <v>2.8872708333333335</v>
      </c>
      <c r="AH203" s="1067">
        <f>SUMPRODUCT(AD203:AG203,AD176:AG176)/AH176</f>
        <v>1.9490243055555556</v>
      </c>
      <c r="AI203" s="1028">
        <f>AVERAGE(AI79,AI81)/24*0.55</f>
        <v>2.8872708333333335</v>
      </c>
      <c r="AJ203" s="1029">
        <f>AVERAGE(AJ79,AJ81)/24*0.55</f>
        <v>3.8078333333333343</v>
      </c>
      <c r="AK203" s="1029">
        <f>AVERAGE(AK79,AK81)/24*0.55</f>
        <v>5.6489583333333337</v>
      </c>
      <c r="AL203" s="1030">
        <f>AVERAGE(AL79,AL81)/24*0.55</f>
        <v>5.6489583333333337</v>
      </c>
      <c r="AM203" s="1067">
        <f>SUMPRODUCT(AI203:AL203,AI176:AL176)/AM176</f>
        <v>4.498255208333334</v>
      </c>
      <c r="AN203" s="1028">
        <f>AVERAGE(AN79,AN81)/24*0.55</f>
        <v>5.6489583333333337</v>
      </c>
      <c r="AO203" s="1029">
        <f>AVERAGE(AO79,AO81)/24*0.55</f>
        <v>4.4290277777777778</v>
      </c>
      <c r="AP203" s="1029">
        <f>AVERAGE(AP79,AP81)/24*0.55</f>
        <v>1.9891666666666667</v>
      </c>
      <c r="AQ203" s="1030">
        <f>AVERAGE(AQ79,AQ81)/24*0.55</f>
        <v>1.9891666666666667</v>
      </c>
      <c r="AR203" s="1067">
        <f>SUMPRODUCT(AN203:AQ203,AN176:AQ176)/AR176</f>
        <v>3.392086805555556</v>
      </c>
      <c r="AS203" s="1028">
        <f>AVERAGE(AS79,AS81)/24*0.55</f>
        <v>2.2427777777777784</v>
      </c>
      <c r="AT203" s="1029">
        <f>AVERAGE(AT79,AT81)/24*0.55</f>
        <v>2.2427777777777784</v>
      </c>
      <c r="AU203" s="1029">
        <f>AVERAGE(AU79,AU81)/24*0.55</f>
        <v>2.75</v>
      </c>
      <c r="AV203" s="1030">
        <f>AVERAGE(AV79,AV81)/24*0.55</f>
        <v>2.75</v>
      </c>
      <c r="AW203" s="1067">
        <f>SUMPRODUCT(AS203:AV203,AS176:AV176)/AW176</f>
        <v>2.4963888888888888</v>
      </c>
      <c r="AX203" s="1028">
        <f>AVERAGE(AX79,AX81)/24*0.55</f>
        <v>2.75</v>
      </c>
      <c r="AY203" s="1029">
        <f>AVERAGE(AY79,AY81)/24*0.55</f>
        <v>3.0919930555555561</v>
      </c>
      <c r="AZ203" s="1029">
        <f>AVERAGE(AZ79,AZ81)/24*0.55</f>
        <v>3.7759791666666676</v>
      </c>
      <c r="BA203" s="1030">
        <f>AVERAGE(BA79,BA81)/24*0.55</f>
        <v>3.7759791666666676</v>
      </c>
      <c r="BB203" s="1067">
        <f>SUMPRODUCT(AX203:BA203,AX176:BA176)/BB176</f>
        <v>3.348487847222223</v>
      </c>
      <c r="BC203" s="1028">
        <f>AVERAGE(BC79,BC81)/24*0.55</f>
        <v>3.7759791666666676</v>
      </c>
      <c r="BD203" s="1029">
        <f>AVERAGE(BD79,BD81)/24*0.55</f>
        <v>3.2812083333333337</v>
      </c>
      <c r="BE203" s="1029">
        <f>AVERAGE(BE79,BE81)/24*0.55</f>
        <v>2.291666666666667</v>
      </c>
      <c r="BF203" s="1030">
        <f>AVERAGE(BF79,BF81)/24*0.55</f>
        <v>2.291666666666667</v>
      </c>
      <c r="BG203" s="1067">
        <f>SUMPRODUCT(BC203:BF203,BC176:BF176)/BG176</f>
        <v>2.9101302083333338</v>
      </c>
      <c r="BH203" s="1028">
        <f>AVERAGE(BH79,BH81)/24*0.55</f>
        <v>2.291666666666667</v>
      </c>
      <c r="BI203" s="1029">
        <f>AVERAGE(BI79,BI81)/24*0.55</f>
        <v>2.291666666666667</v>
      </c>
      <c r="BJ203" s="1029">
        <f>AVERAGE(BJ79,BJ81)/24*0.55</f>
        <v>1.7538125000000002</v>
      </c>
      <c r="BK203" s="1030">
        <f>AVERAGE(BK79,BK81)/24*0.55</f>
        <v>1.7538125000000002</v>
      </c>
      <c r="BL203" s="1067">
        <f>SUMPRODUCT(BH203:BK203,BH176:BK176)/BL176</f>
        <v>2.0227395833333337</v>
      </c>
      <c r="BM203" s="1028">
        <f>AVERAGE(BM79,BM81)/24*0.55</f>
        <v>3.6093750000000004</v>
      </c>
      <c r="BN203" s="1029">
        <f>AVERAGE(BN79,BN81)/24*0.55</f>
        <v>3.6093750000000004</v>
      </c>
      <c r="BO203" s="1029">
        <f>AVERAGE(BO79,BO81)/24*0.55</f>
        <v>3.6093750000000004</v>
      </c>
      <c r="BP203" s="1030">
        <f>AVERAGE(BP79,BP81)/24*0.55</f>
        <v>3.6093750000000004</v>
      </c>
      <c r="BQ203" s="1067">
        <f>SUMPRODUCT(BM203:BP203,BM176:BP176)/BQ176</f>
        <v>3.6093750000000004</v>
      </c>
      <c r="BT203" t="s">
        <v>464</v>
      </c>
      <c r="BX203" s="1807">
        <f>BX180*70</f>
        <v>314.87786458333341</v>
      </c>
      <c r="BY203" s="1807">
        <f>BY180*55</f>
        <v>186.56477430555557</v>
      </c>
    </row>
    <row r="204" spans="1:82">
      <c r="A204" s="120"/>
      <c r="B204" s="120"/>
      <c r="C204" s="124" t="s">
        <v>891</v>
      </c>
      <c r="E204" s="288"/>
      <c r="F204" s="289"/>
      <c r="G204" s="289"/>
      <c r="H204" s="299"/>
      <c r="I204" s="291"/>
      <c r="J204" s="288"/>
      <c r="K204" s="289"/>
      <c r="L204" s="289"/>
      <c r="M204" s="299"/>
      <c r="N204" s="315"/>
      <c r="O204" s="288"/>
      <c r="P204" s="289"/>
      <c r="Q204" s="289"/>
      <c r="R204" s="299"/>
      <c r="S204" s="315"/>
      <c r="T204" s="1299"/>
      <c r="U204" s="1300"/>
      <c r="V204" s="1300"/>
      <c r="W204" s="1301"/>
      <c r="X204" s="1302"/>
      <c r="Y204" s="1299"/>
      <c r="Z204" s="1300"/>
      <c r="AA204" s="1300"/>
      <c r="AB204" s="1301"/>
      <c r="AC204" s="1302"/>
      <c r="AD204" s="1299">
        <f>5%*AD202</f>
        <v>3.3436282424783252</v>
      </c>
      <c r="AE204" s="1300">
        <f>5%*AE202</f>
        <v>2.0088708848291015</v>
      </c>
      <c r="AF204" s="1300">
        <f>5%*AF202</f>
        <v>1.6030208329640794</v>
      </c>
      <c r="AG204" s="1301">
        <f>5%*AG202</f>
        <v>1.7419150727286006</v>
      </c>
      <c r="AH204" s="1302">
        <f>SUMPRODUCT(AD204:AG204,AD176:AG176)/AH176</f>
        <v>2.1743587582500266</v>
      </c>
      <c r="AI204" s="1299">
        <f>5%*AI202</f>
        <v>1.9076936712004724</v>
      </c>
      <c r="AJ204" s="1300">
        <f>5%*AJ202</f>
        <v>1.5092979214116966</v>
      </c>
      <c r="AK204" s="1300">
        <f>5%*AK202</f>
        <v>1.4501725461645585</v>
      </c>
      <c r="AL204" s="1301">
        <f>5%*AL202</f>
        <v>1.3098706875596935</v>
      </c>
      <c r="AM204" s="1302">
        <f>SUMPRODUCT(AI204:AL204,AI176:AL176)/AM176</f>
        <v>1.5442587065841049</v>
      </c>
      <c r="AN204" s="1299">
        <f>5%*AN202</f>
        <v>1.2282623984199037</v>
      </c>
      <c r="AO204" s="1300">
        <f>5%*AO202</f>
        <v>1.300471680412973</v>
      </c>
      <c r="AP204" s="1300">
        <f>5%*AP202</f>
        <v>1.4848258209338911</v>
      </c>
      <c r="AQ204" s="1301">
        <f>5%*AQ202</f>
        <v>1.4298809708723799</v>
      </c>
      <c r="AR204" s="1302">
        <f>SUMPRODUCT(AN204:AQ204,AN176:AQ176)/AR176</f>
        <v>1.370077924685833</v>
      </c>
      <c r="AS204" s="1299">
        <f>5%*AS202</f>
        <v>1.3772700174014045</v>
      </c>
      <c r="AT204" s="1300">
        <f>5%*AT202</f>
        <v>1.3772700174014045</v>
      </c>
      <c r="AU204" s="1300">
        <f>5%*AU202</f>
        <v>1.466318666561206</v>
      </c>
      <c r="AV204" s="1301">
        <f>5%*AV202</f>
        <v>1.4500550103292031</v>
      </c>
      <c r="AW204" s="1302">
        <f>SUMPRODUCT(AS204:AV204,AS176:AV176)/AW176</f>
        <v>1.4177284279233044</v>
      </c>
      <c r="AX204" s="1299">
        <f>5%*AX202</f>
        <v>1.8440403065727677</v>
      </c>
      <c r="AY204" s="1300">
        <f>5%*AY202</f>
        <v>1.5118333333333334</v>
      </c>
      <c r="AZ204" s="1300">
        <f>5%*AZ202</f>
        <v>1.5573125000000001</v>
      </c>
      <c r="BA204" s="1301">
        <f>5%*BA202</f>
        <v>1.4736458333333333</v>
      </c>
      <c r="BB204" s="1302">
        <f>SUMPRODUCT(AX204:BA204,AX176:BA176)/BB176</f>
        <v>1.5967079933098587</v>
      </c>
      <c r="BC204" s="1299">
        <f>5%*BC202</f>
        <v>1.670457383021217</v>
      </c>
      <c r="BD204" s="1300">
        <f>5%*BD202</f>
        <v>1.3083275886143455</v>
      </c>
      <c r="BE204" s="1300">
        <f>5%*BE202</f>
        <v>1.3809255926723012</v>
      </c>
      <c r="BF204" s="1301">
        <f>5%*BF202</f>
        <v>1.610144394015637</v>
      </c>
      <c r="BG204" s="1302">
        <f>SUMPRODUCT(BC204:BF204,BC176:BF176)/BG176</f>
        <v>1.4924637395808753</v>
      </c>
      <c r="BH204" s="1299">
        <f>5%*BH202</f>
        <v>1.6502100783360352</v>
      </c>
      <c r="BI204" s="1300">
        <f>5%*BI202</f>
        <v>1.2927703465241516</v>
      </c>
      <c r="BJ204" s="1300">
        <f>5%*BJ202</f>
        <v>1.3646301816269411</v>
      </c>
      <c r="BK204" s="1301">
        <f>5%*BK202</f>
        <v>1.590674685172873</v>
      </c>
      <c r="BL204" s="1302">
        <f>SUMPRODUCT(BH204:BK204,BH176:BK176)/BL176</f>
        <v>1.4745713229150004</v>
      </c>
      <c r="BM204" s="1299">
        <f>5%*BM202</f>
        <v>1.503019867176812</v>
      </c>
      <c r="BN204" s="1300">
        <f>5%*BN202</f>
        <v>1.3862492793378232</v>
      </c>
      <c r="BO204" s="1300">
        <f>5%*BO202</f>
        <v>1.3887148428934954</v>
      </c>
      <c r="BP204" s="1301">
        <f>5%*BP202</f>
        <v>1.4504910752872899</v>
      </c>
      <c r="BQ204" s="1302">
        <f>SUMPRODUCT(BM204:BP204,BM176:BP176)/BQ176</f>
        <v>1.432118766173855</v>
      </c>
      <c r="BT204" t="s">
        <v>465</v>
      </c>
      <c r="BX204" s="1589">
        <f>BX202-BX203</f>
        <v>940.12213541666665</v>
      </c>
      <c r="BY204" s="1589">
        <f>BY202-BY203</f>
        <v>783.4352256944444</v>
      </c>
    </row>
    <row r="205" spans="1:82">
      <c r="A205" s="120"/>
      <c r="B205" s="120"/>
      <c r="C205" s="124" t="s">
        <v>766</v>
      </c>
      <c r="E205" s="288"/>
      <c r="F205" s="289"/>
      <c r="G205" s="289"/>
      <c r="H205" s="299"/>
      <c r="I205" s="291"/>
      <c r="J205" s="288"/>
      <c r="K205" s="289"/>
      <c r="L205" s="289"/>
      <c r="M205" s="299"/>
      <c r="N205" s="315"/>
      <c r="O205" s="288"/>
      <c r="P205" s="289"/>
      <c r="Q205" s="289"/>
      <c r="R205" s="299"/>
      <c r="S205" s="315"/>
      <c r="T205" s="1299"/>
      <c r="U205" s="1300"/>
      <c r="V205" s="1300"/>
      <c r="W205" s="1301"/>
      <c r="X205" s="1302"/>
      <c r="Y205" s="1299"/>
      <c r="Z205" s="1300"/>
      <c r="AA205" s="1300"/>
      <c r="AB205" s="1301"/>
      <c r="AC205" s="1302"/>
      <c r="AD205" s="1299">
        <f>1+1+0.05*AD202</f>
        <v>5.3436282424783252</v>
      </c>
      <c r="AE205" s="1300">
        <f>1+1+0.05*AE202</f>
        <v>4.0088708848291015</v>
      </c>
      <c r="AF205" s="1300">
        <f>1+1+0.05*AF202</f>
        <v>3.6030208329640794</v>
      </c>
      <c r="AG205" s="1301">
        <f>1+1+0.05*AG202</f>
        <v>3.7419150727286006</v>
      </c>
      <c r="AH205" s="1302">
        <f>SUMPRODUCT(AD205:AG205,AD176:AG176)/AH176</f>
        <v>4.174358758250027</v>
      </c>
      <c r="AI205" s="1299">
        <f>1+1+0.05*AI202</f>
        <v>3.9076936712004722</v>
      </c>
      <c r="AJ205" s="1300">
        <f>1+1+0.05*AJ202</f>
        <v>3.5092979214116964</v>
      </c>
      <c r="AK205" s="1300">
        <f>1+1+0.05*AK202</f>
        <v>3.4501725461645583</v>
      </c>
      <c r="AL205" s="1301">
        <f>1+1+0.05*AL202</f>
        <v>3.3098706875596937</v>
      </c>
      <c r="AM205" s="1302">
        <f>SUMPRODUCT(AI205:AL205,AI176:AL176)/AM176</f>
        <v>3.5442587065841051</v>
      </c>
      <c r="AN205" s="1299">
        <f>1+1+0.05*AN202</f>
        <v>3.2282623984199037</v>
      </c>
      <c r="AO205" s="1300">
        <f>1+1+0.05*AO202</f>
        <v>3.300471680412973</v>
      </c>
      <c r="AP205" s="1300">
        <f>1+1+0.05*AP202</f>
        <v>3.4848258209338914</v>
      </c>
      <c r="AQ205" s="1301">
        <f>1+1+0.05*AQ202</f>
        <v>3.4298809708723796</v>
      </c>
      <c r="AR205" s="1302">
        <f>SUMPRODUCT(AN205:AQ205,AN176:AQ176)/AR176</f>
        <v>3.370077924685833</v>
      </c>
      <c r="AS205" s="1299">
        <f>1+1+0.05*AS202</f>
        <v>3.3772700174014045</v>
      </c>
      <c r="AT205" s="1300">
        <f>1+1+0.05*AT202</f>
        <v>3.3772700174014045</v>
      </c>
      <c r="AU205" s="1300">
        <f>1+1+0.05*AU202</f>
        <v>3.466318666561206</v>
      </c>
      <c r="AV205" s="1301">
        <f>1+1+0.05*AV202</f>
        <v>3.4500550103292031</v>
      </c>
      <c r="AW205" s="1302">
        <f>SUMPRODUCT(AS205:AV205,AS176:AV176)/AW176</f>
        <v>3.4177284279233047</v>
      </c>
      <c r="AX205" s="1299">
        <f>1+1+0.05*AX202</f>
        <v>3.8440403065727677</v>
      </c>
      <c r="AY205" s="1300">
        <f>1+1+0.05*AY202</f>
        <v>3.5118333333333336</v>
      </c>
      <c r="AZ205" s="1300">
        <f>1+1+0.05*AZ202</f>
        <v>3.5573125000000001</v>
      </c>
      <c r="BA205" s="1301">
        <f>1+1+0.05*BA202</f>
        <v>3.4736458333333333</v>
      </c>
      <c r="BB205" s="1302">
        <f>SUMPRODUCT(AX205:BA205,AX176:BA176)/BB176</f>
        <v>3.5967079933098587</v>
      </c>
      <c r="BC205" s="1299">
        <f>1+1+0.05*BC202</f>
        <v>3.6704573830212173</v>
      </c>
      <c r="BD205" s="1300">
        <f>1+1+0.05*BD202</f>
        <v>3.3083275886143455</v>
      </c>
      <c r="BE205" s="1300">
        <f>1+1+0.05*BE202</f>
        <v>3.380925592672301</v>
      </c>
      <c r="BF205" s="1301">
        <f>1+1+0.05*BF202</f>
        <v>3.610144394015637</v>
      </c>
      <c r="BG205" s="1302">
        <f>SUMPRODUCT(BC205:BF205,BC176:BF176)/BG176</f>
        <v>3.4924637395808751</v>
      </c>
      <c r="BH205" s="1299">
        <f>1+1+0.05*BH202</f>
        <v>3.6502100783360349</v>
      </c>
      <c r="BI205" s="1300">
        <f>1+1+0.05*BI202</f>
        <v>3.2927703465241516</v>
      </c>
      <c r="BJ205" s="1300">
        <f>1+1+0.05*BJ202</f>
        <v>3.3646301816269411</v>
      </c>
      <c r="BK205" s="1301">
        <f>1+1+0.05*BK202</f>
        <v>3.590674685172873</v>
      </c>
      <c r="BL205" s="1302">
        <f>SUMPRODUCT(BH205:BK205,BH176:BK176)/BL176</f>
        <v>3.4745713229150001</v>
      </c>
      <c r="BM205" s="1299">
        <f>1+1+0.05*BM202</f>
        <v>3.5030198671768122</v>
      </c>
      <c r="BN205" s="1300">
        <f>1+1+0.05*BN202</f>
        <v>3.3862492793378234</v>
      </c>
      <c r="BO205" s="1300">
        <f>1+1+0.05*BO202</f>
        <v>3.3887148428934957</v>
      </c>
      <c r="BP205" s="1301">
        <f>1+1+0.05*BP202</f>
        <v>3.4504910752872897</v>
      </c>
      <c r="BQ205" s="1302">
        <f>SUMPRODUCT(BM205:BP205,BM176:BP176)/BQ176</f>
        <v>3.432118766173855</v>
      </c>
      <c r="BT205" t="s">
        <v>468</v>
      </c>
      <c r="BX205" s="1808">
        <f>BX204/70</f>
        <v>13.430316220238096</v>
      </c>
      <c r="BY205" s="1808">
        <f>BY204/55</f>
        <v>14.244276830808079</v>
      </c>
    </row>
    <row r="206" spans="1:82">
      <c r="A206" s="120"/>
      <c r="B206" s="120"/>
      <c r="C206" s="94" t="s">
        <v>467</v>
      </c>
      <c r="E206" s="288"/>
      <c r="F206" s="289"/>
      <c r="G206" s="289"/>
      <c r="H206" s="299"/>
      <c r="I206" s="291"/>
      <c r="J206" s="288"/>
      <c r="K206" s="289"/>
      <c r="L206" s="289"/>
      <c r="M206" s="299"/>
      <c r="N206" s="315"/>
      <c r="O206" s="288"/>
      <c r="P206" s="289"/>
      <c r="Q206" s="289"/>
      <c r="R206" s="299"/>
      <c r="S206" s="315"/>
      <c r="T206" s="1299"/>
      <c r="U206" s="1300"/>
      <c r="V206" s="1300"/>
      <c r="W206" s="1301"/>
      <c r="X206" s="1302"/>
      <c r="Y206" s="1299"/>
      <c r="Z206" s="1300"/>
      <c r="AA206" s="1300"/>
      <c r="AB206" s="1301"/>
      <c r="AC206" s="1302"/>
      <c r="AD206" s="1299">
        <f>AE206</f>
        <v>1</v>
      </c>
      <c r="AE206" s="1300">
        <f>AF206</f>
        <v>1</v>
      </c>
      <c r="AF206" s="1300">
        <f>AG206</f>
        <v>1</v>
      </c>
      <c r="AG206" s="1301">
        <f>AH206</f>
        <v>1</v>
      </c>
      <c r="AH206" s="1302">
        <v>1</v>
      </c>
      <c r="AI206" s="1299">
        <f>AJ206</f>
        <v>8.3417988070698872</v>
      </c>
      <c r="AJ206" s="1300">
        <f>AK206</f>
        <v>8.3417988070698872</v>
      </c>
      <c r="AK206" s="1300">
        <f>AL206</f>
        <v>8.3417988070698872</v>
      </c>
      <c r="AL206" s="1301">
        <f>AM206</f>
        <v>8.3417988070698872</v>
      </c>
      <c r="AM206" s="1302">
        <f>BX205-AM205-AM204</f>
        <v>8.3417988070698872</v>
      </c>
      <c r="AN206" s="1299">
        <f>AO206</f>
        <v>9.5041209814364116</v>
      </c>
      <c r="AO206" s="1300">
        <f>AP206</f>
        <v>9.5041209814364116</v>
      </c>
      <c r="AP206" s="1300">
        <f>AQ206</f>
        <v>9.5041209814364116</v>
      </c>
      <c r="AQ206" s="1301">
        <f>AR206</f>
        <v>9.5041209814364116</v>
      </c>
      <c r="AR206" s="1302">
        <f>BY205-AR205-AR204</f>
        <v>9.5041209814364116</v>
      </c>
      <c r="AS206" s="1299">
        <f>AT206</f>
        <v>8.9229598942531503</v>
      </c>
      <c r="AT206" s="1300">
        <f>AU206</f>
        <v>8.9229598942531503</v>
      </c>
      <c r="AU206" s="1300">
        <f>AV206</f>
        <v>8.9229598942531503</v>
      </c>
      <c r="AV206" s="1301">
        <f>AW206</f>
        <v>8.9229598942531503</v>
      </c>
      <c r="AW206" s="1302">
        <f>AVERAGE(AR206,AM206)</f>
        <v>8.9229598942531503</v>
      </c>
      <c r="AX206" s="1299">
        <f>AY206</f>
        <v>8.9229598942531503</v>
      </c>
      <c r="AY206" s="1300">
        <f>AZ206</f>
        <v>8.9229598942531503</v>
      </c>
      <c r="AZ206" s="1300">
        <f>BA206</f>
        <v>8.9229598942531503</v>
      </c>
      <c r="BA206" s="1301">
        <f>BB206</f>
        <v>8.9229598942531503</v>
      </c>
      <c r="BB206" s="1302">
        <f>AW206</f>
        <v>8.9229598942531503</v>
      </c>
      <c r="BC206" s="1299">
        <f>BD206</f>
        <v>8.9229598942531503</v>
      </c>
      <c r="BD206" s="1300">
        <f>BE206</f>
        <v>8.9229598942531503</v>
      </c>
      <c r="BE206" s="1300">
        <f>BF206</f>
        <v>8.9229598942531503</v>
      </c>
      <c r="BF206" s="1301">
        <f>BG206</f>
        <v>8.9229598942531503</v>
      </c>
      <c r="BG206" s="1302">
        <f>BB206</f>
        <v>8.9229598942531503</v>
      </c>
      <c r="BH206" s="1299">
        <f>BI206</f>
        <v>8.9229598942531503</v>
      </c>
      <c r="BI206" s="1300">
        <f>BJ206</f>
        <v>8.9229598942531503</v>
      </c>
      <c r="BJ206" s="1300">
        <f>BK206</f>
        <v>8.9229598942531503</v>
      </c>
      <c r="BK206" s="1301">
        <f>BL206</f>
        <v>8.9229598942531503</v>
      </c>
      <c r="BL206" s="1302">
        <f>BG206</f>
        <v>8.9229598942531503</v>
      </c>
      <c r="BM206" s="1299">
        <f>BN206</f>
        <v>8.9229598942531503</v>
      </c>
      <c r="BN206" s="1300">
        <f>BO206</f>
        <v>8.9229598942531503</v>
      </c>
      <c r="BO206" s="1300">
        <f>BP206</f>
        <v>8.9229598942531503</v>
      </c>
      <c r="BP206" s="1301">
        <f>BQ206</f>
        <v>8.9229598942531503</v>
      </c>
      <c r="BQ206" s="1302">
        <f>BL206</f>
        <v>8.9229598942531503</v>
      </c>
      <c r="BR206" s="1302"/>
      <c r="BX206" s="1640"/>
    </row>
    <row r="207" spans="1:82">
      <c r="A207" s="120"/>
      <c r="B207" s="120"/>
      <c r="C207" s="1252" t="s">
        <v>60</v>
      </c>
      <c r="D207" s="816"/>
      <c r="E207" s="1104"/>
      <c r="F207" s="1105"/>
      <c r="G207" s="1105"/>
      <c r="H207" s="1106"/>
      <c r="I207" s="1107"/>
      <c r="J207" s="1104"/>
      <c r="K207" s="1105"/>
      <c r="L207" s="1105"/>
      <c r="M207" s="1106"/>
      <c r="N207" s="1108"/>
      <c r="O207" s="1104"/>
      <c r="P207" s="1105"/>
      <c r="Q207" s="1105"/>
      <c r="R207" s="1106"/>
      <c r="S207" s="1108"/>
      <c r="T207" s="1303"/>
      <c r="U207" s="1304"/>
      <c r="V207" s="1304"/>
      <c r="W207" s="1305"/>
      <c r="X207" s="1109"/>
      <c r="Y207" s="1303"/>
      <c r="Z207" s="1304"/>
      <c r="AA207" s="1304"/>
      <c r="AB207" s="1305"/>
      <c r="AC207" s="1109"/>
      <c r="AD207" s="1303">
        <f>SUM(AD202:AD206)</f>
        <v>77.195300501189834</v>
      </c>
      <c r="AE207" s="1304">
        <f>SUM(AE202:AE206)</f>
        <v>48.581235855129115</v>
      </c>
      <c r="AF207" s="1304">
        <f>SUM(AF202:AF206)</f>
        <v>41.153729158543072</v>
      </c>
      <c r="AG207" s="1305">
        <f>SUM(AG202:AG206)</f>
        <v>44.209402433362548</v>
      </c>
      <c r="AH207" s="1109">
        <f>SUM(AH202:AH206)</f>
        <v>52.784916987056143</v>
      </c>
      <c r="AI207" s="1303">
        <f t="shared" ref="AI207:AR207" si="402">SUM(AI202:AI206)</f>
        <v>55.198330406813604</v>
      </c>
      <c r="AJ207" s="1304">
        <f t="shared" si="402"/>
        <v>47.354186411460539</v>
      </c>
      <c r="AK207" s="1304">
        <f>SUM(AK202:AK206)</f>
        <v>47.894553156023505</v>
      </c>
      <c r="AL207" s="1305">
        <f t="shared" si="402"/>
        <v>44.807912266716471</v>
      </c>
      <c r="AM207" s="1109">
        <f t="shared" si="402"/>
        <v>48.81374556025353</v>
      </c>
      <c r="AN207" s="1303">
        <f>SUM(AN202:AN206)</f>
        <v>44.174852080007625</v>
      </c>
      <c r="AO207" s="1304">
        <f>SUM(AO202:AO206)</f>
        <v>44.543525728299599</v>
      </c>
      <c r="AP207" s="1304">
        <f>SUM(AP202:AP206)</f>
        <v>46.159455708648679</v>
      </c>
      <c r="AQ207" s="1305">
        <f>SUM(AQ202:AQ206)</f>
        <v>44.950669007295431</v>
      </c>
      <c r="AR207" s="1109">
        <f t="shared" si="402"/>
        <v>45.03792213008029</v>
      </c>
      <c r="AS207" s="1303">
        <f t="shared" ref="AS207:BB207" si="403">SUM(AS202:AS206)</f>
        <v>43.465678054861826</v>
      </c>
      <c r="AT207" s="1304">
        <f t="shared" si="403"/>
        <v>43.465678054861826</v>
      </c>
      <c r="AU207" s="1304">
        <f t="shared" si="403"/>
        <v>45.931970558599687</v>
      </c>
      <c r="AV207" s="1305">
        <f t="shared" si="403"/>
        <v>45.574170121495612</v>
      </c>
      <c r="AW207" s="1109">
        <f t="shared" si="403"/>
        <v>44.609374197454741</v>
      </c>
      <c r="AX207" s="1303">
        <f t="shared" si="403"/>
        <v>54.241846638854028</v>
      </c>
      <c r="AY207" s="1304">
        <f t="shared" si="403"/>
        <v>47.275286283142037</v>
      </c>
      <c r="AZ207" s="1304">
        <f t="shared" si="403"/>
        <v>48.959814060919825</v>
      </c>
      <c r="BA207" s="1305">
        <f t="shared" si="403"/>
        <v>47.119147394253162</v>
      </c>
      <c r="BB207" s="1109">
        <f t="shared" si="403"/>
        <v>49.39902359429226</v>
      </c>
      <c r="BC207" s="1303">
        <f t="shared" ref="BC207:BL207" si="404">SUM(BC202:BC206)</f>
        <v>51.449001487386582</v>
      </c>
      <c r="BD207" s="1304">
        <f t="shared" si="404"/>
        <v>42.987375177102081</v>
      </c>
      <c r="BE207" s="1304">
        <f t="shared" si="404"/>
        <v>43.594989599710445</v>
      </c>
      <c r="BF207" s="1305">
        <f t="shared" si="404"/>
        <v>48.637803229263824</v>
      </c>
      <c r="BG207" s="1109">
        <f t="shared" si="404"/>
        <v>46.66729237336574</v>
      </c>
      <c r="BH207" s="1303">
        <f t="shared" si="404"/>
        <v>49.519248284312596</v>
      </c>
      <c r="BI207" s="1304">
        <f t="shared" si="404"/>
        <v>41.655574184451154</v>
      </c>
      <c r="BJ207" s="1304">
        <f t="shared" si="404"/>
        <v>42.698636390045849</v>
      </c>
      <c r="BK207" s="1305">
        <f t="shared" si="404"/>
        <v>47.671615468056359</v>
      </c>
      <c r="BL207" s="1109">
        <f t="shared" si="404"/>
        <v>45.386268581716479</v>
      </c>
      <c r="BM207" s="1303">
        <f t="shared" ref="BM207:BQ207" si="405">SUM(BM202:BM206)</f>
        <v>47.598771972143012</v>
      </c>
      <c r="BN207" s="1304">
        <f t="shared" si="405"/>
        <v>45.029819039685265</v>
      </c>
      <c r="BO207" s="1304">
        <f t="shared" si="405"/>
        <v>45.084061437910051</v>
      </c>
      <c r="BP207" s="1305">
        <f t="shared" si="405"/>
        <v>46.443138550573522</v>
      </c>
      <c r="BQ207" s="1109">
        <f t="shared" si="405"/>
        <v>46.038947750077966</v>
      </c>
    </row>
    <row r="208" spans="1:82">
      <c r="A208" s="120"/>
      <c r="B208" s="120"/>
      <c r="C208" s="1187"/>
      <c r="E208" s="288"/>
      <c r="F208" s="289"/>
      <c r="G208" s="289"/>
      <c r="H208" s="299"/>
      <c r="I208" s="291"/>
      <c r="J208" s="288"/>
      <c r="K208" s="289"/>
      <c r="L208" s="289"/>
      <c r="M208" s="299"/>
      <c r="N208" s="315"/>
      <c r="O208" s="288"/>
      <c r="P208" s="289"/>
      <c r="Q208" s="289"/>
      <c r="R208" s="299"/>
      <c r="S208" s="315"/>
      <c r="T208" s="133"/>
      <c r="U208" s="134"/>
      <c r="V208" s="134"/>
      <c r="W208" s="135"/>
      <c r="X208" s="178"/>
      <c r="Y208" s="133"/>
      <c r="Z208" s="134"/>
      <c r="AA208" s="134"/>
      <c r="AB208" s="135"/>
      <c r="AC208" s="178"/>
      <c r="AD208" s="133"/>
      <c r="AE208" s="134"/>
      <c r="AF208" s="134"/>
      <c r="AG208" s="135"/>
      <c r="AH208" s="178"/>
      <c r="AI208" s="133"/>
      <c r="AJ208" s="134"/>
      <c r="AK208" s="134"/>
      <c r="AL208" s="135"/>
      <c r="AM208" s="178"/>
      <c r="AN208" s="133"/>
      <c r="AO208" s="134"/>
      <c r="AP208" s="134"/>
      <c r="AQ208" s="135"/>
      <c r="AR208" s="178"/>
      <c r="AS208" s="133"/>
      <c r="AT208" s="134"/>
      <c r="AU208" s="134"/>
      <c r="AV208" s="135"/>
      <c r="AW208" s="178"/>
      <c r="AX208" s="133"/>
      <c r="AY208" s="134"/>
      <c r="AZ208" s="134"/>
      <c r="BA208" s="135"/>
      <c r="BB208" s="178"/>
      <c r="BC208" s="133"/>
      <c r="BD208" s="134"/>
      <c r="BE208" s="134"/>
      <c r="BF208" s="135"/>
      <c r="BG208" s="178"/>
      <c r="BH208" s="133"/>
      <c r="BI208" s="134"/>
      <c r="BJ208" s="134"/>
      <c r="BK208" s="135"/>
      <c r="BL208" s="178"/>
      <c r="BM208" s="133"/>
      <c r="BN208" s="134"/>
      <c r="BO208" s="134"/>
      <c r="BP208" s="135"/>
      <c r="BQ208" s="178"/>
    </row>
    <row r="209" spans="1:118">
      <c r="A209" s="120"/>
      <c r="B209" s="120"/>
      <c r="C209" s="1251" t="s">
        <v>567</v>
      </c>
      <c r="E209" s="288"/>
      <c r="F209" s="289"/>
      <c r="G209" s="289"/>
      <c r="H209" s="299"/>
      <c r="I209" s="291"/>
      <c r="J209" s="288"/>
      <c r="K209" s="289"/>
      <c r="L209" s="289"/>
      <c r="M209" s="299"/>
      <c r="N209" s="315"/>
      <c r="O209" s="288"/>
      <c r="P209" s="289"/>
      <c r="Q209" s="289"/>
      <c r="R209" s="299"/>
      <c r="S209" s="315"/>
      <c r="T209" s="133"/>
      <c r="U209" s="134"/>
      <c r="V209" s="134"/>
      <c r="W209" s="135"/>
      <c r="X209" s="178"/>
      <c r="Y209" s="133"/>
      <c r="Z209" s="134"/>
      <c r="AA209" s="134"/>
      <c r="AB209" s="135"/>
      <c r="AC209" s="178"/>
      <c r="AD209" s="133"/>
      <c r="AE209" s="134"/>
      <c r="AF209" s="134"/>
      <c r="AG209" s="135"/>
      <c r="AH209" s="178"/>
      <c r="AI209" s="133"/>
      <c r="AJ209" s="134"/>
      <c r="AK209" s="134"/>
      <c r="AL209" s="135"/>
      <c r="AM209" s="1067"/>
      <c r="AN209" s="133"/>
      <c r="AO209" s="134"/>
      <c r="AP209" s="134"/>
      <c r="AQ209" s="135"/>
      <c r="AR209" s="178"/>
      <c r="AS209" s="133"/>
      <c r="AT209" s="134"/>
      <c r="AU209" s="134"/>
      <c r="AV209" s="135"/>
      <c r="AW209" s="178"/>
      <c r="AX209" s="133"/>
      <c r="AY209" s="134"/>
      <c r="AZ209" s="134"/>
      <c r="BA209" s="135"/>
      <c r="BB209" s="178"/>
      <c r="BC209" s="133"/>
      <c r="BD209" s="134"/>
      <c r="BE209" s="134"/>
      <c r="BF209" s="135"/>
      <c r="BG209" s="178"/>
      <c r="BH209" s="133"/>
      <c r="BI209" s="134"/>
      <c r="BJ209" s="134"/>
      <c r="BK209" s="135"/>
      <c r="BL209" s="178"/>
      <c r="BM209" s="133"/>
      <c r="BN209" s="134"/>
      <c r="BO209" s="134"/>
      <c r="BP209" s="135"/>
      <c r="BQ209" s="178"/>
      <c r="BT209" s="13"/>
    </row>
    <row r="210" spans="1:118" s="12" customFormat="1">
      <c r="A210" s="87"/>
      <c r="B210" s="87"/>
      <c r="C210" s="1186" t="s">
        <v>470</v>
      </c>
      <c r="E210" s="301"/>
      <c r="F210" s="302"/>
      <c r="G210" s="302"/>
      <c r="H210" s="303"/>
      <c r="I210" s="103"/>
      <c r="J210" s="101"/>
      <c r="K210" s="75"/>
      <c r="L210" s="75"/>
      <c r="M210" s="1102"/>
      <c r="N210" s="96"/>
      <c r="O210" s="101"/>
      <c r="P210" s="75"/>
      <c r="Q210" s="75"/>
      <c r="R210" s="1102"/>
      <c r="S210" s="96"/>
      <c r="T210" s="840"/>
      <c r="U210" s="841"/>
      <c r="V210" s="841"/>
      <c r="W210" s="842"/>
      <c r="X210" s="844"/>
      <c r="Y210" s="840"/>
      <c r="Z210" s="841"/>
      <c r="AA210" s="841"/>
      <c r="AB210" s="842"/>
      <c r="AC210" s="844"/>
      <c r="AD210" s="840">
        <f>+AD195-SUM(AD207:AD207)</f>
        <v>-21.208867956712744</v>
      </c>
      <c r="AE210" s="841">
        <f>+AE195-SUM(AE207:AE207)</f>
        <v>7.4051966893479744</v>
      </c>
      <c r="AF210" s="841">
        <f>+AF195-SUM(AF207:AF207)</f>
        <v>14.832703385934018</v>
      </c>
      <c r="AG210" s="842">
        <f>+AG195-SUM(AG207:AG207)</f>
        <v>11.777030111114541</v>
      </c>
      <c r="AH210" s="844">
        <f>+AH195-SUM(AH207:AH207)</f>
        <v>3.2015155574209473</v>
      </c>
      <c r="AI210" s="840">
        <f t="shared" ref="AI210:AR210" si="406">+AI195-SUM(AI207:AI207)</f>
        <v>0.57789336941017666</v>
      </c>
      <c r="AJ210" s="841">
        <f t="shared" si="406"/>
        <v>8.4220373647632414</v>
      </c>
      <c r="AK210" s="841">
        <f t="shared" si="406"/>
        <v>7.8816706202002749</v>
      </c>
      <c r="AL210" s="842">
        <f t="shared" si="406"/>
        <v>10.968311509507309</v>
      </c>
      <c r="AM210" s="844">
        <f t="shared" si="406"/>
        <v>6.9624782159702505</v>
      </c>
      <c r="AN210" s="1798">
        <f>+AN195-SUM(AN207:AN207)</f>
        <v>9.825147919992375</v>
      </c>
      <c r="AO210" s="1799">
        <f>+AO195-SUM(AO207:AO207)</f>
        <v>5.4564742717004009</v>
      </c>
      <c r="AP210" s="1799">
        <f>+AP195-SUM(AP207:AP207)</f>
        <v>5.8405442913513212</v>
      </c>
      <c r="AQ210" s="1800">
        <f>+AQ195-SUM(AQ207:AQ207)</f>
        <v>7.0493309927045686</v>
      </c>
      <c r="AR210" s="844">
        <f t="shared" si="406"/>
        <v>6.9620778699197103</v>
      </c>
      <c r="AS210" s="1798">
        <f>+AS195-SUM(AS207:AS207)</f>
        <v>6.5343219451381742</v>
      </c>
      <c r="AT210" s="2225">
        <f t="shared" ref="AT210:BB210" si="407">AT212/AT176*1000</f>
        <v>5.8412530683714214</v>
      </c>
      <c r="AU210" s="2225">
        <f t="shared" ref="AU210" si="408">AU212/AU176*1000</f>
        <v>3.4195768214823254</v>
      </c>
      <c r="AV210" s="2226">
        <f t="shared" si="407"/>
        <v>3.7519498004646379</v>
      </c>
      <c r="AW210" s="2241">
        <f t="shared" si="407"/>
        <v>4.88677540886414</v>
      </c>
      <c r="AX210" s="2224">
        <f t="shared" si="407"/>
        <v>-3.190107128950336</v>
      </c>
      <c r="AY210" s="2225">
        <f t="shared" si="407"/>
        <v>3.6171298089431891</v>
      </c>
      <c r="AZ210" s="2225">
        <f t="shared" si="407"/>
        <v>1.9673259200542903</v>
      </c>
      <c r="BA210" s="2226">
        <f t="shared" si="407"/>
        <v>3.7644209200502208</v>
      </c>
      <c r="BB210" s="2241">
        <f t="shared" si="407"/>
        <v>1.5396923800243409</v>
      </c>
      <c r="BC210" s="1798">
        <f t="shared" ref="BC210:BL210" si="409">+BC195-SUM(BC207:BC207)</f>
        <v>-2.2817091140208419</v>
      </c>
      <c r="BD210" s="1799">
        <f t="shared" si="409"/>
        <v>6.1799171962636592</v>
      </c>
      <c r="BE210" s="1799">
        <f t="shared" si="409"/>
        <v>5.572302773655295</v>
      </c>
      <c r="BF210" s="1800">
        <f t="shared" si="409"/>
        <v>0.52948914410191605</v>
      </c>
      <c r="BG210" s="844">
        <f t="shared" si="409"/>
        <v>2.5</v>
      </c>
      <c r="BH210" s="1798">
        <f t="shared" si="409"/>
        <v>-1.632979702596117</v>
      </c>
      <c r="BI210" s="1799">
        <f t="shared" si="409"/>
        <v>6.2306943972653244</v>
      </c>
      <c r="BJ210" s="1799">
        <f t="shared" si="409"/>
        <v>5.1876321916706303</v>
      </c>
      <c r="BK210" s="1800">
        <f t="shared" si="409"/>
        <v>0.21465311366011974</v>
      </c>
      <c r="BL210" s="844">
        <f t="shared" si="409"/>
        <v>2.5</v>
      </c>
      <c r="BM210" s="1798">
        <f t="shared" ref="BM210:BQ210" si="410">+BM195-SUM(BM207:BM207)</f>
        <v>0.94017577793495377</v>
      </c>
      <c r="BN210" s="1799">
        <f t="shared" si="410"/>
        <v>3.5091287103927016</v>
      </c>
      <c r="BO210" s="1799">
        <f t="shared" si="410"/>
        <v>3.4548863121679148</v>
      </c>
      <c r="BP210" s="1800">
        <f t="shared" si="410"/>
        <v>2.0958091995044441</v>
      </c>
      <c r="BQ210" s="844">
        <f t="shared" si="410"/>
        <v>2.5</v>
      </c>
      <c r="BR210" s="91"/>
      <c r="BS210" s="91"/>
      <c r="BU210"/>
      <c r="BV210" s="1298"/>
    </row>
    <row r="211" spans="1:118" s="13" customFormat="1">
      <c r="A211" s="88"/>
      <c r="B211" s="88"/>
      <c r="C211" s="1253"/>
      <c r="E211" s="478"/>
      <c r="F211" s="479"/>
      <c r="G211" s="479"/>
      <c r="H211" s="480"/>
      <c r="I211" s="802"/>
      <c r="J211" s="828"/>
      <c r="K211" s="801"/>
      <c r="L211" s="801"/>
      <c r="M211" s="829"/>
      <c r="N211" s="93"/>
      <c r="O211" s="828"/>
      <c r="P211" s="801"/>
      <c r="Q211" s="801"/>
      <c r="R211" s="829"/>
      <c r="S211" s="93"/>
      <c r="T211" s="106"/>
      <c r="U211" s="76"/>
      <c r="V211" s="76"/>
      <c r="W211" s="107"/>
      <c r="X211" s="93"/>
      <c r="Y211" s="106"/>
      <c r="Z211" s="76"/>
      <c r="AA211" s="76"/>
      <c r="AB211" s="107"/>
      <c r="AC211" s="93"/>
      <c r="AD211" s="106"/>
      <c r="AE211" s="76"/>
      <c r="AF211" s="76"/>
      <c r="AG211" s="107"/>
      <c r="AH211" s="93"/>
      <c r="AI211" s="106"/>
      <c r="AJ211" s="76"/>
      <c r="AK211" s="76"/>
      <c r="AL211" s="107"/>
      <c r="AM211" s="93"/>
      <c r="AN211" s="106"/>
      <c r="AO211" s="76"/>
      <c r="AP211" s="76"/>
      <c r="AQ211" s="107"/>
      <c r="AR211" s="93"/>
      <c r="AS211" s="106"/>
      <c r="AT211" s="76"/>
      <c r="AU211" s="76"/>
      <c r="AV211" s="107"/>
      <c r="AW211" s="93"/>
      <c r="AX211" s="106"/>
      <c r="AY211" s="76"/>
      <c r="AZ211" s="76"/>
      <c r="BA211" s="107"/>
      <c r="BB211" s="93"/>
      <c r="BC211" s="106"/>
      <c r="BD211" s="76"/>
      <c r="BE211" s="76"/>
      <c r="BF211" s="107"/>
      <c r="BG211" s="93"/>
      <c r="BH211" s="106"/>
      <c r="BI211" s="76"/>
      <c r="BJ211" s="76"/>
      <c r="BK211" s="107"/>
      <c r="BL211" s="93"/>
      <c r="BM211" s="106"/>
      <c r="BN211" s="76"/>
      <c r="BO211" s="76"/>
      <c r="BP211" s="107"/>
      <c r="BQ211" s="93"/>
      <c r="BR211" s="136"/>
      <c r="BS211" s="136"/>
      <c r="BT211" s="12"/>
      <c r="BU211"/>
      <c r="BV211" s="799"/>
      <c r="BW211" s="12"/>
      <c r="BX211" s="12"/>
      <c r="BY211" s="12"/>
      <c r="BZ211" s="12"/>
      <c r="CA211" s="12"/>
      <c r="CB211" s="12"/>
      <c r="CC211" s="12"/>
      <c r="CD211" s="12"/>
    </row>
    <row r="212" spans="1:118" s="12" customFormat="1">
      <c r="A212" s="87"/>
      <c r="B212" s="87"/>
      <c r="C212" s="1184" t="s">
        <v>64</v>
      </c>
      <c r="E212" s="301"/>
      <c r="F212" s="302"/>
      <c r="G212" s="302"/>
      <c r="H212" s="303"/>
      <c r="I212" s="103"/>
      <c r="J212" s="101"/>
      <c r="K212" s="75"/>
      <c r="L212" s="75"/>
      <c r="M212" s="1102"/>
      <c r="N212" s="96"/>
      <c r="O212" s="101"/>
      <c r="P212" s="75"/>
      <c r="Q212" s="75"/>
      <c r="R212" s="1102"/>
      <c r="S212" s="96"/>
      <c r="T212" s="104"/>
      <c r="U212" s="77"/>
      <c r="V212" s="77"/>
      <c r="W212" s="102"/>
      <c r="X212" s="96"/>
      <c r="Y212" s="104"/>
      <c r="Z212" s="77"/>
      <c r="AA212" s="77"/>
      <c r="AB212" s="102"/>
      <c r="AC212" s="96"/>
      <c r="AD212" s="104">
        <f>+AD213+AD215</f>
        <v>-102.55738055757178</v>
      </c>
      <c r="AE212" s="77">
        <f>+AE213+AE215</f>
        <v>393.64564520099782</v>
      </c>
      <c r="AF212" s="77">
        <f>+AF213+AF215</f>
        <v>520.93269895125991</v>
      </c>
      <c r="AG212" s="102">
        <f>+AG213+AG215</f>
        <v>479.16702987072756</v>
      </c>
      <c r="AH212" s="96">
        <f>SUM(AD212:AG212)</f>
        <v>1291.1879934654135</v>
      </c>
      <c r="AI212" s="104">
        <f>(AI210)*AI176/1000</f>
        <v>10.428010724868615</v>
      </c>
      <c r="AJ212" s="77">
        <f>(AJ210)*AJ176/1000</f>
        <v>151.97456938229527</v>
      </c>
      <c r="AK212" s="77">
        <f>(AK210)*AK176/1000</f>
        <v>142.22372172433333</v>
      </c>
      <c r="AL212" s="102">
        <f>(AL210)*AL176/1000</f>
        <v>197.92175530856315</v>
      </c>
      <c r="AM212" s="1758">
        <f>SUM(AI212:AL212)</f>
        <v>502.54805714006039</v>
      </c>
      <c r="AN212" s="2018">
        <f>(AN210)*AN176/1000</f>
        <v>157.79123008285919</v>
      </c>
      <c r="AO212" s="1790">
        <f>(AO210)*AO176/1000</f>
        <v>70.10449465051903</v>
      </c>
      <c r="AP212" s="1790">
        <f>(AP210)*AP176/1000</f>
        <v>112.55850911441073</v>
      </c>
      <c r="AQ212" s="1791">
        <f>(AQ210)*AQ176/1000</f>
        <v>113.21179260178914</v>
      </c>
      <c r="AR212" s="1758">
        <f>SUM(AN212:AQ212)</f>
        <v>453.66602644957811</v>
      </c>
      <c r="AS212" s="2018">
        <f>(AS210)*AS176/1000</f>
        <v>90.249071775211846</v>
      </c>
      <c r="AT212" s="2229">
        <f t="shared" ref="AT212:AV212" si="411">(AT186*(AT185-AT207)+AT192*(AT193-AT207)+AT189*AT187)/1000</f>
        <v>80.676720836637855</v>
      </c>
      <c r="AU212" s="2229">
        <f t="shared" ref="AU212" si="412">(AU186*(AU185-AU207)+AU192*(AU193-AU207)+AU189*AU187)/1000</f>
        <v>47.229634014655716</v>
      </c>
      <c r="AV212" s="2230">
        <f t="shared" si="411"/>
        <v>51.820217871429762</v>
      </c>
      <c r="AW212" s="2231">
        <f>SUM(AS212:AV212)</f>
        <v>269.97564449793521</v>
      </c>
      <c r="AX212" s="2228">
        <f>(AX186*(AX185-AX207)+AX192*(AX193-AX207)+AX189*AX187)/1000</f>
        <v>-44.060303374777455</v>
      </c>
      <c r="AY212" s="2229">
        <f t="shared" ref="AY212:BA212" si="413">(AY186*(AY185-AY207)+AY192*(AY193-AY207)+AY189*AY187)/1000</f>
        <v>49.958145694131282</v>
      </c>
      <c r="AZ212" s="2229">
        <f t="shared" si="413"/>
        <v>27.171807519572699</v>
      </c>
      <c r="BA212" s="2230">
        <f t="shared" si="413"/>
        <v>51.9924632820548</v>
      </c>
      <c r="BB212" s="2231">
        <f>SUM(AX212:BA212)</f>
        <v>85.062113120981323</v>
      </c>
      <c r="BC212" s="1789">
        <f>(BC210)*BC176/1000</f>
        <v>-31.513924678081899</v>
      </c>
      <c r="BD212" s="1790">
        <f>(BD210)*BD176/1000</f>
        <v>85.354195170233723</v>
      </c>
      <c r="BE212" s="1790">
        <f>(BE210)*BE176/1000</f>
        <v>76.962102142366149</v>
      </c>
      <c r="BF212" s="1791">
        <f>(BF210)*BF176/1000</f>
        <v>7.313062345482404</v>
      </c>
      <c r="BG212" s="1758">
        <f>SUM(BC212:BF212)</f>
        <v>138.11543498000037</v>
      </c>
      <c r="BH212" s="1789">
        <f>(BH210)*BH176/1000</f>
        <v>-22.553970193757372</v>
      </c>
      <c r="BI212" s="1790">
        <f>(BI210)*BI176/1000</f>
        <v>86.055506690574916</v>
      </c>
      <c r="BJ212" s="1790">
        <f>(BJ210)*BJ176/1000</f>
        <v>71.649207666883967</v>
      </c>
      <c r="BK212" s="1791">
        <f>(BK210)*BK176/1000</f>
        <v>2.9646908162978818</v>
      </c>
      <c r="BL212" s="1758">
        <f>SUM(BH212:BK212)</f>
        <v>138.11543497999941</v>
      </c>
      <c r="BM212" s="1789">
        <f>(BM210)*BM176/1000</f>
        <v>12.985278652714602</v>
      </c>
      <c r="BN212" s="1790">
        <f>(BN210)*BN176/1000</f>
        <v>48.466483823669442</v>
      </c>
      <c r="BO212" s="1790">
        <f>(BO210)*BO176/1000</f>
        <v>47.717312581151958</v>
      </c>
      <c r="BP212" s="1791">
        <f>(BP210)*BP176/1000</f>
        <v>28.946359922464186</v>
      </c>
      <c r="BQ212" s="1758">
        <f>SUM(BM212:BP212)</f>
        <v>138.1154349800002</v>
      </c>
      <c r="BR212" s="91"/>
      <c r="BS212" s="91"/>
      <c r="BV212" s="47"/>
    </row>
    <row r="213" spans="1:118" s="12" customFormat="1">
      <c r="A213" s="87"/>
      <c r="B213" s="87"/>
      <c r="C213" s="1184" t="s">
        <v>471</v>
      </c>
      <c r="E213" s="301"/>
      <c r="F213" s="302"/>
      <c r="G213" s="302"/>
      <c r="H213" s="303"/>
      <c r="I213" s="300"/>
      <c r="J213" s="301"/>
      <c r="K213" s="302"/>
      <c r="L213" s="302"/>
      <c r="M213" s="303"/>
      <c r="N213" s="285"/>
      <c r="O213" s="301"/>
      <c r="P213" s="302"/>
      <c r="Q213" s="302"/>
      <c r="R213" s="303"/>
      <c r="S213" s="285"/>
      <c r="T213" s="104"/>
      <c r="U213" s="77"/>
      <c r="V213" s="77"/>
      <c r="W213" s="102"/>
      <c r="X213" s="96"/>
      <c r="Y213" s="104"/>
      <c r="Z213" s="77"/>
      <c r="AA213" s="77"/>
      <c r="AB213" s="102"/>
      <c r="AC213" s="96"/>
      <c r="AD213" s="104">
        <f>+AD199*AD201/1000</f>
        <v>421.70462646441052</v>
      </c>
      <c r="AE213" s="77">
        <f>+AE199*AE201/1000</f>
        <v>210.59658823700525</v>
      </c>
      <c r="AF213" s="77">
        <f>+AF199*AF201/1000</f>
        <v>154.28310395435693</v>
      </c>
      <c r="AG213" s="102">
        <f>+AG199*AG201/1000</f>
        <v>188.05062255408717</v>
      </c>
      <c r="AH213" s="96">
        <f>SUM(AD213:AG213)</f>
        <v>974.63494120985979</v>
      </c>
      <c r="AI213" s="104">
        <f>+AI199*(AI201)/1000</f>
        <v>107.9</v>
      </c>
      <c r="AJ213" s="77">
        <f>+AJ199*(AJ201)/1000</f>
        <v>107.9</v>
      </c>
      <c r="AK213" s="77">
        <f>+AK199*(AK201)/1000</f>
        <v>107.9</v>
      </c>
      <c r="AL213" s="102">
        <f>+AL199*(AL201)/1000</f>
        <v>107.9</v>
      </c>
      <c r="AM213" s="1758">
        <f>SUM(AI213:AL213)</f>
        <v>431.6</v>
      </c>
      <c r="AN213" s="104">
        <f>+AN199*(AN201)/1000</f>
        <v>51.674999999999997</v>
      </c>
      <c r="AO213" s="77">
        <f>+AO199*(AO201)/1000</f>
        <v>51.674999999999997</v>
      </c>
      <c r="AP213" s="77">
        <f>+AP199*(AP201)/1000</f>
        <v>51.674999999999997</v>
      </c>
      <c r="AQ213" s="102">
        <f>+AQ199*(AQ201)/1000</f>
        <v>51.674999999999997</v>
      </c>
      <c r="AR213" s="1758">
        <f>SUM(AN213:AQ213)</f>
        <v>206.7</v>
      </c>
      <c r="AS213" s="104">
        <f>+AS199*(AS201)/1000</f>
        <v>39.375</v>
      </c>
      <c r="AT213" s="77">
        <f>+AT199*(AT201)/1000</f>
        <v>39.375</v>
      </c>
      <c r="AU213" s="77">
        <f>+AU199*(AU201)/1000</f>
        <v>39.375</v>
      </c>
      <c r="AV213" s="102">
        <f>+AV199*(AV201)/1000</f>
        <v>39.375</v>
      </c>
      <c r="AW213" s="1758">
        <f>SUM(AS213:AV213)</f>
        <v>157.5</v>
      </c>
      <c r="AX213" s="104">
        <f>+AX199*(AX201)/1000</f>
        <v>39.375</v>
      </c>
      <c r="AY213" s="77">
        <f>+AY199*(AY201)/1000</f>
        <v>39.375</v>
      </c>
      <c r="AZ213" s="77">
        <f>+AZ199*(AZ201)/1000</f>
        <v>39.375</v>
      </c>
      <c r="BA213" s="102">
        <f>+BA199*(BA201)/1000</f>
        <v>39.375</v>
      </c>
      <c r="BB213" s="1758">
        <f>SUM(AX213:BA213)</f>
        <v>157.5</v>
      </c>
      <c r="BC213" s="104">
        <f>+BC199*(BC201)/1000</f>
        <v>39.375</v>
      </c>
      <c r="BD213" s="77">
        <f>+BD199*(BD201)/1000</f>
        <v>39.375</v>
      </c>
      <c r="BE213" s="77">
        <f>+BE199*(BE201)/1000</f>
        <v>39.375</v>
      </c>
      <c r="BF213" s="102">
        <f>+BF199*(BF201)/1000</f>
        <v>39.375</v>
      </c>
      <c r="BG213" s="1758">
        <f>SUM(BC213:BF213)</f>
        <v>157.5</v>
      </c>
      <c r="BH213" s="1789">
        <f>+BH199*(51-BH201)/1000</f>
        <v>15.746323629119386</v>
      </c>
      <c r="BI213" s="1790">
        <f>+BI199*(51-BI201)/1000</f>
        <v>22.001518935827349</v>
      </c>
      <c r="BJ213" s="1790">
        <f>+BJ199*(51-BJ201)/1000</f>
        <v>20.743971821528532</v>
      </c>
      <c r="BK213" s="1791">
        <f>+BK199*(51-BK201)/1000</f>
        <v>16.788193009474721</v>
      </c>
      <c r="BL213" s="1758">
        <f>SUM(BH213:BK213)</f>
        <v>75.280007395949994</v>
      </c>
      <c r="BM213" s="1789">
        <f>+BM199*(51-BM201)/1000</f>
        <v>18.322152324405792</v>
      </c>
      <c r="BN213" s="1790">
        <f>+BN199*(51-BN201)/1000</f>
        <v>20.365637611588095</v>
      </c>
      <c r="BO213" s="1790">
        <f>+BO199*(51-BO201)/1000</f>
        <v>20.322490249363831</v>
      </c>
      <c r="BP213" s="1791">
        <f>+BP199*(51-BP201)/1000</f>
        <v>19.241406182472428</v>
      </c>
      <c r="BQ213" s="1758">
        <f>SUM(BM213:BP213)</f>
        <v>78.251686367830146</v>
      </c>
      <c r="BR213" s="91"/>
      <c r="BS213" s="91"/>
      <c r="BT213" s="13"/>
      <c r="BU213" s="13"/>
      <c r="BV213" s="28"/>
    </row>
    <row r="214" spans="1:118" s="12" customFormat="1">
      <c r="A214" s="87"/>
      <c r="B214" s="87"/>
      <c r="C214" s="2183" t="s">
        <v>1156</v>
      </c>
      <c r="E214" s="301"/>
      <c r="F214" s="302"/>
      <c r="G214" s="302"/>
      <c r="H214" s="303"/>
      <c r="I214" s="300"/>
      <c r="J214" s="301"/>
      <c r="K214" s="302"/>
      <c r="L214" s="302"/>
      <c r="M214" s="303"/>
      <c r="N214" s="285"/>
      <c r="O214" s="301"/>
      <c r="P214" s="302"/>
      <c r="Q214" s="302"/>
      <c r="R214" s="303"/>
      <c r="S214" s="285"/>
      <c r="T214" s="104"/>
      <c r="U214" s="77"/>
      <c r="V214" s="77"/>
      <c r="W214" s="102"/>
      <c r="X214" s="96"/>
      <c r="Y214" s="104"/>
      <c r="Z214" s="77"/>
      <c r="AA214" s="77"/>
      <c r="AB214" s="102"/>
      <c r="AC214" s="96"/>
      <c r="AD214" s="104">
        <v>0</v>
      </c>
      <c r="AE214" s="77">
        <v>0</v>
      </c>
      <c r="AF214" s="77">
        <v>0</v>
      </c>
      <c r="AG214" s="102">
        <v>0</v>
      </c>
      <c r="AH214" s="1896">
        <v>0</v>
      </c>
      <c r="AI214" s="104">
        <v>0</v>
      </c>
      <c r="AJ214" s="77">
        <v>0</v>
      </c>
      <c r="AK214" s="77">
        <v>0</v>
      </c>
      <c r="AL214" s="102">
        <v>0</v>
      </c>
      <c r="AM214" s="1896">
        <v>0</v>
      </c>
      <c r="AN214" s="104">
        <v>0</v>
      </c>
      <c r="AO214" s="77">
        <f>AR214/7</f>
        <v>0</v>
      </c>
      <c r="AP214" s="77">
        <f>AR214/7*3</f>
        <v>0</v>
      </c>
      <c r="AQ214" s="102">
        <f>AR214/7*3</f>
        <v>0</v>
      </c>
      <c r="AR214" s="1896">
        <v>0</v>
      </c>
      <c r="AS214" s="104">
        <v>0</v>
      </c>
      <c r="AT214" s="2229">
        <f>AU214</f>
        <v>18.75</v>
      </c>
      <c r="AU214" s="2229">
        <f>AV214</f>
        <v>18.75</v>
      </c>
      <c r="AV214" s="2230">
        <f>AW214/4</f>
        <v>18.75</v>
      </c>
      <c r="AW214" s="2243">
        <v>75</v>
      </c>
      <c r="AX214" s="2228">
        <f>AY214</f>
        <v>3.75</v>
      </c>
      <c r="AY214" s="2229">
        <f>AZ214</f>
        <v>3.75</v>
      </c>
      <c r="AZ214" s="2242">
        <f>BA214</f>
        <v>3.75</v>
      </c>
      <c r="BA214" s="2230">
        <f>BB214/4</f>
        <v>3.75</v>
      </c>
      <c r="BB214" s="2243">
        <v>15</v>
      </c>
      <c r="BC214" s="1789">
        <f t="shared" ref="BC214:BD214" si="414">BD214</f>
        <v>0</v>
      </c>
      <c r="BD214" s="1790">
        <f t="shared" si="414"/>
        <v>0</v>
      </c>
      <c r="BE214" s="167">
        <f>BF214</f>
        <v>0</v>
      </c>
      <c r="BF214" s="1791">
        <f>BG214/4</f>
        <v>0</v>
      </c>
      <c r="BG214" s="1758">
        <v>0</v>
      </c>
      <c r="BH214" s="1789"/>
      <c r="BI214" s="1790"/>
      <c r="BJ214" s="1790"/>
      <c r="BK214" s="1791"/>
      <c r="BL214" s="1758">
        <v>0</v>
      </c>
      <c r="BM214" s="1789"/>
      <c r="BN214" s="1790"/>
      <c r="BO214" s="1790"/>
      <c r="BP214" s="1791"/>
      <c r="BQ214" s="1758">
        <v>0</v>
      </c>
      <c r="BR214" s="91"/>
      <c r="BS214" s="91"/>
      <c r="BT214" s="13"/>
      <c r="BU214" s="13"/>
      <c r="BV214" s="28"/>
    </row>
    <row r="215" spans="1:118" s="12" customFormat="1">
      <c r="A215" s="87"/>
      <c r="B215" s="87"/>
      <c r="C215" s="1186" t="s">
        <v>65</v>
      </c>
      <c r="E215" s="301"/>
      <c r="F215" s="302"/>
      <c r="G215" s="302"/>
      <c r="H215" s="303"/>
      <c r="I215" s="300"/>
      <c r="J215" s="301"/>
      <c r="K215" s="302"/>
      <c r="L215" s="302"/>
      <c r="M215" s="303"/>
      <c r="N215" s="285"/>
      <c r="O215" s="301"/>
      <c r="P215" s="302"/>
      <c r="Q215" s="302"/>
      <c r="R215" s="303"/>
      <c r="S215" s="285"/>
      <c r="T215" s="106"/>
      <c r="U215" s="76"/>
      <c r="V215" s="76"/>
      <c r="W215" s="107"/>
      <c r="X215" s="93"/>
      <c r="Y215" s="106"/>
      <c r="Z215" s="76"/>
      <c r="AA215" s="76"/>
      <c r="AB215" s="107"/>
      <c r="AC215" s="93"/>
      <c r="AD215" s="106">
        <f>(AD210)*AD176/1000</f>
        <v>-524.2620070219823</v>
      </c>
      <c r="AE215" s="76">
        <f>(AE210)*AE176/1000</f>
        <v>183.04905696399257</v>
      </c>
      <c r="AF215" s="76">
        <f>(AF210)*AF176/1000</f>
        <v>366.64959499690298</v>
      </c>
      <c r="AG215" s="107">
        <f>(AG210)*AG176/1000</f>
        <v>291.11640731664039</v>
      </c>
      <c r="AH215" s="93">
        <f>+AH212-AH213</f>
        <v>316.55305225555367</v>
      </c>
      <c r="AI215" s="106">
        <f>AI212-AI213</f>
        <v>-97.471989275131392</v>
      </c>
      <c r="AJ215" s="76">
        <f>AJ212-AJ213</f>
        <v>44.074569382295266</v>
      </c>
      <c r="AK215" s="76">
        <f>AK212-AK213</f>
        <v>34.323721724333325</v>
      </c>
      <c r="AL215" s="107">
        <f>AL212-AL213</f>
        <v>90.021755308563144</v>
      </c>
      <c r="AM215" s="93">
        <f>+AM212-AM213</f>
        <v>70.948057140060371</v>
      </c>
      <c r="AN215" s="106">
        <f>AN212-AN213+AN214</f>
        <v>106.11623008285919</v>
      </c>
      <c r="AO215" s="76">
        <f t="shared" ref="AO215:BL215" si="415">AO212-AO213+AO214</f>
        <v>18.429494650519032</v>
      </c>
      <c r="AP215" s="76">
        <f t="shared" si="415"/>
        <v>60.883509114410728</v>
      </c>
      <c r="AQ215" s="107">
        <f t="shared" si="415"/>
        <v>61.536792601789145</v>
      </c>
      <c r="AR215" s="93">
        <f t="shared" si="415"/>
        <v>246.96602644957812</v>
      </c>
      <c r="AS215" s="106">
        <f>AS212-AS213+AS214</f>
        <v>50.874071775211846</v>
      </c>
      <c r="AT215" s="76">
        <f t="shared" si="415"/>
        <v>60.051720836637855</v>
      </c>
      <c r="AU215" s="76">
        <f t="shared" ref="AU215" si="416">AU212-AU213+AU214</f>
        <v>26.604634014655716</v>
      </c>
      <c r="AV215" s="107">
        <f t="shared" si="415"/>
        <v>31.195217871429762</v>
      </c>
      <c r="AW215" s="93">
        <f t="shared" si="415"/>
        <v>187.47564449793521</v>
      </c>
      <c r="AX215" s="106">
        <f t="shared" si="415"/>
        <v>-79.685303374777448</v>
      </c>
      <c r="AY215" s="76">
        <f t="shared" si="415"/>
        <v>14.333145694131282</v>
      </c>
      <c r="AZ215" s="76">
        <f t="shared" si="415"/>
        <v>-8.4531924804273011</v>
      </c>
      <c r="BA215" s="107">
        <f t="shared" si="415"/>
        <v>16.3674632820548</v>
      </c>
      <c r="BB215" s="93">
        <f t="shared" si="415"/>
        <v>-57.437886879018677</v>
      </c>
      <c r="BC215" s="106">
        <f t="shared" si="415"/>
        <v>-70.888924678081906</v>
      </c>
      <c r="BD215" s="76">
        <f t="shared" si="415"/>
        <v>45.979195170233723</v>
      </c>
      <c r="BE215" s="76">
        <f t="shared" si="415"/>
        <v>37.587102142366149</v>
      </c>
      <c r="BF215" s="107">
        <f t="shared" si="415"/>
        <v>-32.061937654517592</v>
      </c>
      <c r="BG215" s="93">
        <f t="shared" si="415"/>
        <v>-19.384565019999627</v>
      </c>
      <c r="BH215" s="106">
        <f t="shared" si="415"/>
        <v>-38.30029382287676</v>
      </c>
      <c r="BI215" s="76">
        <f t="shared" si="415"/>
        <v>64.053987754747567</v>
      </c>
      <c r="BJ215" s="76">
        <f t="shared" si="415"/>
        <v>50.905235845355435</v>
      </c>
      <c r="BK215" s="107">
        <f t="shared" si="415"/>
        <v>-13.823502193176839</v>
      </c>
      <c r="BL215" s="93">
        <f t="shared" si="415"/>
        <v>62.835427584049413</v>
      </c>
      <c r="BM215" s="106">
        <f t="shared" ref="BM215:BQ215" si="417">BM212-BM213+BM214</f>
        <v>-5.3368736716911904</v>
      </c>
      <c r="BN215" s="76">
        <f t="shared" si="417"/>
        <v>28.100846212081347</v>
      </c>
      <c r="BO215" s="76">
        <f t="shared" si="417"/>
        <v>27.394822331788127</v>
      </c>
      <c r="BP215" s="107">
        <f t="shared" si="417"/>
        <v>9.7049537399917583</v>
      </c>
      <c r="BQ215" s="93">
        <f t="shared" si="417"/>
        <v>59.863748612170056</v>
      </c>
      <c r="BR215" s="1110"/>
      <c r="BS215" s="91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</row>
    <row r="216" spans="1:118" s="13" customFormat="1">
      <c r="A216" s="88"/>
      <c r="B216" s="88"/>
      <c r="C216" s="1179"/>
      <c r="E216" s="478"/>
      <c r="F216" s="479"/>
      <c r="G216" s="479"/>
      <c r="H216" s="480"/>
      <c r="I216" s="802"/>
      <c r="J216" s="828"/>
      <c r="K216" s="801"/>
      <c r="L216" s="801"/>
      <c r="M216" s="829"/>
      <c r="N216" s="93"/>
      <c r="O216" s="828"/>
      <c r="P216" s="801"/>
      <c r="Q216" s="801"/>
      <c r="R216" s="829"/>
      <c r="S216" s="93"/>
      <c r="T216" s="106"/>
      <c r="U216" s="76"/>
      <c r="V216" s="76"/>
      <c r="W216" s="107"/>
      <c r="X216" s="93"/>
      <c r="Y216" s="106"/>
      <c r="Z216" s="76"/>
      <c r="AA216" s="76"/>
      <c r="AB216" s="107"/>
      <c r="AC216" s="844"/>
      <c r="AD216" s="106"/>
      <c r="AE216" s="76"/>
      <c r="AF216" s="76"/>
      <c r="AG216" s="107"/>
      <c r="AH216" s="844"/>
      <c r="AI216" s="106"/>
      <c r="AJ216" s="76"/>
      <c r="AK216" s="76"/>
      <c r="AL216" s="107"/>
      <c r="AM216" s="844"/>
      <c r="AN216" s="106"/>
      <c r="AO216" s="76"/>
      <c r="AP216" s="76"/>
      <c r="AQ216" s="107"/>
      <c r="AR216" s="844"/>
      <c r="AS216" s="106"/>
      <c r="AT216" s="76"/>
      <c r="AU216" s="76"/>
      <c r="AV216" s="107"/>
      <c r="AW216" s="844"/>
      <c r="AX216" s="106"/>
      <c r="AY216" s="76"/>
      <c r="AZ216" s="76"/>
      <c r="BA216" s="107"/>
      <c r="BB216" s="844"/>
      <c r="BC216" s="106"/>
      <c r="BD216" s="76"/>
      <c r="BE216" s="76"/>
      <c r="BF216" s="107"/>
      <c r="BG216" s="844"/>
      <c r="BH216" s="106"/>
      <c r="BI216" s="76"/>
      <c r="BJ216" s="76"/>
      <c r="BK216" s="107"/>
      <c r="BL216" s="844"/>
      <c r="BM216" s="106"/>
      <c r="BN216" s="76"/>
      <c r="BO216" s="76"/>
      <c r="BP216" s="107"/>
      <c r="BQ216" s="844"/>
      <c r="BR216" s="1111"/>
      <c r="BS216" s="136"/>
    </row>
    <row r="217" spans="1:118" s="13" customFormat="1">
      <c r="A217" s="88"/>
      <c r="B217" s="88"/>
      <c r="C217" s="1253"/>
      <c r="E217" s="478"/>
      <c r="F217" s="479"/>
      <c r="G217" s="479"/>
      <c r="H217" s="480"/>
      <c r="I217" s="802"/>
      <c r="J217" s="828"/>
      <c r="K217" s="801"/>
      <c r="L217" s="801"/>
      <c r="M217" s="829"/>
      <c r="N217" s="93"/>
      <c r="O217" s="828"/>
      <c r="P217" s="801"/>
      <c r="Q217" s="801"/>
      <c r="R217" s="829"/>
      <c r="S217" s="93"/>
      <c r="T217" s="106"/>
      <c r="U217" s="76"/>
      <c r="V217" s="76"/>
      <c r="W217" s="107"/>
      <c r="X217" s="93"/>
      <c r="Y217" s="106"/>
      <c r="Z217" s="76"/>
      <c r="AA217" s="76"/>
      <c r="AB217" s="107"/>
      <c r="AC217" s="93"/>
      <c r="AD217" s="106"/>
      <c r="AE217" s="76"/>
      <c r="AF217" s="76"/>
      <c r="AG217" s="107"/>
      <c r="AH217" s="93"/>
      <c r="AI217" s="106"/>
      <c r="AJ217" s="76"/>
      <c r="AK217" s="76"/>
      <c r="AL217" s="107"/>
      <c r="AM217" s="93"/>
      <c r="AN217" s="106"/>
      <c r="AO217" s="76"/>
      <c r="AP217" s="76"/>
      <c r="AQ217" s="107"/>
      <c r="AR217" s="93"/>
      <c r="AS217" s="106"/>
      <c r="AT217" s="76"/>
      <c r="AU217" s="76"/>
      <c r="AV217" s="107"/>
      <c r="AW217" s="93"/>
      <c r="AX217" s="106"/>
      <c r="AY217" s="76"/>
      <c r="AZ217" s="76"/>
      <c r="BA217" s="107"/>
      <c r="BB217" s="93"/>
      <c r="BC217" s="106"/>
      <c r="BD217" s="76"/>
      <c r="BE217" s="76"/>
      <c r="BF217" s="107"/>
      <c r="BG217" s="93"/>
      <c r="BH217" s="106"/>
      <c r="BI217" s="76"/>
      <c r="BJ217" s="76"/>
      <c r="BK217" s="107"/>
      <c r="BL217" s="93"/>
      <c r="BM217" s="106"/>
      <c r="BN217" s="76"/>
      <c r="BO217" s="76"/>
      <c r="BP217" s="107"/>
      <c r="BQ217" s="93"/>
      <c r="BR217" s="136"/>
      <c r="BS217" s="136"/>
      <c r="BT217" s="12"/>
      <c r="BU217" s="91"/>
      <c r="BV217" s="91"/>
      <c r="BW217" s="91"/>
      <c r="BX217" s="91"/>
      <c r="BY217" s="91"/>
      <c r="BZ217" s="91"/>
      <c r="CA217" s="91"/>
      <c r="CB217" s="91"/>
      <c r="CC217" s="91"/>
      <c r="CD217" s="91"/>
    </row>
    <row r="218" spans="1:118">
      <c r="A218" s="91"/>
      <c r="B218" s="807" t="s">
        <v>613</v>
      </c>
      <c r="C218" s="1242"/>
      <c r="D218" s="1017"/>
      <c r="E218" s="350"/>
      <c r="F218" s="99"/>
      <c r="G218" s="99"/>
      <c r="H218" s="351"/>
      <c r="I218" s="352"/>
      <c r="J218" s="350"/>
      <c r="K218" s="99"/>
      <c r="L218" s="99"/>
      <c r="M218" s="351"/>
      <c r="N218" s="93"/>
      <c r="O218" s="106"/>
      <c r="P218" s="76"/>
      <c r="Q218" s="76"/>
      <c r="R218" s="107"/>
      <c r="S218" s="93"/>
      <c r="T218" s="106"/>
      <c r="U218" s="76"/>
      <c r="V218" s="76"/>
      <c r="W218" s="107"/>
      <c r="X218" s="93"/>
      <c r="Y218" s="106"/>
      <c r="Z218" s="76"/>
      <c r="AA218" s="76"/>
      <c r="AB218" s="107"/>
      <c r="AC218" s="93"/>
      <c r="AD218" s="106"/>
      <c r="AE218" s="76"/>
      <c r="AF218" s="76"/>
      <c r="AG218" s="107"/>
      <c r="AH218" s="93"/>
      <c r="AI218" s="106"/>
      <c r="AJ218" s="76"/>
      <c r="AK218" s="76"/>
      <c r="AL218" s="107"/>
      <c r="AM218" s="93"/>
      <c r="AN218" s="106"/>
      <c r="AO218" s="76"/>
      <c r="AP218" s="76"/>
      <c r="AQ218" s="107"/>
      <c r="AR218" s="93"/>
      <c r="AS218" s="106"/>
      <c r="AT218" s="76"/>
      <c r="AU218" s="76"/>
      <c r="AV218" s="107"/>
      <c r="AW218" s="93"/>
      <c r="AX218" s="106"/>
      <c r="AY218" s="76"/>
      <c r="AZ218" s="76"/>
      <c r="BA218" s="107"/>
      <c r="BB218" s="93"/>
      <c r="BC218" s="106"/>
      <c r="BD218" s="76"/>
      <c r="BE218" s="76"/>
      <c r="BF218" s="107"/>
      <c r="BG218" s="93"/>
      <c r="BH218" s="106"/>
      <c r="BI218" s="76"/>
      <c r="BJ218" s="76"/>
      <c r="BK218" s="107"/>
      <c r="BL218" s="93"/>
      <c r="BM218" s="106"/>
      <c r="BN218" s="76"/>
      <c r="BO218" s="76"/>
      <c r="BP218" s="107"/>
      <c r="BQ218" s="93"/>
      <c r="BR218" s="124"/>
      <c r="BS218" s="91"/>
      <c r="BU218" s="91"/>
      <c r="BV218" s="91"/>
      <c r="BW218" s="91"/>
      <c r="BX218" s="91"/>
      <c r="BY218" s="91"/>
      <c r="BZ218" s="91"/>
      <c r="CA218" s="91"/>
      <c r="CB218" s="91"/>
      <c r="CC218" s="91"/>
      <c r="CD218" s="91"/>
      <c r="CE218" s="91"/>
      <c r="CF218" s="91"/>
      <c r="CG218" s="91"/>
      <c r="CH218" s="91"/>
      <c r="CI218" s="91"/>
      <c r="CJ218" s="91"/>
      <c r="CK218" s="91"/>
      <c r="CL218" s="91"/>
      <c r="CM218" s="91"/>
      <c r="CN218" s="91"/>
      <c r="CO218" s="91"/>
      <c r="CP218" s="91"/>
      <c r="CQ218" s="91"/>
      <c r="CR218" s="1018"/>
      <c r="CS218" s="1018"/>
      <c r="CT218" s="821"/>
      <c r="CU218" s="12"/>
      <c r="CV218" s="12"/>
      <c r="CW218" s="12"/>
      <c r="CX218" s="12"/>
      <c r="CY218" s="12"/>
      <c r="CZ218" s="91"/>
      <c r="DA218" s="91"/>
      <c r="DB218" s="91"/>
      <c r="DC218" s="91"/>
      <c r="DD218" s="91"/>
      <c r="DE218" s="91"/>
      <c r="DF218" s="12"/>
      <c r="DG218" s="12"/>
      <c r="DH218" s="12"/>
      <c r="DI218" s="12"/>
      <c r="DJ218" s="12"/>
      <c r="DK218" s="12"/>
      <c r="DL218" s="12"/>
      <c r="DM218" s="12"/>
      <c r="DN218" s="12"/>
    </row>
    <row r="219" spans="1:118">
      <c r="A219" s="91"/>
      <c r="B219" s="88"/>
      <c r="C219" s="1186"/>
      <c r="D219" s="87"/>
      <c r="E219" s="350"/>
      <c r="F219" s="99"/>
      <c r="G219" s="99"/>
      <c r="H219" s="351"/>
      <c r="I219" s="352"/>
      <c r="J219" s="350"/>
      <c r="K219" s="99"/>
      <c r="L219" s="99"/>
      <c r="M219" s="351"/>
      <c r="N219" s="93"/>
      <c r="O219" s="106"/>
      <c r="P219" s="76"/>
      <c r="Q219" s="76"/>
      <c r="R219" s="107"/>
      <c r="S219" s="93"/>
      <c r="T219" s="106"/>
      <c r="U219" s="76"/>
      <c r="V219" s="76"/>
      <c r="W219" s="107"/>
      <c r="X219" s="93"/>
      <c r="Y219" s="106"/>
      <c r="Z219" s="76"/>
      <c r="AA219" s="76"/>
      <c r="AB219" s="107"/>
      <c r="AC219" s="93"/>
      <c r="AD219" s="106"/>
      <c r="AE219" s="875"/>
      <c r="AF219" s="76"/>
      <c r="AG219" s="107"/>
      <c r="AH219" s="93"/>
      <c r="AI219" s="106"/>
      <c r="AJ219" s="76"/>
      <c r="AK219" s="76"/>
      <c r="AL219" s="107"/>
      <c r="AM219" s="93"/>
      <c r="AN219" s="106"/>
      <c r="AO219" s="76"/>
      <c r="AP219" s="76"/>
      <c r="AQ219" s="107"/>
      <c r="AR219" s="93"/>
      <c r="AS219" s="106"/>
      <c r="AT219" s="76"/>
      <c r="AU219" s="76"/>
      <c r="AV219" s="107"/>
      <c r="AW219" s="93"/>
      <c r="AX219" s="106"/>
      <c r="AY219" s="76"/>
      <c r="AZ219" s="76"/>
      <c r="BA219" s="107"/>
      <c r="BB219" s="93"/>
      <c r="BC219" s="106"/>
      <c r="BD219" s="76"/>
      <c r="BE219" s="76"/>
      <c r="BF219" s="107"/>
      <c r="BG219" s="93"/>
      <c r="BH219" s="106"/>
      <c r="BI219" s="76"/>
      <c r="BJ219" s="76"/>
      <c r="BK219" s="107"/>
      <c r="BL219" s="93"/>
      <c r="BM219" s="106"/>
      <c r="BN219" s="76"/>
      <c r="BO219" s="76"/>
      <c r="BP219" s="107"/>
      <c r="BQ219" s="93"/>
      <c r="BR219" s="124"/>
      <c r="BT219" s="1589"/>
      <c r="BU219" s="91"/>
      <c r="BV219" s="91"/>
      <c r="BW219" s="91"/>
      <c r="BX219" s="91"/>
      <c r="BY219" s="91"/>
      <c r="BZ219" s="91"/>
      <c r="CA219" s="91"/>
      <c r="CB219" s="91"/>
      <c r="CC219" s="91"/>
      <c r="CD219" s="91"/>
      <c r="CE219" s="91"/>
      <c r="CF219" s="91"/>
      <c r="CG219" s="91"/>
      <c r="CH219" s="91"/>
      <c r="CI219" s="91"/>
      <c r="CJ219" s="91"/>
      <c r="CK219" s="91"/>
      <c r="CL219" s="91"/>
      <c r="CM219" s="91"/>
      <c r="CN219" s="91"/>
      <c r="CO219" s="91"/>
      <c r="CP219" s="91"/>
      <c r="CQ219" s="91"/>
      <c r="CR219" s="1018"/>
      <c r="CS219" s="1018"/>
      <c r="CT219" s="821"/>
      <c r="CU219" s="12"/>
      <c r="CV219" s="12"/>
      <c r="CW219" s="12"/>
      <c r="CX219" s="12"/>
      <c r="CY219" s="12"/>
      <c r="CZ219" s="91"/>
      <c r="DA219" s="91"/>
      <c r="DB219" s="91"/>
      <c r="DC219" s="91"/>
      <c r="DD219" s="91"/>
      <c r="DE219" s="91"/>
      <c r="DF219" s="12"/>
      <c r="DG219" s="12"/>
      <c r="DH219" s="12"/>
      <c r="DI219" s="12"/>
      <c r="DJ219" s="12"/>
      <c r="DK219" s="12"/>
      <c r="DL219" s="12"/>
      <c r="DM219" s="12"/>
      <c r="DN219" s="12"/>
    </row>
    <row r="220" spans="1:118">
      <c r="A220" s="91"/>
      <c r="B220" s="88"/>
      <c r="C220" s="1251" t="s">
        <v>435</v>
      </c>
      <c r="D220" s="87"/>
      <c r="E220" s="350"/>
      <c r="F220" s="99"/>
      <c r="G220" s="99"/>
      <c r="H220" s="351"/>
      <c r="I220" s="88"/>
      <c r="J220" s="350"/>
      <c r="K220" s="99"/>
      <c r="L220" s="99"/>
      <c r="M220" s="351"/>
      <c r="N220" s="88"/>
      <c r="O220" s="106"/>
      <c r="P220" s="76"/>
      <c r="Q220" s="76"/>
      <c r="R220" s="107"/>
      <c r="S220" s="93"/>
      <c r="T220" s="106"/>
      <c r="U220" s="76"/>
      <c r="V220" s="76"/>
      <c r="W220" s="107"/>
      <c r="X220" s="93"/>
      <c r="Y220" s="106"/>
      <c r="Z220" s="76"/>
      <c r="AA220" s="76"/>
      <c r="AB220" s="107"/>
      <c r="AC220" s="93"/>
      <c r="AD220" s="106"/>
      <c r="AE220" s="76"/>
      <c r="AF220" s="76"/>
      <c r="AG220" s="107"/>
      <c r="AH220" s="93"/>
      <c r="AI220" s="106"/>
      <c r="AJ220" s="76"/>
      <c r="AK220" s="76"/>
      <c r="AL220" s="107"/>
      <c r="AM220" s="93"/>
      <c r="AN220" s="106"/>
      <c r="AO220" s="76"/>
      <c r="AP220" s="76"/>
      <c r="AQ220" s="107"/>
      <c r="AR220" s="93"/>
      <c r="AS220" s="106"/>
      <c r="AT220" s="76"/>
      <c r="AU220" s="76"/>
      <c r="AV220" s="107"/>
      <c r="AW220" s="93"/>
      <c r="AX220" s="106"/>
      <c r="AY220" s="76"/>
      <c r="AZ220" s="76"/>
      <c r="BA220" s="107"/>
      <c r="BB220" s="93"/>
      <c r="BC220" s="106"/>
      <c r="BD220" s="76"/>
      <c r="BE220" s="76"/>
      <c r="BF220" s="107"/>
      <c r="BG220" s="93"/>
      <c r="BH220" s="106"/>
      <c r="BI220" s="76"/>
      <c r="BJ220" s="76"/>
      <c r="BK220" s="107"/>
      <c r="BL220" s="93"/>
      <c r="BM220" s="106"/>
      <c r="BN220" s="76"/>
      <c r="BO220" s="76"/>
      <c r="BP220" s="107"/>
      <c r="BQ220" s="93"/>
      <c r="BR220" s="124"/>
      <c r="BT220" s="60"/>
      <c r="BU220" s="91"/>
      <c r="BV220" s="91"/>
      <c r="BW220" s="91"/>
      <c r="BX220" s="91"/>
      <c r="BY220" s="91"/>
      <c r="BZ220" s="91"/>
      <c r="CA220" s="91"/>
      <c r="CB220" s="91"/>
      <c r="CC220" s="91"/>
      <c r="CD220" s="91"/>
      <c r="CE220" s="91"/>
      <c r="CF220" s="91"/>
      <c r="CG220" s="91"/>
      <c r="CH220" s="91"/>
      <c r="CI220" s="91"/>
      <c r="CJ220" s="91"/>
      <c r="CK220" s="91"/>
      <c r="CL220" s="91"/>
      <c r="CM220" s="91"/>
      <c r="CN220" s="91"/>
      <c r="CO220" s="91"/>
      <c r="CP220" s="91"/>
      <c r="CQ220" s="91"/>
      <c r="CR220" s="1018"/>
      <c r="CS220" s="1018"/>
      <c r="CT220" s="821"/>
      <c r="CU220" s="12"/>
      <c r="CV220" s="12"/>
      <c r="CW220" s="12"/>
      <c r="CX220" s="12"/>
      <c r="CY220" s="12"/>
      <c r="CZ220" s="91"/>
      <c r="DA220" s="91"/>
      <c r="DB220" s="91"/>
      <c r="DC220" s="91"/>
      <c r="DD220" s="91"/>
      <c r="DE220" s="91"/>
      <c r="DF220" s="12"/>
      <c r="DG220" s="12"/>
      <c r="DH220" s="12"/>
      <c r="DI220" s="12"/>
      <c r="DJ220" s="12"/>
      <c r="DK220" s="12"/>
      <c r="DL220" s="12"/>
      <c r="DM220" s="12"/>
      <c r="DN220" s="12"/>
    </row>
    <row r="221" spans="1:118" s="12" customFormat="1">
      <c r="A221" s="91"/>
      <c r="B221" s="87"/>
      <c r="C221" s="1179" t="s">
        <v>611</v>
      </c>
      <c r="D221" s="87"/>
      <c r="E221" s="350"/>
      <c r="F221" s="99"/>
      <c r="G221" s="99"/>
      <c r="H221" s="351"/>
      <c r="I221" s="88"/>
      <c r="J221" s="350"/>
      <c r="K221" s="99"/>
      <c r="L221" s="99"/>
      <c r="M221" s="351"/>
      <c r="N221" s="88"/>
      <c r="O221" s="104"/>
      <c r="P221" s="77"/>
      <c r="Q221" s="77"/>
      <c r="R221" s="102"/>
      <c r="S221" s="96"/>
      <c r="T221" s="1081"/>
      <c r="U221" s="1082"/>
      <c r="V221" s="1082"/>
      <c r="W221" s="1346"/>
      <c r="X221" s="255"/>
      <c r="Y221" s="1081">
        <f>+Y168</f>
        <v>8570</v>
      </c>
      <c r="Z221" s="862">
        <f>+Z168*$BU$233</f>
        <v>8570</v>
      </c>
      <c r="AA221" s="862">
        <f>+AA168*$BU$234</f>
        <v>8570</v>
      </c>
      <c r="AB221" s="1098">
        <f>+AB168*$BU$234</f>
        <v>5096</v>
      </c>
      <c r="AC221" s="255">
        <f>AVERAGE(Y221:AB221)</f>
        <v>7701.5</v>
      </c>
      <c r="AD221" s="861">
        <v>5670</v>
      </c>
      <c r="AE221" s="1622">
        <f>AD221*(2/3)+AF221*(1/3)</f>
        <v>5353.333333333333</v>
      </c>
      <c r="AF221" s="862">
        <v>4720</v>
      </c>
      <c r="AG221" s="1098">
        <v>4720</v>
      </c>
      <c r="AH221" s="255">
        <f>AVERAGE(AD221:AG221)</f>
        <v>5115.833333333333</v>
      </c>
      <c r="AI221" s="861">
        <v>4720</v>
      </c>
      <c r="AJ221" s="1622">
        <f>AI221*(2/3)+AK221*(1/3)</f>
        <v>4826.6666666666661</v>
      </c>
      <c r="AK221" s="862">
        <v>5040</v>
      </c>
      <c r="AL221" s="1098">
        <v>5040</v>
      </c>
      <c r="AM221" s="255">
        <f>AVERAGE(AI221:AL221)</f>
        <v>4906.6666666666661</v>
      </c>
      <c r="AN221" s="861">
        <v>5040</v>
      </c>
      <c r="AO221" s="1622">
        <f>AN221*(2/3)+AP221*(1/3)</f>
        <v>4630</v>
      </c>
      <c r="AP221" s="862">
        <f>3460+350</f>
        <v>3810</v>
      </c>
      <c r="AQ221" s="1098">
        <f>3460+350</f>
        <v>3810</v>
      </c>
      <c r="AR221" s="255">
        <f>AVERAGE(AN221:AQ221)</f>
        <v>4322.5</v>
      </c>
      <c r="AS221" s="861">
        <f>3460+350</f>
        <v>3810</v>
      </c>
      <c r="AT221" s="1929">
        <f>AS221*(2/3)+4515*(1/3)</f>
        <v>4045</v>
      </c>
      <c r="AU221" s="862">
        <f>4515-1527</f>
        <v>2988</v>
      </c>
      <c r="AV221" s="1098">
        <f>4515-1527</f>
        <v>2988</v>
      </c>
      <c r="AW221" s="255">
        <f>AVERAGE(AS221:AV221)</f>
        <v>3457.75</v>
      </c>
      <c r="AX221" s="861">
        <f>4515-1527</f>
        <v>2988</v>
      </c>
      <c r="AY221" s="1622">
        <f>AX221*(2/3)+AZ221*(1/3)</f>
        <v>2359.6666666666665</v>
      </c>
      <c r="AZ221" s="862">
        <f>3930-1527-1300</f>
        <v>1103</v>
      </c>
      <c r="BA221" s="1098">
        <f>3930-1527-1300</f>
        <v>1103</v>
      </c>
      <c r="BB221" s="255">
        <f>AVERAGE(AX221:BA221)</f>
        <v>1888.4166666666665</v>
      </c>
      <c r="BC221" s="861">
        <f>3930-1527-1300</f>
        <v>1103</v>
      </c>
      <c r="BD221" s="862">
        <f>3930-1527-1300</f>
        <v>1103</v>
      </c>
      <c r="BE221" s="862">
        <f>3930-1527-1300</f>
        <v>1103</v>
      </c>
      <c r="BF221" s="1098">
        <f>3930-1527-1300</f>
        <v>1103</v>
      </c>
      <c r="BG221" s="255">
        <f>AVERAGE(BC221:BF221)</f>
        <v>1103</v>
      </c>
      <c r="BH221" s="861">
        <f>3930-1527-1300</f>
        <v>1103</v>
      </c>
      <c r="BI221" s="862">
        <f>3930-1527-1300</f>
        <v>1103</v>
      </c>
      <c r="BJ221" s="862">
        <f>3930-1527-1300</f>
        <v>1103</v>
      </c>
      <c r="BK221" s="1098">
        <f>3930-1527-1300</f>
        <v>1103</v>
      </c>
      <c r="BL221" s="255">
        <f>AVERAGE(BH221:BK221)</f>
        <v>1103</v>
      </c>
      <c r="BM221" s="861">
        <f>3930-1527-1300</f>
        <v>1103</v>
      </c>
      <c r="BN221" s="862">
        <f>3930-1527-1300</f>
        <v>1103</v>
      </c>
      <c r="BO221" s="862">
        <f>3930-1527-1300</f>
        <v>1103</v>
      </c>
      <c r="BP221" s="1098">
        <f>3930-1527-1300</f>
        <v>1103</v>
      </c>
      <c r="BQ221" s="255">
        <f>AVERAGE(BM221:BP221)</f>
        <v>1103</v>
      </c>
      <c r="BR221" s="124"/>
      <c r="BS221" s="256"/>
      <c r="BU221" s="91"/>
      <c r="BV221" s="91"/>
      <c r="BW221" s="91"/>
      <c r="BX221" s="91"/>
      <c r="BY221" s="91"/>
      <c r="BZ221" s="91"/>
      <c r="CA221" s="91"/>
      <c r="CB221" s="91"/>
      <c r="CC221" s="91"/>
      <c r="CD221" s="91"/>
      <c r="CE221" s="91"/>
      <c r="CF221" s="91"/>
      <c r="CG221" s="91"/>
      <c r="CH221" s="91"/>
      <c r="CI221" s="91"/>
      <c r="CJ221" s="91"/>
      <c r="CK221" s="91"/>
      <c r="CL221" s="91"/>
      <c r="CM221" s="91"/>
      <c r="CN221" s="91"/>
      <c r="CO221" s="91"/>
      <c r="CP221" s="91"/>
      <c r="CQ221" s="91"/>
      <c r="CR221" s="1049"/>
      <c r="CS221" s="1049"/>
      <c r="CT221" s="1050"/>
      <c r="CZ221" s="91"/>
      <c r="DA221" s="91"/>
      <c r="DB221" s="91"/>
      <c r="DC221" s="91"/>
      <c r="DD221" s="91"/>
      <c r="DE221" s="91"/>
    </row>
    <row r="222" spans="1:118">
      <c r="A222" s="91"/>
      <c r="B222" s="88"/>
      <c r="C222" s="1179" t="s">
        <v>520</v>
      </c>
      <c r="D222" s="87"/>
      <c r="E222" s="350"/>
      <c r="F222" s="99"/>
      <c r="G222" s="99"/>
      <c r="H222" s="351"/>
      <c r="I222" s="88"/>
      <c r="J222" s="106"/>
      <c r="K222" s="99"/>
      <c r="L222" s="99"/>
      <c r="M222" s="351"/>
      <c r="N222" s="88"/>
      <c r="O222" s="106"/>
      <c r="P222" s="76"/>
      <c r="Q222" s="76"/>
      <c r="R222" s="107"/>
      <c r="S222" s="1096"/>
      <c r="T222" s="1084"/>
      <c r="U222" s="1085"/>
      <c r="V222" s="1085"/>
      <c r="W222" s="1347"/>
      <c r="X222" s="1086"/>
      <c r="Y222" s="1084">
        <f t="shared" ref="Y222:BL222" si="418">+Y79</f>
        <v>16.46</v>
      </c>
      <c r="Z222" s="1088">
        <f t="shared" si="418"/>
        <v>20.216666666666669</v>
      </c>
      <c r="AA222" s="1088">
        <f t="shared" si="418"/>
        <v>27.73</v>
      </c>
      <c r="AB222" s="1089">
        <f t="shared" si="418"/>
        <v>27.73</v>
      </c>
      <c r="AC222" s="1086">
        <f t="shared" si="418"/>
        <v>23.034166666666668</v>
      </c>
      <c r="AD222" s="1087">
        <f t="shared" si="418"/>
        <v>27.73</v>
      </c>
      <c r="AE222" s="1088">
        <f t="shared" si="418"/>
        <v>60.483333333333327</v>
      </c>
      <c r="AF222" s="1088">
        <f t="shared" si="418"/>
        <v>125.99</v>
      </c>
      <c r="AG222" s="1089">
        <f t="shared" si="418"/>
        <v>125.99</v>
      </c>
      <c r="AH222" s="1086">
        <f t="shared" si="418"/>
        <v>85.048333333333332</v>
      </c>
      <c r="AI222" s="1087">
        <f t="shared" si="418"/>
        <v>125.99</v>
      </c>
      <c r="AJ222" s="1088">
        <f t="shared" si="418"/>
        <v>129.32666666666668</v>
      </c>
      <c r="AK222" s="1088">
        <f t="shared" si="418"/>
        <v>136</v>
      </c>
      <c r="AL222" s="1089">
        <f t="shared" si="418"/>
        <v>136</v>
      </c>
      <c r="AM222" s="1086">
        <f t="shared" si="418"/>
        <v>131.82916666666665</v>
      </c>
      <c r="AN222" s="1087">
        <f t="shared" si="418"/>
        <v>136</v>
      </c>
      <c r="AO222" s="1088">
        <f t="shared" si="418"/>
        <v>110.45666666666666</v>
      </c>
      <c r="AP222" s="1088">
        <f t="shared" si="418"/>
        <v>59.37</v>
      </c>
      <c r="AQ222" s="1089">
        <f t="shared" si="418"/>
        <v>59.37</v>
      </c>
      <c r="AR222" s="1086">
        <f t="shared" si="418"/>
        <v>91.299166666666665</v>
      </c>
      <c r="AS222" s="1087">
        <f t="shared" si="418"/>
        <v>79.58</v>
      </c>
      <c r="AT222" s="1088">
        <f t="shared" si="418"/>
        <v>79.58</v>
      </c>
      <c r="AU222" s="1088">
        <f t="shared" si="418"/>
        <v>120</v>
      </c>
      <c r="AV222" s="1089">
        <f t="shared" si="418"/>
        <v>120</v>
      </c>
      <c r="AW222" s="1086">
        <f t="shared" si="418"/>
        <v>99.789999999999992</v>
      </c>
      <c r="AX222" s="1087">
        <f t="shared" si="418"/>
        <v>120</v>
      </c>
      <c r="AY222" s="1088">
        <f t="shared" si="418"/>
        <v>134.92333333333335</v>
      </c>
      <c r="AZ222" s="1088">
        <f t="shared" si="418"/>
        <v>164.77</v>
      </c>
      <c r="BA222" s="1089">
        <f t="shared" si="418"/>
        <v>164.77</v>
      </c>
      <c r="BB222" s="1086">
        <f t="shared" si="418"/>
        <v>146.11583333333334</v>
      </c>
      <c r="BC222" s="1087">
        <f t="shared" si="418"/>
        <v>164.77</v>
      </c>
      <c r="BD222" s="1088">
        <f t="shared" si="418"/>
        <v>143.18</v>
      </c>
      <c r="BE222" s="1088">
        <f t="shared" si="418"/>
        <v>100</v>
      </c>
      <c r="BF222" s="1089">
        <f t="shared" si="418"/>
        <v>100</v>
      </c>
      <c r="BG222" s="1086">
        <f t="shared" si="418"/>
        <v>126.98750000000001</v>
      </c>
      <c r="BH222" s="1087">
        <f t="shared" si="418"/>
        <v>100</v>
      </c>
      <c r="BI222" s="1088">
        <f t="shared" si="418"/>
        <v>100</v>
      </c>
      <c r="BJ222" s="1088">
        <f t="shared" si="418"/>
        <v>76.53</v>
      </c>
      <c r="BK222" s="1089">
        <f t="shared" si="418"/>
        <v>76.53</v>
      </c>
      <c r="BL222" s="1086">
        <f t="shared" si="418"/>
        <v>88.264999999999986</v>
      </c>
      <c r="BM222" s="1087">
        <f t="shared" ref="BM222:BQ222" si="419">+BM79</f>
        <v>150</v>
      </c>
      <c r="BN222" s="1088">
        <f t="shared" si="419"/>
        <v>150</v>
      </c>
      <c r="BO222" s="1088">
        <f t="shared" si="419"/>
        <v>150</v>
      </c>
      <c r="BP222" s="1089">
        <f t="shared" si="419"/>
        <v>150</v>
      </c>
      <c r="BQ222" s="1086">
        <f t="shared" si="419"/>
        <v>150</v>
      </c>
      <c r="BR222" s="124"/>
      <c r="BS222" s="91"/>
      <c r="BT222" s="13"/>
      <c r="BU222" s="136"/>
      <c r="BV222" s="136"/>
      <c r="BW222" s="136"/>
      <c r="BX222" s="136"/>
      <c r="BY222" s="136"/>
      <c r="BZ222" s="136"/>
      <c r="CA222" s="136"/>
      <c r="CB222" s="136"/>
      <c r="CC222" s="136"/>
      <c r="CD222" s="136"/>
      <c r="CE222" s="91"/>
      <c r="CF222" s="91"/>
      <c r="CG222" s="91"/>
      <c r="CH222" s="91"/>
      <c r="CI222" s="91"/>
      <c r="CJ222" s="91"/>
      <c r="CK222" s="91"/>
      <c r="CL222" s="91"/>
      <c r="CM222" s="91"/>
      <c r="CN222" s="91"/>
      <c r="CO222" s="91"/>
      <c r="CP222" s="91"/>
      <c r="CQ222" s="91"/>
      <c r="CR222" s="1018"/>
      <c r="CS222" s="1018"/>
      <c r="CT222" s="821"/>
      <c r="CU222" s="12"/>
      <c r="CV222" s="12"/>
      <c r="CW222" s="12"/>
      <c r="CX222" s="12"/>
      <c r="CY222" s="12"/>
      <c r="CZ222" s="91"/>
      <c r="DA222" s="91"/>
      <c r="DB222" s="91"/>
      <c r="DC222" s="91"/>
      <c r="DD222" s="91"/>
      <c r="DE222" s="91"/>
      <c r="DF222" s="12"/>
      <c r="DG222" s="12"/>
      <c r="DH222" s="12"/>
      <c r="DI222" s="12"/>
      <c r="DJ222" s="12"/>
      <c r="DK222" s="12"/>
      <c r="DL222" s="12"/>
      <c r="DM222" s="12"/>
      <c r="DN222" s="12"/>
    </row>
    <row r="223" spans="1:118" s="13" customFormat="1">
      <c r="A223" s="136"/>
      <c r="B223" s="88"/>
      <c r="C223" s="1186" t="s">
        <v>582</v>
      </c>
      <c r="D223" s="88"/>
      <c r="E223" s="1090"/>
      <c r="F223" s="1091"/>
      <c r="G223" s="1091"/>
      <c r="H223" s="1092"/>
      <c r="I223" s="88"/>
      <c r="J223" s="106"/>
      <c r="K223" s="1091"/>
      <c r="L223" s="1091"/>
      <c r="M223" s="1092"/>
      <c r="N223" s="88"/>
      <c r="O223" s="106"/>
      <c r="P223" s="76"/>
      <c r="Q223" s="76"/>
      <c r="R223" s="107"/>
      <c r="S223" s="93"/>
      <c r="T223" s="1063"/>
      <c r="U223" s="1064"/>
      <c r="V223" s="1064"/>
      <c r="W223" s="1065"/>
      <c r="X223" s="93"/>
      <c r="Y223" s="1063">
        <f>Y221*Y222*365/1000000/4</f>
        <v>12.871925750000003</v>
      </c>
      <c r="Z223" s="1064">
        <f t="shared" ref="Z223:AQ223" si="420">Z221*Z222*365/1000000/4</f>
        <v>15.809686041666668</v>
      </c>
      <c r="AA223" s="1064">
        <f t="shared" si="420"/>
        <v>21.685206624999999</v>
      </c>
      <c r="AB223" s="1065">
        <f t="shared" si="420"/>
        <v>12.894727300000001</v>
      </c>
      <c r="AC223" s="93">
        <f>SUM(Y223:AB223)</f>
        <v>63.261545716666667</v>
      </c>
      <c r="AD223" s="1063">
        <f t="shared" si="420"/>
        <v>14.347155375</v>
      </c>
      <c r="AE223" s="1064">
        <f t="shared" si="420"/>
        <v>29.54560430555555</v>
      </c>
      <c r="AF223" s="1064">
        <f t="shared" si="420"/>
        <v>54.263892999999996</v>
      </c>
      <c r="AG223" s="1065">
        <f t="shared" si="420"/>
        <v>54.263892999999996</v>
      </c>
      <c r="AH223" s="93">
        <f>SUM(AD223:AG223)</f>
        <v>152.42054568055553</v>
      </c>
      <c r="AI223" s="1063">
        <f t="shared" si="420"/>
        <v>54.263892999999996</v>
      </c>
      <c r="AJ223" s="1064">
        <f t="shared" si="420"/>
        <v>56.959774888888887</v>
      </c>
      <c r="AK223" s="1064">
        <f t="shared" si="420"/>
        <v>62.546399999999998</v>
      </c>
      <c r="AL223" s="1065">
        <f t="shared" si="420"/>
        <v>62.546399999999998</v>
      </c>
      <c r="AM223" s="93">
        <f>SUM(AI223:AL223)</f>
        <v>236.31646788888889</v>
      </c>
      <c r="AN223" s="1063">
        <f t="shared" si="420"/>
        <v>62.546399999999998</v>
      </c>
      <c r="AO223" s="1064">
        <f t="shared" si="420"/>
        <v>46.666560958333328</v>
      </c>
      <c r="AP223" s="1064">
        <f t="shared" si="420"/>
        <v>20.640722624999999</v>
      </c>
      <c r="AQ223" s="1065">
        <f t="shared" si="420"/>
        <v>20.640722624999999</v>
      </c>
      <c r="AR223" s="93">
        <f>SUM(AN223:AQ223)</f>
        <v>150.49440620833332</v>
      </c>
      <c r="AS223" s="1063">
        <f>AS221*AS222*365/1000000/4</f>
        <v>27.666981750000001</v>
      </c>
      <c r="AT223" s="1064">
        <f>AT221*AT222*365/1000000/4</f>
        <v>29.373475374999995</v>
      </c>
      <c r="AU223" s="1064">
        <f>AU221*AU222*365/1000000/4</f>
        <v>32.718600000000002</v>
      </c>
      <c r="AV223" s="1065">
        <f>AV221*AV222*365/1000000/4</f>
        <v>32.718600000000002</v>
      </c>
      <c r="AW223" s="93">
        <f>SUM(AS223:AV223)</f>
        <v>122.47765712500001</v>
      </c>
      <c r="AX223" s="1063">
        <f>AX221*AX222*365/1000000/4</f>
        <v>32.718600000000002</v>
      </c>
      <c r="AY223" s="1064">
        <f>AY221*AY222*365/1000000/4</f>
        <v>29.051635915277778</v>
      </c>
      <c r="AZ223" s="1064">
        <f>AZ221*AZ222*365/1000000/4</f>
        <v>16.583894537500001</v>
      </c>
      <c r="BA223" s="1065">
        <f>BA221*BA222*365/1000000/4</f>
        <v>16.583894537500001</v>
      </c>
      <c r="BB223" s="93">
        <f>SUM(AX223:BA223)</f>
        <v>94.938024990277782</v>
      </c>
      <c r="BC223" s="1063">
        <f>BC221*BC222*365/1000000/4</f>
        <v>16.583894537500001</v>
      </c>
      <c r="BD223" s="1064">
        <f>BD221*BD222*365/1000000/4</f>
        <v>14.410888025</v>
      </c>
      <c r="BE223" s="1064">
        <f>BE221*BE222*365/1000000/4</f>
        <v>10.064875000000001</v>
      </c>
      <c r="BF223" s="1065">
        <f>BF221*BF222*365/1000000/4</f>
        <v>10.064875000000001</v>
      </c>
      <c r="BG223" s="93">
        <f>SUM(BC223:BF223)</f>
        <v>51.124532562500001</v>
      </c>
      <c r="BH223" s="1063">
        <f>BH221*BH222*365/1000000/4</f>
        <v>10.064875000000001</v>
      </c>
      <c r="BI223" s="1064">
        <f>BI221*BI222*365/1000000/4</f>
        <v>10.064875000000001</v>
      </c>
      <c r="BJ223" s="1064">
        <f>BJ221*BJ222*365/1000000/4</f>
        <v>7.7026488374999991</v>
      </c>
      <c r="BK223" s="1065">
        <f>BK221*BK222*365/1000000/4</f>
        <v>7.7026488374999991</v>
      </c>
      <c r="BL223" s="93">
        <f>SUM(BH223:BK223)</f>
        <v>35.535047675000001</v>
      </c>
      <c r="BM223" s="1063">
        <f>BM221*BM222*365/1000000/4</f>
        <v>15.097312499999999</v>
      </c>
      <c r="BN223" s="1064">
        <f>BN221*BN222*365/1000000/4</f>
        <v>15.097312499999999</v>
      </c>
      <c r="BO223" s="1064">
        <f>BO221*BO222*365/1000000/4</f>
        <v>15.097312499999999</v>
      </c>
      <c r="BP223" s="1065">
        <f>BP221*BP222*365/1000000/4</f>
        <v>15.097312499999999</v>
      </c>
      <c r="BQ223" s="93">
        <f>SUM(BM223:BP223)</f>
        <v>60.389249999999997</v>
      </c>
      <c r="BR223" s="149"/>
      <c r="BS223" s="136"/>
      <c r="BT223" s="12"/>
      <c r="BU223" s="91"/>
      <c r="BV223" s="91"/>
      <c r="BW223" s="91"/>
      <c r="BX223" s="91"/>
      <c r="BY223" s="91"/>
      <c r="BZ223" s="91"/>
      <c r="CA223" s="91"/>
      <c r="CB223" s="91"/>
      <c r="CC223" s="91"/>
      <c r="CD223" s="91"/>
      <c r="CE223" s="136"/>
      <c r="CF223" s="136"/>
      <c r="CG223" s="136"/>
      <c r="CH223" s="136"/>
      <c r="CI223" s="136"/>
      <c r="CJ223" s="136"/>
      <c r="CK223" s="136"/>
      <c r="CL223" s="136"/>
      <c r="CM223" s="136"/>
      <c r="CN223" s="136"/>
      <c r="CO223" s="136"/>
      <c r="CP223" s="136"/>
      <c r="CQ223" s="136"/>
      <c r="CR223" s="90"/>
      <c r="CS223" s="90"/>
      <c r="CT223" s="1055"/>
      <c r="CZ223" s="136"/>
      <c r="DA223" s="136"/>
      <c r="DB223" s="136"/>
      <c r="DC223" s="136"/>
      <c r="DD223" s="136"/>
      <c r="DE223" s="136"/>
    </row>
    <row r="224" spans="1:118">
      <c r="A224" s="91"/>
      <c r="B224" s="88"/>
      <c r="C224" s="1179"/>
      <c r="D224" s="87"/>
      <c r="E224" s="350"/>
      <c r="F224" s="99"/>
      <c r="G224" s="99"/>
      <c r="H224" s="351"/>
      <c r="I224" s="88"/>
      <c r="J224" s="106"/>
      <c r="K224" s="99"/>
      <c r="L224" s="99"/>
      <c r="M224" s="351"/>
      <c r="N224" s="88"/>
      <c r="O224" s="106"/>
      <c r="P224" s="76"/>
      <c r="Q224" s="76"/>
      <c r="R224" s="107"/>
      <c r="S224" s="93"/>
      <c r="T224" s="1081"/>
      <c r="U224" s="1082"/>
      <c r="V224" s="1082"/>
      <c r="W224" s="1348"/>
      <c r="X224" s="255"/>
      <c r="Y224" s="1081"/>
      <c r="Z224" s="246"/>
      <c r="AA224" s="246"/>
      <c r="AB224" s="1053"/>
      <c r="AC224" s="255"/>
      <c r="AD224" s="245"/>
      <c r="AE224" s="246"/>
      <c r="AF224" s="246"/>
      <c r="AG224" s="1053"/>
      <c r="AH224" s="255"/>
      <c r="AI224" s="245"/>
      <c r="AJ224" s="246"/>
      <c r="AK224" s="246"/>
      <c r="AL224" s="1053"/>
      <c r="AM224" s="255"/>
      <c r="AN224" s="245"/>
      <c r="AO224" s="246"/>
      <c r="AP224" s="246"/>
      <c r="AQ224" s="1053"/>
      <c r="AR224" s="255"/>
      <c r="AS224" s="245"/>
      <c r="AT224" s="246"/>
      <c r="AU224" s="246"/>
      <c r="AV224" s="1053"/>
      <c r="AW224" s="255"/>
      <c r="AX224" s="245"/>
      <c r="AY224" s="246"/>
      <c r="AZ224" s="246"/>
      <c r="BA224" s="1053"/>
      <c r="BB224" s="255"/>
      <c r="BC224" s="245"/>
      <c r="BD224" s="246"/>
      <c r="BE224" s="246"/>
      <c r="BF224" s="1053"/>
      <c r="BG224" s="255"/>
      <c r="BH224" s="245"/>
      <c r="BI224" s="246"/>
      <c r="BJ224" s="246"/>
      <c r="BK224" s="1053"/>
      <c r="BL224" s="255"/>
      <c r="BM224" s="245"/>
      <c r="BN224" s="246"/>
      <c r="BO224" s="246"/>
      <c r="BP224" s="1053"/>
      <c r="BQ224" s="255"/>
      <c r="BR224" s="124"/>
      <c r="BS224" s="91"/>
      <c r="BT224" s="12"/>
      <c r="BU224" s="91"/>
      <c r="BV224" s="91"/>
      <c r="BW224" s="91"/>
      <c r="BX224" s="91"/>
      <c r="BY224" s="91"/>
      <c r="BZ224" s="91"/>
      <c r="CA224" s="91"/>
      <c r="CB224" s="91"/>
      <c r="CC224" s="91"/>
      <c r="CD224" s="91"/>
      <c r="CE224" s="91"/>
      <c r="CF224" s="91"/>
      <c r="CG224" s="91"/>
      <c r="CH224" s="91"/>
      <c r="CI224" s="91"/>
      <c r="CJ224" s="91"/>
      <c r="CK224" s="91"/>
      <c r="CL224" s="91"/>
      <c r="CM224" s="91"/>
      <c r="CN224" s="91"/>
      <c r="CO224" s="91"/>
      <c r="CP224" s="91"/>
      <c r="CQ224" s="91"/>
      <c r="CR224" s="1018"/>
      <c r="CS224" s="1018"/>
      <c r="CT224" s="821"/>
      <c r="CU224" s="12"/>
      <c r="CV224" s="12"/>
      <c r="CW224" s="12"/>
      <c r="CX224" s="12"/>
      <c r="CY224" s="12"/>
      <c r="CZ224" s="91"/>
      <c r="DA224" s="91"/>
      <c r="DB224" s="91"/>
      <c r="DC224" s="91"/>
      <c r="DD224" s="91"/>
      <c r="DE224" s="91"/>
      <c r="DF224" s="12"/>
      <c r="DG224" s="12"/>
      <c r="DH224" s="12"/>
      <c r="DI224" s="12"/>
      <c r="DJ224" s="12"/>
      <c r="DK224" s="12"/>
      <c r="DL224" s="12"/>
      <c r="DM224" s="12"/>
      <c r="DN224" s="12"/>
    </row>
    <row r="225" spans="1:118">
      <c r="A225" s="91"/>
      <c r="B225" s="88"/>
      <c r="C225" s="1251" t="s">
        <v>692</v>
      </c>
      <c r="D225" s="87"/>
      <c r="E225" s="350"/>
      <c r="F225" s="99"/>
      <c r="G225" s="99"/>
      <c r="H225" s="351"/>
      <c r="I225" s="88"/>
      <c r="J225" s="106"/>
      <c r="K225" s="99"/>
      <c r="L225" s="99"/>
      <c r="M225" s="351"/>
      <c r="N225" s="88"/>
      <c r="O225" s="106"/>
      <c r="P225" s="76"/>
      <c r="Q225" s="76"/>
      <c r="R225" s="107"/>
      <c r="S225" s="93"/>
      <c r="T225" s="1081"/>
      <c r="U225" s="1082"/>
      <c r="V225" s="1082"/>
      <c r="W225" s="1348"/>
      <c r="X225" s="255"/>
      <c r="Y225" s="1081"/>
      <c r="Z225" s="246"/>
      <c r="AA225" s="246"/>
      <c r="AB225" s="1053"/>
      <c r="AC225" s="255"/>
      <c r="AD225" s="245"/>
      <c r="AE225" s="246"/>
      <c r="AF225" s="246"/>
      <c r="AG225" s="1053"/>
      <c r="AH225" s="255"/>
      <c r="AI225" s="245"/>
      <c r="AJ225" s="246"/>
      <c r="AK225" s="246"/>
      <c r="AL225" s="1053"/>
      <c r="AM225" s="255"/>
      <c r="AN225" s="245"/>
      <c r="AO225" s="246"/>
      <c r="AP225" s="246"/>
      <c r="AQ225" s="1053"/>
      <c r="AR225" s="255"/>
      <c r="AS225" s="245"/>
      <c r="AT225" s="246"/>
      <c r="AU225" s="246"/>
      <c r="AV225" s="1053"/>
      <c r="AW225" s="255"/>
      <c r="AX225" s="245"/>
      <c r="AY225" s="246"/>
      <c r="AZ225" s="246"/>
      <c r="BA225" s="1053"/>
      <c r="BB225" s="255"/>
      <c r="BC225" s="245"/>
      <c r="BD225" s="246"/>
      <c r="BE225" s="246"/>
      <c r="BF225" s="1053"/>
      <c r="BG225" s="255"/>
      <c r="BH225" s="245"/>
      <c r="BI225" s="246"/>
      <c r="BJ225" s="246"/>
      <c r="BK225" s="1053"/>
      <c r="BL225" s="255"/>
      <c r="BM225" s="245"/>
      <c r="BN225" s="246"/>
      <c r="BO225" s="246"/>
      <c r="BP225" s="1053"/>
      <c r="BQ225" s="255"/>
      <c r="BR225" s="124"/>
      <c r="BS225" s="91"/>
      <c r="BT225" s="12"/>
      <c r="BU225" s="91"/>
      <c r="BV225" s="91"/>
      <c r="BW225" s="91"/>
      <c r="BX225" s="91"/>
      <c r="BY225" s="91"/>
      <c r="BZ225" s="91"/>
      <c r="CA225" s="91"/>
      <c r="CB225" s="91"/>
      <c r="CC225" s="91"/>
      <c r="CD225" s="91"/>
      <c r="CE225" s="91"/>
      <c r="CF225" s="91"/>
      <c r="CG225" s="91"/>
      <c r="CH225" s="91"/>
      <c r="CI225" s="91"/>
      <c r="CJ225" s="91"/>
      <c r="CK225" s="91"/>
      <c r="CL225" s="91"/>
      <c r="CM225" s="91"/>
      <c r="CN225" s="91"/>
      <c r="CO225" s="91"/>
      <c r="CP225" s="91"/>
      <c r="CQ225" s="91"/>
      <c r="CR225" s="1018"/>
      <c r="CS225" s="1018"/>
      <c r="CT225" s="821"/>
      <c r="CU225" s="12"/>
      <c r="CV225" s="12"/>
      <c r="CW225" s="12"/>
      <c r="CX225" s="12"/>
      <c r="CY225" s="12"/>
      <c r="CZ225" s="91"/>
      <c r="DA225" s="91"/>
      <c r="DB225" s="91"/>
      <c r="DC225" s="91"/>
      <c r="DD225" s="91"/>
      <c r="DE225" s="91"/>
      <c r="DF225" s="12"/>
      <c r="DG225" s="12"/>
      <c r="DH225" s="12"/>
      <c r="DI225" s="12"/>
      <c r="DJ225" s="12"/>
      <c r="DK225" s="12"/>
      <c r="DL225" s="12"/>
      <c r="DM225" s="12"/>
      <c r="DN225" s="12"/>
    </row>
    <row r="226" spans="1:118" s="12" customFormat="1">
      <c r="A226" s="91"/>
      <c r="B226" s="87"/>
      <c r="C226" s="1179" t="s">
        <v>611</v>
      </c>
      <c r="D226" s="87"/>
      <c r="E226" s="350"/>
      <c r="F226" s="99"/>
      <c r="G226" s="99"/>
      <c r="H226" s="351"/>
      <c r="I226" s="88"/>
      <c r="J226" s="99"/>
      <c r="K226" s="99"/>
      <c r="L226" s="99"/>
      <c r="M226" s="351"/>
      <c r="N226" s="88"/>
      <c r="O226" s="104"/>
      <c r="P226" s="77"/>
      <c r="Q226" s="77"/>
      <c r="R226" s="102"/>
      <c r="S226" s="96"/>
      <c r="T226" s="1081"/>
      <c r="U226" s="1082"/>
      <c r="V226" s="1082"/>
      <c r="W226" s="1348"/>
      <c r="X226" s="255"/>
      <c r="Y226" s="1081">
        <f>+Y169</f>
        <v>496</v>
      </c>
      <c r="Z226" s="246">
        <f>+Z169</f>
        <v>496</v>
      </c>
      <c r="AA226" s="246">
        <f>+AA169</f>
        <v>496</v>
      </c>
      <c r="AB226" s="1053">
        <f>+AB169</f>
        <v>496</v>
      </c>
      <c r="AC226" s="255">
        <f>AVERAGE(Y226:AB226)</f>
        <v>496</v>
      </c>
      <c r="AD226" s="245">
        <f>+AD169</f>
        <v>45</v>
      </c>
      <c r="AE226" s="246">
        <f>+AE169</f>
        <v>45</v>
      </c>
      <c r="AF226" s="246">
        <f>+AF169</f>
        <v>45</v>
      </c>
      <c r="AG226" s="1053">
        <f>+AG169</f>
        <v>45</v>
      </c>
      <c r="AH226" s="255">
        <f>AVERAGE(AD226:AG226)</f>
        <v>45</v>
      </c>
      <c r="AI226" s="861">
        <f>85+55</f>
        <v>140</v>
      </c>
      <c r="AJ226" s="1622">
        <f>AI226*(2/3)+AK226*(1/3)</f>
        <v>140</v>
      </c>
      <c r="AK226" s="862">
        <f>85+55</f>
        <v>140</v>
      </c>
      <c r="AL226" s="1098">
        <f>85+55</f>
        <v>140</v>
      </c>
      <c r="AM226" s="255">
        <f>AVERAGE(AI226:AL226)</f>
        <v>140</v>
      </c>
      <c r="AN226" s="861">
        <f>85+55</f>
        <v>140</v>
      </c>
      <c r="AO226" s="1622">
        <f>AN226*(2/3)+AP226*(1/3)</f>
        <v>138.33333333333331</v>
      </c>
      <c r="AP226" s="862">
        <f>80+55</f>
        <v>135</v>
      </c>
      <c r="AQ226" s="1098">
        <f>80+55</f>
        <v>135</v>
      </c>
      <c r="AR226" s="255">
        <f>AVERAGE(AN226:AQ226)</f>
        <v>137.08333333333331</v>
      </c>
      <c r="AS226" s="861">
        <f>80+55</f>
        <v>135</v>
      </c>
      <c r="AT226" s="1622">
        <f>AS226*(2/3)+130*(1/3)</f>
        <v>133.33333333333331</v>
      </c>
      <c r="AU226" s="862">
        <v>0</v>
      </c>
      <c r="AV226" s="1098">
        <v>0</v>
      </c>
      <c r="AW226" s="255">
        <f>AVERAGE(AS226:AV226)</f>
        <v>67.083333333333329</v>
      </c>
      <c r="AX226" s="861">
        <v>0</v>
      </c>
      <c r="AY226" s="1622">
        <f>AX226*(2/3)+AZ226*(1/3)</f>
        <v>0</v>
      </c>
      <c r="AZ226" s="862">
        <v>0</v>
      </c>
      <c r="BA226" s="1098">
        <v>0</v>
      </c>
      <c r="BB226" s="255">
        <f>AVERAGE(AX226:BA226)</f>
        <v>0</v>
      </c>
      <c r="BC226" s="861">
        <v>0</v>
      </c>
      <c r="BD226" s="862">
        <v>0</v>
      </c>
      <c r="BE226" s="862">
        <v>0</v>
      </c>
      <c r="BF226" s="1098">
        <v>0</v>
      </c>
      <c r="BG226" s="255">
        <f>AVERAGE(BC226:BF226)</f>
        <v>0</v>
      </c>
      <c r="BH226" s="861">
        <v>0</v>
      </c>
      <c r="BI226" s="862">
        <v>0</v>
      </c>
      <c r="BJ226" s="862">
        <v>0</v>
      </c>
      <c r="BK226" s="1098">
        <v>0</v>
      </c>
      <c r="BL226" s="255">
        <f>AVERAGE(BH226:BK226)</f>
        <v>0</v>
      </c>
      <c r="BM226" s="861">
        <v>0</v>
      </c>
      <c r="BN226" s="862">
        <v>0</v>
      </c>
      <c r="BO226" s="862">
        <v>0</v>
      </c>
      <c r="BP226" s="1098">
        <v>0</v>
      </c>
      <c r="BQ226" s="255">
        <f>AVERAGE(BM226:BP226)</f>
        <v>0</v>
      </c>
      <c r="BR226" s="124"/>
      <c r="BS226" s="91"/>
      <c r="BU226" s="91"/>
      <c r="BV226" s="91"/>
      <c r="BW226" s="91"/>
      <c r="BX226" s="91"/>
      <c r="BY226" s="91"/>
      <c r="BZ226" s="91"/>
      <c r="CA226" s="91"/>
      <c r="CB226" s="91"/>
      <c r="CC226" s="91"/>
      <c r="CD226" s="91"/>
      <c r="CE226" s="91"/>
      <c r="CF226" s="91"/>
      <c r="CG226" s="91"/>
      <c r="CH226" s="91"/>
      <c r="CI226" s="91"/>
      <c r="CJ226" s="91"/>
      <c r="CK226" s="91"/>
      <c r="CL226" s="91"/>
      <c r="CM226" s="91"/>
      <c r="CN226" s="91"/>
      <c r="CO226" s="91"/>
      <c r="CP226" s="91"/>
      <c r="CQ226" s="91"/>
      <c r="CR226" s="1049"/>
      <c r="CS226" s="1049"/>
      <c r="CT226" s="1050"/>
      <c r="CZ226" s="91"/>
      <c r="DA226" s="91"/>
      <c r="DB226" s="91"/>
      <c r="DC226" s="91"/>
      <c r="DD226" s="91"/>
      <c r="DE226" s="91"/>
    </row>
    <row r="227" spans="1:118">
      <c r="A227" s="91"/>
      <c r="B227" s="88"/>
      <c r="C227" s="1179" t="s">
        <v>520</v>
      </c>
      <c r="D227" s="87"/>
      <c r="E227" s="350"/>
      <c r="F227" s="99"/>
      <c r="G227" s="99"/>
      <c r="H227" s="351"/>
      <c r="I227" s="88"/>
      <c r="J227" s="106"/>
      <c r="K227" s="99"/>
      <c r="L227" s="99"/>
      <c r="M227" s="351"/>
      <c r="N227" s="88"/>
      <c r="O227" s="106"/>
      <c r="P227" s="76"/>
      <c r="Q227" s="76"/>
      <c r="R227" s="107"/>
      <c r="S227" s="1096"/>
      <c r="T227" s="1084"/>
      <c r="U227" s="1085"/>
      <c r="V227" s="1085"/>
      <c r="W227" s="1349"/>
      <c r="X227" s="1086"/>
      <c r="Y227" s="1084">
        <f t="shared" ref="Y227:BL227" si="421">+Y80</f>
        <v>133.37</v>
      </c>
      <c r="Z227" s="1088">
        <f t="shared" si="421"/>
        <v>164.29666666666665</v>
      </c>
      <c r="AA227" s="1088">
        <f t="shared" si="421"/>
        <v>226.15</v>
      </c>
      <c r="AB227" s="1089">
        <f t="shared" si="421"/>
        <v>226.15</v>
      </c>
      <c r="AC227" s="1086">
        <f t="shared" si="421"/>
        <v>187.49166666666665</v>
      </c>
      <c r="AD227" s="1087">
        <f t="shared" si="421"/>
        <v>226.15</v>
      </c>
      <c r="AE227" s="1088">
        <f t="shared" si="421"/>
        <v>196.26666666666665</v>
      </c>
      <c r="AF227" s="1088">
        <f t="shared" si="421"/>
        <v>136.5</v>
      </c>
      <c r="AG227" s="1089">
        <f t="shared" si="421"/>
        <v>136.5</v>
      </c>
      <c r="AH227" s="1086">
        <f t="shared" si="421"/>
        <v>173.85416666666666</v>
      </c>
      <c r="AI227" s="1087">
        <f t="shared" si="421"/>
        <v>136.5</v>
      </c>
      <c r="AJ227" s="1088">
        <f t="shared" si="421"/>
        <v>146.82</v>
      </c>
      <c r="AK227" s="1088">
        <f t="shared" si="421"/>
        <v>167.46</v>
      </c>
      <c r="AL227" s="1089">
        <f t="shared" si="421"/>
        <v>167.46</v>
      </c>
      <c r="AM227" s="1086">
        <f t="shared" si="421"/>
        <v>154.56</v>
      </c>
      <c r="AN227" s="1087">
        <f t="shared" si="421"/>
        <v>167.46</v>
      </c>
      <c r="AO227" s="1088">
        <f t="shared" si="421"/>
        <v>151.35</v>
      </c>
      <c r="AP227" s="1088">
        <f t="shared" si="421"/>
        <v>119.13</v>
      </c>
      <c r="AQ227" s="1089">
        <f t="shared" si="421"/>
        <v>119.13</v>
      </c>
      <c r="AR227" s="1086">
        <f t="shared" si="421"/>
        <v>139.26749999999998</v>
      </c>
      <c r="AS227" s="1087">
        <f t="shared" si="421"/>
        <v>119.41999999999999</v>
      </c>
      <c r="AT227" s="1088">
        <f t="shared" si="421"/>
        <v>119.41999999999999</v>
      </c>
      <c r="AU227" s="1088">
        <f t="shared" si="421"/>
        <v>120</v>
      </c>
      <c r="AV227" s="1089">
        <f t="shared" si="421"/>
        <v>120</v>
      </c>
      <c r="AW227" s="1086">
        <f t="shared" si="421"/>
        <v>119.71</v>
      </c>
      <c r="AX227" s="1087">
        <f t="shared" si="421"/>
        <v>120</v>
      </c>
      <c r="AY227" s="1088">
        <f t="shared" si="421"/>
        <v>134.92333333333335</v>
      </c>
      <c r="AZ227" s="1088">
        <f t="shared" si="421"/>
        <v>164.77</v>
      </c>
      <c r="BA227" s="1089">
        <f t="shared" si="421"/>
        <v>164.77</v>
      </c>
      <c r="BB227" s="1086">
        <f t="shared" si="421"/>
        <v>146.11583333333334</v>
      </c>
      <c r="BC227" s="1087">
        <f t="shared" si="421"/>
        <v>164.77</v>
      </c>
      <c r="BD227" s="1088">
        <f t="shared" si="421"/>
        <v>143.18</v>
      </c>
      <c r="BE227" s="1088">
        <f t="shared" si="421"/>
        <v>100</v>
      </c>
      <c r="BF227" s="1089">
        <f t="shared" si="421"/>
        <v>100</v>
      </c>
      <c r="BG227" s="1086">
        <f t="shared" si="421"/>
        <v>126.98750000000001</v>
      </c>
      <c r="BH227" s="1087">
        <f t="shared" si="421"/>
        <v>100</v>
      </c>
      <c r="BI227" s="1088">
        <f t="shared" si="421"/>
        <v>100</v>
      </c>
      <c r="BJ227" s="1088">
        <f t="shared" si="421"/>
        <v>86.04</v>
      </c>
      <c r="BK227" s="1089">
        <f t="shared" si="421"/>
        <v>86.04</v>
      </c>
      <c r="BL227" s="1086">
        <f t="shared" si="421"/>
        <v>93.02000000000001</v>
      </c>
      <c r="BM227" s="1087">
        <f t="shared" ref="BM227:BQ227" si="422">+BM80</f>
        <v>175</v>
      </c>
      <c r="BN227" s="1088">
        <f t="shared" si="422"/>
        <v>175</v>
      </c>
      <c r="BO227" s="1088">
        <f t="shared" si="422"/>
        <v>175</v>
      </c>
      <c r="BP227" s="1089">
        <f t="shared" si="422"/>
        <v>175</v>
      </c>
      <c r="BQ227" s="1086">
        <f t="shared" si="422"/>
        <v>175</v>
      </c>
      <c r="BR227" s="124"/>
      <c r="BS227" s="91"/>
      <c r="BT227" s="13"/>
      <c r="BU227" s="136"/>
      <c r="BV227" s="136"/>
      <c r="BW227" s="136"/>
      <c r="BX227" s="136"/>
      <c r="BY227" s="136"/>
      <c r="BZ227" s="136"/>
      <c r="CA227" s="136"/>
      <c r="CB227" s="136"/>
      <c r="CC227" s="136"/>
      <c r="CD227" s="136"/>
      <c r="CE227" s="91"/>
      <c r="CF227" s="91"/>
      <c r="CG227" s="91"/>
      <c r="CH227" s="91"/>
      <c r="CI227" s="91"/>
      <c r="CJ227" s="91"/>
      <c r="CK227" s="91"/>
      <c r="CL227" s="91"/>
      <c r="CM227" s="91"/>
      <c r="CN227" s="91"/>
      <c r="CO227" s="91"/>
      <c r="CP227" s="91"/>
      <c r="CQ227" s="91"/>
      <c r="CR227" s="1018"/>
      <c r="CS227" s="1018"/>
      <c r="CT227" s="821"/>
      <c r="CU227" s="12"/>
      <c r="CV227" s="12"/>
      <c r="CW227" s="12"/>
      <c r="CX227" s="12"/>
      <c r="CY227" s="12"/>
      <c r="CZ227" s="91"/>
      <c r="DA227" s="91"/>
      <c r="DB227" s="91"/>
      <c r="DC227" s="91"/>
      <c r="DD227" s="91"/>
      <c r="DE227" s="91"/>
      <c r="DF227" s="12"/>
      <c r="DG227" s="12"/>
      <c r="DH227" s="12"/>
      <c r="DI227" s="12"/>
      <c r="DJ227" s="12"/>
      <c r="DK227" s="12"/>
      <c r="DL227" s="12"/>
      <c r="DM227" s="12"/>
      <c r="DN227" s="12"/>
    </row>
    <row r="228" spans="1:118" s="13" customFormat="1">
      <c r="A228" s="136"/>
      <c r="B228" s="88"/>
      <c r="C228" s="1186" t="s">
        <v>582</v>
      </c>
      <c r="D228" s="88"/>
      <c r="E228" s="1090"/>
      <c r="F228" s="1091"/>
      <c r="G228" s="1091"/>
      <c r="H228" s="1092"/>
      <c r="I228" s="88"/>
      <c r="J228" s="106"/>
      <c r="K228" s="1091"/>
      <c r="L228" s="1091"/>
      <c r="M228" s="1092"/>
      <c r="N228" s="88"/>
      <c r="O228" s="106"/>
      <c r="P228" s="76"/>
      <c r="Q228" s="76"/>
      <c r="R228" s="107"/>
      <c r="S228" s="93"/>
      <c r="T228" s="1063"/>
      <c r="U228" s="1064"/>
      <c r="V228" s="1064"/>
      <c r="W228" s="1065"/>
      <c r="X228" s="93"/>
      <c r="Y228" s="1063">
        <f>Y226*Y227*365/1000000/4</f>
        <v>6.0363262000000004</v>
      </c>
      <c r="Z228" s="1064">
        <f t="shared" ref="Z228:AQ228" si="423">Z226*Z227*365/1000000/4</f>
        <v>7.4360671333333315</v>
      </c>
      <c r="AA228" s="1064">
        <f t="shared" si="423"/>
        <v>10.235549000000001</v>
      </c>
      <c r="AB228" s="1065">
        <f t="shared" si="423"/>
        <v>10.235549000000001</v>
      </c>
      <c r="AC228" s="93">
        <f>SUM(Y228:AB228)</f>
        <v>33.943491333333334</v>
      </c>
      <c r="AD228" s="1063">
        <f t="shared" si="423"/>
        <v>0.92862843750000001</v>
      </c>
      <c r="AE228" s="1064">
        <f t="shared" si="423"/>
        <v>0.80591999999999997</v>
      </c>
      <c r="AF228" s="1064">
        <f t="shared" si="423"/>
        <v>0.56050312499999999</v>
      </c>
      <c r="AG228" s="1065">
        <f t="shared" si="423"/>
        <v>0.56050312499999999</v>
      </c>
      <c r="AH228" s="93">
        <f>SUM(AD228:AG228)</f>
        <v>2.8555546874999997</v>
      </c>
      <c r="AI228" s="1063">
        <f t="shared" si="423"/>
        <v>1.7437875</v>
      </c>
      <c r="AJ228" s="1064">
        <f t="shared" si="423"/>
        <v>1.8756254999999999</v>
      </c>
      <c r="AK228" s="1064">
        <f t="shared" si="423"/>
        <v>2.1393015000000002</v>
      </c>
      <c r="AL228" s="1065">
        <f t="shared" si="423"/>
        <v>2.1393015000000002</v>
      </c>
      <c r="AM228" s="93">
        <f>SUM(AI228:AL228)</f>
        <v>7.8980160000000001</v>
      </c>
      <c r="AN228" s="1063">
        <f t="shared" si="423"/>
        <v>2.1393015000000002</v>
      </c>
      <c r="AO228" s="1064">
        <f t="shared" si="423"/>
        <v>1.9104784374999997</v>
      </c>
      <c r="AP228" s="1064">
        <f t="shared" si="423"/>
        <v>1.4675326875000001</v>
      </c>
      <c r="AQ228" s="1065">
        <f t="shared" si="423"/>
        <v>1.4675326875000001</v>
      </c>
      <c r="AR228" s="93">
        <f>SUM(AN228:AQ228)</f>
        <v>6.984845312500001</v>
      </c>
      <c r="AS228" s="1063">
        <f>AS226*AS227*365/1000000/4</f>
        <v>1.471105125</v>
      </c>
      <c r="AT228" s="1064">
        <f>AT226*AT227*365/1000000/4</f>
        <v>1.452943333333333</v>
      </c>
      <c r="AU228" s="1064">
        <f>AU226*AU227*365/1000000/4</f>
        <v>0</v>
      </c>
      <c r="AV228" s="1065">
        <f>AV226*AV227*365/1000000/4</f>
        <v>0</v>
      </c>
      <c r="AW228" s="93">
        <f>SUM(AS228:AV228)</f>
        <v>2.924048458333333</v>
      </c>
      <c r="AX228" s="1063">
        <f>AX226*AX227*365/1000000/4</f>
        <v>0</v>
      </c>
      <c r="AY228" s="1064">
        <f>AY226*AY227*365/1000000/4</f>
        <v>0</v>
      </c>
      <c r="AZ228" s="1064">
        <f>AZ226*AZ227*365/1000000/4</f>
        <v>0</v>
      </c>
      <c r="BA228" s="1065">
        <f>BA226*BA227*365/1000000/4</f>
        <v>0</v>
      </c>
      <c r="BB228" s="93">
        <f>SUM(AX228:BA228)</f>
        <v>0</v>
      </c>
      <c r="BC228" s="1063">
        <f>BC226*BC227*365/1000000/4</f>
        <v>0</v>
      </c>
      <c r="BD228" s="1064">
        <f>BD226*BD227*365/1000000/4</f>
        <v>0</v>
      </c>
      <c r="BE228" s="1064">
        <f>BE226*BE227*365/1000000/4</f>
        <v>0</v>
      </c>
      <c r="BF228" s="1065">
        <f>BF226*BF227*365/1000000/4</f>
        <v>0</v>
      </c>
      <c r="BG228" s="93">
        <f>SUM(BC228:BF228)</f>
        <v>0</v>
      </c>
      <c r="BH228" s="1063">
        <f>BH226*BH227*365/1000000/4</f>
        <v>0</v>
      </c>
      <c r="BI228" s="1064">
        <f>BI226*BI227*365/1000000/4</f>
        <v>0</v>
      </c>
      <c r="BJ228" s="1064">
        <f>BJ226*BJ227*365/1000000/4</f>
        <v>0</v>
      </c>
      <c r="BK228" s="1065">
        <f>BK226*BK227*365/1000000/4</f>
        <v>0</v>
      </c>
      <c r="BL228" s="93">
        <f>SUM(BH228:BK228)</f>
        <v>0</v>
      </c>
      <c r="BM228" s="1063">
        <f>BM226*BM227*365/1000000/4</f>
        <v>0</v>
      </c>
      <c r="BN228" s="1064">
        <f>BN226*BN227*365/1000000/4</f>
        <v>0</v>
      </c>
      <c r="BO228" s="1064">
        <f>BO226*BO227*365/1000000/4</f>
        <v>0</v>
      </c>
      <c r="BP228" s="1065">
        <f>BP226*BP227*365/1000000/4</f>
        <v>0</v>
      </c>
      <c r="BQ228" s="93">
        <f>SUM(BM228:BP228)</f>
        <v>0</v>
      </c>
      <c r="BR228" s="149"/>
      <c r="BS228" s="136"/>
      <c r="BT228" s="12"/>
      <c r="BU228" s="91"/>
      <c r="BV228" s="91"/>
      <c r="BW228" s="91"/>
      <c r="BX228" s="91"/>
      <c r="BY228" s="91"/>
      <c r="BZ228" s="91"/>
      <c r="CA228" s="91"/>
      <c r="CB228" s="91"/>
      <c r="CC228" s="91"/>
      <c r="CD228" s="91"/>
      <c r="CE228" s="136"/>
      <c r="CF228" s="136"/>
      <c r="CG228" s="136"/>
      <c r="CH228" s="136"/>
      <c r="CI228" s="136"/>
      <c r="CJ228" s="136"/>
      <c r="CK228" s="136"/>
      <c r="CL228" s="136"/>
      <c r="CM228" s="136"/>
      <c r="CN228" s="136"/>
      <c r="CO228" s="136"/>
      <c r="CP228" s="136"/>
      <c r="CQ228" s="136"/>
      <c r="CR228" s="90"/>
      <c r="CS228" s="90"/>
      <c r="CT228" s="1055"/>
      <c r="CZ228" s="136"/>
      <c r="DA228" s="136"/>
      <c r="DB228" s="136"/>
      <c r="DC228" s="136"/>
      <c r="DD228" s="136"/>
      <c r="DE228" s="136"/>
    </row>
    <row r="229" spans="1:118">
      <c r="A229" s="91"/>
      <c r="B229" s="88"/>
      <c r="C229" s="1186"/>
      <c r="D229" s="87"/>
      <c r="E229" s="350"/>
      <c r="F229" s="99"/>
      <c r="G229" s="99"/>
      <c r="H229" s="351"/>
      <c r="I229" s="88"/>
      <c r="J229" s="106"/>
      <c r="K229" s="99"/>
      <c r="L229" s="99"/>
      <c r="M229" s="351"/>
      <c r="N229" s="88"/>
      <c r="O229" s="106"/>
      <c r="P229" s="76"/>
      <c r="Q229" s="76"/>
      <c r="R229" s="107"/>
      <c r="S229" s="93"/>
      <c r="T229" s="1081"/>
      <c r="U229" s="1082"/>
      <c r="V229" s="1082"/>
      <c r="W229" s="1348"/>
      <c r="X229" s="255"/>
      <c r="Y229" s="1081"/>
      <c r="Z229" s="246"/>
      <c r="AA229" s="246"/>
      <c r="AB229" s="1053"/>
      <c r="AC229" s="255"/>
      <c r="AD229" s="245"/>
      <c r="AE229" s="246"/>
      <c r="AF229" s="246"/>
      <c r="AG229" s="1053"/>
      <c r="AH229" s="255"/>
      <c r="AI229" s="245"/>
      <c r="AJ229" s="246"/>
      <c r="AK229" s="246"/>
      <c r="AL229" s="1053"/>
      <c r="AM229" s="255"/>
      <c r="AN229" s="245"/>
      <c r="AO229" s="246"/>
      <c r="AP229" s="246"/>
      <c r="AQ229" s="1053"/>
      <c r="AR229" s="255"/>
      <c r="AS229" s="245"/>
      <c r="AT229" s="246"/>
      <c r="AU229" s="246"/>
      <c r="AV229" s="1053"/>
      <c r="AW229" s="255"/>
      <c r="AX229" s="245"/>
      <c r="AY229" s="246"/>
      <c r="AZ229" s="246"/>
      <c r="BA229" s="1053"/>
      <c r="BB229" s="255"/>
      <c r="BC229" s="245"/>
      <c r="BD229" s="246"/>
      <c r="BE229" s="246"/>
      <c r="BF229" s="1053"/>
      <c r="BG229" s="255"/>
      <c r="BH229" s="245"/>
      <c r="BI229" s="246"/>
      <c r="BJ229" s="246"/>
      <c r="BK229" s="1053"/>
      <c r="BL229" s="255"/>
      <c r="BM229" s="245"/>
      <c r="BN229" s="246"/>
      <c r="BO229" s="246"/>
      <c r="BP229" s="1053"/>
      <c r="BQ229" s="255"/>
      <c r="BR229" s="124"/>
      <c r="BS229" s="91"/>
      <c r="BT229" s="12"/>
      <c r="BU229" s="91"/>
      <c r="BV229" s="91"/>
      <c r="BW229" s="91"/>
      <c r="BX229" s="91"/>
      <c r="BY229" s="91"/>
      <c r="BZ229" s="91"/>
      <c r="CA229" s="91"/>
      <c r="CB229" s="91"/>
      <c r="CC229" s="91"/>
      <c r="CD229" s="91"/>
      <c r="CE229" s="91"/>
      <c r="CF229" s="91"/>
      <c r="CG229" s="91"/>
      <c r="CH229" s="91"/>
      <c r="CI229" s="91"/>
      <c r="CJ229" s="91"/>
      <c r="CK229" s="91"/>
      <c r="CL229" s="91"/>
      <c r="CM229" s="91"/>
      <c r="CN229" s="91"/>
      <c r="CO229" s="91"/>
      <c r="CP229" s="91"/>
      <c r="CQ229" s="91"/>
      <c r="CR229" s="1018"/>
      <c r="CS229" s="1018"/>
      <c r="CT229" s="821"/>
      <c r="CU229" s="12"/>
      <c r="CV229" s="12"/>
      <c r="CW229" s="12"/>
      <c r="CX229" s="12"/>
      <c r="CY229" s="12"/>
      <c r="CZ229" s="91"/>
      <c r="DA229" s="91"/>
      <c r="DB229" s="91"/>
      <c r="DC229" s="91"/>
      <c r="DD229" s="91"/>
      <c r="DE229" s="91"/>
      <c r="DF229" s="12"/>
      <c r="DG229" s="12"/>
      <c r="DH229" s="12"/>
      <c r="DI229" s="12"/>
      <c r="DJ229" s="12"/>
      <c r="DK229" s="12"/>
      <c r="DL229" s="12"/>
      <c r="DM229" s="12"/>
      <c r="DN229" s="12"/>
    </row>
    <row r="230" spans="1:118">
      <c r="A230" s="91"/>
      <c r="B230" s="88"/>
      <c r="C230" s="1251" t="s">
        <v>685</v>
      </c>
      <c r="D230" s="87"/>
      <c r="E230" s="350"/>
      <c r="F230" s="99"/>
      <c r="G230" s="99"/>
      <c r="H230" s="351"/>
      <c r="I230" s="88"/>
      <c r="J230" s="106"/>
      <c r="K230" s="99"/>
      <c r="L230" s="99"/>
      <c r="M230" s="351"/>
      <c r="N230" s="88"/>
      <c r="O230" s="106"/>
      <c r="P230" s="76"/>
      <c r="Q230" s="76"/>
      <c r="R230" s="107"/>
      <c r="S230" s="88"/>
      <c r="T230" s="1081"/>
      <c r="U230" s="1082"/>
      <c r="V230" s="1082"/>
      <c r="W230" s="1348"/>
      <c r="X230" s="255"/>
      <c r="Y230" s="1081"/>
      <c r="Z230" s="246"/>
      <c r="AA230" s="246"/>
      <c r="AB230" s="1053"/>
      <c r="AC230" s="255"/>
      <c r="AD230" s="245"/>
      <c r="AE230" s="246"/>
      <c r="AF230" s="246"/>
      <c r="AG230" s="1053"/>
      <c r="AH230" s="255"/>
      <c r="AI230" s="245"/>
      <c r="AJ230" s="246"/>
      <c r="AK230" s="246"/>
      <c r="AL230" s="1053"/>
      <c r="AM230" s="255"/>
      <c r="AN230" s="245"/>
      <c r="AO230" s="246"/>
      <c r="AP230" s="246"/>
      <c r="AQ230" s="1053"/>
      <c r="AR230" s="255"/>
      <c r="AS230" s="245"/>
      <c r="AT230" s="246"/>
      <c r="AU230" s="246"/>
      <c r="AV230" s="1053"/>
      <c r="AW230" s="255"/>
      <c r="AX230" s="245"/>
      <c r="AY230" s="246"/>
      <c r="AZ230" s="246"/>
      <c r="BA230" s="1053"/>
      <c r="BB230" s="255"/>
      <c r="BC230" s="245"/>
      <c r="BD230" s="246"/>
      <c r="BE230" s="246"/>
      <c r="BF230" s="1053"/>
      <c r="BG230" s="255"/>
      <c r="BH230" s="245"/>
      <c r="BI230" s="246"/>
      <c r="BJ230" s="246"/>
      <c r="BK230" s="1053"/>
      <c r="BL230" s="255"/>
      <c r="BM230" s="245"/>
      <c r="BN230" s="246"/>
      <c r="BO230" s="246"/>
      <c r="BP230" s="1053"/>
      <c r="BQ230" s="255"/>
      <c r="BR230" s="124"/>
      <c r="BS230" s="91"/>
      <c r="BT230" s="12"/>
      <c r="BU230" s="91"/>
      <c r="BV230" s="91"/>
      <c r="BW230" s="91"/>
      <c r="BX230" s="91"/>
      <c r="BY230" s="91"/>
      <c r="BZ230" s="91"/>
      <c r="CA230" s="91"/>
      <c r="CB230" s="91"/>
      <c r="CC230" s="91"/>
      <c r="CD230" s="91"/>
      <c r="CE230" s="91"/>
      <c r="CF230" s="91"/>
      <c r="CG230" s="91"/>
      <c r="CH230" s="91"/>
      <c r="CI230" s="91"/>
      <c r="CJ230" s="91"/>
      <c r="CK230" s="91"/>
      <c r="CL230" s="91"/>
      <c r="CM230" s="91"/>
      <c r="CN230" s="91"/>
      <c r="CO230" s="91"/>
      <c r="CP230" s="91"/>
      <c r="CQ230" s="91"/>
      <c r="CR230" s="1018"/>
      <c r="CS230" s="1018"/>
      <c r="CT230" s="821"/>
      <c r="CU230" s="12"/>
      <c r="CV230" s="12"/>
      <c r="CW230" s="12"/>
      <c r="CX230" s="12"/>
      <c r="CY230" s="12"/>
      <c r="CZ230" s="91"/>
      <c r="DA230" s="91"/>
      <c r="DB230" s="91"/>
      <c r="DC230" s="91"/>
      <c r="DD230" s="91"/>
      <c r="DE230" s="91"/>
      <c r="DF230" s="12"/>
      <c r="DG230" s="12"/>
      <c r="DH230" s="12"/>
      <c r="DI230" s="12"/>
      <c r="DJ230" s="12"/>
      <c r="DK230" s="12"/>
      <c r="DL230" s="12"/>
      <c r="DM230" s="12"/>
      <c r="DN230" s="12"/>
    </row>
    <row r="231" spans="1:118" s="12" customFormat="1">
      <c r="A231" s="91"/>
      <c r="B231" s="87"/>
      <c r="C231" s="1179" t="s">
        <v>611</v>
      </c>
      <c r="D231" s="87"/>
      <c r="E231" s="350"/>
      <c r="F231" s="99"/>
      <c r="G231" s="99"/>
      <c r="H231" s="351"/>
      <c r="I231" s="88"/>
      <c r="J231" s="99"/>
      <c r="K231" s="99"/>
      <c r="L231" s="99"/>
      <c r="M231" s="351"/>
      <c r="N231" s="88"/>
      <c r="O231" s="104"/>
      <c r="P231" s="77"/>
      <c r="Q231" s="77"/>
      <c r="R231" s="102"/>
      <c r="S231" s="96"/>
      <c r="T231" s="1081"/>
      <c r="U231" s="1082"/>
      <c r="V231" s="1082"/>
      <c r="W231" s="1350"/>
      <c r="X231" s="255"/>
      <c r="Y231" s="1081">
        <f>+Y170</f>
        <v>8498</v>
      </c>
      <c r="Z231" s="862">
        <f>+Z170*$BU$233</f>
        <v>8498</v>
      </c>
      <c r="AA231" s="862">
        <f>+AA170*$BU$234</f>
        <v>8498</v>
      </c>
      <c r="AB231" s="1098">
        <f>+AB170*$BU$234</f>
        <v>8498</v>
      </c>
      <c r="AC231" s="255">
        <f>AVERAGE(Y231:AB231)</f>
        <v>8498</v>
      </c>
      <c r="AD231" s="861">
        <v>6830</v>
      </c>
      <c r="AE231" s="1622">
        <f>AD231*(2/3)+AF231*(1/3)</f>
        <v>6435</v>
      </c>
      <c r="AF231" s="862">
        <v>5645</v>
      </c>
      <c r="AG231" s="1098">
        <v>5645</v>
      </c>
      <c r="AH231" s="255">
        <f>AVERAGE(AD231:AG231)</f>
        <v>6138.75</v>
      </c>
      <c r="AI231" s="861">
        <v>5645</v>
      </c>
      <c r="AJ231" s="1622">
        <f>AI231*(2/3)+AK231*(1/3)</f>
        <v>6120</v>
      </c>
      <c r="AK231" s="862">
        <v>7070</v>
      </c>
      <c r="AL231" s="1098">
        <v>7070</v>
      </c>
      <c r="AM231" s="255">
        <f>AVERAGE(AI231:AL231)</f>
        <v>6476.25</v>
      </c>
      <c r="AN231" s="861">
        <v>7070</v>
      </c>
      <c r="AO231" s="1622">
        <f>AN231*(2/3)+AP231*(1/3)</f>
        <v>6561.2222222222217</v>
      </c>
      <c r="AP231" s="862">
        <f>3845+2548*2/3</f>
        <v>5543.666666666667</v>
      </c>
      <c r="AQ231" s="1098">
        <f>3845+2548*2/3</f>
        <v>5543.666666666667</v>
      </c>
      <c r="AR231" s="255">
        <f>AVERAGE(AN231:AQ231)</f>
        <v>6179.6388888888896</v>
      </c>
      <c r="AS231" s="861">
        <f>3845+2548*2/3</f>
        <v>5543.666666666667</v>
      </c>
      <c r="AT231" s="1622">
        <f>AS231*(2/3)+AU231*(1/3)</f>
        <v>5416.7777777777774</v>
      </c>
      <c r="AU231" s="862">
        <f>4285+2634*1/3</f>
        <v>5163</v>
      </c>
      <c r="AV231" s="1098">
        <f>4285+2634*1/3</f>
        <v>5163</v>
      </c>
      <c r="AW231" s="255">
        <f>AVERAGE(AS231:AV231)</f>
        <v>5321.6111111111113</v>
      </c>
      <c r="AX231" s="861">
        <f>4285+2634*1/3</f>
        <v>5163</v>
      </c>
      <c r="AY231" s="1622">
        <f>AX231*(2/3)+AZ231*(1/3)</f>
        <v>5523.6666666666661</v>
      </c>
      <c r="AZ231" s="862">
        <f>6245</f>
        <v>6245</v>
      </c>
      <c r="BA231" s="1098">
        <f>6245</f>
        <v>6245</v>
      </c>
      <c r="BB231" s="255">
        <f>AVERAGE(AX231:BA231)</f>
        <v>5794.1666666666661</v>
      </c>
      <c r="BC231" s="861">
        <v>6245</v>
      </c>
      <c r="BD231" s="862">
        <v>6245</v>
      </c>
      <c r="BE231" s="862">
        <v>6245</v>
      </c>
      <c r="BF231" s="1098">
        <v>6245</v>
      </c>
      <c r="BG231" s="255">
        <f>AVERAGE(BC231:BF231)</f>
        <v>6245</v>
      </c>
      <c r="BH231" s="861">
        <v>6245</v>
      </c>
      <c r="BI231" s="862">
        <v>6245</v>
      </c>
      <c r="BJ231" s="862">
        <v>6245</v>
      </c>
      <c r="BK231" s="1098">
        <v>6245</v>
      </c>
      <c r="BL231" s="255">
        <f>AVERAGE(BH231:BK231)</f>
        <v>6245</v>
      </c>
      <c r="BM231" s="861">
        <v>6245</v>
      </c>
      <c r="BN231" s="862">
        <v>6245</v>
      </c>
      <c r="BO231" s="862">
        <v>6245</v>
      </c>
      <c r="BP231" s="1098">
        <v>6245</v>
      </c>
      <c r="BQ231" s="255">
        <f>AVERAGE(BM231:BP231)</f>
        <v>6245</v>
      </c>
      <c r="BR231" s="124"/>
      <c r="BS231" s="91"/>
      <c r="BU231" s="91"/>
      <c r="BV231" s="91"/>
      <c r="BW231" s="91"/>
      <c r="BX231" s="91"/>
      <c r="BY231" s="91"/>
      <c r="BZ231" s="91"/>
      <c r="CA231" s="91"/>
      <c r="CB231" s="91"/>
      <c r="CC231" s="91"/>
      <c r="CD231" s="91"/>
      <c r="CE231" s="91"/>
      <c r="CF231" s="91"/>
      <c r="CG231" s="91"/>
      <c r="CH231" s="91"/>
      <c r="CI231" s="91"/>
      <c r="CJ231" s="91"/>
      <c r="CK231" s="91"/>
      <c r="CL231" s="91"/>
      <c r="CM231" s="91"/>
      <c r="CN231" s="91"/>
      <c r="CO231" s="91"/>
      <c r="CP231" s="91"/>
      <c r="CQ231" s="91"/>
      <c r="CR231" s="1049"/>
      <c r="CS231" s="1049"/>
      <c r="CT231" s="1050"/>
      <c r="CZ231" s="91"/>
      <c r="DA231" s="91"/>
      <c r="DB231" s="91"/>
      <c r="DC231" s="91"/>
      <c r="DD231" s="91"/>
      <c r="DE231" s="91"/>
    </row>
    <row r="232" spans="1:118">
      <c r="A232" s="91"/>
      <c r="B232" s="88"/>
      <c r="C232" s="1179" t="s">
        <v>520</v>
      </c>
      <c r="D232" s="87"/>
      <c r="E232" s="350"/>
      <c r="F232" s="99"/>
      <c r="G232" s="99"/>
      <c r="H232" s="351"/>
      <c r="I232" s="88"/>
      <c r="J232" s="106"/>
      <c r="K232" s="99"/>
      <c r="L232" s="99"/>
      <c r="M232" s="351"/>
      <c r="N232" s="88"/>
      <c r="O232" s="106"/>
      <c r="P232" s="76"/>
      <c r="Q232" s="76"/>
      <c r="R232" s="107"/>
      <c r="S232" s="1096"/>
      <c r="T232" s="1084"/>
      <c r="U232" s="1085"/>
      <c r="V232" s="1085"/>
      <c r="W232" s="1349"/>
      <c r="X232" s="1086"/>
      <c r="Y232" s="1084">
        <f t="shared" ref="Y232:BL232" si="424">+Y81</f>
        <v>20.46</v>
      </c>
      <c r="Z232" s="1088">
        <f t="shared" si="424"/>
        <v>22.883333333333336</v>
      </c>
      <c r="AA232" s="1088">
        <f t="shared" si="424"/>
        <v>27.73</v>
      </c>
      <c r="AB232" s="1089">
        <f t="shared" si="424"/>
        <v>27.73</v>
      </c>
      <c r="AC232" s="1086">
        <f t="shared" si="424"/>
        <v>24.700833333333335</v>
      </c>
      <c r="AD232" s="1087">
        <f t="shared" si="424"/>
        <v>27.73</v>
      </c>
      <c r="AE232" s="1088">
        <f t="shared" si="424"/>
        <v>60.483333333333327</v>
      </c>
      <c r="AF232" s="1088">
        <f t="shared" si="424"/>
        <v>125.99</v>
      </c>
      <c r="AG232" s="1089">
        <f t="shared" si="424"/>
        <v>125.99</v>
      </c>
      <c r="AH232" s="1086">
        <f t="shared" si="424"/>
        <v>85.048333333333332</v>
      </c>
      <c r="AI232" s="1087">
        <f t="shared" si="424"/>
        <v>125.99</v>
      </c>
      <c r="AJ232" s="1088">
        <f t="shared" si="424"/>
        <v>202.99333333333334</v>
      </c>
      <c r="AK232" s="1088">
        <f t="shared" si="424"/>
        <v>357</v>
      </c>
      <c r="AL232" s="1089">
        <f t="shared" si="424"/>
        <v>357</v>
      </c>
      <c r="AM232" s="1086">
        <f t="shared" si="424"/>
        <v>260.74583333333334</v>
      </c>
      <c r="AN232" s="1087">
        <f t="shared" si="424"/>
        <v>357</v>
      </c>
      <c r="AO232" s="1088">
        <f t="shared" si="424"/>
        <v>276.07666666666665</v>
      </c>
      <c r="AP232" s="1088">
        <f t="shared" si="424"/>
        <v>114.23</v>
      </c>
      <c r="AQ232" s="1089">
        <f t="shared" si="424"/>
        <v>114.23</v>
      </c>
      <c r="AR232" s="1086">
        <f t="shared" si="424"/>
        <v>215.38416666666666</v>
      </c>
      <c r="AS232" s="1087">
        <f t="shared" si="424"/>
        <v>116.15333333333334</v>
      </c>
      <c r="AT232" s="1088">
        <f t="shared" si="424"/>
        <v>116.15333333333334</v>
      </c>
      <c r="AU232" s="1088">
        <f t="shared" si="424"/>
        <v>120</v>
      </c>
      <c r="AV232" s="1089">
        <f t="shared" si="424"/>
        <v>120</v>
      </c>
      <c r="AW232" s="1086">
        <f t="shared" si="424"/>
        <v>118.07666666666667</v>
      </c>
      <c r="AX232" s="1087">
        <f t="shared" si="424"/>
        <v>120</v>
      </c>
      <c r="AY232" s="1088">
        <f t="shared" si="424"/>
        <v>134.92333333333335</v>
      </c>
      <c r="AZ232" s="1088">
        <f t="shared" si="424"/>
        <v>164.77</v>
      </c>
      <c r="BA232" s="1089">
        <f t="shared" si="424"/>
        <v>164.77</v>
      </c>
      <c r="BB232" s="1086">
        <f t="shared" si="424"/>
        <v>146.11583333333334</v>
      </c>
      <c r="BC232" s="1087">
        <f t="shared" si="424"/>
        <v>164.77</v>
      </c>
      <c r="BD232" s="1088">
        <f t="shared" si="424"/>
        <v>143.18</v>
      </c>
      <c r="BE232" s="1088">
        <f t="shared" si="424"/>
        <v>100</v>
      </c>
      <c r="BF232" s="1089">
        <f t="shared" si="424"/>
        <v>100</v>
      </c>
      <c r="BG232" s="1086">
        <f t="shared" si="424"/>
        <v>126.98750000000001</v>
      </c>
      <c r="BH232" s="1087">
        <f t="shared" si="424"/>
        <v>100</v>
      </c>
      <c r="BI232" s="1088">
        <f t="shared" si="424"/>
        <v>100</v>
      </c>
      <c r="BJ232" s="1088">
        <f t="shared" si="424"/>
        <v>76.53</v>
      </c>
      <c r="BK232" s="1089">
        <f t="shared" si="424"/>
        <v>76.53</v>
      </c>
      <c r="BL232" s="1086">
        <f t="shared" si="424"/>
        <v>88.264999999999986</v>
      </c>
      <c r="BM232" s="1087">
        <f t="shared" ref="BM232:BQ232" si="425">+BM81</f>
        <v>165</v>
      </c>
      <c r="BN232" s="1088">
        <f t="shared" si="425"/>
        <v>165</v>
      </c>
      <c r="BO232" s="1088">
        <f t="shared" si="425"/>
        <v>165</v>
      </c>
      <c r="BP232" s="1089">
        <f t="shared" si="425"/>
        <v>165</v>
      </c>
      <c r="BQ232" s="1086">
        <f t="shared" si="425"/>
        <v>165</v>
      </c>
      <c r="BR232" s="124"/>
      <c r="BS232" s="91"/>
      <c r="BT232" s="13"/>
      <c r="BU232" s="136"/>
      <c r="BV232" s="136"/>
      <c r="BW232" s="136"/>
      <c r="BX232" s="136"/>
      <c r="BY232" s="136"/>
      <c r="BZ232" s="136"/>
      <c r="CA232" s="136"/>
      <c r="CB232" s="136"/>
      <c r="CC232" s="136"/>
      <c r="CD232" s="136"/>
      <c r="CE232" s="91"/>
      <c r="CF232" s="91"/>
      <c r="CG232" s="91"/>
      <c r="CH232" s="91"/>
      <c r="CI232" s="91"/>
      <c r="CJ232" s="91"/>
      <c r="CK232" s="91"/>
      <c r="CL232" s="91"/>
      <c r="CM232" s="91"/>
      <c r="CN232" s="91"/>
      <c r="CO232" s="91"/>
      <c r="CP232" s="91"/>
      <c r="CQ232" s="91"/>
      <c r="CR232" s="1018"/>
      <c r="CS232" s="1018"/>
      <c r="CT232" s="821"/>
      <c r="CU232" s="12"/>
      <c r="CV232" s="12"/>
      <c r="CW232" s="12"/>
      <c r="CX232" s="12"/>
      <c r="CY232" s="12"/>
      <c r="CZ232" s="91"/>
      <c r="DA232" s="91"/>
      <c r="DB232" s="91"/>
      <c r="DC232" s="91"/>
      <c r="DD232" s="91"/>
      <c r="DE232" s="91"/>
      <c r="DF232" s="12"/>
      <c r="DG232" s="12"/>
      <c r="DH232" s="12"/>
      <c r="DI232" s="12"/>
      <c r="DJ232" s="12"/>
      <c r="DK232" s="12"/>
      <c r="DL232" s="12"/>
      <c r="DM232" s="12"/>
      <c r="DN232" s="12"/>
    </row>
    <row r="233" spans="1:118" s="13" customFormat="1">
      <c r="A233" s="136"/>
      <c r="B233" s="88"/>
      <c r="C233" s="1186" t="s">
        <v>582</v>
      </c>
      <c r="D233" s="88"/>
      <c r="E233" s="1090"/>
      <c r="F233" s="1091"/>
      <c r="G233" s="1091"/>
      <c r="H233" s="1092"/>
      <c r="I233" s="88"/>
      <c r="J233" s="106"/>
      <c r="K233" s="1091"/>
      <c r="L233" s="1091"/>
      <c r="M233" s="1092"/>
      <c r="N233" s="88"/>
      <c r="O233" s="106"/>
      <c r="P233" s="76"/>
      <c r="Q233" s="76"/>
      <c r="R233" s="107"/>
      <c r="S233" s="93"/>
      <c r="T233" s="1063"/>
      <c r="U233" s="1064"/>
      <c r="V233" s="1064"/>
      <c r="W233" s="1065"/>
      <c r="X233" s="93"/>
      <c r="Y233" s="1063">
        <f>Y231*Y232*365/1000000/4</f>
        <v>15.865553550000001</v>
      </c>
      <c r="Z233" s="1064">
        <f t="shared" ref="Z233:AQ233" si="426">Z231*Z232*365/1000000/4</f>
        <v>17.744709208333337</v>
      </c>
      <c r="AA233" s="1064">
        <f t="shared" si="426"/>
        <v>21.503020525000004</v>
      </c>
      <c r="AB233" s="1065">
        <f t="shared" si="426"/>
        <v>21.503020525000004</v>
      </c>
      <c r="AC233" s="93">
        <f>SUM(Y233:AB233)</f>
        <v>76.616303808333342</v>
      </c>
      <c r="AD233" s="1063">
        <f t="shared" si="426"/>
        <v>17.282375875</v>
      </c>
      <c r="AE233" s="1064">
        <f t="shared" si="426"/>
        <v>35.515435312499996</v>
      </c>
      <c r="AF233" s="1064">
        <f t="shared" si="426"/>
        <v>64.898236437499989</v>
      </c>
      <c r="AG233" s="1065">
        <f t="shared" si="426"/>
        <v>64.898236437499989</v>
      </c>
      <c r="AH233" s="93">
        <f>SUM(AD233:AG233)</f>
        <v>182.59428406249998</v>
      </c>
      <c r="AI233" s="1063">
        <f t="shared" si="426"/>
        <v>64.898236437499989</v>
      </c>
      <c r="AJ233" s="1064">
        <f>AJ231*AJ232*365/1000000/4</f>
        <v>113.361627</v>
      </c>
      <c r="AK233" s="1064">
        <f t="shared" si="426"/>
        <v>230.3140875</v>
      </c>
      <c r="AL233" s="1065">
        <f t="shared" si="426"/>
        <v>230.3140875</v>
      </c>
      <c r="AM233" s="93">
        <f>SUM(AI233:AL233)</f>
        <v>638.88803843749997</v>
      </c>
      <c r="AN233" s="1063">
        <f t="shared" si="426"/>
        <v>230.3140875</v>
      </c>
      <c r="AO233" s="1064">
        <f t="shared" si="426"/>
        <v>165.29028288379627</v>
      </c>
      <c r="AP233" s="1064">
        <f t="shared" si="426"/>
        <v>57.784340204166668</v>
      </c>
      <c r="AQ233" s="1065">
        <f t="shared" si="426"/>
        <v>57.784340204166668</v>
      </c>
      <c r="AR233" s="93">
        <f>SUM(AN233:AQ233)</f>
        <v>511.17305079212957</v>
      </c>
      <c r="AS233" s="1063">
        <f>AS231*AS232*365/1000000/4</f>
        <v>58.757276802777781</v>
      </c>
      <c r="AT233" s="1064">
        <f>AT231*AT232*365/1000000/4</f>
        <v>57.412382526851857</v>
      </c>
      <c r="AU233" s="1064">
        <f>AU231*AU232*365/1000000/4</f>
        <v>56.534849999999999</v>
      </c>
      <c r="AV233" s="1065">
        <f>AV231*AV232*365/1000000/4</f>
        <v>56.534849999999999</v>
      </c>
      <c r="AW233" s="93">
        <f>SUM(AS233:AV233)</f>
        <v>229.23935932962965</v>
      </c>
      <c r="AX233" s="1063">
        <f>AX231*AX232*365/1000000/4</f>
        <v>56.534849999999999</v>
      </c>
      <c r="AY233" s="1064">
        <f>AY231*AY232*365/1000000/4</f>
        <v>68.006026098611116</v>
      </c>
      <c r="AZ233" s="1064">
        <f>AZ231*AZ232*365/1000000/4</f>
        <v>93.895214312500002</v>
      </c>
      <c r="BA233" s="1065">
        <f>BA231*BA232*365/1000000/4</f>
        <v>93.895214312500002</v>
      </c>
      <c r="BB233" s="93">
        <f>SUM(AX233:BA233)</f>
        <v>312.33130472361108</v>
      </c>
      <c r="BC233" s="1063">
        <f>BC231*BC232*365/1000000/4</f>
        <v>93.895214312500002</v>
      </c>
      <c r="BD233" s="1064">
        <f>BD231*BD232*365/1000000/4</f>
        <v>81.59201787500001</v>
      </c>
      <c r="BE233" s="1064">
        <f>BE231*BE232*365/1000000/4</f>
        <v>56.985624999999999</v>
      </c>
      <c r="BF233" s="1065">
        <f>BF231*BF232*365/1000000/4</f>
        <v>56.985624999999999</v>
      </c>
      <c r="BG233" s="93">
        <f>SUM(BC233:BF233)</f>
        <v>289.45848218750001</v>
      </c>
      <c r="BH233" s="1063">
        <f>BH231*BH232*365/1000000/4</f>
        <v>56.985624999999999</v>
      </c>
      <c r="BI233" s="1064">
        <f>BI231*BI232*365/1000000/4</f>
        <v>56.985624999999999</v>
      </c>
      <c r="BJ233" s="1064">
        <f>BJ231*BJ232*365/1000000/4</f>
        <v>43.611098812500003</v>
      </c>
      <c r="BK233" s="1065">
        <f>BK231*BK232*365/1000000/4</f>
        <v>43.611098812500003</v>
      </c>
      <c r="BL233" s="93">
        <f>SUM(BH233:BK233)</f>
        <v>201.19344762500003</v>
      </c>
      <c r="BM233" s="1063">
        <f>BM231*BM232*365/1000000/4</f>
        <v>94.026281249999997</v>
      </c>
      <c r="BN233" s="1064">
        <f>BN231*BN232*365/1000000/4</f>
        <v>94.026281249999997</v>
      </c>
      <c r="BO233" s="1064">
        <f>BO231*BO232*365/1000000/4</f>
        <v>94.026281249999997</v>
      </c>
      <c r="BP233" s="1065">
        <f>BP231*BP232*365/1000000/4</f>
        <v>94.026281249999997</v>
      </c>
      <c r="BQ233" s="93">
        <f>SUM(BM233:BP233)</f>
        <v>376.10512499999999</v>
      </c>
      <c r="BR233" s="149"/>
      <c r="BS233" s="136"/>
      <c r="BT233" s="1099" t="s">
        <v>785</v>
      </c>
      <c r="BU233" s="1100">
        <v>1</v>
      </c>
      <c r="BV233" s="91"/>
      <c r="BW233" s="91"/>
      <c r="BX233" s="91"/>
      <c r="BY233" s="91"/>
      <c r="BZ233" s="91"/>
      <c r="CA233" s="91"/>
      <c r="CB233" s="91"/>
      <c r="CC233" s="91"/>
      <c r="CD233" s="91"/>
      <c r="CE233" s="136"/>
      <c r="CF233" s="136"/>
      <c r="CG233" s="136"/>
      <c r="CH233" s="136"/>
      <c r="CI233" s="136"/>
      <c r="CJ233" s="136"/>
      <c r="CK233" s="136"/>
      <c r="CL233" s="136"/>
      <c r="CM233" s="136"/>
      <c r="CN233" s="136"/>
      <c r="CO233" s="136"/>
      <c r="CP233" s="136"/>
      <c r="CQ233" s="136"/>
      <c r="CR233" s="90"/>
      <c r="CS233" s="90"/>
      <c r="CT233" s="1055"/>
      <c r="CZ233" s="136"/>
      <c r="DA233" s="136"/>
      <c r="DB233" s="136"/>
      <c r="DC233" s="136"/>
      <c r="DD233" s="136"/>
      <c r="DE233" s="136"/>
    </row>
    <row r="234" spans="1:118">
      <c r="A234" s="91"/>
      <c r="B234" s="88"/>
      <c r="C234" s="1186"/>
      <c r="D234" s="88"/>
      <c r="E234" s="350"/>
      <c r="F234" s="99"/>
      <c r="G234" s="99"/>
      <c r="H234" s="351"/>
      <c r="I234" s="93"/>
      <c r="J234" s="106"/>
      <c r="K234" s="99"/>
      <c r="L234" s="99"/>
      <c r="M234" s="351"/>
      <c r="N234" s="93"/>
      <c r="O234" s="106"/>
      <c r="P234" s="76"/>
      <c r="Q234" s="76"/>
      <c r="R234" s="107"/>
      <c r="S234" s="93"/>
      <c r="T234" s="1081"/>
      <c r="U234" s="1082"/>
      <c r="V234" s="1082"/>
      <c r="W234" s="1348"/>
      <c r="X234" s="255"/>
      <c r="Y234" s="1081"/>
      <c r="Z234" s="246"/>
      <c r="AA234" s="246"/>
      <c r="AB234" s="1053"/>
      <c r="AC234" s="255"/>
      <c r="AD234" s="245"/>
      <c r="AE234" s="246"/>
      <c r="AF234" s="246"/>
      <c r="AG234" s="1053"/>
      <c r="AH234" s="255"/>
      <c r="AI234" s="245"/>
      <c r="AJ234" s="246"/>
      <c r="AK234" s="246"/>
      <c r="AL234" s="1053"/>
      <c r="AM234" s="255"/>
      <c r="AN234" s="245"/>
      <c r="AO234" s="246"/>
      <c r="AP234" s="246"/>
      <c r="AQ234" s="1053"/>
      <c r="AR234" s="255"/>
      <c r="AS234" s="245"/>
      <c r="AT234" s="246"/>
      <c r="AU234" s="246"/>
      <c r="AV234" s="1053"/>
      <c r="AW234" s="255"/>
      <c r="AX234" s="245"/>
      <c r="AY234" s="246"/>
      <c r="AZ234" s="246"/>
      <c r="BA234" s="1053"/>
      <c r="BB234" s="255"/>
      <c r="BC234" s="245"/>
      <c r="BD234" s="246"/>
      <c r="BE234" s="246"/>
      <c r="BF234" s="1053"/>
      <c r="BG234" s="255"/>
      <c r="BH234" s="245"/>
      <c r="BI234" s="246"/>
      <c r="BJ234" s="246"/>
      <c r="BK234" s="1053"/>
      <c r="BL234" s="255"/>
      <c r="BM234" s="245"/>
      <c r="BN234" s="246"/>
      <c r="BO234" s="246"/>
      <c r="BP234" s="1053"/>
      <c r="BQ234" s="255"/>
      <c r="BR234" s="1345"/>
      <c r="BS234" s="91"/>
      <c r="BT234" s="1099" t="s">
        <v>784</v>
      </c>
      <c r="BU234" s="1100">
        <v>1</v>
      </c>
      <c r="BV234" s="91"/>
      <c r="BW234" s="91"/>
      <c r="BX234" s="91"/>
      <c r="BY234" s="91"/>
      <c r="BZ234" s="91"/>
      <c r="CA234" s="91"/>
      <c r="CB234" s="91"/>
      <c r="CC234" s="91"/>
      <c r="CD234" s="91"/>
      <c r="CE234" s="91"/>
      <c r="CF234" s="91"/>
      <c r="CG234" s="91"/>
      <c r="CH234" s="91"/>
      <c r="CI234" s="91"/>
      <c r="CJ234" s="91"/>
      <c r="CK234" s="91"/>
      <c r="CL234" s="91"/>
      <c r="CM234" s="91"/>
      <c r="CN234" s="91"/>
      <c r="CO234" s="91"/>
      <c r="CP234" s="91"/>
      <c r="CQ234" s="91"/>
      <c r="CR234" s="1018"/>
      <c r="CS234" s="1018"/>
      <c r="CT234" s="821"/>
      <c r="CU234" s="12"/>
      <c r="CV234" s="12"/>
      <c r="CW234" s="12"/>
      <c r="CX234" s="12"/>
      <c r="CY234" s="12"/>
      <c r="CZ234" s="91"/>
      <c r="DA234" s="91"/>
      <c r="DB234" s="91"/>
      <c r="DC234" s="91"/>
      <c r="DD234" s="91"/>
      <c r="DE234" s="91"/>
      <c r="DF234" s="12"/>
      <c r="DG234" s="12"/>
      <c r="DH234" s="12"/>
      <c r="DI234" s="12"/>
      <c r="DJ234" s="12"/>
      <c r="DK234" s="12"/>
      <c r="DL234" s="12"/>
      <c r="DM234" s="12"/>
      <c r="DN234" s="12"/>
    </row>
    <row r="235" spans="1:118">
      <c r="A235" s="91"/>
      <c r="B235" s="88"/>
      <c r="C235" s="1251" t="s">
        <v>998</v>
      </c>
      <c r="D235" s="88"/>
      <c r="E235" s="350"/>
      <c r="F235" s="99"/>
      <c r="G235" s="99"/>
      <c r="H235" s="351"/>
      <c r="I235" s="93"/>
      <c r="J235" s="106"/>
      <c r="K235" s="99"/>
      <c r="L235" s="99"/>
      <c r="M235" s="351"/>
      <c r="N235" s="93"/>
      <c r="O235" s="106"/>
      <c r="P235" s="76"/>
      <c r="Q235" s="76"/>
      <c r="R235" s="107"/>
      <c r="S235" s="93"/>
      <c r="T235" s="1081"/>
      <c r="U235" s="1082"/>
      <c r="V235" s="1082"/>
      <c r="W235" s="1348"/>
      <c r="X235" s="255"/>
      <c r="Y235" s="1081"/>
      <c r="Z235" s="246"/>
      <c r="AA235" s="246"/>
      <c r="AB235" s="1053"/>
      <c r="AC235" s="255"/>
      <c r="AD235" s="245"/>
      <c r="AE235" s="246"/>
      <c r="AF235" s="246"/>
      <c r="AG235" s="1053"/>
      <c r="AH235" s="255"/>
      <c r="AI235" s="245"/>
      <c r="AJ235" s="246"/>
      <c r="AK235" s="246"/>
      <c r="AL235" s="1053"/>
      <c r="AM235" s="255"/>
      <c r="AN235" s="245"/>
      <c r="AO235" s="1929"/>
      <c r="AP235" s="246"/>
      <c r="AQ235" s="1930"/>
      <c r="AR235" s="263"/>
      <c r="AS235" s="245"/>
      <c r="AT235" s="246"/>
      <c r="AU235" s="246"/>
      <c r="AV235" s="1053"/>
      <c r="AW235" s="255"/>
      <c r="AX235" s="245"/>
      <c r="AY235" s="246"/>
      <c r="AZ235" s="246"/>
      <c r="BA235" s="1053"/>
      <c r="BB235" s="255"/>
      <c r="BC235" s="245"/>
      <c r="BD235" s="246"/>
      <c r="BE235" s="246"/>
      <c r="BF235" s="1053"/>
      <c r="BG235" s="255"/>
      <c r="BH235" s="245"/>
      <c r="BI235" s="246"/>
      <c r="BJ235" s="246"/>
      <c r="BK235" s="1053"/>
      <c r="BL235" s="255"/>
      <c r="BM235" s="245"/>
      <c r="BN235" s="246"/>
      <c r="BO235" s="246"/>
      <c r="BP235" s="1053"/>
      <c r="BQ235" s="255"/>
      <c r="BR235" s="1345"/>
      <c r="BS235" s="91"/>
      <c r="BT235" s="1099"/>
      <c r="BU235" s="1273"/>
      <c r="BV235" s="91"/>
      <c r="BW235" s="91"/>
      <c r="BX235" s="91"/>
      <c r="BY235" s="91"/>
      <c r="BZ235" s="91"/>
      <c r="CA235" s="91"/>
      <c r="CB235" s="91"/>
      <c r="CC235" s="91"/>
      <c r="CD235" s="91"/>
      <c r="CE235" s="91"/>
      <c r="CF235" s="91"/>
      <c r="CG235" s="91"/>
      <c r="CH235" s="91"/>
      <c r="CI235" s="91"/>
      <c r="CJ235" s="91"/>
      <c r="CK235" s="91"/>
      <c r="CL235" s="91"/>
      <c r="CM235" s="91"/>
      <c r="CN235" s="91"/>
      <c r="CO235" s="91"/>
      <c r="CP235" s="91"/>
      <c r="CQ235" s="91"/>
      <c r="CR235" s="1018"/>
      <c r="CS235" s="1018"/>
      <c r="CT235" s="821"/>
      <c r="CU235" s="12"/>
      <c r="CV235" s="12"/>
      <c r="CW235" s="12"/>
      <c r="CX235" s="12"/>
      <c r="CY235" s="12"/>
      <c r="CZ235" s="91"/>
      <c r="DA235" s="91"/>
      <c r="DB235" s="91"/>
      <c r="DC235" s="91"/>
      <c r="DD235" s="91"/>
      <c r="DE235" s="91"/>
      <c r="DF235" s="12"/>
      <c r="DG235" s="12"/>
      <c r="DH235" s="12"/>
      <c r="DI235" s="12"/>
      <c r="DJ235" s="12"/>
      <c r="DK235" s="12"/>
      <c r="DL235" s="12"/>
      <c r="DM235" s="12"/>
      <c r="DN235" s="12"/>
    </row>
    <row r="236" spans="1:118">
      <c r="A236" s="91"/>
      <c r="B236" s="88"/>
      <c r="C236" s="1187" t="s">
        <v>611</v>
      </c>
      <c r="D236" s="88"/>
      <c r="E236" s="350"/>
      <c r="F236" s="99"/>
      <c r="G236" s="99"/>
      <c r="H236" s="351"/>
      <c r="I236" s="93"/>
      <c r="J236" s="106"/>
      <c r="K236" s="99"/>
      <c r="L236" s="99"/>
      <c r="M236" s="351"/>
      <c r="N236" s="93"/>
      <c r="O236" s="106"/>
      <c r="P236" s="76"/>
      <c r="Q236" s="76"/>
      <c r="R236" s="107"/>
      <c r="S236" s="93"/>
      <c r="T236" s="1081"/>
      <c r="U236" s="1082"/>
      <c r="V236" s="1082"/>
      <c r="W236" s="1348"/>
      <c r="X236" s="255"/>
      <c r="Y236" s="1081"/>
      <c r="Z236" s="246"/>
      <c r="AA236" s="246"/>
      <c r="AB236" s="1053"/>
      <c r="AC236" s="1934" t="s">
        <v>1000</v>
      </c>
      <c r="AD236" s="1932" t="s">
        <v>1000</v>
      </c>
      <c r="AE236" s="1938" t="s">
        <v>1000</v>
      </c>
      <c r="AF236" s="1938" t="s">
        <v>1000</v>
      </c>
      <c r="AG236" s="1939" t="s">
        <v>1000</v>
      </c>
      <c r="AH236" s="1934" t="s">
        <v>1000</v>
      </c>
      <c r="AI236" s="1932" t="s">
        <v>1000</v>
      </c>
      <c r="AJ236" s="1938" t="s">
        <v>1000</v>
      </c>
      <c r="AK236" s="1938" t="s">
        <v>1000</v>
      </c>
      <c r="AL236" s="1939" t="s">
        <v>1000</v>
      </c>
      <c r="AM236" s="1934" t="s">
        <v>1000</v>
      </c>
      <c r="AN236" s="1932" t="s">
        <v>1000</v>
      </c>
      <c r="AO236" s="1929">
        <f>4210+3675</f>
        <v>7885</v>
      </c>
      <c r="AP236" s="1938">
        <f>4210+3675</f>
        <v>7885</v>
      </c>
      <c r="AQ236" s="1930">
        <f>4210+3675</f>
        <v>7885</v>
      </c>
      <c r="AR236" s="255">
        <f>AVERAGE(AN236:AQ236)</f>
        <v>7885</v>
      </c>
      <c r="AS236" s="1931">
        <f>4210+3675</f>
        <v>7885</v>
      </c>
      <c r="AT236" s="1583">
        <f>2/3*AS236+1/3*9810</f>
        <v>8526.6666666666661</v>
      </c>
      <c r="AU236" s="1929">
        <f>6245+3565-1527-45</f>
        <v>8238</v>
      </c>
      <c r="AV236" s="1930">
        <f>6245+3565-1527-45</f>
        <v>8238</v>
      </c>
      <c r="AW236" s="255">
        <f>AVERAGE(AS236:AV236)</f>
        <v>8221.9166666666661</v>
      </c>
      <c r="AX236" s="1931">
        <f>6245+3565-1527-45</f>
        <v>8238</v>
      </c>
      <c r="AY236" s="1583">
        <f>2/3*AX236</f>
        <v>5492</v>
      </c>
      <c r="AZ236" s="1938" t="s">
        <v>1000</v>
      </c>
      <c r="BA236" s="1939" t="s">
        <v>1000</v>
      </c>
      <c r="BB236" s="255">
        <f>AVERAGE(AX236:BA236)</f>
        <v>6865</v>
      </c>
      <c r="BC236" s="1932" t="s">
        <v>1000</v>
      </c>
      <c r="BD236" s="1938" t="s">
        <v>1000</v>
      </c>
      <c r="BE236" s="1938" t="s">
        <v>1000</v>
      </c>
      <c r="BF236" s="1939" t="s">
        <v>1000</v>
      </c>
      <c r="BG236" s="1934" t="s">
        <v>1000</v>
      </c>
      <c r="BH236" s="1932" t="s">
        <v>1000</v>
      </c>
      <c r="BI236" s="1938" t="s">
        <v>1000</v>
      </c>
      <c r="BJ236" s="1938" t="s">
        <v>1000</v>
      </c>
      <c r="BK236" s="1939" t="s">
        <v>1000</v>
      </c>
      <c r="BL236" s="1934" t="s">
        <v>1000</v>
      </c>
      <c r="BM236" s="1932" t="s">
        <v>1000</v>
      </c>
      <c r="BN236" s="1938" t="s">
        <v>1000</v>
      </c>
      <c r="BO236" s="1938" t="s">
        <v>1000</v>
      </c>
      <c r="BP236" s="1939" t="s">
        <v>1000</v>
      </c>
      <c r="BQ236" s="1934" t="s">
        <v>1000</v>
      </c>
      <c r="BR236" s="1345"/>
      <c r="BS236" s="91"/>
      <c r="BT236" s="1099"/>
      <c r="BU236" s="1273"/>
      <c r="BV236" s="91"/>
      <c r="BW236" s="91"/>
      <c r="BX236" s="91"/>
      <c r="BY236" s="91"/>
      <c r="BZ236" s="91"/>
      <c r="CA236" s="91"/>
      <c r="CB236" s="91"/>
      <c r="CC236" s="91"/>
      <c r="CD236" s="91"/>
      <c r="CE236" s="91"/>
      <c r="CF236" s="91"/>
      <c r="CG236" s="91"/>
      <c r="CH236" s="91"/>
      <c r="CI236" s="91"/>
      <c r="CJ236" s="91"/>
      <c r="CK236" s="91"/>
      <c r="CL236" s="91"/>
      <c r="CM236" s="91"/>
      <c r="CN236" s="91"/>
      <c r="CO236" s="91"/>
      <c r="CP236" s="91"/>
      <c r="CQ236" s="91"/>
      <c r="CR236" s="1018"/>
      <c r="CS236" s="1018"/>
      <c r="CT236" s="821"/>
      <c r="CU236" s="12"/>
      <c r="CV236" s="12"/>
      <c r="CW236" s="12"/>
      <c r="CX236" s="12"/>
      <c r="CY236" s="12"/>
      <c r="CZ236" s="91"/>
      <c r="DA236" s="91"/>
      <c r="DB236" s="91"/>
      <c r="DC236" s="91"/>
      <c r="DD236" s="91"/>
      <c r="DE236" s="91"/>
      <c r="DF236" s="12"/>
      <c r="DG236" s="12"/>
      <c r="DH236" s="12"/>
      <c r="DI236" s="12"/>
      <c r="DJ236" s="12"/>
      <c r="DK236" s="12"/>
      <c r="DL236" s="12"/>
      <c r="DM236" s="12"/>
      <c r="DN236" s="12"/>
    </row>
    <row r="237" spans="1:118">
      <c r="A237" s="91"/>
      <c r="B237" s="88"/>
      <c r="C237" s="1184" t="s">
        <v>999</v>
      </c>
      <c r="D237" s="88"/>
      <c r="E237" s="350"/>
      <c r="F237" s="99"/>
      <c r="G237" s="99"/>
      <c r="H237" s="351"/>
      <c r="I237" s="93"/>
      <c r="J237" s="106"/>
      <c r="K237" s="99"/>
      <c r="L237" s="99"/>
      <c r="M237" s="351"/>
      <c r="N237" s="93"/>
      <c r="O237" s="106"/>
      <c r="P237" s="76"/>
      <c r="Q237" s="76"/>
      <c r="R237" s="107"/>
      <c r="S237" s="93"/>
      <c r="T237" s="1081"/>
      <c r="U237" s="1082"/>
      <c r="V237" s="1082"/>
      <c r="W237" s="1348"/>
      <c r="X237" s="255"/>
      <c r="Y237" s="1081"/>
      <c r="Z237" s="246"/>
      <c r="AA237" s="246"/>
      <c r="AB237" s="1053"/>
      <c r="AC237" s="1935" t="s">
        <v>1000</v>
      </c>
      <c r="AD237" s="1932" t="s">
        <v>1000</v>
      </c>
      <c r="AE237" s="1938" t="s">
        <v>1000</v>
      </c>
      <c r="AF237" s="1938" t="s">
        <v>1000</v>
      </c>
      <c r="AG237" s="1939" t="s">
        <v>1000</v>
      </c>
      <c r="AH237" s="1935" t="s">
        <v>1000</v>
      </c>
      <c r="AI237" s="1932" t="s">
        <v>1000</v>
      </c>
      <c r="AJ237" s="1938" t="s">
        <v>1000</v>
      </c>
      <c r="AK237" s="1938" t="s">
        <v>1000</v>
      </c>
      <c r="AL237" s="1939" t="s">
        <v>1000</v>
      </c>
      <c r="AM237" s="1935" t="s">
        <v>1000</v>
      </c>
      <c r="AN237" s="1932" t="s">
        <v>1000</v>
      </c>
      <c r="AO237" s="1929">
        <f>(134-AP222)*(3675/AO236)+(134)*(2475/AO236)+(134-AP232)*(1735/AO236)</f>
        <v>81.194191502853513</v>
      </c>
      <c r="AP237" s="1938">
        <f>(134-AP222)*(3675/AP236)+(134)*(2475/AP236)+(134-AP232)*(1735/AP236)</f>
        <v>81.194191502853513</v>
      </c>
      <c r="AQ237" s="1930">
        <f>(134-AQ222)*(3675/AQ236)+(134)*(2475/AQ236)+(134-AQ232)*(1735/AQ236)</f>
        <v>81.194191502853513</v>
      </c>
      <c r="AR237" s="1086">
        <f>AVERAGE(AN237:AQ237)</f>
        <v>81.194191502853513</v>
      </c>
      <c r="AS237" s="1931">
        <f>(134-AS222)*(3675/AS236)+(134)*(2475/AS236)+(134-AS232)*(1735/AS236)</f>
        <v>71.351612766856903</v>
      </c>
      <c r="AT237" s="1583">
        <f>2/3*AS237+1/3*AU237</f>
        <v>66.222685779331712</v>
      </c>
      <c r="AU237" s="1929">
        <f>(151.5-AU222)*(3565/9810)+(151.5-AU232)*(4245/9810)+151.5*(2000/9810)</f>
        <v>55.964831804281346</v>
      </c>
      <c r="AV237" s="1930">
        <f>(151.5-AV222)*(3565/9810)+(151.5-AV232)*(4245/9810)+151.5*(2000/9810)</f>
        <v>55.964831804281346</v>
      </c>
      <c r="AW237" s="1086">
        <f>AVERAGE(AS237:AV237)</f>
        <v>62.37599053868783</v>
      </c>
      <c r="AX237" s="1931">
        <f>(151.5-AX222)*(3565/9810)+(151.5-AX232)*(4245/9810)+151.5*(2000/9810)</f>
        <v>55.964831804281346</v>
      </c>
      <c r="AY237" s="1583">
        <f>2/3*AX237</f>
        <v>37.309887869520892</v>
      </c>
      <c r="AZ237" s="1938" t="s">
        <v>1000</v>
      </c>
      <c r="BA237" s="1939" t="s">
        <v>1000</v>
      </c>
      <c r="BB237" s="1086">
        <f>AVERAGE(AX237:BA237)</f>
        <v>46.637359836901119</v>
      </c>
      <c r="BC237" s="1932" t="s">
        <v>1000</v>
      </c>
      <c r="BD237" s="1938" t="s">
        <v>1000</v>
      </c>
      <c r="BE237" s="1938" t="s">
        <v>1000</v>
      </c>
      <c r="BF237" s="1939" t="s">
        <v>1000</v>
      </c>
      <c r="BG237" s="1935" t="s">
        <v>1000</v>
      </c>
      <c r="BH237" s="1932" t="s">
        <v>1000</v>
      </c>
      <c r="BI237" s="1938" t="s">
        <v>1000</v>
      </c>
      <c r="BJ237" s="1938" t="s">
        <v>1000</v>
      </c>
      <c r="BK237" s="1939" t="s">
        <v>1000</v>
      </c>
      <c r="BL237" s="1935" t="s">
        <v>1000</v>
      </c>
      <c r="BM237" s="1932" t="s">
        <v>1000</v>
      </c>
      <c r="BN237" s="1938" t="s">
        <v>1000</v>
      </c>
      <c r="BO237" s="1938" t="s">
        <v>1000</v>
      </c>
      <c r="BP237" s="1939" t="s">
        <v>1000</v>
      </c>
      <c r="BQ237" s="1935" t="s">
        <v>1000</v>
      </c>
      <c r="BR237" s="1345"/>
      <c r="BS237" s="91"/>
      <c r="BT237" s="1099"/>
      <c r="BU237" s="1273"/>
      <c r="BV237" s="91"/>
      <c r="BW237" s="91"/>
      <c r="BX237" s="91"/>
      <c r="BY237" s="91"/>
      <c r="BZ237" s="91"/>
      <c r="CA237" s="91"/>
      <c r="CB237" s="91"/>
      <c r="CC237" s="91"/>
      <c r="CD237" s="91"/>
      <c r="CE237" s="91"/>
      <c r="CF237" s="91"/>
      <c r="CG237" s="91"/>
      <c r="CH237" s="91"/>
      <c r="CI237" s="91"/>
      <c r="CJ237" s="91"/>
      <c r="CK237" s="91"/>
      <c r="CL237" s="91"/>
      <c r="CM237" s="91"/>
      <c r="CN237" s="91"/>
      <c r="CO237" s="91"/>
      <c r="CP237" s="91"/>
      <c r="CQ237" s="91"/>
      <c r="CR237" s="1018"/>
      <c r="CS237" s="1018"/>
      <c r="CT237" s="821"/>
      <c r="CU237" s="12"/>
      <c r="CV237" s="12"/>
      <c r="CW237" s="12"/>
      <c r="CX237" s="12"/>
      <c r="CY237" s="12"/>
      <c r="CZ237" s="91"/>
      <c r="DA237" s="91"/>
      <c r="DB237" s="91"/>
      <c r="DC237" s="91"/>
      <c r="DD237" s="91"/>
      <c r="DE237" s="91"/>
      <c r="DF237" s="12"/>
      <c r="DG237" s="12"/>
      <c r="DH237" s="12"/>
      <c r="DI237" s="12"/>
      <c r="DJ237" s="12"/>
      <c r="DK237" s="12"/>
      <c r="DL237" s="12"/>
      <c r="DM237" s="12"/>
      <c r="DN237" s="12"/>
    </row>
    <row r="238" spans="1:118">
      <c r="A238" s="91"/>
      <c r="B238" s="88"/>
      <c r="C238" s="1186" t="s">
        <v>582</v>
      </c>
      <c r="D238" s="88"/>
      <c r="E238" s="350"/>
      <c r="F238" s="99"/>
      <c r="G238" s="99"/>
      <c r="H238" s="351"/>
      <c r="I238" s="93"/>
      <c r="J238" s="106"/>
      <c r="K238" s="99"/>
      <c r="L238" s="99"/>
      <c r="M238" s="351"/>
      <c r="N238" s="93"/>
      <c r="O238" s="106"/>
      <c r="P238" s="76"/>
      <c r="Q238" s="76"/>
      <c r="R238" s="107"/>
      <c r="S238" s="93"/>
      <c r="T238" s="1081"/>
      <c r="U238" s="1082"/>
      <c r="V238" s="1082"/>
      <c r="W238" s="1348"/>
      <c r="X238" s="255"/>
      <c r="Y238" s="1081"/>
      <c r="Z238" s="246"/>
      <c r="AA238" s="246"/>
      <c r="AB238" s="1053"/>
      <c r="AC238" s="1896">
        <v>0</v>
      </c>
      <c r="AD238" s="1931">
        <v>0</v>
      </c>
      <c r="AE238" s="1929">
        <v>0</v>
      </c>
      <c r="AF238" s="1929">
        <v>0</v>
      </c>
      <c r="AG238" s="1930">
        <v>0</v>
      </c>
      <c r="AH238" s="1896">
        <v>0</v>
      </c>
      <c r="AI238" s="1931">
        <v>0</v>
      </c>
      <c r="AJ238" s="1929">
        <v>0</v>
      </c>
      <c r="AK238" s="1929">
        <v>0</v>
      </c>
      <c r="AL238" s="1930">
        <v>0</v>
      </c>
      <c r="AM238" s="1896">
        <v>0</v>
      </c>
      <c r="AN238" s="1933">
        <v>0</v>
      </c>
      <c r="AO238" s="241">
        <f>AO236*AO237*365/4/1000000*1/3</f>
        <v>19.473242749999997</v>
      </c>
      <c r="AP238" s="1929">
        <f>AP236*AP237*365/4/1000000</f>
        <v>58.419728249999991</v>
      </c>
      <c r="AQ238" s="1059">
        <f>AQ236*AQ237*365/4/1000000</f>
        <v>58.419728249999991</v>
      </c>
      <c r="AR238" s="93">
        <f>SUM(AN238:AQ238)</f>
        <v>136.31269924999998</v>
      </c>
      <c r="AS238" s="240">
        <f>AS236*AS237*365/4/1000000</f>
        <v>51.337931333333337</v>
      </c>
      <c r="AT238" s="241">
        <f>2/3*AS238+1/3*AU238</f>
        <v>48.248535372833842</v>
      </c>
      <c r="AU238" s="241">
        <f>AU236*AU237*365/4/1000000</f>
        <v>42.06974345183486</v>
      </c>
      <c r="AV238" s="1059">
        <f>AV236*AV237*365/4/1000000</f>
        <v>42.06974345183486</v>
      </c>
      <c r="AW238" s="93">
        <f>SUM(AS238:AV238)</f>
        <v>183.72595360983689</v>
      </c>
      <c r="AX238" s="240">
        <f>AX236*AX237*365/4/1000000</f>
        <v>42.06974345183486</v>
      </c>
      <c r="AY238" s="241">
        <f>2/3*AX238</f>
        <v>28.046495634556571</v>
      </c>
      <c r="AZ238" s="1936">
        <v>0</v>
      </c>
      <c r="BA238" s="1937">
        <v>0</v>
      </c>
      <c r="BB238" s="93">
        <f>SUM(AX238:BA238)</f>
        <v>70.116239086391431</v>
      </c>
      <c r="BC238" s="1931">
        <v>0</v>
      </c>
      <c r="BD238" s="1929">
        <v>0</v>
      </c>
      <c r="BE238" s="1929">
        <v>0</v>
      </c>
      <c r="BF238" s="1930">
        <v>0</v>
      </c>
      <c r="BG238" s="1896">
        <v>0</v>
      </c>
      <c r="BH238" s="1931">
        <v>0</v>
      </c>
      <c r="BI238" s="1929">
        <v>0</v>
      </c>
      <c r="BJ238" s="1929">
        <v>0</v>
      </c>
      <c r="BK238" s="1930">
        <v>0</v>
      </c>
      <c r="BL238" s="1896">
        <v>0</v>
      </c>
      <c r="BM238" s="1931">
        <v>0</v>
      </c>
      <c r="BN238" s="1929">
        <v>0</v>
      </c>
      <c r="BO238" s="1929">
        <v>0</v>
      </c>
      <c r="BP238" s="1930">
        <v>0</v>
      </c>
      <c r="BQ238" s="1896">
        <v>0</v>
      </c>
      <c r="BR238" s="1345"/>
      <c r="BS238" s="91"/>
      <c r="BT238" s="1099"/>
      <c r="BU238" s="1273"/>
      <c r="BV238" s="91"/>
      <c r="BW238" s="91"/>
      <c r="BX238" s="91"/>
      <c r="BY238" s="91"/>
      <c r="BZ238" s="91"/>
      <c r="CA238" s="91"/>
      <c r="CB238" s="91"/>
      <c r="CC238" s="91"/>
      <c r="CD238" s="91"/>
      <c r="CE238" s="91"/>
      <c r="CF238" s="91"/>
      <c r="CG238" s="91"/>
      <c r="CH238" s="91"/>
      <c r="CI238" s="91"/>
      <c r="CJ238" s="91"/>
      <c r="CK238" s="91"/>
      <c r="CL238" s="91"/>
      <c r="CM238" s="91"/>
      <c r="CN238" s="91"/>
      <c r="CO238" s="91"/>
      <c r="CP238" s="91"/>
      <c r="CQ238" s="91"/>
      <c r="CR238" s="1018"/>
      <c r="CS238" s="1018"/>
      <c r="CT238" s="821"/>
      <c r="CU238" s="12"/>
      <c r="CV238" s="12"/>
      <c r="CW238" s="12"/>
      <c r="CX238" s="12"/>
      <c r="CY238" s="12"/>
      <c r="CZ238" s="91"/>
      <c r="DA238" s="91"/>
      <c r="DB238" s="91"/>
      <c r="DC238" s="91"/>
      <c r="DD238" s="91"/>
      <c r="DE238" s="91"/>
      <c r="DF238" s="12"/>
      <c r="DG238" s="12"/>
      <c r="DH238" s="12"/>
      <c r="DI238" s="12"/>
      <c r="DJ238" s="12"/>
      <c r="DK238" s="12"/>
      <c r="DL238" s="12"/>
      <c r="DM238" s="12"/>
      <c r="DN238" s="12"/>
    </row>
    <row r="239" spans="1:118">
      <c r="A239" s="91"/>
      <c r="B239" s="88"/>
      <c r="C239" s="1186"/>
      <c r="D239" s="88"/>
      <c r="E239" s="350"/>
      <c r="F239" s="99"/>
      <c r="G239" s="99"/>
      <c r="H239" s="351"/>
      <c r="I239" s="93"/>
      <c r="J239" s="106"/>
      <c r="K239" s="99"/>
      <c r="L239" s="99"/>
      <c r="M239" s="351"/>
      <c r="N239" s="93"/>
      <c r="O239" s="106"/>
      <c r="P239" s="76"/>
      <c r="Q239" s="76"/>
      <c r="R239" s="107"/>
      <c r="S239" s="93"/>
      <c r="T239" s="1081"/>
      <c r="U239" s="1082"/>
      <c r="V239" s="1082"/>
      <c r="W239" s="1348"/>
      <c r="X239" s="255"/>
      <c r="Y239" s="1081"/>
      <c r="Z239" s="246"/>
      <c r="AA239" s="246"/>
      <c r="AB239" s="1053"/>
      <c r="AC239" s="255"/>
      <c r="AD239" s="245"/>
      <c r="AE239" s="246"/>
      <c r="AF239" s="246"/>
      <c r="AG239" s="1053"/>
      <c r="AH239" s="255"/>
      <c r="AI239" s="245"/>
      <c r="AJ239" s="246"/>
      <c r="AK239" s="246"/>
      <c r="AL239" s="1053"/>
      <c r="AM239" s="255"/>
      <c r="AN239" s="245"/>
      <c r="AO239" s="246"/>
      <c r="AP239" s="246"/>
      <c r="AQ239" s="1053"/>
      <c r="AR239" s="255"/>
      <c r="AS239" s="245"/>
      <c r="AT239" s="246"/>
      <c r="AU239" s="246"/>
      <c r="AV239" s="1053"/>
      <c r="AW239" s="255"/>
      <c r="AX239" s="245"/>
      <c r="AY239" s="246"/>
      <c r="AZ239" s="246"/>
      <c r="BA239" s="1053"/>
      <c r="BB239" s="255"/>
      <c r="BC239" s="245"/>
      <c r="BD239" s="246"/>
      <c r="BE239" s="246"/>
      <c r="BF239" s="1053"/>
      <c r="BG239" s="255"/>
      <c r="BH239" s="245"/>
      <c r="BI239" s="246"/>
      <c r="BJ239" s="246"/>
      <c r="BK239" s="1053"/>
      <c r="BL239" s="255"/>
      <c r="BM239" s="245"/>
      <c r="BN239" s="246"/>
      <c r="BO239" s="246"/>
      <c r="BP239" s="1053"/>
      <c r="BQ239" s="255"/>
      <c r="BR239" s="1345"/>
      <c r="BS239" s="91"/>
      <c r="BT239" s="1099"/>
      <c r="BU239" s="1273"/>
      <c r="BV239" s="91"/>
      <c r="BW239" s="91"/>
      <c r="BX239" s="91"/>
      <c r="BY239" s="91"/>
      <c r="BZ239" s="91"/>
      <c r="CA239" s="91"/>
      <c r="CB239" s="91"/>
      <c r="CC239" s="91"/>
      <c r="CD239" s="91"/>
      <c r="CE239" s="91"/>
      <c r="CF239" s="91"/>
      <c r="CG239" s="91"/>
      <c r="CH239" s="91"/>
      <c r="CI239" s="91"/>
      <c r="CJ239" s="91"/>
      <c r="CK239" s="91"/>
      <c r="CL239" s="91"/>
      <c r="CM239" s="91"/>
      <c r="CN239" s="91"/>
      <c r="CO239" s="91"/>
      <c r="CP239" s="91"/>
      <c r="CQ239" s="91"/>
      <c r="CR239" s="1018"/>
      <c r="CS239" s="1018"/>
      <c r="CT239" s="821"/>
      <c r="CU239" s="12"/>
      <c r="CV239" s="12"/>
      <c r="CW239" s="12"/>
      <c r="CX239" s="12"/>
      <c r="CY239" s="12"/>
      <c r="CZ239" s="91"/>
      <c r="DA239" s="91"/>
      <c r="DB239" s="91"/>
      <c r="DC239" s="91"/>
      <c r="DD239" s="91"/>
      <c r="DE239" s="91"/>
      <c r="DF239" s="12"/>
      <c r="DG239" s="12"/>
      <c r="DH239" s="12"/>
      <c r="DI239" s="12"/>
      <c r="DJ239" s="12"/>
      <c r="DK239" s="12"/>
      <c r="DL239" s="12"/>
      <c r="DM239" s="12"/>
      <c r="DN239" s="12"/>
    </row>
    <row r="240" spans="1:118">
      <c r="A240" s="91"/>
      <c r="B240" s="88"/>
      <c r="C240" s="1186" t="s">
        <v>612</v>
      </c>
      <c r="D240" s="87"/>
      <c r="E240" s="350"/>
      <c r="F240" s="99"/>
      <c r="G240" s="99"/>
      <c r="H240" s="351"/>
      <c r="I240" s="93"/>
      <c r="J240" s="106"/>
      <c r="K240" s="99"/>
      <c r="L240" s="99"/>
      <c r="M240" s="351"/>
      <c r="N240" s="93"/>
      <c r="O240" s="106"/>
      <c r="P240" s="76"/>
      <c r="Q240" s="76"/>
      <c r="R240" s="107"/>
      <c r="S240" s="1097"/>
      <c r="T240" s="1063"/>
      <c r="U240" s="1064"/>
      <c r="V240" s="1064"/>
      <c r="W240" s="1065"/>
      <c r="X240" s="93"/>
      <c r="Y240" s="1063">
        <f>+Y233+Y228+Y223</f>
        <v>34.773805500000009</v>
      </c>
      <c r="Z240" s="241">
        <f>+Z233+Z228+Z223</f>
        <v>40.990462383333337</v>
      </c>
      <c r="AA240" s="241">
        <f>+AA233+AA228+AA223</f>
        <v>53.423776150000002</v>
      </c>
      <c r="AB240" s="1059">
        <f>+AB233+AB228+AB223</f>
        <v>44.633296825000002</v>
      </c>
      <c r="AC240" s="93">
        <f>SUM(Y240:AB240)</f>
        <v>173.82134085833334</v>
      </c>
      <c r="AD240" s="240">
        <f>+AD233+AD228+AD223</f>
        <v>32.558159687499995</v>
      </c>
      <c r="AE240" s="241">
        <f>+AE233+AE228+AE223</f>
        <v>65.866959618055546</v>
      </c>
      <c r="AF240" s="241">
        <f>+AF233+AF228+AF223</f>
        <v>119.72263256249998</v>
      </c>
      <c r="AG240" s="1059">
        <f>+AG233+AG228+AG223</f>
        <v>119.72263256249998</v>
      </c>
      <c r="AH240" s="93">
        <f>SUM(AD240:AG240)</f>
        <v>337.87038443055553</v>
      </c>
      <c r="AI240" s="240">
        <f>+AI233+AI228+AI223</f>
        <v>120.90591693749998</v>
      </c>
      <c r="AJ240" s="241">
        <f>+AJ233+AJ228+AJ223</f>
        <v>172.1970273888889</v>
      </c>
      <c r="AK240" s="241">
        <f>+AK233+AK228+AK223</f>
        <v>294.99978899999996</v>
      </c>
      <c r="AL240" s="1059">
        <f>+AL233+AL228+AL223</f>
        <v>294.99978899999996</v>
      </c>
      <c r="AM240" s="93">
        <f>SUM(AI240:AL240)</f>
        <v>883.10252232638879</v>
      </c>
      <c r="AN240" s="240">
        <f>+AN233+AN228+AN223+AN238</f>
        <v>294.99978899999996</v>
      </c>
      <c r="AO240" s="241">
        <f t="shared" ref="AO240:BK240" si="427">+AO233+AO228+AO223+AO238</f>
        <v>233.34056502962957</v>
      </c>
      <c r="AP240" s="241">
        <f t="shared" si="427"/>
        <v>138.31232376666665</v>
      </c>
      <c r="AQ240" s="1059">
        <f t="shared" si="427"/>
        <v>138.31232376666665</v>
      </c>
      <c r="AR240" s="93">
        <f>SUM(AN240:AQ240)</f>
        <v>804.96500156296281</v>
      </c>
      <c r="AS240" s="240">
        <f t="shared" si="427"/>
        <v>139.23329501111112</v>
      </c>
      <c r="AT240" s="241">
        <f t="shared" si="427"/>
        <v>136.48733660801901</v>
      </c>
      <c r="AU240" s="241">
        <f t="shared" si="427"/>
        <v>131.32319345183487</v>
      </c>
      <c r="AV240" s="1059">
        <f t="shared" si="427"/>
        <v>131.32319345183487</v>
      </c>
      <c r="AW240" s="93">
        <f>SUM(AS240:AV240)</f>
        <v>538.36701852279987</v>
      </c>
      <c r="AX240" s="240">
        <f t="shared" si="427"/>
        <v>131.32319345183487</v>
      </c>
      <c r="AY240" s="241">
        <f t="shared" si="427"/>
        <v>125.10415764844547</v>
      </c>
      <c r="AZ240" s="241">
        <f t="shared" si="427"/>
        <v>110.47910885</v>
      </c>
      <c r="BA240" s="1059">
        <f t="shared" si="427"/>
        <v>110.47910885</v>
      </c>
      <c r="BB240" s="93">
        <f>SUM(AX240:BA240)</f>
        <v>477.38556880028034</v>
      </c>
      <c r="BC240" s="240">
        <f t="shared" si="427"/>
        <v>110.47910885</v>
      </c>
      <c r="BD240" s="241">
        <f t="shared" si="427"/>
        <v>96.002905900000016</v>
      </c>
      <c r="BE240" s="241">
        <f t="shared" si="427"/>
        <v>67.0505</v>
      </c>
      <c r="BF240" s="1059">
        <f t="shared" si="427"/>
        <v>67.0505</v>
      </c>
      <c r="BG240" s="93">
        <f>SUM(BC240:BF240)</f>
        <v>340.58301475000002</v>
      </c>
      <c r="BH240" s="240">
        <f t="shared" si="427"/>
        <v>67.0505</v>
      </c>
      <c r="BI240" s="241">
        <f t="shared" si="427"/>
        <v>67.0505</v>
      </c>
      <c r="BJ240" s="241">
        <f t="shared" si="427"/>
        <v>51.313747650000003</v>
      </c>
      <c r="BK240" s="1059">
        <f t="shared" si="427"/>
        <v>51.313747650000003</v>
      </c>
      <c r="BL240" s="93">
        <f>SUM(BH240:BK240)</f>
        <v>236.72849530000002</v>
      </c>
      <c r="BM240" s="240">
        <f t="shared" ref="BM240:BP240" si="428">+BM233+BM228+BM223+BM238</f>
        <v>109.12359375</v>
      </c>
      <c r="BN240" s="241">
        <f t="shared" si="428"/>
        <v>109.12359375</v>
      </c>
      <c r="BO240" s="241">
        <f t="shared" si="428"/>
        <v>109.12359375</v>
      </c>
      <c r="BP240" s="1059">
        <f t="shared" si="428"/>
        <v>109.12359375</v>
      </c>
      <c r="BQ240" s="93">
        <f>SUM(BM240:BP240)</f>
        <v>436.49437499999999</v>
      </c>
      <c r="BR240" s="124"/>
      <c r="BS240" s="91"/>
      <c r="BV240" s="91"/>
      <c r="BW240" s="91"/>
      <c r="BX240" s="91"/>
      <c r="BY240" s="91"/>
      <c r="BZ240" s="91"/>
      <c r="CA240" s="91"/>
      <c r="CB240" s="91"/>
      <c r="CC240" s="91"/>
      <c r="CD240" s="91"/>
      <c r="CE240" s="91"/>
      <c r="CF240" s="91"/>
      <c r="CG240" s="91"/>
      <c r="CH240" s="91"/>
      <c r="CI240" s="91"/>
      <c r="CJ240" s="91"/>
      <c r="CK240" s="91"/>
      <c r="CL240" s="91"/>
      <c r="CM240" s="91"/>
      <c r="CN240" s="91"/>
      <c r="CO240" s="91"/>
      <c r="CP240" s="91"/>
      <c r="CQ240" s="91"/>
      <c r="CR240" s="1018"/>
      <c r="CS240" s="1018"/>
      <c r="CT240" s="821"/>
      <c r="CU240" s="12"/>
      <c r="CV240" s="12"/>
      <c r="CW240" s="12"/>
      <c r="CX240" s="12"/>
      <c r="CY240" s="12"/>
      <c r="CZ240" s="91"/>
      <c r="DA240" s="91"/>
      <c r="DB240" s="91"/>
      <c r="DC240" s="91"/>
      <c r="DD240" s="91"/>
      <c r="DE240" s="91"/>
      <c r="DF240" s="12"/>
      <c r="DG240" s="12"/>
      <c r="DH240" s="12"/>
      <c r="DI240" s="12"/>
      <c r="DJ240" s="12"/>
      <c r="DK240" s="12"/>
      <c r="DL240" s="12"/>
      <c r="DM240" s="12"/>
      <c r="DN240" s="12"/>
    </row>
    <row r="241" spans="1:118" s="12" customFormat="1">
      <c r="A241" s="91"/>
      <c r="B241" s="87"/>
      <c r="C241" s="1179" t="s">
        <v>614</v>
      </c>
      <c r="D241" s="87"/>
      <c r="E241" s="350"/>
      <c r="F241" s="99"/>
      <c r="G241" s="99"/>
      <c r="H241" s="351"/>
      <c r="I241" s="96"/>
      <c r="J241" s="104"/>
      <c r="K241" s="99"/>
      <c r="L241" s="99"/>
      <c r="M241" s="351"/>
      <c r="N241" s="96"/>
      <c r="O241" s="104"/>
      <c r="P241" s="77"/>
      <c r="Q241" s="77"/>
      <c r="R241" s="102"/>
      <c r="S241" s="96"/>
      <c r="T241" s="1081"/>
      <c r="U241" s="1082"/>
      <c r="V241" s="1082"/>
      <c r="W241" s="1083"/>
      <c r="X241" s="255"/>
      <c r="Y241" s="245"/>
      <c r="Z241" s="246"/>
      <c r="AA241" s="246"/>
      <c r="AB241" s="1053"/>
      <c r="AC241" s="255"/>
      <c r="AD241" s="245"/>
      <c r="AE241" s="246"/>
      <c r="AF241" s="246"/>
      <c r="AG241" s="1053"/>
      <c r="AH241" s="255">
        <f>+AH240-AC240</f>
        <v>164.04904357222219</v>
      </c>
      <c r="AI241" s="245"/>
      <c r="AJ241" s="246"/>
      <c r="AK241" s="246"/>
      <c r="AL241" s="1053"/>
      <c r="AM241" s="255">
        <f>+AM240-AH240</f>
        <v>545.23213789583326</v>
      </c>
      <c r="AN241" s="245"/>
      <c r="AO241" s="246"/>
      <c r="AP241" s="246"/>
      <c r="AQ241" s="1053"/>
      <c r="AR241" s="255">
        <f>+AR240-AM240</f>
        <v>-78.137520763425982</v>
      </c>
      <c r="AS241" s="245"/>
      <c r="AT241" s="246"/>
      <c r="AU241" s="246"/>
      <c r="AV241" s="1053"/>
      <c r="AW241" s="255">
        <f>+AW240-AR240</f>
        <v>-266.59798304016294</v>
      </c>
      <c r="AX241" s="245"/>
      <c r="AY241" s="246"/>
      <c r="AZ241" s="246"/>
      <c r="BA241" s="1053"/>
      <c r="BB241" s="255">
        <f>+BB240-AW240</f>
        <v>-60.981449722519528</v>
      </c>
      <c r="BC241" s="245"/>
      <c r="BD241" s="246"/>
      <c r="BE241" s="246"/>
      <c r="BF241" s="1053"/>
      <c r="BG241" s="255">
        <f>+BG240-BB240</f>
        <v>-136.80255405028032</v>
      </c>
      <c r="BH241" s="245"/>
      <c r="BI241" s="246"/>
      <c r="BJ241" s="246"/>
      <c r="BK241" s="1053"/>
      <c r="BL241" s="255">
        <f>+BL240-BG240</f>
        <v>-103.85451945</v>
      </c>
      <c r="BM241" s="245"/>
      <c r="BN241" s="246"/>
      <c r="BO241" s="246"/>
      <c r="BP241" s="1053"/>
      <c r="BQ241" s="255">
        <f>+BQ240-BL240</f>
        <v>199.76587969999997</v>
      </c>
      <c r="BR241" s="124"/>
      <c r="BT241"/>
      <c r="BU241"/>
      <c r="BV241" s="91"/>
      <c r="BW241" s="91"/>
      <c r="BX241" s="91"/>
      <c r="BY241" s="91"/>
      <c r="BZ241" s="91"/>
      <c r="CA241" s="91"/>
      <c r="CB241" s="91"/>
      <c r="CC241" s="91"/>
      <c r="CD241" s="91"/>
      <c r="CE241" s="91"/>
      <c r="CF241" s="91"/>
      <c r="CG241" s="91"/>
      <c r="CH241" s="91"/>
      <c r="CI241" s="91"/>
      <c r="CJ241" s="91"/>
      <c r="CK241" s="91"/>
      <c r="CL241" s="91"/>
      <c r="CM241" s="91"/>
      <c r="CN241" s="91"/>
      <c r="CO241" s="91"/>
      <c r="CP241" s="91"/>
      <c r="CQ241" s="91"/>
      <c r="CR241" s="1049"/>
      <c r="CS241" s="1049"/>
      <c r="CT241" s="1050"/>
      <c r="CZ241" s="91"/>
      <c r="DA241" s="91"/>
      <c r="DB241" s="91"/>
      <c r="DC241" s="91"/>
      <c r="DD241" s="91"/>
      <c r="DE241" s="91"/>
    </row>
    <row r="242" spans="1:118">
      <c r="A242" s="91"/>
      <c r="B242" s="88"/>
      <c r="C242" s="1186"/>
      <c r="D242" s="87"/>
      <c r="E242" s="350"/>
      <c r="F242" s="99"/>
      <c r="G242" s="99"/>
      <c r="H242" s="351"/>
      <c r="I242" s="93"/>
      <c r="J242" s="106"/>
      <c r="K242" s="99"/>
      <c r="L242" s="99"/>
      <c r="M242" s="351"/>
      <c r="N242" s="93"/>
      <c r="O242" s="106"/>
      <c r="P242" s="76"/>
      <c r="Q242" s="76"/>
      <c r="R242" s="107"/>
      <c r="S242" s="93"/>
      <c r="T242" s="1081"/>
      <c r="U242" s="1082"/>
      <c r="V242" s="1082"/>
      <c r="W242" s="1083"/>
      <c r="X242" s="255"/>
      <c r="Y242" s="245"/>
      <c r="Z242" s="246"/>
      <c r="AA242" s="246"/>
      <c r="AB242" s="1053"/>
      <c r="AC242" s="255"/>
      <c r="AD242" s="245"/>
      <c r="AE242" s="246"/>
      <c r="AF242" s="246"/>
      <c r="AG242" s="1053"/>
      <c r="AH242" s="255"/>
      <c r="AI242" s="245"/>
      <c r="AJ242" s="246"/>
      <c r="AK242" s="246"/>
      <c r="AL242" s="1053"/>
      <c r="AM242" s="255"/>
      <c r="AN242" s="245"/>
      <c r="AO242" s="246"/>
      <c r="AP242" s="246"/>
      <c r="AQ242" s="1053"/>
      <c r="AR242" s="255"/>
      <c r="AS242" s="245"/>
      <c r="AT242" s="246"/>
      <c r="AU242" s="246"/>
      <c r="AV242" s="1053"/>
      <c r="AW242" s="255"/>
      <c r="AX242" s="245"/>
      <c r="AY242" s="246"/>
      <c r="AZ242" s="246"/>
      <c r="BA242" s="1053"/>
      <c r="BB242" s="255"/>
      <c r="BC242" s="245"/>
      <c r="BD242" s="246"/>
      <c r="BE242" s="246"/>
      <c r="BF242" s="1053"/>
      <c r="BG242" s="255"/>
      <c r="BH242" s="245"/>
      <c r="BI242" s="246"/>
      <c r="BJ242" s="246"/>
      <c r="BK242" s="1053"/>
      <c r="BL242" s="255"/>
      <c r="BM242" s="245"/>
      <c r="BN242" s="246"/>
      <c r="BO242" s="246"/>
      <c r="BP242" s="1053"/>
      <c r="BQ242" s="255"/>
      <c r="BR242" s="124"/>
      <c r="BS242" s="91"/>
      <c r="BV242" s="91"/>
      <c r="BW242" s="91"/>
      <c r="BX242" s="91"/>
      <c r="BY242" s="91"/>
      <c r="BZ242" s="91"/>
      <c r="CA242" s="91"/>
      <c r="CB242" s="91"/>
      <c r="CC242" s="91"/>
      <c r="CD242" s="91"/>
      <c r="CE242" s="91"/>
      <c r="CF242" s="91"/>
      <c r="CG242" s="91"/>
      <c r="CH242" s="91"/>
      <c r="CI242" s="91"/>
      <c r="CJ242" s="91"/>
      <c r="CK242" s="91"/>
      <c r="CL242" s="91"/>
      <c r="CM242" s="91"/>
      <c r="CN242" s="91"/>
      <c r="CO242" s="91"/>
      <c r="CP242" s="91"/>
      <c r="CQ242" s="91"/>
      <c r="CR242" s="1018"/>
      <c r="CS242" s="1018"/>
      <c r="CT242" s="821"/>
      <c r="CU242" s="12"/>
      <c r="CV242" s="12"/>
      <c r="CW242" s="12"/>
      <c r="CX242" s="12"/>
      <c r="CY242" s="12"/>
      <c r="CZ242" s="91"/>
      <c r="DA242" s="91"/>
      <c r="DB242" s="91"/>
      <c r="DC242" s="91"/>
      <c r="DD242" s="91"/>
      <c r="DE242" s="91"/>
      <c r="DF242" s="12"/>
      <c r="DG242" s="12"/>
      <c r="DH242" s="12"/>
      <c r="DI242" s="12"/>
      <c r="DJ242" s="12"/>
      <c r="DK242" s="12"/>
      <c r="DL242" s="12"/>
      <c r="DM242" s="12"/>
      <c r="DN242" s="12"/>
    </row>
    <row r="243" spans="1:118">
      <c r="A243" s="91"/>
      <c r="B243" s="88"/>
      <c r="C243" s="1186" t="s">
        <v>694</v>
      </c>
      <c r="D243" s="87"/>
      <c r="E243" s="350"/>
      <c r="F243" s="99"/>
      <c r="G243" s="99"/>
      <c r="H243" s="351"/>
      <c r="I243" s="93"/>
      <c r="J243" s="106"/>
      <c r="K243" s="99"/>
      <c r="L243" s="99"/>
      <c r="M243" s="351"/>
      <c r="N243" s="93"/>
      <c r="O243" s="106"/>
      <c r="P243" s="76"/>
      <c r="Q243" s="76"/>
      <c r="R243" s="107"/>
      <c r="S243" s="93"/>
      <c r="T243" s="1081"/>
      <c r="U243" s="1082"/>
      <c r="V243" s="1082"/>
      <c r="W243" s="1083"/>
      <c r="X243" s="1096"/>
      <c r="Y243" s="245"/>
      <c r="Z243" s="246"/>
      <c r="AA243" s="246"/>
      <c r="AB243" s="1053"/>
      <c r="AC243" s="1096">
        <f>(AC240/AVERAGE(Y171:AB171))/365*1000000</f>
        <v>28.524024537550041</v>
      </c>
      <c r="AD243" s="245"/>
      <c r="AE243" s="246"/>
      <c r="AF243" s="246"/>
      <c r="AG243" s="1053"/>
      <c r="AH243" s="1096">
        <f>(AH240/AVERAGE(AD171:AG171))/365*1000000</f>
        <v>72.985278412923677</v>
      </c>
      <c r="AI243" s="245"/>
      <c r="AJ243" s="246"/>
      <c r="AK243" s="246"/>
      <c r="AL243" s="1053"/>
      <c r="AM243" s="1096">
        <f>(AM240/AVERAGE(AI171:AL171))/365*1000000</f>
        <v>190.76393323959454</v>
      </c>
      <c r="AN243" s="245"/>
      <c r="AO243" s="246"/>
      <c r="AP243" s="246"/>
      <c r="AQ243" s="1053"/>
      <c r="AR243" s="1096">
        <f>(AR240/AVERAGE(AN171:AQ171))/365*1000000</f>
        <v>173.88500874603213</v>
      </c>
      <c r="AS243" s="245"/>
      <c r="AT243" s="246"/>
      <c r="AU243" s="246"/>
      <c r="AV243" s="1053"/>
      <c r="AW243" s="1096">
        <f>(AW240/AVERAGE(AS171:AV171))/365*1000000</f>
        <v>120.01449413662959</v>
      </c>
      <c r="AX243" s="245"/>
      <c r="AY243" s="246"/>
      <c r="AZ243" s="246"/>
      <c r="BA243" s="1053"/>
      <c r="BB243" s="1096">
        <f>(BB240/AVERAGE(AX171:BA171))/365*1000000</f>
        <v>117.71268724201003</v>
      </c>
      <c r="BC243" s="245"/>
      <c r="BD243" s="246"/>
      <c r="BE243" s="246"/>
      <c r="BF243" s="1053"/>
      <c r="BG243" s="1096">
        <f>(BG240/AVERAGE(BC171:BF171))/365*1000000</f>
        <v>95.107955356232793</v>
      </c>
      <c r="BH243" s="245"/>
      <c r="BI243" s="246"/>
      <c r="BJ243" s="246"/>
      <c r="BK243" s="1053"/>
      <c r="BL243" s="1096">
        <f>(BL240/AVERAGE(BH171:BK171))/365*1000000</f>
        <v>66.106535521353592</v>
      </c>
      <c r="BM243" s="245"/>
      <c r="BN243" s="246"/>
      <c r="BO243" s="246"/>
      <c r="BP243" s="1053"/>
      <c r="BQ243" s="1096">
        <f>(BQ240/AVERAGE(BM171:BP171))/365*1000000</f>
        <v>121.89124452145549</v>
      </c>
      <c r="BR243" s="124"/>
      <c r="BS243" s="91"/>
      <c r="BV243" s="91"/>
      <c r="BW243" s="91"/>
      <c r="BX243" s="91"/>
      <c r="BY243" s="91"/>
      <c r="BZ243" s="91"/>
      <c r="CA243" s="91"/>
      <c r="CB243" s="91"/>
      <c r="CC243" s="91"/>
      <c r="CD243" s="91"/>
      <c r="CE243" s="91"/>
      <c r="CF243" s="91"/>
      <c r="CG243" s="91"/>
      <c r="CH243" s="91"/>
      <c r="CI243" s="91"/>
      <c r="CJ243" s="91"/>
      <c r="CK243" s="91"/>
      <c r="CL243" s="91"/>
      <c r="CM243" s="91"/>
      <c r="CN243" s="91"/>
      <c r="CO243" s="91"/>
      <c r="CP243" s="91"/>
      <c r="CQ243" s="91"/>
      <c r="CR243" s="1018"/>
      <c r="CS243" s="1018"/>
      <c r="CT243" s="821"/>
      <c r="CU243" s="12"/>
      <c r="CV243" s="12"/>
      <c r="CW243" s="12"/>
      <c r="CX243" s="12"/>
      <c r="CY243" s="12"/>
      <c r="CZ243" s="91"/>
      <c r="DA243" s="91"/>
      <c r="DB243" s="91"/>
      <c r="DC243" s="91"/>
      <c r="DD243" s="91"/>
      <c r="DE243" s="91"/>
      <c r="DF243" s="12"/>
      <c r="DG243" s="12"/>
      <c r="DH243" s="12"/>
      <c r="DI243" s="12"/>
      <c r="DJ243" s="12"/>
      <c r="DK243" s="12"/>
      <c r="DL243" s="12"/>
      <c r="DM243" s="12"/>
      <c r="DN243" s="12"/>
    </row>
    <row r="244" spans="1:118">
      <c r="A244" s="91"/>
      <c r="B244" s="88"/>
      <c r="C244" s="1186"/>
      <c r="D244" s="87"/>
      <c r="E244" s="350"/>
      <c r="F244" s="99"/>
      <c r="G244" s="99"/>
      <c r="H244" s="351"/>
      <c r="I244" s="93"/>
      <c r="J244" s="106"/>
      <c r="K244" s="99"/>
      <c r="L244" s="99"/>
      <c r="M244" s="351"/>
      <c r="N244" s="93"/>
      <c r="O244" s="106"/>
      <c r="P244" s="76"/>
      <c r="Q244" s="76"/>
      <c r="R244" s="107"/>
      <c r="S244" s="93"/>
      <c r="T244" s="1081"/>
      <c r="U244" s="1082"/>
      <c r="V244" s="1082"/>
      <c r="W244" s="1083"/>
      <c r="X244" s="255"/>
      <c r="Y244" s="245"/>
      <c r="Z244" s="246"/>
      <c r="AA244" s="246"/>
      <c r="AB244" s="1053"/>
      <c r="AC244" s="255"/>
      <c r="AD244" s="245"/>
      <c r="AE244" s="246"/>
      <c r="AF244" s="246"/>
      <c r="AG244" s="1053"/>
      <c r="AH244" s="255"/>
      <c r="AI244" s="245"/>
      <c r="AJ244" s="246"/>
      <c r="AK244" s="246"/>
      <c r="AL244" s="1053"/>
      <c r="AM244" s="255"/>
      <c r="AN244" s="245"/>
      <c r="AO244" s="246"/>
      <c r="AP244" s="246"/>
      <c r="AQ244" s="1053"/>
      <c r="AR244" s="255"/>
      <c r="AS244" s="245"/>
      <c r="AT244" s="246"/>
      <c r="AU244" s="246"/>
      <c r="AV244" s="1053"/>
      <c r="AW244" s="255"/>
      <c r="AX244" s="245"/>
      <c r="AY244" s="246"/>
      <c r="AZ244" s="246"/>
      <c r="BA244" s="1053"/>
      <c r="BB244" s="255"/>
      <c r="BC244" s="245"/>
      <c r="BD244" s="246"/>
      <c r="BE244" s="246"/>
      <c r="BF244" s="1053"/>
      <c r="BG244" s="255"/>
      <c r="BH244" s="245"/>
      <c r="BI244" s="246"/>
      <c r="BJ244" s="246"/>
      <c r="BK244" s="1053"/>
      <c r="BL244" s="255"/>
      <c r="BM244" s="245"/>
      <c r="BN244" s="246"/>
      <c r="BO244" s="246"/>
      <c r="BP244" s="1053"/>
      <c r="BQ244" s="255"/>
      <c r="BR244" s="124"/>
      <c r="BS244" s="91"/>
      <c r="BT244" s="1099"/>
      <c r="BU244" s="1273"/>
      <c r="BV244" s="91"/>
      <c r="BW244" s="91"/>
      <c r="BX244" s="91"/>
      <c r="BY244" s="91"/>
      <c r="BZ244" s="91"/>
      <c r="CA244" s="91"/>
      <c r="CB244" s="91"/>
      <c r="CC244" s="91"/>
      <c r="CD244" s="91"/>
      <c r="CE244" s="91"/>
      <c r="CF244" s="91"/>
      <c r="CG244" s="91"/>
      <c r="CH244" s="91"/>
      <c r="CI244" s="91"/>
      <c r="CJ244" s="91"/>
      <c r="CK244" s="91"/>
      <c r="CL244" s="91"/>
      <c r="CM244" s="91"/>
      <c r="CN244" s="91"/>
      <c r="CO244" s="91"/>
      <c r="CP244" s="91"/>
      <c r="CQ244" s="91"/>
      <c r="CR244" s="1018"/>
      <c r="CS244" s="1018"/>
      <c r="CT244" s="821"/>
      <c r="CU244" s="12"/>
      <c r="CV244" s="12"/>
      <c r="CW244" s="12"/>
      <c r="CX244" s="12"/>
      <c r="CY244" s="12"/>
      <c r="CZ244" s="91"/>
      <c r="DA244" s="91"/>
      <c r="DB244" s="91"/>
      <c r="DC244" s="91"/>
      <c r="DD244" s="91"/>
      <c r="DE244" s="91"/>
      <c r="DF244" s="12"/>
      <c r="DG244" s="12"/>
      <c r="DH244" s="12"/>
      <c r="DI244" s="12"/>
      <c r="DJ244" s="12"/>
      <c r="DK244" s="12"/>
      <c r="DL244" s="12"/>
      <c r="DM244" s="12"/>
      <c r="DN244" s="12"/>
    </row>
    <row r="245" spans="1:118">
      <c r="A245" s="91"/>
      <c r="B245" s="88"/>
      <c r="C245" s="1623" t="s">
        <v>462</v>
      </c>
      <c r="D245" s="1624"/>
      <c r="E245" s="1625"/>
      <c r="F245" s="1626"/>
      <c r="G245" s="1626"/>
      <c r="H245" s="1627"/>
      <c r="I245" s="1628"/>
      <c r="J245" s="1629"/>
      <c r="K245" s="1626"/>
      <c r="L245" s="1626"/>
      <c r="M245" s="1627"/>
      <c r="N245" s="1628"/>
      <c r="O245" s="1629"/>
      <c r="P245" s="1630"/>
      <c r="Q245" s="1630"/>
      <c r="R245" s="1631"/>
      <c r="S245" s="1628"/>
      <c r="T245" s="1632"/>
      <c r="U245" s="1633"/>
      <c r="V245" s="1633"/>
      <c r="W245" s="1634"/>
      <c r="X245" s="1635"/>
      <c r="Y245" s="1636"/>
      <c r="Z245" s="1637"/>
      <c r="AA245" s="1637"/>
      <c r="AB245" s="1638"/>
      <c r="AC245" s="1635"/>
      <c r="AD245" s="1636"/>
      <c r="AE245" s="1637"/>
      <c r="AF245" s="1637"/>
      <c r="AG245" s="1638"/>
      <c r="AH245" s="1639">
        <v>340</v>
      </c>
      <c r="AI245" s="1636"/>
      <c r="AJ245" s="1637"/>
      <c r="AK245" s="1637"/>
      <c r="AL245" s="1638"/>
      <c r="AM245" s="1639">
        <v>890</v>
      </c>
      <c r="AN245" s="1636"/>
      <c r="AO245" s="1637"/>
      <c r="AP245" s="1637"/>
      <c r="AQ245" s="1638"/>
      <c r="AR245" s="1639">
        <v>635</v>
      </c>
      <c r="AS245" s="1636"/>
      <c r="AT245" s="1637"/>
      <c r="AU245" s="1637"/>
      <c r="AV245" s="1638"/>
      <c r="AW245" s="1639">
        <v>330</v>
      </c>
      <c r="AX245" s="1636"/>
      <c r="AY245" s="1637"/>
      <c r="AZ245" s="1637"/>
      <c r="BA245" s="1638"/>
      <c r="BB245" s="1639"/>
      <c r="BC245" s="1636"/>
      <c r="BD245" s="1637"/>
      <c r="BE245" s="1637"/>
      <c r="BF245" s="1638"/>
      <c r="BG245" s="1639"/>
      <c r="BH245" s="245"/>
      <c r="BI245" s="246"/>
      <c r="BJ245" s="246"/>
      <c r="BK245" s="1053"/>
      <c r="BL245" s="255"/>
      <c r="BM245" s="245"/>
      <c r="BN245" s="246"/>
      <c r="BO245" s="246"/>
      <c r="BP245" s="1053"/>
      <c r="BQ245" s="255"/>
      <c r="BR245" s="124"/>
      <c r="BS245" s="91"/>
      <c r="BT245" s="12"/>
      <c r="BU245" s="91"/>
      <c r="BV245" s="91"/>
      <c r="BW245" s="91"/>
      <c r="BX245" s="91"/>
      <c r="BY245" s="91"/>
      <c r="BZ245" s="91"/>
      <c r="CA245" s="91"/>
      <c r="CB245" s="91"/>
      <c r="CC245" s="91"/>
      <c r="CD245" s="91"/>
      <c r="CE245" s="91"/>
      <c r="CF245" s="91"/>
      <c r="CG245" s="91"/>
      <c r="CH245" s="91"/>
      <c r="CI245" s="91"/>
      <c r="CJ245" s="91"/>
      <c r="CK245" s="91"/>
      <c r="CL245" s="91"/>
      <c r="CM245" s="91"/>
      <c r="CN245" s="91"/>
      <c r="CO245" s="91"/>
      <c r="CP245" s="91"/>
      <c r="CQ245" s="91"/>
      <c r="CR245" s="1018"/>
      <c r="CS245" s="1018"/>
      <c r="CT245" s="821"/>
      <c r="CU245" s="12"/>
      <c r="CV245" s="12"/>
      <c r="CW245" s="12"/>
      <c r="CX245" s="12"/>
      <c r="CY245" s="12"/>
      <c r="CZ245" s="91"/>
      <c r="DA245" s="91"/>
      <c r="DB245" s="91"/>
      <c r="DC245" s="91"/>
      <c r="DD245" s="91"/>
      <c r="DE245" s="91"/>
      <c r="DF245" s="12"/>
      <c r="DG245" s="12"/>
      <c r="DH245" s="12"/>
      <c r="DI245" s="12"/>
      <c r="DJ245" s="12"/>
      <c r="DK245" s="12"/>
      <c r="DL245" s="12"/>
      <c r="DM245" s="12"/>
      <c r="DN245" s="12"/>
    </row>
    <row r="246" spans="1:118">
      <c r="A246" s="91"/>
      <c r="B246" s="88"/>
      <c r="C246" s="1186"/>
      <c r="D246" s="87"/>
      <c r="E246" s="350"/>
      <c r="F246" s="99"/>
      <c r="G246" s="99"/>
      <c r="H246" s="351"/>
      <c r="I246" s="93"/>
      <c r="J246" s="106"/>
      <c r="K246" s="99"/>
      <c r="L246" s="99"/>
      <c r="M246" s="351"/>
      <c r="N246" s="93"/>
      <c r="O246" s="106"/>
      <c r="P246" s="76"/>
      <c r="Q246" s="76"/>
      <c r="R246" s="107"/>
      <c r="S246" s="93"/>
      <c r="T246" s="1081"/>
      <c r="U246" s="1082"/>
      <c r="V246" s="1082"/>
      <c r="W246" s="1083"/>
      <c r="X246" s="255"/>
      <c r="Y246" s="245"/>
      <c r="Z246" s="246"/>
      <c r="AA246" s="246"/>
      <c r="AB246" s="1053"/>
      <c r="AC246" s="255"/>
      <c r="AD246" s="245"/>
      <c r="AE246" s="246"/>
      <c r="AF246" s="246"/>
      <c r="AG246" s="1053"/>
      <c r="AH246" s="255"/>
      <c r="AI246" s="245"/>
      <c r="AJ246" s="246"/>
      <c r="AK246" s="246"/>
      <c r="AL246" s="1053"/>
      <c r="AM246" s="255"/>
      <c r="AN246" s="245"/>
      <c r="AO246" s="246"/>
      <c r="AP246" s="246"/>
      <c r="AQ246" s="1053"/>
      <c r="AR246" s="255"/>
      <c r="AS246" s="245"/>
      <c r="AT246" s="246"/>
      <c r="AU246" s="246"/>
      <c r="AV246" s="1053"/>
      <c r="AW246" s="255"/>
      <c r="AX246" s="245"/>
      <c r="AY246" s="246"/>
      <c r="AZ246" s="246"/>
      <c r="BA246" s="1053"/>
      <c r="BB246" s="255"/>
      <c r="BC246" s="245"/>
      <c r="BD246" s="246"/>
      <c r="BE246" s="246"/>
      <c r="BF246" s="1053"/>
      <c r="BG246" s="255"/>
      <c r="BH246" s="245"/>
      <c r="BI246" s="246"/>
      <c r="BJ246" s="246"/>
      <c r="BK246" s="1053"/>
      <c r="BL246" s="255"/>
      <c r="BM246" s="245"/>
      <c r="BN246" s="246"/>
      <c r="BO246" s="246"/>
      <c r="BP246" s="1053"/>
      <c r="BQ246" s="255"/>
      <c r="BR246" s="124"/>
      <c r="BS246" s="91"/>
      <c r="BT246" s="12"/>
      <c r="BU246" s="91"/>
      <c r="BV246" s="91"/>
      <c r="BW246" s="91"/>
      <c r="BX246" s="91"/>
      <c r="BY246" s="91"/>
      <c r="BZ246" s="91"/>
      <c r="CA246" s="91"/>
      <c r="CB246" s="91"/>
      <c r="CC246" s="91"/>
      <c r="CD246" s="91"/>
      <c r="CE246" s="91"/>
      <c r="CF246" s="91"/>
      <c r="CG246" s="91"/>
      <c r="CH246" s="91"/>
      <c r="CI246" s="91"/>
      <c r="CJ246" s="91"/>
      <c r="CK246" s="91"/>
      <c r="CL246" s="91"/>
      <c r="CM246" s="91"/>
      <c r="CN246" s="91"/>
      <c r="CO246" s="91"/>
      <c r="CP246" s="91"/>
      <c r="CQ246" s="91"/>
      <c r="CR246" s="1018"/>
      <c r="CS246" s="1018"/>
      <c r="CT246" s="821"/>
      <c r="CU246" s="12"/>
      <c r="CV246" s="12"/>
      <c r="CW246" s="12"/>
      <c r="CX246" s="12"/>
      <c r="CY246" s="12"/>
      <c r="CZ246" s="91"/>
      <c r="DA246" s="91"/>
      <c r="DB246" s="91"/>
      <c r="DC246" s="91"/>
      <c r="DD246" s="91"/>
      <c r="DE246" s="91"/>
      <c r="DF246" s="12"/>
      <c r="DG246" s="12"/>
      <c r="DH246" s="12"/>
      <c r="DI246" s="12"/>
      <c r="DJ246" s="12"/>
      <c r="DK246" s="12"/>
      <c r="DL246" s="12"/>
      <c r="DM246" s="12"/>
      <c r="DN246" s="12"/>
    </row>
    <row r="247" spans="1:118">
      <c r="A247" s="91"/>
      <c r="B247" s="807" t="s">
        <v>679</v>
      </c>
      <c r="C247" s="1247"/>
      <c r="D247" s="1017"/>
      <c r="E247" s="350"/>
      <c r="F247" s="99"/>
      <c r="G247" s="99"/>
      <c r="H247" s="351"/>
      <c r="I247" s="93"/>
      <c r="J247" s="106"/>
      <c r="K247" s="99"/>
      <c r="L247" s="99"/>
      <c r="M247" s="351"/>
      <c r="N247" s="93"/>
      <c r="O247" s="106"/>
      <c r="P247" s="76"/>
      <c r="Q247" s="76"/>
      <c r="R247" s="107"/>
      <c r="S247" s="93"/>
      <c r="T247" s="1081"/>
      <c r="U247" s="1082"/>
      <c r="V247" s="1082"/>
      <c r="W247" s="1083"/>
      <c r="X247" s="255"/>
      <c r="Y247" s="245"/>
      <c r="Z247" s="246"/>
      <c r="AA247" s="246"/>
      <c r="AB247" s="1053"/>
      <c r="AC247" s="255"/>
      <c r="AD247" s="245"/>
      <c r="AE247" s="246"/>
      <c r="AF247" s="246"/>
      <c r="AG247" s="1053"/>
      <c r="AH247" s="255"/>
      <c r="AI247" s="245"/>
      <c r="AJ247" s="246"/>
      <c r="AK247" s="246"/>
      <c r="AL247" s="1053"/>
      <c r="AM247" s="255"/>
      <c r="AN247" s="245"/>
      <c r="AO247" s="246"/>
      <c r="AP247" s="246"/>
      <c r="AQ247" s="1053"/>
      <c r="AR247" s="255"/>
      <c r="AS247" s="245"/>
      <c r="AT247" s="246"/>
      <c r="AU247" s="246"/>
      <c r="AV247" s="1053"/>
      <c r="AW247" s="255"/>
      <c r="AX247" s="245"/>
      <c r="AY247" s="246"/>
      <c r="AZ247" s="246"/>
      <c r="BA247" s="1053"/>
      <c r="BB247" s="255"/>
      <c r="BC247" s="245"/>
      <c r="BD247" s="246"/>
      <c r="BE247" s="246"/>
      <c r="BF247" s="1053"/>
      <c r="BG247" s="255"/>
      <c r="BH247" s="245"/>
      <c r="BI247" s="246"/>
      <c r="BJ247" s="246"/>
      <c r="BK247" s="1053"/>
      <c r="BL247" s="255"/>
      <c r="BM247" s="245"/>
      <c r="BN247" s="246"/>
      <c r="BO247" s="246"/>
      <c r="BP247" s="1053"/>
      <c r="BQ247" s="255"/>
      <c r="BR247" s="124"/>
      <c r="BS247" s="91"/>
      <c r="BT247" s="12"/>
      <c r="BU247" s="91"/>
      <c r="BV247" s="91"/>
      <c r="BW247" s="91"/>
      <c r="BX247" s="91"/>
      <c r="BY247" s="91"/>
      <c r="BZ247" s="91"/>
      <c r="CA247" s="91"/>
      <c r="CB247" s="91"/>
      <c r="CC247" s="91"/>
      <c r="CD247" s="91"/>
      <c r="CE247" s="91"/>
      <c r="CF247" s="91"/>
      <c r="CG247" s="91"/>
      <c r="CH247" s="91"/>
      <c r="CI247" s="91"/>
      <c r="CJ247" s="91"/>
      <c r="CK247" s="91"/>
      <c r="CL247" s="91"/>
      <c r="CM247" s="91"/>
      <c r="CN247" s="91"/>
      <c r="CO247" s="91"/>
      <c r="CP247" s="91"/>
      <c r="CQ247" s="91"/>
      <c r="CR247" s="1018"/>
      <c r="CS247" s="1018"/>
      <c r="CT247" s="821"/>
      <c r="CU247" s="12"/>
      <c r="CV247" s="12"/>
      <c r="CW247" s="12"/>
      <c r="CX247" s="12"/>
      <c r="CY247" s="12"/>
      <c r="CZ247" s="91"/>
      <c r="DA247" s="91"/>
      <c r="DB247" s="91"/>
      <c r="DC247" s="91"/>
      <c r="DD247" s="91"/>
      <c r="DE247" s="91"/>
      <c r="DF247" s="12"/>
      <c r="DG247" s="12"/>
      <c r="DH247" s="12"/>
      <c r="DI247" s="12"/>
      <c r="DJ247" s="12"/>
      <c r="DK247" s="12"/>
      <c r="DL247" s="12"/>
      <c r="DM247" s="12"/>
      <c r="DN247" s="12"/>
    </row>
    <row r="248" spans="1:118" s="12" customFormat="1">
      <c r="A248" s="91"/>
      <c r="B248" s="87"/>
      <c r="C248" s="1179" t="s">
        <v>674</v>
      </c>
      <c r="D248" s="87"/>
      <c r="E248" s="350"/>
      <c r="F248" s="99"/>
      <c r="G248" s="99"/>
      <c r="H248" s="351"/>
      <c r="I248" s="96"/>
      <c r="J248" s="104"/>
      <c r="K248" s="99"/>
      <c r="L248" s="99"/>
      <c r="M248" s="351"/>
      <c r="N248" s="96"/>
      <c r="O248" s="104"/>
      <c r="P248" s="77"/>
      <c r="Q248" s="77"/>
      <c r="R248" s="102"/>
      <c r="S248" s="96"/>
      <c r="T248" s="840"/>
      <c r="U248" s="841"/>
      <c r="V248" s="841"/>
      <c r="W248" s="842"/>
      <c r="X248" s="1022"/>
      <c r="Y248" s="840">
        <f t="shared" ref="Y248:AB249" si="429">+Z248</f>
        <v>28</v>
      </c>
      <c r="Z248" s="841">
        <f t="shared" si="429"/>
        <v>28</v>
      </c>
      <c r="AA248" s="841">
        <f t="shared" si="429"/>
        <v>28</v>
      </c>
      <c r="AB248" s="842">
        <f t="shared" si="429"/>
        <v>28</v>
      </c>
      <c r="AC248" s="1022">
        <v>28</v>
      </c>
      <c r="AD248" s="840">
        <f t="shared" ref="AD248:AG249" si="430">+AE248</f>
        <v>28</v>
      </c>
      <c r="AE248" s="841">
        <f t="shared" si="430"/>
        <v>28</v>
      </c>
      <c r="AF248" s="841">
        <f t="shared" si="430"/>
        <v>28</v>
      </c>
      <c r="AG248" s="842">
        <f t="shared" si="430"/>
        <v>28</v>
      </c>
      <c r="AH248" s="1022">
        <v>28</v>
      </c>
      <c r="AI248" s="840">
        <f t="shared" ref="AI248:AL249" si="431">+AJ248</f>
        <v>27</v>
      </c>
      <c r="AJ248" s="841">
        <f t="shared" si="431"/>
        <v>27</v>
      </c>
      <c r="AK248" s="841">
        <f t="shared" si="431"/>
        <v>27</v>
      </c>
      <c r="AL248" s="842">
        <f t="shared" si="431"/>
        <v>27</v>
      </c>
      <c r="AM248" s="1022">
        <v>27</v>
      </c>
      <c r="AN248" s="840">
        <f t="shared" ref="AN248:AS249" si="432">+AO248</f>
        <v>24</v>
      </c>
      <c r="AO248" s="841">
        <f t="shared" si="432"/>
        <v>24</v>
      </c>
      <c r="AP248" s="841">
        <f t="shared" si="432"/>
        <v>24</v>
      </c>
      <c r="AQ248" s="842">
        <f t="shared" si="432"/>
        <v>24</v>
      </c>
      <c r="AR248" s="1022">
        <v>24</v>
      </c>
      <c r="AS248" s="840">
        <f t="shared" si="432"/>
        <v>26</v>
      </c>
      <c r="AT248" s="841">
        <f t="shared" ref="AT248:AV249" si="433">+AU248</f>
        <v>26</v>
      </c>
      <c r="AU248" s="841">
        <f>+AV248</f>
        <v>26</v>
      </c>
      <c r="AV248" s="842">
        <f t="shared" si="433"/>
        <v>26</v>
      </c>
      <c r="AW248" s="1022">
        <v>26</v>
      </c>
      <c r="AX248" s="840">
        <f t="shared" ref="AX248:BA249" si="434">+AY248</f>
        <v>26</v>
      </c>
      <c r="AY248" s="841">
        <f t="shared" si="434"/>
        <v>26</v>
      </c>
      <c r="AZ248" s="841">
        <f t="shared" si="434"/>
        <v>26</v>
      </c>
      <c r="BA248" s="842">
        <f t="shared" si="434"/>
        <v>26</v>
      </c>
      <c r="BB248" s="1022">
        <f>+AW248</f>
        <v>26</v>
      </c>
      <c r="BC248" s="840">
        <f t="shared" ref="BC248:BF249" si="435">+BD248</f>
        <v>26</v>
      </c>
      <c r="BD248" s="841">
        <f t="shared" si="435"/>
        <v>26</v>
      </c>
      <c r="BE248" s="841">
        <f t="shared" si="435"/>
        <v>26</v>
      </c>
      <c r="BF248" s="842">
        <f t="shared" si="435"/>
        <v>26</v>
      </c>
      <c r="BG248" s="1022">
        <f>+BB248</f>
        <v>26</v>
      </c>
      <c r="BH248" s="840">
        <f t="shared" ref="BH248:BK249" si="436">+BI248</f>
        <v>26</v>
      </c>
      <c r="BI248" s="841">
        <f t="shared" si="436"/>
        <v>26</v>
      </c>
      <c r="BJ248" s="841">
        <f t="shared" si="436"/>
        <v>26</v>
      </c>
      <c r="BK248" s="842">
        <f t="shared" si="436"/>
        <v>26</v>
      </c>
      <c r="BL248" s="1022">
        <f>+BG248</f>
        <v>26</v>
      </c>
      <c r="BM248" s="840">
        <f t="shared" ref="BM248:BM249" si="437">+BN248</f>
        <v>26</v>
      </c>
      <c r="BN248" s="841">
        <f t="shared" ref="BN248:BN249" si="438">+BO248</f>
        <v>26</v>
      </c>
      <c r="BO248" s="841">
        <f t="shared" ref="BO248:BO249" si="439">+BP248</f>
        <v>26</v>
      </c>
      <c r="BP248" s="842">
        <f t="shared" ref="BP248:BP249" si="440">+BQ248</f>
        <v>26</v>
      </c>
      <c r="BQ248" s="2216">
        <f>+BL248</f>
        <v>26</v>
      </c>
      <c r="BR248" s="124"/>
      <c r="BS248" s="91"/>
      <c r="BU248" s="91"/>
      <c r="BV248" s="91"/>
      <c r="BW248" s="91"/>
      <c r="BX248" s="91"/>
      <c r="BY248" s="91"/>
      <c r="BZ248" s="91"/>
      <c r="CA248" s="91"/>
      <c r="CB248" s="91"/>
      <c r="CC248" s="91"/>
      <c r="CD248" s="91"/>
      <c r="CE248" s="91"/>
      <c r="CF248" s="91"/>
      <c r="CG248" s="91"/>
      <c r="CH248" s="91"/>
      <c r="CI248" s="91"/>
      <c r="CJ248" s="91"/>
      <c r="CK248" s="91"/>
      <c r="CL248" s="91"/>
      <c r="CM248" s="91"/>
      <c r="CN248" s="91"/>
      <c r="CO248" s="91"/>
      <c r="CP248" s="91"/>
      <c r="CQ248" s="91"/>
      <c r="CR248" s="1049"/>
      <c r="CS248" s="1049"/>
      <c r="CT248" s="1050"/>
      <c r="CZ248" s="91"/>
      <c r="DA248" s="91"/>
      <c r="DB248" s="91"/>
      <c r="DC248" s="91"/>
      <c r="DD248" s="91"/>
      <c r="DE248" s="91"/>
    </row>
    <row r="249" spans="1:118" s="12" customFormat="1">
      <c r="A249" s="91"/>
      <c r="B249" s="87"/>
      <c r="C249" s="1179" t="s">
        <v>675</v>
      </c>
      <c r="D249" s="87"/>
      <c r="E249" s="350"/>
      <c r="F249" s="99"/>
      <c r="G249" s="99"/>
      <c r="H249" s="351"/>
      <c r="I249" s="96"/>
      <c r="J249" s="104"/>
      <c r="K249" s="99"/>
      <c r="L249" s="99"/>
      <c r="M249" s="351"/>
      <c r="N249" s="96"/>
      <c r="O249" s="104"/>
      <c r="P249" s="77"/>
      <c r="Q249" s="77"/>
      <c r="R249" s="102"/>
      <c r="S249" s="96"/>
      <c r="T249" s="1121"/>
      <c r="U249" s="1122"/>
      <c r="V249" s="1122"/>
      <c r="W249" s="1120"/>
      <c r="X249" s="1119"/>
      <c r="Y249" s="1121">
        <f t="shared" si="429"/>
        <v>0.8</v>
      </c>
      <c r="Z249" s="1122">
        <f t="shared" si="429"/>
        <v>0.8</v>
      </c>
      <c r="AA249" s="1122">
        <f t="shared" si="429"/>
        <v>0.8</v>
      </c>
      <c r="AB249" s="1120">
        <f t="shared" si="429"/>
        <v>0.8</v>
      </c>
      <c r="AC249" s="1119">
        <v>0.8</v>
      </c>
      <c r="AD249" s="1121">
        <f t="shared" si="430"/>
        <v>1</v>
      </c>
      <c r="AE249" s="1122">
        <f t="shared" si="430"/>
        <v>1</v>
      </c>
      <c r="AF249" s="1122">
        <f t="shared" si="430"/>
        <v>1</v>
      </c>
      <c r="AG249" s="1120">
        <f t="shared" si="430"/>
        <v>1</v>
      </c>
      <c r="AH249" s="1119">
        <v>1</v>
      </c>
      <c r="AI249" s="1121">
        <f t="shared" si="431"/>
        <v>1</v>
      </c>
      <c r="AJ249" s="1122">
        <f t="shared" si="431"/>
        <v>1</v>
      </c>
      <c r="AK249" s="1122">
        <f t="shared" si="431"/>
        <v>1</v>
      </c>
      <c r="AL249" s="1120">
        <f t="shared" si="431"/>
        <v>1</v>
      </c>
      <c r="AM249" s="1119">
        <v>1</v>
      </c>
      <c r="AN249" s="1121">
        <f t="shared" si="432"/>
        <v>0.92500000000000004</v>
      </c>
      <c r="AO249" s="1122">
        <f t="shared" si="432"/>
        <v>0.92500000000000004</v>
      </c>
      <c r="AP249" s="1122">
        <f t="shared" si="432"/>
        <v>0.92500000000000004</v>
      </c>
      <c r="AQ249" s="1120">
        <f t="shared" si="432"/>
        <v>0.92500000000000004</v>
      </c>
      <c r="AR249" s="1119">
        <v>0.92500000000000004</v>
      </c>
      <c r="AS249" s="1121">
        <f t="shared" si="432"/>
        <v>0.82499999999999996</v>
      </c>
      <c r="AT249" s="1122">
        <f t="shared" si="433"/>
        <v>0.82499999999999996</v>
      </c>
      <c r="AU249" s="1122">
        <f t="shared" si="433"/>
        <v>0.82499999999999996</v>
      </c>
      <c r="AV249" s="1120">
        <f t="shared" si="433"/>
        <v>0.82499999999999996</v>
      </c>
      <c r="AW249" s="1119">
        <v>0.82499999999999996</v>
      </c>
      <c r="AX249" s="1121">
        <f t="shared" si="434"/>
        <v>0.75</v>
      </c>
      <c r="AY249" s="1122">
        <f t="shared" si="434"/>
        <v>0.75</v>
      </c>
      <c r="AZ249" s="1122">
        <f t="shared" si="434"/>
        <v>0.75</v>
      </c>
      <c r="BA249" s="1120">
        <f t="shared" si="434"/>
        <v>0.75</v>
      </c>
      <c r="BB249" s="1119">
        <v>0.75</v>
      </c>
      <c r="BC249" s="1121">
        <f t="shared" si="435"/>
        <v>0</v>
      </c>
      <c r="BD249" s="1122">
        <f t="shared" si="435"/>
        <v>0</v>
      </c>
      <c r="BE249" s="1122">
        <f t="shared" si="435"/>
        <v>0</v>
      </c>
      <c r="BF249" s="1120">
        <f t="shared" si="435"/>
        <v>0</v>
      </c>
      <c r="BG249" s="1119">
        <v>0</v>
      </c>
      <c r="BH249" s="1121">
        <f t="shared" si="436"/>
        <v>0</v>
      </c>
      <c r="BI249" s="1122">
        <f t="shared" si="436"/>
        <v>0</v>
      </c>
      <c r="BJ249" s="1122">
        <f t="shared" si="436"/>
        <v>0</v>
      </c>
      <c r="BK249" s="1120">
        <f t="shared" si="436"/>
        <v>0</v>
      </c>
      <c r="BL249" s="1119">
        <v>0</v>
      </c>
      <c r="BM249" s="1121">
        <f t="shared" si="437"/>
        <v>0</v>
      </c>
      <c r="BN249" s="1122">
        <f t="shared" si="438"/>
        <v>0</v>
      </c>
      <c r="BO249" s="1122">
        <f t="shared" si="439"/>
        <v>0</v>
      </c>
      <c r="BP249" s="1120">
        <f t="shared" si="440"/>
        <v>0</v>
      </c>
      <c r="BQ249" s="1054">
        <v>0</v>
      </c>
      <c r="BR249" s="124"/>
      <c r="BS249" s="91"/>
      <c r="BV249" s="91"/>
      <c r="BW249" s="91"/>
      <c r="BX249" s="91"/>
      <c r="BY249" s="91"/>
      <c r="BZ249" s="91"/>
      <c r="CA249" s="91"/>
      <c r="CB249" s="91"/>
      <c r="CC249" s="91"/>
      <c r="CD249" s="91"/>
      <c r="CE249" s="91"/>
      <c r="CF249" s="91"/>
      <c r="CG249" s="91"/>
      <c r="CH249" s="91"/>
      <c r="CI249" s="91"/>
      <c r="CJ249" s="91"/>
      <c r="CK249" s="91"/>
      <c r="CL249" s="91"/>
      <c r="CM249" s="91"/>
      <c r="CN249" s="91"/>
      <c r="CO249" s="91"/>
      <c r="CP249" s="91"/>
      <c r="CQ249" s="91"/>
      <c r="CR249" s="1049"/>
      <c r="CS249" s="1049"/>
      <c r="CT249" s="1050"/>
      <c r="CZ249" s="91"/>
      <c r="DA249" s="91"/>
      <c r="DB249" s="91"/>
      <c r="DC249" s="91"/>
      <c r="DD249" s="91"/>
      <c r="DE249" s="91"/>
    </row>
    <row r="250" spans="1:118" s="12" customFormat="1">
      <c r="A250" s="91"/>
      <c r="B250" s="87"/>
      <c r="C250" s="1179"/>
      <c r="D250" s="87"/>
      <c r="E250" s="350"/>
      <c r="F250" s="99"/>
      <c r="G250" s="99"/>
      <c r="H250" s="351"/>
      <c r="I250" s="96"/>
      <c r="J250" s="104"/>
      <c r="K250" s="99"/>
      <c r="L250" s="99"/>
      <c r="M250" s="351"/>
      <c r="N250" s="96"/>
      <c r="O250" s="104"/>
      <c r="P250" s="77"/>
      <c r="Q250" s="77"/>
      <c r="R250" s="102"/>
      <c r="S250" s="96"/>
      <c r="T250" s="1081"/>
      <c r="U250" s="1082"/>
      <c r="V250" s="1082"/>
      <c r="W250" s="1083"/>
      <c r="X250" s="255"/>
      <c r="Y250" s="1081"/>
      <c r="Z250" s="1082"/>
      <c r="AA250" s="1082"/>
      <c r="AB250" s="1083"/>
      <c r="AC250" s="255"/>
      <c r="AD250" s="1081"/>
      <c r="AE250" s="1082"/>
      <c r="AF250" s="1082"/>
      <c r="AG250" s="1083"/>
      <c r="AH250" s="255"/>
      <c r="AI250" s="1081"/>
      <c r="AJ250" s="1082"/>
      <c r="AK250" s="1082"/>
      <c r="AL250" s="1083"/>
      <c r="AM250" s="255"/>
      <c r="AN250" s="1081"/>
      <c r="AO250" s="1082"/>
      <c r="AP250" s="1082"/>
      <c r="AQ250" s="1083"/>
      <c r="AR250" s="255"/>
      <c r="AS250" s="1081"/>
      <c r="AT250" s="1082"/>
      <c r="AU250" s="1082"/>
      <c r="AV250" s="1083"/>
      <c r="AW250" s="255"/>
      <c r="AX250" s="1081"/>
      <c r="AY250" s="1082"/>
      <c r="AZ250" s="1082"/>
      <c r="BA250" s="1083"/>
      <c r="BB250" s="255"/>
      <c r="BC250" s="1081"/>
      <c r="BD250" s="1082"/>
      <c r="BE250" s="1082"/>
      <c r="BF250" s="1083"/>
      <c r="BG250" s="255"/>
      <c r="BH250" s="1081"/>
      <c r="BI250" s="1082"/>
      <c r="BJ250" s="1082"/>
      <c r="BK250" s="1083"/>
      <c r="BL250" s="255"/>
      <c r="BM250" s="1081"/>
      <c r="BN250" s="1082"/>
      <c r="BO250" s="1082"/>
      <c r="BP250" s="1083"/>
      <c r="BQ250" s="255"/>
      <c r="BR250" s="124"/>
      <c r="BS250" s="91"/>
      <c r="BU250" s="91"/>
      <c r="BV250" s="91"/>
      <c r="BW250" s="91"/>
      <c r="BX250" s="91"/>
      <c r="BY250" s="91"/>
      <c r="BZ250" s="91"/>
      <c r="CA250" s="91"/>
      <c r="CB250" s="91"/>
      <c r="CC250" s="91"/>
      <c r="CD250" s="91"/>
      <c r="CE250" s="91"/>
      <c r="CF250" s="91"/>
      <c r="CG250" s="91"/>
      <c r="CH250" s="91"/>
      <c r="CI250" s="91"/>
      <c r="CJ250" s="91"/>
      <c r="CK250" s="91"/>
      <c r="CL250" s="91"/>
      <c r="CM250" s="91"/>
      <c r="CN250" s="91"/>
      <c r="CO250" s="91"/>
      <c r="CP250" s="91"/>
      <c r="CQ250" s="91"/>
      <c r="CR250" s="1049"/>
      <c r="CS250" s="1049"/>
      <c r="CT250" s="1050"/>
      <c r="CZ250" s="91"/>
      <c r="DA250" s="91"/>
      <c r="DB250" s="91"/>
      <c r="DC250" s="91"/>
      <c r="DD250" s="91"/>
      <c r="DE250" s="91"/>
    </row>
    <row r="251" spans="1:118" s="12" customFormat="1">
      <c r="A251" s="91"/>
      <c r="B251" s="87"/>
      <c r="C251" s="1179" t="s">
        <v>677</v>
      </c>
      <c r="D251" s="87"/>
      <c r="E251" s="350"/>
      <c r="F251" s="99"/>
      <c r="G251" s="99"/>
      <c r="H251" s="351"/>
      <c r="I251" s="96"/>
      <c r="J251" s="104"/>
      <c r="K251" s="99"/>
      <c r="L251" s="99"/>
      <c r="M251" s="351"/>
      <c r="N251" s="96"/>
      <c r="O251" s="104"/>
      <c r="P251" s="77"/>
      <c r="Q251" s="77"/>
      <c r="R251" s="102"/>
      <c r="S251" s="96"/>
      <c r="T251" s="840"/>
      <c r="U251" s="841"/>
      <c r="V251" s="841"/>
      <c r="W251" s="842"/>
      <c r="X251" s="843"/>
      <c r="Y251" s="840">
        <f t="shared" ref="Y251:AO251" si="441">+Y299/Y303*1000</f>
        <v>31.88685096153846</v>
      </c>
      <c r="Z251" s="841">
        <f t="shared" si="441"/>
        <v>32.057610576923075</v>
      </c>
      <c r="AA251" s="841">
        <f t="shared" si="441"/>
        <v>30.90728846153845</v>
      </c>
      <c r="AB251" s="842">
        <f t="shared" si="441"/>
        <v>30.318649038461533</v>
      </c>
      <c r="AC251" s="843">
        <f t="shared" si="441"/>
        <v>31.394952888814956</v>
      </c>
      <c r="AD251" s="840">
        <f t="shared" si="441"/>
        <v>30.917283653846152</v>
      </c>
      <c r="AE251" s="841">
        <f t="shared" si="441"/>
        <v>29.672427884615395</v>
      </c>
      <c r="AF251" s="841">
        <f t="shared" si="441"/>
        <v>28.349899038461544</v>
      </c>
      <c r="AG251" s="842">
        <f t="shared" si="441"/>
        <v>27.846403846153844</v>
      </c>
      <c r="AH251" s="843">
        <f t="shared" si="441"/>
        <v>29.196503605769234</v>
      </c>
      <c r="AI251" s="840">
        <f>+AI299/AI303*1000</f>
        <v>26.828240384615381</v>
      </c>
      <c r="AJ251" s="841">
        <f t="shared" si="441"/>
        <v>26.568331730769238</v>
      </c>
      <c r="AK251" s="841">
        <f t="shared" si="441"/>
        <v>25.75360576923077</v>
      </c>
      <c r="AL251" s="842">
        <f t="shared" si="441"/>
        <v>23.978365384615387</v>
      </c>
      <c r="AM251" s="843">
        <f>+AM299/AM303*1000</f>
        <v>25.782135817307697</v>
      </c>
      <c r="AN251" s="840">
        <f t="shared" si="441"/>
        <v>22.365336538461534</v>
      </c>
      <c r="AO251" s="841">
        <f t="shared" si="441"/>
        <v>21.871129807692309</v>
      </c>
      <c r="AP251" s="841">
        <f>+AP299/AP303*1000</f>
        <v>21.743750000000002</v>
      </c>
      <c r="AQ251" s="842">
        <f t="shared" ref="AQ251:BG251" si="442">+AQ299/AQ303*1000</f>
        <v>23.336754807692309</v>
      </c>
      <c r="AR251" s="843">
        <f t="shared" si="442"/>
        <v>22.386128568397805</v>
      </c>
      <c r="AS251" s="840">
        <f t="shared" si="442"/>
        <v>26.414129807692309</v>
      </c>
      <c r="AT251" s="841">
        <f t="shared" si="442"/>
        <v>26.414129807692309</v>
      </c>
      <c r="AU251" s="841">
        <f t="shared" si="442"/>
        <v>26.618038461538465</v>
      </c>
      <c r="AV251" s="842">
        <f t="shared" si="442"/>
        <v>28.712115384615394</v>
      </c>
      <c r="AW251" s="843">
        <f t="shared" si="442"/>
        <v>27.039603365384618</v>
      </c>
      <c r="AX251" s="840">
        <f t="shared" si="442"/>
        <v>29.747644230769229</v>
      </c>
      <c r="AY251" s="841">
        <f t="shared" si="442"/>
        <v>25.024999999999999</v>
      </c>
      <c r="AZ251" s="841">
        <f t="shared" si="442"/>
        <v>25.040312499999995</v>
      </c>
      <c r="BA251" s="842">
        <f t="shared" si="442"/>
        <v>25.053437500000001</v>
      </c>
      <c r="BB251" s="843">
        <f t="shared" si="442"/>
        <v>26.278983930269451</v>
      </c>
      <c r="BC251" s="840">
        <f t="shared" si="442"/>
        <v>24.723878788204519</v>
      </c>
      <c r="BD251" s="841">
        <f t="shared" si="442"/>
        <v>24.723878788204523</v>
      </c>
      <c r="BE251" s="841">
        <f t="shared" si="442"/>
        <v>24.723878788204523</v>
      </c>
      <c r="BF251" s="842">
        <f t="shared" si="442"/>
        <v>27.617113635386449</v>
      </c>
      <c r="BG251" s="843">
        <f t="shared" si="442"/>
        <v>25.644453512307859</v>
      </c>
      <c r="BH251" s="840">
        <f>+IF(BH299=0,0,BH299/BH303*1000)</f>
        <v>24.723878788204519</v>
      </c>
      <c r="BI251" s="841">
        <f>+IF(BI299=0,0,BI299/BI303*1000)</f>
        <v>24.723878788204523</v>
      </c>
      <c r="BJ251" s="841">
        <f>+IF(BJ299=0,0,BJ299/BJ303*1000)</f>
        <v>24.723878788204523</v>
      </c>
      <c r="BK251" s="842">
        <f>+IF(BK299=0,0,BK299/BK303*1000)</f>
        <v>27.617113635386449</v>
      </c>
      <c r="BL251" s="843">
        <f>+BL299/BL303*1000</f>
        <v>25.644453512307859</v>
      </c>
      <c r="BM251" s="840">
        <f>+IF(BM299=0,0,BM299/BM303*1000)</f>
        <v>24.723878788204516</v>
      </c>
      <c r="BN251" s="841">
        <f>+IF(BN299=0,0,BN299/BN303*1000)</f>
        <v>24.723878788204523</v>
      </c>
      <c r="BO251" s="841">
        <f>+IF(BO299=0,0,BO299/BO303*1000)</f>
        <v>24.723878788204519</v>
      </c>
      <c r="BP251" s="842">
        <f>+IF(BP299=0,0,BP299/BP303*1000)</f>
        <v>27.617113635386456</v>
      </c>
      <c r="BQ251" s="843">
        <f>+BQ299/BQ303*1000</f>
        <v>25.448784008859946</v>
      </c>
      <c r="BR251" s="124"/>
      <c r="BS251" s="91"/>
      <c r="BU251" s="91"/>
      <c r="BV251" s="91"/>
      <c r="BW251" s="91"/>
      <c r="BX251" s="91"/>
      <c r="BY251" s="91"/>
      <c r="BZ251" s="91"/>
      <c r="CA251" s="91"/>
      <c r="CB251" s="91"/>
      <c r="CC251" s="91"/>
      <c r="CD251" s="91"/>
      <c r="CE251" s="91"/>
      <c r="CF251" s="91"/>
      <c r="CG251" s="91"/>
      <c r="CH251" s="91"/>
      <c r="CI251" s="91"/>
      <c r="CJ251" s="91"/>
      <c r="CK251" s="91"/>
      <c r="CL251" s="91"/>
      <c r="CM251" s="91"/>
      <c r="CN251" s="91"/>
      <c r="CO251" s="91"/>
      <c r="CP251" s="91"/>
      <c r="CQ251" s="91"/>
      <c r="CR251" s="1049"/>
      <c r="CS251" s="1049"/>
      <c r="CT251" s="1050"/>
      <c r="CZ251" s="91"/>
      <c r="DA251" s="91"/>
      <c r="DB251" s="91"/>
      <c r="DC251" s="91"/>
      <c r="DD251" s="91"/>
      <c r="DE251" s="91"/>
    </row>
    <row r="252" spans="1:118" s="12" customFormat="1">
      <c r="A252" s="91"/>
      <c r="B252" s="87"/>
      <c r="C252" s="1179" t="s">
        <v>676</v>
      </c>
      <c r="D252" s="87"/>
      <c r="E252" s="350"/>
      <c r="F252" s="99"/>
      <c r="G252" s="99"/>
      <c r="H252" s="351"/>
      <c r="I252" s="96"/>
      <c r="J252" s="104"/>
      <c r="K252" s="99"/>
      <c r="L252" s="99"/>
      <c r="M252" s="351"/>
      <c r="N252" s="96"/>
      <c r="O252" s="104"/>
      <c r="P252" s="77"/>
      <c r="Q252" s="77"/>
      <c r="R252" s="102"/>
      <c r="S252" s="96"/>
      <c r="T252" s="1081"/>
      <c r="U252" s="1082"/>
      <c r="V252" s="1082"/>
      <c r="W252" s="1083"/>
      <c r="X252" s="255"/>
      <c r="Y252" s="1081">
        <f t="shared" ref="Y252:AR252" si="443">+Y303</f>
        <v>12610.239</v>
      </c>
      <c r="Z252" s="1082">
        <f t="shared" si="443"/>
        <v>9357.4320000000007</v>
      </c>
      <c r="AA252" s="1082">
        <f t="shared" si="443"/>
        <v>9357.4320000000007</v>
      </c>
      <c r="AB252" s="1083">
        <f t="shared" si="443"/>
        <v>7284.5969999999998</v>
      </c>
      <c r="AC252" s="255">
        <f t="shared" si="443"/>
        <v>38609.699999999997</v>
      </c>
      <c r="AD252" s="1081">
        <f t="shared" si="443"/>
        <v>9693.1589999999997</v>
      </c>
      <c r="AE252" s="1082">
        <f t="shared" si="443"/>
        <v>9693.1589999999997</v>
      </c>
      <c r="AF252" s="1082">
        <f t="shared" si="443"/>
        <v>9693.1589999999997</v>
      </c>
      <c r="AG252" s="1083">
        <f t="shared" si="443"/>
        <v>9693.1589999999997</v>
      </c>
      <c r="AH252" s="255">
        <f t="shared" si="443"/>
        <v>38772.635999999999</v>
      </c>
      <c r="AI252" s="1081">
        <f t="shared" si="443"/>
        <v>9693.1589999999997</v>
      </c>
      <c r="AJ252" s="1082">
        <f t="shared" si="443"/>
        <v>9693.1589999999997</v>
      </c>
      <c r="AK252" s="1082">
        <f t="shared" si="443"/>
        <v>9693.1589999999997</v>
      </c>
      <c r="AL252" s="1083">
        <f t="shared" si="443"/>
        <v>9693.1589999999997</v>
      </c>
      <c r="AM252" s="255">
        <f t="shared" si="443"/>
        <v>38772.635999999999</v>
      </c>
      <c r="AN252" s="1081">
        <f t="shared" si="443"/>
        <v>6509.3370000000004</v>
      </c>
      <c r="AO252" s="1082">
        <f t="shared" si="443"/>
        <v>5538.9480000000003</v>
      </c>
      <c r="AP252" s="1082">
        <f t="shared" ref="AP252" si="444">+AP303</f>
        <v>9693.1589999999997</v>
      </c>
      <c r="AQ252" s="1083">
        <f t="shared" si="443"/>
        <v>9693.1589999999997</v>
      </c>
      <c r="AR252" s="255">
        <f t="shared" si="443"/>
        <v>31434.602999999999</v>
      </c>
      <c r="AS252" s="1081">
        <f t="shared" ref="AS252" si="445">+AS303</f>
        <v>5538.9480000000003</v>
      </c>
      <c r="AT252" s="1082">
        <f t="shared" ref="AT252:BB252" si="446">+AT303</f>
        <v>5538.9480000000003</v>
      </c>
      <c r="AU252" s="1082">
        <f t="shared" si="446"/>
        <v>5538.9480000000003</v>
      </c>
      <c r="AV252" s="1083">
        <f t="shared" si="446"/>
        <v>5538.9480000000003</v>
      </c>
      <c r="AW252" s="255">
        <f t="shared" si="446"/>
        <v>22155.792000000001</v>
      </c>
      <c r="AX252" s="1081">
        <f t="shared" si="446"/>
        <v>9693.1589999999997</v>
      </c>
      <c r="AY252" s="1082">
        <f t="shared" si="446"/>
        <v>8722.77</v>
      </c>
      <c r="AZ252" s="1082">
        <f t="shared" si="446"/>
        <v>8722.77</v>
      </c>
      <c r="BA252" s="1083">
        <f t="shared" si="446"/>
        <v>9693.1589999999997</v>
      </c>
      <c r="BB252" s="255">
        <f t="shared" si="446"/>
        <v>36831.858</v>
      </c>
      <c r="BC252" s="1081">
        <f t="shared" ref="BC252:BL252" si="447">+BC303</f>
        <v>7700.259</v>
      </c>
      <c r="BD252" s="1082">
        <f t="shared" si="447"/>
        <v>4400.1480000000001</v>
      </c>
      <c r="BE252" s="1082">
        <f t="shared" si="447"/>
        <v>4400.1480000000001</v>
      </c>
      <c r="BF252" s="1083">
        <f t="shared" si="447"/>
        <v>7700.259</v>
      </c>
      <c r="BG252" s="255">
        <f t="shared" si="447"/>
        <v>24200.813999999998</v>
      </c>
      <c r="BH252" s="1081">
        <f t="shared" si="447"/>
        <v>7700.259</v>
      </c>
      <c r="BI252" s="1082">
        <f t="shared" si="447"/>
        <v>4400.1480000000001</v>
      </c>
      <c r="BJ252" s="1082">
        <f t="shared" si="447"/>
        <v>4400.1480000000001</v>
      </c>
      <c r="BK252" s="1083">
        <f t="shared" si="447"/>
        <v>7700.259</v>
      </c>
      <c r="BL252" s="255">
        <f t="shared" si="447"/>
        <v>24200.813999999998</v>
      </c>
      <c r="BM252" s="1081">
        <f t="shared" ref="BM252:BQ252" si="448">+BM303</f>
        <v>4516.4370000000008</v>
      </c>
      <c r="BN252" s="1082">
        <f t="shared" si="448"/>
        <v>4400.1480000000001</v>
      </c>
      <c r="BO252" s="1082">
        <f t="shared" si="448"/>
        <v>4245.0960000000005</v>
      </c>
      <c r="BP252" s="1083">
        <f t="shared" si="448"/>
        <v>4400.1480000000001</v>
      </c>
      <c r="BQ252" s="255">
        <f t="shared" si="448"/>
        <v>17561.829000000002</v>
      </c>
      <c r="BR252" s="124"/>
      <c r="BS252" s="91"/>
      <c r="BU252" s="91"/>
      <c r="BV252" s="91"/>
      <c r="BW252" s="91"/>
      <c r="BX252" s="91"/>
      <c r="BY252" s="91"/>
      <c r="BZ252" s="91"/>
      <c r="CA252" s="91"/>
      <c r="CB252" s="91"/>
      <c r="CC252" s="91"/>
      <c r="CD252" s="91"/>
      <c r="CE252" s="91"/>
      <c r="CF252" s="91"/>
      <c r="CG252" s="91"/>
      <c r="CH252" s="91"/>
      <c r="CI252" s="91"/>
      <c r="CJ252" s="91"/>
      <c r="CK252" s="91"/>
      <c r="CL252" s="91"/>
      <c r="CM252" s="91"/>
      <c r="CN252" s="91"/>
      <c r="CO252" s="91"/>
      <c r="CP252" s="91"/>
      <c r="CQ252" s="91"/>
      <c r="CR252" s="1049"/>
      <c r="CS252" s="1049"/>
      <c r="CT252" s="1050"/>
      <c r="CZ252" s="91"/>
      <c r="DA252" s="91"/>
      <c r="DB252" s="91"/>
      <c r="DC252" s="91"/>
      <c r="DD252" s="91"/>
      <c r="DE252" s="91"/>
    </row>
    <row r="253" spans="1:118" s="12" customFormat="1">
      <c r="A253" s="91"/>
      <c r="B253" s="87"/>
      <c r="C253" s="1179"/>
      <c r="D253" s="87"/>
      <c r="E253" s="350"/>
      <c r="F253" s="99"/>
      <c r="G253" s="99"/>
      <c r="H253" s="351"/>
      <c r="I253" s="96"/>
      <c r="J253" s="104"/>
      <c r="K253" s="99"/>
      <c r="L253" s="99"/>
      <c r="M253" s="351"/>
      <c r="N253" s="96"/>
      <c r="O253" s="104"/>
      <c r="P253" s="77"/>
      <c r="Q253" s="77"/>
      <c r="R253" s="102"/>
      <c r="S253" s="96"/>
      <c r="T253" s="1081"/>
      <c r="U253" s="1082"/>
      <c r="V253" s="1082"/>
      <c r="W253" s="1083"/>
      <c r="X253" s="255"/>
      <c r="Y253" s="1081"/>
      <c r="Z253" s="1082"/>
      <c r="AA253" s="1082"/>
      <c r="AB253" s="1083"/>
      <c r="AC253" s="255"/>
      <c r="AD253" s="1081"/>
      <c r="AE253" s="1082"/>
      <c r="AF253" s="1082"/>
      <c r="AG253" s="1083"/>
      <c r="AH253" s="255"/>
      <c r="AI253" s="1081"/>
      <c r="AJ253" s="1082"/>
      <c r="AK253" s="1082"/>
      <c r="AL253" s="1083"/>
      <c r="AM253" s="255"/>
      <c r="AN253" s="1081"/>
      <c r="AO253" s="1082"/>
      <c r="AP253" s="1082"/>
      <c r="AQ253" s="1083"/>
      <c r="AR253" s="255"/>
      <c r="AS253" s="1081"/>
      <c r="AT253" s="1082"/>
      <c r="AU253" s="1082"/>
      <c r="AV253" s="1083"/>
      <c r="AW253" s="255"/>
      <c r="AX253" s="1081"/>
      <c r="AY253" s="1082"/>
      <c r="AZ253" s="1082"/>
      <c r="BA253" s="1083"/>
      <c r="BB253" s="255"/>
      <c r="BC253" s="1081"/>
      <c r="BD253" s="1082"/>
      <c r="BE253" s="1082"/>
      <c r="BF253" s="1083"/>
      <c r="BG253" s="255"/>
      <c r="BH253" s="1081"/>
      <c r="BI253" s="1082"/>
      <c r="BJ253" s="1082"/>
      <c r="BK253" s="1083"/>
      <c r="BL253" s="255"/>
      <c r="BM253" s="1081"/>
      <c r="BN253" s="1082"/>
      <c r="BO253" s="1082"/>
      <c r="BP253" s="1083"/>
      <c r="BQ253" s="255"/>
      <c r="BR253" s="124"/>
      <c r="BS253" s="91"/>
      <c r="BU253" s="91"/>
      <c r="BV253" s="91"/>
      <c r="BW253" s="91"/>
      <c r="BX253" s="91"/>
      <c r="BY253" s="91"/>
      <c r="BZ253" s="91"/>
      <c r="CA253" s="91"/>
      <c r="CB253" s="91"/>
      <c r="CC253" s="91"/>
      <c r="CD253" s="91"/>
      <c r="CE253" s="91"/>
      <c r="CF253" s="91"/>
      <c r="CG253" s="91"/>
      <c r="CH253" s="91"/>
      <c r="CI253" s="91"/>
      <c r="CJ253" s="91"/>
      <c r="CK253" s="91"/>
      <c r="CL253" s="91"/>
      <c r="CM253" s="91"/>
      <c r="CN253" s="91"/>
      <c r="CO253" s="91"/>
      <c r="CP253" s="91"/>
      <c r="CQ253" s="91"/>
      <c r="CR253" s="1049"/>
      <c r="CS253" s="1049"/>
      <c r="CT253" s="1050"/>
      <c r="CZ253" s="91"/>
      <c r="DA253" s="91"/>
      <c r="DB253" s="91"/>
      <c r="DC253" s="91"/>
      <c r="DD253" s="91"/>
      <c r="DE253" s="91"/>
    </row>
    <row r="254" spans="1:118" s="12" customFormat="1">
      <c r="A254" s="91"/>
      <c r="B254" s="87"/>
      <c r="C254" s="1179" t="s">
        <v>678</v>
      </c>
      <c r="D254" s="87"/>
      <c r="E254" s="350"/>
      <c r="F254" s="99"/>
      <c r="G254" s="99"/>
      <c r="H254" s="351"/>
      <c r="I254" s="96"/>
      <c r="J254" s="104"/>
      <c r="K254" s="99"/>
      <c r="L254" s="99"/>
      <c r="M254" s="351"/>
      <c r="N254" s="96"/>
      <c r="O254" s="104"/>
      <c r="P254" s="77"/>
      <c r="Q254" s="77"/>
      <c r="R254" s="102"/>
      <c r="S254" s="96"/>
      <c r="T254" s="104"/>
      <c r="U254" s="77"/>
      <c r="V254" s="77"/>
      <c r="W254" s="102"/>
      <c r="X254" s="96"/>
      <c r="Y254" s="104">
        <f>(Y251-Y248)*Y252/1000*Y249</f>
        <v>39.211295665903833</v>
      </c>
      <c r="Z254" s="77">
        <f>(Z251-Z248)*Z252/1000*Z249</f>
        <v>30.375052044830756</v>
      </c>
      <c r="AA254" s="77">
        <f>(AA251-AA248)*AA252/1000*AA249</f>
        <v>21.763803266584528</v>
      </c>
      <c r="AB254" s="102">
        <f>(AB251-AB248)*AB252/1000*AB249</f>
        <v>13.512339063703818</v>
      </c>
      <c r="AC254" s="96">
        <f>SUM(Y254:AB254)</f>
        <v>104.86249004102294</v>
      </c>
      <c r="AD254" s="104">
        <f>(AD251-AD248)*AD252/1000*AD249</f>
        <v>28.277694304831709</v>
      </c>
      <c r="AE254" s="77">
        <f>(AE251-AE248)*AE252/1000*AE249</f>
        <v>16.211109401610678</v>
      </c>
      <c r="AF254" s="77">
        <f>(AF251-AF248)*AF252/1000*AF249</f>
        <v>3.3916270137548605</v>
      </c>
      <c r="AG254" s="102">
        <f>(AG251-AG248)*AG252/1000*AG249</f>
        <v>-1.4888319410192483</v>
      </c>
      <c r="AH254" s="96">
        <f>SUM(AD254:AG254)</f>
        <v>46.391598779177997</v>
      </c>
      <c r="AI254" s="104">
        <f>(AI251-AI248)*AI252/1000*AI249</f>
        <v>-1.6648932617019627</v>
      </c>
      <c r="AJ254" s="77">
        <f>(AJ251-AJ248)*AJ252/1000*AJ249</f>
        <v>-4.1842291689085869</v>
      </c>
      <c r="AK254" s="77">
        <f>(AK251-AK248)*AK252/1000*AK249</f>
        <v>-12.081497455528837</v>
      </c>
      <c r="AL254" s="102">
        <f>(AL251-AL248)*AL252/1000*AL249</f>
        <v>-29.289184766826899</v>
      </c>
      <c r="AM254" s="96">
        <f>SUM(AI254:AL254)</f>
        <v>-47.219804652966289</v>
      </c>
      <c r="AN254" s="104">
        <f>(AN251-AN248)*AN252/1000*AN249</f>
        <v>-9.8425322012848842</v>
      </c>
      <c r="AO254" s="77">
        <f>(AO251-AO248)*AO252/1000*AO249</f>
        <v>-10.907323696896627</v>
      </c>
      <c r="AP254" s="77">
        <f>(AP251-AP248)*AP252/1000*AP249</f>
        <v>-20.229925744218733</v>
      </c>
      <c r="AQ254" s="102">
        <f>(AQ251-AQ248)*AQ252/1000*AQ249</f>
        <v>-5.9467705221472276</v>
      </c>
      <c r="AR254" s="96">
        <f>SUM(AN254:AQ254)</f>
        <v>-46.926552164547466</v>
      </c>
      <c r="AS254" s="104">
        <f>(AS251-AS248)*AS252/1000*AS249</f>
        <v>1.8924208627976</v>
      </c>
      <c r="AT254" s="77">
        <f>(AT251-AT248)*AT252/1000*AT249</f>
        <v>1.8924208627976</v>
      </c>
      <c r="AU254" s="77">
        <f>(AU251-AU248)*AU252/1000*AU249</f>
        <v>2.8242083928807835</v>
      </c>
      <c r="AV254" s="102">
        <f>(AV251-AV248)*AV252/1000*AV249</f>
        <v>12.393369520442352</v>
      </c>
      <c r="AW254" s="96">
        <f>SUM(AS254:AV254)</f>
        <v>19.002419638918337</v>
      </c>
      <c r="AX254" s="104">
        <f>(AX251-AX248)*AX252/1000*AX249</f>
        <v>27.244883553209121</v>
      </c>
      <c r="AY254" s="77">
        <f>(AY251-AY248)*AY252/1000*AY249</f>
        <v>-6.378525562500009</v>
      </c>
      <c r="AZ254" s="77">
        <f>(AZ251-AZ248)*AZ252/1000*AZ249</f>
        <v>-6.2783500007812814</v>
      </c>
      <c r="BA254" s="102">
        <f>(BA251-BA248)*BA252/1000*BA249</f>
        <v>-6.8813856119531174</v>
      </c>
      <c r="BB254" s="96">
        <f>SUM(AX254:BA254)</f>
        <v>7.7066223779747141</v>
      </c>
      <c r="BC254" s="104">
        <f>(BC251-BC248)*BC252/1000*BC249</f>
        <v>0</v>
      </c>
      <c r="BD254" s="77">
        <f>(BD251-BD248)*BD252/1000*BD249</f>
        <v>0</v>
      </c>
      <c r="BE254" s="77">
        <f>(BE251-BE248)*BE252/1000*BE249</f>
        <v>0</v>
      </c>
      <c r="BF254" s="102">
        <f>(BF251-BF248)*BF252/1000*BF249</f>
        <v>0</v>
      </c>
      <c r="BG254" s="96">
        <f>SUM(BC254:BF254)</f>
        <v>0</v>
      </c>
      <c r="BH254" s="104">
        <f>(BH251-BH248)*BH252/1000*BH249</f>
        <v>0</v>
      </c>
      <c r="BI254" s="77">
        <f>(BI251-BI248)*BI252/1000*BI249</f>
        <v>0</v>
      </c>
      <c r="BJ254" s="77">
        <f>(BJ251-BJ248)*BJ252/1000*BJ249</f>
        <v>0</v>
      </c>
      <c r="BK254" s="102">
        <f>(BK251-BK248)*BK252/1000*BK249</f>
        <v>0</v>
      </c>
      <c r="BL254" s="96">
        <f>SUM(BH254:BK254)</f>
        <v>0</v>
      </c>
      <c r="BM254" s="104">
        <f>(BM251-BM248)*BM252/1000*BM249</f>
        <v>0</v>
      </c>
      <c r="BN254" s="77">
        <f>(BN251-BN248)*BN252/1000*BN249</f>
        <v>0</v>
      </c>
      <c r="BO254" s="77">
        <f>(BO251-BO248)*BO252/1000*BO249</f>
        <v>0</v>
      </c>
      <c r="BP254" s="102">
        <f>(BP251-BP248)*BP252/1000*BP249</f>
        <v>0</v>
      </c>
      <c r="BQ254" s="96">
        <f>SUM(BM254:BP254)</f>
        <v>0</v>
      </c>
      <c r="BR254" s="124"/>
      <c r="BS254" s="91"/>
      <c r="BU254" s="91"/>
      <c r="BV254" s="91"/>
      <c r="BW254" s="91"/>
      <c r="BX254" s="91"/>
      <c r="BY254" s="91"/>
      <c r="BZ254" s="91"/>
      <c r="CA254" s="91"/>
      <c r="CB254" s="91"/>
      <c r="CC254" s="91"/>
      <c r="CD254" s="91"/>
      <c r="CE254" s="91"/>
      <c r="CF254" s="91"/>
      <c r="CG254" s="91"/>
      <c r="CH254" s="91"/>
      <c r="CI254" s="91"/>
      <c r="CJ254" s="91"/>
      <c r="CK254" s="91"/>
      <c r="CL254" s="91"/>
      <c r="CM254" s="91"/>
      <c r="CN254" s="91"/>
      <c r="CO254" s="91"/>
      <c r="CP254" s="91"/>
      <c r="CQ254" s="91"/>
      <c r="CR254" s="1049"/>
      <c r="CS254" s="1049"/>
      <c r="CT254" s="1050"/>
      <c r="CZ254" s="91"/>
      <c r="DA254" s="91"/>
      <c r="DB254" s="91"/>
      <c r="DC254" s="91"/>
      <c r="DD254" s="91"/>
      <c r="DE254" s="91"/>
    </row>
    <row r="255" spans="1:118" s="12" customFormat="1">
      <c r="A255" s="91"/>
      <c r="B255" s="87"/>
      <c r="C255" s="1179"/>
      <c r="D255" s="87"/>
      <c r="E255" s="350"/>
      <c r="F255" s="99"/>
      <c r="G255" s="99"/>
      <c r="H255" s="351"/>
      <c r="I255" s="96"/>
      <c r="J255" s="104"/>
      <c r="K255" s="99"/>
      <c r="L255" s="99"/>
      <c r="M255" s="351"/>
      <c r="N255" s="96"/>
      <c r="O255" s="104"/>
      <c r="P255" s="77"/>
      <c r="Q255" s="77"/>
      <c r="R255" s="102"/>
      <c r="S255" s="96"/>
      <c r="T255" s="1081"/>
      <c r="U255" s="1082"/>
      <c r="V255" s="1082"/>
      <c r="W255" s="1083"/>
      <c r="X255" s="255"/>
      <c r="Y255" s="245"/>
      <c r="Z255" s="246"/>
      <c r="AA255" s="246"/>
      <c r="AB255" s="1053"/>
      <c r="AC255" s="255"/>
      <c r="AD255" s="245"/>
      <c r="AE255" s="246"/>
      <c r="AF255" s="246"/>
      <c r="AG255" s="1053"/>
      <c r="AH255" s="255"/>
      <c r="AI255" s="245"/>
      <c r="AJ255" s="246"/>
      <c r="AK255" s="246"/>
      <c r="AL255" s="1053"/>
      <c r="AM255" s="255"/>
      <c r="AN255" s="245"/>
      <c r="AO255" s="246"/>
      <c r="AP255" s="246"/>
      <c r="AQ255" s="1053"/>
      <c r="AR255" s="255"/>
      <c r="AS255" s="245"/>
      <c r="AT255" s="246"/>
      <c r="AU255" s="246"/>
      <c r="AV255" s="1053"/>
      <c r="AW255" s="255"/>
      <c r="AX255" s="245"/>
      <c r="AY255" s="246"/>
      <c r="AZ255" s="246"/>
      <c r="BA255" s="1053"/>
      <c r="BB255" s="255"/>
      <c r="BC255" s="245"/>
      <c r="BD255" s="246"/>
      <c r="BE255" s="246"/>
      <c r="BF255" s="1053"/>
      <c r="BG255" s="255"/>
      <c r="BH255" s="245"/>
      <c r="BI255" s="246"/>
      <c r="BJ255" s="246"/>
      <c r="BK255" s="1053"/>
      <c r="BL255" s="255"/>
      <c r="BM255" s="245"/>
      <c r="BN255" s="246"/>
      <c r="BO255" s="246"/>
      <c r="BP255" s="1053"/>
      <c r="BQ255" s="255"/>
      <c r="BR255" s="124"/>
      <c r="BS255" s="91"/>
      <c r="BU255" s="91"/>
      <c r="BV255" s="91"/>
      <c r="BW255" s="91"/>
      <c r="BX255" s="91"/>
      <c r="BY255" s="91"/>
      <c r="BZ255" s="91"/>
      <c r="CA255" s="91"/>
      <c r="CB255" s="91"/>
      <c r="CC255" s="91"/>
      <c r="CD255" s="91"/>
      <c r="CE255" s="91"/>
      <c r="CF255" s="91"/>
      <c r="CG255" s="91"/>
      <c r="CH255" s="91"/>
      <c r="CI255" s="91"/>
      <c r="CJ255" s="91"/>
      <c r="CK255" s="91"/>
      <c r="CL255" s="91"/>
      <c r="CM255" s="91"/>
      <c r="CN255" s="91"/>
      <c r="CO255" s="91"/>
      <c r="CP255" s="91"/>
      <c r="CQ255" s="91"/>
      <c r="CR255" s="1049"/>
      <c r="CS255" s="1049"/>
      <c r="CT255" s="1050"/>
      <c r="CZ255" s="91"/>
      <c r="DA255" s="91"/>
      <c r="DB255" s="91"/>
      <c r="DC255" s="91"/>
      <c r="DD255" s="91"/>
      <c r="DE255" s="91"/>
    </row>
    <row r="256" spans="1:118">
      <c r="A256" s="91"/>
      <c r="B256" s="88"/>
      <c r="C256" s="1186"/>
      <c r="D256" s="87"/>
      <c r="E256" s="350"/>
      <c r="F256" s="99"/>
      <c r="G256" s="99"/>
      <c r="H256" s="351"/>
      <c r="I256" s="93"/>
      <c r="J256" s="106"/>
      <c r="K256" s="99"/>
      <c r="L256" s="99"/>
      <c r="M256" s="351"/>
      <c r="N256" s="93"/>
      <c r="O256" s="106"/>
      <c r="P256" s="76"/>
      <c r="Q256" s="76"/>
      <c r="R256" s="107"/>
      <c r="S256" s="93"/>
      <c r="T256" s="1081"/>
      <c r="U256" s="1082"/>
      <c r="V256" s="1082"/>
      <c r="W256" s="1083"/>
      <c r="X256" s="255"/>
      <c r="Y256" s="245"/>
      <c r="Z256" s="246"/>
      <c r="AA256" s="246"/>
      <c r="AB256" s="1053"/>
      <c r="AC256" s="255"/>
      <c r="AD256" s="245"/>
      <c r="AE256" s="246"/>
      <c r="AF256" s="246"/>
      <c r="AG256" s="1053"/>
      <c r="AH256" s="255"/>
      <c r="AI256" s="245"/>
      <c r="AJ256" s="246"/>
      <c r="AK256" s="246"/>
      <c r="AL256" s="1053"/>
      <c r="AM256" s="255"/>
      <c r="AN256" s="245"/>
      <c r="AO256" s="246"/>
      <c r="AP256" s="246"/>
      <c r="AQ256" s="1053"/>
      <c r="AR256" s="255"/>
      <c r="AS256" s="245"/>
      <c r="AT256" s="246"/>
      <c r="AU256" s="246"/>
      <c r="AV256" s="1053"/>
      <c r="AW256" s="255"/>
      <c r="AX256" s="245"/>
      <c r="AY256" s="246"/>
      <c r="AZ256" s="246"/>
      <c r="BA256" s="1053"/>
      <c r="BB256" s="255"/>
      <c r="BC256" s="245"/>
      <c r="BD256" s="246"/>
      <c r="BE256" s="246"/>
      <c r="BF256" s="1053"/>
      <c r="BG256" s="255"/>
      <c r="BH256" s="245"/>
      <c r="BI256" s="246"/>
      <c r="BJ256" s="246"/>
      <c r="BK256" s="1053"/>
      <c r="BL256" s="255"/>
      <c r="BM256" s="245"/>
      <c r="BN256" s="246"/>
      <c r="BO256" s="246"/>
      <c r="BP256" s="1053"/>
      <c r="BQ256" s="255"/>
      <c r="BR256" s="124"/>
      <c r="BS256" s="91"/>
      <c r="BT256" s="12"/>
      <c r="BU256" s="91"/>
      <c r="BV256" s="91"/>
      <c r="BW256" s="91"/>
      <c r="BX256" s="91"/>
      <c r="BY256" s="91"/>
      <c r="BZ256" s="91"/>
      <c r="CA256" s="91"/>
      <c r="CB256" s="91"/>
      <c r="CC256" s="91"/>
      <c r="CD256" s="91"/>
      <c r="CE256" s="91"/>
      <c r="CF256" s="91"/>
      <c r="CG256" s="91"/>
      <c r="CH256" s="91"/>
      <c r="CI256" s="91"/>
      <c r="CJ256" s="91"/>
      <c r="CK256" s="91"/>
      <c r="CL256" s="91"/>
      <c r="CM256" s="91"/>
      <c r="CN256" s="91"/>
      <c r="CO256" s="91"/>
      <c r="CP256" s="91"/>
      <c r="CQ256" s="91"/>
      <c r="CR256" s="1018"/>
      <c r="CS256" s="1018"/>
      <c r="CT256" s="821"/>
      <c r="CU256" s="12"/>
      <c r="CV256" s="12"/>
      <c r="CW256" s="12"/>
      <c r="CX256" s="12"/>
      <c r="CY256" s="12"/>
      <c r="CZ256" s="91"/>
      <c r="DA256" s="91"/>
      <c r="DB256" s="91"/>
      <c r="DC256" s="91"/>
      <c r="DD256" s="91"/>
      <c r="DE256" s="91"/>
      <c r="DF256" s="12"/>
      <c r="DG256" s="12"/>
      <c r="DH256" s="12"/>
      <c r="DI256" s="12"/>
      <c r="DJ256" s="12"/>
      <c r="DK256" s="12"/>
      <c r="DL256" s="12"/>
      <c r="DM256" s="12"/>
      <c r="DN256" s="12"/>
    </row>
    <row r="257" spans="1:118">
      <c r="A257" s="91"/>
      <c r="B257" s="807" t="s">
        <v>564</v>
      </c>
      <c r="C257" s="1247"/>
      <c r="D257" s="1017"/>
      <c r="E257" s="145"/>
      <c r="F257" s="146"/>
      <c r="G257" s="146"/>
      <c r="H257" s="147"/>
      <c r="I257" s="87"/>
      <c r="J257" s="145"/>
      <c r="K257" s="146"/>
      <c r="L257" s="146"/>
      <c r="M257" s="147"/>
      <c r="N257" s="89"/>
      <c r="O257" s="145"/>
      <c r="P257" s="146"/>
      <c r="Q257" s="146"/>
      <c r="R257" s="147"/>
      <c r="S257" s="89"/>
      <c r="T257" s="145"/>
      <c r="U257" s="146"/>
      <c r="V257" s="146"/>
      <c r="W257" s="147"/>
      <c r="X257" s="89"/>
      <c r="Y257" s="145"/>
      <c r="Z257" s="146"/>
      <c r="AA257" s="146"/>
      <c r="AB257" s="147"/>
      <c r="AC257" s="89"/>
      <c r="AD257" s="145"/>
      <c r="AE257" s="146"/>
      <c r="AF257" s="146"/>
      <c r="AG257" s="147"/>
      <c r="AH257" s="89"/>
      <c r="AI257" s="145"/>
      <c r="AJ257" s="146"/>
      <c r="AK257" s="146"/>
      <c r="AL257" s="147"/>
      <c r="AM257" s="89"/>
      <c r="AN257" s="145"/>
      <c r="AO257" s="146"/>
      <c r="AP257" s="146"/>
      <c r="AQ257" s="147"/>
      <c r="AR257" s="89"/>
      <c r="AS257" s="145"/>
      <c r="AT257" s="146"/>
      <c r="AU257" s="146"/>
      <c r="AV257" s="147"/>
      <c r="AW257" s="89"/>
      <c r="AX257" s="145"/>
      <c r="AY257" s="146"/>
      <c r="AZ257" s="146"/>
      <c r="BA257" s="147"/>
      <c r="BB257" s="89"/>
      <c r="BC257" s="145"/>
      <c r="BD257" s="146"/>
      <c r="BE257" s="146"/>
      <c r="BF257" s="147"/>
      <c r="BG257" s="89"/>
      <c r="BH257" s="145"/>
      <c r="BI257" s="146"/>
      <c r="BJ257" s="146"/>
      <c r="BK257" s="147"/>
      <c r="BL257" s="89"/>
      <c r="BM257" s="145"/>
      <c r="BN257" s="146"/>
      <c r="BO257" s="146"/>
      <c r="BP257" s="147"/>
      <c r="BQ257" s="89"/>
      <c r="BR257" s="87"/>
      <c r="BS257" s="87"/>
      <c r="BT257" s="12"/>
      <c r="BU257" s="91"/>
      <c r="BV257" s="91"/>
      <c r="BW257" s="91"/>
      <c r="BX257" s="91"/>
      <c r="BY257" s="91"/>
      <c r="BZ257" s="91"/>
      <c r="CA257" s="91"/>
      <c r="CB257" s="91"/>
      <c r="CC257" s="91"/>
      <c r="CD257" s="91"/>
      <c r="CE257" s="91"/>
      <c r="CF257" s="91"/>
      <c r="CG257" s="91"/>
      <c r="CH257" s="91"/>
      <c r="CI257" s="91"/>
      <c r="CJ257" s="91"/>
      <c r="CK257" s="91"/>
      <c r="CL257" s="91"/>
      <c r="CM257" s="91"/>
      <c r="CN257" s="91"/>
      <c r="CO257" s="91"/>
      <c r="CP257" s="91"/>
      <c r="CQ257" s="91"/>
      <c r="CR257" s="1018"/>
      <c r="CS257" s="1018"/>
      <c r="CT257" s="821"/>
      <c r="CU257" s="12"/>
      <c r="CV257" s="12"/>
      <c r="CW257" s="12"/>
      <c r="CX257" s="12"/>
      <c r="CY257" s="12"/>
      <c r="CZ257" s="91"/>
      <c r="DA257" s="91"/>
      <c r="DB257" s="91"/>
      <c r="DC257" s="91"/>
      <c r="DD257" s="91"/>
      <c r="DE257" s="91"/>
      <c r="DF257" s="12"/>
      <c r="DG257" s="12"/>
      <c r="DH257" s="12"/>
      <c r="DI257" s="12"/>
      <c r="DJ257" s="12"/>
      <c r="DK257" s="12"/>
      <c r="DL257" s="12"/>
      <c r="DM257" s="12"/>
      <c r="DN257" s="12"/>
    </row>
    <row r="258" spans="1:118">
      <c r="A258" s="91"/>
      <c r="B258" s="89"/>
      <c r="C258" s="1184"/>
      <c r="D258" s="89"/>
      <c r="E258" s="145"/>
      <c r="F258" s="146"/>
      <c r="G258" s="146"/>
      <c r="H258" s="147"/>
      <c r="I258" s="87"/>
      <c r="J258" s="145"/>
      <c r="K258" s="146"/>
      <c r="L258" s="146"/>
      <c r="M258" s="147"/>
      <c r="N258" s="89"/>
      <c r="O258" s="145"/>
      <c r="P258" s="146"/>
      <c r="Q258" s="146"/>
      <c r="R258" s="147"/>
      <c r="S258" s="89"/>
      <c r="T258" s="145"/>
      <c r="U258" s="146"/>
      <c r="V258" s="146"/>
      <c r="W258" s="147"/>
      <c r="X258" s="89"/>
      <c r="Y258" s="145"/>
      <c r="Z258" s="146"/>
      <c r="AA258" s="146"/>
      <c r="AB258" s="147"/>
      <c r="AC258" s="89"/>
      <c r="AD258" s="145"/>
      <c r="AE258" s="146"/>
      <c r="AF258" s="146"/>
      <c r="AG258" s="147"/>
      <c r="AH258" s="89"/>
      <c r="AI258" s="145"/>
      <c r="AJ258" s="146"/>
      <c r="AK258" s="146"/>
      <c r="AL258" s="147"/>
      <c r="AM258" s="89"/>
      <c r="AN258" s="145"/>
      <c r="AO258" s="146"/>
      <c r="AP258" s="146"/>
      <c r="AQ258" s="147"/>
      <c r="AR258" s="89"/>
      <c r="AS258" s="145"/>
      <c r="AT258" s="146"/>
      <c r="AU258" s="146"/>
      <c r="AV258" s="147"/>
      <c r="AW258" s="89"/>
      <c r="AX258" s="145"/>
      <c r="AY258" s="146"/>
      <c r="AZ258" s="146"/>
      <c r="BA258" s="147"/>
      <c r="BB258" s="89"/>
      <c r="BC258" s="145"/>
      <c r="BD258" s="146"/>
      <c r="BE258" s="146"/>
      <c r="BF258" s="147"/>
      <c r="BG258" s="89"/>
      <c r="BH258" s="145"/>
      <c r="BI258" s="146"/>
      <c r="BJ258" s="146"/>
      <c r="BK258" s="147"/>
      <c r="BL258" s="89"/>
      <c r="BM258" s="145"/>
      <c r="BN258" s="146"/>
      <c r="BO258" s="146"/>
      <c r="BP258" s="147"/>
      <c r="BQ258" s="89"/>
      <c r="BR258" s="87"/>
      <c r="BS258" s="87"/>
      <c r="BT258" s="12"/>
      <c r="BU258" s="91"/>
      <c r="BV258" s="91"/>
      <c r="BW258" s="91"/>
      <c r="BX258" s="91"/>
      <c r="BY258" s="91"/>
      <c r="BZ258" s="91"/>
      <c r="CA258" s="91"/>
      <c r="CB258" s="91"/>
      <c r="CC258" s="91"/>
      <c r="CD258" s="91"/>
      <c r="CE258" s="91"/>
      <c r="CF258" s="91"/>
      <c r="CG258" s="91"/>
      <c r="CH258" s="91"/>
      <c r="CI258" s="91"/>
      <c r="CJ258" s="91"/>
      <c r="CK258" s="91"/>
      <c r="CL258" s="91"/>
      <c r="CM258" s="91"/>
      <c r="CN258" s="91"/>
      <c r="CO258" s="91"/>
      <c r="CP258" s="91"/>
      <c r="CQ258" s="91"/>
      <c r="CR258" s="1018"/>
      <c r="CS258" s="1018"/>
      <c r="CT258" s="821"/>
      <c r="CU258" s="12"/>
      <c r="CV258" s="12"/>
      <c r="CW258" s="12"/>
      <c r="CX258" s="12"/>
      <c r="CY258" s="12"/>
      <c r="CZ258" s="91"/>
      <c r="DA258" s="91"/>
      <c r="DB258" s="91"/>
      <c r="DC258" s="91"/>
      <c r="DD258" s="91"/>
      <c r="DE258" s="91"/>
      <c r="DF258" s="12"/>
      <c r="DG258" s="12"/>
      <c r="DH258" s="12"/>
      <c r="DI258" s="12"/>
      <c r="DJ258" s="12"/>
      <c r="DK258" s="12"/>
      <c r="DL258" s="12"/>
      <c r="DM258" s="12"/>
      <c r="DN258" s="12"/>
    </row>
    <row r="259" spans="1:118">
      <c r="A259" s="91"/>
      <c r="B259" s="89"/>
      <c r="C259" s="1254" t="s">
        <v>565</v>
      </c>
      <c r="D259" s="89"/>
      <c r="E259" s="145"/>
      <c r="F259" s="146"/>
      <c r="G259" s="146"/>
      <c r="H259" s="147"/>
      <c r="I259" s="87"/>
      <c r="J259" s="145"/>
      <c r="K259" s="146"/>
      <c r="L259" s="146"/>
      <c r="M259" s="147"/>
      <c r="N259" s="89"/>
      <c r="O259" s="145"/>
      <c r="P259" s="146"/>
      <c r="Q259" s="146"/>
      <c r="R259" s="147"/>
      <c r="S259" s="89"/>
      <c r="T259" s="145"/>
      <c r="U259" s="146"/>
      <c r="V259" s="146"/>
      <c r="W259" s="147"/>
      <c r="X259" s="89"/>
      <c r="Y259" s="145"/>
      <c r="Z259" s="146"/>
      <c r="AA259" s="146"/>
      <c r="AB259" s="147"/>
      <c r="AC259" s="89"/>
      <c r="AD259" s="145"/>
      <c r="AE259" s="146"/>
      <c r="AF259" s="146"/>
      <c r="AG259" s="147"/>
      <c r="AH259" s="89"/>
      <c r="AI259" s="145"/>
      <c r="AJ259" s="146"/>
      <c r="AK259" s="146"/>
      <c r="AL259" s="147"/>
      <c r="AM259" s="89"/>
      <c r="AN259" s="145"/>
      <c r="AO259" s="146"/>
      <c r="AP259" s="146"/>
      <c r="AQ259" s="147"/>
      <c r="AR259" s="89"/>
      <c r="AS259" s="145"/>
      <c r="AT259" s="146"/>
      <c r="AU259" s="146"/>
      <c r="AV259" s="147"/>
      <c r="AW259" s="89"/>
      <c r="AX259" s="145"/>
      <c r="AY259" s="146"/>
      <c r="AZ259" s="146"/>
      <c r="BA259" s="147"/>
      <c r="BB259" s="89"/>
      <c r="BC259" s="145"/>
      <c r="BD259" s="146"/>
      <c r="BE259" s="146"/>
      <c r="BF259" s="147"/>
      <c r="BG259" s="89"/>
      <c r="BH259" s="145"/>
      <c r="BI259" s="146"/>
      <c r="BJ259" s="146"/>
      <c r="BK259" s="147"/>
      <c r="BL259" s="89"/>
      <c r="BM259" s="145"/>
      <c r="BN259" s="146"/>
      <c r="BO259" s="146"/>
      <c r="BP259" s="147"/>
      <c r="BQ259" s="89"/>
      <c r="BR259" s="87"/>
      <c r="BS259" s="87"/>
      <c r="BT259" s="12"/>
      <c r="BU259" s="91"/>
      <c r="BV259" s="91"/>
      <c r="BW259" s="91"/>
      <c r="BX259" s="91"/>
      <c r="BY259" s="91"/>
      <c r="BZ259" s="91"/>
      <c r="CA259" s="91"/>
      <c r="CB259" s="91"/>
      <c r="CC259" s="91"/>
      <c r="CD259" s="91"/>
      <c r="CE259" s="91"/>
      <c r="CF259" s="91"/>
      <c r="CG259" s="91"/>
      <c r="CH259" s="91"/>
      <c r="CI259" s="91"/>
      <c r="CJ259" s="91"/>
      <c r="CK259" s="91"/>
      <c r="CL259" s="91"/>
      <c r="CM259" s="91"/>
      <c r="CN259" s="91"/>
      <c r="CO259" s="91"/>
      <c r="CP259" s="91"/>
      <c r="CQ259" s="91"/>
      <c r="CR259" s="1018"/>
      <c r="CS259" s="1018"/>
      <c r="CT259" s="821"/>
      <c r="CU259" s="12"/>
      <c r="CV259" s="12"/>
      <c r="CW259" s="12"/>
      <c r="CX259" s="12"/>
      <c r="CY259" s="12"/>
      <c r="CZ259" s="91"/>
      <c r="DA259" s="91"/>
      <c r="DB259" s="91"/>
      <c r="DC259" s="91"/>
      <c r="DD259" s="91"/>
      <c r="DE259" s="91"/>
      <c r="DF259" s="12"/>
      <c r="DG259" s="12"/>
      <c r="DH259" s="12"/>
      <c r="DI259" s="12"/>
      <c r="DJ259" s="12"/>
      <c r="DK259" s="12"/>
      <c r="DL259" s="12"/>
      <c r="DM259" s="12"/>
      <c r="DN259" s="12"/>
    </row>
    <row r="260" spans="1:118">
      <c r="A260" s="91"/>
      <c r="B260" s="89"/>
      <c r="C260" s="1179" t="s">
        <v>566</v>
      </c>
      <c r="D260" s="89"/>
      <c r="E260" s="145"/>
      <c r="F260" s="146"/>
      <c r="G260" s="146"/>
      <c r="H260" s="147"/>
      <c r="I260" s="87"/>
      <c r="J260" s="145"/>
      <c r="K260" s="146"/>
      <c r="L260" s="146"/>
      <c r="M260" s="147"/>
      <c r="N260" s="89"/>
      <c r="O260" s="145"/>
      <c r="P260" s="146"/>
      <c r="Q260" s="146"/>
      <c r="R260" s="147"/>
      <c r="S260" s="89"/>
      <c r="T260" s="114"/>
      <c r="U260" s="115"/>
      <c r="V260" s="115"/>
      <c r="W260" s="105"/>
      <c r="X260" s="113"/>
      <c r="Y260" s="114">
        <f t="shared" ref="Y260:AB261" si="449">+Y277+Y290</f>
        <v>291.41150596744626</v>
      </c>
      <c r="Z260" s="115">
        <f t="shared" si="449"/>
        <v>293.29140491818987</v>
      </c>
      <c r="AA260" s="115">
        <f t="shared" si="449"/>
        <v>290.11053694468563</v>
      </c>
      <c r="AB260" s="105">
        <f t="shared" si="449"/>
        <v>274.20687589682177</v>
      </c>
      <c r="AC260" s="113">
        <f>+AC277+AC290+AC439</f>
        <v>1149.0203237271435</v>
      </c>
      <c r="AD260" s="114">
        <f t="shared" ref="AD260:AG261" si="450">+AD277+AD290</f>
        <v>604.91361536148247</v>
      </c>
      <c r="AE260" s="115">
        <f t="shared" si="450"/>
        <v>327.35151493797196</v>
      </c>
      <c r="AF260" s="115">
        <f t="shared" si="450"/>
        <v>268.99336462077525</v>
      </c>
      <c r="AG260" s="105">
        <f t="shared" si="450"/>
        <v>284.37668476083286</v>
      </c>
      <c r="AH260" s="113">
        <f>+AH277+AH290+AH439</f>
        <v>1485.6351796810623</v>
      </c>
      <c r="AI260" s="114">
        <f t="shared" ref="AI260:AL261" si="451">+AI277+AI290</f>
        <v>341.2030226361378</v>
      </c>
      <c r="AJ260" s="115">
        <f t="shared" si="451"/>
        <v>241.07820666704725</v>
      </c>
      <c r="AK260" s="115">
        <f t="shared" si="451"/>
        <v>233.24706194970713</v>
      </c>
      <c r="AL260" s="105">
        <f t="shared" si="451"/>
        <v>206.39454565769023</v>
      </c>
      <c r="AM260" s="113">
        <f>+AM277+AM290+AM439</f>
        <v>1021.9228369105824</v>
      </c>
      <c r="AN260" s="114">
        <f t="shared" ref="AN260:AQ261" si="452">+AN277+AN290</f>
        <v>209.13223722858515</v>
      </c>
      <c r="AO260" s="115">
        <f t="shared" si="452"/>
        <v>214.72895357916786</v>
      </c>
      <c r="AP260" s="115">
        <f t="shared" si="452"/>
        <v>245.31852808157203</v>
      </c>
      <c r="AQ260" s="105">
        <f t="shared" si="452"/>
        <v>235.00063375655967</v>
      </c>
      <c r="AR260" s="113">
        <f>+AR277+AR290+AR439</f>
        <v>904.1803526458848</v>
      </c>
      <c r="AS260" s="114">
        <f t="shared" ref="AS260" si="453">+AS277+AS290</f>
        <v>223.33711690290372</v>
      </c>
      <c r="AT260" s="115">
        <f t="shared" ref="AT260:AV261" si="454">+AT277+AT290</f>
        <v>223.33711690290372</v>
      </c>
      <c r="AU260" s="115">
        <f t="shared" ref="AU260" si="455">+AU277+AU290</f>
        <v>235.61929237605807</v>
      </c>
      <c r="AV260" s="105">
        <f t="shared" si="454"/>
        <v>251.02664657716713</v>
      </c>
      <c r="AW260" s="113">
        <f>+AW277+AW290+AW439</f>
        <v>933.32017275903263</v>
      </c>
      <c r="AX260" s="114">
        <f t="shared" ref="AX260:BA261" si="456">+AX277+AX290</f>
        <v>309.22777747465591</v>
      </c>
      <c r="AY260" s="115">
        <f t="shared" si="456"/>
        <v>225.22892866999999</v>
      </c>
      <c r="AZ260" s="115">
        <f t="shared" si="456"/>
        <v>232.58098497</v>
      </c>
      <c r="BA260" s="105">
        <f t="shared" si="456"/>
        <v>223.7803466</v>
      </c>
      <c r="BB260" s="113">
        <f>+BB277+BB290+BB439</f>
        <v>990.81803771465593</v>
      </c>
      <c r="BC260" s="114">
        <f t="shared" ref="BC260:BF261" si="457">+BC277+BC290</f>
        <v>283.80415178298358</v>
      </c>
      <c r="BD260" s="115">
        <f t="shared" si="457"/>
        <v>208.74409025466315</v>
      </c>
      <c r="BE260" s="115">
        <f t="shared" si="457"/>
        <v>219.24295033345678</v>
      </c>
      <c r="BF260" s="105">
        <f t="shared" si="457"/>
        <v>274.30289688251548</v>
      </c>
      <c r="BG260" s="113">
        <f>+BG277+BG290+BG439</f>
        <v>986.0940892536189</v>
      </c>
      <c r="BH260" s="114">
        <f t="shared" ref="BH260:BK261" si="458">+BH277+BH290</f>
        <v>281.12230964015419</v>
      </c>
      <c r="BI260" s="115">
        <f t="shared" si="458"/>
        <v>206.79074792369687</v>
      </c>
      <c r="BJ260" s="115">
        <f t="shared" si="458"/>
        <v>217.21698497581343</v>
      </c>
      <c r="BK260" s="105">
        <f t="shared" si="458"/>
        <v>271.7129197792151</v>
      </c>
      <c r="BL260" s="113">
        <f>+BL277+BL290+BL439</f>
        <v>976.84296231887959</v>
      </c>
      <c r="BM260" s="114">
        <f t="shared" ref="BM260:BP260" si="459">+BM277+BM290</f>
        <v>271.66452742572062</v>
      </c>
      <c r="BN260" s="115">
        <f t="shared" si="459"/>
        <v>205.64976626099519</v>
      </c>
      <c r="BO260" s="115">
        <f t="shared" si="459"/>
        <v>204.38571272855623</v>
      </c>
      <c r="BP260" s="105">
        <f t="shared" si="459"/>
        <v>266.12463349420852</v>
      </c>
      <c r="BQ260" s="113">
        <f>+BQ277+BQ290+BQ439</f>
        <v>947.82463990948054</v>
      </c>
      <c r="BR260" s="87"/>
      <c r="BS260" s="87"/>
      <c r="BT260" s="12"/>
      <c r="BU260" s="91"/>
      <c r="BV260" s="91"/>
      <c r="BW260" s="91"/>
      <c r="BX260" s="91"/>
      <c r="BY260" s="91"/>
      <c r="BZ260" s="91"/>
      <c r="CA260" s="91"/>
      <c r="CB260" s="91"/>
      <c r="CC260" s="91"/>
      <c r="CD260" s="91"/>
      <c r="CE260" s="91"/>
      <c r="CF260" s="91"/>
      <c r="CG260" s="91"/>
      <c r="CH260" s="91"/>
      <c r="CI260" s="91"/>
      <c r="CJ260" s="91"/>
      <c r="CK260" s="91"/>
      <c r="CL260" s="91"/>
      <c r="CM260" s="91"/>
      <c r="CN260" s="91"/>
      <c r="CO260" s="91"/>
      <c r="CP260" s="91"/>
      <c r="CQ260" s="91"/>
      <c r="CR260" s="1018"/>
      <c r="CS260" s="1018"/>
      <c r="CT260" s="821"/>
      <c r="CU260" s="12"/>
      <c r="CV260" s="12"/>
      <c r="CW260" s="12"/>
      <c r="CX260" s="12"/>
      <c r="CY260" s="12"/>
      <c r="CZ260" s="91"/>
      <c r="DA260" s="91"/>
      <c r="DB260" s="91"/>
      <c r="DC260" s="91"/>
      <c r="DD260" s="91"/>
      <c r="DE260" s="91"/>
      <c r="DF260" s="12"/>
      <c r="DG260" s="12"/>
      <c r="DH260" s="12"/>
      <c r="DI260" s="12"/>
      <c r="DJ260" s="12"/>
      <c r="DK260" s="12"/>
      <c r="DL260" s="12"/>
      <c r="DM260" s="12"/>
      <c r="DN260" s="12"/>
    </row>
    <row r="261" spans="1:118">
      <c r="A261" s="91"/>
      <c r="B261" s="89"/>
      <c r="C261" s="1179" t="s">
        <v>683</v>
      </c>
      <c r="D261" s="89"/>
      <c r="E261" s="145"/>
      <c r="F261" s="146"/>
      <c r="G261" s="146"/>
      <c r="H261" s="147"/>
      <c r="I261" s="87"/>
      <c r="J261" s="145"/>
      <c r="K261" s="146"/>
      <c r="L261" s="146"/>
      <c r="M261" s="147"/>
      <c r="N261" s="89"/>
      <c r="O261" s="145"/>
      <c r="P261" s="146"/>
      <c r="Q261" s="146"/>
      <c r="R261" s="147"/>
      <c r="S261" s="89"/>
      <c r="T261" s="114"/>
      <c r="U261" s="115"/>
      <c r="V261" s="115"/>
      <c r="W261" s="105"/>
      <c r="X261" s="113"/>
      <c r="Y261" s="114">
        <f t="shared" si="449"/>
        <v>61.169328</v>
      </c>
      <c r="Z261" s="115">
        <f t="shared" si="449"/>
        <v>61.169328</v>
      </c>
      <c r="AA261" s="115">
        <f t="shared" si="449"/>
        <v>61.169328</v>
      </c>
      <c r="AB261" s="105">
        <f t="shared" si="449"/>
        <v>61.169328</v>
      </c>
      <c r="AC261" s="113">
        <f>+AC278+AC291+AC440</f>
        <v>244.677312</v>
      </c>
      <c r="AD261" s="114">
        <f t="shared" si="450"/>
        <v>51.540055680000009</v>
      </c>
      <c r="AE261" s="115">
        <f t="shared" si="450"/>
        <v>54.848497440000003</v>
      </c>
      <c r="AF261" s="115">
        <f t="shared" si="450"/>
        <v>54.848497440000003</v>
      </c>
      <c r="AG261" s="105">
        <f t="shared" si="450"/>
        <v>54.848497440000003</v>
      </c>
      <c r="AH261" s="113">
        <f>+AH278+AH291+AH440</f>
        <v>216.08554800000002</v>
      </c>
      <c r="AI261" s="114">
        <f t="shared" si="451"/>
        <v>54.037693564800009</v>
      </c>
      <c r="AJ261" s="115">
        <f t="shared" si="451"/>
        <v>54.037693564800009</v>
      </c>
      <c r="AK261" s="115">
        <f t="shared" si="451"/>
        <v>54.037693564800009</v>
      </c>
      <c r="AL261" s="105">
        <f t="shared" si="451"/>
        <v>54.037693564800009</v>
      </c>
      <c r="AM261" s="113">
        <f>+AM278+AM291+AM440</f>
        <v>216.15077425920003</v>
      </c>
      <c r="AN261" s="114">
        <f t="shared" si="452"/>
        <v>58.188770934096013</v>
      </c>
      <c r="AO261" s="115">
        <f t="shared" si="452"/>
        <v>58.188770934096013</v>
      </c>
      <c r="AP261" s="115">
        <f t="shared" si="452"/>
        <v>58.188770934096013</v>
      </c>
      <c r="AQ261" s="105">
        <f t="shared" si="452"/>
        <v>58.188770934096013</v>
      </c>
      <c r="AR261" s="113">
        <f>+AR278+AR291+AR440</f>
        <v>232.75508373638405</v>
      </c>
      <c r="AS261" s="114">
        <f t="shared" ref="AS261" si="460">+AS278+AS291</f>
        <v>59.934434062118896</v>
      </c>
      <c r="AT261" s="115">
        <f t="shared" si="454"/>
        <v>59.934434062118896</v>
      </c>
      <c r="AU261" s="115">
        <f t="shared" ref="AU261" si="461">+AU278+AU291</f>
        <v>59.934434062118896</v>
      </c>
      <c r="AV261" s="105">
        <f t="shared" si="454"/>
        <v>59.934434062118896</v>
      </c>
      <c r="AW261" s="113">
        <f>+AW278+AW291+AW440</f>
        <v>239.73773624847558</v>
      </c>
      <c r="AX261" s="114">
        <f t="shared" si="456"/>
        <v>57.035431544983801</v>
      </c>
      <c r="AY261" s="115">
        <f t="shared" si="456"/>
        <v>57.035431544983801</v>
      </c>
      <c r="AZ261" s="115">
        <f t="shared" si="456"/>
        <v>57.035431544983801</v>
      </c>
      <c r="BA261" s="105">
        <f t="shared" si="456"/>
        <v>57.035431544983801</v>
      </c>
      <c r="BB261" s="113">
        <f>+BB278+BB291+BB440</f>
        <v>228.1417261799352</v>
      </c>
      <c r="BC261" s="114">
        <f t="shared" si="457"/>
        <v>63.584441096501948</v>
      </c>
      <c r="BD261" s="115">
        <f t="shared" si="457"/>
        <v>63.584441096501948</v>
      </c>
      <c r="BE261" s="115">
        <f t="shared" si="457"/>
        <v>63.584441096501948</v>
      </c>
      <c r="BF261" s="105">
        <f t="shared" si="457"/>
        <v>63.584441096501948</v>
      </c>
      <c r="BG261" s="113">
        <f>+BG278+BG291+BG440</f>
        <v>254.33776438600779</v>
      </c>
      <c r="BH261" s="114">
        <f t="shared" si="458"/>
        <v>65.49197432939701</v>
      </c>
      <c r="BI261" s="115">
        <f t="shared" si="458"/>
        <v>65.49197432939701</v>
      </c>
      <c r="BJ261" s="115">
        <f t="shared" si="458"/>
        <v>65.49197432939701</v>
      </c>
      <c r="BK261" s="105">
        <f t="shared" si="458"/>
        <v>65.49197432939701</v>
      </c>
      <c r="BL261" s="113">
        <f>+BL278+BL291+BL440</f>
        <v>261.96789731758804</v>
      </c>
      <c r="BM261" s="114">
        <f t="shared" ref="BM261:BP261" si="462">+BM278+BM291</f>
        <v>67.456733559278916</v>
      </c>
      <c r="BN261" s="115">
        <f t="shared" si="462"/>
        <v>67.456733559278916</v>
      </c>
      <c r="BO261" s="115">
        <f t="shared" si="462"/>
        <v>67.456733559278916</v>
      </c>
      <c r="BP261" s="105">
        <f t="shared" si="462"/>
        <v>67.456733559278916</v>
      </c>
      <c r="BQ261" s="113">
        <f>+BQ278+BQ291+BQ440</f>
        <v>269.82693423711567</v>
      </c>
      <c r="BR261" s="87"/>
      <c r="BS261" s="87"/>
      <c r="BT261" s="12"/>
      <c r="BU261" s="91"/>
      <c r="BV261" s="91"/>
      <c r="BW261" s="91"/>
      <c r="BX261" s="91"/>
      <c r="BY261" s="91"/>
      <c r="BZ261" s="91"/>
      <c r="CA261" s="91"/>
      <c r="CB261" s="91"/>
      <c r="CC261" s="91"/>
      <c r="CD261" s="91"/>
      <c r="CE261" s="91"/>
      <c r="CF261" s="91"/>
      <c r="CG261" s="91"/>
      <c r="CH261" s="91"/>
      <c r="CI261" s="91"/>
      <c r="CJ261" s="91"/>
      <c r="CK261" s="91"/>
      <c r="CL261" s="91"/>
      <c r="CM261" s="91"/>
      <c r="CN261" s="91"/>
      <c r="CO261" s="91"/>
      <c r="CP261" s="91"/>
      <c r="CQ261" s="91"/>
      <c r="CR261" s="1018"/>
      <c r="CS261" s="1018"/>
      <c r="CT261" s="821"/>
      <c r="CU261" s="12"/>
      <c r="CV261" s="12"/>
      <c r="CW261" s="12"/>
      <c r="CX261" s="12"/>
      <c r="CY261" s="12"/>
      <c r="CZ261" s="91"/>
      <c r="DA261" s="91"/>
      <c r="DB261" s="91"/>
      <c r="DC261" s="91"/>
      <c r="DD261" s="91"/>
      <c r="DE261" s="91"/>
      <c r="DF261" s="12"/>
      <c r="DG261" s="12"/>
      <c r="DH261" s="12"/>
      <c r="DI261" s="12"/>
      <c r="DJ261" s="12"/>
      <c r="DK261" s="12"/>
      <c r="DL261" s="12"/>
      <c r="DM261" s="12"/>
      <c r="DN261" s="12"/>
    </row>
    <row r="262" spans="1:118">
      <c r="A262" s="91"/>
      <c r="B262" s="89"/>
      <c r="C262" s="1186" t="s">
        <v>567</v>
      </c>
      <c r="D262" s="88"/>
      <c r="E262" s="214"/>
      <c r="F262" s="148"/>
      <c r="G262" s="148"/>
      <c r="H262" s="215"/>
      <c r="I262" s="87"/>
      <c r="J262" s="214"/>
      <c r="K262" s="148"/>
      <c r="L262" s="148"/>
      <c r="M262" s="215"/>
      <c r="N262" s="88"/>
      <c r="O262" s="214"/>
      <c r="P262" s="148"/>
      <c r="Q262" s="148"/>
      <c r="R262" s="215"/>
      <c r="S262" s="88"/>
      <c r="T262" s="106"/>
      <c r="U262" s="76"/>
      <c r="V262" s="76"/>
      <c r="W262" s="107"/>
      <c r="X262" s="93"/>
      <c r="Y262" s="106">
        <f t="shared" ref="Y262:AR262" si="463">Y260-Y261</f>
        <v>230.24217796744625</v>
      </c>
      <c r="Z262" s="76">
        <f t="shared" si="463"/>
        <v>232.12207691818986</v>
      </c>
      <c r="AA262" s="76">
        <f t="shared" si="463"/>
        <v>228.94120894468563</v>
      </c>
      <c r="AB262" s="107">
        <f t="shared" si="463"/>
        <v>213.03754789682176</v>
      </c>
      <c r="AC262" s="93">
        <f t="shared" si="463"/>
        <v>904.34301172714345</v>
      </c>
      <c r="AD262" s="106">
        <f t="shared" si="463"/>
        <v>553.37355968148245</v>
      </c>
      <c r="AE262" s="76">
        <f t="shared" si="463"/>
        <v>272.50301749797194</v>
      </c>
      <c r="AF262" s="76">
        <f t="shared" si="463"/>
        <v>214.14486718077524</v>
      </c>
      <c r="AG262" s="107">
        <f t="shared" si="463"/>
        <v>229.52818732083284</v>
      </c>
      <c r="AH262" s="93">
        <f t="shared" si="463"/>
        <v>1269.5496316810622</v>
      </c>
      <c r="AI262" s="106">
        <f t="shared" si="463"/>
        <v>287.16532907133779</v>
      </c>
      <c r="AJ262" s="76">
        <f t="shared" si="463"/>
        <v>187.04051310224725</v>
      </c>
      <c r="AK262" s="76">
        <f t="shared" si="463"/>
        <v>179.20936838490712</v>
      </c>
      <c r="AL262" s="107">
        <f t="shared" si="463"/>
        <v>152.35685209289022</v>
      </c>
      <c r="AM262" s="93">
        <f t="shared" si="463"/>
        <v>805.77206265138238</v>
      </c>
      <c r="AN262" s="106">
        <f t="shared" si="463"/>
        <v>150.94346629448916</v>
      </c>
      <c r="AO262" s="76">
        <f t="shared" si="463"/>
        <v>156.54018264507187</v>
      </c>
      <c r="AP262" s="76">
        <f t="shared" ref="AP262" si="464">AP260-AP261</f>
        <v>187.12975714747603</v>
      </c>
      <c r="AQ262" s="107">
        <f t="shared" si="463"/>
        <v>176.81186282246364</v>
      </c>
      <c r="AR262" s="93">
        <f t="shared" si="463"/>
        <v>671.4252689095008</v>
      </c>
      <c r="AS262" s="106">
        <f t="shared" ref="AS262" si="465">AS260-AS261</f>
        <v>163.40268284078482</v>
      </c>
      <c r="AT262" s="76">
        <f t="shared" ref="AT262:BB262" si="466">AT260-AT261</f>
        <v>163.40268284078482</v>
      </c>
      <c r="AU262" s="76">
        <f t="shared" ref="AU262" si="467">AU260-AU261</f>
        <v>175.68485831393917</v>
      </c>
      <c r="AV262" s="107">
        <f t="shared" si="466"/>
        <v>191.09221251504823</v>
      </c>
      <c r="AW262" s="93">
        <f t="shared" si="466"/>
        <v>693.58243651055705</v>
      </c>
      <c r="AX262" s="106">
        <f t="shared" si="466"/>
        <v>252.19234592967211</v>
      </c>
      <c r="AY262" s="76">
        <f t="shared" si="466"/>
        <v>168.19349712501619</v>
      </c>
      <c r="AZ262" s="76">
        <f t="shared" si="466"/>
        <v>175.54555342501621</v>
      </c>
      <c r="BA262" s="107">
        <f t="shared" si="466"/>
        <v>166.74491505501621</v>
      </c>
      <c r="BB262" s="93">
        <f t="shared" si="466"/>
        <v>762.67631153472075</v>
      </c>
      <c r="BC262" s="106">
        <f t="shared" ref="BC262:BL262" si="468">BC260-BC261</f>
        <v>220.21971068648162</v>
      </c>
      <c r="BD262" s="76">
        <f t="shared" si="468"/>
        <v>145.15964915816119</v>
      </c>
      <c r="BE262" s="76">
        <f t="shared" si="468"/>
        <v>155.65850923695484</v>
      </c>
      <c r="BF262" s="107">
        <f t="shared" si="468"/>
        <v>210.71845578601352</v>
      </c>
      <c r="BG262" s="93">
        <f t="shared" si="468"/>
        <v>731.75632486761106</v>
      </c>
      <c r="BH262" s="106">
        <f t="shared" si="468"/>
        <v>215.63033531075718</v>
      </c>
      <c r="BI262" s="76">
        <f t="shared" si="468"/>
        <v>141.29877359429986</v>
      </c>
      <c r="BJ262" s="76">
        <f t="shared" si="468"/>
        <v>151.72501064641642</v>
      </c>
      <c r="BK262" s="107">
        <f t="shared" si="468"/>
        <v>206.22094544981809</v>
      </c>
      <c r="BL262" s="93">
        <f t="shared" si="468"/>
        <v>714.87506500129155</v>
      </c>
      <c r="BM262" s="106">
        <f t="shared" ref="BM262:BQ262" si="469">BM260-BM261</f>
        <v>204.2077938664417</v>
      </c>
      <c r="BN262" s="76">
        <f t="shared" si="469"/>
        <v>138.19303270171628</v>
      </c>
      <c r="BO262" s="76">
        <f t="shared" si="469"/>
        <v>136.92897916927731</v>
      </c>
      <c r="BP262" s="107">
        <f t="shared" si="469"/>
        <v>198.66789993492961</v>
      </c>
      <c r="BQ262" s="93">
        <f t="shared" si="469"/>
        <v>677.99770567236487</v>
      </c>
      <c r="BR262" s="87"/>
      <c r="BS262" s="87"/>
      <c r="BT262" s="12"/>
      <c r="BU262" s="91"/>
      <c r="BV262" s="91"/>
      <c r="BW262" s="91"/>
      <c r="BX262" s="91"/>
      <c r="BY262" s="91"/>
      <c r="BZ262" s="91"/>
      <c r="CA262" s="91"/>
      <c r="CB262" s="91"/>
      <c r="CC262" s="91"/>
      <c r="CD262" s="91"/>
      <c r="CE262" s="91"/>
      <c r="CF262" s="91"/>
      <c r="CG262" s="91"/>
      <c r="CH262" s="91"/>
      <c r="CI262" s="91"/>
      <c r="CJ262" s="91"/>
      <c r="CK262" s="91"/>
      <c r="CL262" s="91"/>
      <c r="CM262" s="91"/>
      <c r="CN262" s="91"/>
      <c r="CO262" s="91"/>
      <c r="CP262" s="91"/>
      <c r="CQ262" s="91"/>
      <c r="CR262" s="1018"/>
      <c r="CS262" s="1018"/>
      <c r="CT262" s="821"/>
      <c r="CU262" s="12"/>
      <c r="CV262" s="12"/>
      <c r="CW262" s="12"/>
      <c r="CX262" s="12"/>
      <c r="CY262" s="12"/>
      <c r="CZ262" s="91"/>
      <c r="DA262" s="91"/>
      <c r="DB262" s="91"/>
      <c r="DC262" s="91"/>
      <c r="DD262" s="91"/>
      <c r="DE262" s="91"/>
      <c r="DF262" s="12"/>
      <c r="DG262" s="12"/>
      <c r="DH262" s="12"/>
      <c r="DI262" s="12"/>
      <c r="DJ262" s="12"/>
      <c r="DK262" s="12"/>
      <c r="DL262" s="12"/>
      <c r="DM262" s="12"/>
      <c r="DN262" s="12"/>
    </row>
    <row r="263" spans="1:118">
      <c r="A263" s="91"/>
      <c r="B263" s="89"/>
      <c r="C263" s="1184"/>
      <c r="D263" s="89"/>
      <c r="E263" s="145"/>
      <c r="F263" s="146"/>
      <c r="G263" s="146"/>
      <c r="H263" s="147"/>
      <c r="I263" s="87"/>
      <c r="J263" s="145"/>
      <c r="K263" s="146"/>
      <c r="L263" s="146"/>
      <c r="M263" s="147"/>
      <c r="N263" s="89"/>
      <c r="O263" s="145"/>
      <c r="P263" s="146"/>
      <c r="Q263" s="146"/>
      <c r="R263" s="147"/>
      <c r="S263" s="89"/>
      <c r="T263" s="145"/>
      <c r="U263" s="146"/>
      <c r="V263" s="146"/>
      <c r="W263" s="147"/>
      <c r="X263" s="89"/>
      <c r="Y263" s="145"/>
      <c r="Z263" s="146"/>
      <c r="AA263" s="146"/>
      <c r="AB263" s="147"/>
      <c r="AC263" s="89"/>
      <c r="AD263" s="145"/>
      <c r="AE263" s="146"/>
      <c r="AF263" s="146"/>
      <c r="AG263" s="147"/>
      <c r="AH263" s="89"/>
      <c r="AI263" s="145"/>
      <c r="AJ263" s="146"/>
      <c r="AK263" s="146"/>
      <c r="AL263" s="147"/>
      <c r="AM263" s="89"/>
      <c r="AN263" s="145"/>
      <c r="AO263" s="146"/>
      <c r="AP263" s="146"/>
      <c r="AQ263" s="147"/>
      <c r="AR263" s="89"/>
      <c r="AS263" s="145"/>
      <c r="AT263" s="146"/>
      <c r="AU263" s="146"/>
      <c r="AV263" s="147"/>
      <c r="AW263" s="89"/>
      <c r="AX263" s="145"/>
      <c r="AY263" s="146"/>
      <c r="AZ263" s="146"/>
      <c r="BA263" s="147"/>
      <c r="BB263" s="89"/>
      <c r="BC263" s="145"/>
      <c r="BD263" s="146"/>
      <c r="BE263" s="146"/>
      <c r="BF263" s="147"/>
      <c r="BG263" s="89"/>
      <c r="BH263" s="145"/>
      <c r="BI263" s="146"/>
      <c r="BJ263" s="146"/>
      <c r="BK263" s="147"/>
      <c r="BL263" s="89"/>
      <c r="BM263" s="145"/>
      <c r="BN263" s="146"/>
      <c r="BO263" s="146"/>
      <c r="BP263" s="147"/>
      <c r="BQ263" s="89"/>
      <c r="BR263" s="87"/>
      <c r="BS263" s="87"/>
      <c r="BT263" s="12"/>
      <c r="BU263" s="91"/>
      <c r="BV263" s="91"/>
      <c r="BW263" s="91"/>
      <c r="BX263" s="91"/>
      <c r="BY263" s="91"/>
      <c r="BZ263" s="91"/>
      <c r="CA263" s="91"/>
      <c r="CB263" s="91"/>
      <c r="CC263" s="91"/>
      <c r="CD263" s="91"/>
      <c r="CE263" s="91"/>
      <c r="CF263" s="91"/>
      <c r="CG263" s="91"/>
      <c r="CH263" s="91"/>
      <c r="CI263" s="91"/>
      <c r="CJ263" s="91"/>
      <c r="CK263" s="91"/>
      <c r="CL263" s="91"/>
      <c r="CM263" s="91"/>
      <c r="CN263" s="91"/>
      <c r="CO263" s="91"/>
      <c r="CP263" s="91"/>
      <c r="CQ263" s="91"/>
      <c r="CR263" s="1018"/>
      <c r="CS263" s="1018"/>
      <c r="CT263" s="821"/>
      <c r="CU263" s="12"/>
      <c r="CV263" s="12"/>
      <c r="CW263" s="12"/>
      <c r="CX263" s="12"/>
      <c r="CY263" s="12"/>
      <c r="CZ263" s="91"/>
      <c r="DA263" s="91"/>
      <c r="DB263" s="91"/>
      <c r="DC263" s="91"/>
      <c r="DD263" s="91"/>
      <c r="DE263" s="91"/>
      <c r="DF263" s="12"/>
      <c r="DG263" s="12"/>
      <c r="DH263" s="12"/>
      <c r="DI263" s="12"/>
      <c r="DJ263" s="12"/>
      <c r="DK263" s="12"/>
      <c r="DL263" s="12"/>
      <c r="DM263" s="12"/>
      <c r="DN263" s="12"/>
    </row>
    <row r="264" spans="1:118" s="12" customFormat="1">
      <c r="A264" s="91"/>
      <c r="B264" s="87"/>
      <c r="C264" s="1179" t="s">
        <v>568</v>
      </c>
      <c r="D264" s="87"/>
      <c r="E264" s="104"/>
      <c r="F264" s="77"/>
      <c r="G264" s="77"/>
      <c r="H264" s="102"/>
      <c r="I264" s="96"/>
      <c r="J264" s="104"/>
      <c r="K264" s="77"/>
      <c r="L264" s="77"/>
      <c r="M264" s="102"/>
      <c r="N264" s="96"/>
      <c r="O264" s="104"/>
      <c r="P264" s="77"/>
      <c r="Q264" s="77"/>
      <c r="R264" s="102"/>
      <c r="S264" s="96"/>
      <c r="T264" s="114"/>
      <c r="U264" s="77"/>
      <c r="V264" s="77"/>
      <c r="W264" s="102"/>
      <c r="X264" s="96"/>
      <c r="Y264" s="114">
        <f>+Y272+Y285</f>
        <v>4048</v>
      </c>
      <c r="Z264" s="77">
        <f>+Z272+Z285</f>
        <v>4048</v>
      </c>
      <c r="AA264" s="77">
        <f>+AA272+AA285</f>
        <v>4048</v>
      </c>
      <c r="AB264" s="102">
        <f>+AB272+AB285</f>
        <v>4048</v>
      </c>
      <c r="AC264" s="96">
        <f>+AC272+AC285+AC434</f>
        <v>4048</v>
      </c>
      <c r="AD264" s="114">
        <f>+AD272+AD285</f>
        <v>4048</v>
      </c>
      <c r="AE264" s="77">
        <f>+AE272+AE285</f>
        <v>4048</v>
      </c>
      <c r="AF264" s="77">
        <f>+AF272+AF285</f>
        <v>4048</v>
      </c>
      <c r="AG264" s="102">
        <f>+AG272+AG285</f>
        <v>4048</v>
      </c>
      <c r="AH264" s="96">
        <f>+AH272+AH285+AH434</f>
        <v>4048</v>
      </c>
      <c r="AI264" s="114">
        <f>+AI272+AI285</f>
        <v>4048</v>
      </c>
      <c r="AJ264" s="77">
        <f>+AJ272+AJ285</f>
        <v>4048</v>
      </c>
      <c r="AK264" s="77">
        <f>+AK272+AK285</f>
        <v>4048</v>
      </c>
      <c r="AL264" s="102">
        <f>+AL272+AL285</f>
        <v>4048</v>
      </c>
      <c r="AM264" s="96">
        <f>+AM272+AM285+AM434</f>
        <v>4048</v>
      </c>
      <c r="AN264" s="114">
        <f>+AN272+AN285</f>
        <v>4048</v>
      </c>
      <c r="AO264" s="77">
        <f>+AO272+AO285</f>
        <v>4048</v>
      </c>
      <c r="AP264" s="77">
        <f>+AP272+AP285</f>
        <v>4048</v>
      </c>
      <c r="AQ264" s="102">
        <f>+AQ272+AQ285</f>
        <v>4048</v>
      </c>
      <c r="AR264" s="96">
        <f>+AR272+AR285+AR434</f>
        <v>4048</v>
      </c>
      <c r="AS264" s="114">
        <f>+AS272+AS285</f>
        <v>4048</v>
      </c>
      <c r="AT264" s="77">
        <f>+AT272+AT285</f>
        <v>4048</v>
      </c>
      <c r="AU264" s="77">
        <f>+AU272+AU285</f>
        <v>4048</v>
      </c>
      <c r="AV264" s="102">
        <f>+AV272+AV285</f>
        <v>4048</v>
      </c>
      <c r="AW264" s="96">
        <f>+AW272+AW285+AW434</f>
        <v>4048</v>
      </c>
      <c r="AX264" s="114">
        <f>+AX272+AX285</f>
        <v>4048</v>
      </c>
      <c r="AY264" s="77">
        <f>+AY272+AY285</f>
        <v>4048</v>
      </c>
      <c r="AZ264" s="77">
        <f>+AZ272+AZ285</f>
        <v>4048</v>
      </c>
      <c r="BA264" s="102">
        <f>+BA272+BA285</f>
        <v>4048</v>
      </c>
      <c r="BB264" s="96">
        <f>+BB272+BB285+BB434</f>
        <v>4048</v>
      </c>
      <c r="BC264" s="114">
        <f>+BC272+BC285</f>
        <v>4048</v>
      </c>
      <c r="BD264" s="77">
        <f>+BD272+BD285</f>
        <v>4048</v>
      </c>
      <c r="BE264" s="77">
        <f>+BE272+BE285</f>
        <v>4048</v>
      </c>
      <c r="BF264" s="102">
        <f>+BF272+BF285</f>
        <v>4048</v>
      </c>
      <c r="BG264" s="96">
        <f>+BG272+BG285+BG434</f>
        <v>4048</v>
      </c>
      <c r="BH264" s="114">
        <f>+BH272+BH285</f>
        <v>4048</v>
      </c>
      <c r="BI264" s="77">
        <f>+BI272+BI285</f>
        <v>4048</v>
      </c>
      <c r="BJ264" s="77">
        <f>+BJ272+BJ285</f>
        <v>4048</v>
      </c>
      <c r="BK264" s="102">
        <f>+BK272+BK285</f>
        <v>4048</v>
      </c>
      <c r="BL264" s="96">
        <f>+BL272+BL285+BL434</f>
        <v>4048</v>
      </c>
      <c r="BM264" s="114">
        <f>+BM272+BM285</f>
        <v>4048</v>
      </c>
      <c r="BN264" s="77">
        <f>+BN272+BN285</f>
        <v>4048</v>
      </c>
      <c r="BO264" s="77">
        <f>+BO272+BO285</f>
        <v>4048</v>
      </c>
      <c r="BP264" s="102">
        <f>+BP272+BP285</f>
        <v>4048</v>
      </c>
      <c r="BQ264" s="96">
        <f>+BQ272+BQ285+BQ434</f>
        <v>4048</v>
      </c>
      <c r="BR264" s="87"/>
      <c r="BS264" s="87"/>
      <c r="CE264" s="91"/>
      <c r="CF264" s="91"/>
      <c r="CG264" s="91"/>
      <c r="CH264" s="91"/>
      <c r="CI264" s="91"/>
      <c r="CJ264" s="91"/>
      <c r="CK264" s="91"/>
      <c r="CL264" s="91"/>
      <c r="CM264" s="91"/>
      <c r="CN264" s="91"/>
      <c r="CO264" s="91"/>
      <c r="CP264" s="91"/>
      <c r="CQ264" s="91"/>
      <c r="CR264" s="1049"/>
      <c r="CS264" s="1049"/>
      <c r="CT264" s="1050"/>
      <c r="CZ264" s="91"/>
      <c r="DA264" s="91"/>
      <c r="DB264" s="91"/>
      <c r="DC264" s="91"/>
      <c r="DD264" s="91"/>
      <c r="DE264" s="91"/>
    </row>
    <row r="265" spans="1:118" s="12" customFormat="1">
      <c r="A265" s="91"/>
      <c r="B265" s="87"/>
      <c r="C265" s="1179" t="s">
        <v>569</v>
      </c>
      <c r="D265" s="87"/>
      <c r="E265" s="872"/>
      <c r="F265" s="800"/>
      <c r="G265" s="800"/>
      <c r="H265" s="1051"/>
      <c r="I265" s="87"/>
      <c r="J265" s="872"/>
      <c r="K265" s="800"/>
      <c r="L265" s="800"/>
      <c r="M265" s="1051"/>
      <c r="N265" s="1052"/>
      <c r="O265" s="872"/>
      <c r="P265" s="800"/>
      <c r="Q265" s="800"/>
      <c r="R265" s="1051"/>
      <c r="S265" s="87"/>
      <c r="T265" s="245"/>
      <c r="U265" s="246"/>
      <c r="V265" s="246"/>
      <c r="W265" s="1053"/>
      <c r="X265" s="256"/>
      <c r="Y265" s="245">
        <f>+Y275+Y288</f>
        <v>8155.9104000000007</v>
      </c>
      <c r="Z265" s="246">
        <f>+Z275+Z288</f>
        <v>8155.9104000000007</v>
      </c>
      <c r="AA265" s="246">
        <f>+AA275+AA288</f>
        <v>8155.9104000000007</v>
      </c>
      <c r="AB265" s="1053">
        <f>+AB275+AB288</f>
        <v>8155.9104000000007</v>
      </c>
      <c r="AC265" s="256">
        <f>+AC275+AC288+AC437</f>
        <v>32623.641600000003</v>
      </c>
      <c r="AD265" s="245">
        <f>+AD275+AD288</f>
        <v>7663.9488000000001</v>
      </c>
      <c r="AE265" s="246">
        <f>+AE275+AE288</f>
        <v>8155.9104000000007</v>
      </c>
      <c r="AF265" s="246">
        <f>+AF275+AF288</f>
        <v>8155.9104000000007</v>
      </c>
      <c r="AG265" s="1053">
        <f>+AG275+AG288</f>
        <v>8155.9104000000007</v>
      </c>
      <c r="AH265" s="256">
        <f>+AH275+AH288+AH437</f>
        <v>32131.68</v>
      </c>
      <c r="AI265" s="245">
        <f>+AI275+AI288</f>
        <v>7801.3055999999997</v>
      </c>
      <c r="AJ265" s="246">
        <f>+AJ275+AJ288</f>
        <v>7801.3055999999997</v>
      </c>
      <c r="AK265" s="246">
        <f>+AK275+AK288</f>
        <v>7801.3055999999997</v>
      </c>
      <c r="AL265" s="1053">
        <f>+AL275+AL288</f>
        <v>7801.3055999999997</v>
      </c>
      <c r="AM265" s="256">
        <f>+AM275+AM288+AM437</f>
        <v>31205.222399999999</v>
      </c>
      <c r="AN265" s="245">
        <f>+AN275+AN288</f>
        <v>8155.9104000000007</v>
      </c>
      <c r="AO265" s="246">
        <f>+AO275+AO288</f>
        <v>8155.9104000000007</v>
      </c>
      <c r="AP265" s="246">
        <f>+AP275+AP288</f>
        <v>8155.9104000000007</v>
      </c>
      <c r="AQ265" s="1053">
        <f>+AQ275+AQ288</f>
        <v>8155.9104000000007</v>
      </c>
      <c r="AR265" s="256">
        <f>+AR275+AR288+AR437</f>
        <v>32623.641600000003</v>
      </c>
      <c r="AS265" s="245">
        <f>+AS275+AS288</f>
        <v>8155.9104000000007</v>
      </c>
      <c r="AT265" s="246">
        <f>+AT275+AT288</f>
        <v>8155.9104000000007</v>
      </c>
      <c r="AU265" s="246">
        <f>+AU275+AU288</f>
        <v>8155.9104000000007</v>
      </c>
      <c r="AV265" s="1053">
        <f>+AV275+AV288</f>
        <v>8155.9104000000007</v>
      </c>
      <c r="AW265" s="256">
        <f>+AW275+AW288+AW437</f>
        <v>32623.641600000003</v>
      </c>
      <c r="AX265" s="245">
        <f>+AX275+AX288</f>
        <v>7535.3519999999999</v>
      </c>
      <c r="AY265" s="246">
        <f>+AY275+AY288</f>
        <v>7535.3519999999999</v>
      </c>
      <c r="AZ265" s="246">
        <f>+AZ275+AZ288</f>
        <v>7535.3519999999999</v>
      </c>
      <c r="BA265" s="1053">
        <f>+BA275+BA288</f>
        <v>7535.3519999999999</v>
      </c>
      <c r="BB265" s="256">
        <f>+BB275+BB288+BB437</f>
        <v>30141.407999999999</v>
      </c>
      <c r="BC265" s="245">
        <f>+BC275+BC288</f>
        <v>8155.9104000000007</v>
      </c>
      <c r="BD265" s="246">
        <f>+BD275+BD288</f>
        <v>8155.9104000000007</v>
      </c>
      <c r="BE265" s="246">
        <f>+BE275+BE288</f>
        <v>8155.9104000000007</v>
      </c>
      <c r="BF265" s="1053">
        <f>+BF275+BF288</f>
        <v>8155.9104000000007</v>
      </c>
      <c r="BG265" s="256">
        <f>+BG275+BG288+BG437</f>
        <v>32623.641600000003</v>
      </c>
      <c r="BH265" s="245">
        <f>+BH275+BH288</f>
        <v>8155.9104000000007</v>
      </c>
      <c r="BI265" s="246">
        <f>+BI275+BI288</f>
        <v>8155.9104000000007</v>
      </c>
      <c r="BJ265" s="246">
        <f>+BJ275+BJ288</f>
        <v>8155.9104000000007</v>
      </c>
      <c r="BK265" s="1053">
        <f>+BK275+BK288</f>
        <v>8155.9104000000007</v>
      </c>
      <c r="BL265" s="256">
        <f>+BL275+BL288+BL437</f>
        <v>32623.641600000003</v>
      </c>
      <c r="BM265" s="245">
        <f>+BM275+BM288</f>
        <v>8155.9104000000007</v>
      </c>
      <c r="BN265" s="246">
        <f>+BN275+BN288</f>
        <v>8155.9104000000007</v>
      </c>
      <c r="BO265" s="246">
        <f>+BO275+BO288</f>
        <v>8155.9104000000007</v>
      </c>
      <c r="BP265" s="1053">
        <f>+BP275+BP288</f>
        <v>8155.9104000000007</v>
      </c>
      <c r="BQ265" s="256">
        <f>+BQ275+BQ288+BQ437</f>
        <v>32623.641600000003</v>
      </c>
      <c r="BR265" s="87"/>
      <c r="BS265" s="87"/>
      <c r="CG265" s="91"/>
      <c r="CH265" s="91"/>
      <c r="CI265" s="91"/>
      <c r="CJ265" s="91"/>
      <c r="CK265" s="91"/>
      <c r="CL265" s="91"/>
      <c r="CM265" s="91"/>
      <c r="CN265" s="91"/>
      <c r="CO265" s="91"/>
      <c r="CP265" s="91"/>
      <c r="CQ265" s="91"/>
      <c r="CR265" s="1049"/>
      <c r="CS265" s="1049"/>
      <c r="CT265" s="1050"/>
      <c r="CZ265" s="91"/>
      <c r="DA265" s="91"/>
      <c r="DB265" s="91"/>
      <c r="DC265" s="91"/>
      <c r="DD265" s="91"/>
      <c r="DE265" s="91"/>
    </row>
    <row r="266" spans="1:118">
      <c r="A266" s="91"/>
      <c r="B266" s="89"/>
      <c r="C266" s="1179" t="s">
        <v>570</v>
      </c>
      <c r="D266" s="89"/>
      <c r="E266" s="145"/>
      <c r="F266" s="146"/>
      <c r="G266" s="146"/>
      <c r="H266" s="147"/>
      <c r="I266" s="87"/>
      <c r="J266" s="145"/>
      <c r="K266" s="146"/>
      <c r="L266" s="146"/>
      <c r="M266" s="147"/>
      <c r="N266" s="89"/>
      <c r="O266" s="145"/>
      <c r="P266" s="146"/>
      <c r="Q266" s="146"/>
      <c r="R266" s="147"/>
      <c r="S266" s="89"/>
      <c r="T266" s="833"/>
      <c r="U266" s="834"/>
      <c r="V266" s="834"/>
      <c r="W266" s="835"/>
      <c r="X266" s="1054"/>
      <c r="Y266" s="833">
        <f>Y265/(Y264*8.76/4)</f>
        <v>0.92000000000000015</v>
      </c>
      <c r="Z266" s="834">
        <f>Z265/(Z264*8.76/4)</f>
        <v>0.92000000000000015</v>
      </c>
      <c r="AA266" s="834">
        <f>AA265/(AA264*8.76/4)</f>
        <v>0.92000000000000015</v>
      </c>
      <c r="AB266" s="835">
        <f>AB265/(AB264*8.76/4)</f>
        <v>0.92000000000000015</v>
      </c>
      <c r="AC266" s="1054">
        <f>AC265/(AC264*8.76)</f>
        <v>0.92000000000000015</v>
      </c>
      <c r="AD266" s="833">
        <f>AD265/(AD264*8.76/4)</f>
        <v>0.8645059288537551</v>
      </c>
      <c r="AE266" s="834">
        <f>AE265/(AE264*8.76/4)</f>
        <v>0.92000000000000015</v>
      </c>
      <c r="AF266" s="834">
        <f>AF265/(AF264*8.76/4)</f>
        <v>0.92000000000000015</v>
      </c>
      <c r="AG266" s="835">
        <f>AG265/(AG264*8.76/4)</f>
        <v>0.92000000000000015</v>
      </c>
      <c r="AH266" s="1054">
        <f>AH265/(AH264*8.76)</f>
        <v>0.90612648221343883</v>
      </c>
      <c r="AI266" s="833">
        <f>AI265/(AI264*8.76/4)</f>
        <v>0.88000000000000012</v>
      </c>
      <c r="AJ266" s="834">
        <f>AJ265/(AJ264*8.76/4)</f>
        <v>0.88000000000000012</v>
      </c>
      <c r="AK266" s="834">
        <f>AK265/(AK264*8.76/4)</f>
        <v>0.88000000000000012</v>
      </c>
      <c r="AL266" s="835">
        <f>AL265/(AL264*8.76/4)</f>
        <v>0.88000000000000012</v>
      </c>
      <c r="AM266" s="1054">
        <f>AM265/(AM264*8.76)</f>
        <v>0.88000000000000012</v>
      </c>
      <c r="AN266" s="833">
        <f>AN265/(AN264*8.76/4)</f>
        <v>0.92000000000000015</v>
      </c>
      <c r="AO266" s="834">
        <f>AO265/(AO264*8.76/4)</f>
        <v>0.92000000000000015</v>
      </c>
      <c r="AP266" s="834">
        <f>AP265/(AP264*8.76/4)</f>
        <v>0.92000000000000015</v>
      </c>
      <c r="AQ266" s="835">
        <f>AQ265/(AQ264*8.76/4)</f>
        <v>0.92000000000000015</v>
      </c>
      <c r="AR266" s="1054">
        <f>AR265/(AR264*8.76)</f>
        <v>0.92000000000000015</v>
      </c>
      <c r="AS266" s="833">
        <f>AS265/(AS264*8.76/4)</f>
        <v>0.92000000000000015</v>
      </c>
      <c r="AT266" s="834">
        <f>AT265/(AT264*8.76/4)</f>
        <v>0.92000000000000015</v>
      </c>
      <c r="AU266" s="834">
        <f>AU265/(AU264*8.76/4)</f>
        <v>0.92000000000000015</v>
      </c>
      <c r="AV266" s="835">
        <f>AV265/(AV264*8.76/4)</f>
        <v>0.92000000000000015</v>
      </c>
      <c r="AW266" s="1054">
        <f>AW265/(AW264*8.76)</f>
        <v>0.92000000000000015</v>
      </c>
      <c r="AX266" s="833">
        <f>AX265/(AX264*8.76/4)</f>
        <v>0.85000000000000009</v>
      </c>
      <c r="AY266" s="834">
        <f>AY265/(AY264*8.76/4)</f>
        <v>0.85000000000000009</v>
      </c>
      <c r="AZ266" s="834">
        <f>AZ265/(AZ264*8.76/4)</f>
        <v>0.85000000000000009</v>
      </c>
      <c r="BA266" s="835">
        <f>BA265/(BA264*8.76/4)</f>
        <v>0.85000000000000009</v>
      </c>
      <c r="BB266" s="1054">
        <f>BB265/(BB264*8.76)</f>
        <v>0.85000000000000009</v>
      </c>
      <c r="BC266" s="833">
        <f>BC265/(BC264*8.76/4)</f>
        <v>0.92000000000000015</v>
      </c>
      <c r="BD266" s="834">
        <f>BD265/(BD264*8.76/4)</f>
        <v>0.92000000000000015</v>
      </c>
      <c r="BE266" s="834">
        <f>BE265/(BE264*8.76/4)</f>
        <v>0.92000000000000015</v>
      </c>
      <c r="BF266" s="835">
        <f>BF265/(BF264*8.76/4)</f>
        <v>0.92000000000000015</v>
      </c>
      <c r="BG266" s="1054">
        <f>BG265/(BG264*8.76)</f>
        <v>0.92000000000000015</v>
      </c>
      <c r="BH266" s="833">
        <f>BH265/(BH264*8.76/4)</f>
        <v>0.92000000000000015</v>
      </c>
      <c r="BI266" s="834">
        <f>BI265/(BI264*8.76/4)</f>
        <v>0.92000000000000015</v>
      </c>
      <c r="BJ266" s="834">
        <f>BJ265/(BJ264*8.76/4)</f>
        <v>0.92000000000000015</v>
      </c>
      <c r="BK266" s="835">
        <f>BK265/(BK264*8.76/4)</f>
        <v>0.92000000000000015</v>
      </c>
      <c r="BL266" s="1054">
        <f>BL265/(BL264*8.76)</f>
        <v>0.92000000000000015</v>
      </c>
      <c r="BM266" s="833">
        <f>BM265/(BM264*8.76/4)</f>
        <v>0.92000000000000015</v>
      </c>
      <c r="BN266" s="834">
        <f>BN265/(BN264*8.76/4)</f>
        <v>0.92000000000000015</v>
      </c>
      <c r="BO266" s="834">
        <f>BO265/(BO264*8.76/4)</f>
        <v>0.92000000000000015</v>
      </c>
      <c r="BP266" s="835">
        <f>BP265/(BP264*8.76/4)</f>
        <v>0.92000000000000015</v>
      </c>
      <c r="BQ266" s="1054">
        <f>BQ265/(BQ264*8.76)</f>
        <v>0.92000000000000015</v>
      </c>
      <c r="BR266" s="87"/>
      <c r="BS266" s="87"/>
      <c r="BT266" s="12"/>
      <c r="BU266" s="12"/>
      <c r="BV266" s="12"/>
      <c r="BW266" s="12"/>
      <c r="BX266" s="12"/>
      <c r="BY266" s="12"/>
      <c r="BZ266" s="12"/>
      <c r="CA266" s="12"/>
      <c r="CB266" s="12"/>
      <c r="CC266" s="12"/>
      <c r="CD266" s="12"/>
      <c r="CE266" s="12"/>
      <c r="CF266" s="12"/>
      <c r="CG266" s="91"/>
      <c r="CH266" s="91"/>
      <c r="CI266" s="91"/>
      <c r="CJ266" s="91"/>
      <c r="CK266" s="91"/>
      <c r="CL266" s="91"/>
      <c r="CM266" s="91"/>
      <c r="CN266" s="91"/>
      <c r="CO266" s="91"/>
      <c r="CP266" s="91"/>
      <c r="CQ266" s="91"/>
      <c r="CR266" s="1018"/>
      <c r="CS266" s="1018"/>
      <c r="CT266" s="821"/>
      <c r="CU266" s="12"/>
      <c r="CV266" s="12"/>
      <c r="CW266" s="12"/>
      <c r="CX266" s="12"/>
      <c r="CY266" s="12"/>
      <c r="CZ266" s="91"/>
      <c r="DA266" s="91"/>
      <c r="DB266" s="91"/>
      <c r="DC266" s="91"/>
      <c r="DD266" s="91"/>
      <c r="DE266" s="91"/>
      <c r="DF266" s="12"/>
      <c r="DG266" s="12"/>
      <c r="DH266" s="12"/>
      <c r="DI266" s="12"/>
      <c r="DJ266" s="12"/>
      <c r="DK266" s="12"/>
      <c r="DL266" s="12"/>
      <c r="DM266" s="12"/>
      <c r="DN266" s="12"/>
    </row>
    <row r="267" spans="1:118">
      <c r="A267" s="91"/>
      <c r="B267" s="89"/>
      <c r="C267" s="1184"/>
      <c r="D267" s="89"/>
      <c r="E267" s="145"/>
      <c r="F267" s="146"/>
      <c r="G267" s="146"/>
      <c r="H267" s="147"/>
      <c r="I267" s="87"/>
      <c r="J267" s="145"/>
      <c r="K267" s="146"/>
      <c r="L267" s="146"/>
      <c r="M267" s="147"/>
      <c r="N267" s="89"/>
      <c r="O267" s="145"/>
      <c r="P267" s="146"/>
      <c r="Q267" s="146"/>
      <c r="R267" s="147"/>
      <c r="S267" s="89"/>
      <c r="T267" s="145"/>
      <c r="U267" s="146"/>
      <c r="V267" s="146"/>
      <c r="W267" s="147"/>
      <c r="X267" s="89"/>
      <c r="Y267" s="145"/>
      <c r="Z267" s="146"/>
      <c r="AA267" s="146"/>
      <c r="AB267" s="147"/>
      <c r="AC267" s="89"/>
      <c r="AD267" s="145"/>
      <c r="AE267" s="146"/>
      <c r="AF267" s="146"/>
      <c r="AG267" s="147"/>
      <c r="AH267" s="89"/>
      <c r="AI267" s="145"/>
      <c r="AJ267" s="146"/>
      <c r="AK267" s="146"/>
      <c r="AL267" s="147"/>
      <c r="AM267" s="89"/>
      <c r="AN267" s="145"/>
      <c r="AO267" s="146"/>
      <c r="AP267" s="146"/>
      <c r="AQ267" s="147"/>
      <c r="AR267" s="89"/>
      <c r="AS267" s="145"/>
      <c r="AT267" s="146"/>
      <c r="AU267" s="146"/>
      <c r="AV267" s="147"/>
      <c r="AW267" s="89"/>
      <c r="AX267" s="145"/>
      <c r="AY267" s="146"/>
      <c r="AZ267" s="146"/>
      <c r="BA267" s="147"/>
      <c r="BB267" s="89"/>
      <c r="BC267" s="145"/>
      <c r="BD267" s="146"/>
      <c r="BE267" s="146"/>
      <c r="BF267" s="147"/>
      <c r="BG267" s="89"/>
      <c r="BH267" s="145"/>
      <c r="BI267" s="146"/>
      <c r="BJ267" s="146"/>
      <c r="BK267" s="147"/>
      <c r="BL267" s="89"/>
      <c r="BM267" s="145"/>
      <c r="BN267" s="146"/>
      <c r="BO267" s="146"/>
      <c r="BP267" s="147"/>
      <c r="BQ267" s="89"/>
      <c r="BR267" s="87"/>
      <c r="BS267" s="87"/>
      <c r="BT267" s="12"/>
      <c r="BU267" s="12"/>
      <c r="BV267" s="12"/>
      <c r="BW267" s="12"/>
      <c r="BX267" s="12"/>
      <c r="BY267" s="12"/>
      <c r="BZ267" s="12"/>
      <c r="CA267" s="12"/>
      <c r="CB267" s="12"/>
      <c r="CC267" s="12"/>
      <c r="CD267" s="12"/>
      <c r="CE267" s="12"/>
      <c r="CF267" s="12"/>
      <c r="CG267" s="91"/>
      <c r="CH267" s="91"/>
      <c r="CI267" s="91"/>
      <c r="CJ267" s="91"/>
      <c r="CK267" s="91"/>
      <c r="CL267" s="91"/>
      <c r="CM267" s="91"/>
      <c r="CN267" s="91"/>
      <c r="CO267" s="91"/>
      <c r="CP267" s="91"/>
      <c r="CQ267" s="91"/>
      <c r="CR267" s="1018"/>
      <c r="CS267" s="1018"/>
      <c r="CT267" s="821"/>
      <c r="CU267" s="12"/>
      <c r="CV267" s="12"/>
      <c r="CW267" s="12"/>
      <c r="CX267" s="12"/>
      <c r="CY267" s="12"/>
      <c r="CZ267" s="91"/>
      <c r="DA267" s="91"/>
      <c r="DB267" s="91"/>
      <c r="DC267" s="91"/>
      <c r="DD267" s="91"/>
      <c r="DE267" s="91"/>
      <c r="DF267" s="12"/>
      <c r="DG267" s="12"/>
      <c r="DH267" s="12"/>
      <c r="DI267" s="12"/>
      <c r="DJ267" s="12"/>
      <c r="DK267" s="12"/>
      <c r="DL267" s="12"/>
      <c r="DM267" s="12"/>
      <c r="DN267" s="12"/>
    </row>
    <row r="268" spans="1:118">
      <c r="A268" s="91"/>
      <c r="B268" s="89"/>
      <c r="C268" s="1255" t="s">
        <v>559</v>
      </c>
      <c r="D268" s="89"/>
      <c r="E268" s="145"/>
      <c r="F268" s="146"/>
      <c r="G268" s="146"/>
      <c r="H268" s="147"/>
      <c r="I268" s="87"/>
      <c r="J268" s="145"/>
      <c r="K268" s="146"/>
      <c r="L268" s="146"/>
      <c r="M268" s="147"/>
      <c r="N268" s="89"/>
      <c r="O268" s="145"/>
      <c r="P268" s="146"/>
      <c r="Q268" s="146"/>
      <c r="R268" s="147"/>
      <c r="S268" s="89"/>
      <c r="T268" s="145"/>
      <c r="U268" s="146"/>
      <c r="V268" s="146"/>
      <c r="W268" s="147"/>
      <c r="X268" s="89"/>
      <c r="Y268" s="145"/>
      <c r="Z268" s="146"/>
      <c r="AA268" s="146"/>
      <c r="AB268" s="147"/>
      <c r="AC268" s="89"/>
      <c r="AD268" s="145"/>
      <c r="AE268" s="146"/>
      <c r="AF268" s="146"/>
      <c r="AG268" s="147"/>
      <c r="AH268" s="89"/>
      <c r="AI268" s="145"/>
      <c r="AJ268" s="146"/>
      <c r="AK268" s="146"/>
      <c r="AL268" s="147"/>
      <c r="AM268" s="89"/>
      <c r="AN268" s="145"/>
      <c r="AO268" s="146"/>
      <c r="AP268" s="146"/>
      <c r="AQ268" s="147"/>
      <c r="AR268" s="89"/>
      <c r="AS268" s="145"/>
      <c r="AT268" s="146"/>
      <c r="AU268" s="146"/>
      <c r="AV268" s="147"/>
      <c r="AW268" s="89"/>
      <c r="AX268" s="145"/>
      <c r="AY268" s="146"/>
      <c r="AZ268" s="146"/>
      <c r="BA268" s="147"/>
      <c r="BB268" s="89"/>
      <c r="BC268" s="145"/>
      <c r="BD268" s="146"/>
      <c r="BE268" s="146"/>
      <c r="BF268" s="147"/>
      <c r="BG268" s="89"/>
      <c r="BH268" s="145"/>
      <c r="BI268" s="146"/>
      <c r="BJ268" s="146"/>
      <c r="BK268" s="147"/>
      <c r="BL268" s="89"/>
      <c r="BM268" s="145"/>
      <c r="BN268" s="146"/>
      <c r="BO268" s="146"/>
      <c r="BP268" s="147"/>
      <c r="BQ268" s="89"/>
      <c r="BR268" s="87"/>
      <c r="BS268" s="87"/>
      <c r="BT268" s="12"/>
      <c r="BU268" s="12"/>
      <c r="BV268" s="12"/>
      <c r="BW268" s="12"/>
      <c r="BX268" s="12"/>
      <c r="BY268" s="12"/>
      <c r="BZ268" s="12"/>
      <c r="CA268" s="12"/>
      <c r="CB268" s="12"/>
      <c r="CC268" s="12"/>
      <c r="CD268" s="12"/>
      <c r="CE268" s="12"/>
      <c r="CF268" s="12"/>
      <c r="CG268" s="91"/>
      <c r="CH268" s="91"/>
      <c r="CI268" s="91"/>
      <c r="CJ268" s="91"/>
      <c r="CK268" s="91"/>
      <c r="CL268" s="91"/>
      <c r="CM268" s="91"/>
      <c r="CN268" s="91"/>
      <c r="CO268" s="91"/>
      <c r="CP268" s="91"/>
      <c r="CQ268" s="91"/>
      <c r="CR268" s="1018"/>
      <c r="CS268" s="1018"/>
      <c r="CT268" s="821"/>
      <c r="CU268" s="12"/>
      <c r="CV268" s="12"/>
      <c r="CW268" s="12"/>
      <c r="CX268" s="12"/>
      <c r="CY268" s="12"/>
      <c r="CZ268" s="91"/>
      <c r="DA268" s="91"/>
      <c r="DB268" s="91"/>
      <c r="DC268" s="91"/>
      <c r="DD268" s="91"/>
      <c r="DE268" s="91"/>
      <c r="DF268" s="12"/>
      <c r="DG268" s="12"/>
      <c r="DH268" s="12"/>
      <c r="DI268" s="12"/>
      <c r="DJ268" s="12"/>
      <c r="DK268" s="12"/>
      <c r="DL268" s="12"/>
      <c r="DM268" s="12"/>
      <c r="DN268" s="12"/>
    </row>
    <row r="269" spans="1:118">
      <c r="A269" s="91"/>
      <c r="B269" s="89"/>
      <c r="C269" s="1179" t="s">
        <v>572</v>
      </c>
      <c r="D269" s="89"/>
      <c r="E269" s="145"/>
      <c r="F269" s="146"/>
      <c r="G269" s="146"/>
      <c r="H269" s="147"/>
      <c r="I269" s="87"/>
      <c r="J269" s="145"/>
      <c r="K269" s="146"/>
      <c r="L269" s="146"/>
      <c r="M269" s="147"/>
      <c r="N269" s="89"/>
      <c r="O269" s="145"/>
      <c r="P269" s="146"/>
      <c r="Q269" s="146"/>
      <c r="R269" s="147"/>
      <c r="S269" s="89"/>
      <c r="T269" s="342"/>
      <c r="U269" s="150"/>
      <c r="V269" s="150"/>
      <c r="W269" s="343"/>
      <c r="X269" s="1067"/>
      <c r="Y269" s="342">
        <f t="shared" ref="Y269:BQ269" si="470">Y$65</f>
        <v>34.182394637681156</v>
      </c>
      <c r="Z269" s="150">
        <f t="shared" si="470"/>
        <v>34.917329857200279</v>
      </c>
      <c r="AA269" s="150">
        <f t="shared" si="470"/>
        <v>33.644042264578374</v>
      </c>
      <c r="AB269" s="343">
        <f t="shared" si="470"/>
        <v>32.115663912322098</v>
      </c>
      <c r="AC269" s="327">
        <f t="shared" si="470"/>
        <v>33.714857667945473</v>
      </c>
      <c r="AD269" s="342">
        <f t="shared" si="470"/>
        <v>66.872564849566501</v>
      </c>
      <c r="AE269" s="150">
        <f t="shared" si="470"/>
        <v>40.177417696582026</v>
      </c>
      <c r="AF269" s="150">
        <f t="shared" si="470"/>
        <v>32.060416659281586</v>
      </c>
      <c r="AG269" s="343">
        <f t="shared" si="470"/>
        <v>34.838301454572012</v>
      </c>
      <c r="AH269" s="327">
        <f t="shared" si="470"/>
        <v>43.487175165000536</v>
      </c>
      <c r="AI269" s="342">
        <f t="shared" si="470"/>
        <v>38.153873424009447</v>
      </c>
      <c r="AJ269" s="150">
        <f t="shared" si="470"/>
        <v>30.185958428233931</v>
      </c>
      <c r="AK269" s="150">
        <f t="shared" si="470"/>
        <v>29.003450923291169</v>
      </c>
      <c r="AL269" s="343">
        <f t="shared" si="470"/>
        <v>26.197413751193867</v>
      </c>
      <c r="AM269" s="327">
        <f t="shared" si="470"/>
        <v>30.885174131682106</v>
      </c>
      <c r="AN269" s="342">
        <f t="shared" si="470"/>
        <v>24.565247968398072</v>
      </c>
      <c r="AO269" s="150">
        <f t="shared" si="470"/>
        <v>26.00943360825946</v>
      </c>
      <c r="AP269" s="150">
        <f t="shared" si="470"/>
        <v>29.69651641867782</v>
      </c>
      <c r="AQ269" s="343">
        <f t="shared" si="470"/>
        <v>28.597619417447596</v>
      </c>
      <c r="AR269" s="327">
        <f t="shared" si="470"/>
        <v>27.21720435319574</v>
      </c>
      <c r="AS269" s="342">
        <f t="shared" si="470"/>
        <v>27.545400348028089</v>
      </c>
      <c r="AT269" s="150">
        <f t="shared" si="470"/>
        <v>27.545400348028089</v>
      </c>
      <c r="AU269" s="150">
        <f t="shared" si="470"/>
        <v>29.326373331224119</v>
      </c>
      <c r="AV269" s="343">
        <f t="shared" si="470"/>
        <v>29.001100206584063</v>
      </c>
      <c r="AW269" s="327">
        <f t="shared" si="470"/>
        <v>28.354568558466088</v>
      </c>
      <c r="AX269" s="342">
        <f t="shared" si="470"/>
        <v>36.880806131455351</v>
      </c>
      <c r="AY269" s="150">
        <f t="shared" si="470"/>
        <v>30.236666666666665</v>
      </c>
      <c r="AZ269" s="150">
        <f t="shared" si="470"/>
        <v>31.146250000000002</v>
      </c>
      <c r="BA269" s="343">
        <f t="shared" si="470"/>
        <v>29.472916666666666</v>
      </c>
      <c r="BB269" s="327">
        <f t="shared" si="470"/>
        <v>31.93415986619717</v>
      </c>
      <c r="BC269" s="342">
        <f t="shared" si="470"/>
        <v>33.409147660424338</v>
      </c>
      <c r="BD269" s="150">
        <f t="shared" si="470"/>
        <v>26.166551772286908</v>
      </c>
      <c r="BE269" s="150">
        <f t="shared" si="470"/>
        <v>27.618511853446023</v>
      </c>
      <c r="BF269" s="343">
        <f t="shared" si="470"/>
        <v>32.202887880312737</v>
      </c>
      <c r="BG269" s="327">
        <f t="shared" si="470"/>
        <v>29.849274791617503</v>
      </c>
      <c r="BH269" s="342">
        <f t="shared" si="470"/>
        <v>33.004201566720702</v>
      </c>
      <c r="BI269" s="150">
        <f>BI$65</f>
        <v>25.855406930483028</v>
      </c>
      <c r="BJ269" s="150">
        <f t="shared" si="470"/>
        <v>27.292603632538821</v>
      </c>
      <c r="BK269" s="343">
        <f t="shared" si="470"/>
        <v>31.813493703457461</v>
      </c>
      <c r="BL269" s="327">
        <f t="shared" si="470"/>
        <v>29.491426458300005</v>
      </c>
      <c r="BM269" s="342">
        <f t="shared" si="470"/>
        <v>30.060397343536238</v>
      </c>
      <c r="BN269" s="150">
        <f>BN$65</f>
        <v>27.724985586756461</v>
      </c>
      <c r="BO269" s="150">
        <f t="shared" si="470"/>
        <v>27.774296857869906</v>
      </c>
      <c r="BP269" s="343">
        <f t="shared" si="470"/>
        <v>29.009821505745798</v>
      </c>
      <c r="BQ269" s="327">
        <f t="shared" si="470"/>
        <v>28.642375323477101</v>
      </c>
      <c r="BR269" s="87"/>
      <c r="BS269" s="87"/>
      <c r="BT269" s="12"/>
      <c r="BU269" s="12"/>
      <c r="BV269" s="12"/>
      <c r="BW269" s="12"/>
      <c r="BX269" s="12"/>
      <c r="BY269" s="12"/>
      <c r="BZ269" s="12"/>
      <c r="CA269" s="12"/>
      <c r="CB269" s="12"/>
      <c r="CC269" s="12"/>
      <c r="CD269" s="12"/>
      <c r="CE269" s="12"/>
      <c r="CF269" s="12"/>
      <c r="CG269" s="91"/>
      <c r="CH269" s="91"/>
      <c r="CI269" s="91"/>
      <c r="CJ269" s="91"/>
      <c r="CK269" s="91"/>
      <c r="CL269" s="91"/>
      <c r="CM269" s="91"/>
      <c r="CN269" s="91"/>
      <c r="CO269" s="91"/>
      <c r="CP269" s="91"/>
      <c r="CQ269" s="91"/>
      <c r="CR269" s="1018"/>
      <c r="CS269" s="1018"/>
      <c r="CT269" s="821"/>
      <c r="CU269" s="12"/>
      <c r="CV269" s="12"/>
      <c r="CW269" s="12"/>
      <c r="CX269" s="12"/>
      <c r="CY269" s="12"/>
      <c r="CZ269" s="91"/>
      <c r="DA269" s="91"/>
      <c r="DB269" s="91"/>
      <c r="DC269" s="91"/>
      <c r="DD269" s="91"/>
      <c r="DE269" s="91"/>
      <c r="DF269" s="12"/>
      <c r="DG269" s="12"/>
      <c r="DH269" s="12"/>
      <c r="DI269" s="12"/>
      <c r="DJ269" s="12"/>
      <c r="DK269" s="12"/>
      <c r="DL269" s="12"/>
      <c r="DM269" s="12"/>
      <c r="DN269" s="12"/>
    </row>
    <row r="270" spans="1:118">
      <c r="A270" s="91"/>
      <c r="B270" s="89"/>
      <c r="C270" s="1179" t="s">
        <v>573</v>
      </c>
      <c r="D270" s="89"/>
      <c r="E270" s="145"/>
      <c r="F270" s="146"/>
      <c r="G270" s="146"/>
      <c r="H270" s="147"/>
      <c r="I270" s="1056">
        <v>7.5</v>
      </c>
      <c r="J270" s="145"/>
      <c r="K270" s="146"/>
      <c r="L270" s="146"/>
      <c r="M270" s="147"/>
      <c r="N270" s="89"/>
      <c r="O270" s="145"/>
      <c r="P270" s="146"/>
      <c r="Q270" s="146"/>
      <c r="R270" s="147"/>
      <c r="S270" s="89"/>
      <c r="T270" s="342"/>
      <c r="U270" s="150"/>
      <c r="V270" s="150"/>
      <c r="W270" s="343"/>
      <c r="X270" s="327"/>
      <c r="Y270" s="342">
        <f>+Z270</f>
        <v>7.5</v>
      </c>
      <c r="Z270" s="150">
        <f>+AA270</f>
        <v>7.5</v>
      </c>
      <c r="AA270" s="150">
        <f>+AB270</f>
        <v>7.5</v>
      </c>
      <c r="AB270" s="343">
        <f>+AC270</f>
        <v>7.5</v>
      </c>
      <c r="AC270" s="327">
        <f>+I270</f>
        <v>7.5</v>
      </c>
      <c r="AD270" s="342">
        <f>+AE270</f>
        <v>6.7250000000000005</v>
      </c>
      <c r="AE270" s="150">
        <f>+AF270</f>
        <v>6.7250000000000005</v>
      </c>
      <c r="AF270" s="150">
        <f>+AG270</f>
        <v>6.7250000000000005</v>
      </c>
      <c r="AG270" s="343">
        <f>+AH270</f>
        <v>6.7250000000000005</v>
      </c>
      <c r="AH270" s="1609">
        <f>+AC270*1.03-1</f>
        <v>6.7250000000000005</v>
      </c>
      <c r="AI270" s="342">
        <f>+AJ270</f>
        <v>6.9267500000000011</v>
      </c>
      <c r="AJ270" s="150">
        <f>+AK270</f>
        <v>6.9267500000000011</v>
      </c>
      <c r="AK270" s="150">
        <f>+AL270</f>
        <v>6.9267500000000011</v>
      </c>
      <c r="AL270" s="343">
        <f>+AM270</f>
        <v>6.9267500000000011</v>
      </c>
      <c r="AM270" s="327">
        <f>+AH270*1.03</f>
        <v>6.9267500000000011</v>
      </c>
      <c r="AN270" s="342">
        <f>+AO270</f>
        <v>7.1345525000000016</v>
      </c>
      <c r="AO270" s="150">
        <f>+AP270</f>
        <v>7.1345525000000016</v>
      </c>
      <c r="AP270" s="150">
        <f>+AQ270</f>
        <v>7.1345525000000016</v>
      </c>
      <c r="AQ270" s="343">
        <f>+AR270</f>
        <v>7.1345525000000016</v>
      </c>
      <c r="AR270" s="327">
        <f>+AM270*1.03</f>
        <v>7.1345525000000016</v>
      </c>
      <c r="AS270" s="342">
        <f>+AT270</f>
        <v>7.3485890750000022</v>
      </c>
      <c r="AT270" s="150">
        <f>+AU270</f>
        <v>7.3485890750000022</v>
      </c>
      <c r="AU270" s="150">
        <f>+AV270</f>
        <v>7.3485890750000022</v>
      </c>
      <c r="AV270" s="343">
        <f>+AW270</f>
        <v>7.3485890750000022</v>
      </c>
      <c r="AW270" s="327">
        <f>+AR270*1.03</f>
        <v>7.3485890750000022</v>
      </c>
      <c r="AX270" s="342">
        <f>+AY270</f>
        <v>7.5690467472500025</v>
      </c>
      <c r="AY270" s="150">
        <f>+AZ270</f>
        <v>7.5690467472500025</v>
      </c>
      <c r="AZ270" s="150">
        <f>+BA270</f>
        <v>7.5690467472500025</v>
      </c>
      <c r="BA270" s="343">
        <f>+BB270</f>
        <v>7.5690467472500025</v>
      </c>
      <c r="BB270" s="327">
        <f>+AW270*1.03</f>
        <v>7.5690467472500025</v>
      </c>
      <c r="BC270" s="342">
        <f>+BD270</f>
        <v>7.7961181496675032</v>
      </c>
      <c r="BD270" s="150">
        <f>+BE270</f>
        <v>7.7961181496675032</v>
      </c>
      <c r="BE270" s="150">
        <f>+BF270</f>
        <v>7.7961181496675032</v>
      </c>
      <c r="BF270" s="343">
        <f>+BG270</f>
        <v>7.7961181496675032</v>
      </c>
      <c r="BG270" s="327">
        <f>+BB270*1.03</f>
        <v>7.7961181496675032</v>
      </c>
      <c r="BH270" s="342">
        <f>+BI270</f>
        <v>8.0300016941575283</v>
      </c>
      <c r="BI270" s="150">
        <f>+BJ270</f>
        <v>8.0300016941575283</v>
      </c>
      <c r="BJ270" s="150">
        <f>+BK270</f>
        <v>8.0300016941575283</v>
      </c>
      <c r="BK270" s="343">
        <f>+BL270</f>
        <v>8.0300016941575283</v>
      </c>
      <c r="BL270" s="327">
        <f>+BG270*1.03</f>
        <v>8.0300016941575283</v>
      </c>
      <c r="BM270" s="342">
        <f>+BN270</f>
        <v>8.2709017449822539</v>
      </c>
      <c r="BN270" s="150">
        <f>+BO270</f>
        <v>8.2709017449822539</v>
      </c>
      <c r="BO270" s="150">
        <f>+BP270</f>
        <v>8.2709017449822539</v>
      </c>
      <c r="BP270" s="343">
        <f>+BQ270</f>
        <v>8.2709017449822539</v>
      </c>
      <c r="BQ270" s="327">
        <f>+BL270*1.03</f>
        <v>8.2709017449822539</v>
      </c>
      <c r="BR270" s="87"/>
      <c r="BS270" s="87"/>
      <c r="BT270" s="12"/>
      <c r="BU270" s="12"/>
      <c r="BV270" s="12"/>
      <c r="BW270" s="12"/>
      <c r="BX270" s="12"/>
      <c r="BY270" s="12"/>
      <c r="BZ270" s="12"/>
      <c r="CA270" s="12"/>
      <c r="CB270" s="12"/>
      <c r="CC270" s="12"/>
      <c r="CD270" s="12"/>
      <c r="CE270" s="12"/>
      <c r="CF270" s="12"/>
      <c r="CG270" s="91"/>
      <c r="CH270" s="91"/>
      <c r="CI270" s="91"/>
      <c r="CJ270" s="91"/>
      <c r="CK270" s="91"/>
      <c r="CL270" s="91"/>
      <c r="CM270" s="91"/>
      <c r="CN270" s="91"/>
      <c r="CO270" s="91"/>
      <c r="CP270" s="91"/>
      <c r="CQ270" s="91"/>
      <c r="CR270" s="1018"/>
      <c r="CS270" s="1018"/>
      <c r="CT270" s="821"/>
      <c r="CU270" s="12"/>
      <c r="CV270" s="12"/>
      <c r="CW270" s="12"/>
      <c r="CX270" s="12"/>
      <c r="CY270" s="12"/>
      <c r="CZ270" s="91"/>
      <c r="DA270" s="91"/>
      <c r="DB270" s="91"/>
      <c r="DC270" s="91"/>
      <c r="DD270" s="91"/>
      <c r="DE270" s="91"/>
      <c r="DF270" s="12"/>
      <c r="DG270" s="12"/>
      <c r="DH270" s="12"/>
      <c r="DI270" s="12"/>
      <c r="DJ270" s="12"/>
      <c r="DK270" s="12"/>
      <c r="DL270" s="12"/>
      <c r="DM270" s="12"/>
      <c r="DN270" s="12"/>
    </row>
    <row r="271" spans="1:118">
      <c r="A271" s="91"/>
      <c r="B271" s="89"/>
      <c r="C271" s="1184"/>
      <c r="D271" s="89"/>
      <c r="E271" s="145"/>
      <c r="F271" s="146"/>
      <c r="G271" s="146"/>
      <c r="H271" s="147"/>
      <c r="I271" s="87"/>
      <c r="J271" s="145"/>
      <c r="K271" s="146"/>
      <c r="L271" s="146"/>
      <c r="M271" s="147"/>
      <c r="N271" s="89"/>
      <c r="O271" s="145"/>
      <c r="P271" s="146"/>
      <c r="Q271" s="146"/>
      <c r="R271" s="147"/>
      <c r="S271" s="89"/>
      <c r="T271" s="145"/>
      <c r="U271" s="146"/>
      <c r="V271" s="146"/>
      <c r="W271" s="147"/>
      <c r="X271" s="89"/>
      <c r="Y271" s="145"/>
      <c r="Z271" s="146"/>
      <c r="AA271" s="146"/>
      <c r="AB271" s="147"/>
      <c r="AC271" s="89"/>
      <c r="AD271" s="145"/>
      <c r="AE271" s="146"/>
      <c r="AF271" s="146"/>
      <c r="AG271" s="147"/>
      <c r="AH271" s="89"/>
      <c r="AI271" s="145"/>
      <c r="AJ271" s="146"/>
      <c r="AK271" s="146"/>
      <c r="AL271" s="147"/>
      <c r="AM271" s="89"/>
      <c r="AN271" s="145"/>
      <c r="AO271" s="146"/>
      <c r="AP271" s="146"/>
      <c r="AQ271" s="147"/>
      <c r="AR271" s="89"/>
      <c r="AS271" s="145"/>
      <c r="AT271" s="146"/>
      <c r="AU271" s="146"/>
      <c r="AV271" s="147"/>
      <c r="AW271" s="89"/>
      <c r="AX271" s="145"/>
      <c r="AY271" s="146"/>
      <c r="AZ271" s="146"/>
      <c r="BA271" s="147"/>
      <c r="BB271" s="89"/>
      <c r="BC271" s="145"/>
      <c r="BD271" s="146"/>
      <c r="BE271" s="146"/>
      <c r="BF271" s="147"/>
      <c r="BG271" s="89"/>
      <c r="BH271" s="145"/>
      <c r="BI271" s="146"/>
      <c r="BJ271" s="146"/>
      <c r="BK271" s="147"/>
      <c r="BL271" s="89"/>
      <c r="BM271" s="145"/>
      <c r="BN271" s="146"/>
      <c r="BO271" s="146"/>
      <c r="BP271" s="147"/>
      <c r="BQ271" s="89"/>
      <c r="BR271" s="87"/>
      <c r="BS271" s="87"/>
      <c r="BT271" s="12"/>
      <c r="BU271" s="12"/>
      <c r="BV271" s="12"/>
      <c r="BW271" s="12"/>
      <c r="BX271" s="12"/>
      <c r="BY271" s="12"/>
      <c r="BZ271" s="12"/>
      <c r="CA271" s="12"/>
      <c r="CB271" s="12"/>
      <c r="CC271" s="12"/>
      <c r="CD271" s="12"/>
      <c r="CE271" s="12"/>
      <c r="CF271" s="12"/>
      <c r="CG271" s="91"/>
      <c r="CH271" s="91"/>
      <c r="CI271" s="91"/>
      <c r="CJ271" s="91"/>
      <c r="CK271" s="91"/>
      <c r="CL271" s="91"/>
      <c r="CM271" s="91"/>
      <c r="CN271" s="91"/>
      <c r="CO271" s="91"/>
      <c r="CP271" s="91"/>
      <c r="CQ271" s="91"/>
      <c r="CR271" s="1018"/>
      <c r="CS271" s="1018"/>
      <c r="CT271" s="821"/>
      <c r="CU271" s="12"/>
      <c r="CV271" s="12"/>
      <c r="CW271" s="12"/>
      <c r="CX271" s="12"/>
      <c r="CY271" s="12"/>
      <c r="CZ271" s="91"/>
      <c r="DA271" s="91"/>
      <c r="DB271" s="91"/>
      <c r="DC271" s="91"/>
      <c r="DD271" s="91"/>
      <c r="DE271" s="91"/>
      <c r="DF271" s="12"/>
      <c r="DG271" s="12"/>
      <c r="DH271" s="12"/>
      <c r="DI271" s="12"/>
      <c r="DJ271" s="12"/>
      <c r="DK271" s="12"/>
      <c r="DL271" s="12"/>
      <c r="DM271" s="12"/>
      <c r="DN271" s="12"/>
    </row>
    <row r="272" spans="1:118">
      <c r="A272" s="91"/>
      <c r="B272" s="89"/>
      <c r="C272" s="1186" t="s">
        <v>574</v>
      </c>
      <c r="D272" s="88"/>
      <c r="E272" s="106"/>
      <c r="F272" s="76"/>
      <c r="G272" s="76"/>
      <c r="H272" s="107"/>
      <c r="I272" s="93"/>
      <c r="J272" s="106"/>
      <c r="K272" s="76"/>
      <c r="L272" s="76"/>
      <c r="M272" s="107"/>
      <c r="N272" s="93"/>
      <c r="O272" s="106"/>
      <c r="P272" s="76"/>
      <c r="Q272" s="76"/>
      <c r="R272" s="107"/>
      <c r="S272" s="93"/>
      <c r="T272" s="106"/>
      <c r="U272" s="76"/>
      <c r="V272" s="76"/>
      <c r="W272" s="107"/>
      <c r="X272" s="93"/>
      <c r="Y272" s="106">
        <f>+Y484</f>
        <v>2176</v>
      </c>
      <c r="Z272" s="76">
        <f t="shared" ref="Z272:AR272" si="471">+Z484</f>
        <v>2176</v>
      </c>
      <c r="AA272" s="76">
        <f t="shared" si="471"/>
        <v>2176</v>
      </c>
      <c r="AB272" s="107">
        <f t="shared" si="471"/>
        <v>2176</v>
      </c>
      <c r="AC272" s="93">
        <f t="shared" si="471"/>
        <v>2176</v>
      </c>
      <c r="AD272" s="106">
        <f t="shared" si="471"/>
        <v>2176</v>
      </c>
      <c r="AE272" s="76">
        <f t="shared" si="471"/>
        <v>2176</v>
      </c>
      <c r="AF272" s="76">
        <f t="shared" si="471"/>
        <v>2176</v>
      </c>
      <c r="AG272" s="107">
        <f t="shared" si="471"/>
        <v>2176</v>
      </c>
      <c r="AH272" s="93">
        <f t="shared" si="471"/>
        <v>2176</v>
      </c>
      <c r="AI272" s="106">
        <f t="shared" si="471"/>
        <v>2176</v>
      </c>
      <c r="AJ272" s="76">
        <f t="shared" si="471"/>
        <v>2176</v>
      </c>
      <c r="AK272" s="76">
        <f t="shared" si="471"/>
        <v>2176</v>
      </c>
      <c r="AL272" s="107">
        <f t="shared" si="471"/>
        <v>2176</v>
      </c>
      <c r="AM272" s="93">
        <f t="shared" si="471"/>
        <v>2176</v>
      </c>
      <c r="AN272" s="106">
        <f t="shared" si="471"/>
        <v>2176</v>
      </c>
      <c r="AO272" s="76">
        <f t="shared" si="471"/>
        <v>2176</v>
      </c>
      <c r="AP272" s="76">
        <f t="shared" ref="AP272" si="472">+AP484</f>
        <v>2176</v>
      </c>
      <c r="AQ272" s="107">
        <f t="shared" si="471"/>
        <v>2176</v>
      </c>
      <c r="AR272" s="93">
        <f t="shared" si="471"/>
        <v>2176</v>
      </c>
      <c r="AS272" s="106">
        <f t="shared" ref="AS272" si="473">+AS484</f>
        <v>2176</v>
      </c>
      <c r="AT272" s="76">
        <f t="shared" ref="AT272:BB272" si="474">+AT484</f>
        <v>2176</v>
      </c>
      <c r="AU272" s="76">
        <f t="shared" ref="AU272" si="475">+AU484</f>
        <v>2176</v>
      </c>
      <c r="AV272" s="107">
        <f t="shared" si="474"/>
        <v>2176</v>
      </c>
      <c r="AW272" s="93">
        <f t="shared" si="474"/>
        <v>2176</v>
      </c>
      <c r="AX272" s="106">
        <f t="shared" si="474"/>
        <v>2176</v>
      </c>
      <c r="AY272" s="76">
        <f t="shared" si="474"/>
        <v>2176</v>
      </c>
      <c r="AZ272" s="76">
        <f t="shared" si="474"/>
        <v>2176</v>
      </c>
      <c r="BA272" s="107">
        <f t="shared" si="474"/>
        <v>2176</v>
      </c>
      <c r="BB272" s="93">
        <f t="shared" si="474"/>
        <v>2176</v>
      </c>
      <c r="BC272" s="106">
        <f t="shared" ref="BC272:BL272" si="476">+BC484</f>
        <v>2176</v>
      </c>
      <c r="BD272" s="76">
        <f t="shared" si="476"/>
        <v>2176</v>
      </c>
      <c r="BE272" s="76">
        <f t="shared" si="476"/>
        <v>2176</v>
      </c>
      <c r="BF272" s="107">
        <f t="shared" si="476"/>
        <v>2176</v>
      </c>
      <c r="BG272" s="93">
        <f t="shared" si="476"/>
        <v>2176</v>
      </c>
      <c r="BH272" s="106">
        <f t="shared" si="476"/>
        <v>2176</v>
      </c>
      <c r="BI272" s="76">
        <f t="shared" si="476"/>
        <v>2176</v>
      </c>
      <c r="BJ272" s="76">
        <f t="shared" si="476"/>
        <v>2176</v>
      </c>
      <c r="BK272" s="107">
        <f t="shared" si="476"/>
        <v>2176</v>
      </c>
      <c r="BL272" s="93">
        <f t="shared" si="476"/>
        <v>2176</v>
      </c>
      <c r="BM272" s="106">
        <f t="shared" ref="BM272:BQ272" si="477">+BM484</f>
        <v>2176</v>
      </c>
      <c r="BN272" s="76">
        <f t="shared" si="477"/>
        <v>2176</v>
      </c>
      <c r="BO272" s="76">
        <f t="shared" si="477"/>
        <v>2176</v>
      </c>
      <c r="BP272" s="107">
        <f t="shared" si="477"/>
        <v>2176</v>
      </c>
      <c r="BQ272" s="93">
        <f t="shared" si="477"/>
        <v>2176</v>
      </c>
      <c r="BR272" s="87"/>
      <c r="BS272" s="87"/>
      <c r="BT272" s="12"/>
      <c r="BU272" s="12"/>
      <c r="BV272" s="12"/>
      <c r="BW272" s="12"/>
      <c r="BX272" s="12"/>
      <c r="BY272" s="12"/>
      <c r="BZ272" s="12"/>
      <c r="CA272" s="12"/>
      <c r="CB272" s="12"/>
      <c r="CC272" s="12"/>
      <c r="CD272" s="12"/>
      <c r="CE272" s="12"/>
      <c r="CF272" s="12"/>
      <c r="CG272" s="91"/>
      <c r="CH272" s="91"/>
      <c r="CI272" s="91"/>
      <c r="CJ272" s="91"/>
      <c r="CK272" s="91"/>
      <c r="CL272" s="91"/>
      <c r="CM272" s="91"/>
      <c r="CN272" s="91"/>
      <c r="CO272" s="91"/>
      <c r="CP272" s="91"/>
      <c r="CQ272" s="91"/>
      <c r="CR272" s="1018"/>
      <c r="CS272" s="1018"/>
      <c r="CT272" s="821"/>
      <c r="CU272" s="12"/>
      <c r="CV272" s="12"/>
      <c r="CW272" s="12"/>
      <c r="CX272" s="12"/>
      <c r="CY272" s="12"/>
      <c r="CZ272" s="91"/>
      <c r="DA272" s="91"/>
      <c r="DB272" s="91"/>
      <c r="DC272" s="91"/>
      <c r="DD272" s="91"/>
      <c r="DE272" s="91"/>
      <c r="DF272" s="12"/>
      <c r="DG272" s="12"/>
      <c r="DH272" s="12"/>
      <c r="DI272" s="12"/>
      <c r="DJ272" s="12"/>
      <c r="DK272" s="12"/>
      <c r="DL272" s="12"/>
      <c r="DM272" s="12"/>
      <c r="DN272" s="12"/>
    </row>
    <row r="273" spans="1:118">
      <c r="A273" s="91"/>
      <c r="B273" s="89"/>
      <c r="C273" s="1184"/>
      <c r="D273" s="89"/>
      <c r="E273" s="145"/>
      <c r="F273" s="146"/>
      <c r="G273" s="146"/>
      <c r="H273" s="147"/>
      <c r="I273" s="87"/>
      <c r="J273" s="145"/>
      <c r="K273" s="146"/>
      <c r="L273" s="146"/>
      <c r="M273" s="147"/>
      <c r="N273" s="89"/>
      <c r="O273" s="145"/>
      <c r="P273" s="146"/>
      <c r="Q273" s="146"/>
      <c r="R273" s="147"/>
      <c r="S273" s="89"/>
      <c r="T273" s="145"/>
      <c r="U273" s="146"/>
      <c r="V273" s="146"/>
      <c r="W273" s="147"/>
      <c r="X273" s="89"/>
      <c r="Y273" s="145"/>
      <c r="Z273" s="146"/>
      <c r="AA273" s="146"/>
      <c r="AB273" s="147"/>
      <c r="AC273" s="89"/>
      <c r="AD273" s="145"/>
      <c r="AE273" s="146"/>
      <c r="AF273" s="146"/>
      <c r="AG273" s="147"/>
      <c r="AH273" s="89"/>
      <c r="AI273" s="145"/>
      <c r="AJ273" s="146"/>
      <c r="AK273" s="146"/>
      <c r="AL273" s="147"/>
      <c r="AM273" s="89"/>
      <c r="AN273" s="145"/>
      <c r="AO273" s="146"/>
      <c r="AP273" s="146"/>
      <c r="AQ273" s="147"/>
      <c r="AR273" s="89"/>
      <c r="AS273" s="145"/>
      <c r="AT273" s="146"/>
      <c r="AU273" s="146"/>
      <c r="AV273" s="147"/>
      <c r="AW273" s="89"/>
      <c r="AX273" s="145"/>
      <c r="AY273" s="146"/>
      <c r="AZ273" s="146"/>
      <c r="BA273" s="147"/>
      <c r="BB273" s="89"/>
      <c r="BC273" s="145"/>
      <c r="BD273" s="146"/>
      <c r="BE273" s="146"/>
      <c r="BF273" s="147"/>
      <c r="BG273" s="89"/>
      <c r="BH273" s="145"/>
      <c r="BI273" s="146"/>
      <c r="BJ273" s="146"/>
      <c r="BK273" s="147"/>
      <c r="BL273" s="89"/>
      <c r="BM273" s="145"/>
      <c r="BN273" s="146"/>
      <c r="BO273" s="146"/>
      <c r="BP273" s="147"/>
      <c r="BQ273" s="89"/>
      <c r="BR273" s="87"/>
      <c r="BS273" s="87"/>
      <c r="BT273" s="12"/>
      <c r="BU273" s="12"/>
      <c r="BV273" s="12"/>
      <c r="BW273" s="12"/>
      <c r="BX273" s="12"/>
      <c r="BY273" s="12"/>
      <c r="BZ273" s="12"/>
      <c r="CA273" s="12"/>
      <c r="CB273" s="12"/>
      <c r="CC273" s="12"/>
      <c r="CD273" s="12"/>
      <c r="CE273" s="12"/>
      <c r="CF273" s="12"/>
      <c r="CG273" s="91"/>
      <c r="CH273" s="91"/>
      <c r="CI273" s="91"/>
      <c r="CJ273" s="91"/>
      <c r="CK273" s="91"/>
      <c r="CL273" s="91"/>
      <c r="CM273" s="91"/>
      <c r="CN273" s="91"/>
      <c r="CO273" s="91"/>
      <c r="CP273" s="91"/>
      <c r="CQ273" s="91"/>
      <c r="CR273" s="1018"/>
      <c r="CS273" s="1018"/>
      <c r="CT273" s="821"/>
      <c r="CU273" s="12"/>
      <c r="CV273" s="12"/>
      <c r="CW273" s="12"/>
      <c r="CX273" s="12"/>
      <c r="CY273" s="12"/>
      <c r="CZ273" s="91"/>
      <c r="DA273" s="91"/>
      <c r="DB273" s="91"/>
      <c r="DC273" s="91"/>
      <c r="DD273" s="91"/>
      <c r="DE273" s="91"/>
      <c r="DF273" s="12"/>
      <c r="DG273" s="12"/>
      <c r="DH273" s="12"/>
      <c r="DI273" s="12"/>
      <c r="DJ273" s="12"/>
      <c r="DK273" s="12"/>
      <c r="DL273" s="12"/>
      <c r="DM273" s="12"/>
      <c r="DN273" s="12"/>
    </row>
    <row r="274" spans="1:118">
      <c r="A274" s="91"/>
      <c r="B274" s="89"/>
      <c r="C274" s="1179" t="s">
        <v>575</v>
      </c>
      <c r="D274" s="89"/>
      <c r="E274" s="145"/>
      <c r="F274" s="146"/>
      <c r="G274" s="146"/>
      <c r="H274" s="147"/>
      <c r="I274" s="1057">
        <v>0.92</v>
      </c>
      <c r="J274" s="145"/>
      <c r="K274" s="146"/>
      <c r="L274" s="146"/>
      <c r="M274" s="147"/>
      <c r="N274" s="89"/>
      <c r="O274" s="145"/>
      <c r="P274" s="146"/>
      <c r="Q274" s="146"/>
      <c r="R274" s="147"/>
      <c r="S274" s="89"/>
      <c r="T274" s="820"/>
      <c r="U274" s="818"/>
      <c r="V274" s="818"/>
      <c r="W274" s="819"/>
      <c r="X274" s="1054"/>
      <c r="Y274" s="833">
        <f>+$I274</f>
        <v>0.92</v>
      </c>
      <c r="Z274" s="834">
        <f>+$I274</f>
        <v>0.92</v>
      </c>
      <c r="AA274" s="834">
        <f>+$I274</f>
        <v>0.92</v>
      </c>
      <c r="AB274" s="835">
        <f>+$I274</f>
        <v>0.92</v>
      </c>
      <c r="AC274" s="1054">
        <f>IF(AVERAGE(Y272:AB272)=0,0,AC275/(AVERAGE(Y272:AB272)*8.76))</f>
        <v>0.92000000000000015</v>
      </c>
      <c r="AD274" s="833">
        <f>+$I274</f>
        <v>0.92</v>
      </c>
      <c r="AE274" s="834">
        <f>+$I274</f>
        <v>0.92</v>
      </c>
      <c r="AF274" s="834">
        <f>+$I274</f>
        <v>0.92</v>
      </c>
      <c r="AG274" s="835">
        <f>+$I274</f>
        <v>0.92</v>
      </c>
      <c r="AH274" s="1054">
        <f>IF(AVERAGE(AD272:AG272)=0,0,AH275/(AVERAGE(AD272:AG272)*8.76))</f>
        <v>0.92000000000000015</v>
      </c>
      <c r="AI274" s="833">
        <f>AJ274</f>
        <v>0.88</v>
      </c>
      <c r="AJ274" s="834">
        <f>AK274</f>
        <v>0.88</v>
      </c>
      <c r="AK274" s="834">
        <f>AL274</f>
        <v>0.88</v>
      </c>
      <c r="AL274" s="835">
        <f>AM274</f>
        <v>0.88</v>
      </c>
      <c r="AM274" s="1641">
        <v>0.88</v>
      </c>
      <c r="AN274" s="833">
        <f>+$I274</f>
        <v>0.92</v>
      </c>
      <c r="AO274" s="834">
        <f>+$I274</f>
        <v>0.92</v>
      </c>
      <c r="AP274" s="834">
        <f>AQ274</f>
        <v>0.92</v>
      </c>
      <c r="AQ274" s="835">
        <f>+$I274</f>
        <v>0.92</v>
      </c>
      <c r="AR274" s="1054">
        <f>IF(AVERAGE(AN272:AQ272)=0,0,AR275/(AVERAGE(AN272:AQ272)*8.76))</f>
        <v>0.92000000000000015</v>
      </c>
      <c r="AS274" s="833">
        <f>+$I274</f>
        <v>0.92</v>
      </c>
      <c r="AT274" s="834">
        <f>+$I274</f>
        <v>0.92</v>
      </c>
      <c r="AU274" s="834">
        <f>+$I274</f>
        <v>0.92</v>
      </c>
      <c r="AV274" s="835">
        <f>+$I274</f>
        <v>0.92</v>
      </c>
      <c r="AW274" s="1054">
        <f>IF(AVERAGE(AS272:AV272)=0,0,AW275/(AVERAGE(AS272:AV272)*8.76))</f>
        <v>0.92000000000000015</v>
      </c>
      <c r="AX274" s="2282">
        <v>0.85</v>
      </c>
      <c r="AY274" s="834">
        <f>AX274</f>
        <v>0.85</v>
      </c>
      <c r="AZ274" s="834">
        <f t="shared" ref="AZ274:BA274" si="478">AY274</f>
        <v>0.85</v>
      </c>
      <c r="BA274" s="835">
        <f t="shared" si="478"/>
        <v>0.85</v>
      </c>
      <c r="BB274" s="1054">
        <f>IF(AVERAGE(AX272:BA272)=0,0,BB275/(AVERAGE(AX272:BA272)*8.76))</f>
        <v>0.85</v>
      </c>
      <c r="BC274" s="833">
        <f>+$I274</f>
        <v>0.92</v>
      </c>
      <c r="BD274" s="834">
        <f>+$I274</f>
        <v>0.92</v>
      </c>
      <c r="BE274" s="834">
        <f>+$I274</f>
        <v>0.92</v>
      </c>
      <c r="BF274" s="835">
        <f>+$I274</f>
        <v>0.92</v>
      </c>
      <c r="BG274" s="1054">
        <f>IF(AVERAGE(BC272:BF272)=0,0,BG275/(AVERAGE(BC272:BF272)*8.76))</f>
        <v>0.92000000000000015</v>
      </c>
      <c r="BH274" s="833">
        <f>+$I274</f>
        <v>0.92</v>
      </c>
      <c r="BI274" s="834">
        <f>+$I274</f>
        <v>0.92</v>
      </c>
      <c r="BJ274" s="834">
        <f>+$I274</f>
        <v>0.92</v>
      </c>
      <c r="BK274" s="835">
        <f>+$I274</f>
        <v>0.92</v>
      </c>
      <c r="BL274" s="1054">
        <f>IF(AVERAGE(BH272:BK272)=0,0,BL275/(AVERAGE(BH272:BK272)*8.76))</f>
        <v>0.92000000000000015</v>
      </c>
      <c r="BM274" s="833">
        <f>+$I274</f>
        <v>0.92</v>
      </c>
      <c r="BN274" s="834">
        <f>+$I274</f>
        <v>0.92</v>
      </c>
      <c r="BO274" s="834">
        <f>+$I274</f>
        <v>0.92</v>
      </c>
      <c r="BP274" s="835">
        <f>+$I274</f>
        <v>0.92</v>
      </c>
      <c r="BQ274" s="1054">
        <f>IF(AVERAGE(BM272:BP272)=0,0,BQ275/(AVERAGE(BM272:BP272)*8.76))</f>
        <v>0.92000000000000015</v>
      </c>
      <c r="BR274" s="87"/>
      <c r="BS274" s="87"/>
      <c r="BT274" s="12"/>
      <c r="BU274" s="12"/>
      <c r="BV274" s="12"/>
      <c r="BW274" s="12"/>
      <c r="BX274" s="12"/>
      <c r="BY274" s="12"/>
      <c r="BZ274" s="12"/>
      <c r="CA274" s="12"/>
      <c r="CB274" s="12"/>
      <c r="CC274" s="12"/>
      <c r="CD274" s="12"/>
      <c r="CE274" s="12"/>
      <c r="CF274" s="12"/>
      <c r="CG274" s="91"/>
      <c r="CH274" s="91"/>
      <c r="CI274" s="91"/>
      <c r="CJ274" s="91"/>
      <c r="CK274" s="91"/>
      <c r="CL274" s="91"/>
      <c r="CM274" s="91"/>
      <c r="CN274" s="91"/>
      <c r="CO274" s="91"/>
      <c r="CP274" s="91"/>
      <c r="CQ274" s="91"/>
      <c r="CR274" s="1018"/>
      <c r="CS274" s="1018"/>
      <c r="CT274" s="821"/>
      <c r="CU274" s="12"/>
      <c r="CV274" s="12"/>
      <c r="CW274" s="12"/>
      <c r="CX274" s="12"/>
      <c r="CY274" s="12"/>
      <c r="CZ274" s="91"/>
      <c r="DA274" s="91"/>
      <c r="DB274" s="91"/>
      <c r="DC274" s="91"/>
      <c r="DD274" s="91"/>
      <c r="DE274" s="91"/>
      <c r="DF274" s="12"/>
      <c r="DG274" s="12"/>
      <c r="DH274" s="12"/>
      <c r="DI274" s="12"/>
      <c r="DJ274" s="12"/>
      <c r="DK274" s="12"/>
      <c r="DL274" s="12"/>
      <c r="DM274" s="12"/>
      <c r="DN274" s="12"/>
    </row>
    <row r="275" spans="1:118">
      <c r="A275" s="91"/>
      <c r="B275" s="89"/>
      <c r="C275" s="1186" t="s">
        <v>569</v>
      </c>
      <c r="D275" s="88"/>
      <c r="E275" s="214"/>
      <c r="F275" s="148"/>
      <c r="G275" s="148"/>
      <c r="H275" s="215"/>
      <c r="I275" s="88"/>
      <c r="J275" s="214"/>
      <c r="K275" s="148"/>
      <c r="L275" s="148"/>
      <c r="M275" s="215"/>
      <c r="N275" s="1058"/>
      <c r="O275" s="214"/>
      <c r="P275" s="148"/>
      <c r="Q275" s="148"/>
      <c r="R275" s="215"/>
      <c r="S275" s="88"/>
      <c r="T275" s="240"/>
      <c r="U275" s="241"/>
      <c r="V275" s="241"/>
      <c r="W275" s="1059"/>
      <c r="X275" s="242"/>
      <c r="Y275" s="240">
        <f>(Y272*Y274*(8760/1000))/4</f>
        <v>4384.2048000000004</v>
      </c>
      <c r="Z275" s="241">
        <f>(Z272*Z274*(8760/1000))/4</f>
        <v>4384.2048000000004</v>
      </c>
      <c r="AA275" s="241">
        <f>(AA272*AA274*(8760/1000))/4</f>
        <v>4384.2048000000004</v>
      </c>
      <c r="AB275" s="1059">
        <f>(AB272*AB274*(8760/1000))/4</f>
        <v>4384.2048000000004</v>
      </c>
      <c r="AC275" s="242">
        <f>SUM(Y275:AB275)</f>
        <v>17536.819200000002</v>
      </c>
      <c r="AD275" s="240">
        <f>(AD272*AD274*(8760/1000))/4</f>
        <v>4384.2048000000004</v>
      </c>
      <c r="AE275" s="241">
        <f>(AE272*AE274*(8760/1000))/4</f>
        <v>4384.2048000000004</v>
      </c>
      <c r="AF275" s="241">
        <f>(AF272*AF274*(8760/1000))/4</f>
        <v>4384.2048000000004</v>
      </c>
      <c r="AG275" s="1059">
        <f>(AG272*AG274*(8760/1000))/4</f>
        <v>4384.2048000000004</v>
      </c>
      <c r="AH275" s="242">
        <f>SUM(AD275:AG275)</f>
        <v>17536.819200000002</v>
      </c>
      <c r="AI275" s="240">
        <f>(AI272*AI274*(8760/1000))/4</f>
        <v>4193.5871999999999</v>
      </c>
      <c r="AJ275" s="241">
        <f>(AJ272*AJ274*(8760/1000))/4</f>
        <v>4193.5871999999999</v>
      </c>
      <c r="AK275" s="241">
        <f>(AK272*AK274*(8760/1000))/4</f>
        <v>4193.5871999999999</v>
      </c>
      <c r="AL275" s="1059">
        <f>(AL272*AL274*(8760/1000))/4</f>
        <v>4193.5871999999999</v>
      </c>
      <c r="AM275" s="242">
        <f>SUM(AI275:AL275)</f>
        <v>16774.3488</v>
      </c>
      <c r="AN275" s="240">
        <f>(AN272*AN274*(8760/1000))/4</f>
        <v>4384.2048000000004</v>
      </c>
      <c r="AO275" s="241">
        <f>(AO272*AO274*(8760/1000))/4</f>
        <v>4384.2048000000004</v>
      </c>
      <c r="AP275" s="241">
        <f>(AP272*AP274*(8760/1000))/4</f>
        <v>4384.2048000000004</v>
      </c>
      <c r="AQ275" s="1059">
        <f>(AQ272*AQ274*(8760/1000))/4</f>
        <v>4384.2048000000004</v>
      </c>
      <c r="AR275" s="242">
        <f>SUM(AN275:AQ275)</f>
        <v>17536.819200000002</v>
      </c>
      <c r="AS275" s="240">
        <f>(AS272*AS274*(8760/1000))/4</f>
        <v>4384.2048000000004</v>
      </c>
      <c r="AT275" s="241">
        <f>(AT272*AT274*(8760/1000))/4</f>
        <v>4384.2048000000004</v>
      </c>
      <c r="AU275" s="241">
        <f>(AU272*AU274*(8760/1000))/4</f>
        <v>4384.2048000000004</v>
      </c>
      <c r="AV275" s="1059">
        <f>(AV272*AV274*(8760/1000))/4</f>
        <v>4384.2048000000004</v>
      </c>
      <c r="AW275" s="242">
        <f>SUM(AS275:AV275)</f>
        <v>17536.819200000002</v>
      </c>
      <c r="AX275" s="240">
        <f>(AX272*AX274*(8760/1000))/4</f>
        <v>4050.6239999999998</v>
      </c>
      <c r="AY275" s="241">
        <f>(AY272*AY274*(8760/1000))/4</f>
        <v>4050.6239999999998</v>
      </c>
      <c r="AZ275" s="241">
        <f>(AZ272*AZ274*(8760/1000))/4</f>
        <v>4050.6239999999998</v>
      </c>
      <c r="BA275" s="1059">
        <f>(BA272*BA274*(8760/1000))/4</f>
        <v>4050.6239999999998</v>
      </c>
      <c r="BB275" s="242">
        <f>SUM(AX275:BA275)</f>
        <v>16202.495999999999</v>
      </c>
      <c r="BC275" s="240">
        <f>(BC272*BC274*(8760/1000))/4</f>
        <v>4384.2048000000004</v>
      </c>
      <c r="BD275" s="241">
        <f>(BD272*BD274*(8760/1000))/4</f>
        <v>4384.2048000000004</v>
      </c>
      <c r="BE275" s="241">
        <f>(BE272*BE274*(8760/1000))/4</f>
        <v>4384.2048000000004</v>
      </c>
      <c r="BF275" s="1059">
        <f>(BF272*BF274*(8760/1000))/4</f>
        <v>4384.2048000000004</v>
      </c>
      <c r="BG275" s="242">
        <f>SUM(BC275:BF275)</f>
        <v>17536.819200000002</v>
      </c>
      <c r="BH275" s="240">
        <f>(BH272*BH274*(8760/1000))/4</f>
        <v>4384.2048000000004</v>
      </c>
      <c r="BI275" s="241">
        <f>(BI272*BI274*(8760/1000))/4</f>
        <v>4384.2048000000004</v>
      </c>
      <c r="BJ275" s="241">
        <f>(BJ272*BJ274*(8760/1000))/4</f>
        <v>4384.2048000000004</v>
      </c>
      <c r="BK275" s="1059">
        <f>(BK272*BK274*(8760/1000))/4</f>
        <v>4384.2048000000004</v>
      </c>
      <c r="BL275" s="242">
        <f>SUM(BH275:BK275)</f>
        <v>17536.819200000002</v>
      </c>
      <c r="BM275" s="240">
        <f>(BM272*BM274*(8760/1000))/4</f>
        <v>4384.2048000000004</v>
      </c>
      <c r="BN275" s="241">
        <f>(BN272*BN274*(8760/1000))/4</f>
        <v>4384.2048000000004</v>
      </c>
      <c r="BO275" s="241">
        <f>(BO272*BO274*(8760/1000))/4</f>
        <v>4384.2048000000004</v>
      </c>
      <c r="BP275" s="1059">
        <f>(BP272*BP274*(8760/1000))/4</f>
        <v>4384.2048000000004</v>
      </c>
      <c r="BQ275" s="242">
        <f>SUM(BM275:BP275)</f>
        <v>17536.819200000002</v>
      </c>
      <c r="BR275" s="87"/>
      <c r="BS275" s="87"/>
      <c r="BT275" s="12"/>
      <c r="BU275" s="12"/>
      <c r="BV275" s="12"/>
      <c r="BW275" s="12"/>
      <c r="BX275" s="12"/>
      <c r="BY275" s="12"/>
      <c r="BZ275" s="12"/>
      <c r="CA275" s="12"/>
      <c r="CB275" s="12"/>
      <c r="CC275" s="12"/>
      <c r="CD275" s="12"/>
      <c r="CE275" s="12"/>
      <c r="CF275" s="12"/>
      <c r="CG275" s="91"/>
      <c r="CH275" s="91"/>
      <c r="CI275" s="91"/>
      <c r="CJ275" s="91"/>
      <c r="CK275" s="91"/>
      <c r="CL275" s="91"/>
      <c r="CM275" s="91"/>
      <c r="CN275" s="91"/>
      <c r="CO275" s="91"/>
      <c r="CP275" s="91"/>
      <c r="CQ275" s="91"/>
      <c r="CR275" s="1018"/>
      <c r="CS275" s="1018"/>
      <c r="CT275" s="821"/>
      <c r="CU275" s="12"/>
      <c r="CV275" s="12"/>
      <c r="CW275" s="12"/>
      <c r="CX275" s="12"/>
      <c r="CY275" s="12"/>
      <c r="CZ275" s="91"/>
      <c r="DA275" s="91"/>
      <c r="DB275" s="91"/>
      <c r="DC275" s="91"/>
      <c r="DD275" s="91"/>
      <c r="DE275" s="91"/>
      <c r="DF275" s="12"/>
      <c r="DG275" s="12"/>
      <c r="DH275" s="12"/>
      <c r="DI275" s="12"/>
      <c r="DJ275" s="12"/>
      <c r="DK275" s="12"/>
      <c r="DL275" s="12"/>
      <c r="DM275" s="12"/>
      <c r="DN275" s="12"/>
    </row>
    <row r="276" spans="1:118">
      <c r="A276" s="91"/>
      <c r="B276" s="89"/>
      <c r="C276" s="1184"/>
      <c r="D276" s="89"/>
      <c r="E276" s="145"/>
      <c r="F276" s="146"/>
      <c r="G276" s="146"/>
      <c r="H276" s="147"/>
      <c r="I276" s="87"/>
      <c r="J276" s="145"/>
      <c r="K276" s="146"/>
      <c r="L276" s="146"/>
      <c r="M276" s="147"/>
      <c r="N276" s="89"/>
      <c r="O276" s="145"/>
      <c r="P276" s="146"/>
      <c r="Q276" s="146"/>
      <c r="R276" s="147"/>
      <c r="S276" s="89"/>
      <c r="T276" s="145"/>
      <c r="U276" s="146"/>
      <c r="V276" s="146"/>
      <c r="W276" s="147"/>
      <c r="X276" s="89"/>
      <c r="Y276" s="145"/>
      <c r="Z276" s="146"/>
      <c r="AA276" s="146"/>
      <c r="AB276" s="147"/>
      <c r="AC276" s="89"/>
      <c r="AD276" s="145"/>
      <c r="AE276" s="146"/>
      <c r="AF276" s="146"/>
      <c r="AG276" s="147"/>
      <c r="AH276" s="89"/>
      <c r="AI276" s="145"/>
      <c r="AJ276" s="146"/>
      <c r="AK276" s="146"/>
      <c r="AL276" s="147"/>
      <c r="AM276" s="89"/>
      <c r="AN276" s="145"/>
      <c r="AO276" s="146"/>
      <c r="AP276" s="146"/>
      <c r="AQ276" s="147"/>
      <c r="AR276" s="89"/>
      <c r="AS276" s="145"/>
      <c r="AT276" s="146"/>
      <c r="AU276" s="146"/>
      <c r="AV276" s="147"/>
      <c r="AW276" s="89"/>
      <c r="AX276" s="145"/>
      <c r="AY276" s="146"/>
      <c r="AZ276" s="146"/>
      <c r="BA276" s="147"/>
      <c r="BB276" s="89"/>
      <c r="BC276" s="145"/>
      <c r="BD276" s="146"/>
      <c r="BE276" s="146"/>
      <c r="BF276" s="147"/>
      <c r="BG276" s="89"/>
      <c r="BH276" s="145"/>
      <c r="BI276" s="146"/>
      <c r="BJ276" s="146"/>
      <c r="BK276" s="147"/>
      <c r="BL276" s="89"/>
      <c r="BM276" s="145"/>
      <c r="BN276" s="146"/>
      <c r="BO276" s="146"/>
      <c r="BP276" s="147"/>
      <c r="BQ276" s="89"/>
      <c r="BR276" s="87"/>
      <c r="BS276" s="87"/>
      <c r="BT276" s="12"/>
      <c r="BU276" s="12"/>
      <c r="BV276" s="12"/>
      <c r="BW276" s="12"/>
      <c r="BX276" s="12"/>
      <c r="BY276" s="12"/>
      <c r="BZ276" s="12"/>
      <c r="CA276" s="12"/>
      <c r="CB276" s="12"/>
      <c r="CC276" s="12"/>
      <c r="CD276" s="12"/>
      <c r="CE276" s="12"/>
      <c r="CF276" s="12"/>
      <c r="CG276" s="91"/>
      <c r="CH276" s="91"/>
      <c r="CI276" s="91"/>
      <c r="CJ276" s="91"/>
      <c r="CK276" s="91"/>
      <c r="CL276" s="91"/>
      <c r="CM276" s="91"/>
      <c r="CN276" s="91"/>
      <c r="CO276" s="91"/>
      <c r="CP276" s="91"/>
      <c r="CQ276" s="91"/>
      <c r="CR276" s="1018"/>
      <c r="CS276" s="1018"/>
      <c r="CT276" s="821"/>
      <c r="CU276" s="12"/>
      <c r="CV276" s="12"/>
      <c r="CW276" s="12"/>
      <c r="CX276" s="12"/>
      <c r="CY276" s="12"/>
      <c r="CZ276" s="91"/>
      <c r="DA276" s="91"/>
      <c r="DB276" s="91"/>
      <c r="DC276" s="91"/>
      <c r="DD276" s="91"/>
      <c r="DE276" s="91"/>
      <c r="DF276" s="12"/>
      <c r="DG276" s="12"/>
      <c r="DH276" s="12"/>
      <c r="DI276" s="12"/>
      <c r="DJ276" s="12"/>
      <c r="DK276" s="12"/>
      <c r="DL276" s="12"/>
      <c r="DM276" s="12"/>
      <c r="DN276" s="12"/>
    </row>
    <row r="277" spans="1:118">
      <c r="A277" s="91"/>
      <c r="B277" s="89"/>
      <c r="C277" s="1179" t="s">
        <v>566</v>
      </c>
      <c r="D277" s="89"/>
      <c r="E277" s="145"/>
      <c r="F277" s="146"/>
      <c r="G277" s="146"/>
      <c r="H277" s="147"/>
      <c r="I277" s="87"/>
      <c r="J277" s="145"/>
      <c r="K277" s="146"/>
      <c r="L277" s="146"/>
      <c r="M277" s="147"/>
      <c r="N277" s="89"/>
      <c r="O277" s="145"/>
      <c r="P277" s="146"/>
      <c r="Q277" s="146"/>
      <c r="R277" s="147"/>
      <c r="S277" s="89"/>
      <c r="T277" s="1060"/>
      <c r="U277" s="1061"/>
      <c r="V277" s="1061"/>
      <c r="W277" s="1062"/>
      <c r="X277" s="263"/>
      <c r="Y277" s="1060">
        <f>(Y269/1000*Y275)</f>
        <v>149.86261864601599</v>
      </c>
      <c r="Z277" s="1061">
        <f>(Z269/1000*Z275)</f>
        <v>153.08472516312079</v>
      </c>
      <c r="AA277" s="1061">
        <f>(AA269/1000*AA275)</f>
        <v>147.50237158776739</v>
      </c>
      <c r="AB277" s="1062">
        <f>(AB269/1000*AB275)</f>
        <v>140.80164787958932</v>
      </c>
      <c r="AC277" s="263">
        <f>SUM(Y277:AB277)</f>
        <v>591.25136327649352</v>
      </c>
      <c r="AD277" s="1060">
        <f>(AD269/1000*AD275)</f>
        <v>293.18301980178074</v>
      </c>
      <c r="AE277" s="1061">
        <f>(AE269/1000*AE275)</f>
        <v>176.14602751695989</v>
      </c>
      <c r="AF277" s="1061">
        <f>(AF269/1000*AF275)</f>
        <v>140.55943260762231</v>
      </c>
      <c r="AG277" s="1062">
        <f>(AG269/1000*AG275)</f>
        <v>152.73824846098162</v>
      </c>
      <c r="AH277" s="263">
        <f>SUM(AD277:AG277)</f>
        <v>762.62672838734454</v>
      </c>
      <c r="AI277" s="1060">
        <f>(AI269/1000*AI275)</f>
        <v>160.00159522134621</v>
      </c>
      <c r="AJ277" s="1061">
        <f>(AJ269/1000*AJ275)</f>
        <v>126.58744888437393</v>
      </c>
      <c r="AK277" s="1061">
        <f>(AK269/1000*AK275)</f>
        <v>121.62850054774202</v>
      </c>
      <c r="AL277" s="1062">
        <f>(AL269/1000*AL275)</f>
        <v>109.86113898011058</v>
      </c>
      <c r="AM277" s="263">
        <f>SUM(AI277:AL277)</f>
        <v>518.07868363357272</v>
      </c>
      <c r="AN277" s="1060">
        <f>(AN269/1000*AN275)</f>
        <v>107.69907805624109</v>
      </c>
      <c r="AO277" s="1061">
        <f>(AO269/1000*AO275)</f>
        <v>114.03068367061245</v>
      </c>
      <c r="AP277" s="1061">
        <f>(AP269/1000*AP275)</f>
        <v>130.19560982604614</v>
      </c>
      <c r="AQ277" s="1062">
        <f>(AQ269/1000*AQ275)</f>
        <v>125.37782031854697</v>
      </c>
      <c r="AR277" s="263">
        <f>SUM(AN277:AQ277)</f>
        <v>477.3031918714467</v>
      </c>
      <c r="AS277" s="1060">
        <f>(AS269/1000*AS275)</f>
        <v>120.76467642374644</v>
      </c>
      <c r="AT277" s="1061">
        <f>(AT269/1000*AT275)</f>
        <v>120.76467642374644</v>
      </c>
      <c r="AU277" s="1061">
        <f>(AU269/1000*AU275)</f>
        <v>128.57282672534478</v>
      </c>
      <c r="AV277" s="1062">
        <f>(AV269/1000*AV275)</f>
        <v>127.14676273098686</v>
      </c>
      <c r="AW277" s="263">
        <f>SUM(AS277:AV277)</f>
        <v>497.24894230382449</v>
      </c>
      <c r="AX277" s="1060">
        <f>(AX269/1000*AX275)</f>
        <v>149.39027845542017</v>
      </c>
      <c r="AY277" s="1061">
        <f>(AY269/1000*AY275)</f>
        <v>122.47736767999999</v>
      </c>
      <c r="AZ277" s="1061">
        <f>(AZ269/1000*AZ275)</f>
        <v>126.16174776</v>
      </c>
      <c r="BA277" s="1062">
        <f>(BA269/1000*BA275)</f>
        <v>119.3837036</v>
      </c>
      <c r="BB277" s="263">
        <f>SUM(AX277:BA277)</f>
        <v>517.41309749542017</v>
      </c>
      <c r="BC277" s="1060">
        <f>(BC269/1000*BC275)</f>
        <v>146.47254553674117</v>
      </c>
      <c r="BD277" s="1061">
        <f>(BD269/1000*BD275)</f>
        <v>114.71952187950878</v>
      </c>
      <c r="BE277" s="1061">
        <f>(BE269/1000*BE275)</f>
        <v>121.08521223673496</v>
      </c>
      <c r="BF277" s="1062">
        <f>(BF269/1000*BF275)</f>
        <v>141.18405561872896</v>
      </c>
      <c r="BG277" s="263">
        <f>SUM(BC277:BF277)</f>
        <v>523.46133527171378</v>
      </c>
      <c r="BH277" s="1060">
        <f>(BH269/1000*BH275)</f>
        <v>144.69717892898444</v>
      </c>
      <c r="BI277" s="1061">
        <f>(BI269/1000*BI275)</f>
        <v>113.35539917057697</v>
      </c>
      <c r="BJ277" s="1061">
        <f>(BJ269/1000*BJ275)</f>
        <v>119.65636385027415</v>
      </c>
      <c r="BK277" s="1062">
        <f>(BK269/1000*BK275)</f>
        <v>139.47687179946797</v>
      </c>
      <c r="BL277" s="263">
        <f>SUM(BH277:BK277)</f>
        <v>517.18581374930352</v>
      </c>
      <c r="BM277" s="1060">
        <f>(BM269/1000*BM275)</f>
        <v>131.79093832343884</v>
      </c>
      <c r="BN277" s="1061">
        <f>(BN269/1000*BN275)</f>
        <v>121.5520148893885</v>
      </c>
      <c r="BO277" s="1061">
        <f>(BO269/1000*BO275)</f>
        <v>121.76820560089818</v>
      </c>
      <c r="BP277" s="1062">
        <f>(BP269/1000*BP275)</f>
        <v>127.18499869263397</v>
      </c>
      <c r="BQ277" s="263">
        <f>SUM(BM277:BP277)</f>
        <v>502.29615750635946</v>
      </c>
      <c r="BR277" s="87"/>
      <c r="BS277" s="87"/>
      <c r="BT277" s="12"/>
      <c r="BU277" s="12"/>
      <c r="BV277" s="12"/>
      <c r="BW277" s="12"/>
      <c r="BX277" s="12"/>
      <c r="BY277" s="12"/>
      <c r="BZ277" s="12"/>
      <c r="CA277" s="12"/>
      <c r="CB277" s="12"/>
      <c r="CC277" s="12"/>
      <c r="CD277" s="12"/>
      <c r="CE277" s="12"/>
      <c r="CF277" s="12"/>
      <c r="CG277" s="91"/>
      <c r="CH277" s="91"/>
      <c r="CI277" s="91"/>
      <c r="CJ277" s="91"/>
      <c r="CK277" s="91"/>
      <c r="CL277" s="91"/>
      <c r="CM277" s="91"/>
      <c r="CN277" s="91"/>
      <c r="CO277" s="91"/>
      <c r="CP277" s="91"/>
      <c r="CQ277" s="91"/>
      <c r="CR277" s="1018"/>
      <c r="CS277" s="1018"/>
      <c r="CT277" s="821"/>
      <c r="CU277" s="12"/>
      <c r="CV277" s="12"/>
      <c r="CW277" s="12"/>
      <c r="CX277" s="12"/>
      <c r="CY277" s="12"/>
      <c r="CZ277" s="91"/>
      <c r="DA277" s="91"/>
      <c r="DB277" s="91"/>
      <c r="DC277" s="91"/>
      <c r="DD277" s="91"/>
      <c r="DE277" s="91"/>
      <c r="DF277" s="12"/>
      <c r="DG277" s="12"/>
      <c r="DH277" s="12"/>
      <c r="DI277" s="12"/>
      <c r="DJ277" s="12"/>
      <c r="DK277" s="12"/>
      <c r="DL277" s="12"/>
      <c r="DM277" s="12"/>
      <c r="DN277" s="12"/>
    </row>
    <row r="278" spans="1:118">
      <c r="A278" s="91"/>
      <c r="B278" s="89"/>
      <c r="C278" s="1179" t="s">
        <v>683</v>
      </c>
      <c r="D278" s="89"/>
      <c r="E278" s="145"/>
      <c r="F278" s="146"/>
      <c r="G278" s="146"/>
      <c r="H278" s="147"/>
      <c r="I278" s="87"/>
      <c r="J278" s="145"/>
      <c r="K278" s="146"/>
      <c r="L278" s="146"/>
      <c r="M278" s="147"/>
      <c r="N278" s="89"/>
      <c r="O278" s="145"/>
      <c r="P278" s="146"/>
      <c r="Q278" s="146"/>
      <c r="R278" s="147"/>
      <c r="S278" s="89"/>
      <c r="T278" s="1060"/>
      <c r="U278" s="1061"/>
      <c r="V278" s="1061"/>
      <c r="W278" s="1062"/>
      <c r="X278" s="263"/>
      <c r="Y278" s="1060">
        <f>Y270/1000*Y275</f>
        <v>32.881536000000004</v>
      </c>
      <c r="Z278" s="1061">
        <f>Z270/1000*Z275</f>
        <v>32.881536000000004</v>
      </c>
      <c r="AA278" s="1061">
        <f>AA270/1000*AA275</f>
        <v>32.881536000000004</v>
      </c>
      <c r="AB278" s="1062">
        <f>AB270/1000*AB275</f>
        <v>32.881536000000004</v>
      </c>
      <c r="AC278" s="263">
        <f>SUM(Y278:AB278)</f>
        <v>131.52614400000002</v>
      </c>
      <c r="AD278" s="1060">
        <f>AD270/1000*AD275</f>
        <v>29.483777280000005</v>
      </c>
      <c r="AE278" s="1061">
        <f>AE270/1000*AE275</f>
        <v>29.483777280000005</v>
      </c>
      <c r="AF278" s="1061">
        <f>AF270/1000*AF275</f>
        <v>29.483777280000005</v>
      </c>
      <c r="AG278" s="1062">
        <f>AG270/1000*AG275</f>
        <v>29.483777280000005</v>
      </c>
      <c r="AH278" s="263">
        <f>SUM(AD278:AG278)</f>
        <v>117.93510912000002</v>
      </c>
      <c r="AI278" s="1060">
        <f>AI270/1000*AI275</f>
        <v>29.047930137600005</v>
      </c>
      <c r="AJ278" s="1061">
        <f>AJ270/1000*AJ275</f>
        <v>29.047930137600005</v>
      </c>
      <c r="AK278" s="1061">
        <f>AK270/1000*AK275</f>
        <v>29.047930137600005</v>
      </c>
      <c r="AL278" s="1062">
        <f>AL270/1000*AL275</f>
        <v>29.047930137600005</v>
      </c>
      <c r="AM278" s="263">
        <f>SUM(AI278:AL278)</f>
        <v>116.19172055040002</v>
      </c>
      <c r="AN278" s="1060">
        <f>AN270/1000*AN275</f>
        <v>31.279339316352008</v>
      </c>
      <c r="AO278" s="1061">
        <f>AO270/1000*AO275</f>
        <v>31.279339316352008</v>
      </c>
      <c r="AP278" s="1061">
        <f>AP270/1000*AP275</f>
        <v>31.279339316352008</v>
      </c>
      <c r="AQ278" s="1062">
        <f>AQ270/1000*AQ275</f>
        <v>31.279339316352008</v>
      </c>
      <c r="AR278" s="263">
        <f>SUM(AN278:AQ278)</f>
        <v>125.11735726540803</v>
      </c>
      <c r="AS278" s="1060">
        <f>AS270/1000*AS275</f>
        <v>32.217719495842573</v>
      </c>
      <c r="AT278" s="1061">
        <f>AT270/1000*AT275</f>
        <v>32.217719495842573</v>
      </c>
      <c r="AU278" s="1061">
        <f>AU270/1000*AU275</f>
        <v>32.217719495842573</v>
      </c>
      <c r="AV278" s="1062">
        <f>AV270/1000*AV275</f>
        <v>32.217719495842573</v>
      </c>
      <c r="AW278" s="263">
        <f>SUM(AS278:AV278)</f>
        <v>128.87087798337029</v>
      </c>
      <c r="AX278" s="1060">
        <f>AX270/1000*AX275</f>
        <v>30.659362411532793</v>
      </c>
      <c r="AY278" s="1061">
        <f>AY270/1000*AY275</f>
        <v>30.659362411532793</v>
      </c>
      <c r="AZ278" s="1061">
        <f>AZ270/1000*AZ275</f>
        <v>30.659362411532793</v>
      </c>
      <c r="BA278" s="1062">
        <f>BA270/1000*BA275</f>
        <v>30.659362411532793</v>
      </c>
      <c r="BB278" s="263">
        <f>SUM(AX278:BA278)</f>
        <v>122.63744964613117</v>
      </c>
      <c r="BC278" s="1060">
        <f>BC270/1000*BC275</f>
        <v>34.179778613139391</v>
      </c>
      <c r="BD278" s="1061">
        <f>BD270/1000*BD275</f>
        <v>34.179778613139391</v>
      </c>
      <c r="BE278" s="1061">
        <f>BE270/1000*BE275</f>
        <v>34.179778613139391</v>
      </c>
      <c r="BF278" s="1062">
        <f>BF270/1000*BF275</f>
        <v>34.179778613139391</v>
      </c>
      <c r="BG278" s="263">
        <f>SUM(BC278:BF278)</f>
        <v>136.71911445255756</v>
      </c>
      <c r="BH278" s="1060">
        <f>BH270/1000*BH275</f>
        <v>35.205171971533574</v>
      </c>
      <c r="BI278" s="1061">
        <f>BI270/1000*BI275</f>
        <v>35.205171971533574</v>
      </c>
      <c r="BJ278" s="1061">
        <f>BJ270/1000*BJ275</f>
        <v>35.205171971533574</v>
      </c>
      <c r="BK278" s="1062">
        <f>BK270/1000*BK275</f>
        <v>35.205171971533574</v>
      </c>
      <c r="BL278" s="263">
        <f>SUM(BH278:BK278)</f>
        <v>140.82068788613429</v>
      </c>
      <c r="BM278" s="1060">
        <f>BM270/1000*BM275</f>
        <v>36.261327130679575</v>
      </c>
      <c r="BN278" s="1061">
        <f>BN270/1000*BN275</f>
        <v>36.261327130679575</v>
      </c>
      <c r="BO278" s="1061">
        <f>BO270/1000*BO275</f>
        <v>36.261327130679575</v>
      </c>
      <c r="BP278" s="1062">
        <f>BP270/1000*BP275</f>
        <v>36.261327130679575</v>
      </c>
      <c r="BQ278" s="263">
        <f>SUM(BM278:BP278)</f>
        <v>145.0453085227183</v>
      </c>
      <c r="BR278" s="87"/>
      <c r="BS278" s="87"/>
      <c r="BT278" s="12"/>
      <c r="BU278" s="12"/>
      <c r="BV278" s="12"/>
      <c r="BW278" s="12"/>
      <c r="BX278" s="12"/>
      <c r="BY278" s="12"/>
      <c r="BZ278" s="12"/>
      <c r="CA278" s="12"/>
      <c r="CB278" s="12"/>
      <c r="CC278" s="12"/>
      <c r="CD278" s="12"/>
      <c r="CE278" s="12"/>
      <c r="CF278" s="12"/>
      <c r="CG278" s="91"/>
      <c r="CH278" s="91"/>
      <c r="CI278" s="91"/>
      <c r="CJ278" s="91"/>
      <c r="CK278" s="91"/>
      <c r="CL278" s="91"/>
      <c r="CM278" s="91"/>
      <c r="CN278" s="91"/>
      <c r="CO278" s="91"/>
      <c r="CP278" s="91"/>
      <c r="CQ278" s="91"/>
      <c r="CR278" s="1018"/>
      <c r="CS278" s="1018"/>
      <c r="CT278" s="821"/>
      <c r="CU278" s="12"/>
      <c r="CV278" s="12"/>
      <c r="CW278" s="12"/>
      <c r="CX278" s="12"/>
      <c r="CY278" s="12"/>
      <c r="CZ278" s="91"/>
      <c r="DA278" s="91"/>
      <c r="DB278" s="91"/>
      <c r="DC278" s="91"/>
      <c r="DD278" s="91"/>
      <c r="DE278" s="91"/>
      <c r="DF278" s="12"/>
      <c r="DG278" s="12"/>
      <c r="DH278" s="12"/>
      <c r="DI278" s="12"/>
      <c r="DJ278" s="12"/>
      <c r="DK278" s="12"/>
      <c r="DL278" s="12"/>
      <c r="DM278" s="12"/>
      <c r="DN278" s="12"/>
    </row>
    <row r="279" spans="1:118">
      <c r="A279" s="91"/>
      <c r="B279" s="89"/>
      <c r="C279" s="1186" t="s">
        <v>567</v>
      </c>
      <c r="D279" s="88"/>
      <c r="E279" s="214"/>
      <c r="F279" s="148"/>
      <c r="G279" s="148"/>
      <c r="H279" s="215"/>
      <c r="I279" s="87"/>
      <c r="J279" s="214"/>
      <c r="K279" s="148"/>
      <c r="L279" s="148"/>
      <c r="M279" s="215"/>
      <c r="N279" s="88"/>
      <c r="O279" s="214"/>
      <c r="P279" s="148"/>
      <c r="Q279" s="148"/>
      <c r="R279" s="215"/>
      <c r="S279" s="88"/>
      <c r="T279" s="1063"/>
      <c r="U279" s="1064"/>
      <c r="V279" s="1064"/>
      <c r="W279" s="1065"/>
      <c r="X279" s="260"/>
      <c r="Y279" s="1063">
        <f t="shared" ref="Y279:AR279" si="479">Y277-Y278</f>
        <v>116.98108264601598</v>
      </c>
      <c r="Z279" s="1064">
        <f t="shared" si="479"/>
        <v>120.20318916312078</v>
      </c>
      <c r="AA279" s="1064">
        <f t="shared" si="479"/>
        <v>114.62083558776737</v>
      </c>
      <c r="AB279" s="1065">
        <f t="shared" si="479"/>
        <v>107.92011187958931</v>
      </c>
      <c r="AC279" s="260">
        <f t="shared" si="479"/>
        <v>459.72521927649348</v>
      </c>
      <c r="AD279" s="1063">
        <f t="shared" si="479"/>
        <v>263.69924252178072</v>
      </c>
      <c r="AE279" s="1064">
        <f t="shared" si="479"/>
        <v>146.66225023695989</v>
      </c>
      <c r="AF279" s="1064">
        <f t="shared" si="479"/>
        <v>111.07565532762231</v>
      </c>
      <c r="AG279" s="1065">
        <f t="shared" si="479"/>
        <v>123.25447118098162</v>
      </c>
      <c r="AH279" s="260">
        <f t="shared" si="479"/>
        <v>644.69161926734455</v>
      </c>
      <c r="AI279" s="1063">
        <f t="shared" si="479"/>
        <v>130.95366508374622</v>
      </c>
      <c r="AJ279" s="1064">
        <f t="shared" si="479"/>
        <v>97.539518746773922</v>
      </c>
      <c r="AK279" s="1064">
        <f t="shared" si="479"/>
        <v>92.580570410142016</v>
      </c>
      <c r="AL279" s="1065">
        <f t="shared" si="479"/>
        <v>80.813208842510576</v>
      </c>
      <c r="AM279" s="260">
        <f t="shared" si="479"/>
        <v>401.8869630831727</v>
      </c>
      <c r="AN279" s="1063">
        <f t="shared" si="479"/>
        <v>76.419738739889084</v>
      </c>
      <c r="AO279" s="1064">
        <f t="shared" si="479"/>
        <v>82.751344354260439</v>
      </c>
      <c r="AP279" s="1064">
        <f t="shared" ref="AP279" si="480">AP277-AP278</f>
        <v>98.916270509694129</v>
      </c>
      <c r="AQ279" s="1065">
        <f t="shared" si="479"/>
        <v>94.098481002194958</v>
      </c>
      <c r="AR279" s="260">
        <f t="shared" si="479"/>
        <v>352.18583460603867</v>
      </c>
      <c r="AS279" s="1063">
        <f t="shared" ref="AS279" si="481">AS277-AS278</f>
        <v>88.546956927903864</v>
      </c>
      <c r="AT279" s="1064">
        <f t="shared" ref="AT279:BB279" si="482">AT277-AT278</f>
        <v>88.546956927903864</v>
      </c>
      <c r="AU279" s="1064">
        <f t="shared" ref="AU279" si="483">AU277-AU278</f>
        <v>96.35510722950221</v>
      </c>
      <c r="AV279" s="1065">
        <f t="shared" si="482"/>
        <v>94.929043235144292</v>
      </c>
      <c r="AW279" s="260">
        <f t="shared" si="482"/>
        <v>368.3780643204542</v>
      </c>
      <c r="AX279" s="1063">
        <f t="shared" si="482"/>
        <v>118.73091604388738</v>
      </c>
      <c r="AY279" s="1064">
        <f t="shared" si="482"/>
        <v>91.818005268467189</v>
      </c>
      <c r="AZ279" s="1064">
        <f t="shared" si="482"/>
        <v>95.5023853484672</v>
      </c>
      <c r="BA279" s="1065">
        <f t="shared" si="482"/>
        <v>88.724341188467207</v>
      </c>
      <c r="BB279" s="260">
        <f t="shared" si="482"/>
        <v>394.77564784928899</v>
      </c>
      <c r="BC279" s="1063">
        <f t="shared" ref="BC279:BL279" si="484">BC277-BC278</f>
        <v>112.29276692360177</v>
      </c>
      <c r="BD279" s="1064">
        <f t="shared" si="484"/>
        <v>80.539743266369385</v>
      </c>
      <c r="BE279" s="1064">
        <f t="shared" si="484"/>
        <v>86.90543362359557</v>
      </c>
      <c r="BF279" s="1065">
        <f t="shared" si="484"/>
        <v>107.00427700558957</v>
      </c>
      <c r="BG279" s="260">
        <f t="shared" si="484"/>
        <v>386.74222081915622</v>
      </c>
      <c r="BH279" s="1063">
        <f t="shared" si="484"/>
        <v>109.49200695745087</v>
      </c>
      <c r="BI279" s="1064">
        <f t="shared" si="484"/>
        <v>78.1502271990434</v>
      </c>
      <c r="BJ279" s="1064">
        <f t="shared" si="484"/>
        <v>84.451191878740573</v>
      </c>
      <c r="BK279" s="1065">
        <f t="shared" si="484"/>
        <v>104.2716998279344</v>
      </c>
      <c r="BL279" s="260">
        <f t="shared" si="484"/>
        <v>376.36512586316923</v>
      </c>
      <c r="BM279" s="1063">
        <f t="shared" ref="BM279:BQ279" si="485">BM277-BM278</f>
        <v>95.529611192759262</v>
      </c>
      <c r="BN279" s="1064">
        <f t="shared" si="485"/>
        <v>85.290687758708927</v>
      </c>
      <c r="BO279" s="1064">
        <f t="shared" si="485"/>
        <v>85.506878470218609</v>
      </c>
      <c r="BP279" s="1065">
        <f t="shared" si="485"/>
        <v>90.923671561954393</v>
      </c>
      <c r="BQ279" s="260">
        <f t="shared" si="485"/>
        <v>357.25084898364116</v>
      </c>
      <c r="BR279" s="87"/>
      <c r="BS279" s="87"/>
      <c r="BT279" s="12"/>
      <c r="BU279" s="12"/>
      <c r="BV279" s="12"/>
      <c r="BW279" s="12"/>
      <c r="BX279" s="12"/>
      <c r="BY279" s="12"/>
      <c r="BZ279" s="12"/>
      <c r="CA279" s="12"/>
      <c r="CB279" s="12"/>
      <c r="CC279" s="12"/>
      <c r="CD279" s="12"/>
      <c r="CE279" s="12"/>
      <c r="CF279" s="12"/>
      <c r="CG279" s="91"/>
      <c r="CH279" s="91"/>
      <c r="CI279" s="91"/>
      <c r="CJ279" s="91"/>
      <c r="CK279" s="91"/>
      <c r="CL279" s="91"/>
      <c r="CM279" s="91"/>
      <c r="CN279" s="91"/>
      <c r="CO279" s="91"/>
      <c r="CP279" s="91"/>
      <c r="CQ279" s="91"/>
      <c r="CR279" s="1018"/>
      <c r="CS279" s="1018"/>
      <c r="CT279" s="821"/>
      <c r="CU279" s="12"/>
      <c r="CV279" s="12"/>
      <c r="CW279" s="12"/>
      <c r="CX279" s="12"/>
      <c r="CY279" s="12"/>
      <c r="CZ279" s="91"/>
      <c r="DA279" s="91"/>
      <c r="DB279" s="91"/>
      <c r="DC279" s="91"/>
      <c r="DD279" s="91"/>
      <c r="DE279" s="91"/>
      <c r="DF279" s="12"/>
      <c r="DG279" s="12"/>
      <c r="DH279" s="12"/>
      <c r="DI279" s="12"/>
      <c r="DJ279" s="12"/>
      <c r="DK279" s="12"/>
      <c r="DL279" s="12"/>
      <c r="DM279" s="12"/>
      <c r="DN279" s="12"/>
    </row>
    <row r="280" spans="1:118">
      <c r="A280" s="91"/>
      <c r="B280" s="89"/>
      <c r="C280" s="1184"/>
      <c r="D280" s="89"/>
      <c r="E280" s="145"/>
      <c r="F280" s="146"/>
      <c r="G280" s="146"/>
      <c r="H280" s="147"/>
      <c r="I280" s="87"/>
      <c r="J280" s="145"/>
      <c r="K280" s="146"/>
      <c r="L280" s="146"/>
      <c r="M280" s="147"/>
      <c r="N280" s="89"/>
      <c r="O280" s="145"/>
      <c r="P280" s="146"/>
      <c r="Q280" s="146"/>
      <c r="R280" s="147"/>
      <c r="S280" s="89"/>
      <c r="T280" s="145"/>
      <c r="U280" s="146"/>
      <c r="V280" s="146"/>
      <c r="W280" s="147"/>
      <c r="X280" s="89"/>
      <c r="Y280" s="145"/>
      <c r="Z280" s="146"/>
      <c r="AA280" s="146"/>
      <c r="AB280" s="147"/>
      <c r="AC280" s="89"/>
      <c r="AD280" s="145"/>
      <c r="AE280" s="146"/>
      <c r="AF280" s="146"/>
      <c r="AG280" s="147"/>
      <c r="AH280" s="89"/>
      <c r="AI280" s="145"/>
      <c r="AJ280" s="146"/>
      <c r="AK280" s="146"/>
      <c r="AL280" s="147"/>
      <c r="AM280" s="89"/>
      <c r="AN280" s="145"/>
      <c r="AO280" s="146"/>
      <c r="AP280" s="146"/>
      <c r="AQ280" s="147"/>
      <c r="AR280" s="89"/>
      <c r="AS280" s="145"/>
      <c r="AT280" s="146"/>
      <c r="AU280" s="146"/>
      <c r="AV280" s="147"/>
      <c r="AW280" s="89"/>
      <c r="AX280" s="145"/>
      <c r="AY280" s="146"/>
      <c r="AZ280" s="146"/>
      <c r="BA280" s="147"/>
      <c r="BB280" s="89"/>
      <c r="BC280" s="145"/>
      <c r="BD280" s="146"/>
      <c r="BE280" s="146"/>
      <c r="BF280" s="147"/>
      <c r="BG280" s="89"/>
      <c r="BH280" s="145"/>
      <c r="BI280" s="146"/>
      <c r="BJ280" s="146"/>
      <c r="BK280" s="147"/>
      <c r="BL280" s="89"/>
      <c r="BM280" s="145"/>
      <c r="BN280" s="146"/>
      <c r="BO280" s="146"/>
      <c r="BP280" s="147"/>
      <c r="BQ280" s="89"/>
      <c r="BR280" s="87"/>
      <c r="BS280" s="87"/>
      <c r="BT280" s="12"/>
      <c r="BU280" s="12"/>
      <c r="BV280" s="12"/>
      <c r="BW280" s="12"/>
      <c r="BX280" s="12"/>
      <c r="BY280" s="12"/>
      <c r="BZ280" s="12"/>
      <c r="CA280" s="12"/>
      <c r="CB280" s="12"/>
      <c r="CC280" s="12"/>
      <c r="CD280" s="12"/>
      <c r="CE280" s="12"/>
      <c r="CF280" s="12"/>
      <c r="CG280" s="91"/>
      <c r="CH280" s="91"/>
      <c r="CI280" s="91"/>
      <c r="CJ280" s="91"/>
      <c r="CK280" s="91"/>
      <c r="CL280" s="91"/>
      <c r="CM280" s="91"/>
      <c r="CN280" s="91"/>
      <c r="CO280" s="91"/>
      <c r="CP280" s="91"/>
      <c r="CQ280" s="91"/>
      <c r="CR280" s="1018"/>
      <c r="CS280" s="1018"/>
      <c r="CT280" s="821"/>
      <c r="CU280" s="12"/>
      <c r="CV280" s="12"/>
      <c r="CW280" s="12"/>
      <c r="CX280" s="12"/>
      <c r="CY280" s="12"/>
      <c r="CZ280" s="91"/>
      <c r="DA280" s="91"/>
      <c r="DB280" s="91"/>
      <c r="DC280" s="91"/>
      <c r="DD280" s="91"/>
      <c r="DE280" s="91"/>
      <c r="DF280" s="12"/>
      <c r="DG280" s="12"/>
      <c r="DH280" s="12"/>
      <c r="DI280" s="12"/>
      <c r="DJ280" s="12"/>
      <c r="DK280" s="12"/>
      <c r="DL280" s="12"/>
      <c r="DM280" s="12"/>
      <c r="DN280" s="12"/>
    </row>
    <row r="281" spans="1:118">
      <c r="A281" s="91"/>
      <c r="B281" s="89"/>
      <c r="C281" s="1255" t="s">
        <v>576</v>
      </c>
      <c r="D281" s="89"/>
      <c r="E281" s="145"/>
      <c r="F281" s="146"/>
      <c r="G281" s="146"/>
      <c r="H281" s="147"/>
      <c r="I281" s="87"/>
      <c r="J281" s="145"/>
      <c r="K281" s="146"/>
      <c r="L281" s="146"/>
      <c r="M281" s="147"/>
      <c r="N281" s="89"/>
      <c r="O281" s="145"/>
      <c r="P281" s="146"/>
      <c r="Q281" s="146"/>
      <c r="R281" s="147"/>
      <c r="S281" s="89"/>
      <c r="T281" s="145"/>
      <c r="U281" s="146"/>
      <c r="V281" s="146"/>
      <c r="W281" s="147"/>
      <c r="X281" s="89"/>
      <c r="Y281" s="145"/>
      <c r="Z281" s="146"/>
      <c r="AA281" s="146"/>
      <c r="AB281" s="147"/>
      <c r="AC281" s="89"/>
      <c r="AD281" s="145"/>
      <c r="AE281" s="146"/>
      <c r="AF281" s="146"/>
      <c r="AG281" s="147"/>
      <c r="AH281" s="89"/>
      <c r="AI281" s="145"/>
      <c r="AJ281" s="146"/>
      <c r="AK281" s="146"/>
      <c r="AL281" s="147"/>
      <c r="AM281" s="89"/>
      <c r="AN281" s="145"/>
      <c r="AO281" s="146"/>
      <c r="AP281" s="146"/>
      <c r="AQ281" s="147"/>
      <c r="AR281" s="89"/>
      <c r="AS281" s="145"/>
      <c r="AT281" s="146"/>
      <c r="AU281" s="146"/>
      <c r="AV281" s="147"/>
      <c r="AW281" s="89"/>
      <c r="AX281" s="145"/>
      <c r="AY281" s="146"/>
      <c r="AZ281" s="146"/>
      <c r="BA281" s="147"/>
      <c r="BB281" s="89"/>
      <c r="BC281" s="145"/>
      <c r="BD281" s="146"/>
      <c r="BE281" s="146"/>
      <c r="BF281" s="147"/>
      <c r="BG281" s="89"/>
      <c r="BH281" s="145"/>
      <c r="BI281" s="146"/>
      <c r="BJ281" s="146"/>
      <c r="BK281" s="147"/>
      <c r="BL281" s="89"/>
      <c r="BM281" s="145"/>
      <c r="BN281" s="146"/>
      <c r="BO281" s="146"/>
      <c r="BP281" s="147"/>
      <c r="BQ281" s="89"/>
      <c r="BR281" s="87"/>
      <c r="BS281" s="87"/>
      <c r="BT281" s="12"/>
      <c r="BU281" s="12"/>
      <c r="BV281" s="12"/>
      <c r="BW281" s="12"/>
      <c r="BX281" s="12"/>
      <c r="BY281" s="12"/>
      <c r="BZ281" s="12"/>
      <c r="CA281" s="12"/>
      <c r="CB281" s="12"/>
      <c r="CC281" s="12"/>
      <c r="CD281" s="12"/>
      <c r="CE281" s="12"/>
      <c r="CF281" s="12"/>
      <c r="CG281" s="91"/>
      <c r="CH281" s="91"/>
      <c r="CI281" s="91"/>
      <c r="CJ281" s="91"/>
      <c r="CK281" s="91"/>
      <c r="CL281" s="91"/>
      <c r="CM281" s="91"/>
      <c r="CN281" s="91"/>
      <c r="CO281" s="91"/>
      <c r="CP281" s="91"/>
      <c r="CQ281" s="91"/>
      <c r="CR281" s="1018"/>
      <c r="CS281" s="1018"/>
      <c r="CT281" s="821"/>
      <c r="CU281" s="12"/>
      <c r="CV281" s="12"/>
      <c r="CW281" s="12"/>
      <c r="CX281" s="12"/>
      <c r="CY281" s="12"/>
      <c r="CZ281" s="91"/>
      <c r="DA281" s="91"/>
      <c r="DB281" s="91"/>
      <c r="DC281" s="91"/>
      <c r="DD281" s="91"/>
      <c r="DE281" s="91"/>
      <c r="DF281" s="12"/>
      <c r="DG281" s="12"/>
      <c r="DH281" s="12"/>
      <c r="DI281" s="12"/>
      <c r="DJ281" s="12"/>
      <c r="DK281" s="12"/>
      <c r="DL281" s="12"/>
      <c r="DM281" s="12"/>
      <c r="DN281" s="12"/>
    </row>
    <row r="282" spans="1:118">
      <c r="A282" s="91"/>
      <c r="B282" s="89"/>
      <c r="C282" s="1179" t="s">
        <v>572</v>
      </c>
      <c r="D282" s="89"/>
      <c r="E282" s="145"/>
      <c r="F282" s="146"/>
      <c r="G282" s="146"/>
      <c r="H282" s="147"/>
      <c r="I282" s="89"/>
      <c r="J282" s="145"/>
      <c r="K282" s="146"/>
      <c r="L282" s="146"/>
      <c r="M282" s="147"/>
      <c r="N282" s="89"/>
      <c r="O282" s="145"/>
      <c r="P282" s="146"/>
      <c r="Q282" s="146"/>
      <c r="R282" s="147"/>
      <c r="S282" s="89"/>
      <c r="T282" s="342"/>
      <c r="U282" s="150"/>
      <c r="V282" s="150"/>
      <c r="W282" s="343"/>
      <c r="X282" s="327"/>
      <c r="Y282" s="342">
        <f t="shared" ref="Y282:BQ282" si="486">+Y$69</f>
        <v>37.529145254982318</v>
      </c>
      <c r="Z282" s="150">
        <f t="shared" si="486"/>
        <v>37.173283024812193</v>
      </c>
      <c r="AA282" s="150">
        <f t="shared" si="486"/>
        <v>37.809993801456365</v>
      </c>
      <c r="AB282" s="343">
        <f t="shared" si="486"/>
        <v>35.370000250611412</v>
      </c>
      <c r="AC282" s="327">
        <f t="shared" si="486"/>
        <v>36.970605582965575</v>
      </c>
      <c r="AD282" s="342">
        <f t="shared" si="486"/>
        <v>95.047234040126796</v>
      </c>
      <c r="AE282" s="150">
        <f t="shared" si="486"/>
        <v>40.089419338829643</v>
      </c>
      <c r="AF282" s="150">
        <f t="shared" si="486"/>
        <v>34.051950399615748</v>
      </c>
      <c r="AG282" s="343">
        <f t="shared" si="486"/>
        <v>34.901567158330494</v>
      </c>
      <c r="AH282" s="327">
        <f t="shared" si="486"/>
        <v>51.022542734225667</v>
      </c>
      <c r="AI282" s="342">
        <f t="shared" si="486"/>
        <v>50.226045196540731</v>
      </c>
      <c r="AJ282" s="150">
        <f t="shared" si="486"/>
        <v>31.734948543288006</v>
      </c>
      <c r="AK282" s="150">
        <f t="shared" si="486"/>
        <v>30.938823108246229</v>
      </c>
      <c r="AL282" s="343">
        <f t="shared" si="486"/>
        <v>26.757467178585685</v>
      </c>
      <c r="AM282" s="327">
        <f t="shared" si="486"/>
        <v>34.914321006665162</v>
      </c>
      <c r="AN282" s="342">
        <f t="shared" si="486"/>
        <v>26.893180414808633</v>
      </c>
      <c r="AO282" s="150">
        <f t="shared" si="486"/>
        <v>26.698337725127704</v>
      </c>
      <c r="AP282" s="150">
        <f t="shared" si="486"/>
        <v>30.522774167614216</v>
      </c>
      <c r="AQ282" s="343">
        <f t="shared" si="486"/>
        <v>29.064520157143946</v>
      </c>
      <c r="AR282" s="327">
        <f t="shared" si="486"/>
        <v>28.294703116173622</v>
      </c>
      <c r="AS282" s="342">
        <f t="shared" si="486"/>
        <v>27.195240391815652</v>
      </c>
      <c r="AT282" s="150">
        <f t="shared" si="486"/>
        <v>27.195240391815652</v>
      </c>
      <c r="AU282" s="150">
        <f t="shared" si="486"/>
        <v>28.381447812552842</v>
      </c>
      <c r="AV282" s="343">
        <f t="shared" si="486"/>
        <v>32.844526318856978</v>
      </c>
      <c r="AW282" s="327">
        <f t="shared" si="486"/>
        <v>28.904113728760283</v>
      </c>
      <c r="AX282" s="342">
        <f t="shared" si="486"/>
        <v>45.867998598236575</v>
      </c>
      <c r="AY282" s="150">
        <f t="shared" si="486"/>
        <v>29.486249999999998</v>
      </c>
      <c r="AZ282" s="150">
        <f t="shared" si="486"/>
        <v>30.53875</v>
      </c>
      <c r="BA282" s="343">
        <f t="shared" si="486"/>
        <v>29.958333333333332</v>
      </c>
      <c r="BB282" s="327">
        <f t="shared" si="486"/>
        <v>33.962832982892479</v>
      </c>
      <c r="BC282" s="342">
        <f t="shared" si="486"/>
        <v>36.411008920272678</v>
      </c>
      <c r="BD282" s="150">
        <f t="shared" si="486"/>
        <v>24.928925623239095</v>
      </c>
      <c r="BE282" s="150">
        <f t="shared" si="486"/>
        <v>26.024761343176365</v>
      </c>
      <c r="BF282" s="343">
        <f t="shared" si="486"/>
        <v>35.294069946441873</v>
      </c>
      <c r="BG282" s="327">
        <f t="shared" si="486"/>
        <v>30.664691458282505</v>
      </c>
      <c r="BH282" s="342">
        <f t="shared" si="486"/>
        <v>36.170673212450552</v>
      </c>
      <c r="BI282" s="150">
        <f t="shared" si="486"/>
        <v>24.77270462284223</v>
      </c>
      <c r="BJ282" s="150">
        <f t="shared" si="486"/>
        <v>25.866446502489296</v>
      </c>
      <c r="BK282" s="343">
        <f t="shared" si="486"/>
        <v>35.060013162147939</v>
      </c>
      <c r="BL282" s="327">
        <f t="shared" si="486"/>
        <v>30.467459374982504</v>
      </c>
      <c r="BM282" s="342">
        <f t="shared" si="486"/>
        <v>37.084970020534421</v>
      </c>
      <c r="BN282" s="150">
        <f t="shared" si="486"/>
        <v>22.297008380401348</v>
      </c>
      <c r="BO282" s="150">
        <f t="shared" si="486"/>
        <v>21.904548204307901</v>
      </c>
      <c r="BP282" s="343">
        <f t="shared" si="486"/>
        <v>36.837348811522986</v>
      </c>
      <c r="BQ282" s="327">
        <f t="shared" si="486"/>
        <v>29.530968854191663</v>
      </c>
      <c r="BR282" s="87"/>
      <c r="BS282" s="87"/>
      <c r="BT282" s="12"/>
      <c r="BU282" s="12"/>
      <c r="BV282" s="12"/>
      <c r="BW282" s="12"/>
      <c r="BX282" s="12"/>
      <c r="BY282" s="12"/>
      <c r="BZ282" s="12"/>
      <c r="CA282" s="12"/>
      <c r="CB282" s="12"/>
      <c r="CC282" s="12"/>
      <c r="CD282" s="12"/>
      <c r="CE282" s="12"/>
      <c r="CF282" s="12"/>
      <c r="CG282" s="91"/>
      <c r="CH282" s="91"/>
      <c r="CI282" s="91"/>
      <c r="CJ282" s="91"/>
      <c r="CK282" s="91"/>
      <c r="CL282" s="91"/>
      <c r="CM282" s="91"/>
      <c r="CN282" s="91"/>
      <c r="CO282" s="91"/>
      <c r="CP282" s="91"/>
      <c r="CQ282" s="91"/>
      <c r="CR282" s="1018"/>
      <c r="CS282" s="1018"/>
      <c r="CT282" s="821"/>
      <c r="CU282" s="12"/>
      <c r="CV282" s="12"/>
      <c r="CW282" s="12"/>
      <c r="CX282" s="12"/>
      <c r="CY282" s="12"/>
      <c r="CZ282" s="91"/>
      <c r="DA282" s="91"/>
      <c r="DB282" s="91"/>
      <c r="DC282" s="91"/>
      <c r="DD282" s="91"/>
      <c r="DE282" s="91"/>
      <c r="DF282" s="12"/>
      <c r="DG282" s="12"/>
      <c r="DH282" s="12"/>
      <c r="DI282" s="12"/>
      <c r="DJ282" s="12"/>
      <c r="DK282" s="12"/>
      <c r="DL282" s="12"/>
      <c r="DM282" s="12"/>
      <c r="DN282" s="12"/>
    </row>
    <row r="283" spans="1:118">
      <c r="A283" s="91"/>
      <c r="B283" s="89"/>
      <c r="C283" s="1179" t="s">
        <v>573</v>
      </c>
      <c r="D283" s="89"/>
      <c r="E283" s="145"/>
      <c r="F283" s="146"/>
      <c r="G283" s="146"/>
      <c r="H283" s="147"/>
      <c r="I283" s="1066">
        <f>+I270</f>
        <v>7.5</v>
      </c>
      <c r="J283" s="145"/>
      <c r="K283" s="146"/>
      <c r="L283" s="146"/>
      <c r="M283" s="147"/>
      <c r="N283" s="89"/>
      <c r="O283" s="145"/>
      <c r="P283" s="146"/>
      <c r="Q283" s="146"/>
      <c r="R283" s="147"/>
      <c r="S283" s="89"/>
      <c r="T283" s="342"/>
      <c r="U283" s="150"/>
      <c r="V283" s="150"/>
      <c r="W283" s="343"/>
      <c r="X283" s="327"/>
      <c r="Y283" s="342">
        <f>+Z283</f>
        <v>7.5</v>
      </c>
      <c r="Z283" s="150">
        <f>+AA283</f>
        <v>7.5</v>
      </c>
      <c r="AA283" s="150">
        <f>+AB283</f>
        <v>7.5</v>
      </c>
      <c r="AB283" s="343">
        <f>+AC283</f>
        <v>7.5</v>
      </c>
      <c r="AC283" s="327">
        <f>+I283</f>
        <v>7.5</v>
      </c>
      <c r="AD283" s="342">
        <f>+AE283</f>
        <v>6.7250000000000005</v>
      </c>
      <c r="AE283" s="150">
        <f>+AF283</f>
        <v>6.7250000000000005</v>
      </c>
      <c r="AF283" s="150">
        <f>+AG283</f>
        <v>6.7250000000000005</v>
      </c>
      <c r="AG283" s="343">
        <f>+AH283</f>
        <v>6.7250000000000005</v>
      </c>
      <c r="AH283" s="1609">
        <f>+AC283*1.03-1</f>
        <v>6.7250000000000005</v>
      </c>
      <c r="AI283" s="342">
        <f>+AJ283</f>
        <v>6.9267500000000011</v>
      </c>
      <c r="AJ283" s="150">
        <f>+AK283</f>
        <v>6.9267500000000011</v>
      </c>
      <c r="AK283" s="150">
        <f>+AL283</f>
        <v>6.9267500000000011</v>
      </c>
      <c r="AL283" s="343">
        <f>+AM283</f>
        <v>6.9267500000000011</v>
      </c>
      <c r="AM283" s="327">
        <f>+AH283*1.03</f>
        <v>6.9267500000000011</v>
      </c>
      <c r="AN283" s="342">
        <f>+AO283</f>
        <v>7.1345525000000016</v>
      </c>
      <c r="AO283" s="150">
        <f>+AP283</f>
        <v>7.1345525000000016</v>
      </c>
      <c r="AP283" s="150">
        <f>+AQ283</f>
        <v>7.1345525000000016</v>
      </c>
      <c r="AQ283" s="343">
        <f>+AR283</f>
        <v>7.1345525000000016</v>
      </c>
      <c r="AR283" s="327">
        <f>+AM283*1.03</f>
        <v>7.1345525000000016</v>
      </c>
      <c r="AS283" s="342">
        <f>+AT283</f>
        <v>7.3485890750000022</v>
      </c>
      <c r="AT283" s="150">
        <f>+AU283</f>
        <v>7.3485890750000022</v>
      </c>
      <c r="AU283" s="150">
        <f>+AV283</f>
        <v>7.3485890750000022</v>
      </c>
      <c r="AV283" s="343">
        <f>+AW283</f>
        <v>7.3485890750000022</v>
      </c>
      <c r="AW283" s="327">
        <f>+AR283*1.03</f>
        <v>7.3485890750000022</v>
      </c>
      <c r="AX283" s="342">
        <f>+AY283</f>
        <v>7.5690467472500025</v>
      </c>
      <c r="AY283" s="150">
        <f>+AZ283</f>
        <v>7.5690467472500025</v>
      </c>
      <c r="AZ283" s="150">
        <f>+BA283</f>
        <v>7.5690467472500025</v>
      </c>
      <c r="BA283" s="343">
        <f>+BB283</f>
        <v>7.5690467472500025</v>
      </c>
      <c r="BB283" s="327">
        <f>+AW283*1.03</f>
        <v>7.5690467472500025</v>
      </c>
      <c r="BC283" s="342">
        <f>+BD283</f>
        <v>7.7961181496675032</v>
      </c>
      <c r="BD283" s="150">
        <f>+BE283</f>
        <v>7.7961181496675032</v>
      </c>
      <c r="BE283" s="150">
        <f>+BF283</f>
        <v>7.7961181496675032</v>
      </c>
      <c r="BF283" s="343">
        <f>+BG283</f>
        <v>7.7961181496675032</v>
      </c>
      <c r="BG283" s="327">
        <f>+BB283*1.03</f>
        <v>7.7961181496675032</v>
      </c>
      <c r="BH283" s="342">
        <f>+BI283</f>
        <v>8.0300016941575283</v>
      </c>
      <c r="BI283" s="150">
        <f>+BJ283</f>
        <v>8.0300016941575283</v>
      </c>
      <c r="BJ283" s="150">
        <f>+BK283</f>
        <v>8.0300016941575283</v>
      </c>
      <c r="BK283" s="343">
        <f>+BL283</f>
        <v>8.0300016941575283</v>
      </c>
      <c r="BL283" s="327">
        <f>+BG283*1.03</f>
        <v>8.0300016941575283</v>
      </c>
      <c r="BM283" s="342">
        <f>+BN283</f>
        <v>8.2709017449822539</v>
      </c>
      <c r="BN283" s="150">
        <f>+BO283</f>
        <v>8.2709017449822539</v>
      </c>
      <c r="BO283" s="150">
        <f>+BP283</f>
        <v>8.2709017449822539</v>
      </c>
      <c r="BP283" s="343">
        <f>+BQ283</f>
        <v>8.2709017449822539</v>
      </c>
      <c r="BQ283" s="327">
        <f>+BL283*1.03</f>
        <v>8.2709017449822539</v>
      </c>
      <c r="BR283" s="87"/>
      <c r="BS283" s="87"/>
      <c r="BT283" s="12"/>
      <c r="BU283" s="12"/>
      <c r="BV283" s="12"/>
      <c r="BW283" s="12"/>
      <c r="BX283" s="12"/>
      <c r="BY283" s="12"/>
      <c r="BZ283" s="12"/>
      <c r="CA283" s="12"/>
      <c r="CB283" s="12"/>
      <c r="CC283" s="12"/>
      <c r="CD283" s="12"/>
      <c r="CE283" s="12"/>
      <c r="CF283" s="12"/>
      <c r="CG283" s="91"/>
      <c r="CH283" s="91"/>
      <c r="CI283" s="91"/>
      <c r="CJ283" s="91"/>
      <c r="CK283" s="91"/>
      <c r="CL283" s="91"/>
      <c r="CM283" s="91"/>
      <c r="CN283" s="91"/>
      <c r="CO283" s="91"/>
      <c r="CP283" s="91"/>
      <c r="CQ283" s="91"/>
      <c r="CR283" s="1018"/>
      <c r="CS283" s="1018"/>
      <c r="CT283" s="821"/>
      <c r="CU283" s="12"/>
      <c r="CV283" s="12"/>
      <c r="CW283" s="12"/>
      <c r="CX283" s="12"/>
      <c r="CY283" s="12"/>
      <c r="CZ283" s="91"/>
      <c r="DA283" s="91"/>
      <c r="DB283" s="91"/>
      <c r="DC283" s="91"/>
      <c r="DD283" s="91"/>
      <c r="DE283" s="91"/>
      <c r="DF283" s="12"/>
      <c r="DG283" s="12"/>
      <c r="DH283" s="12"/>
      <c r="DI283" s="12"/>
      <c r="DJ283" s="12"/>
      <c r="DK283" s="12"/>
      <c r="DL283" s="12"/>
      <c r="DM283" s="12"/>
      <c r="DN283" s="12"/>
    </row>
    <row r="284" spans="1:118">
      <c r="A284" s="91"/>
      <c r="B284" s="89"/>
      <c r="C284" s="1184"/>
      <c r="D284" s="89"/>
      <c r="E284" s="145"/>
      <c r="F284" s="146"/>
      <c r="G284" s="146"/>
      <c r="H284" s="147"/>
      <c r="I284" s="87"/>
      <c r="J284" s="145"/>
      <c r="K284" s="146"/>
      <c r="L284" s="146"/>
      <c r="M284" s="147"/>
      <c r="N284" s="89"/>
      <c r="O284" s="145"/>
      <c r="P284" s="146"/>
      <c r="Q284" s="146"/>
      <c r="R284" s="147"/>
      <c r="S284" s="89"/>
      <c r="T284" s="145"/>
      <c r="U284" s="146"/>
      <c r="V284" s="146"/>
      <c r="W284" s="147"/>
      <c r="X284" s="89"/>
      <c r="Y284" s="145"/>
      <c r="Z284" s="146"/>
      <c r="AA284" s="146"/>
      <c r="AB284" s="147"/>
      <c r="AC284" s="89"/>
      <c r="AD284" s="145"/>
      <c r="AE284" s="146"/>
      <c r="AF284" s="146"/>
      <c r="AG284" s="147"/>
      <c r="AH284" s="89"/>
      <c r="AI284" s="145"/>
      <c r="AJ284" s="146"/>
      <c r="AK284" s="146"/>
      <c r="AL284" s="147"/>
      <c r="AM284" s="89"/>
      <c r="AN284" s="145"/>
      <c r="AO284" s="146"/>
      <c r="AP284" s="146"/>
      <c r="AQ284" s="147"/>
      <c r="AR284" s="89"/>
      <c r="AS284" s="145"/>
      <c r="AT284" s="146"/>
      <c r="AU284" s="146"/>
      <c r="AV284" s="147"/>
      <c r="AW284" s="89"/>
      <c r="AX284" s="145"/>
      <c r="AY284" s="146"/>
      <c r="AZ284" s="146"/>
      <c r="BA284" s="147"/>
      <c r="BB284" s="89"/>
      <c r="BC284" s="145"/>
      <c r="BD284" s="146"/>
      <c r="BE284" s="146"/>
      <c r="BF284" s="147"/>
      <c r="BG284" s="89"/>
      <c r="BH284" s="145"/>
      <c r="BI284" s="146"/>
      <c r="BJ284" s="146"/>
      <c r="BK284" s="147"/>
      <c r="BL284" s="89"/>
      <c r="BM284" s="145"/>
      <c r="BN284" s="146"/>
      <c r="BO284" s="146"/>
      <c r="BP284" s="147"/>
      <c r="BQ284" s="89"/>
      <c r="BR284" s="87"/>
      <c r="BS284" s="87"/>
      <c r="BT284" s="12"/>
      <c r="BU284" s="12"/>
      <c r="BV284" s="12"/>
      <c r="BW284" s="12"/>
      <c r="BX284" s="12"/>
      <c r="BY284" s="12"/>
      <c r="BZ284" s="12"/>
      <c r="CA284" s="12"/>
      <c r="CB284" s="12"/>
      <c r="CC284" s="12"/>
      <c r="CD284" s="12"/>
      <c r="CE284" s="12"/>
      <c r="CF284" s="12"/>
      <c r="CG284" s="91"/>
      <c r="CH284" s="91"/>
      <c r="CI284" s="91"/>
      <c r="CJ284" s="91"/>
      <c r="CK284" s="91"/>
      <c r="CL284" s="91"/>
      <c r="CM284" s="91"/>
      <c r="CN284" s="91"/>
      <c r="CO284" s="91"/>
      <c r="CP284" s="91"/>
      <c r="CQ284" s="91"/>
      <c r="CR284" s="1018"/>
      <c r="CS284" s="1018"/>
      <c r="CT284" s="821"/>
      <c r="CU284" s="12"/>
      <c r="CV284" s="12"/>
      <c r="CW284" s="12"/>
      <c r="CX284" s="12"/>
      <c r="CY284" s="12"/>
      <c r="CZ284" s="91"/>
      <c r="DA284" s="91"/>
      <c r="DB284" s="91"/>
      <c r="DC284" s="91"/>
      <c r="DD284" s="91"/>
      <c r="DE284" s="91"/>
      <c r="DF284" s="12"/>
      <c r="DG284" s="12"/>
      <c r="DH284" s="12"/>
      <c r="DI284" s="12"/>
      <c r="DJ284" s="12"/>
      <c r="DK284" s="12"/>
      <c r="DL284" s="12"/>
      <c r="DM284" s="12"/>
      <c r="DN284" s="12"/>
    </row>
    <row r="285" spans="1:118">
      <c r="A285" s="91"/>
      <c r="B285" s="89"/>
      <c r="C285" s="1186" t="s">
        <v>574</v>
      </c>
      <c r="D285" s="88"/>
      <c r="E285" s="106"/>
      <c r="F285" s="76"/>
      <c r="G285" s="76"/>
      <c r="H285" s="107"/>
      <c r="I285" s="93"/>
      <c r="J285" s="106"/>
      <c r="K285" s="76"/>
      <c r="L285" s="76"/>
      <c r="M285" s="107"/>
      <c r="N285" s="93"/>
      <c r="O285" s="106"/>
      <c r="P285" s="76"/>
      <c r="Q285" s="76"/>
      <c r="R285" s="107"/>
      <c r="S285" s="93"/>
      <c r="T285" s="106"/>
      <c r="U285" s="76"/>
      <c r="V285" s="76"/>
      <c r="W285" s="107"/>
      <c r="X285" s="93"/>
      <c r="Y285" s="106">
        <f t="shared" ref="Y285:AR285" si="487">+Y486</f>
        <v>1872</v>
      </c>
      <c r="Z285" s="76">
        <f t="shared" si="487"/>
        <v>1872</v>
      </c>
      <c r="AA285" s="76">
        <f t="shared" si="487"/>
        <v>1872</v>
      </c>
      <c r="AB285" s="107">
        <f t="shared" si="487"/>
        <v>1872</v>
      </c>
      <c r="AC285" s="93">
        <f t="shared" si="487"/>
        <v>1872</v>
      </c>
      <c r="AD285" s="106">
        <f t="shared" si="487"/>
        <v>1872</v>
      </c>
      <c r="AE285" s="76">
        <f t="shared" si="487"/>
        <v>1872</v>
      </c>
      <c r="AF285" s="76">
        <f t="shared" si="487"/>
        <v>1872</v>
      </c>
      <c r="AG285" s="107">
        <f t="shared" si="487"/>
        <v>1872</v>
      </c>
      <c r="AH285" s="93">
        <f t="shared" si="487"/>
        <v>1872</v>
      </c>
      <c r="AI285" s="106">
        <f t="shared" si="487"/>
        <v>1872</v>
      </c>
      <c r="AJ285" s="76">
        <f t="shared" si="487"/>
        <v>1872</v>
      </c>
      <c r="AK285" s="76">
        <f t="shared" si="487"/>
        <v>1872</v>
      </c>
      <c r="AL285" s="107">
        <f t="shared" si="487"/>
        <v>1872</v>
      </c>
      <c r="AM285" s="93">
        <f t="shared" si="487"/>
        <v>1872</v>
      </c>
      <c r="AN285" s="106">
        <f t="shared" si="487"/>
        <v>1872</v>
      </c>
      <c r="AO285" s="76">
        <f t="shared" si="487"/>
        <v>1872</v>
      </c>
      <c r="AP285" s="76">
        <f t="shared" ref="AP285" si="488">+AP486</f>
        <v>1872</v>
      </c>
      <c r="AQ285" s="107">
        <f t="shared" si="487"/>
        <v>1872</v>
      </c>
      <c r="AR285" s="93">
        <f t="shared" si="487"/>
        <v>1872</v>
      </c>
      <c r="AS285" s="106">
        <f t="shared" ref="AS285" si="489">+AS486</f>
        <v>1872</v>
      </c>
      <c r="AT285" s="76">
        <f t="shared" ref="AT285:BB285" si="490">+AT486</f>
        <v>1872</v>
      </c>
      <c r="AU285" s="76">
        <f t="shared" ref="AU285" si="491">+AU486</f>
        <v>1872</v>
      </c>
      <c r="AV285" s="107">
        <f t="shared" si="490"/>
        <v>1872</v>
      </c>
      <c r="AW285" s="93">
        <f t="shared" si="490"/>
        <v>1872</v>
      </c>
      <c r="AX285" s="106">
        <f t="shared" si="490"/>
        <v>1872</v>
      </c>
      <c r="AY285" s="76">
        <f t="shared" si="490"/>
        <v>1872</v>
      </c>
      <c r="AZ285" s="76">
        <f t="shared" si="490"/>
        <v>1872</v>
      </c>
      <c r="BA285" s="107">
        <f t="shared" si="490"/>
        <v>1872</v>
      </c>
      <c r="BB285" s="93">
        <f t="shared" si="490"/>
        <v>1872</v>
      </c>
      <c r="BC285" s="106">
        <f t="shared" ref="BC285:BL285" si="492">+BC486</f>
        <v>1872</v>
      </c>
      <c r="BD285" s="76">
        <f t="shared" si="492"/>
        <v>1872</v>
      </c>
      <c r="BE285" s="76">
        <f t="shared" si="492"/>
        <v>1872</v>
      </c>
      <c r="BF285" s="107">
        <f t="shared" si="492"/>
        <v>1872</v>
      </c>
      <c r="BG285" s="93">
        <f t="shared" si="492"/>
        <v>1872</v>
      </c>
      <c r="BH285" s="106">
        <f t="shared" si="492"/>
        <v>1872</v>
      </c>
      <c r="BI285" s="76">
        <f t="shared" si="492"/>
        <v>1872</v>
      </c>
      <c r="BJ285" s="76">
        <f t="shared" si="492"/>
        <v>1872</v>
      </c>
      <c r="BK285" s="107">
        <f t="shared" si="492"/>
        <v>1872</v>
      </c>
      <c r="BL285" s="93">
        <f t="shared" si="492"/>
        <v>1872</v>
      </c>
      <c r="BM285" s="106">
        <f t="shared" ref="BM285:BQ285" si="493">+BM486</f>
        <v>1872</v>
      </c>
      <c r="BN285" s="76">
        <f t="shared" si="493"/>
        <v>1872</v>
      </c>
      <c r="BO285" s="76">
        <f t="shared" si="493"/>
        <v>1872</v>
      </c>
      <c r="BP285" s="107">
        <f t="shared" si="493"/>
        <v>1872</v>
      </c>
      <c r="BQ285" s="93">
        <f t="shared" si="493"/>
        <v>1872</v>
      </c>
      <c r="BR285" s="87"/>
      <c r="BS285" s="87"/>
      <c r="BT285" s="12"/>
      <c r="BU285" s="12"/>
      <c r="BV285" s="12"/>
      <c r="BW285" s="12"/>
      <c r="BX285" s="12"/>
      <c r="BY285" s="12"/>
      <c r="BZ285" s="12"/>
      <c r="CA285" s="12"/>
      <c r="CB285" s="12"/>
      <c r="CC285" s="12"/>
      <c r="CD285" s="12"/>
      <c r="CE285" s="12"/>
      <c r="CF285" s="12"/>
      <c r="CG285" s="91"/>
      <c r="CH285" s="91"/>
      <c r="CI285" s="91"/>
      <c r="CJ285" s="91"/>
      <c r="CK285" s="91"/>
      <c r="CL285" s="91"/>
      <c r="CM285" s="91"/>
      <c r="CN285" s="91"/>
      <c r="CO285" s="91"/>
      <c r="CP285" s="91"/>
      <c r="CQ285" s="91"/>
      <c r="CR285" s="1018"/>
      <c r="CS285" s="1018"/>
      <c r="CT285" s="821"/>
      <c r="CU285" s="12"/>
      <c r="CV285" s="12"/>
      <c r="CW285" s="12"/>
      <c r="CX285" s="12"/>
      <c r="CY285" s="12"/>
      <c r="CZ285" s="91"/>
      <c r="DA285" s="91"/>
      <c r="DB285" s="91"/>
      <c r="DC285" s="91"/>
      <c r="DD285" s="91"/>
      <c r="DE285" s="91"/>
      <c r="DF285" s="12"/>
      <c r="DG285" s="12"/>
      <c r="DH285" s="12"/>
      <c r="DI285" s="12"/>
      <c r="DJ285" s="12"/>
      <c r="DK285" s="12"/>
      <c r="DL285" s="12"/>
      <c r="DM285" s="12"/>
      <c r="DN285" s="12"/>
    </row>
    <row r="286" spans="1:118">
      <c r="A286" s="91"/>
      <c r="B286" s="89"/>
      <c r="C286" s="1184"/>
      <c r="D286" s="89"/>
      <c r="E286" s="145"/>
      <c r="F286" s="146"/>
      <c r="G286" s="146"/>
      <c r="H286" s="147"/>
      <c r="I286" s="87"/>
      <c r="J286" s="145"/>
      <c r="K286" s="146"/>
      <c r="L286" s="146"/>
      <c r="M286" s="147"/>
      <c r="N286" s="89"/>
      <c r="O286" s="145"/>
      <c r="P286" s="146"/>
      <c r="Q286" s="146"/>
      <c r="R286" s="147"/>
      <c r="S286" s="89"/>
      <c r="T286" s="145"/>
      <c r="U286" s="146"/>
      <c r="V286" s="146"/>
      <c r="W286" s="147"/>
      <c r="X286" s="89"/>
      <c r="Y286" s="145"/>
      <c r="Z286" s="146"/>
      <c r="AA286" s="146"/>
      <c r="AB286" s="147"/>
      <c r="AC286" s="89"/>
      <c r="AD286" s="145"/>
      <c r="AE286" s="146"/>
      <c r="AF286" s="146"/>
      <c r="AG286" s="147"/>
      <c r="AH286" s="89"/>
      <c r="AI286" s="145"/>
      <c r="AJ286" s="146"/>
      <c r="AK286" s="146"/>
      <c r="AL286" s="147"/>
      <c r="AM286" s="89"/>
      <c r="AN286" s="145"/>
      <c r="AO286" s="146"/>
      <c r="AP286" s="146"/>
      <c r="AQ286" s="147"/>
      <c r="AR286" s="89"/>
      <c r="AS286" s="145"/>
      <c r="AT286" s="146"/>
      <c r="AU286" s="146"/>
      <c r="AV286" s="147"/>
      <c r="AW286" s="89"/>
      <c r="AX286" s="145"/>
      <c r="AY286" s="146"/>
      <c r="AZ286" s="146"/>
      <c r="BA286" s="147"/>
      <c r="BB286" s="89"/>
      <c r="BC286" s="145"/>
      <c r="BD286" s="146"/>
      <c r="BE286" s="146"/>
      <c r="BF286" s="147"/>
      <c r="BG286" s="89"/>
      <c r="BH286" s="145"/>
      <c r="BI286" s="146"/>
      <c r="BJ286" s="146"/>
      <c r="BK286" s="147"/>
      <c r="BL286" s="89"/>
      <c r="BM286" s="145"/>
      <c r="BN286" s="146"/>
      <c r="BO286" s="146"/>
      <c r="BP286" s="147"/>
      <c r="BQ286" s="89"/>
      <c r="BR286" s="87"/>
      <c r="BS286" s="87"/>
      <c r="BT286" s="12"/>
      <c r="BU286" s="12"/>
      <c r="BV286" s="12"/>
      <c r="BW286" s="12"/>
      <c r="BX286" s="12"/>
      <c r="BY286" s="12"/>
      <c r="BZ286" s="12"/>
      <c r="CA286" s="12"/>
      <c r="CB286" s="12"/>
      <c r="CC286" s="12"/>
      <c r="CD286" s="12"/>
      <c r="CE286" s="12"/>
      <c r="CF286" s="12"/>
      <c r="CG286" s="91"/>
      <c r="CH286" s="91"/>
      <c r="CI286" s="91"/>
      <c r="CJ286" s="91"/>
      <c r="CK286" s="91"/>
      <c r="CL286" s="91"/>
      <c r="CM286" s="91"/>
      <c r="CN286" s="91"/>
      <c r="CO286" s="91"/>
      <c r="CP286" s="91"/>
      <c r="CQ286" s="91"/>
      <c r="CR286" s="1018"/>
      <c r="CS286" s="1018"/>
      <c r="CT286" s="821"/>
      <c r="CU286" s="12"/>
      <c r="CV286" s="12"/>
      <c r="CW286" s="12"/>
      <c r="CX286" s="12"/>
      <c r="CY286" s="12"/>
      <c r="CZ286" s="91"/>
      <c r="DA286" s="91"/>
      <c r="DB286" s="91"/>
      <c r="DC286" s="91"/>
      <c r="DD286" s="91"/>
      <c r="DE286" s="91"/>
      <c r="DF286" s="12"/>
      <c r="DG286" s="12"/>
      <c r="DH286" s="12"/>
      <c r="DI286" s="12"/>
      <c r="DJ286" s="12"/>
      <c r="DK286" s="12"/>
      <c r="DL286" s="12"/>
      <c r="DM286" s="12"/>
      <c r="DN286" s="12"/>
    </row>
    <row r="287" spans="1:118">
      <c r="A287" s="91"/>
      <c r="B287" s="89"/>
      <c r="C287" s="1179" t="s">
        <v>575</v>
      </c>
      <c r="D287" s="89"/>
      <c r="E287" s="145"/>
      <c r="F287" s="146"/>
      <c r="G287" s="146"/>
      <c r="H287" s="147"/>
      <c r="I287" s="1057">
        <v>0.92</v>
      </c>
      <c r="J287" s="145"/>
      <c r="K287" s="146"/>
      <c r="L287" s="146"/>
      <c r="M287" s="147"/>
      <c r="N287" s="89"/>
      <c r="O287" s="145"/>
      <c r="P287" s="146"/>
      <c r="Q287" s="146"/>
      <c r="R287" s="147"/>
      <c r="S287" s="89"/>
      <c r="T287" s="820"/>
      <c r="U287" s="818"/>
      <c r="V287" s="818"/>
      <c r="W287" s="819"/>
      <c r="X287" s="1054"/>
      <c r="Y287" s="833">
        <f>+$I287</f>
        <v>0.92</v>
      </c>
      <c r="Z287" s="834">
        <f>+$I287</f>
        <v>0.92</v>
      </c>
      <c r="AA287" s="834">
        <f>+$I287</f>
        <v>0.92</v>
      </c>
      <c r="AB287" s="835">
        <f>+$I287</f>
        <v>0.92</v>
      </c>
      <c r="AC287" s="1054">
        <f>IF(AVERAGE(Y285:AB285)=0,0,AC288/(AVERAGE(Y285:AB285)*8.76))</f>
        <v>0.91999999999999993</v>
      </c>
      <c r="AD287" s="1600">
        <v>0.8</v>
      </c>
      <c r="AE287" s="834">
        <f>+$I287</f>
        <v>0.92</v>
      </c>
      <c r="AF287" s="834">
        <f>+$I287</f>
        <v>0.92</v>
      </c>
      <c r="AG287" s="835">
        <f>+$I287</f>
        <v>0.92</v>
      </c>
      <c r="AH287" s="1054">
        <f>IF(AVERAGE(AD285:AG285)=0,0,AH288/(AVERAGE(AD285:AG285)*8.76))</f>
        <v>0.8899999999999999</v>
      </c>
      <c r="AI287" s="833">
        <f>AJ287</f>
        <v>0.88</v>
      </c>
      <c r="AJ287" s="834">
        <f>AK287</f>
        <v>0.88</v>
      </c>
      <c r="AK287" s="834">
        <f>AL287</f>
        <v>0.88</v>
      </c>
      <c r="AL287" s="835">
        <f>AM287</f>
        <v>0.88</v>
      </c>
      <c r="AM287" s="1641">
        <v>0.88</v>
      </c>
      <c r="AN287" s="833">
        <f>+$I287</f>
        <v>0.92</v>
      </c>
      <c r="AO287" s="834">
        <f>+$I287</f>
        <v>0.92</v>
      </c>
      <c r="AP287" s="834">
        <f>AQ287</f>
        <v>0.92</v>
      </c>
      <c r="AQ287" s="835">
        <f>+$I287</f>
        <v>0.92</v>
      </c>
      <c r="AR287" s="1054">
        <f>IF(AVERAGE(AN285:AQ285)=0,0,AR288/(AVERAGE(AN285:AQ285)*8.76))</f>
        <v>0.91999999999999993</v>
      </c>
      <c r="AS287" s="833">
        <f>+$I287</f>
        <v>0.92</v>
      </c>
      <c r="AT287" s="834">
        <f>+$I287</f>
        <v>0.92</v>
      </c>
      <c r="AU287" s="834">
        <f>+$I287</f>
        <v>0.92</v>
      </c>
      <c r="AV287" s="835">
        <f>+$I287</f>
        <v>0.92</v>
      </c>
      <c r="AW287" s="1054">
        <f>IF(AVERAGE(AS285:AV285)=0,0,AW288/(AVERAGE(AS285:AV285)*8.76))</f>
        <v>0.91999999999999993</v>
      </c>
      <c r="AX287" s="2282">
        <v>0.85</v>
      </c>
      <c r="AY287" s="834">
        <f>AX287</f>
        <v>0.85</v>
      </c>
      <c r="AZ287" s="834">
        <f t="shared" ref="AZ287:BA287" si="494">AY287</f>
        <v>0.85</v>
      </c>
      <c r="BA287" s="835">
        <f t="shared" si="494"/>
        <v>0.85</v>
      </c>
      <c r="BB287" s="1054">
        <f>IF(AVERAGE(AX285:BA285)=0,0,BB288/(AVERAGE(AX285:BA285)*8.76))</f>
        <v>0.85</v>
      </c>
      <c r="BC287" s="833">
        <f>+$I287</f>
        <v>0.92</v>
      </c>
      <c r="BD287" s="834">
        <f>+$I287</f>
        <v>0.92</v>
      </c>
      <c r="BE287" s="834">
        <f>+$I287</f>
        <v>0.92</v>
      </c>
      <c r="BF287" s="835">
        <f>+$I287</f>
        <v>0.92</v>
      </c>
      <c r="BG287" s="1054">
        <f>IF(AVERAGE(BC285:BF285)=0,0,BG288/(AVERAGE(BC285:BF285)*8.76))</f>
        <v>0.91999999999999993</v>
      </c>
      <c r="BH287" s="833">
        <f>+$I287</f>
        <v>0.92</v>
      </c>
      <c r="BI287" s="834">
        <f>+$I287</f>
        <v>0.92</v>
      </c>
      <c r="BJ287" s="834">
        <f>+$I287</f>
        <v>0.92</v>
      </c>
      <c r="BK287" s="835">
        <f>+$I287</f>
        <v>0.92</v>
      </c>
      <c r="BL287" s="1054">
        <f>IF(AVERAGE(BH285:BK285)=0,0,BL288/(AVERAGE(BH285:BK285)*8.76))</f>
        <v>0.91999999999999993</v>
      </c>
      <c r="BM287" s="833">
        <f>+$I287</f>
        <v>0.92</v>
      </c>
      <c r="BN287" s="834">
        <f>+$I287</f>
        <v>0.92</v>
      </c>
      <c r="BO287" s="834">
        <f>+$I287</f>
        <v>0.92</v>
      </c>
      <c r="BP287" s="835">
        <f>+$I287</f>
        <v>0.92</v>
      </c>
      <c r="BQ287" s="1054">
        <f>IF(AVERAGE(BM285:BP285)=0,0,BQ288/(AVERAGE(BM285:BP285)*8.76))</f>
        <v>0.91999999999999993</v>
      </c>
      <c r="BR287" s="87"/>
      <c r="BS287" s="87"/>
      <c r="BT287" s="12"/>
      <c r="BU287" s="12"/>
      <c r="BV287" s="12"/>
      <c r="BW287" s="12"/>
      <c r="BX287" s="12"/>
      <c r="BY287" s="12"/>
      <c r="BZ287" s="12"/>
      <c r="CA287" s="12"/>
      <c r="CB287" s="12"/>
      <c r="CC287" s="12"/>
      <c r="CD287" s="12"/>
      <c r="CE287" s="12"/>
      <c r="CF287" s="12"/>
      <c r="CG287" s="91"/>
      <c r="CH287" s="91"/>
      <c r="CI287" s="91"/>
      <c r="CJ287" s="91"/>
      <c r="CK287" s="91"/>
      <c r="CL287" s="91"/>
      <c r="CM287" s="91"/>
      <c r="CN287" s="91"/>
      <c r="CO287" s="91"/>
      <c r="CP287" s="91"/>
      <c r="CQ287" s="91"/>
      <c r="CR287" s="1018"/>
      <c r="CS287" s="1018"/>
      <c r="CT287" s="821"/>
      <c r="CU287" s="12"/>
      <c r="CV287" s="12"/>
      <c r="CW287" s="12"/>
      <c r="CX287" s="12"/>
      <c r="CY287" s="12"/>
      <c r="CZ287" s="91"/>
      <c r="DA287" s="91"/>
      <c r="DB287" s="91"/>
      <c r="DC287" s="91"/>
      <c r="DD287" s="91"/>
      <c r="DE287" s="91"/>
      <c r="DF287" s="12"/>
      <c r="DG287" s="12"/>
      <c r="DH287" s="12"/>
      <c r="DI287" s="12"/>
      <c r="DJ287" s="12"/>
      <c r="DK287" s="12"/>
      <c r="DL287" s="12"/>
      <c r="DM287" s="12"/>
      <c r="DN287" s="12"/>
    </row>
    <row r="288" spans="1:118">
      <c r="A288" s="91"/>
      <c r="B288" s="89"/>
      <c r="C288" s="1186" t="s">
        <v>569</v>
      </c>
      <c r="D288" s="88"/>
      <c r="E288" s="214"/>
      <c r="F288" s="148"/>
      <c r="G288" s="148"/>
      <c r="H288" s="215"/>
      <c r="I288" s="88"/>
      <c r="J288" s="214"/>
      <c r="K288" s="148"/>
      <c r="L288" s="148"/>
      <c r="M288" s="215"/>
      <c r="N288" s="1058"/>
      <c r="O288" s="214"/>
      <c r="P288" s="148"/>
      <c r="Q288" s="148"/>
      <c r="R288" s="215"/>
      <c r="S288" s="88"/>
      <c r="T288" s="240"/>
      <c r="U288" s="241"/>
      <c r="V288" s="241"/>
      <c r="W288" s="1059"/>
      <c r="X288" s="242"/>
      <c r="Y288" s="240">
        <f>(Y285*Y287*(8760/1000))/4</f>
        <v>3771.7055999999998</v>
      </c>
      <c r="Z288" s="241">
        <f>(Z285*Z287*(8760/1000))/4</f>
        <v>3771.7055999999998</v>
      </c>
      <c r="AA288" s="241">
        <f>(AA285*AA287*(8760/1000))/4</f>
        <v>3771.7055999999998</v>
      </c>
      <c r="AB288" s="1059">
        <f>(AB285*AB287*(8760/1000))/4</f>
        <v>3771.7055999999998</v>
      </c>
      <c r="AC288" s="242">
        <f>SUM(Y288:AB288)</f>
        <v>15086.822399999999</v>
      </c>
      <c r="AD288" s="240">
        <f>(AD285*AD287*(8760/1000))/4</f>
        <v>3279.7440000000001</v>
      </c>
      <c r="AE288" s="241">
        <f>(AE285*AE287*(8760/1000))/4</f>
        <v>3771.7055999999998</v>
      </c>
      <c r="AF288" s="241">
        <f>(AF285*AF287*(8760/1000))/4</f>
        <v>3771.7055999999998</v>
      </c>
      <c r="AG288" s="1059">
        <f>(AG285*AG287*(8760/1000))/4</f>
        <v>3771.7055999999998</v>
      </c>
      <c r="AH288" s="242">
        <f>SUM(AD288:AG288)</f>
        <v>14594.860799999999</v>
      </c>
      <c r="AI288" s="240">
        <f>(AI285*AI287*(8760/1000))/4</f>
        <v>3607.7183999999997</v>
      </c>
      <c r="AJ288" s="241">
        <f>(AJ285*AJ287*(8760/1000))/4</f>
        <v>3607.7183999999997</v>
      </c>
      <c r="AK288" s="241">
        <f>(AK285*AK287*(8760/1000))/4</f>
        <v>3607.7183999999997</v>
      </c>
      <c r="AL288" s="1059">
        <f>(AL285*AL287*(8760/1000))/4</f>
        <v>3607.7183999999997</v>
      </c>
      <c r="AM288" s="242">
        <f>SUM(AI288:AL288)</f>
        <v>14430.873599999999</v>
      </c>
      <c r="AN288" s="240">
        <f>(AN285*AN287*(8760/1000))/4</f>
        <v>3771.7055999999998</v>
      </c>
      <c r="AO288" s="241">
        <f>(AO285*AO287*(8760/1000))/4</f>
        <v>3771.7055999999998</v>
      </c>
      <c r="AP288" s="241">
        <f>(AP285*AP287*(8760/1000))/4</f>
        <v>3771.7055999999998</v>
      </c>
      <c r="AQ288" s="1059">
        <f>(AQ285*AQ287*(8760/1000))/4</f>
        <v>3771.7055999999998</v>
      </c>
      <c r="AR288" s="242">
        <f>SUM(AN288:AQ288)</f>
        <v>15086.822399999999</v>
      </c>
      <c r="AS288" s="240">
        <f>(AS285*AS287*(8760/1000))/4</f>
        <v>3771.7055999999998</v>
      </c>
      <c r="AT288" s="241">
        <f>(AT285*AT287*(8760/1000))/4</f>
        <v>3771.7055999999998</v>
      </c>
      <c r="AU288" s="241">
        <f>(AU285*AU287*(8760/1000))/4</f>
        <v>3771.7055999999998</v>
      </c>
      <c r="AV288" s="1059">
        <f>(AV285*AV287*(8760/1000))/4</f>
        <v>3771.7055999999998</v>
      </c>
      <c r="AW288" s="242">
        <f>SUM(AS288:AV288)</f>
        <v>15086.822399999999</v>
      </c>
      <c r="AX288" s="240">
        <f>(AX285*AX287*(8760/1000))/4</f>
        <v>3484.7280000000001</v>
      </c>
      <c r="AY288" s="241">
        <f>(AY285*AY287*(8760/1000))/4</f>
        <v>3484.7280000000001</v>
      </c>
      <c r="AZ288" s="241">
        <f>(AZ285*AZ287*(8760/1000))/4</f>
        <v>3484.7280000000001</v>
      </c>
      <c r="BA288" s="1059">
        <f>(BA285*BA287*(8760/1000))/4</f>
        <v>3484.7280000000001</v>
      </c>
      <c r="BB288" s="242">
        <f>SUM(AX288:BA288)</f>
        <v>13938.912</v>
      </c>
      <c r="BC288" s="240">
        <f>(BC285*BC287*(8760/1000))/4</f>
        <v>3771.7055999999998</v>
      </c>
      <c r="BD288" s="241">
        <f>(BD285*BD287*(8760/1000))/4</f>
        <v>3771.7055999999998</v>
      </c>
      <c r="BE288" s="241">
        <f>(BE285*BE287*(8760/1000))/4</f>
        <v>3771.7055999999998</v>
      </c>
      <c r="BF288" s="1059">
        <f>(BF285*BF287*(8760/1000))/4</f>
        <v>3771.7055999999998</v>
      </c>
      <c r="BG288" s="242">
        <f>SUM(BC288:BF288)</f>
        <v>15086.822399999999</v>
      </c>
      <c r="BH288" s="240">
        <f>(BH285*BH287*(8760/1000))/4</f>
        <v>3771.7055999999998</v>
      </c>
      <c r="BI288" s="241">
        <f>(BI285*BI287*(8760/1000))/4</f>
        <v>3771.7055999999998</v>
      </c>
      <c r="BJ288" s="241">
        <f>(BJ285*BJ287*(8760/1000))/4</f>
        <v>3771.7055999999998</v>
      </c>
      <c r="BK288" s="1059">
        <f>(BK285*BK287*(8760/1000))/4</f>
        <v>3771.7055999999998</v>
      </c>
      <c r="BL288" s="242">
        <f>SUM(BH288:BK288)</f>
        <v>15086.822399999999</v>
      </c>
      <c r="BM288" s="240">
        <f>(BM285*BM287*(8760/1000))/4</f>
        <v>3771.7055999999998</v>
      </c>
      <c r="BN288" s="241">
        <f>(BN285*BN287*(8760/1000))/4</f>
        <v>3771.7055999999998</v>
      </c>
      <c r="BO288" s="241">
        <f>(BO285*BO287*(8760/1000))/4</f>
        <v>3771.7055999999998</v>
      </c>
      <c r="BP288" s="1059">
        <f>(BP285*BP287*(8760/1000))/4</f>
        <v>3771.7055999999998</v>
      </c>
      <c r="BQ288" s="242">
        <f>SUM(BM288:BP288)</f>
        <v>15086.822399999999</v>
      </c>
      <c r="BR288" s="87"/>
      <c r="BS288" s="87"/>
      <c r="BT288" s="12"/>
      <c r="BU288" s="12"/>
      <c r="BV288" s="12"/>
      <c r="BW288" s="12"/>
      <c r="BX288" s="12"/>
      <c r="BY288" s="12"/>
      <c r="BZ288" s="12"/>
      <c r="CA288" s="12"/>
      <c r="CB288" s="12"/>
      <c r="CC288" s="12"/>
      <c r="CD288" s="12"/>
      <c r="CE288" s="12"/>
      <c r="CF288" s="12"/>
      <c r="CG288" s="91"/>
      <c r="CH288" s="91"/>
      <c r="CI288" s="91"/>
      <c r="CJ288" s="91"/>
      <c r="CK288" s="91"/>
      <c r="CL288" s="91"/>
      <c r="CM288" s="91"/>
      <c r="CN288" s="91"/>
      <c r="CO288" s="91"/>
      <c r="CP288" s="91"/>
      <c r="CQ288" s="91"/>
      <c r="CR288" s="1018"/>
      <c r="CS288" s="1018"/>
      <c r="CT288" s="821"/>
      <c r="CU288" s="12"/>
      <c r="CV288" s="12"/>
      <c r="CW288" s="12"/>
      <c r="CX288" s="12"/>
      <c r="CY288" s="12"/>
      <c r="CZ288" s="91"/>
      <c r="DA288" s="91"/>
      <c r="DB288" s="91"/>
      <c r="DC288" s="91"/>
      <c r="DD288" s="91"/>
      <c r="DE288" s="91"/>
      <c r="DF288" s="12"/>
      <c r="DG288" s="12"/>
      <c r="DH288" s="12"/>
      <c r="DI288" s="12"/>
      <c r="DJ288" s="12"/>
      <c r="DK288" s="12"/>
      <c r="DL288" s="12"/>
      <c r="DM288" s="12"/>
      <c r="DN288" s="12"/>
    </row>
    <row r="289" spans="1:118">
      <c r="A289" s="91"/>
      <c r="B289" s="89"/>
      <c r="C289" s="1184"/>
      <c r="D289" s="89"/>
      <c r="E289" s="145"/>
      <c r="F289" s="146"/>
      <c r="G289" s="146"/>
      <c r="H289" s="147"/>
      <c r="I289" s="87"/>
      <c r="J289" s="145"/>
      <c r="K289" s="146"/>
      <c r="L289" s="146"/>
      <c r="M289" s="147"/>
      <c r="N289" s="89"/>
      <c r="O289" s="145"/>
      <c r="P289" s="146"/>
      <c r="Q289" s="146"/>
      <c r="R289" s="147"/>
      <c r="S289" s="89"/>
      <c r="T289" s="145"/>
      <c r="U289" s="146"/>
      <c r="V289" s="146"/>
      <c r="W289" s="147"/>
      <c r="X289" s="89"/>
      <c r="Y289" s="145"/>
      <c r="Z289" s="146"/>
      <c r="AA289" s="146"/>
      <c r="AB289" s="147"/>
      <c r="AC289" s="89"/>
      <c r="AD289" s="145"/>
      <c r="AE289" s="146"/>
      <c r="AF289" s="146"/>
      <c r="AG289" s="147"/>
      <c r="AH289" s="89"/>
      <c r="AI289" s="145"/>
      <c r="AJ289" s="146"/>
      <c r="AK289" s="146"/>
      <c r="AL289" s="147"/>
      <c r="AM289" s="89"/>
      <c r="AN289" s="145"/>
      <c r="AO289" s="146"/>
      <c r="AP289" s="146"/>
      <c r="AQ289" s="147"/>
      <c r="AR289" s="89"/>
      <c r="AS289" s="145"/>
      <c r="AT289" s="146"/>
      <c r="AU289" s="146"/>
      <c r="AV289" s="147"/>
      <c r="AW289" s="89"/>
      <c r="AX289" s="145"/>
      <c r="AY289" s="146"/>
      <c r="AZ289" s="146"/>
      <c r="BA289" s="147"/>
      <c r="BB289" s="89"/>
      <c r="BC289" s="145"/>
      <c r="BD289" s="146"/>
      <c r="BE289" s="146"/>
      <c r="BF289" s="147"/>
      <c r="BG289" s="89"/>
      <c r="BH289" s="145"/>
      <c r="BI289" s="146"/>
      <c r="BJ289" s="146"/>
      <c r="BK289" s="147"/>
      <c r="BL289" s="89"/>
      <c r="BM289" s="145"/>
      <c r="BN289" s="146"/>
      <c r="BO289" s="146"/>
      <c r="BP289" s="147"/>
      <c r="BQ289" s="89"/>
      <c r="BR289" s="87"/>
      <c r="BS289" s="87"/>
      <c r="BT289" s="12"/>
      <c r="BU289" s="12"/>
      <c r="BV289" s="12"/>
      <c r="BW289" s="12"/>
      <c r="BX289" s="12"/>
      <c r="BY289" s="12"/>
      <c r="BZ289" s="12"/>
      <c r="CA289" s="12"/>
      <c r="CB289" s="12"/>
      <c r="CC289" s="12"/>
      <c r="CD289" s="12"/>
      <c r="CE289" s="12"/>
      <c r="CF289" s="12"/>
      <c r="CG289" s="91"/>
      <c r="CH289" s="91"/>
      <c r="CI289" s="91"/>
      <c r="CJ289" s="91"/>
      <c r="CK289" s="91"/>
      <c r="CL289" s="91"/>
      <c r="CM289" s="91"/>
      <c r="CN289" s="91"/>
      <c r="CO289" s="91"/>
      <c r="CP289" s="91"/>
      <c r="CQ289" s="91"/>
      <c r="CR289" s="1018"/>
      <c r="CS289" s="1018"/>
      <c r="CT289" s="821"/>
      <c r="CU289" s="12"/>
      <c r="CV289" s="12"/>
      <c r="CW289" s="12"/>
      <c r="CX289" s="12"/>
      <c r="CY289" s="12"/>
      <c r="CZ289" s="91"/>
      <c r="DA289" s="91"/>
      <c r="DB289" s="91"/>
      <c r="DC289" s="91"/>
      <c r="DD289" s="91"/>
      <c r="DE289" s="91"/>
      <c r="DF289" s="12"/>
      <c r="DG289" s="12"/>
      <c r="DH289" s="12"/>
      <c r="DI289" s="12"/>
      <c r="DJ289" s="12"/>
      <c r="DK289" s="12"/>
      <c r="DL289" s="12"/>
      <c r="DM289" s="12"/>
      <c r="DN289" s="12"/>
    </row>
    <row r="290" spans="1:118">
      <c r="A290" s="91"/>
      <c r="B290" s="89"/>
      <c r="C290" s="1179" t="s">
        <v>566</v>
      </c>
      <c r="D290" s="89"/>
      <c r="E290" s="145"/>
      <c r="F290" s="146"/>
      <c r="G290" s="146"/>
      <c r="H290" s="147"/>
      <c r="I290" s="87"/>
      <c r="J290" s="145"/>
      <c r="K290" s="146"/>
      <c r="L290" s="146"/>
      <c r="M290" s="147"/>
      <c r="N290" s="89"/>
      <c r="O290" s="145"/>
      <c r="P290" s="146"/>
      <c r="Q290" s="146"/>
      <c r="R290" s="147"/>
      <c r="S290" s="89"/>
      <c r="T290" s="114"/>
      <c r="U290" s="115"/>
      <c r="V290" s="115"/>
      <c r="W290" s="105"/>
      <c r="X290" s="113"/>
      <c r="Y290" s="114">
        <f>(Y282/1000*Y288)</f>
        <v>141.54888732143024</v>
      </c>
      <c r="Z290" s="115">
        <f>(Z282/1000*Z288)</f>
        <v>140.20667975506908</v>
      </c>
      <c r="AA290" s="115">
        <f>(AA282/1000*AA288)</f>
        <v>142.60816535691825</v>
      </c>
      <c r="AB290" s="105">
        <f>(AB282/1000*AB288)</f>
        <v>133.40522801723245</v>
      </c>
      <c r="AC290" s="113">
        <f>SUM(Y290:AB290)</f>
        <v>557.76896045064996</v>
      </c>
      <c r="AD290" s="114">
        <f>(AD282/1000*AD288)</f>
        <v>311.73059555970167</v>
      </c>
      <c r="AE290" s="115">
        <f>(AE282/1000*AE288)</f>
        <v>151.20548742101207</v>
      </c>
      <c r="AF290" s="115">
        <f>(AF282/1000*AF288)</f>
        <v>128.43393201315294</v>
      </c>
      <c r="AG290" s="105">
        <f>(AG282/1000*AG288)</f>
        <v>131.63843629985121</v>
      </c>
      <c r="AH290" s="113">
        <f>SUM(AD290:AG290)</f>
        <v>723.00845129371783</v>
      </c>
      <c r="AI290" s="114">
        <f>(AI282/1000*AI288)</f>
        <v>181.2014274147916</v>
      </c>
      <c r="AJ290" s="115">
        <f>(AJ282/1000*AJ288)</f>
        <v>114.49075778267331</v>
      </c>
      <c r="AK290" s="115">
        <f>(AK282/1000*AK288)</f>
        <v>111.61856140196511</v>
      </c>
      <c r="AL290" s="105">
        <f>(AL282/1000*AL288)</f>
        <v>96.533406677579649</v>
      </c>
      <c r="AM290" s="113">
        <f>SUM(AI290:AL290)</f>
        <v>503.8441532770097</v>
      </c>
      <c r="AN290" s="114">
        <f>(AN282/1000*AN288)</f>
        <v>101.43315917234405</v>
      </c>
      <c r="AO290" s="115">
        <f>(AO282/1000*AO288)</f>
        <v>100.69826990855542</v>
      </c>
      <c r="AP290" s="115">
        <f>(AP282/1000*AP288)</f>
        <v>115.12291825552587</v>
      </c>
      <c r="AQ290" s="105">
        <f>(AQ282/1000*AQ288)</f>
        <v>109.6228134380127</v>
      </c>
      <c r="AR290" s="113">
        <f>SUM(AN290:AQ290)</f>
        <v>426.87716077443804</v>
      </c>
      <c r="AS290" s="114">
        <f>(AS282/1000*AS288)</f>
        <v>102.57244047915728</v>
      </c>
      <c r="AT290" s="115">
        <f>(AT282/1000*AT288)</f>
        <v>102.57244047915728</v>
      </c>
      <c r="AU290" s="115">
        <f>(AU282/1000*AU288)</f>
        <v>107.0464656507133</v>
      </c>
      <c r="AV290" s="105">
        <f>(AV282/1000*AV288)</f>
        <v>123.87988384618025</v>
      </c>
      <c r="AW290" s="113">
        <f>SUM(AS290:AV290)</f>
        <v>436.07123045520808</v>
      </c>
      <c r="AX290" s="114">
        <f>(AX282/1000*AX288)</f>
        <v>159.83749901923576</v>
      </c>
      <c r="AY290" s="115">
        <f>(AY282/1000*AY288)</f>
        <v>102.75156099</v>
      </c>
      <c r="AZ290" s="115">
        <f>(AZ282/1000*AZ288)</f>
        <v>106.41923721000001</v>
      </c>
      <c r="BA290" s="105">
        <f>(BA282/1000*BA288)</f>
        <v>104.396643</v>
      </c>
      <c r="BB290" s="113">
        <f>SUM(AX290:BA290)</f>
        <v>473.40494021923575</v>
      </c>
      <c r="BC290" s="114">
        <f>(BC282/1000*BC288)</f>
        <v>137.33160624624242</v>
      </c>
      <c r="BD290" s="115">
        <f>(BD282/1000*BD288)</f>
        <v>94.024568375154388</v>
      </c>
      <c r="BE290" s="115">
        <f>(BE282/1000*BE288)</f>
        <v>98.157738096721815</v>
      </c>
      <c r="BF290" s="105">
        <f>(BF282/1000*BF288)</f>
        <v>133.11884126378649</v>
      </c>
      <c r="BG290" s="113">
        <f>SUM(BC290:BF290)</f>
        <v>462.63275398190513</v>
      </c>
      <c r="BH290" s="114">
        <f>(BH282/1000*BH288)</f>
        <v>136.42513071116971</v>
      </c>
      <c r="BI290" s="115">
        <f>(BI282/1000*BI288)</f>
        <v>93.435348753119911</v>
      </c>
      <c r="BJ290" s="115">
        <f>(BJ282/1000*BJ288)</f>
        <v>97.560621125539285</v>
      </c>
      <c r="BK290" s="105">
        <f>(BK282/1000*BK288)</f>
        <v>132.2360479797471</v>
      </c>
      <c r="BL290" s="113">
        <f>SUM(BH290:BK290)</f>
        <v>459.65714856957607</v>
      </c>
      <c r="BM290" s="114">
        <f>(BM282/1000*BM288)</f>
        <v>139.87358910228178</v>
      </c>
      <c r="BN290" s="115">
        <f>(BN282/1000*BN288)</f>
        <v>84.097751371606691</v>
      </c>
      <c r="BO290" s="115">
        <f>(BO282/1000*BO288)</f>
        <v>82.617507127658044</v>
      </c>
      <c r="BP290" s="105">
        <f>(BP282/1000*BP288)</f>
        <v>138.93963480157458</v>
      </c>
      <c r="BQ290" s="113">
        <f>SUM(BM290:BP290)</f>
        <v>445.52848240312107</v>
      </c>
      <c r="BR290" s="87"/>
      <c r="BS290" s="87"/>
      <c r="BT290" s="12"/>
      <c r="BU290" s="12"/>
      <c r="BV290" s="12"/>
      <c r="BW290" s="12"/>
      <c r="BX290" s="12"/>
      <c r="BY290" s="12"/>
      <c r="BZ290" s="12"/>
      <c r="CA290" s="12"/>
      <c r="CB290" s="12"/>
      <c r="CC290" s="12"/>
      <c r="CD290" s="12"/>
      <c r="CE290" s="12"/>
      <c r="CF290" s="12"/>
      <c r="CG290" s="91"/>
      <c r="CH290" s="91"/>
      <c r="CI290" s="91"/>
      <c r="CJ290" s="91"/>
      <c r="CK290" s="91"/>
      <c r="CL290" s="91"/>
      <c r="CM290" s="91"/>
      <c r="CN290" s="91"/>
      <c r="CO290" s="91"/>
      <c r="CP290" s="91"/>
      <c r="CQ290" s="91"/>
      <c r="CR290" s="1018"/>
      <c r="CS290" s="1018"/>
      <c r="CT290" s="821"/>
      <c r="CU290" s="12"/>
      <c r="CV290" s="12"/>
      <c r="CW290" s="12"/>
      <c r="CX290" s="12"/>
      <c r="CY290" s="12"/>
      <c r="CZ290" s="91"/>
      <c r="DA290" s="91"/>
      <c r="DB290" s="91"/>
      <c r="DC290" s="91"/>
      <c r="DD290" s="91"/>
      <c r="DE290" s="91"/>
      <c r="DF290" s="12"/>
      <c r="DG290" s="12"/>
      <c r="DH290" s="12"/>
      <c r="DI290" s="12"/>
      <c r="DJ290" s="12"/>
      <c r="DK290" s="12"/>
      <c r="DL290" s="12"/>
      <c r="DM290" s="12"/>
      <c r="DN290" s="12"/>
    </row>
    <row r="291" spans="1:118">
      <c r="A291" s="91"/>
      <c r="B291" s="89"/>
      <c r="C291" s="1179" t="s">
        <v>683</v>
      </c>
      <c r="D291" s="89"/>
      <c r="E291" s="145"/>
      <c r="F291" s="146"/>
      <c r="G291" s="146"/>
      <c r="H291" s="147"/>
      <c r="I291" s="87"/>
      <c r="J291" s="145"/>
      <c r="K291" s="146"/>
      <c r="L291" s="146"/>
      <c r="M291" s="147"/>
      <c r="N291" s="89"/>
      <c r="O291" s="145"/>
      <c r="P291" s="146"/>
      <c r="Q291" s="146"/>
      <c r="R291" s="147"/>
      <c r="S291" s="89"/>
      <c r="T291" s="114"/>
      <c r="U291" s="115"/>
      <c r="V291" s="115"/>
      <c r="W291" s="105"/>
      <c r="X291" s="113"/>
      <c r="Y291" s="114">
        <f>Y283/1000*Y288</f>
        <v>28.287791999999996</v>
      </c>
      <c r="Z291" s="115">
        <f>Z283/1000*Z288</f>
        <v>28.287791999999996</v>
      </c>
      <c r="AA291" s="115">
        <f>AA283/1000*AA288</f>
        <v>28.287791999999996</v>
      </c>
      <c r="AB291" s="105">
        <f>AB283/1000*AB288</f>
        <v>28.287791999999996</v>
      </c>
      <c r="AC291" s="113">
        <f>SUM(Y291:AB291)</f>
        <v>113.15116799999998</v>
      </c>
      <c r="AD291" s="114">
        <f>AD283/1000*AD288</f>
        <v>22.056278400000004</v>
      </c>
      <c r="AE291" s="115">
        <f>AE283/1000*AE288</f>
        <v>25.364720160000001</v>
      </c>
      <c r="AF291" s="115">
        <f>AF283/1000*AF288</f>
        <v>25.364720160000001</v>
      </c>
      <c r="AG291" s="105">
        <f>AG283/1000*AG288</f>
        <v>25.364720160000001</v>
      </c>
      <c r="AH291" s="113">
        <f>SUM(AD291:AG291)</f>
        <v>98.15043888000001</v>
      </c>
      <c r="AI291" s="114">
        <f>AI283/1000*AI288</f>
        <v>24.989763427200003</v>
      </c>
      <c r="AJ291" s="115">
        <f>AJ283/1000*AJ288</f>
        <v>24.989763427200003</v>
      </c>
      <c r="AK291" s="115">
        <f>AK283/1000*AK288</f>
        <v>24.989763427200003</v>
      </c>
      <c r="AL291" s="105">
        <f>AL283/1000*AL288</f>
        <v>24.989763427200003</v>
      </c>
      <c r="AM291" s="113">
        <f>SUM(AI291:AL291)</f>
        <v>99.959053708800013</v>
      </c>
      <c r="AN291" s="114">
        <f>AN283/1000*AN288</f>
        <v>26.909431617744001</v>
      </c>
      <c r="AO291" s="115">
        <f>AO283/1000*AO288</f>
        <v>26.909431617744001</v>
      </c>
      <c r="AP291" s="115">
        <f>AP283/1000*AP288</f>
        <v>26.909431617744001</v>
      </c>
      <c r="AQ291" s="105">
        <f>AQ283/1000*AQ288</f>
        <v>26.909431617744001</v>
      </c>
      <c r="AR291" s="113">
        <f>SUM(AN291:AQ291)</f>
        <v>107.63772647097601</v>
      </c>
      <c r="AS291" s="114">
        <f>AS283/1000*AS288</f>
        <v>27.716714566276327</v>
      </c>
      <c r="AT291" s="115">
        <f>AT283/1000*AT288</f>
        <v>27.716714566276327</v>
      </c>
      <c r="AU291" s="115">
        <f>AU283/1000*AU288</f>
        <v>27.716714566276327</v>
      </c>
      <c r="AV291" s="105">
        <f>AV283/1000*AV288</f>
        <v>27.716714566276327</v>
      </c>
      <c r="AW291" s="113">
        <f>SUM(AS291:AV291)</f>
        <v>110.86685826510531</v>
      </c>
      <c r="AX291" s="114">
        <f>AX283/1000*AX288</f>
        <v>26.376069133451008</v>
      </c>
      <c r="AY291" s="115">
        <f>AY283/1000*AY288</f>
        <v>26.376069133451008</v>
      </c>
      <c r="AZ291" s="115">
        <f>AZ283/1000*AZ288</f>
        <v>26.376069133451008</v>
      </c>
      <c r="BA291" s="105">
        <f>BA283/1000*BA288</f>
        <v>26.376069133451008</v>
      </c>
      <c r="BB291" s="113">
        <f>SUM(AX291:BA291)</f>
        <v>105.50427653380403</v>
      </c>
      <c r="BC291" s="114">
        <f>BC283/1000*BC288</f>
        <v>29.404662483362561</v>
      </c>
      <c r="BD291" s="115">
        <f>BD283/1000*BD288</f>
        <v>29.404662483362561</v>
      </c>
      <c r="BE291" s="115">
        <f>BE283/1000*BE288</f>
        <v>29.404662483362561</v>
      </c>
      <c r="BF291" s="105">
        <f>BF283/1000*BF288</f>
        <v>29.404662483362561</v>
      </c>
      <c r="BG291" s="113">
        <f>SUM(BC291:BF291)</f>
        <v>117.61864993345024</v>
      </c>
      <c r="BH291" s="114">
        <f>BH283/1000*BH288</f>
        <v>30.286802357863436</v>
      </c>
      <c r="BI291" s="115">
        <f>BI283/1000*BI288</f>
        <v>30.286802357863436</v>
      </c>
      <c r="BJ291" s="115">
        <f>BJ283/1000*BJ288</f>
        <v>30.286802357863436</v>
      </c>
      <c r="BK291" s="105">
        <f>BK283/1000*BK288</f>
        <v>30.286802357863436</v>
      </c>
      <c r="BL291" s="113">
        <f>SUM(BH291:BK291)</f>
        <v>121.14720943145375</v>
      </c>
      <c r="BM291" s="114">
        <f>BM283/1000*BM288</f>
        <v>31.195406428599338</v>
      </c>
      <c r="BN291" s="115">
        <f>BN283/1000*BN288</f>
        <v>31.195406428599338</v>
      </c>
      <c r="BO291" s="115">
        <f>BO283/1000*BO288</f>
        <v>31.195406428599338</v>
      </c>
      <c r="BP291" s="105">
        <f>BP283/1000*BP288</f>
        <v>31.195406428599338</v>
      </c>
      <c r="BQ291" s="113">
        <f>SUM(BM291:BP291)</f>
        <v>124.78162571439735</v>
      </c>
      <c r="BR291" s="87"/>
      <c r="BS291" s="87"/>
      <c r="BT291" s="12"/>
      <c r="BU291" s="12"/>
      <c r="BV291" s="12"/>
      <c r="BW291" s="12"/>
      <c r="BX291" s="12"/>
      <c r="BY291" s="12"/>
      <c r="BZ291" s="12"/>
      <c r="CA291" s="12"/>
      <c r="CB291" s="12"/>
      <c r="CC291" s="12"/>
      <c r="CD291" s="12"/>
      <c r="CE291" s="12"/>
      <c r="CF291" s="12"/>
      <c r="CG291" s="91"/>
      <c r="CH291" s="91"/>
      <c r="CI291" s="91"/>
      <c r="CJ291" s="91"/>
      <c r="CK291" s="91"/>
      <c r="CL291" s="91"/>
      <c r="CM291" s="91"/>
      <c r="CN291" s="91"/>
      <c r="CO291" s="91"/>
      <c r="CP291" s="91"/>
      <c r="CQ291" s="91"/>
      <c r="CR291" s="1018"/>
      <c r="CS291" s="1018"/>
      <c r="CT291" s="821"/>
      <c r="CU291" s="12"/>
      <c r="CV291" s="12"/>
      <c r="CW291" s="12"/>
      <c r="CX291" s="12"/>
      <c r="CY291" s="12"/>
      <c r="CZ291" s="91"/>
      <c r="DA291" s="91"/>
      <c r="DB291" s="91"/>
      <c r="DC291" s="91"/>
      <c r="DD291" s="91"/>
      <c r="DE291" s="91"/>
      <c r="DF291" s="12"/>
      <c r="DG291" s="12"/>
      <c r="DH291" s="12"/>
      <c r="DI291" s="12"/>
      <c r="DJ291" s="12"/>
      <c r="DK291" s="12"/>
      <c r="DL291" s="12"/>
      <c r="DM291" s="12"/>
      <c r="DN291" s="12"/>
    </row>
    <row r="292" spans="1:118">
      <c r="A292" s="91"/>
      <c r="B292" s="89"/>
      <c r="C292" s="1186" t="s">
        <v>567</v>
      </c>
      <c r="D292" s="88"/>
      <c r="E292" s="214"/>
      <c r="F292" s="148"/>
      <c r="G292" s="148"/>
      <c r="H292" s="215"/>
      <c r="I292" s="87"/>
      <c r="J292" s="214"/>
      <c r="K292" s="148"/>
      <c r="L292" s="148"/>
      <c r="M292" s="215"/>
      <c r="N292" s="88"/>
      <c r="O292" s="214"/>
      <c r="P292" s="148"/>
      <c r="Q292" s="148"/>
      <c r="R292" s="215"/>
      <c r="S292" s="88"/>
      <c r="T292" s="106"/>
      <c r="U292" s="76"/>
      <c r="V292" s="76"/>
      <c r="W292" s="107"/>
      <c r="X292" s="93"/>
      <c r="Y292" s="106">
        <f t="shared" ref="Y292:AR292" si="495">Y290-Y291</f>
        <v>113.26109532143025</v>
      </c>
      <c r="Z292" s="76">
        <f t="shared" si="495"/>
        <v>111.91888775506908</v>
      </c>
      <c r="AA292" s="76">
        <f t="shared" si="495"/>
        <v>114.32037335691825</v>
      </c>
      <c r="AB292" s="107">
        <f t="shared" si="495"/>
        <v>105.11743601723245</v>
      </c>
      <c r="AC292" s="93">
        <f t="shared" si="495"/>
        <v>444.61779245064997</v>
      </c>
      <c r="AD292" s="106">
        <f t="shared" si="495"/>
        <v>289.67431715970167</v>
      </c>
      <c r="AE292" s="76">
        <f t="shared" si="495"/>
        <v>125.84076726101206</v>
      </c>
      <c r="AF292" s="76">
        <f t="shared" si="495"/>
        <v>103.06921185315294</v>
      </c>
      <c r="AG292" s="107">
        <f t="shared" si="495"/>
        <v>106.2737161398512</v>
      </c>
      <c r="AH292" s="93">
        <f t="shared" si="495"/>
        <v>624.8580124137178</v>
      </c>
      <c r="AI292" s="106">
        <f t="shared" si="495"/>
        <v>156.21166398759158</v>
      </c>
      <c r="AJ292" s="76">
        <f t="shared" si="495"/>
        <v>89.50099435547331</v>
      </c>
      <c r="AK292" s="76">
        <f t="shared" si="495"/>
        <v>86.628797974765106</v>
      </c>
      <c r="AL292" s="107">
        <f t="shared" si="495"/>
        <v>71.543643250379645</v>
      </c>
      <c r="AM292" s="93">
        <f t="shared" si="495"/>
        <v>403.88509956820968</v>
      </c>
      <c r="AN292" s="106">
        <f t="shared" si="495"/>
        <v>74.523727554600043</v>
      </c>
      <c r="AO292" s="76">
        <f t="shared" si="495"/>
        <v>73.788838290811412</v>
      </c>
      <c r="AP292" s="76">
        <f t="shared" ref="AP292" si="496">AP290-AP291</f>
        <v>88.21348663778187</v>
      </c>
      <c r="AQ292" s="107">
        <f t="shared" si="495"/>
        <v>82.713381820268694</v>
      </c>
      <c r="AR292" s="93">
        <f t="shared" si="495"/>
        <v>319.23943430346202</v>
      </c>
      <c r="AS292" s="106">
        <f t="shared" ref="AS292" si="497">AS290-AS291</f>
        <v>74.855725912880956</v>
      </c>
      <c r="AT292" s="76">
        <f t="shared" ref="AT292:BB292" si="498">AT290-AT291</f>
        <v>74.855725912880956</v>
      </c>
      <c r="AU292" s="76">
        <f t="shared" ref="AU292" si="499">AU290-AU291</f>
        <v>79.329751084436978</v>
      </c>
      <c r="AV292" s="107">
        <f t="shared" si="498"/>
        <v>96.163169279903926</v>
      </c>
      <c r="AW292" s="93">
        <f t="shared" si="498"/>
        <v>325.20437219010279</v>
      </c>
      <c r="AX292" s="106">
        <f t="shared" si="498"/>
        <v>133.46142988578475</v>
      </c>
      <c r="AY292" s="76">
        <f t="shared" si="498"/>
        <v>76.37549185654899</v>
      </c>
      <c r="AZ292" s="76">
        <f t="shared" si="498"/>
        <v>80.043168076548994</v>
      </c>
      <c r="BA292" s="107">
        <f t="shared" si="498"/>
        <v>78.020573866548986</v>
      </c>
      <c r="BB292" s="93">
        <f t="shared" si="498"/>
        <v>367.90066368543171</v>
      </c>
      <c r="BC292" s="106">
        <f t="shared" ref="BC292:BL292" si="500">BC290-BC291</f>
        <v>107.92694376287986</v>
      </c>
      <c r="BD292" s="76">
        <f t="shared" si="500"/>
        <v>64.619905891791831</v>
      </c>
      <c r="BE292" s="76">
        <f t="shared" si="500"/>
        <v>68.753075613359258</v>
      </c>
      <c r="BF292" s="107">
        <f t="shared" si="500"/>
        <v>103.71417878042394</v>
      </c>
      <c r="BG292" s="93">
        <f t="shared" si="500"/>
        <v>345.0141040484549</v>
      </c>
      <c r="BH292" s="106">
        <f t="shared" si="500"/>
        <v>106.13832835330628</v>
      </c>
      <c r="BI292" s="76">
        <f t="shared" si="500"/>
        <v>63.148546395256474</v>
      </c>
      <c r="BJ292" s="76">
        <f t="shared" si="500"/>
        <v>67.273818767675849</v>
      </c>
      <c r="BK292" s="107">
        <f t="shared" si="500"/>
        <v>101.94924562188366</v>
      </c>
      <c r="BL292" s="93">
        <f t="shared" si="500"/>
        <v>338.50993913812232</v>
      </c>
      <c r="BM292" s="106">
        <f t="shared" ref="BM292:BQ292" si="501">BM290-BM291</f>
        <v>108.67818267368244</v>
      </c>
      <c r="BN292" s="76">
        <f t="shared" si="501"/>
        <v>52.90234494300735</v>
      </c>
      <c r="BO292" s="76">
        <f t="shared" si="501"/>
        <v>51.422100699058703</v>
      </c>
      <c r="BP292" s="107">
        <f t="shared" si="501"/>
        <v>107.74422837297524</v>
      </c>
      <c r="BQ292" s="93">
        <f t="shared" si="501"/>
        <v>320.74685668872371</v>
      </c>
      <c r="BR292" s="87"/>
      <c r="BS292" s="87"/>
      <c r="BT292" s="12"/>
      <c r="BU292" s="12"/>
      <c r="BV292" s="12"/>
      <c r="BW292" s="12"/>
      <c r="BX292" s="12"/>
      <c r="BY292" s="12"/>
      <c r="BZ292" s="12"/>
      <c r="CA292" s="12"/>
      <c r="CB292" s="12"/>
      <c r="CC292" s="12"/>
      <c r="CD292" s="12"/>
      <c r="CE292" s="12"/>
      <c r="CF292" s="12"/>
      <c r="CG292" s="91"/>
      <c r="CH292" s="91"/>
      <c r="CI292" s="91"/>
      <c r="CJ292" s="91"/>
      <c r="CK292" s="91"/>
      <c r="CL292" s="91"/>
      <c r="CM292" s="91"/>
      <c r="CN292" s="91"/>
      <c r="CO292" s="91"/>
      <c r="CP292" s="91"/>
      <c r="CQ292" s="91"/>
      <c r="CR292" s="1018"/>
      <c r="CS292" s="1018"/>
      <c r="CT292" s="821"/>
      <c r="CU292" s="12"/>
      <c r="CV292" s="12"/>
      <c r="CW292" s="12"/>
      <c r="CX292" s="12"/>
      <c r="CY292" s="12"/>
      <c r="CZ292" s="91"/>
      <c r="DA292" s="91"/>
      <c r="DB292" s="91"/>
      <c r="DC292" s="91"/>
      <c r="DD292" s="91"/>
      <c r="DE292" s="91"/>
      <c r="DF292" s="12"/>
      <c r="DG292" s="12"/>
      <c r="DH292" s="12"/>
      <c r="DI292" s="12"/>
      <c r="DJ292" s="12"/>
      <c r="DK292" s="12"/>
      <c r="DL292" s="12"/>
      <c r="DM292" s="12"/>
      <c r="DN292" s="12"/>
    </row>
    <row r="293" spans="1:118">
      <c r="A293" s="139"/>
      <c r="B293" s="139"/>
      <c r="E293" s="288"/>
      <c r="F293" s="289"/>
      <c r="G293" s="289"/>
      <c r="H293" s="299"/>
      <c r="I293" s="291"/>
      <c r="J293" s="288"/>
      <c r="K293" s="289"/>
      <c r="L293" s="289"/>
      <c r="M293" s="299"/>
      <c r="N293" s="315"/>
      <c r="O293" s="288"/>
      <c r="P293" s="289"/>
      <c r="Q293" s="289"/>
      <c r="R293" s="299"/>
      <c r="S293" s="315"/>
      <c r="T293" s="833"/>
      <c r="U293" s="134"/>
      <c r="V293" s="134"/>
      <c r="W293" s="135"/>
      <c r="X293" s="826"/>
      <c r="Y293" s="133"/>
      <c r="Z293" s="134"/>
      <c r="AA293" s="134"/>
      <c r="AB293" s="135"/>
      <c r="AC293" s="178"/>
      <c r="AD293" s="133"/>
      <c r="AE293" s="134"/>
      <c r="AF293" s="134"/>
      <c r="AG293" s="135"/>
      <c r="AH293" s="178"/>
      <c r="AI293" s="133"/>
      <c r="AJ293" s="134"/>
      <c r="AK293" s="134"/>
      <c r="AL293" s="135"/>
      <c r="AM293" s="178"/>
      <c r="AN293" s="133"/>
      <c r="AO293" s="134"/>
      <c r="AP293" s="134"/>
      <c r="AQ293" s="135"/>
      <c r="AR293" s="178"/>
      <c r="AS293" s="133"/>
      <c r="AT293" s="134"/>
      <c r="AU293" s="134"/>
      <c r="AV293" s="135"/>
      <c r="AW293" s="178"/>
      <c r="AX293" s="133"/>
      <c r="AY293" s="134"/>
      <c r="AZ293" s="134"/>
      <c r="BA293" s="135"/>
      <c r="BB293" s="178"/>
      <c r="BC293" s="133"/>
      <c r="BD293" s="134"/>
      <c r="BE293" s="134"/>
      <c r="BF293" s="135"/>
      <c r="BG293" s="178"/>
      <c r="BH293" s="133"/>
      <c r="BI293" s="134"/>
      <c r="BJ293" s="134"/>
      <c r="BK293" s="135"/>
      <c r="BL293" s="178"/>
      <c r="BM293" s="133"/>
      <c r="BN293" s="134"/>
      <c r="BO293" s="134"/>
      <c r="BP293" s="135"/>
      <c r="BQ293" s="178"/>
      <c r="BT293" s="12"/>
      <c r="BU293" s="12"/>
      <c r="BV293" s="12"/>
      <c r="BW293" s="12"/>
      <c r="BX293" s="12"/>
      <c r="BY293" s="12"/>
      <c r="BZ293" s="12"/>
      <c r="CA293" s="12"/>
      <c r="CB293" s="12"/>
      <c r="CC293" s="12"/>
      <c r="CD293" s="12"/>
      <c r="CE293" s="12"/>
      <c r="CF293" s="12"/>
    </row>
    <row r="294" spans="1:118" s="29" customFormat="1">
      <c r="A294" s="328"/>
      <c r="B294" s="328"/>
      <c r="C294" s="1222"/>
      <c r="D294" s="341"/>
      <c r="E294" s="344"/>
      <c r="F294" s="151"/>
      <c r="G294" s="151"/>
      <c r="H294" s="345"/>
      <c r="I294" s="274"/>
      <c r="J294" s="344"/>
      <c r="K294" s="151"/>
      <c r="L294" s="151"/>
      <c r="M294" s="345"/>
      <c r="N294" s="274"/>
      <c r="O294" s="344"/>
      <c r="P294" s="151"/>
      <c r="Q294" s="151"/>
      <c r="R294" s="345"/>
      <c r="S294" s="274"/>
      <c r="T294" s="344"/>
      <c r="U294" s="151"/>
      <c r="V294" s="151"/>
      <c r="W294" s="345"/>
      <c r="X294" s="274"/>
      <c r="Y294" s="344"/>
      <c r="Z294" s="151"/>
      <c r="AA294" s="151"/>
      <c r="AB294" s="345"/>
      <c r="AC294" s="274"/>
      <c r="AD294" s="344"/>
      <c r="AE294" s="151"/>
      <c r="AF294" s="151"/>
      <c r="AG294" s="345"/>
      <c r="AH294" s="274"/>
      <c r="AI294" s="344"/>
      <c r="AJ294" s="151"/>
      <c r="AK294" s="151"/>
      <c r="AL294" s="345"/>
      <c r="AM294" s="274"/>
      <c r="AN294" s="344"/>
      <c r="AO294" s="151"/>
      <c r="AP294" s="151"/>
      <c r="AQ294" s="345"/>
      <c r="AR294" s="274"/>
      <c r="AS294" s="344"/>
      <c r="AT294" s="151"/>
      <c r="AU294" s="151"/>
      <c r="AV294" s="345"/>
      <c r="AW294" s="274"/>
      <c r="AX294" s="344"/>
      <c r="AY294" s="151"/>
      <c r="AZ294" s="151"/>
      <c r="BA294" s="345"/>
      <c r="BB294" s="274"/>
      <c r="BC294" s="344"/>
      <c r="BD294" s="151"/>
      <c r="BE294" s="151"/>
      <c r="BF294" s="345"/>
      <c r="BG294" s="274"/>
      <c r="BH294" s="344"/>
      <c r="BI294" s="151"/>
      <c r="BJ294" s="151"/>
      <c r="BK294" s="345"/>
      <c r="BL294" s="274"/>
      <c r="BM294" s="344"/>
      <c r="BN294" s="151"/>
      <c r="BO294" s="151"/>
      <c r="BP294" s="345"/>
      <c r="BQ294" s="274"/>
      <c r="BR294" s="181"/>
      <c r="BS294" s="181"/>
      <c r="BT294" s="12"/>
      <c r="BU294" s="91"/>
      <c r="BV294" s="91"/>
      <c r="BW294" s="91"/>
      <c r="BX294" s="91"/>
      <c r="BY294" s="91"/>
      <c r="BZ294" s="91"/>
      <c r="CA294" s="91"/>
      <c r="CB294" s="91"/>
      <c r="CC294" s="91"/>
      <c r="CD294" s="91"/>
      <c r="CE294" s="12"/>
      <c r="CF294" s="12"/>
      <c r="CG294"/>
      <c r="CH294"/>
      <c r="CI294"/>
      <c r="CJ294"/>
      <c r="CK294"/>
      <c r="CL294"/>
      <c r="CM294"/>
      <c r="CN294"/>
      <c r="CO294"/>
      <c r="CP294"/>
      <c r="CQ294"/>
    </row>
    <row r="295" spans="1:118">
      <c r="A295" s="91"/>
      <c r="B295" s="807" t="s">
        <v>577</v>
      </c>
      <c r="C295" s="1247"/>
      <c r="D295" s="1017"/>
      <c r="E295" s="214"/>
      <c r="F295" s="148"/>
      <c r="G295" s="148"/>
      <c r="H295" s="215"/>
      <c r="I295" s="87"/>
      <c r="J295" s="214"/>
      <c r="K295" s="148"/>
      <c r="L295" s="148"/>
      <c r="M295" s="215"/>
      <c r="N295" s="88"/>
      <c r="O295" s="214"/>
      <c r="P295" s="148"/>
      <c r="Q295" s="148"/>
      <c r="R295" s="215"/>
      <c r="S295" s="88"/>
      <c r="T295" s="106"/>
      <c r="U295" s="76"/>
      <c r="V295" s="76"/>
      <c r="W295" s="107"/>
      <c r="X295" s="93"/>
      <c r="Y295" s="106"/>
      <c r="Z295" s="76"/>
      <c r="AA295" s="76"/>
      <c r="AB295" s="107"/>
      <c r="AC295" s="93"/>
      <c r="AD295" s="106"/>
      <c r="AE295" s="76"/>
      <c r="AF295" s="76"/>
      <c r="AG295" s="107"/>
      <c r="AH295" s="93"/>
      <c r="AI295" s="106"/>
      <c r="AJ295" s="76"/>
      <c r="AK295" s="76"/>
      <c r="AL295" s="107"/>
      <c r="AM295" s="93"/>
      <c r="AN295" s="106"/>
      <c r="AO295" s="76"/>
      <c r="AP295" s="76"/>
      <c r="AQ295" s="107"/>
      <c r="AR295" s="93"/>
      <c r="AS295" s="106"/>
      <c r="AT295" s="76"/>
      <c r="AU295" s="76"/>
      <c r="AV295" s="107"/>
      <c r="AW295" s="93"/>
      <c r="AX295" s="106"/>
      <c r="AY295" s="76"/>
      <c r="AZ295" s="76"/>
      <c r="BA295" s="107"/>
      <c r="BB295" s="93"/>
      <c r="BC295" s="106"/>
      <c r="BD295" s="76"/>
      <c r="BE295" s="76"/>
      <c r="BF295" s="107"/>
      <c r="BG295" s="93"/>
      <c r="BH295" s="106"/>
      <c r="BI295" s="76"/>
      <c r="BJ295" s="76"/>
      <c r="BK295" s="107"/>
      <c r="BL295" s="93"/>
      <c r="BM295" s="106"/>
      <c r="BN295" s="76"/>
      <c r="BO295" s="76"/>
      <c r="BP295" s="107"/>
      <c r="BQ295" s="93"/>
      <c r="BR295" s="87"/>
      <c r="BS295" s="87"/>
      <c r="BT295" s="12"/>
      <c r="BU295" s="91"/>
      <c r="BV295" s="91"/>
      <c r="BW295" s="91"/>
      <c r="BX295" s="91"/>
      <c r="BY295" s="91"/>
      <c r="BZ295" s="91"/>
      <c r="CA295" s="91"/>
      <c r="CB295" s="91"/>
      <c r="CC295" s="91"/>
      <c r="CD295" s="91"/>
      <c r="CE295" s="91"/>
      <c r="CF295" s="91"/>
      <c r="CG295" s="91"/>
      <c r="CH295" s="91"/>
      <c r="CI295" s="91"/>
      <c r="CJ295" s="91"/>
      <c r="CK295" s="91"/>
      <c r="CL295" s="91"/>
      <c r="CM295" s="91"/>
      <c r="CN295" s="91"/>
      <c r="CO295" s="91"/>
      <c r="CP295" s="91"/>
      <c r="CQ295" s="91"/>
      <c r="CR295" s="1018"/>
      <c r="CS295" s="1018"/>
      <c r="CT295" s="821"/>
      <c r="CU295" s="12"/>
      <c r="CV295" s="12"/>
      <c r="CW295" s="12"/>
      <c r="CX295" s="12"/>
      <c r="CY295" s="12"/>
      <c r="CZ295" s="91"/>
      <c r="DA295" s="91"/>
      <c r="DB295" s="91"/>
      <c r="DC295" s="91"/>
      <c r="DD295" s="91"/>
      <c r="DE295" s="91"/>
      <c r="DF295" s="12"/>
      <c r="DG295" s="12"/>
      <c r="DH295" s="12"/>
      <c r="DI295" s="12"/>
      <c r="DJ295" s="12"/>
      <c r="DK295" s="12"/>
      <c r="DL295" s="12"/>
      <c r="DM295" s="12"/>
      <c r="DN295" s="12"/>
    </row>
    <row r="296" spans="1:118">
      <c r="A296" s="91"/>
      <c r="B296" s="88"/>
      <c r="C296" s="1186"/>
      <c r="D296" s="88"/>
      <c r="E296" s="214"/>
      <c r="F296" s="148"/>
      <c r="G296" s="148"/>
      <c r="H296" s="215"/>
      <c r="I296" s="87"/>
      <c r="J296" s="214"/>
      <c r="K296" s="148"/>
      <c r="L296" s="148"/>
      <c r="M296" s="215"/>
      <c r="N296" s="88"/>
      <c r="O296" s="214"/>
      <c r="P296" s="148"/>
      <c r="Q296" s="148"/>
      <c r="R296" s="215"/>
      <c r="S296" s="88"/>
      <c r="T296" s="106"/>
      <c r="U296" s="76"/>
      <c r="V296" s="76"/>
      <c r="W296" s="107"/>
      <c r="X296" s="93"/>
      <c r="Y296" s="106"/>
      <c r="Z296" s="76"/>
      <c r="AA296" s="76"/>
      <c r="AB296" s="107"/>
      <c r="AC296" s="93"/>
      <c r="AD296" s="106"/>
      <c r="AE296" s="76"/>
      <c r="AF296" s="76"/>
      <c r="AG296" s="107"/>
      <c r="AH296" s="93"/>
      <c r="AI296" s="106"/>
      <c r="AJ296" s="76"/>
      <c r="AK296" s="76"/>
      <c r="AL296" s="107"/>
      <c r="AM296" s="93"/>
      <c r="AN296" s="106"/>
      <c r="AO296" s="76"/>
      <c r="AP296" s="76"/>
      <c r="AQ296" s="107"/>
      <c r="AR296" s="93"/>
      <c r="AS296" s="106"/>
      <c r="AT296" s="76"/>
      <c r="AU296" s="76"/>
      <c r="AV296" s="107"/>
      <c r="AW296" s="93"/>
      <c r="AX296" s="106"/>
      <c r="AY296" s="76"/>
      <c r="AZ296" s="76"/>
      <c r="BA296" s="107"/>
      <c r="BB296" s="93"/>
      <c r="BC296" s="106"/>
      <c r="BD296" s="76"/>
      <c r="BE296" s="76"/>
      <c r="BF296" s="107"/>
      <c r="BG296" s="93"/>
      <c r="BH296" s="106"/>
      <c r="BI296" s="76"/>
      <c r="BJ296" s="76"/>
      <c r="BK296" s="107"/>
      <c r="BL296" s="93"/>
      <c r="BM296" s="106"/>
      <c r="BN296" s="76"/>
      <c r="BO296" s="76"/>
      <c r="BP296" s="107"/>
      <c r="BQ296" s="93"/>
      <c r="BR296" s="87"/>
      <c r="BS296" s="87"/>
      <c r="BT296" s="12"/>
      <c r="BU296" s="91"/>
      <c r="BV296" s="91"/>
      <c r="BW296" s="91"/>
      <c r="BX296" s="91"/>
      <c r="BY296" s="91"/>
      <c r="BZ296" s="91"/>
      <c r="CA296" s="91"/>
      <c r="CB296" s="91"/>
      <c r="CC296" s="91"/>
      <c r="CD296" s="91"/>
      <c r="CE296" s="91"/>
      <c r="CF296" s="91"/>
      <c r="CG296" s="91"/>
      <c r="CH296" s="91"/>
      <c r="CI296" s="91"/>
      <c r="CJ296" s="91"/>
      <c r="CK296" s="91"/>
      <c r="CL296" s="91"/>
      <c r="CM296" s="91"/>
      <c r="CN296" s="91"/>
      <c r="CO296" s="91"/>
      <c r="CP296" s="91"/>
      <c r="CQ296" s="91"/>
      <c r="CR296" s="1018"/>
      <c r="CS296" s="1018"/>
      <c r="CT296" s="821"/>
      <c r="CU296" s="12"/>
      <c r="CV296" s="12"/>
      <c r="CW296" s="12"/>
      <c r="CX296" s="12"/>
      <c r="CY296" s="12"/>
      <c r="CZ296" s="91"/>
      <c r="DA296" s="91"/>
      <c r="DB296" s="91"/>
      <c r="DC296" s="91"/>
      <c r="DD296" s="91"/>
      <c r="DE296" s="91"/>
      <c r="DF296" s="12"/>
      <c r="DG296" s="12"/>
      <c r="DH296" s="12"/>
      <c r="DI296" s="12"/>
      <c r="DJ296" s="12"/>
      <c r="DK296" s="12"/>
      <c r="DL296" s="12"/>
      <c r="DM296" s="12"/>
      <c r="DN296" s="12"/>
    </row>
    <row r="297" spans="1:118">
      <c r="A297" s="91"/>
      <c r="B297" s="89"/>
      <c r="C297" s="1254" t="s">
        <v>578</v>
      </c>
      <c r="D297" s="89"/>
      <c r="E297" s="145"/>
      <c r="F297" s="146"/>
      <c r="G297" s="146"/>
      <c r="H297" s="147"/>
      <c r="I297" s="87"/>
      <c r="J297" s="145"/>
      <c r="K297" s="146"/>
      <c r="L297" s="146"/>
      <c r="M297" s="147"/>
      <c r="N297" s="89"/>
      <c r="O297" s="145"/>
      <c r="P297" s="146"/>
      <c r="Q297" s="146"/>
      <c r="R297" s="147"/>
      <c r="S297" s="89"/>
      <c r="T297" s="145"/>
      <c r="U297" s="146"/>
      <c r="V297" s="146"/>
      <c r="W297" s="147"/>
      <c r="X297" s="89"/>
      <c r="Y297" s="145"/>
      <c r="Z297" s="146"/>
      <c r="AA297" s="146"/>
      <c r="AB297" s="147"/>
      <c r="AC297" s="89"/>
      <c r="AD297" s="145"/>
      <c r="AE297" s="146"/>
      <c r="AF297" s="146"/>
      <c r="AG297" s="147"/>
      <c r="AH297" s="89"/>
      <c r="AI297" s="145"/>
      <c r="AJ297" s="146"/>
      <c r="AK297" s="146"/>
      <c r="AL297" s="147"/>
      <c r="AM297" s="89"/>
      <c r="AN297" s="145"/>
      <c r="AO297" s="146"/>
      <c r="AP297" s="146"/>
      <c r="AQ297" s="147"/>
      <c r="AR297" s="89"/>
      <c r="AS297" s="145"/>
      <c r="AT297" s="146"/>
      <c r="AU297" s="146"/>
      <c r="AV297" s="147"/>
      <c r="AW297" s="89"/>
      <c r="AX297" s="145"/>
      <c r="AY297" s="146"/>
      <c r="AZ297" s="146"/>
      <c r="BA297" s="147"/>
      <c r="BB297" s="89"/>
      <c r="BC297" s="145"/>
      <c r="BD297" s="146"/>
      <c r="BE297" s="146"/>
      <c r="BF297" s="147"/>
      <c r="BG297" s="89"/>
      <c r="BH297" s="145"/>
      <c r="BI297" s="146"/>
      <c r="BJ297" s="146"/>
      <c r="BK297" s="147"/>
      <c r="BL297" s="89"/>
      <c r="BM297" s="145"/>
      <c r="BN297" s="146"/>
      <c r="BO297" s="146"/>
      <c r="BP297" s="147"/>
      <c r="BQ297" s="89"/>
      <c r="BR297" s="87"/>
      <c r="BS297" s="87"/>
      <c r="BT297" s="12"/>
      <c r="BU297" s="91"/>
      <c r="BV297" s="91"/>
      <c r="BW297" s="91"/>
      <c r="BX297" s="91"/>
      <c r="BY297" s="91"/>
      <c r="BZ297" s="91"/>
      <c r="CA297" s="91"/>
      <c r="CB297" s="91"/>
      <c r="CC297" s="91"/>
      <c r="CD297" s="91"/>
      <c r="CE297" s="91"/>
      <c r="CF297" s="91"/>
      <c r="CG297" s="91"/>
      <c r="CH297" s="91"/>
      <c r="CI297" s="91"/>
      <c r="CJ297" s="91"/>
      <c r="CK297" s="91"/>
      <c r="CL297" s="91"/>
      <c r="CM297" s="91"/>
      <c r="CN297" s="91"/>
      <c r="CO297" s="91"/>
      <c r="CP297" s="91"/>
      <c r="CQ297" s="91"/>
      <c r="CR297" s="1018"/>
      <c r="CS297" s="1018"/>
      <c r="CT297" s="821"/>
      <c r="CU297" s="12"/>
      <c r="CV297" s="12"/>
      <c r="CW297" s="12"/>
      <c r="CX297" s="12"/>
      <c r="CY297" s="12"/>
      <c r="CZ297" s="91"/>
      <c r="DA297" s="91"/>
      <c r="DB297" s="91"/>
      <c r="DC297" s="91"/>
      <c r="DD297" s="91"/>
      <c r="DE297" s="91"/>
      <c r="DF297" s="12"/>
      <c r="DG297" s="12"/>
      <c r="DH297" s="12"/>
      <c r="DI297" s="12"/>
      <c r="DJ297" s="12"/>
      <c r="DK297" s="12"/>
      <c r="DL297" s="12"/>
      <c r="DM297" s="12"/>
      <c r="DN297" s="12"/>
    </row>
    <row r="298" spans="1:118">
      <c r="A298" s="91"/>
      <c r="B298" s="89"/>
      <c r="C298" s="1179" t="s">
        <v>566</v>
      </c>
      <c r="D298" s="89"/>
      <c r="E298" s="145"/>
      <c r="F298" s="146"/>
      <c r="G298" s="146"/>
      <c r="H298" s="147"/>
      <c r="I298" s="87"/>
      <c r="J298" s="145"/>
      <c r="K298" s="146"/>
      <c r="L298" s="146"/>
      <c r="M298" s="147"/>
      <c r="N298" s="89"/>
      <c r="O298" s="145"/>
      <c r="P298" s="146"/>
      <c r="Q298" s="146"/>
      <c r="R298" s="147"/>
      <c r="S298" s="89"/>
      <c r="T298" s="114"/>
      <c r="U298" s="115"/>
      <c r="V298" s="115"/>
      <c r="W298" s="105"/>
      <c r="X298" s="113"/>
      <c r="Y298" s="114">
        <f t="shared" ref="Y298:AW298" si="502">+Y324+Y344</f>
        <v>481.93110423241171</v>
      </c>
      <c r="Z298" s="115">
        <f t="shared" si="502"/>
        <v>407.35419294134931</v>
      </c>
      <c r="AA298" s="115">
        <f t="shared" si="502"/>
        <v>418.4839117576476</v>
      </c>
      <c r="AB298" s="105">
        <f t="shared" si="502"/>
        <v>262.91777373044187</v>
      </c>
      <c r="AC298" s="113">
        <f t="shared" si="502"/>
        <v>1570.6869826618506</v>
      </c>
      <c r="AD298" s="114">
        <f t="shared" si="502"/>
        <v>736.73504290329129</v>
      </c>
      <c r="AE298" s="115">
        <f t="shared" si="502"/>
        <v>407.6401753861399</v>
      </c>
      <c r="AF298" s="115">
        <f t="shared" si="502"/>
        <v>326.75233799006776</v>
      </c>
      <c r="AG298" s="105">
        <f t="shared" si="502"/>
        <v>347.24730669266933</v>
      </c>
      <c r="AH298" s="113">
        <f t="shared" si="502"/>
        <v>1818.3748629721681</v>
      </c>
      <c r="AI298" s="114">
        <f t="shared" si="502"/>
        <v>406.68655452353778</v>
      </c>
      <c r="AJ298" s="115">
        <f t="shared" si="502"/>
        <v>307.90061208640896</v>
      </c>
      <c r="AK298" s="115">
        <f t="shared" si="502"/>
        <v>298.48166628112267</v>
      </c>
      <c r="AL298" s="105">
        <f t="shared" si="502"/>
        <v>263.66243428120669</v>
      </c>
      <c r="AM298" s="113">
        <f t="shared" si="502"/>
        <v>1276.7312671722759</v>
      </c>
      <c r="AN298" s="114">
        <f t="shared" si="502"/>
        <v>178.82457936440323</v>
      </c>
      <c r="AO298" s="115">
        <f t="shared" si="502"/>
        <v>175.31466749644019</v>
      </c>
      <c r="AP298" s="115">
        <f t="shared" ref="AP298" si="503">+AP324+AP344</f>
        <v>304.23153043636495</v>
      </c>
      <c r="AQ298" s="105">
        <f t="shared" si="502"/>
        <v>285.25312470664466</v>
      </c>
      <c r="AR298" s="113">
        <f t="shared" si="502"/>
        <v>943.623902003853</v>
      </c>
      <c r="AS298" s="114">
        <f t="shared" ref="AS298" si="504">+AS324+AS344</f>
        <v>182.77485402195538</v>
      </c>
      <c r="AT298" s="115">
        <f t="shared" si="502"/>
        <v>182.77485402195538</v>
      </c>
      <c r="AU298" s="115">
        <f t="shared" ref="AU298" si="505">+AU324+AU344</f>
        <v>201.25159879680285</v>
      </c>
      <c r="AV298" s="105">
        <f t="shared" si="502"/>
        <v>184.73709833818634</v>
      </c>
      <c r="AW298" s="113">
        <f t="shared" si="502"/>
        <v>751.53840517890001</v>
      </c>
      <c r="AX298" s="114">
        <f t="shared" ref="AX298:BB299" si="506">+AX324+AX344</f>
        <v>382.47563271623312</v>
      </c>
      <c r="AY298" s="115">
        <f t="shared" si="506"/>
        <v>276.33169609999999</v>
      </c>
      <c r="AZ298" s="115">
        <f t="shared" si="506"/>
        <v>288.06863609999999</v>
      </c>
      <c r="BA298" s="105">
        <f t="shared" si="506"/>
        <v>295.01795504999996</v>
      </c>
      <c r="BB298" s="113">
        <f t="shared" si="506"/>
        <v>1241.8939199662332</v>
      </c>
      <c r="BC298" s="114">
        <f t="shared" ref="BC298:BG299" si="507">+BC324+BC344</f>
        <v>263.320078762516</v>
      </c>
      <c r="BD298" s="115">
        <f t="shared" si="507"/>
        <v>137.12125738663087</v>
      </c>
      <c r="BE298" s="115">
        <f t="shared" si="507"/>
        <v>148.65705444913914</v>
      </c>
      <c r="BF298" s="105">
        <f t="shared" si="507"/>
        <v>254.31010863173404</v>
      </c>
      <c r="BG298" s="113">
        <f t="shared" si="507"/>
        <v>803.40849923002008</v>
      </c>
      <c r="BH298" s="114">
        <f t="shared" ref="BH298:BL299" si="508">+BH324+BH344</f>
        <v>260.33313883520918</v>
      </c>
      <c r="BI298" s="115">
        <f t="shared" si="508"/>
        <v>135.87187941046227</v>
      </c>
      <c r="BJ298" s="115">
        <f t="shared" si="508"/>
        <v>147.30248733830015</v>
      </c>
      <c r="BK298" s="105">
        <f t="shared" si="508"/>
        <v>251.43187750203029</v>
      </c>
      <c r="BL298" s="113">
        <f t="shared" si="508"/>
        <v>794.93938308600195</v>
      </c>
      <c r="BM298" s="114">
        <f t="shared" ref="BM298:BQ298" si="509">+BM324+BM344</f>
        <v>163.5054387342978</v>
      </c>
      <c r="BN298" s="115">
        <f t="shared" si="509"/>
        <v>156.84141510788282</v>
      </c>
      <c r="BO298" s="115">
        <f t="shared" si="509"/>
        <v>152.98264710000004</v>
      </c>
      <c r="BP298" s="105">
        <f t="shared" si="509"/>
        <v>160.33099928320695</v>
      </c>
      <c r="BQ298" s="113">
        <f t="shared" si="509"/>
        <v>633.66050022538764</v>
      </c>
      <c r="BR298" s="87"/>
      <c r="BS298" s="87"/>
      <c r="BT298" s="12"/>
      <c r="BU298" s="91"/>
      <c r="BV298" s="91"/>
      <c r="BW298" s="91"/>
      <c r="BX298" s="91"/>
      <c r="BY298" s="91"/>
      <c r="BZ298" s="91"/>
      <c r="CA298" s="91"/>
      <c r="CB298" s="91"/>
      <c r="CC298" s="91"/>
      <c r="CD298" s="91"/>
      <c r="CE298" s="91"/>
      <c r="CF298" s="91"/>
      <c r="CG298" s="91"/>
      <c r="CH298" s="91"/>
      <c r="CI298" s="91"/>
      <c r="CJ298" s="91"/>
      <c r="CK298" s="91"/>
      <c r="CL298" s="91"/>
      <c r="CM298" s="91"/>
      <c r="CN298" s="91"/>
      <c r="CO298" s="91"/>
      <c r="CP298" s="91"/>
      <c r="CQ298" s="91"/>
      <c r="CR298" s="1018"/>
      <c r="CS298" s="1018"/>
      <c r="CT298" s="821"/>
      <c r="CU298" s="12"/>
      <c r="CV298" s="12"/>
      <c r="CW298" s="12"/>
      <c r="CX298" s="12"/>
      <c r="CY298" s="12"/>
      <c r="CZ298" s="91"/>
      <c r="DA298" s="91"/>
      <c r="DB298" s="91"/>
      <c r="DC298" s="91"/>
      <c r="DD298" s="91"/>
      <c r="DE298" s="91"/>
      <c r="DF298" s="12"/>
      <c r="DG298" s="12"/>
      <c r="DH298" s="12"/>
      <c r="DI298" s="12"/>
      <c r="DJ298" s="12"/>
      <c r="DK298" s="12"/>
      <c r="DL298" s="12"/>
      <c r="DM298" s="12"/>
      <c r="DN298" s="12"/>
    </row>
    <row r="299" spans="1:118">
      <c r="A299" s="91"/>
      <c r="B299" s="89"/>
      <c r="C299" s="1179" t="s">
        <v>683</v>
      </c>
      <c r="D299" s="89"/>
      <c r="E299" s="145"/>
      <c r="F299" s="146"/>
      <c r="G299" s="146"/>
      <c r="H299" s="147"/>
      <c r="I299" s="87"/>
      <c r="J299" s="145"/>
      <c r="K299" s="146"/>
      <c r="L299" s="146"/>
      <c r="M299" s="147"/>
      <c r="N299" s="89"/>
      <c r="O299" s="145"/>
      <c r="P299" s="146"/>
      <c r="Q299" s="146"/>
      <c r="R299" s="147"/>
      <c r="S299" s="89"/>
      <c r="T299" s="114"/>
      <c r="U299" s="115"/>
      <c r="V299" s="115"/>
      <c r="W299" s="105"/>
      <c r="X299" s="113"/>
      <c r="Y299" s="114">
        <f t="shared" ref="Y299:AW299" si="510">+Y325+Y345</f>
        <v>402.10081158237978</v>
      </c>
      <c r="Z299" s="115">
        <f t="shared" si="510"/>
        <v>299.97691105603843</v>
      </c>
      <c r="AA299" s="115">
        <f t="shared" si="510"/>
        <v>289.21285008323071</v>
      </c>
      <c r="AB299" s="105">
        <f t="shared" si="510"/>
        <v>220.85913982962975</v>
      </c>
      <c r="AC299" s="113">
        <f t="shared" si="510"/>
        <v>1212.1497125512788</v>
      </c>
      <c r="AD299" s="114">
        <f t="shared" si="510"/>
        <v>299.68614630483171</v>
      </c>
      <c r="AE299" s="115">
        <f t="shared" si="510"/>
        <v>287.61956140161067</v>
      </c>
      <c r="AF299" s="115">
        <f t="shared" si="510"/>
        <v>274.80007901375484</v>
      </c>
      <c r="AG299" s="105">
        <f t="shared" si="510"/>
        <v>269.91962005898074</v>
      </c>
      <c r="AH299" s="113">
        <f t="shared" si="510"/>
        <v>1132.025406779178</v>
      </c>
      <c r="AI299" s="114">
        <f t="shared" si="510"/>
        <v>260.05039973829804</v>
      </c>
      <c r="AJ299" s="115">
        <f t="shared" si="510"/>
        <v>257.53106383109139</v>
      </c>
      <c r="AK299" s="115">
        <f t="shared" si="510"/>
        <v>249.63379554447118</v>
      </c>
      <c r="AL299" s="105">
        <f t="shared" si="510"/>
        <v>232.4261082331731</v>
      </c>
      <c r="AM299" s="113">
        <f t="shared" si="510"/>
        <v>999.64136734703379</v>
      </c>
      <c r="AN299" s="114">
        <f t="shared" si="510"/>
        <v>145.5835126472596</v>
      </c>
      <c r="AO299" s="115">
        <f t="shared" si="510"/>
        <v>121.14305070605771</v>
      </c>
      <c r="AP299" s="115">
        <f t="shared" ref="AP299" si="511">+AP325+AP345</f>
        <v>210.76562600625002</v>
      </c>
      <c r="AQ299" s="105">
        <f>+AQ325+AQ345</f>
        <v>226.20687489497598</v>
      </c>
      <c r="AR299" s="113">
        <f t="shared" si="510"/>
        <v>703.69906425454337</v>
      </c>
      <c r="AS299" s="114">
        <f t="shared" ref="AS299" si="512">+AS325+AS345</f>
        <v>146.30649147005769</v>
      </c>
      <c r="AT299" s="115">
        <f t="shared" si="510"/>
        <v>146.30649147005769</v>
      </c>
      <c r="AU299" s="115">
        <f t="shared" ref="AU299" si="513">+AU325+AU345</f>
        <v>147.43593090046156</v>
      </c>
      <c r="AV299" s="105">
        <f t="shared" si="510"/>
        <v>159.03491408538468</v>
      </c>
      <c r="AW299" s="113">
        <f t="shared" si="510"/>
        <v>599.0838279259616</v>
      </c>
      <c r="AX299" s="114">
        <f t="shared" si="506"/>
        <v>288.34864540427884</v>
      </c>
      <c r="AY299" s="115">
        <f t="shared" si="506"/>
        <v>218.28731925</v>
      </c>
      <c r="AZ299" s="115">
        <f t="shared" si="506"/>
        <v>218.42088666562498</v>
      </c>
      <c r="BA299" s="105">
        <f t="shared" si="506"/>
        <v>242.8469531840625</v>
      </c>
      <c r="BB299" s="113">
        <f t="shared" si="506"/>
        <v>967.90380450396628</v>
      </c>
      <c r="BC299" s="114">
        <f t="shared" si="507"/>
        <v>190.38027015378094</v>
      </c>
      <c r="BD299" s="115">
        <f t="shared" si="507"/>
        <v>108.78872580216056</v>
      </c>
      <c r="BE299" s="115">
        <f t="shared" si="507"/>
        <v>108.78872580216056</v>
      </c>
      <c r="BF299" s="105">
        <f t="shared" si="507"/>
        <v>212.65892782490724</v>
      </c>
      <c r="BG299" s="113">
        <f t="shared" si="507"/>
        <v>620.61664958300923</v>
      </c>
      <c r="BH299" s="114">
        <f t="shared" si="508"/>
        <v>190.38027015378094</v>
      </c>
      <c r="BI299" s="115">
        <f t="shared" si="508"/>
        <v>108.78872580216056</v>
      </c>
      <c r="BJ299" s="115">
        <f t="shared" si="508"/>
        <v>108.78872580216056</v>
      </c>
      <c r="BK299" s="105">
        <f t="shared" si="508"/>
        <v>212.65892782490724</v>
      </c>
      <c r="BL299" s="113">
        <f t="shared" si="508"/>
        <v>620.61664958300923</v>
      </c>
      <c r="BM299" s="114">
        <f>+BM325+BM345</f>
        <v>111.66384094256206</v>
      </c>
      <c r="BN299" s="115">
        <f t="shared" ref="BN299:BQ299" si="514">+BN325+BN345</f>
        <v>108.78872580216056</v>
      </c>
      <c r="BO299" s="115">
        <f t="shared" si="514"/>
        <v>104.95523894829186</v>
      </c>
      <c r="BP299" s="105">
        <f t="shared" si="514"/>
        <v>121.51938732851845</v>
      </c>
      <c r="BQ299" s="113">
        <f t="shared" si="514"/>
        <v>446.9271930215329</v>
      </c>
      <c r="BR299" s="87"/>
      <c r="BS299" s="87"/>
      <c r="BT299" s="12"/>
      <c r="BU299" s="91"/>
      <c r="BV299" s="91"/>
      <c r="BW299" s="91"/>
      <c r="BX299" s="91"/>
      <c r="BY299" s="91"/>
      <c r="BZ299" s="91"/>
      <c r="CA299" s="91"/>
      <c r="CB299" s="91"/>
      <c r="CC299" s="91"/>
      <c r="CD299" s="91"/>
      <c r="CE299" s="91"/>
      <c r="CF299" s="91"/>
      <c r="CG299" s="91"/>
      <c r="CH299" s="91"/>
      <c r="CI299" s="91"/>
      <c r="CJ299" s="91"/>
      <c r="CK299" s="91"/>
      <c r="CL299" s="91"/>
      <c r="CM299" s="91"/>
      <c r="CN299" s="91"/>
      <c r="CO299" s="91"/>
      <c r="CP299" s="91"/>
      <c r="CQ299" s="91"/>
      <c r="CR299" s="1018"/>
      <c r="CS299" s="1018"/>
      <c r="CT299" s="821"/>
      <c r="CU299" s="12"/>
      <c r="CV299" s="12"/>
      <c r="CW299" s="12"/>
      <c r="CX299" s="12"/>
      <c r="CY299" s="12"/>
      <c r="CZ299" s="91"/>
      <c r="DA299" s="91"/>
      <c r="DB299" s="91"/>
      <c r="DC299" s="91"/>
      <c r="DD299" s="91"/>
      <c r="DE299" s="91"/>
      <c r="DF299" s="12"/>
      <c r="DG299" s="12"/>
      <c r="DH299" s="12"/>
      <c r="DI299" s="12"/>
      <c r="DJ299" s="12"/>
      <c r="DK299" s="12"/>
      <c r="DL299" s="12"/>
      <c r="DM299" s="12"/>
      <c r="DN299" s="12"/>
    </row>
    <row r="300" spans="1:118">
      <c r="A300" s="91"/>
      <c r="B300" s="89"/>
      <c r="C300" s="1186" t="s">
        <v>567</v>
      </c>
      <c r="D300" s="88"/>
      <c r="E300" s="214"/>
      <c r="F300" s="148"/>
      <c r="G300" s="148"/>
      <c r="H300" s="215"/>
      <c r="I300" s="87"/>
      <c r="J300" s="214"/>
      <c r="K300" s="148"/>
      <c r="L300" s="148"/>
      <c r="M300" s="215"/>
      <c r="N300" s="88"/>
      <c r="O300" s="214"/>
      <c r="P300" s="148"/>
      <c r="Q300" s="148"/>
      <c r="R300" s="215"/>
      <c r="S300" s="88"/>
      <c r="T300" s="106"/>
      <c r="U300" s="76"/>
      <c r="V300" s="76"/>
      <c r="W300" s="107"/>
      <c r="X300" s="93"/>
      <c r="Y300" s="106">
        <f t="shared" ref="Y300:AR300" si="515">Y298-Y299</f>
        <v>79.830292650031936</v>
      </c>
      <c r="Z300" s="76">
        <f t="shared" si="515"/>
        <v>107.37728188531088</v>
      </c>
      <c r="AA300" s="76">
        <f t="shared" si="515"/>
        <v>129.2710616744169</v>
      </c>
      <c r="AB300" s="107">
        <f t="shared" si="515"/>
        <v>42.058633900812112</v>
      </c>
      <c r="AC300" s="93">
        <f t="shared" si="515"/>
        <v>358.53727011057185</v>
      </c>
      <c r="AD300" s="106">
        <f t="shared" si="515"/>
        <v>437.04889659845958</v>
      </c>
      <c r="AE300" s="76">
        <f t="shared" si="515"/>
        <v>120.02061398452923</v>
      </c>
      <c r="AF300" s="76">
        <f t="shared" si="515"/>
        <v>51.952258976312919</v>
      </c>
      <c r="AG300" s="107">
        <f>AG298-AG299</f>
        <v>77.327686633688586</v>
      </c>
      <c r="AH300" s="93">
        <f t="shared" si="515"/>
        <v>686.34945619299015</v>
      </c>
      <c r="AI300" s="106">
        <f t="shared" si="515"/>
        <v>146.63615478523974</v>
      </c>
      <c r="AJ300" s="76">
        <f t="shared" si="515"/>
        <v>50.369548255317568</v>
      </c>
      <c r="AK300" s="76">
        <f t="shared" si="515"/>
        <v>48.847870736651487</v>
      </c>
      <c r="AL300" s="107">
        <f t="shared" si="515"/>
        <v>31.23632604803359</v>
      </c>
      <c r="AM300" s="93">
        <f t="shared" si="515"/>
        <v>277.08989982524213</v>
      </c>
      <c r="AN300" s="106">
        <f t="shared" si="515"/>
        <v>33.241066717143639</v>
      </c>
      <c r="AO300" s="76">
        <f t="shared" si="515"/>
        <v>54.171616790382487</v>
      </c>
      <c r="AP300" s="76">
        <f t="shared" ref="AP300" si="516">AP298-AP299</f>
        <v>93.465904430114932</v>
      </c>
      <c r="AQ300" s="107">
        <f t="shared" si="515"/>
        <v>59.046249811668673</v>
      </c>
      <c r="AR300" s="93">
        <f t="shared" si="515"/>
        <v>239.92483774930963</v>
      </c>
      <c r="AS300" s="106">
        <f t="shared" ref="AS300" si="517">AS298-AS299</f>
        <v>36.468362551897684</v>
      </c>
      <c r="AT300" s="76">
        <f t="shared" ref="AT300:BB300" si="518">AT298-AT299</f>
        <v>36.468362551897684</v>
      </c>
      <c r="AU300" s="76">
        <f t="shared" ref="AU300" si="519">AU298-AU299</f>
        <v>53.815667896341296</v>
      </c>
      <c r="AV300" s="107">
        <f t="shared" si="518"/>
        <v>25.702184252801658</v>
      </c>
      <c r="AW300" s="93">
        <f t="shared" si="518"/>
        <v>152.45457725293841</v>
      </c>
      <c r="AX300" s="106">
        <f t="shared" si="518"/>
        <v>94.126987311954281</v>
      </c>
      <c r="AY300" s="76">
        <f t="shared" si="518"/>
        <v>58.044376849999992</v>
      </c>
      <c r="AZ300" s="76">
        <f t="shared" si="518"/>
        <v>69.647749434375015</v>
      </c>
      <c r="BA300" s="107">
        <f t="shared" si="518"/>
        <v>52.171001865937455</v>
      </c>
      <c r="BB300" s="93">
        <f t="shared" si="518"/>
        <v>273.99011546226689</v>
      </c>
      <c r="BC300" s="106">
        <f t="shared" ref="BC300:BL300" si="520">BC298-BC299</f>
        <v>72.939808608735063</v>
      </c>
      <c r="BD300" s="76">
        <f t="shared" si="520"/>
        <v>28.332531584470317</v>
      </c>
      <c r="BE300" s="76">
        <f t="shared" si="520"/>
        <v>39.868328646978583</v>
      </c>
      <c r="BF300" s="107">
        <f t="shared" si="520"/>
        <v>41.651180806826801</v>
      </c>
      <c r="BG300" s="93">
        <f t="shared" si="520"/>
        <v>182.79184964701085</v>
      </c>
      <c r="BH300" s="106">
        <f t="shared" si="520"/>
        <v>69.952868681428242</v>
      </c>
      <c r="BI300" s="76">
        <f t="shared" si="520"/>
        <v>27.083153608301714</v>
      </c>
      <c r="BJ300" s="76">
        <f t="shared" si="520"/>
        <v>38.513761536139597</v>
      </c>
      <c r="BK300" s="107">
        <f t="shared" si="520"/>
        <v>38.772949677123052</v>
      </c>
      <c r="BL300" s="93">
        <f t="shared" si="520"/>
        <v>174.32273350299272</v>
      </c>
      <c r="BM300" s="106">
        <f t="shared" ref="BM300:BQ300" si="521">BM298-BM299</f>
        <v>51.841597791735737</v>
      </c>
      <c r="BN300" s="76">
        <f t="shared" si="521"/>
        <v>48.052689305722268</v>
      </c>
      <c r="BO300" s="76">
        <f t="shared" si="521"/>
        <v>48.027408151708173</v>
      </c>
      <c r="BP300" s="107">
        <f t="shared" si="521"/>
        <v>38.811611954688502</v>
      </c>
      <c r="BQ300" s="93">
        <f t="shared" si="521"/>
        <v>186.73330720385474</v>
      </c>
      <c r="BR300" s="87"/>
      <c r="BS300" s="87"/>
      <c r="BT300" s="12"/>
      <c r="BU300" s="91"/>
      <c r="BV300" s="91"/>
      <c r="BW300" s="91"/>
      <c r="BX300" s="91"/>
      <c r="BY300" s="91"/>
      <c r="BZ300" s="91"/>
      <c r="CA300" s="91"/>
      <c r="CB300" s="91"/>
      <c r="CC300" s="91"/>
      <c r="CD300" s="91"/>
      <c r="CE300" s="91"/>
      <c r="CF300" s="91"/>
      <c r="CG300" s="91"/>
      <c r="CH300" s="91"/>
      <c r="CI300" s="91"/>
      <c r="CJ300" s="91"/>
      <c r="CK300" s="91"/>
      <c r="CL300" s="91"/>
      <c r="CM300" s="91"/>
      <c r="CN300" s="91"/>
      <c r="CO300" s="91"/>
      <c r="CP300" s="91"/>
      <c r="CQ300" s="91"/>
      <c r="CR300" s="1018"/>
      <c r="CS300" s="1018"/>
      <c r="CT300" s="821"/>
      <c r="CU300" s="12"/>
      <c r="CV300" s="12"/>
      <c r="CW300" s="12"/>
      <c r="CX300" s="12"/>
      <c r="CY300" s="12"/>
      <c r="CZ300" s="91"/>
      <c r="DA300" s="91"/>
      <c r="DB300" s="91"/>
      <c r="DC300" s="91"/>
      <c r="DD300" s="91"/>
      <c r="DE300" s="91"/>
      <c r="DF300" s="12"/>
      <c r="DG300" s="12"/>
      <c r="DH300" s="12"/>
      <c r="DI300" s="12"/>
      <c r="DJ300" s="12"/>
      <c r="DK300" s="12"/>
      <c r="DL300" s="12"/>
      <c r="DM300" s="12"/>
      <c r="DN300" s="12"/>
    </row>
    <row r="301" spans="1:118">
      <c r="A301" s="91"/>
      <c r="B301" s="89"/>
      <c r="C301" s="1184"/>
      <c r="D301" s="89"/>
      <c r="E301" s="145"/>
      <c r="F301" s="146"/>
      <c r="G301" s="146"/>
      <c r="H301" s="147"/>
      <c r="I301" s="87"/>
      <c r="J301" s="145"/>
      <c r="K301" s="146"/>
      <c r="L301" s="146"/>
      <c r="M301" s="147"/>
      <c r="N301" s="89"/>
      <c r="O301" s="145"/>
      <c r="P301" s="146"/>
      <c r="Q301" s="146"/>
      <c r="R301" s="147"/>
      <c r="S301" s="89"/>
      <c r="T301" s="145"/>
      <c r="U301" s="146"/>
      <c r="V301" s="146"/>
      <c r="W301" s="147"/>
      <c r="X301" s="89"/>
      <c r="Y301" s="145"/>
      <c r="Z301" s="146"/>
      <c r="AA301" s="146"/>
      <c r="AB301" s="147"/>
      <c r="AC301" s="89"/>
      <c r="AD301" s="145"/>
      <c r="AE301" s="146"/>
      <c r="AF301" s="146"/>
      <c r="AG301" s="147"/>
      <c r="AH301" s="89"/>
      <c r="AI301" s="145"/>
      <c r="AJ301" s="146"/>
      <c r="AK301" s="146"/>
      <c r="AL301" s="147"/>
      <c r="AM301" s="89"/>
      <c r="AN301" s="145"/>
      <c r="AO301" s="146"/>
      <c r="AP301" s="146"/>
      <c r="AQ301" s="147"/>
      <c r="AR301" s="89"/>
      <c r="AS301" s="145"/>
      <c r="AT301" s="146"/>
      <c r="AU301" s="146"/>
      <c r="AV301" s="147"/>
      <c r="AW301" s="89"/>
      <c r="AX301" s="145"/>
      <c r="AY301" s="146"/>
      <c r="AZ301" s="146"/>
      <c r="BA301" s="147"/>
      <c r="BB301" s="89"/>
      <c r="BC301" s="145"/>
      <c r="BD301" s="146"/>
      <c r="BE301" s="146"/>
      <c r="BF301" s="147"/>
      <c r="BG301" s="89"/>
      <c r="BH301" s="145"/>
      <c r="BI301" s="146"/>
      <c r="BJ301" s="146"/>
      <c r="BK301" s="147"/>
      <c r="BL301" s="89"/>
      <c r="BM301" s="145"/>
      <c r="BN301" s="146"/>
      <c r="BO301" s="146"/>
      <c r="BP301" s="147"/>
      <c r="BQ301" s="89"/>
      <c r="BR301" s="87"/>
      <c r="BS301" s="87"/>
      <c r="BT301" s="12"/>
      <c r="BU301" s="91"/>
      <c r="BV301" s="91"/>
      <c r="BW301" s="91"/>
      <c r="BX301" s="91"/>
      <c r="BY301" s="91"/>
      <c r="BZ301" s="91"/>
      <c r="CA301" s="91"/>
      <c r="CB301" s="91"/>
      <c r="CC301" s="91"/>
      <c r="CD301" s="91"/>
      <c r="CE301" s="91"/>
      <c r="CF301" s="91"/>
      <c r="CG301" s="91"/>
      <c r="CH301" s="91"/>
      <c r="CI301" s="91"/>
      <c r="CJ301" s="91"/>
      <c r="CK301" s="91"/>
      <c r="CL301" s="91"/>
      <c r="CM301" s="91"/>
      <c r="CN301" s="91"/>
      <c r="CO301" s="91"/>
      <c r="CP301" s="91"/>
      <c r="CQ301" s="91"/>
      <c r="CR301" s="1018"/>
      <c r="CS301" s="1018"/>
      <c r="CT301" s="821"/>
      <c r="CU301" s="12"/>
      <c r="CV301" s="12"/>
      <c r="CW301" s="12"/>
      <c r="CX301" s="12"/>
      <c r="CY301" s="12"/>
      <c r="CZ301" s="91"/>
      <c r="DA301" s="91"/>
      <c r="DB301" s="91"/>
      <c r="DC301" s="91"/>
      <c r="DD301" s="91"/>
      <c r="DE301" s="91"/>
      <c r="DF301" s="12"/>
      <c r="DG301" s="12"/>
      <c r="DH301" s="12"/>
      <c r="DI301" s="12"/>
      <c r="DJ301" s="12"/>
      <c r="DK301" s="12"/>
      <c r="DL301" s="12"/>
      <c r="DM301" s="12"/>
      <c r="DN301" s="12"/>
    </row>
    <row r="302" spans="1:118" s="12" customFormat="1">
      <c r="A302" s="91"/>
      <c r="B302" s="87"/>
      <c r="C302" s="1179" t="s">
        <v>568</v>
      </c>
      <c r="D302" s="87"/>
      <c r="E302" s="104"/>
      <c r="F302" s="77"/>
      <c r="G302" s="77"/>
      <c r="H302" s="102"/>
      <c r="I302" s="87"/>
      <c r="J302" s="104"/>
      <c r="K302" s="77"/>
      <c r="L302" s="77"/>
      <c r="M302" s="102"/>
      <c r="N302" s="96"/>
      <c r="O302" s="104"/>
      <c r="P302" s="77"/>
      <c r="Q302" s="77"/>
      <c r="R302" s="102"/>
      <c r="S302" s="96"/>
      <c r="T302" s="114"/>
      <c r="U302" s="77"/>
      <c r="V302" s="77"/>
      <c r="W302" s="102"/>
      <c r="X302" s="96"/>
      <c r="Y302" s="104">
        <f t="shared" ref="Y302:AW302" si="522">+Y313+Y333</f>
        <v>10682</v>
      </c>
      <c r="Z302" s="77">
        <f t="shared" si="522"/>
        <v>10682</v>
      </c>
      <c r="AA302" s="77">
        <f t="shared" si="522"/>
        <v>10682</v>
      </c>
      <c r="AB302" s="102">
        <f t="shared" si="522"/>
        <v>7208</v>
      </c>
      <c r="AC302" s="96">
        <f t="shared" si="522"/>
        <v>7208</v>
      </c>
      <c r="AD302" s="104">
        <f t="shared" si="522"/>
        <v>6323</v>
      </c>
      <c r="AE302" s="77">
        <f t="shared" si="522"/>
        <v>6323</v>
      </c>
      <c r="AF302" s="77">
        <f t="shared" si="522"/>
        <v>6323</v>
      </c>
      <c r="AG302" s="102">
        <f t="shared" si="522"/>
        <v>6323</v>
      </c>
      <c r="AH302" s="96">
        <f t="shared" si="522"/>
        <v>6323</v>
      </c>
      <c r="AI302" s="104">
        <f>+AI313+AI333</f>
        <v>6323</v>
      </c>
      <c r="AJ302" s="77">
        <f t="shared" si="522"/>
        <v>6323</v>
      </c>
      <c r="AK302" s="77">
        <f t="shared" si="522"/>
        <v>6323</v>
      </c>
      <c r="AL302" s="102">
        <f t="shared" si="522"/>
        <v>6323</v>
      </c>
      <c r="AM302" s="96">
        <f t="shared" si="522"/>
        <v>6323</v>
      </c>
      <c r="AN302" s="104">
        <f t="shared" si="522"/>
        <v>6323</v>
      </c>
      <c r="AO302" s="77">
        <f t="shared" si="522"/>
        <v>6323</v>
      </c>
      <c r="AP302" s="77">
        <f t="shared" ref="AP302" si="523">+AP313+AP333</f>
        <v>6323</v>
      </c>
      <c r="AQ302" s="102">
        <f t="shared" si="522"/>
        <v>6323</v>
      </c>
      <c r="AR302" s="96">
        <f t="shared" si="522"/>
        <v>6323</v>
      </c>
      <c r="AS302" s="104">
        <f t="shared" ref="AS302" si="524">+AS313+AS333</f>
        <v>6323</v>
      </c>
      <c r="AT302" s="77">
        <f t="shared" si="522"/>
        <v>6323</v>
      </c>
      <c r="AU302" s="77">
        <f t="shared" ref="AU302" si="525">+AU313+AU333</f>
        <v>6323</v>
      </c>
      <c r="AV302" s="102">
        <f t="shared" si="522"/>
        <v>6323</v>
      </c>
      <c r="AW302" s="96">
        <f t="shared" si="522"/>
        <v>6323</v>
      </c>
      <c r="AX302" s="104">
        <f t="shared" ref="AX302:BL302" si="526">+AX313+AX333</f>
        <v>6323</v>
      </c>
      <c r="AY302" s="77">
        <f t="shared" si="526"/>
        <v>6323</v>
      </c>
      <c r="AZ302" s="77">
        <f t="shared" si="526"/>
        <v>6323</v>
      </c>
      <c r="BA302" s="102">
        <f t="shared" si="526"/>
        <v>6323</v>
      </c>
      <c r="BB302" s="96">
        <f t="shared" si="526"/>
        <v>5023</v>
      </c>
      <c r="BC302" s="104">
        <f t="shared" si="526"/>
        <v>5023</v>
      </c>
      <c r="BD302" s="77">
        <f t="shared" si="526"/>
        <v>5023</v>
      </c>
      <c r="BE302" s="77">
        <f t="shared" si="526"/>
        <v>5023</v>
      </c>
      <c r="BF302" s="102">
        <f t="shared" si="526"/>
        <v>5023</v>
      </c>
      <c r="BG302" s="96">
        <f t="shared" si="526"/>
        <v>5023</v>
      </c>
      <c r="BH302" s="104">
        <f t="shared" si="526"/>
        <v>5023</v>
      </c>
      <c r="BI302" s="77">
        <f t="shared" si="526"/>
        <v>5023</v>
      </c>
      <c r="BJ302" s="77">
        <f t="shared" si="526"/>
        <v>5023</v>
      </c>
      <c r="BK302" s="102">
        <f t="shared" si="526"/>
        <v>5023</v>
      </c>
      <c r="BL302" s="96">
        <f t="shared" si="526"/>
        <v>5023</v>
      </c>
      <c r="BM302" s="104">
        <f t="shared" ref="BM302:BQ302" si="527">+BM313+BM333</f>
        <v>5023</v>
      </c>
      <c r="BN302" s="77">
        <f t="shared" si="527"/>
        <v>5023</v>
      </c>
      <c r="BO302" s="77">
        <f t="shared" si="527"/>
        <v>5023</v>
      </c>
      <c r="BP302" s="102">
        <f t="shared" si="527"/>
        <v>5023</v>
      </c>
      <c r="BQ302" s="96">
        <f t="shared" si="527"/>
        <v>5023</v>
      </c>
      <c r="BR302" s="87"/>
      <c r="BS302" s="87"/>
      <c r="BU302" s="91"/>
      <c r="BV302" s="91"/>
      <c r="BW302" s="91"/>
      <c r="BX302" s="91"/>
      <c r="BY302" s="91"/>
      <c r="BZ302" s="91"/>
      <c r="CA302" s="91"/>
      <c r="CB302" s="91"/>
      <c r="CC302" s="91"/>
      <c r="CD302" s="91"/>
      <c r="CE302" s="91"/>
      <c r="CF302" s="91"/>
      <c r="CG302" s="91"/>
      <c r="CH302" s="91"/>
      <c r="CI302" s="91"/>
      <c r="CJ302" s="91"/>
      <c r="CK302" s="91"/>
      <c r="CL302" s="91"/>
      <c r="CM302" s="91"/>
      <c r="CN302" s="91"/>
      <c r="CO302" s="91"/>
      <c r="CP302" s="91"/>
      <c r="CQ302" s="91"/>
      <c r="CR302" s="1049"/>
      <c r="CS302" s="1049"/>
      <c r="CT302" s="1050"/>
      <c r="CZ302" s="91"/>
      <c r="DA302" s="91"/>
      <c r="DB302" s="91"/>
      <c r="DC302" s="91"/>
      <c r="DD302" s="91"/>
      <c r="DE302" s="91"/>
    </row>
    <row r="303" spans="1:118" s="12" customFormat="1">
      <c r="A303" s="91"/>
      <c r="B303" s="87"/>
      <c r="C303" s="1179" t="s">
        <v>569</v>
      </c>
      <c r="D303" s="87"/>
      <c r="E303" s="872"/>
      <c r="F303" s="800"/>
      <c r="G303" s="800"/>
      <c r="H303" s="1051"/>
      <c r="I303" s="87"/>
      <c r="J303" s="872"/>
      <c r="K303" s="800"/>
      <c r="L303" s="800"/>
      <c r="M303" s="1051"/>
      <c r="N303" s="1052"/>
      <c r="O303" s="872"/>
      <c r="P303" s="800"/>
      <c r="Q303" s="800"/>
      <c r="R303" s="1051"/>
      <c r="S303" s="87"/>
      <c r="T303" s="245"/>
      <c r="U303" s="246"/>
      <c r="V303" s="246"/>
      <c r="W303" s="1053"/>
      <c r="X303" s="256"/>
      <c r="Y303" s="245">
        <f t="shared" ref="Y303:AR303" si="528">+Y322+Y342</f>
        <v>12610.239</v>
      </c>
      <c r="Z303" s="246">
        <f t="shared" si="528"/>
        <v>9357.4320000000007</v>
      </c>
      <c r="AA303" s="246">
        <f t="shared" si="528"/>
        <v>9357.4320000000007</v>
      </c>
      <c r="AB303" s="1053">
        <f t="shared" si="528"/>
        <v>7284.5969999999998</v>
      </c>
      <c r="AC303" s="256">
        <f t="shared" si="528"/>
        <v>38609.699999999997</v>
      </c>
      <c r="AD303" s="245">
        <f t="shared" si="528"/>
        <v>9693.1589999999997</v>
      </c>
      <c r="AE303" s="246">
        <f t="shared" si="528"/>
        <v>9693.1589999999997</v>
      </c>
      <c r="AF303" s="246">
        <f t="shared" si="528"/>
        <v>9693.1589999999997</v>
      </c>
      <c r="AG303" s="1053">
        <f t="shared" si="528"/>
        <v>9693.1589999999997</v>
      </c>
      <c r="AH303" s="256">
        <f t="shared" si="528"/>
        <v>38772.635999999999</v>
      </c>
      <c r="AI303" s="245">
        <f>+AI322+AI342</f>
        <v>9693.1589999999997</v>
      </c>
      <c r="AJ303" s="246">
        <f t="shared" si="528"/>
        <v>9693.1589999999997</v>
      </c>
      <c r="AK303" s="246">
        <f t="shared" si="528"/>
        <v>9693.1589999999997</v>
      </c>
      <c r="AL303" s="1053">
        <f t="shared" si="528"/>
        <v>9693.1589999999997</v>
      </c>
      <c r="AM303" s="256">
        <f t="shared" si="528"/>
        <v>38772.635999999999</v>
      </c>
      <c r="AN303" s="245">
        <f t="shared" si="528"/>
        <v>6509.3370000000004</v>
      </c>
      <c r="AO303" s="246">
        <f t="shared" si="528"/>
        <v>5538.9480000000003</v>
      </c>
      <c r="AP303" s="246">
        <f t="shared" ref="AP303" si="529">+AP322+AP342</f>
        <v>9693.1589999999997</v>
      </c>
      <c r="AQ303" s="1053">
        <f t="shared" si="528"/>
        <v>9693.1589999999997</v>
      </c>
      <c r="AR303" s="256">
        <f t="shared" si="528"/>
        <v>31434.602999999999</v>
      </c>
      <c r="AS303" s="245">
        <f t="shared" ref="AS303" si="530">+AS322+AS342</f>
        <v>5538.9480000000003</v>
      </c>
      <c r="AT303" s="246">
        <f t="shared" ref="AT303:BB303" si="531">+AT322+AT342</f>
        <v>5538.9480000000003</v>
      </c>
      <c r="AU303" s="246">
        <f t="shared" ref="AU303" si="532">+AU322+AU342</f>
        <v>5538.9480000000003</v>
      </c>
      <c r="AV303" s="1053">
        <f t="shared" si="531"/>
        <v>5538.9480000000003</v>
      </c>
      <c r="AW303" s="256">
        <f t="shared" si="531"/>
        <v>22155.792000000001</v>
      </c>
      <c r="AX303" s="245">
        <f t="shared" si="531"/>
        <v>9693.1589999999997</v>
      </c>
      <c r="AY303" s="246">
        <f t="shared" si="531"/>
        <v>8722.77</v>
      </c>
      <c r="AZ303" s="246">
        <f t="shared" si="531"/>
        <v>8722.77</v>
      </c>
      <c r="BA303" s="1053">
        <f t="shared" si="531"/>
        <v>9693.1589999999997</v>
      </c>
      <c r="BB303" s="256">
        <f t="shared" si="531"/>
        <v>36831.858</v>
      </c>
      <c r="BC303" s="245">
        <f t="shared" ref="BC303:BL303" si="533">+BC322+BC342</f>
        <v>7700.259</v>
      </c>
      <c r="BD303" s="246">
        <f t="shared" si="533"/>
        <v>4400.1480000000001</v>
      </c>
      <c r="BE303" s="246">
        <f t="shared" si="533"/>
        <v>4400.1480000000001</v>
      </c>
      <c r="BF303" s="1053">
        <f t="shared" si="533"/>
        <v>7700.259</v>
      </c>
      <c r="BG303" s="256">
        <f t="shared" si="533"/>
        <v>24200.813999999998</v>
      </c>
      <c r="BH303" s="245">
        <f t="shared" si="533"/>
        <v>7700.259</v>
      </c>
      <c r="BI303" s="246">
        <f>+BI322+BI342</f>
        <v>4400.1480000000001</v>
      </c>
      <c r="BJ303" s="246">
        <f t="shared" si="533"/>
        <v>4400.1480000000001</v>
      </c>
      <c r="BK303" s="1053">
        <f t="shared" si="533"/>
        <v>7700.259</v>
      </c>
      <c r="BL303" s="256">
        <f t="shared" si="533"/>
        <v>24200.813999999998</v>
      </c>
      <c r="BM303" s="245">
        <f t="shared" ref="BM303" si="534">+BM322+BM342</f>
        <v>4516.4370000000008</v>
      </c>
      <c r="BN303" s="246">
        <f>+BN322+BN342</f>
        <v>4400.1480000000001</v>
      </c>
      <c r="BO303" s="246">
        <f t="shared" ref="BO303:BQ303" si="535">+BO322+BO342</f>
        <v>4245.0960000000005</v>
      </c>
      <c r="BP303" s="1053">
        <f t="shared" si="535"/>
        <v>4400.1480000000001</v>
      </c>
      <c r="BQ303" s="256">
        <f t="shared" si="535"/>
        <v>17561.829000000002</v>
      </c>
      <c r="BR303" s="87"/>
      <c r="BS303" s="87"/>
      <c r="BU303" s="91"/>
      <c r="BV303" s="91"/>
      <c r="BW303" s="91"/>
      <c r="BX303" s="91"/>
      <c r="BY303" s="91"/>
      <c r="BZ303" s="91"/>
      <c r="CA303" s="91"/>
      <c r="CB303" s="91"/>
      <c r="CC303" s="91"/>
      <c r="CD303" s="91"/>
      <c r="CE303" s="91"/>
      <c r="CF303" s="91"/>
      <c r="CG303" s="91"/>
      <c r="CH303" s="91"/>
      <c r="CI303" s="91"/>
      <c r="CJ303" s="91"/>
      <c r="CK303" s="91"/>
      <c r="CL303" s="91"/>
      <c r="CM303" s="91"/>
      <c r="CN303" s="91"/>
      <c r="CO303" s="91"/>
      <c r="CP303" s="91"/>
      <c r="CQ303" s="91"/>
      <c r="CR303" s="1049"/>
      <c r="CS303" s="1049"/>
      <c r="CT303" s="1050"/>
      <c r="CZ303" s="91"/>
      <c r="DA303" s="91"/>
      <c r="DB303" s="91"/>
      <c r="DC303" s="91"/>
      <c r="DD303" s="91"/>
      <c r="DE303" s="91"/>
    </row>
    <row r="304" spans="1:118">
      <c r="A304" s="91"/>
      <c r="B304" s="89"/>
      <c r="C304" s="1179" t="s">
        <v>570</v>
      </c>
      <c r="D304" s="89"/>
      <c r="E304" s="145"/>
      <c r="F304" s="146"/>
      <c r="G304" s="146"/>
      <c r="H304" s="147"/>
      <c r="I304" s="87"/>
      <c r="J304" s="145"/>
      <c r="K304" s="146"/>
      <c r="L304" s="146"/>
      <c r="M304" s="147"/>
      <c r="N304" s="89"/>
      <c r="O304" s="145"/>
      <c r="P304" s="146"/>
      <c r="Q304" s="146"/>
      <c r="R304" s="147"/>
      <c r="S304" s="89"/>
      <c r="T304" s="833"/>
      <c r="U304" s="834"/>
      <c r="V304" s="834"/>
      <c r="W304" s="835"/>
      <c r="X304" s="1054"/>
      <c r="Y304" s="833">
        <f>Y303/(Y302*8.76/4)</f>
        <v>0.53904699494476693</v>
      </c>
      <c r="Z304" s="834">
        <f t="shared" ref="Z304:AG304" si="536">Z303/(Z302*8.76/4)</f>
        <v>0.40000000000000008</v>
      </c>
      <c r="AA304" s="834">
        <f t="shared" si="536"/>
        <v>0.40000000000000008</v>
      </c>
      <c r="AB304" s="835">
        <f t="shared" si="536"/>
        <v>0.46147336293007768</v>
      </c>
      <c r="AC304" s="1054">
        <f>AC303/(AC302*8.76)</f>
        <v>0.61147336293007759</v>
      </c>
      <c r="AD304" s="833">
        <f t="shared" si="536"/>
        <v>0.70000000000000007</v>
      </c>
      <c r="AE304" s="834">
        <f t="shared" si="536"/>
        <v>0.70000000000000007</v>
      </c>
      <c r="AF304" s="834">
        <f t="shared" si="536"/>
        <v>0.70000000000000007</v>
      </c>
      <c r="AG304" s="835">
        <f t="shared" si="536"/>
        <v>0.70000000000000007</v>
      </c>
      <c r="AH304" s="1054">
        <f>AH303/(AH302*8.76)</f>
        <v>0.70000000000000007</v>
      </c>
      <c r="AI304" s="833">
        <f>AI303/(AI302*8.76/4)</f>
        <v>0.70000000000000007</v>
      </c>
      <c r="AJ304" s="834">
        <f>AJ303/(AJ302*8.76/4)</f>
        <v>0.70000000000000007</v>
      </c>
      <c r="AK304" s="834">
        <f>AK303/(AK302*8.76/4)</f>
        <v>0.70000000000000007</v>
      </c>
      <c r="AL304" s="835">
        <f>AL303/(AL302*8.76/4)</f>
        <v>0.70000000000000007</v>
      </c>
      <c r="AM304" s="1054">
        <f>AM303/(AM302*8.76)</f>
        <v>0.70000000000000007</v>
      </c>
      <c r="AN304" s="833">
        <f>AN303/(AN302*8.76/4)</f>
        <v>0.47007749486003486</v>
      </c>
      <c r="AO304" s="834">
        <f>AO303/(AO302*8.76/4)</f>
        <v>0.40000000000000008</v>
      </c>
      <c r="AP304" s="834">
        <f>AP303/(AP302*8.76/4)</f>
        <v>0.70000000000000007</v>
      </c>
      <c r="AQ304" s="835">
        <f>AQ303/(AQ302*8.76/4)</f>
        <v>0.70000000000000007</v>
      </c>
      <c r="AR304" s="1054">
        <f>AR303/(AR302*8.76)</f>
        <v>0.56751937371500871</v>
      </c>
      <c r="AS304" s="833">
        <f>AS303/(AS302*8.76/4)</f>
        <v>0.40000000000000008</v>
      </c>
      <c r="AT304" s="834">
        <f>AT303/(AT302*8.76/4)</f>
        <v>0.40000000000000008</v>
      </c>
      <c r="AU304" s="834">
        <f>AU303/(AU302*8.76/4)</f>
        <v>0.40000000000000008</v>
      </c>
      <c r="AV304" s="835">
        <f>AV303/(AV302*8.76/4)</f>
        <v>0.40000000000000008</v>
      </c>
      <c r="AW304" s="1054">
        <f>AW303/(AW302*8.76)</f>
        <v>0.40000000000000008</v>
      </c>
      <c r="AX304" s="833">
        <f>AX303/(AX302*8.76/4)</f>
        <v>0.70000000000000007</v>
      </c>
      <c r="AY304" s="834">
        <f>AY303/(AY302*8.76/4)</f>
        <v>0.62992250513996528</v>
      </c>
      <c r="AZ304" s="834">
        <f>AZ303/(AZ302*8.76/4)</f>
        <v>0.62992250513996528</v>
      </c>
      <c r="BA304" s="835">
        <f>BA303/(BA302*8.76/4)</f>
        <v>0.70000000000000007</v>
      </c>
      <c r="BB304" s="1054">
        <f>BB303/(BB302*8.76)</f>
        <v>0.83705952617957402</v>
      </c>
      <c r="BC304" s="833">
        <f>BC303/(BC302*8.76/4)</f>
        <v>0.70000000000000007</v>
      </c>
      <c r="BD304" s="834">
        <f>BD303/(BD302*8.76/4)</f>
        <v>0.4</v>
      </c>
      <c r="BE304" s="834">
        <f>BE303/(BE302*8.76/4)</f>
        <v>0.4</v>
      </c>
      <c r="BF304" s="835">
        <f>BF303/(BF302*8.76/4)</f>
        <v>0.70000000000000007</v>
      </c>
      <c r="BG304" s="1054">
        <f>BG303/(BG302*8.76)</f>
        <v>0.55000000000000004</v>
      </c>
      <c r="BH304" s="833">
        <f>BH303/(BH302*8.76/4)</f>
        <v>0.70000000000000007</v>
      </c>
      <c r="BI304" s="834">
        <f>BI303/(BI302*8.76/4)</f>
        <v>0.4</v>
      </c>
      <c r="BJ304" s="834">
        <f>BJ303/(BJ302*8.76/4)</f>
        <v>0.4</v>
      </c>
      <c r="BK304" s="835">
        <f>BK303/(BK302*8.76/4)</f>
        <v>0.70000000000000007</v>
      </c>
      <c r="BL304" s="1054">
        <f>BL303/(BL302*8.76)</f>
        <v>0.55000000000000004</v>
      </c>
      <c r="BM304" s="833">
        <f>BM303/(BM302*8.76/4)</f>
        <v>0.41057137169022506</v>
      </c>
      <c r="BN304" s="834">
        <f>BN303/(BN302*8.76/4)</f>
        <v>0.4</v>
      </c>
      <c r="BO304" s="834">
        <f>BO303/(BO302*8.76/4)</f>
        <v>0.3859048377463668</v>
      </c>
      <c r="BP304" s="835">
        <f>BP303/(BP302*8.76/4)</f>
        <v>0.4</v>
      </c>
      <c r="BQ304" s="1054">
        <f>BQ303/(BQ302*8.76)</f>
        <v>0.39911905235914802</v>
      </c>
      <c r="BR304" s="87"/>
      <c r="BS304" s="87"/>
      <c r="BT304" s="12"/>
      <c r="BU304" s="91"/>
      <c r="BV304" s="91"/>
      <c r="BW304" s="91"/>
      <c r="BX304" s="91"/>
      <c r="BY304" s="91"/>
      <c r="BZ304" s="91"/>
      <c r="CA304" s="91"/>
      <c r="CB304" s="91"/>
      <c r="CC304" s="91"/>
      <c r="CD304" s="91"/>
      <c r="CE304" s="91"/>
      <c r="CF304" s="91"/>
      <c r="CG304" s="91"/>
      <c r="CH304" s="91"/>
      <c r="CI304" s="91"/>
      <c r="CJ304" s="91"/>
      <c r="CK304" s="91"/>
      <c r="CL304" s="91"/>
      <c r="CM304" s="91"/>
      <c r="CN304" s="91"/>
      <c r="CO304" s="91"/>
      <c r="CP304" s="91"/>
      <c r="CQ304" s="91"/>
      <c r="CR304" s="1018"/>
      <c r="CS304" s="1018"/>
      <c r="CT304" s="821"/>
      <c r="CU304" s="12"/>
      <c r="CV304" s="12"/>
      <c r="CW304" s="12"/>
      <c r="CX304" s="12"/>
      <c r="CY304" s="12"/>
      <c r="CZ304" s="91"/>
      <c r="DA304" s="91"/>
      <c r="DB304" s="91"/>
      <c r="DC304" s="91"/>
      <c r="DD304" s="91"/>
      <c r="DE304" s="91"/>
      <c r="DF304" s="12"/>
      <c r="DG304" s="12"/>
      <c r="DH304" s="12"/>
      <c r="DI304" s="12"/>
      <c r="DJ304" s="12"/>
      <c r="DK304" s="12"/>
      <c r="DL304" s="12"/>
      <c r="DM304" s="12"/>
      <c r="DN304" s="12"/>
    </row>
    <row r="305" spans="1:118">
      <c r="A305" s="91"/>
      <c r="B305" s="89"/>
      <c r="C305" s="1184"/>
      <c r="D305" s="89"/>
      <c r="E305" s="145"/>
      <c r="F305" s="146"/>
      <c r="G305" s="146"/>
      <c r="H305" s="147"/>
      <c r="I305" s="87"/>
      <c r="J305" s="145"/>
      <c r="K305" s="146"/>
      <c r="L305" s="146"/>
      <c r="M305" s="147"/>
      <c r="N305" s="89"/>
      <c r="O305" s="145"/>
      <c r="P305" s="146"/>
      <c r="Q305" s="146"/>
      <c r="R305" s="147"/>
      <c r="S305" s="89"/>
      <c r="T305" s="145"/>
      <c r="U305" s="146"/>
      <c r="V305" s="146"/>
      <c r="W305" s="147"/>
      <c r="X305" s="89"/>
      <c r="Y305" s="145"/>
      <c r="Z305" s="146"/>
      <c r="AA305" s="146"/>
      <c r="AB305" s="147"/>
      <c r="AC305" s="89"/>
      <c r="AD305" s="145"/>
      <c r="AE305" s="146"/>
      <c r="AF305" s="146"/>
      <c r="AG305" s="147"/>
      <c r="AH305" s="89"/>
      <c r="AI305" s="145"/>
      <c r="AJ305" s="146"/>
      <c r="AK305" s="146"/>
      <c r="AL305" s="147"/>
      <c r="AM305" s="89"/>
      <c r="AN305" s="145"/>
      <c r="AO305" s="146"/>
      <c r="AP305" s="146"/>
      <c r="AQ305" s="147"/>
      <c r="AR305" s="89"/>
      <c r="AS305" s="145"/>
      <c r="AT305" s="146"/>
      <c r="AU305" s="146"/>
      <c r="AV305" s="147"/>
      <c r="AW305" s="89"/>
      <c r="AX305" s="145"/>
      <c r="AY305" s="146"/>
      <c r="AZ305" s="146"/>
      <c r="BA305" s="147"/>
      <c r="BB305" s="89"/>
      <c r="BC305" s="145"/>
      <c r="BD305" s="146"/>
      <c r="BE305" s="146"/>
      <c r="BF305" s="147"/>
      <c r="BG305" s="89"/>
      <c r="BH305" s="145"/>
      <c r="BI305" s="146"/>
      <c r="BJ305" s="146"/>
      <c r="BK305" s="147"/>
      <c r="BL305" s="89"/>
      <c r="BM305" s="145"/>
      <c r="BN305" s="146"/>
      <c r="BO305" s="146"/>
      <c r="BP305" s="147"/>
      <c r="BQ305" s="89"/>
      <c r="BR305" s="87"/>
      <c r="BS305" s="87"/>
      <c r="BT305" s="12"/>
      <c r="BU305" s="91"/>
      <c r="BV305" s="91"/>
      <c r="BW305" s="91"/>
      <c r="BX305" s="91"/>
      <c r="BY305" s="91"/>
      <c r="BZ305" s="91"/>
      <c r="CA305" s="91"/>
      <c r="CB305" s="91"/>
      <c r="CC305" s="91"/>
      <c r="CD305" s="91"/>
      <c r="CE305" s="91"/>
      <c r="CF305" s="91"/>
      <c r="CG305" s="91"/>
      <c r="CH305" s="91"/>
      <c r="CI305" s="91"/>
      <c r="CJ305" s="91"/>
      <c r="CK305" s="91"/>
      <c r="CL305" s="91"/>
      <c r="CM305" s="91"/>
      <c r="CN305" s="91"/>
      <c r="CO305" s="91"/>
      <c r="CP305" s="91"/>
      <c r="CQ305" s="91"/>
      <c r="CR305" s="1018"/>
      <c r="CS305" s="1018"/>
      <c r="CT305" s="821"/>
      <c r="CU305" s="12"/>
      <c r="CV305" s="12"/>
      <c r="CW305" s="12"/>
      <c r="CX305" s="12"/>
      <c r="CY305" s="12"/>
      <c r="CZ305" s="91"/>
      <c r="DA305" s="91"/>
      <c r="DB305" s="91"/>
      <c r="DC305" s="91"/>
      <c r="DD305" s="91"/>
      <c r="DE305" s="91"/>
      <c r="DF305" s="12"/>
      <c r="DG305" s="12"/>
      <c r="DH305" s="12"/>
      <c r="DI305" s="12"/>
      <c r="DJ305" s="12"/>
      <c r="DK305" s="12"/>
      <c r="DL305" s="12"/>
      <c r="DM305" s="12"/>
      <c r="DN305" s="12"/>
    </row>
    <row r="306" spans="1:118">
      <c r="A306" s="91"/>
      <c r="B306" s="89"/>
      <c r="C306" s="1184" t="s">
        <v>580</v>
      </c>
      <c r="D306" s="89"/>
      <c r="E306" s="145"/>
      <c r="F306" s="146"/>
      <c r="G306" s="146"/>
      <c r="H306" s="147"/>
      <c r="I306" s="87"/>
      <c r="J306" s="145"/>
      <c r="K306" s="146"/>
      <c r="L306" s="146"/>
      <c r="M306" s="147"/>
      <c r="N306" s="89"/>
      <c r="O306" s="145"/>
      <c r="P306" s="146"/>
      <c r="Q306" s="146"/>
      <c r="R306" s="147"/>
      <c r="S306" s="89"/>
      <c r="T306" s="1034"/>
      <c r="U306" s="1035"/>
      <c r="V306" s="1035"/>
      <c r="W306" s="1036"/>
      <c r="X306" s="1071"/>
      <c r="Y306" s="1034">
        <f t="shared" ref="Y306:BL306" si="537">90%*Y86+10%*Y89</f>
        <v>72.884230769230783</v>
      </c>
      <c r="Z306" s="1035">
        <f t="shared" si="537"/>
        <v>73.274538461538455</v>
      </c>
      <c r="AA306" s="1035">
        <f t="shared" si="537"/>
        <v>70.64523076923075</v>
      </c>
      <c r="AB306" s="1036">
        <f t="shared" si="537"/>
        <v>69.299769230769215</v>
      </c>
      <c r="AC306" s="1071">
        <f t="shared" si="537"/>
        <v>71.525942307692304</v>
      </c>
      <c r="AD306" s="1034">
        <f t="shared" si="537"/>
        <v>70.668076923076924</v>
      </c>
      <c r="AE306" s="1035">
        <f t="shared" si="537"/>
        <v>67.822692307692321</v>
      </c>
      <c r="AF306" s="1035">
        <f t="shared" si="537"/>
        <v>64.799769230769243</v>
      </c>
      <c r="AG306" s="1036">
        <f t="shared" si="537"/>
        <v>63.648923076923083</v>
      </c>
      <c r="AH306" s="1071">
        <f t="shared" si="537"/>
        <v>66.734865384615389</v>
      </c>
      <c r="AI306" s="1034">
        <f t="shared" si="537"/>
        <v>61.321692307692295</v>
      </c>
      <c r="AJ306" s="1035">
        <f t="shared" si="537"/>
        <v>60.727615384615397</v>
      </c>
      <c r="AK306" s="1035">
        <f t="shared" si="537"/>
        <v>58.865384615384613</v>
      </c>
      <c r="AL306" s="1036">
        <f t="shared" si="537"/>
        <v>54.807692307692314</v>
      </c>
      <c r="AM306" s="1071">
        <f t="shared" si="537"/>
        <v>58.93059615384616</v>
      </c>
      <c r="AN306" s="1034">
        <f t="shared" si="537"/>
        <v>51.120769230769227</v>
      </c>
      <c r="AO306" s="1035">
        <f t="shared" si="537"/>
        <v>49.99115384615385</v>
      </c>
      <c r="AP306" s="1035">
        <f t="shared" ref="AP306" si="538">90%*AP86+10%*AP89</f>
        <v>49.70000000000001</v>
      </c>
      <c r="AQ306" s="1036">
        <f t="shared" si="537"/>
        <v>53.341153846153844</v>
      </c>
      <c r="AR306" s="1071">
        <f t="shared" si="537"/>
        <v>51.038269230769238</v>
      </c>
      <c r="AS306" s="1034">
        <f t="shared" ref="AS306" si="539">90%*AS86+10%*AS89</f>
        <v>60.375153846153843</v>
      </c>
      <c r="AT306" s="1035">
        <f t="shared" si="537"/>
        <v>60.375153846153843</v>
      </c>
      <c r="AU306" s="1035">
        <f t="shared" ref="AU306" si="540">90%*AU86+10%*AU89</f>
        <v>60.841230769230776</v>
      </c>
      <c r="AV306" s="1036">
        <f t="shared" si="537"/>
        <v>65.627692307692328</v>
      </c>
      <c r="AW306" s="1071">
        <f t="shared" si="537"/>
        <v>61.804807692307705</v>
      </c>
      <c r="AX306" s="1034">
        <f t="shared" si="537"/>
        <v>67.994615384615386</v>
      </c>
      <c r="AY306" s="1035">
        <f t="shared" si="537"/>
        <v>57.2</v>
      </c>
      <c r="AZ306" s="1035">
        <f t="shared" si="537"/>
        <v>57.234999999999999</v>
      </c>
      <c r="BA306" s="1036">
        <f t="shared" si="537"/>
        <v>57.265000000000001</v>
      </c>
      <c r="BB306" s="1071">
        <f t="shared" si="537"/>
        <v>59.923653846153854</v>
      </c>
      <c r="BC306" s="1034">
        <f t="shared" si="537"/>
        <v>56.511722944467465</v>
      </c>
      <c r="BD306" s="1035">
        <f t="shared" si="537"/>
        <v>56.511722944467465</v>
      </c>
      <c r="BE306" s="1035">
        <f t="shared" si="537"/>
        <v>56.511722944467465</v>
      </c>
      <c r="BF306" s="1036">
        <f t="shared" si="537"/>
        <v>63.124831166597609</v>
      </c>
      <c r="BG306" s="1071">
        <f t="shared" si="537"/>
        <v>58.165000000000006</v>
      </c>
      <c r="BH306" s="1034">
        <f t="shared" si="537"/>
        <v>56.511722944467465</v>
      </c>
      <c r="BI306" s="1035">
        <f t="shared" si="537"/>
        <v>56.511722944467465</v>
      </c>
      <c r="BJ306" s="1035">
        <f t="shared" si="537"/>
        <v>56.511722944467465</v>
      </c>
      <c r="BK306" s="1036">
        <f t="shared" si="537"/>
        <v>63.124831166597609</v>
      </c>
      <c r="BL306" s="1071">
        <f t="shared" si="537"/>
        <v>58.165000000000006</v>
      </c>
      <c r="BM306" s="1034">
        <f t="shared" ref="BM306:BQ306" si="541">90%*BM86+10%*BM89</f>
        <v>56.511722944467465</v>
      </c>
      <c r="BN306" s="1035">
        <f t="shared" si="541"/>
        <v>56.511722944467465</v>
      </c>
      <c r="BO306" s="1035">
        <f t="shared" si="541"/>
        <v>56.511722944467465</v>
      </c>
      <c r="BP306" s="1036">
        <f t="shared" si="541"/>
        <v>63.124831166597609</v>
      </c>
      <c r="BQ306" s="1071">
        <f t="shared" si="541"/>
        <v>58.165000000000006</v>
      </c>
      <c r="BR306" s="87"/>
      <c r="BS306" s="87"/>
      <c r="BT306" s="12"/>
      <c r="BU306" s="91"/>
      <c r="BV306" s="91"/>
      <c r="BW306" s="91"/>
      <c r="BX306" s="91"/>
      <c r="BY306" s="91"/>
      <c r="BZ306" s="91"/>
      <c r="CA306" s="91"/>
      <c r="CB306" s="91"/>
      <c r="CC306" s="91"/>
      <c r="CD306" s="91"/>
      <c r="CE306" s="91"/>
      <c r="CF306" s="91"/>
      <c r="CG306" s="91"/>
      <c r="CH306" s="91"/>
      <c r="CI306" s="91"/>
      <c r="CJ306" s="91"/>
      <c r="CK306" s="91"/>
      <c r="CL306" s="91"/>
      <c r="CM306" s="91"/>
      <c r="CN306" s="91"/>
      <c r="CO306" s="91"/>
      <c r="CP306" s="91"/>
      <c r="CQ306" s="91"/>
      <c r="CR306" s="1018"/>
      <c r="CS306" s="1018"/>
      <c r="CT306" s="821"/>
      <c r="CU306" s="12"/>
      <c r="CV306" s="12"/>
      <c r="CW306" s="12"/>
      <c r="CX306" s="12"/>
      <c r="CY306" s="12"/>
      <c r="CZ306" s="91"/>
      <c r="DA306" s="91"/>
      <c r="DB306" s="91"/>
      <c r="DC306" s="91"/>
      <c r="DD306" s="91"/>
      <c r="DE306" s="91"/>
      <c r="DF306" s="12"/>
      <c r="DG306" s="12"/>
      <c r="DH306" s="12"/>
      <c r="DI306" s="12"/>
      <c r="DJ306" s="12"/>
      <c r="DK306" s="12"/>
      <c r="DL306" s="12"/>
      <c r="DM306" s="12"/>
      <c r="DN306" s="12"/>
    </row>
    <row r="307" spans="1:118">
      <c r="A307" s="91"/>
      <c r="B307" s="89"/>
      <c r="C307" s="1184"/>
      <c r="D307" s="89"/>
      <c r="E307" s="145"/>
      <c r="F307" s="146"/>
      <c r="G307" s="146"/>
      <c r="H307" s="147"/>
      <c r="I307" s="87"/>
      <c r="J307" s="145"/>
      <c r="K307" s="146"/>
      <c r="L307" s="146"/>
      <c r="M307" s="147"/>
      <c r="N307" s="89"/>
      <c r="O307" s="145"/>
      <c r="P307" s="146"/>
      <c r="Q307" s="146"/>
      <c r="R307" s="147"/>
      <c r="S307" s="89"/>
      <c r="T307" s="145"/>
      <c r="U307" s="146"/>
      <c r="V307" s="146"/>
      <c r="W307" s="147"/>
      <c r="X307" s="89"/>
      <c r="Y307" s="145"/>
      <c r="Z307" s="146"/>
      <c r="AA307" s="146"/>
      <c r="AB307" s="147"/>
      <c r="AC307" s="89"/>
      <c r="AD307" s="145"/>
      <c r="AE307" s="146"/>
      <c r="AF307" s="146"/>
      <c r="AG307" s="147"/>
      <c r="AH307" s="89"/>
      <c r="AI307" s="145"/>
      <c r="AJ307" s="146"/>
      <c r="AK307" s="146"/>
      <c r="AL307" s="147"/>
      <c r="AM307" s="89"/>
      <c r="AN307" s="145"/>
      <c r="AO307" s="146"/>
      <c r="AP307" s="146"/>
      <c r="AQ307" s="147"/>
      <c r="AR307" s="89"/>
      <c r="AS307" s="145"/>
      <c r="AT307" s="146"/>
      <c r="AU307" s="146"/>
      <c r="AV307" s="147"/>
      <c r="AW307" s="89"/>
      <c r="AX307" s="145"/>
      <c r="AY307" s="146"/>
      <c r="AZ307" s="146"/>
      <c r="BA307" s="147"/>
      <c r="BB307" s="89"/>
      <c r="BC307" s="145"/>
      <c r="BD307" s="146"/>
      <c r="BE307" s="146"/>
      <c r="BF307" s="147"/>
      <c r="BG307" s="89"/>
      <c r="BH307" s="145"/>
      <c r="BI307" s="146"/>
      <c r="BJ307" s="146"/>
      <c r="BK307" s="147"/>
      <c r="BL307" s="89"/>
      <c r="BM307" s="145"/>
      <c r="BN307" s="146"/>
      <c r="BO307" s="146"/>
      <c r="BP307" s="147"/>
      <c r="BQ307" s="89"/>
      <c r="BR307" s="87"/>
      <c r="BS307" s="87"/>
      <c r="BT307" s="12"/>
      <c r="BU307" s="87"/>
      <c r="BV307" s="87"/>
      <c r="BW307" s="87"/>
      <c r="BX307" s="87"/>
      <c r="BY307" s="87"/>
      <c r="BZ307" s="87"/>
      <c r="CA307" s="87"/>
      <c r="CB307" s="87"/>
      <c r="CC307" s="87"/>
      <c r="CD307" s="87"/>
      <c r="CE307" s="91"/>
      <c r="CF307" s="91"/>
      <c r="CG307" s="91"/>
      <c r="CH307" s="91"/>
      <c r="CI307" s="91"/>
      <c r="CJ307" s="91"/>
      <c r="CK307" s="91"/>
      <c r="CL307" s="91"/>
      <c r="CM307" s="91"/>
      <c r="CN307" s="91"/>
      <c r="CO307" s="91"/>
      <c r="CP307" s="91"/>
      <c r="CQ307" s="91"/>
      <c r="CR307" s="1018"/>
      <c r="CS307" s="1018"/>
      <c r="CT307" s="821"/>
      <c r="CU307" s="12"/>
      <c r="CV307" s="12"/>
      <c r="CW307" s="12"/>
      <c r="CX307" s="12"/>
      <c r="CY307" s="12"/>
      <c r="CZ307" s="91"/>
      <c r="DA307" s="91"/>
      <c r="DB307" s="91"/>
      <c r="DC307" s="91"/>
      <c r="DD307" s="91"/>
      <c r="DE307" s="91"/>
      <c r="DF307" s="12"/>
      <c r="DG307" s="12"/>
      <c r="DH307" s="12"/>
      <c r="DI307" s="12"/>
      <c r="DJ307" s="12"/>
      <c r="DK307" s="12"/>
      <c r="DL307" s="12"/>
      <c r="DM307" s="12"/>
      <c r="DN307" s="12"/>
    </row>
    <row r="308" spans="1:118" s="94" customFormat="1">
      <c r="A308" s="87"/>
      <c r="B308" s="89"/>
      <c r="C308" s="1255" t="s">
        <v>561</v>
      </c>
      <c r="D308" s="89"/>
      <c r="E308" s="145"/>
      <c r="F308" s="146"/>
      <c r="G308" s="146"/>
      <c r="H308" s="147"/>
      <c r="I308" s="87"/>
      <c r="J308" s="145"/>
      <c r="K308" s="146"/>
      <c r="L308" s="146"/>
      <c r="M308" s="147"/>
      <c r="N308" s="89"/>
      <c r="O308" s="145"/>
      <c r="P308" s="146"/>
      <c r="Q308" s="146"/>
      <c r="R308" s="147"/>
      <c r="S308" s="89"/>
      <c r="T308" s="145"/>
      <c r="U308" s="146"/>
      <c r="V308" s="146"/>
      <c r="W308" s="147"/>
      <c r="X308" s="89"/>
      <c r="Y308" s="145"/>
      <c r="Z308" s="146"/>
      <c r="AA308" s="146"/>
      <c r="AB308" s="147"/>
      <c r="AC308" s="89"/>
      <c r="AD308" s="145"/>
      <c r="AE308" s="146"/>
      <c r="AF308" s="146"/>
      <c r="AG308" s="147"/>
      <c r="AH308" s="89"/>
      <c r="AI308" s="145"/>
      <c r="AJ308" s="146"/>
      <c r="AK308" s="146"/>
      <c r="AL308" s="147"/>
      <c r="AM308" s="89"/>
      <c r="AN308" s="145"/>
      <c r="AO308" s="146"/>
      <c r="AP308" s="146"/>
      <c r="AQ308" s="147"/>
      <c r="AR308" s="89"/>
      <c r="AS308" s="145"/>
      <c r="AT308" s="146"/>
      <c r="AU308" s="146"/>
      <c r="AV308" s="147"/>
      <c r="AW308" s="89"/>
      <c r="AX308" s="145"/>
      <c r="AY308" s="146"/>
      <c r="AZ308" s="146"/>
      <c r="BA308" s="147"/>
      <c r="BB308" s="89"/>
      <c r="BC308" s="145"/>
      <c r="BD308" s="146"/>
      <c r="BE308" s="146"/>
      <c r="BF308" s="147"/>
      <c r="BG308" s="89"/>
      <c r="BH308" s="145"/>
      <c r="BI308" s="146"/>
      <c r="BJ308" s="146"/>
      <c r="BK308" s="147"/>
      <c r="BL308" s="89"/>
      <c r="BM308" s="145"/>
      <c r="BN308" s="146"/>
      <c r="BO308" s="146"/>
      <c r="BP308" s="147"/>
      <c r="BQ308" s="89"/>
      <c r="BR308" s="87"/>
      <c r="BS308" s="87"/>
      <c r="BT308" s="12"/>
      <c r="BU308" s="12"/>
      <c r="BV308" s="12"/>
      <c r="BW308" s="12"/>
      <c r="BX308" s="12"/>
      <c r="BY308" s="12"/>
      <c r="BZ308" s="12"/>
      <c r="CA308" s="12"/>
      <c r="CB308" s="12"/>
      <c r="CC308" s="12"/>
      <c r="CD308" s="12"/>
      <c r="CE308" s="87"/>
      <c r="CF308" s="87"/>
      <c r="CG308" s="87"/>
      <c r="CH308" s="87"/>
      <c r="CI308" s="87"/>
      <c r="CJ308" s="87"/>
      <c r="CK308" s="87"/>
      <c r="CL308" s="87"/>
      <c r="CM308" s="87"/>
      <c r="CN308" s="87"/>
      <c r="CO308" s="87"/>
      <c r="CP308" s="87"/>
      <c r="CQ308" s="87"/>
      <c r="CR308" s="1068"/>
      <c r="CS308" s="1068"/>
      <c r="CT308" s="1069"/>
      <c r="CU308" s="124"/>
      <c r="CV308" s="124"/>
      <c r="CW308" s="124"/>
      <c r="CX308" s="124"/>
      <c r="CY308" s="124"/>
      <c r="CZ308" s="87"/>
      <c r="DA308" s="87"/>
      <c r="DB308" s="87"/>
      <c r="DC308" s="87"/>
      <c r="DD308" s="87"/>
      <c r="DE308" s="87"/>
      <c r="DF308" s="124"/>
      <c r="DG308" s="124"/>
      <c r="DH308" s="124"/>
      <c r="DI308" s="124"/>
      <c r="DJ308" s="124"/>
      <c r="DK308" s="124"/>
      <c r="DL308" s="124"/>
      <c r="DM308" s="124"/>
      <c r="DN308" s="124"/>
    </row>
    <row r="309" spans="1:118" ht="12.75" customHeight="1">
      <c r="A309" s="91"/>
      <c r="B309" s="89"/>
      <c r="C309" s="120" t="s">
        <v>579</v>
      </c>
      <c r="D309" s="89"/>
      <c r="E309" s="145"/>
      <c r="F309" s="146"/>
      <c r="G309" s="146"/>
      <c r="H309" s="147"/>
      <c r="I309" s="87"/>
      <c r="J309" s="145"/>
      <c r="K309" s="146"/>
      <c r="L309" s="146"/>
      <c r="M309" s="147"/>
      <c r="N309" s="89"/>
      <c r="O309" s="145"/>
      <c r="P309" s="146"/>
      <c r="Q309" s="146"/>
      <c r="R309" s="147"/>
      <c r="S309" s="89"/>
      <c r="T309" s="342"/>
      <c r="U309" s="150"/>
      <c r="V309" s="150"/>
      <c r="W309" s="343"/>
      <c r="X309" s="1067"/>
      <c r="Y309" s="342">
        <f>Y$63</f>
        <v>38.017161944444446</v>
      </c>
      <c r="Z309" s="150">
        <f t="shared" ref="Z309:BQ309" si="542">Z$63</f>
        <v>41.806956083984382</v>
      </c>
      <c r="AA309" s="150">
        <f t="shared" si="542"/>
        <v>41.772417763671875</v>
      </c>
      <c r="AB309" s="343">
        <f t="shared" si="542"/>
        <v>36.018476103515624</v>
      </c>
      <c r="AC309" s="327">
        <f t="shared" si="542"/>
        <v>39.403752973904076</v>
      </c>
      <c r="AD309" s="342">
        <f t="shared" si="542"/>
        <v>79.351583283730164</v>
      </c>
      <c r="AE309" s="150">
        <f t="shared" si="542"/>
        <v>50.487840683593753</v>
      </c>
      <c r="AF309" s="150">
        <f t="shared" si="542"/>
        <v>38.234623320312501</v>
      </c>
      <c r="AG309" s="343">
        <f t="shared" si="542"/>
        <v>40.068190000000001</v>
      </c>
      <c r="AH309" s="327">
        <f t="shared" si="542"/>
        <v>52.035559321909105</v>
      </c>
      <c r="AI309" s="342">
        <f t="shared" si="542"/>
        <v>43.107304533730151</v>
      </c>
      <c r="AJ309" s="150">
        <f t="shared" si="542"/>
        <v>36.571755771484376</v>
      </c>
      <c r="AK309" s="150">
        <f t="shared" si="542"/>
        <v>35.906114451923074</v>
      </c>
      <c r="AL309" s="343">
        <f t="shared" si="542"/>
        <v>30.830603544921878</v>
      </c>
      <c r="AM309" s="327">
        <f t="shared" si="542"/>
        <v>36.603944575514873</v>
      </c>
      <c r="AN309" s="342">
        <f t="shared" si="542"/>
        <v>27.466274697265618</v>
      </c>
      <c r="AO309" s="150">
        <f t="shared" si="542"/>
        <v>31.331062939453115</v>
      </c>
      <c r="AP309" s="150">
        <f t="shared" si="542"/>
        <v>37.764263886718759</v>
      </c>
      <c r="AQ309" s="343">
        <f t="shared" si="542"/>
        <v>32.442105446428577</v>
      </c>
      <c r="AR309" s="327">
        <f t="shared" si="542"/>
        <v>32.250926742466518</v>
      </c>
      <c r="AS309" s="342">
        <f t="shared" si="542"/>
        <v>33.05749094726562</v>
      </c>
      <c r="AT309" s="150">
        <f t="shared" si="542"/>
        <v>33.05749094726562</v>
      </c>
      <c r="AU309" s="150">
        <f t="shared" si="542"/>
        <v>36.590803630952379</v>
      </c>
      <c r="AV309" s="343">
        <f t="shared" si="542"/>
        <v>32.10412905753968</v>
      </c>
      <c r="AW309" s="327">
        <f t="shared" si="542"/>
        <v>33.702478645755825</v>
      </c>
      <c r="AX309" s="342">
        <f t="shared" si="542"/>
        <v>39.582188720703115</v>
      </c>
      <c r="AY309" s="150">
        <f t="shared" si="542"/>
        <v>35.416666666666664</v>
      </c>
      <c r="AZ309" s="150">
        <f t="shared" si="542"/>
        <v>37.699999999999996</v>
      </c>
      <c r="BA309" s="343">
        <f t="shared" si="542"/>
        <v>34.06666666666667</v>
      </c>
      <c r="BB309" s="327">
        <f t="shared" si="542"/>
        <v>36.69138051350911</v>
      </c>
      <c r="BC309" s="342">
        <f t="shared" si="542"/>
        <v>37.104731797582922</v>
      </c>
      <c r="BD309" s="150">
        <f t="shared" si="542"/>
        <v>31.217090858976206</v>
      </c>
      <c r="BE309" s="150">
        <f t="shared" si="542"/>
        <v>33.846064219263162</v>
      </c>
      <c r="BF309" s="343">
        <f t="shared" si="542"/>
        <v>36.098779790577716</v>
      </c>
      <c r="BG309" s="327">
        <f t="shared" si="542"/>
        <v>34.5666666666</v>
      </c>
      <c r="BH309" s="342">
        <f t="shared" si="542"/>
        <v>36.757952834841532</v>
      </c>
      <c r="BI309" s="150">
        <f>BI$63</f>
        <v>30.925337493207795</v>
      </c>
      <c r="BJ309" s="150">
        <f t="shared" si="542"/>
        <v>33.52974060030094</v>
      </c>
      <c r="BK309" s="343">
        <f t="shared" si="542"/>
        <v>35.761402404849747</v>
      </c>
      <c r="BL309" s="327">
        <f t="shared" si="542"/>
        <v>34.243608333300003</v>
      </c>
      <c r="BM309" s="342">
        <f t="shared" si="542"/>
        <v>36.037500000000009</v>
      </c>
      <c r="BN309" s="150">
        <f>BN$63</f>
        <v>36.037500000000009</v>
      </c>
      <c r="BO309" s="150">
        <f t="shared" si="542"/>
        <v>36.037500000000009</v>
      </c>
      <c r="BP309" s="343">
        <f t="shared" si="542"/>
        <v>36.037500000000009</v>
      </c>
      <c r="BQ309" s="327">
        <f t="shared" si="542"/>
        <v>36.037500000000009</v>
      </c>
      <c r="BR309" s="87"/>
      <c r="BS309" s="87"/>
      <c r="BT309" s="12"/>
      <c r="BU309" s="12"/>
      <c r="BV309" s="12"/>
      <c r="BW309" s="12"/>
      <c r="BX309" s="12"/>
      <c r="BY309" s="12"/>
      <c r="BZ309" s="12"/>
      <c r="CA309" s="12"/>
      <c r="CB309" s="12"/>
      <c r="CC309" s="12"/>
      <c r="CD309" s="12"/>
      <c r="CE309" s="12"/>
      <c r="CF309" s="12"/>
      <c r="CG309" s="91"/>
      <c r="CH309" s="91"/>
      <c r="CI309" s="91"/>
      <c r="CJ309" s="91"/>
      <c r="CK309" s="91"/>
      <c r="CL309" s="91"/>
      <c r="CM309" s="91"/>
      <c r="CN309" s="91"/>
      <c r="CO309" s="91"/>
      <c r="CP309" s="91"/>
      <c r="CQ309" s="91"/>
      <c r="CR309" s="1018"/>
      <c r="CS309" s="1018"/>
      <c r="CT309" s="821"/>
      <c r="CU309" s="12"/>
      <c r="CV309" s="12"/>
      <c r="CW309" s="12"/>
      <c r="CX309" s="12"/>
      <c r="CY309" s="12"/>
      <c r="CZ309" s="91"/>
      <c r="DA309" s="91"/>
      <c r="DB309" s="91"/>
      <c r="DC309" s="91"/>
      <c r="DD309" s="91"/>
      <c r="DE309" s="91"/>
      <c r="DF309" s="12"/>
      <c r="DG309" s="12"/>
      <c r="DH309" s="12"/>
      <c r="DI309" s="12"/>
      <c r="DJ309" s="12"/>
      <c r="DK309" s="12"/>
      <c r="DL309" s="12"/>
      <c r="DM309" s="12"/>
      <c r="DN309" s="12"/>
    </row>
    <row r="310" spans="1:118" ht="12.75" customHeight="1">
      <c r="A310" s="91"/>
      <c r="B310" s="89"/>
      <c r="C310" s="120" t="s">
        <v>584</v>
      </c>
      <c r="D310" s="89"/>
      <c r="E310" s="145"/>
      <c r="F310" s="146"/>
      <c r="G310" s="146"/>
      <c r="H310" s="147"/>
      <c r="I310" s="87"/>
      <c r="J310" s="145"/>
      <c r="K310" s="146"/>
      <c r="L310" s="146"/>
      <c r="M310" s="147"/>
      <c r="N310" s="89"/>
      <c r="O310" s="145"/>
      <c r="P310" s="146"/>
      <c r="Q310" s="146"/>
      <c r="R310" s="147"/>
      <c r="S310" s="89"/>
      <c r="T310" s="342"/>
      <c r="U310" s="150"/>
      <c r="V310" s="150"/>
      <c r="W310" s="343"/>
      <c r="X310" s="1067"/>
      <c r="Y310" s="342">
        <f>Y$64</f>
        <v>30.712843264895323</v>
      </c>
      <c r="Z310" s="150">
        <f t="shared" ref="Z310:BQ310" si="543">Z$64</f>
        <v>28.683858509157513</v>
      </c>
      <c r="AA310" s="150">
        <f t="shared" si="543"/>
        <v>26.28979776539855</v>
      </c>
      <c r="AB310" s="343">
        <f t="shared" si="543"/>
        <v>28.58454812028986</v>
      </c>
      <c r="AC310" s="327">
        <f t="shared" si="543"/>
        <v>28.567761914935311</v>
      </c>
      <c r="AD310" s="342">
        <f t="shared" si="543"/>
        <v>55.582024361513675</v>
      </c>
      <c r="AE310" s="150">
        <f t="shared" si="543"/>
        <v>30.848939755952369</v>
      </c>
      <c r="AF310" s="150">
        <f t="shared" si="543"/>
        <v>26.474229680253622</v>
      </c>
      <c r="AG310" s="343">
        <f t="shared" si="543"/>
        <v>30.106497532518123</v>
      </c>
      <c r="AH310" s="327">
        <f t="shared" si="543"/>
        <v>35.752922832559449</v>
      </c>
      <c r="AI310" s="342">
        <f t="shared" si="543"/>
        <v>33.672197658071667</v>
      </c>
      <c r="AJ310" s="150">
        <f t="shared" si="543"/>
        <v>24.408332260531143</v>
      </c>
      <c r="AK310" s="150">
        <f t="shared" si="543"/>
        <v>22.758183921195634</v>
      </c>
      <c r="AL310" s="343">
        <f t="shared" si="543"/>
        <v>22.005480128297094</v>
      </c>
      <c r="AM310" s="327">
        <f t="shared" si="543"/>
        <v>25.711048492023885</v>
      </c>
      <c r="AN310" s="342">
        <f t="shared" si="543"/>
        <v>21.940509499422674</v>
      </c>
      <c r="AO310" s="150">
        <f t="shared" si="543"/>
        <v>21.194626118131868</v>
      </c>
      <c r="AP310" s="150">
        <f t="shared" si="543"/>
        <v>22.397125852355067</v>
      </c>
      <c r="AQ310" s="343">
        <f t="shared" si="543"/>
        <v>25.119274915036236</v>
      </c>
      <c r="AR310" s="327">
        <f t="shared" si="543"/>
        <v>22.662884096236461</v>
      </c>
      <c r="AS310" s="342">
        <f t="shared" si="543"/>
        <v>22.558270758241754</v>
      </c>
      <c r="AT310" s="150">
        <f t="shared" si="543"/>
        <v>22.558270758241754</v>
      </c>
      <c r="AU310" s="150">
        <f t="shared" si="543"/>
        <v>22.753793536231882</v>
      </c>
      <c r="AV310" s="343">
        <f t="shared" si="543"/>
        <v>26.193597912862309</v>
      </c>
      <c r="AW310" s="327">
        <f t="shared" si="543"/>
        <v>23.515983241394423</v>
      </c>
      <c r="AX310" s="342">
        <f t="shared" si="543"/>
        <v>34.436698074516897</v>
      </c>
      <c r="AY310" s="150">
        <f t="shared" si="543"/>
        <v>25.55</v>
      </c>
      <c r="AZ310" s="150">
        <f t="shared" si="543"/>
        <v>25.216666666666669</v>
      </c>
      <c r="BA310" s="343">
        <f t="shared" si="543"/>
        <v>25.316666666666663</v>
      </c>
      <c r="BB310" s="327">
        <f t="shared" si="543"/>
        <v>27.630007851962556</v>
      </c>
      <c r="BC310" s="342">
        <f t="shared" si="543"/>
        <v>30.065523917280853</v>
      </c>
      <c r="BD310" s="150">
        <f t="shared" si="543"/>
        <v>21.597016408139442</v>
      </c>
      <c r="BE310" s="150">
        <f t="shared" si="543"/>
        <v>21.984059712944806</v>
      </c>
      <c r="BF310" s="343">
        <f t="shared" si="543"/>
        <v>28.678033294834901</v>
      </c>
      <c r="BG310" s="327">
        <f t="shared" si="543"/>
        <v>25.581158333300003</v>
      </c>
      <c r="BH310" s="342">
        <f t="shared" si="543"/>
        <v>29.607950419373289</v>
      </c>
      <c r="BI310" s="150">
        <f t="shared" si="543"/>
        <v>21.26832689754157</v>
      </c>
      <c r="BJ310" s="150">
        <f t="shared" si="543"/>
        <v>21.649479709325476</v>
      </c>
      <c r="BK310" s="343">
        <f t="shared" si="543"/>
        <v>28.241576306959672</v>
      </c>
      <c r="BL310" s="327">
        <f t="shared" si="543"/>
        <v>25.191833333300004</v>
      </c>
      <c r="BM310" s="342">
        <f t="shared" si="543"/>
        <v>24.652542559116636</v>
      </c>
      <c r="BN310" s="150">
        <f t="shared" si="543"/>
        <v>20.204139212869443</v>
      </c>
      <c r="BO310" s="150">
        <f t="shared" si="543"/>
        <v>20.298065443561722</v>
      </c>
      <c r="BP310" s="343">
        <f t="shared" si="543"/>
        <v>22.651445725230079</v>
      </c>
      <c r="BQ310" s="327">
        <f t="shared" si="543"/>
        <v>21.951548235194469</v>
      </c>
      <c r="BR310" s="87"/>
      <c r="BS310" s="87"/>
      <c r="BT310" s="12"/>
      <c r="BU310" s="91"/>
      <c r="BV310" s="91"/>
      <c r="BW310" s="91"/>
      <c r="BX310" s="91"/>
      <c r="BY310" s="91"/>
      <c r="BZ310" s="91"/>
      <c r="CA310" s="91"/>
      <c r="CB310" s="91"/>
      <c r="CC310" s="91"/>
      <c r="CD310" s="91"/>
      <c r="CE310" s="12"/>
      <c r="CF310" s="12"/>
      <c r="CG310" s="91"/>
      <c r="CH310" s="91"/>
      <c r="CI310" s="91"/>
      <c r="CJ310" s="91"/>
      <c r="CK310" s="91"/>
      <c r="CL310" s="91"/>
      <c r="CM310" s="91"/>
      <c r="CN310" s="91"/>
      <c r="CO310" s="91"/>
      <c r="CP310" s="91"/>
      <c r="CQ310" s="91"/>
      <c r="CR310" s="1018"/>
      <c r="CS310" s="1018"/>
      <c r="CT310" s="821"/>
      <c r="CU310" s="12"/>
      <c r="CV310" s="12"/>
      <c r="CW310" s="12"/>
      <c r="CX310" s="12"/>
      <c r="CY310" s="12"/>
      <c r="CZ310" s="91"/>
      <c r="DA310" s="91"/>
      <c r="DB310" s="91"/>
      <c r="DC310" s="91"/>
      <c r="DD310" s="91"/>
      <c r="DE310" s="91"/>
      <c r="DF310" s="12"/>
      <c r="DG310" s="12"/>
      <c r="DH310" s="12"/>
      <c r="DI310" s="12"/>
      <c r="DJ310" s="12"/>
      <c r="DK310" s="12"/>
      <c r="DL310" s="12"/>
      <c r="DM310" s="12"/>
      <c r="DN310" s="12"/>
    </row>
    <row r="311" spans="1:118" ht="12.75" customHeight="1">
      <c r="A311" s="91"/>
      <c r="B311" s="89"/>
      <c r="C311" s="1179" t="s">
        <v>573</v>
      </c>
      <c r="D311" s="89"/>
      <c r="E311" s="145"/>
      <c r="F311" s="146"/>
      <c r="G311" s="146"/>
      <c r="H311" s="147"/>
      <c r="I311" s="1070">
        <v>10500</v>
      </c>
      <c r="J311" s="145"/>
      <c r="K311" s="146"/>
      <c r="L311" s="146"/>
      <c r="M311" s="147"/>
      <c r="N311" s="89"/>
      <c r="O311" s="145"/>
      <c r="P311" s="146"/>
      <c r="Q311" s="146"/>
      <c r="R311" s="147"/>
      <c r="S311" s="89"/>
      <c r="T311" s="342"/>
      <c r="U311" s="150"/>
      <c r="V311" s="150"/>
      <c r="W311" s="343"/>
      <c r="X311" s="327"/>
      <c r="Y311" s="342">
        <f>Y$306/24*$I311/1000</f>
        <v>31.886850961538464</v>
      </c>
      <c r="Z311" s="150">
        <f t="shared" ref="Z311:BB311" si="544">Z$306/24*$I311/1000</f>
        <v>32.057610576923075</v>
      </c>
      <c r="AA311" s="150">
        <f t="shared" si="544"/>
        <v>30.907288461538453</v>
      </c>
      <c r="AB311" s="343">
        <f t="shared" si="544"/>
        <v>30.318649038461533</v>
      </c>
      <c r="AC311" s="327">
        <f>AC$306/24*$I311/1000</f>
        <v>31.292599759615381</v>
      </c>
      <c r="AD311" s="342">
        <f t="shared" si="544"/>
        <v>30.917283653846155</v>
      </c>
      <c r="AE311" s="150">
        <f t="shared" si="544"/>
        <v>29.672427884615395</v>
      </c>
      <c r="AF311" s="150">
        <f t="shared" si="544"/>
        <v>28.349899038461544</v>
      </c>
      <c r="AG311" s="343">
        <f t="shared" si="544"/>
        <v>27.846403846153848</v>
      </c>
      <c r="AH311" s="327">
        <f>AH$306/24*$I311/1000</f>
        <v>29.196503605769234</v>
      </c>
      <c r="AI311" s="342">
        <f t="shared" si="544"/>
        <v>26.828240384615381</v>
      </c>
      <c r="AJ311" s="150">
        <f t="shared" si="544"/>
        <v>26.568331730769238</v>
      </c>
      <c r="AK311" s="150">
        <f t="shared" si="544"/>
        <v>25.75360576923077</v>
      </c>
      <c r="AL311" s="343">
        <f t="shared" si="544"/>
        <v>23.978365384615387</v>
      </c>
      <c r="AM311" s="327">
        <f>AM$306/24*$I311/1000</f>
        <v>25.782135817307694</v>
      </c>
      <c r="AN311" s="342">
        <f t="shared" si="544"/>
        <v>22.365336538461534</v>
      </c>
      <c r="AO311" s="150">
        <f t="shared" si="544"/>
        <v>21.871129807692309</v>
      </c>
      <c r="AP311" s="150">
        <f t="shared" si="544"/>
        <v>21.743750000000002</v>
      </c>
      <c r="AQ311" s="343">
        <f>AQ$306/24*$I311/1000</f>
        <v>23.336754807692309</v>
      </c>
      <c r="AR311" s="327">
        <f t="shared" si="544"/>
        <v>22.329242788461539</v>
      </c>
      <c r="AS311" s="342">
        <f t="shared" si="544"/>
        <v>26.414129807692305</v>
      </c>
      <c r="AT311" s="150">
        <f t="shared" si="544"/>
        <v>26.414129807692305</v>
      </c>
      <c r="AU311" s="150">
        <f t="shared" si="544"/>
        <v>26.618038461538465</v>
      </c>
      <c r="AV311" s="343">
        <f t="shared" si="544"/>
        <v>28.712115384615394</v>
      </c>
      <c r="AW311" s="327">
        <f t="shared" si="544"/>
        <v>27.039603365384622</v>
      </c>
      <c r="AX311" s="342">
        <f t="shared" si="544"/>
        <v>29.747644230769232</v>
      </c>
      <c r="AY311" s="150">
        <f t="shared" si="544"/>
        <v>25.024999999999999</v>
      </c>
      <c r="AZ311" s="150">
        <f t="shared" si="544"/>
        <v>25.040312499999999</v>
      </c>
      <c r="BA311" s="343">
        <f t="shared" si="544"/>
        <v>25.053437500000001</v>
      </c>
      <c r="BB311" s="327">
        <f t="shared" si="544"/>
        <v>26.216598557692308</v>
      </c>
      <c r="BC311" s="342">
        <f>BC$306/24*$I311/1000</f>
        <v>24.723878788204519</v>
      </c>
      <c r="BD311" s="150">
        <f>BD$306/24*$I311/1000</f>
        <v>24.723878788204519</v>
      </c>
      <c r="BE311" s="150">
        <f>BE$306/24*$I311/1000</f>
        <v>24.723878788204519</v>
      </c>
      <c r="BF311" s="343">
        <f>BF$306/24*$I311/1000</f>
        <v>27.617113635386453</v>
      </c>
      <c r="BG311" s="327">
        <f>BG$306/24*$I311/1000</f>
        <v>25.447187500000005</v>
      </c>
      <c r="BH311" s="342">
        <f t="shared" ref="BH311:BQ311" si="545">BH$306/24*$I311/1000+BH95</f>
        <v>24.723878788204519</v>
      </c>
      <c r="BI311" s="150">
        <f t="shared" si="545"/>
        <v>24.723878788204519</v>
      </c>
      <c r="BJ311" s="150">
        <f t="shared" si="545"/>
        <v>24.723878788204519</v>
      </c>
      <c r="BK311" s="343">
        <f t="shared" si="545"/>
        <v>27.617113635386453</v>
      </c>
      <c r="BL311" s="327">
        <f t="shared" si="545"/>
        <v>25.447187500000005</v>
      </c>
      <c r="BM311" s="342">
        <f t="shared" si="545"/>
        <v>24.723878788204519</v>
      </c>
      <c r="BN311" s="150">
        <f t="shared" si="545"/>
        <v>24.723878788204519</v>
      </c>
      <c r="BO311" s="150">
        <f t="shared" si="545"/>
        <v>24.723878788204519</v>
      </c>
      <c r="BP311" s="343">
        <f t="shared" si="545"/>
        <v>27.617113635386453</v>
      </c>
      <c r="BQ311" s="327">
        <f t="shared" si="545"/>
        <v>25.447187500000005</v>
      </c>
      <c r="BR311" s="87"/>
      <c r="BS311" s="87"/>
      <c r="BT311" s="12"/>
      <c r="BU311" s="91"/>
      <c r="BV311" s="91"/>
      <c r="BW311" s="91"/>
      <c r="BX311" s="91"/>
      <c r="BY311" s="91"/>
      <c r="BZ311" s="91"/>
      <c r="CA311" s="91"/>
      <c r="CB311" s="91"/>
      <c r="CC311" s="91"/>
      <c r="CD311" s="91"/>
      <c r="CE311" s="91"/>
      <c r="CF311" s="91"/>
      <c r="CG311" s="91"/>
      <c r="CH311" s="91"/>
      <c r="CI311" s="91"/>
      <c r="CJ311" s="91"/>
      <c r="CK311" s="91"/>
      <c r="CL311" s="91"/>
      <c r="CM311" s="91"/>
      <c r="CN311" s="91"/>
      <c r="CO311" s="91"/>
      <c r="CP311" s="91"/>
      <c r="CQ311" s="91"/>
      <c r="CR311" s="1018"/>
      <c r="CS311" s="1018"/>
      <c r="CT311" s="821"/>
      <c r="CU311" s="12"/>
      <c r="CV311" s="12"/>
      <c r="CW311" s="12"/>
      <c r="CX311" s="12"/>
      <c r="CY311" s="12"/>
      <c r="CZ311" s="91"/>
      <c r="DA311" s="91"/>
      <c r="DB311" s="91"/>
      <c r="DC311" s="91"/>
      <c r="DD311" s="91"/>
      <c r="DE311" s="91"/>
      <c r="DF311" s="12"/>
      <c r="DG311" s="12"/>
      <c r="DH311" s="12"/>
      <c r="DI311" s="12"/>
      <c r="DJ311" s="12"/>
      <c r="DK311" s="12"/>
      <c r="DL311" s="12"/>
      <c r="DM311" s="12"/>
      <c r="DN311" s="12"/>
    </row>
    <row r="312" spans="1:118" ht="12.75" customHeight="1">
      <c r="A312" s="91"/>
      <c r="B312" s="89"/>
      <c r="C312" s="1184"/>
      <c r="D312" s="89"/>
      <c r="E312" s="145"/>
      <c r="F312" s="146"/>
      <c r="G312" s="146"/>
      <c r="H312" s="147"/>
      <c r="I312" s="87"/>
      <c r="J312" s="145"/>
      <c r="K312" s="146"/>
      <c r="L312" s="146"/>
      <c r="M312" s="147"/>
      <c r="N312" s="89"/>
      <c r="O312" s="145"/>
      <c r="P312" s="146"/>
      <c r="Q312" s="146"/>
      <c r="R312" s="147"/>
      <c r="S312" s="89"/>
      <c r="T312" s="145"/>
      <c r="U312" s="146"/>
      <c r="V312" s="146"/>
      <c r="W312" s="147"/>
      <c r="X312" s="89"/>
      <c r="Y312" s="145"/>
      <c r="Z312" s="146"/>
      <c r="AA312" s="146"/>
      <c r="AB312" s="147"/>
      <c r="AC312" s="89"/>
      <c r="AD312" s="145"/>
      <c r="AE312" s="146"/>
      <c r="AF312" s="146"/>
      <c r="AG312" s="147"/>
      <c r="AH312" s="89"/>
      <c r="AI312" s="145"/>
      <c r="AJ312" s="146"/>
      <c r="AK312" s="146"/>
      <c r="AL312" s="147"/>
      <c r="AM312" s="89"/>
      <c r="AN312" s="145"/>
      <c r="AO312" s="146"/>
      <c r="AP312" s="146"/>
      <c r="AQ312" s="147"/>
      <c r="AR312" s="89"/>
      <c r="AS312" s="145"/>
      <c r="AT312" s="146"/>
      <c r="AU312" s="146"/>
      <c r="AV312" s="147"/>
      <c r="AW312" s="89"/>
      <c r="AX312" s="145"/>
      <c r="AY312" s="146"/>
      <c r="AZ312" s="146"/>
      <c r="BA312" s="147"/>
      <c r="BB312" s="89"/>
      <c r="BC312" s="145"/>
      <c r="BD312" s="146"/>
      <c r="BE312" s="146"/>
      <c r="BF312" s="147"/>
      <c r="BG312" s="89"/>
      <c r="BH312" s="145"/>
      <c r="BI312" s="146"/>
      <c r="BJ312" s="146"/>
      <c r="BK312" s="147"/>
      <c r="BL312" s="89"/>
      <c r="BM312" s="145"/>
      <c r="BN312" s="146"/>
      <c r="BO312" s="146"/>
      <c r="BP312" s="147"/>
      <c r="BQ312" s="89"/>
      <c r="BR312" s="87"/>
      <c r="BS312" s="87"/>
      <c r="BT312" s="12"/>
      <c r="BU312" s="91"/>
      <c r="BV312" s="91"/>
      <c r="BW312" s="91"/>
      <c r="BX312" s="91"/>
      <c r="BY312" s="91"/>
      <c r="BZ312" s="91"/>
      <c r="CA312" s="91"/>
      <c r="CB312" s="91"/>
      <c r="CC312" s="91"/>
      <c r="CD312" s="91"/>
      <c r="CE312" s="91"/>
      <c r="CF312" s="91"/>
      <c r="CG312" s="91"/>
      <c r="CH312" s="91"/>
      <c r="CI312" s="91"/>
      <c r="CJ312" s="91"/>
      <c r="CK312" s="91"/>
      <c r="CL312" s="91"/>
      <c r="CM312" s="91"/>
      <c r="CN312" s="91"/>
      <c r="CO312" s="91"/>
      <c r="CP312" s="91"/>
      <c r="CQ312" s="91"/>
      <c r="CR312" s="1018"/>
      <c r="CS312" s="1018"/>
      <c r="CT312" s="821"/>
      <c r="CU312" s="12"/>
      <c r="CV312" s="12"/>
      <c r="CW312" s="12"/>
      <c r="CX312" s="12"/>
      <c r="CY312" s="12"/>
      <c r="CZ312" s="91"/>
      <c r="DA312" s="91"/>
      <c r="DB312" s="91"/>
      <c r="DC312" s="91"/>
      <c r="DD312" s="91"/>
      <c r="DE312" s="91"/>
      <c r="DF312" s="12"/>
      <c r="DG312" s="12"/>
      <c r="DH312" s="12"/>
      <c r="DI312" s="12"/>
      <c r="DJ312" s="12"/>
      <c r="DK312" s="12"/>
      <c r="DL312" s="12"/>
      <c r="DM312" s="12"/>
      <c r="DN312" s="12"/>
    </row>
    <row r="313" spans="1:118" ht="12.75" customHeight="1">
      <c r="A313" s="91"/>
      <c r="B313" s="88"/>
      <c r="C313" s="1186" t="s">
        <v>574</v>
      </c>
      <c r="D313" s="88"/>
      <c r="E313" s="214"/>
      <c r="F313" s="148"/>
      <c r="G313" s="148"/>
      <c r="H313" s="215"/>
      <c r="I313" s="88"/>
      <c r="J313" s="214"/>
      <c r="K313" s="148"/>
      <c r="L313" s="148"/>
      <c r="M313" s="215"/>
      <c r="N313" s="88"/>
      <c r="O313" s="106"/>
      <c r="P313" s="76"/>
      <c r="Q313" s="76"/>
      <c r="R313" s="107"/>
      <c r="S313" s="93"/>
      <c r="T313" s="106"/>
      <c r="U313" s="76"/>
      <c r="V313" s="76"/>
      <c r="W313" s="107"/>
      <c r="X313" s="93"/>
      <c r="Y313" s="106">
        <f t="shared" ref="Y313:AR313" si="546">+Y506</f>
        <v>5731</v>
      </c>
      <c r="Z313" s="76">
        <f t="shared" si="546"/>
        <v>5731</v>
      </c>
      <c r="AA313" s="76">
        <f t="shared" si="546"/>
        <v>5731</v>
      </c>
      <c r="AB313" s="107">
        <f t="shared" si="546"/>
        <v>5731</v>
      </c>
      <c r="AC313" s="93">
        <f t="shared" si="546"/>
        <v>5731</v>
      </c>
      <c r="AD313" s="106">
        <f t="shared" si="546"/>
        <v>4846</v>
      </c>
      <c r="AE313" s="76">
        <f t="shared" si="546"/>
        <v>4846</v>
      </c>
      <c r="AF313" s="76">
        <f t="shared" si="546"/>
        <v>4846</v>
      </c>
      <c r="AG313" s="107">
        <f t="shared" si="546"/>
        <v>4846</v>
      </c>
      <c r="AH313" s="93">
        <f t="shared" si="546"/>
        <v>4846</v>
      </c>
      <c r="AI313" s="106">
        <f t="shared" si="546"/>
        <v>4846</v>
      </c>
      <c r="AJ313" s="76">
        <f t="shared" si="546"/>
        <v>4846</v>
      </c>
      <c r="AK313" s="76">
        <f t="shared" si="546"/>
        <v>4846</v>
      </c>
      <c r="AL313" s="107">
        <f t="shared" si="546"/>
        <v>4846</v>
      </c>
      <c r="AM313" s="93">
        <f t="shared" si="546"/>
        <v>4846</v>
      </c>
      <c r="AN313" s="106">
        <f t="shared" si="546"/>
        <v>4846</v>
      </c>
      <c r="AO313" s="76">
        <f t="shared" si="546"/>
        <v>4846</v>
      </c>
      <c r="AP313" s="76">
        <f t="shared" ref="AP313" si="547">+AP506</f>
        <v>4846</v>
      </c>
      <c r="AQ313" s="107">
        <f t="shared" si="546"/>
        <v>4846</v>
      </c>
      <c r="AR313" s="93">
        <f t="shared" si="546"/>
        <v>4846</v>
      </c>
      <c r="AS313" s="106">
        <f t="shared" ref="AS313" si="548">+AS506</f>
        <v>4846</v>
      </c>
      <c r="AT313" s="76">
        <f t="shared" ref="AT313:BB313" si="549">+AT506</f>
        <v>4846</v>
      </c>
      <c r="AU313" s="76">
        <f t="shared" ref="AU313" si="550">+AU506</f>
        <v>4846</v>
      </c>
      <c r="AV313" s="107">
        <f t="shared" si="549"/>
        <v>4846</v>
      </c>
      <c r="AW313" s="93">
        <f t="shared" si="549"/>
        <v>4846</v>
      </c>
      <c r="AX313" s="106">
        <f t="shared" si="549"/>
        <v>4846</v>
      </c>
      <c r="AY313" s="76">
        <f t="shared" si="549"/>
        <v>4846</v>
      </c>
      <c r="AZ313" s="76">
        <f t="shared" si="549"/>
        <v>4846</v>
      </c>
      <c r="BA313" s="107">
        <f t="shared" si="549"/>
        <v>4846</v>
      </c>
      <c r="BB313" s="93">
        <f t="shared" si="549"/>
        <v>4846</v>
      </c>
      <c r="BC313" s="106">
        <f t="shared" ref="BC313:BL313" si="551">+BC506</f>
        <v>4846</v>
      </c>
      <c r="BD313" s="76">
        <f t="shared" si="551"/>
        <v>4846</v>
      </c>
      <c r="BE313" s="76">
        <f t="shared" si="551"/>
        <v>4846</v>
      </c>
      <c r="BF313" s="107">
        <f t="shared" si="551"/>
        <v>4846</v>
      </c>
      <c r="BG313" s="93">
        <f t="shared" si="551"/>
        <v>4846</v>
      </c>
      <c r="BH313" s="106">
        <f t="shared" si="551"/>
        <v>4846</v>
      </c>
      <c r="BI313" s="76">
        <f t="shared" si="551"/>
        <v>4846</v>
      </c>
      <c r="BJ313" s="76">
        <f t="shared" si="551"/>
        <v>4846</v>
      </c>
      <c r="BK313" s="107">
        <f t="shared" si="551"/>
        <v>4846</v>
      </c>
      <c r="BL313" s="93">
        <f t="shared" si="551"/>
        <v>4846</v>
      </c>
      <c r="BM313" s="106">
        <f t="shared" ref="BM313:BQ313" si="552">+BM506</f>
        <v>4846</v>
      </c>
      <c r="BN313" s="76">
        <f t="shared" si="552"/>
        <v>4846</v>
      </c>
      <c r="BO313" s="76">
        <f t="shared" si="552"/>
        <v>4846</v>
      </c>
      <c r="BP313" s="107">
        <f t="shared" si="552"/>
        <v>4846</v>
      </c>
      <c r="BQ313" s="93">
        <f t="shared" si="552"/>
        <v>4846</v>
      </c>
      <c r="BR313" s="87"/>
      <c r="BS313" s="87"/>
      <c r="BT313" s="12"/>
      <c r="BU313" s="91"/>
      <c r="BV313" s="91"/>
      <c r="BW313" s="91"/>
      <c r="BX313" s="91"/>
      <c r="BY313" s="91"/>
      <c r="BZ313" s="91"/>
      <c r="CA313" s="91"/>
      <c r="CB313" s="91"/>
      <c r="CC313" s="91"/>
      <c r="CD313" s="91"/>
      <c r="CE313" s="91"/>
      <c r="CF313" s="91"/>
      <c r="CG313" s="91"/>
      <c r="CH313" s="91"/>
      <c r="CI313" s="91"/>
      <c r="CJ313" s="91"/>
      <c r="CK313" s="91"/>
      <c r="CL313" s="91"/>
      <c r="CM313" s="91"/>
      <c r="CN313" s="91"/>
      <c r="CO313" s="91"/>
      <c r="CP313" s="91"/>
      <c r="CQ313" s="91"/>
      <c r="CR313" s="1018"/>
      <c r="CS313" s="1018"/>
      <c r="CT313" s="821"/>
      <c r="CU313" s="12"/>
      <c r="CV313" s="12"/>
      <c r="CW313" s="12"/>
      <c r="CX313" s="12"/>
      <c r="CY313" s="12"/>
      <c r="CZ313" s="91"/>
      <c r="DA313" s="91"/>
      <c r="DB313" s="91"/>
      <c r="DC313" s="91"/>
      <c r="DD313" s="91"/>
      <c r="DE313" s="91"/>
      <c r="DF313" s="12"/>
      <c r="DG313" s="12"/>
      <c r="DH313" s="12"/>
      <c r="DI313" s="12"/>
      <c r="DJ313" s="12"/>
      <c r="DK313" s="12"/>
      <c r="DL313" s="12"/>
      <c r="DM313" s="12"/>
      <c r="DN313" s="12"/>
    </row>
    <row r="314" spans="1:118" ht="12.75" customHeight="1">
      <c r="A314" s="91"/>
      <c r="B314" s="89"/>
      <c r="C314" s="1184"/>
      <c r="D314" s="89"/>
      <c r="E314" s="145"/>
      <c r="F314" s="146"/>
      <c r="G314" s="146"/>
      <c r="H314" s="147"/>
      <c r="I314" s="87"/>
      <c r="J314" s="145"/>
      <c r="K314" s="146"/>
      <c r="L314" s="146"/>
      <c r="M314" s="147"/>
      <c r="N314" s="89"/>
      <c r="O314" s="145"/>
      <c r="P314" s="146"/>
      <c r="Q314" s="146"/>
      <c r="R314" s="147"/>
      <c r="S314" s="89"/>
      <c r="T314" s="145"/>
      <c r="U314" s="146"/>
      <c r="V314" s="146"/>
      <c r="W314" s="147"/>
      <c r="X314" s="89"/>
      <c r="Y314" s="145"/>
      <c r="Z314" s="146"/>
      <c r="AA314" s="146"/>
      <c r="AB314" s="147"/>
      <c r="AC314" s="89"/>
      <c r="AD314" s="145"/>
      <c r="AE314" s="146"/>
      <c r="AF314" s="146"/>
      <c r="AG314" s="147"/>
      <c r="AH314" s="89"/>
      <c r="AI314" s="145"/>
      <c r="AJ314" s="146"/>
      <c r="AK314" s="146"/>
      <c r="AL314" s="147"/>
      <c r="AM314" s="89"/>
      <c r="AN314" s="145"/>
      <c r="AO314" s="146"/>
      <c r="AP314" s="146"/>
      <c r="AQ314" s="147"/>
      <c r="AR314" s="89"/>
      <c r="AS314" s="145"/>
      <c r="AT314" s="146"/>
      <c r="AU314" s="146"/>
      <c r="AV314" s="147"/>
      <c r="AW314" s="89"/>
      <c r="AX314" s="145"/>
      <c r="AY314" s="146"/>
      <c r="AZ314" s="146"/>
      <c r="BA314" s="147"/>
      <c r="BB314" s="89"/>
      <c r="BC314" s="145"/>
      <c r="BD314" s="146"/>
      <c r="BE314" s="146"/>
      <c r="BF314" s="147"/>
      <c r="BG314" s="89"/>
      <c r="BH314" s="145"/>
      <c r="BI314" s="146"/>
      <c r="BJ314" s="146"/>
      <c r="BK314" s="147"/>
      <c r="BL314" s="89"/>
      <c r="BM314" s="145"/>
      <c r="BN314" s="146"/>
      <c r="BO314" s="146"/>
      <c r="BP314" s="147"/>
      <c r="BQ314" s="89"/>
      <c r="BR314" s="87"/>
      <c r="BS314" s="87"/>
      <c r="BT314" s="92"/>
      <c r="BU314" s="92"/>
      <c r="BV314" s="92"/>
      <c r="BW314" s="92"/>
      <c r="BX314" s="92"/>
      <c r="BY314" s="92"/>
      <c r="BZ314" s="92"/>
      <c r="CA314" s="92"/>
      <c r="CB314" s="92"/>
      <c r="CC314" s="92"/>
      <c r="CD314" s="92"/>
      <c r="CE314" s="91"/>
      <c r="CF314" s="91"/>
      <c r="CG314" s="91"/>
      <c r="CH314" s="91"/>
      <c r="CI314" s="91"/>
      <c r="CJ314" s="91"/>
      <c r="CK314" s="91"/>
      <c r="CL314" s="91"/>
      <c r="CM314" s="91"/>
      <c r="CN314" s="91"/>
      <c r="CO314" s="91"/>
      <c r="CP314" s="91"/>
      <c r="CQ314" s="91"/>
      <c r="CR314" s="1018"/>
      <c r="CS314" s="1018"/>
      <c r="CT314" s="821"/>
      <c r="CU314" s="12"/>
      <c r="CV314" s="12"/>
      <c r="CW314" s="12"/>
      <c r="CX314" s="12"/>
      <c r="CY314" s="12"/>
      <c r="CZ314" s="91"/>
      <c r="DA314" s="91"/>
      <c r="DB314" s="91"/>
      <c r="DC314" s="91"/>
      <c r="DD314" s="91"/>
      <c r="DE314" s="91"/>
      <c r="DF314" s="12"/>
      <c r="DG314" s="12"/>
      <c r="DH314" s="12"/>
      <c r="DI314" s="12"/>
      <c r="DJ314" s="12"/>
      <c r="DK314" s="12"/>
      <c r="DL314" s="12"/>
      <c r="DM314" s="12"/>
      <c r="DN314" s="12"/>
    </row>
    <row r="315" spans="1:118" s="92" customFormat="1" ht="12.75" customHeight="1">
      <c r="A315" s="1313"/>
      <c r="B315" s="1313"/>
      <c r="C315" s="120" t="s">
        <v>581</v>
      </c>
      <c r="D315" s="1398"/>
      <c r="E315" s="145"/>
      <c r="F315" s="146"/>
      <c r="G315" s="146"/>
      <c r="H315" s="147"/>
      <c r="I315" s="1057">
        <v>0.4</v>
      </c>
      <c r="J315" s="145"/>
      <c r="K315" s="146"/>
      <c r="L315" s="146"/>
      <c r="M315" s="147"/>
      <c r="N315" s="89"/>
      <c r="O315" s="145"/>
      <c r="P315" s="146"/>
      <c r="Q315" s="146"/>
      <c r="R315" s="147"/>
      <c r="S315" s="89"/>
      <c r="T315" s="833"/>
      <c r="U315" s="834"/>
      <c r="V315" s="834"/>
      <c r="W315" s="835"/>
      <c r="X315" s="826"/>
      <c r="Y315" s="833">
        <f>IF(Y309&gt;Y311,$I315,0%)</f>
        <v>0.4</v>
      </c>
      <c r="Z315" s="834">
        <f>IF(Z309&gt;Z311,$I315,0%)</f>
        <v>0.4</v>
      </c>
      <c r="AA315" s="834">
        <f>IF(AA309&gt;AA311,$I315,0%)</f>
        <v>0.4</v>
      </c>
      <c r="AB315" s="835">
        <f>IF(AB309&gt;AB311,$I315,0%)</f>
        <v>0.4</v>
      </c>
      <c r="AC315" s="826">
        <f>AVERAGE(Y315:AB315)</f>
        <v>0.4</v>
      </c>
      <c r="AD315" s="1600">
        <v>0.4</v>
      </c>
      <c r="AE315" s="834">
        <f>IF(AE309&gt;AE311,$I315,0%)</f>
        <v>0.4</v>
      </c>
      <c r="AF315" s="834">
        <f>IF(AF309&gt;AF311,$I315,0%)</f>
        <v>0.4</v>
      </c>
      <c r="AG315" s="835">
        <f>IF(AG309&gt;AG311,$I315,0%)</f>
        <v>0.4</v>
      </c>
      <c r="AH315" s="826">
        <f>AVERAGE(AD315:AG315)</f>
        <v>0.4</v>
      </c>
      <c r="AI315" s="833">
        <f>IF(AI309&gt;AI311,$I315,0%)</f>
        <v>0.4</v>
      </c>
      <c r="AJ315" s="834">
        <f>IF(AJ309&gt;AJ311,$I315,0%)</f>
        <v>0.4</v>
      </c>
      <c r="AK315" s="834">
        <f>IF(AK309&gt;AK311,$I315,0%)</f>
        <v>0.4</v>
      </c>
      <c r="AL315" s="835">
        <f>IF(AL309&gt;AL311,$I315,0%)</f>
        <v>0.4</v>
      </c>
      <c r="AM315" s="826">
        <f>AVERAGE(AI315:AL315)</f>
        <v>0.4</v>
      </c>
      <c r="AN315" s="833">
        <f>IF(AN309&gt;AN311,$I315,0%)</f>
        <v>0.4</v>
      </c>
      <c r="AO315" s="834">
        <f>IF(AO309&gt;AO311,$I315,0%)</f>
        <v>0.4</v>
      </c>
      <c r="AP315" s="834">
        <f>IF(AP309&gt;AP311,$I315,0%)</f>
        <v>0.4</v>
      </c>
      <c r="AQ315" s="835">
        <f>IF(AQ309&gt;AQ311,$I315,0%)</f>
        <v>0.4</v>
      </c>
      <c r="AR315" s="826">
        <f>AVERAGE(AN315:AQ315)</f>
        <v>0.4</v>
      </c>
      <c r="AS315" s="833">
        <f>IF(AS309&gt;AS311,$I315,0%)</f>
        <v>0.4</v>
      </c>
      <c r="AT315" s="834">
        <f>IF(AT309&gt;AT311,$I315,0%)</f>
        <v>0.4</v>
      </c>
      <c r="AU315" s="834">
        <f>IF(AU309&gt;AU311,$I315,0%)</f>
        <v>0.4</v>
      </c>
      <c r="AV315" s="835">
        <f>IF(AV309&gt;AV311,$I315,0%)</f>
        <v>0.4</v>
      </c>
      <c r="AW315" s="826">
        <f>AVERAGE(AS315:AV315)</f>
        <v>0.4</v>
      </c>
      <c r="AX315" s="833">
        <f>IF(AX309&gt;AX311,$I315,0%)</f>
        <v>0.4</v>
      </c>
      <c r="AY315" s="834">
        <f>IF(AY309&gt;AY311,$I315,0%)</f>
        <v>0.4</v>
      </c>
      <c r="AZ315" s="834">
        <f>IF(AZ309&gt;AZ311,$I315,0%)</f>
        <v>0.4</v>
      </c>
      <c r="BA315" s="835">
        <f>IF(BA309&gt;BA311,$I315,0%)</f>
        <v>0.4</v>
      </c>
      <c r="BB315" s="826">
        <f>AVERAGE(AX315:BA315)</f>
        <v>0.4</v>
      </c>
      <c r="BC315" s="833">
        <f>IF(BC309&gt;BC311,$I315,0%)</f>
        <v>0.4</v>
      </c>
      <c r="BD315" s="834">
        <f>IF(BD309&gt;BD311,$I315,0%)</f>
        <v>0.4</v>
      </c>
      <c r="BE315" s="834">
        <f>IF(BE309&gt;BE311,$I315,0%)</f>
        <v>0.4</v>
      </c>
      <c r="BF315" s="835">
        <f>IF(BF309&gt;BF311,$I315,0%)</f>
        <v>0.4</v>
      </c>
      <c r="BG315" s="826">
        <f>AVERAGE(BC315:BF315)</f>
        <v>0.4</v>
      </c>
      <c r="BH315" s="833">
        <f>IF(BH309&gt;BH311,$I315,0%)</f>
        <v>0.4</v>
      </c>
      <c r="BI315" s="834">
        <f>IF(BI309&gt;BI311,$I315,0%)</f>
        <v>0.4</v>
      </c>
      <c r="BJ315" s="834">
        <f>IF(BJ309&gt;BJ311,$I315,0%)</f>
        <v>0.4</v>
      </c>
      <c r="BK315" s="835">
        <f>IF(BK309&gt;BK311,$I315,0%)</f>
        <v>0.4</v>
      </c>
      <c r="BL315" s="826">
        <f>AVERAGE(BH315:BK315)</f>
        <v>0.4</v>
      </c>
      <c r="BM315" s="833">
        <f>IF(BM309&gt;BM311,$I315,0%)</f>
        <v>0.4</v>
      </c>
      <c r="BN315" s="834">
        <f>IF(BN309&gt;BN311,$I315,0%)</f>
        <v>0.4</v>
      </c>
      <c r="BO315" s="834">
        <f>IF(BO309&gt;BO311,$I315,0%)</f>
        <v>0.4</v>
      </c>
      <c r="BP315" s="835">
        <f>IF(BP309&gt;BP311,$I315,0%)</f>
        <v>0.4</v>
      </c>
      <c r="BQ315" s="826">
        <f>AVERAGE(BM315:BP315)</f>
        <v>0.4</v>
      </c>
      <c r="BR315" s="89"/>
    </row>
    <row r="316" spans="1:118" s="92" customFormat="1" ht="12.75" customHeight="1">
      <c r="A316" s="1313"/>
      <c r="B316" s="1313"/>
      <c r="C316" s="120" t="s">
        <v>585</v>
      </c>
      <c r="D316" s="1399"/>
      <c r="E316" s="214"/>
      <c r="F316" s="148"/>
      <c r="G316" s="148"/>
      <c r="H316" s="215"/>
      <c r="I316" s="88"/>
      <c r="J316" s="214"/>
      <c r="K316" s="148"/>
      <c r="L316" s="148"/>
      <c r="M316" s="215"/>
      <c r="N316" s="88"/>
      <c r="O316" s="214"/>
      <c r="P316" s="148"/>
      <c r="Q316" s="148"/>
      <c r="R316" s="215"/>
      <c r="S316" s="93"/>
      <c r="T316" s="1073"/>
      <c r="U316" s="1074"/>
      <c r="V316" s="1074"/>
      <c r="W316" s="1075"/>
      <c r="X316" s="258"/>
      <c r="Y316" s="1073">
        <f>(Y313*Y315*(8760/1000))/4</f>
        <v>5020.3559999999998</v>
      </c>
      <c r="Z316" s="1074">
        <f>(Z313*Z315*(8760/1000))/4</f>
        <v>5020.3559999999998</v>
      </c>
      <c r="AA316" s="1074">
        <f>(AA313*AA315*(8760/1000))/4</f>
        <v>5020.3559999999998</v>
      </c>
      <c r="AB316" s="1075">
        <f>(AB313*AB315*(8760/1000))/4</f>
        <v>5020.3559999999998</v>
      </c>
      <c r="AC316" s="258">
        <f>SUM(Y316:AB316)</f>
        <v>20081.423999999999</v>
      </c>
      <c r="AD316" s="1073">
        <f>(AD313*AD315*(8760/1000))/4</f>
        <v>4245.0960000000005</v>
      </c>
      <c r="AE316" s="1074">
        <f>(AE313*AE315*(8760/1000))/4</f>
        <v>4245.0960000000005</v>
      </c>
      <c r="AF316" s="1074">
        <f>(AF313*AF315*(8760/1000))/4</f>
        <v>4245.0960000000005</v>
      </c>
      <c r="AG316" s="1075">
        <f>(AG313*AG315*(8760/1000))/4</f>
        <v>4245.0960000000005</v>
      </c>
      <c r="AH316" s="258">
        <f>SUM(AD316:AG316)</f>
        <v>16980.384000000002</v>
      </c>
      <c r="AI316" s="1073">
        <f>(AI313*AI315*(8760/1000))/4</f>
        <v>4245.0960000000005</v>
      </c>
      <c r="AJ316" s="1074">
        <f>(AJ313*AJ315*(8760/1000))/4</f>
        <v>4245.0960000000005</v>
      </c>
      <c r="AK316" s="1074">
        <f>(AK313*AK315*(8760/1000))/4</f>
        <v>4245.0960000000005</v>
      </c>
      <c r="AL316" s="1075">
        <f>(AL313*AL315*(8760/1000))/4</f>
        <v>4245.0960000000005</v>
      </c>
      <c r="AM316" s="258">
        <f>SUM(AI316:AL316)</f>
        <v>16980.384000000002</v>
      </c>
      <c r="AN316" s="1073">
        <f>(AN313*AN315*(8760/1000))/4</f>
        <v>4245.0960000000005</v>
      </c>
      <c r="AO316" s="1074">
        <f>(AO313*AO315*(8760/1000))/4</f>
        <v>4245.0960000000005</v>
      </c>
      <c r="AP316" s="1074">
        <f>(AP313*AP315*(8760/1000))/4</f>
        <v>4245.0960000000005</v>
      </c>
      <c r="AQ316" s="1075">
        <f>(AQ313*AQ315*(8760/1000))/4</f>
        <v>4245.0960000000005</v>
      </c>
      <c r="AR316" s="258">
        <f>SUM(AN316:AQ316)</f>
        <v>16980.384000000002</v>
      </c>
      <c r="AS316" s="1073">
        <f>(AS313*AS315*(8760/1000))/4</f>
        <v>4245.0960000000005</v>
      </c>
      <c r="AT316" s="1074">
        <f>(AT313*AT315*(8760/1000))/4</f>
        <v>4245.0960000000005</v>
      </c>
      <c r="AU316" s="1074">
        <f>(AU313*AU315*(8760/1000))/4</f>
        <v>4245.0960000000005</v>
      </c>
      <c r="AV316" s="1075">
        <f>(AV313*AV315*(8760/1000))/4</f>
        <v>4245.0960000000005</v>
      </c>
      <c r="AW316" s="258">
        <f>SUM(AS316:AV316)</f>
        <v>16980.384000000002</v>
      </c>
      <c r="AX316" s="1073">
        <f>(AX313*AX315*(8760/1000))/4</f>
        <v>4245.0960000000005</v>
      </c>
      <c r="AY316" s="1074">
        <f>(AY313*AY315*(8760/1000))/4</f>
        <v>4245.0960000000005</v>
      </c>
      <c r="AZ316" s="1074">
        <f>(AZ313*AZ315*(8760/1000))/4</f>
        <v>4245.0960000000005</v>
      </c>
      <c r="BA316" s="1075">
        <f>(BA313*BA315*(8760/1000))/4</f>
        <v>4245.0960000000005</v>
      </c>
      <c r="BB316" s="258">
        <f>SUM(AX316:BA316)</f>
        <v>16980.384000000002</v>
      </c>
      <c r="BC316" s="1073">
        <f>(BC313*BC315*(8760/1000))/4</f>
        <v>4245.0960000000005</v>
      </c>
      <c r="BD316" s="1074">
        <f>(BD313*BD315*(8760/1000))/4</f>
        <v>4245.0960000000005</v>
      </c>
      <c r="BE316" s="1074">
        <f>(BE313*BE315*(8760/1000))/4</f>
        <v>4245.0960000000005</v>
      </c>
      <c r="BF316" s="1075">
        <f>(BF313*BF315*(8760/1000))/4</f>
        <v>4245.0960000000005</v>
      </c>
      <c r="BG316" s="258">
        <f>SUM(BC316:BF316)</f>
        <v>16980.384000000002</v>
      </c>
      <c r="BH316" s="1073">
        <f>(BH313*BH315*(8760/1000))/4</f>
        <v>4245.0960000000005</v>
      </c>
      <c r="BI316" s="1074">
        <f>(BI313*BI315*(8760/1000))/4</f>
        <v>4245.0960000000005</v>
      </c>
      <c r="BJ316" s="1074">
        <f>(BJ313*BJ315*(8760/1000))/4</f>
        <v>4245.0960000000005</v>
      </c>
      <c r="BK316" s="1075">
        <f>(BK313*BK315*(8760/1000))/4</f>
        <v>4245.0960000000005</v>
      </c>
      <c r="BL316" s="258">
        <f>SUM(BH316:BK316)</f>
        <v>16980.384000000002</v>
      </c>
      <c r="BM316" s="1073">
        <f>(BM313*BM315*(8760/1000))/4</f>
        <v>4245.0960000000005</v>
      </c>
      <c r="BN316" s="1074">
        <f>(BN313*BN315*(8760/1000))/4</f>
        <v>4245.0960000000005</v>
      </c>
      <c r="BO316" s="1074">
        <f>(BO313*BO315*(8760/1000))/4</f>
        <v>4245.0960000000005</v>
      </c>
      <c r="BP316" s="1075">
        <f>(BP313*BP315*(8760/1000))/4</f>
        <v>4245.0960000000005</v>
      </c>
      <c r="BQ316" s="258">
        <f>SUM(BM316:BP316)</f>
        <v>16980.384000000002</v>
      </c>
      <c r="BR316" s="89"/>
    </row>
    <row r="317" spans="1:118" s="92" customFormat="1" ht="12.75" customHeight="1">
      <c r="A317" s="1313"/>
      <c r="B317" s="1313"/>
      <c r="C317" s="120"/>
      <c r="D317" s="1399"/>
      <c r="E317" s="214"/>
      <c r="F317" s="148"/>
      <c r="G317" s="148"/>
      <c r="H317" s="215"/>
      <c r="I317" s="88"/>
      <c r="J317" s="214"/>
      <c r="K317" s="148"/>
      <c r="L317" s="148"/>
      <c r="M317" s="215"/>
      <c r="N317" s="88"/>
      <c r="O317" s="214"/>
      <c r="P317" s="148"/>
      <c r="Q317" s="148"/>
      <c r="R317" s="215"/>
      <c r="S317" s="93"/>
      <c r="T317" s="145"/>
      <c r="U317" s="146"/>
      <c r="V317" s="146"/>
      <c r="W317" s="147"/>
      <c r="X317" s="89"/>
      <c r="Y317" s="145"/>
      <c r="Z317" s="146"/>
      <c r="AA317" s="146"/>
      <c r="AB317" s="147"/>
      <c r="AC317" s="89"/>
      <c r="AD317" s="145"/>
      <c r="AE317" s="146"/>
      <c r="AF317" s="146"/>
      <c r="AG317" s="147"/>
      <c r="AH317" s="89"/>
      <c r="AI317" s="145"/>
      <c r="AJ317" s="146"/>
      <c r="AK317" s="146"/>
      <c r="AL317" s="147"/>
      <c r="AM317" s="89"/>
      <c r="AN317" s="145"/>
      <c r="AO317" s="146"/>
      <c r="AP317" s="146"/>
      <c r="AQ317" s="147"/>
      <c r="AR317" s="89"/>
      <c r="AS317" s="145"/>
      <c r="AT317" s="146"/>
      <c r="AU317" s="146"/>
      <c r="AV317" s="147"/>
      <c r="AW317" s="89"/>
      <c r="AX317" s="145"/>
      <c r="AY317" s="146"/>
      <c r="AZ317" s="146"/>
      <c r="BA317" s="147"/>
      <c r="BB317" s="89"/>
      <c r="BC317" s="145"/>
      <c r="BD317" s="146"/>
      <c r="BE317" s="146"/>
      <c r="BF317" s="147"/>
      <c r="BG317" s="89"/>
      <c r="BH317" s="145"/>
      <c r="BI317" s="146"/>
      <c r="BJ317" s="146"/>
      <c r="BK317" s="147"/>
      <c r="BL317" s="89"/>
      <c r="BM317" s="145"/>
      <c r="BN317" s="146"/>
      <c r="BO317" s="146"/>
      <c r="BP317" s="147"/>
      <c r="BQ317" s="89"/>
      <c r="BR317" s="89"/>
    </row>
    <row r="318" spans="1:118" s="92" customFormat="1" ht="12.75" customHeight="1">
      <c r="A318" s="1313"/>
      <c r="B318" s="1313"/>
      <c r="C318" s="120" t="s">
        <v>586</v>
      </c>
      <c r="D318" s="1399"/>
      <c r="E318" s="214"/>
      <c r="F318" s="148"/>
      <c r="G318" s="148"/>
      <c r="H318" s="215"/>
      <c r="I318" s="1057">
        <v>0.3</v>
      </c>
      <c r="J318" s="214"/>
      <c r="K318" s="148"/>
      <c r="L318" s="148"/>
      <c r="M318" s="215"/>
      <c r="N318" s="88"/>
      <c r="O318" s="214"/>
      <c r="P318" s="148"/>
      <c r="Q318" s="148"/>
      <c r="R318" s="215"/>
      <c r="S318" s="93"/>
      <c r="T318" s="833"/>
      <c r="U318" s="834"/>
      <c r="V318" s="834"/>
      <c r="W318" s="835"/>
      <c r="X318" s="826"/>
      <c r="Y318" s="833">
        <f>IF(Y310&gt;Y311,$I318,0%)</f>
        <v>0</v>
      </c>
      <c r="Z318" s="834">
        <f>IF(Z310&gt;Z311,$I318,0%)</f>
        <v>0</v>
      </c>
      <c r="AA318" s="834">
        <f>IF(AA310&gt;AA311,$I318,0%)</f>
        <v>0</v>
      </c>
      <c r="AB318" s="835">
        <f>IF(AB310&gt;AB311,$I318,0%)</f>
        <v>0</v>
      </c>
      <c r="AC318" s="826">
        <f>AVERAGE(Y318:AB318)</f>
        <v>0</v>
      </c>
      <c r="AD318" s="833">
        <f>$I$318</f>
        <v>0.3</v>
      </c>
      <c r="AE318" s="834">
        <f t="shared" ref="AE318:AL318" si="553">$I$318</f>
        <v>0.3</v>
      </c>
      <c r="AF318" s="834">
        <f t="shared" si="553"/>
        <v>0.3</v>
      </c>
      <c r="AG318" s="835">
        <f t="shared" si="553"/>
        <v>0.3</v>
      </c>
      <c r="AH318" s="826">
        <f t="shared" si="553"/>
        <v>0.3</v>
      </c>
      <c r="AI318" s="833">
        <f t="shared" si="553"/>
        <v>0.3</v>
      </c>
      <c r="AJ318" s="834">
        <f t="shared" si="553"/>
        <v>0.3</v>
      </c>
      <c r="AK318" s="834">
        <f t="shared" si="553"/>
        <v>0.3</v>
      </c>
      <c r="AL318" s="835">
        <f t="shared" si="553"/>
        <v>0.3</v>
      </c>
      <c r="AM318" s="826">
        <f>AVERAGE(AI318:AL318)</f>
        <v>0.3</v>
      </c>
      <c r="AN318" s="833">
        <f>IF(AN310&gt;AN311,$I318,0%)</f>
        <v>0</v>
      </c>
      <c r="AO318" s="834">
        <f>IF(AO310&gt;AO311,$I318,0%)</f>
        <v>0</v>
      </c>
      <c r="AP318" s="834">
        <f t="shared" ref="AP318" si="554">$I$318</f>
        <v>0.3</v>
      </c>
      <c r="AQ318" s="835">
        <f>IF(AQ310&gt;AQ311,$I318,0%)</f>
        <v>0.3</v>
      </c>
      <c r="AR318" s="826">
        <f>AVERAGE(AN318:AQ318)</f>
        <v>0.15</v>
      </c>
      <c r="AS318" s="833">
        <f>IF(AS310&gt;AS311,$I318,0%)</f>
        <v>0</v>
      </c>
      <c r="AT318" s="834">
        <f>IF(AT310&gt;AT311,$I318,0%)</f>
        <v>0</v>
      </c>
      <c r="AU318" s="834">
        <f>IF(AU310&gt;AU311,$I318,0%)</f>
        <v>0</v>
      </c>
      <c r="AV318" s="835">
        <f>IF(AV310&gt;AV311,$I318,0%)</f>
        <v>0</v>
      </c>
      <c r="AW318" s="826">
        <f>AVERAGE(AS318:AV318)</f>
        <v>0</v>
      </c>
      <c r="AX318" s="833">
        <f>IF(AX310&gt;AX311,$I318,0%)</f>
        <v>0.3</v>
      </c>
      <c r="AY318" s="834">
        <f>IF(AY310&gt;AY311,$I318,0%)</f>
        <v>0.3</v>
      </c>
      <c r="AZ318" s="834">
        <f>IF(AZ310&gt;AZ311,$I318,0%)</f>
        <v>0.3</v>
      </c>
      <c r="BA318" s="835">
        <f>IF(BA310&gt;BA311,$I318,0%)</f>
        <v>0.3</v>
      </c>
      <c r="BB318" s="826">
        <f>AVERAGE(AX318:BA318)</f>
        <v>0.3</v>
      </c>
      <c r="BC318" s="833">
        <f>IF(BC310&gt;BC311,$I318,0%)</f>
        <v>0.3</v>
      </c>
      <c r="BD318" s="834">
        <f>IF(BD310&gt;BD311,$I318,0%)</f>
        <v>0</v>
      </c>
      <c r="BE318" s="834">
        <f>IF(BE310&gt;BE311,$I318,0%)</f>
        <v>0</v>
      </c>
      <c r="BF318" s="835">
        <f>IF(BF310&gt;BF311,$I318,0%)</f>
        <v>0.3</v>
      </c>
      <c r="BG318" s="826">
        <f>AVERAGE(BC318:BF318)</f>
        <v>0.15</v>
      </c>
      <c r="BH318" s="833">
        <f>IF(BH310&gt;BH311,$I318,0%)</f>
        <v>0.3</v>
      </c>
      <c r="BI318" s="834">
        <f>IF(BI310&gt;BI311,$I318,0%)</f>
        <v>0</v>
      </c>
      <c r="BJ318" s="834">
        <f>IF(BJ310&gt;BJ311,$I318,0%)</f>
        <v>0</v>
      </c>
      <c r="BK318" s="835">
        <f>IF(BK310&gt;BK311,$I318,0%)</f>
        <v>0.3</v>
      </c>
      <c r="BL318" s="826">
        <f>AVERAGE(BH318:BK318)</f>
        <v>0.15</v>
      </c>
      <c r="BM318" s="833">
        <f>IF(BM310&gt;BM311,$I318,0%)</f>
        <v>0</v>
      </c>
      <c r="BN318" s="834">
        <f>IF(BN310&gt;BN311,$I318,0%)</f>
        <v>0</v>
      </c>
      <c r="BO318" s="834">
        <f>IF(BO310&gt;BO311,$I318,0%)</f>
        <v>0</v>
      </c>
      <c r="BP318" s="835">
        <f>IF(BP310&gt;BP311,$I318,0%)</f>
        <v>0</v>
      </c>
      <c r="BQ318" s="826">
        <f>AVERAGE(BM318:BP318)</f>
        <v>0</v>
      </c>
      <c r="BR318" s="89"/>
    </row>
    <row r="319" spans="1:118" s="92" customFormat="1" ht="12.75" customHeight="1">
      <c r="A319" s="1313"/>
      <c r="B319" s="1313"/>
      <c r="C319" s="120" t="s">
        <v>587</v>
      </c>
      <c r="D319" s="1399"/>
      <c r="E319" s="214"/>
      <c r="F319" s="148"/>
      <c r="G319" s="148"/>
      <c r="H319" s="215"/>
      <c r="I319" s="88"/>
      <c r="J319" s="214"/>
      <c r="K319" s="148"/>
      <c r="L319" s="148"/>
      <c r="M319" s="215"/>
      <c r="N319" s="88"/>
      <c r="O319" s="214"/>
      <c r="P319" s="148"/>
      <c r="Q319" s="148"/>
      <c r="R319" s="215"/>
      <c r="S319" s="93"/>
      <c r="T319" s="1073"/>
      <c r="U319" s="1074"/>
      <c r="V319" s="1074"/>
      <c r="W319" s="1075"/>
      <c r="X319" s="258"/>
      <c r="Y319" s="1073">
        <f>(Y313*Y318*(8760/1000))/4</f>
        <v>0</v>
      </c>
      <c r="Z319" s="1074">
        <f>(Z313*Z318*(8760/1000))/4</f>
        <v>0</v>
      </c>
      <c r="AA319" s="1074">
        <f>(AA313*AA318*(8760/1000))/4</f>
        <v>0</v>
      </c>
      <c r="AB319" s="1075">
        <f>(AB313*AB318*(8760/1000))/4</f>
        <v>0</v>
      </c>
      <c r="AC319" s="258">
        <f>SUM(Y319:AB319)</f>
        <v>0</v>
      </c>
      <c r="AD319" s="1073">
        <f>(AD313*AD318*(8760/1000))/4</f>
        <v>3183.8219999999997</v>
      </c>
      <c r="AE319" s="1074">
        <f>(AE313*AE318*(8760/1000))/4</f>
        <v>3183.8219999999997</v>
      </c>
      <c r="AF319" s="1074">
        <f>(AF313*AF318*(8760/1000))/4</f>
        <v>3183.8219999999997</v>
      </c>
      <c r="AG319" s="1075">
        <f>(AG313*AG318*(8760/1000))/4</f>
        <v>3183.8219999999997</v>
      </c>
      <c r="AH319" s="258">
        <f>SUM(AD319:AG319)</f>
        <v>12735.287999999999</v>
      </c>
      <c r="AI319" s="1073">
        <f>(AI313*AI318*(8760/1000))/4</f>
        <v>3183.8219999999997</v>
      </c>
      <c r="AJ319" s="1074">
        <f>(AJ313*AJ318*(8760/1000))/4</f>
        <v>3183.8219999999997</v>
      </c>
      <c r="AK319" s="1074">
        <f>(AK313*AK318*(8760/1000))/4</f>
        <v>3183.8219999999997</v>
      </c>
      <c r="AL319" s="1075">
        <f>(AL313*AL318*(8760/1000))/4</f>
        <v>3183.8219999999997</v>
      </c>
      <c r="AM319" s="258">
        <f>SUM(AI319:AL319)</f>
        <v>12735.287999999999</v>
      </c>
      <c r="AN319" s="1073">
        <f>(AN313*AN318*(8760/1000))/4</f>
        <v>0</v>
      </c>
      <c r="AO319" s="1074">
        <f>(AO313*AO318*(8760/1000))/4</f>
        <v>0</v>
      </c>
      <c r="AP319" s="1074">
        <f>(AP313*AP318*(8760/1000))/4</f>
        <v>3183.8219999999997</v>
      </c>
      <c r="AQ319" s="1075">
        <f>(AQ313*AQ318*(8760/1000))/4</f>
        <v>3183.8219999999997</v>
      </c>
      <c r="AR319" s="258">
        <f>SUM(AN319:AQ319)</f>
        <v>6367.6439999999993</v>
      </c>
      <c r="AS319" s="1073">
        <f>(AS313*AS318*(8760/1000))/4</f>
        <v>0</v>
      </c>
      <c r="AT319" s="1074">
        <f>(AT313*AT318*(8760/1000))/4</f>
        <v>0</v>
      </c>
      <c r="AU319" s="1074">
        <f>(AU313*AU318*(8760/1000))/4</f>
        <v>0</v>
      </c>
      <c r="AV319" s="1075">
        <f>(AV313*AV318*(8760/1000))/4</f>
        <v>0</v>
      </c>
      <c r="AW319" s="258">
        <f>SUM(AS319:AV319)</f>
        <v>0</v>
      </c>
      <c r="AX319" s="1073">
        <f>(AX313*AX318*(8760/1000))/4</f>
        <v>3183.8219999999997</v>
      </c>
      <c r="AY319" s="1074">
        <f>(AY313*AY318*(8760/1000))/4</f>
        <v>3183.8219999999997</v>
      </c>
      <c r="AZ319" s="1074">
        <f>(AZ313*AZ318*(8760/1000))/4</f>
        <v>3183.8219999999997</v>
      </c>
      <c r="BA319" s="1075">
        <f>(BA313*BA318*(8760/1000))/4</f>
        <v>3183.8219999999997</v>
      </c>
      <c r="BB319" s="258">
        <f>SUM(AX319:BA319)</f>
        <v>12735.287999999999</v>
      </c>
      <c r="BC319" s="1073">
        <f>(BC313*BC318*(8760/1000))/4</f>
        <v>3183.8219999999997</v>
      </c>
      <c r="BD319" s="1074">
        <f>(BD313*BD318*(8760/1000))/4</f>
        <v>0</v>
      </c>
      <c r="BE319" s="1074">
        <f>(BE313*BE318*(8760/1000))/4</f>
        <v>0</v>
      </c>
      <c r="BF319" s="1075">
        <f>(BF313*BF318*(8760/1000))/4</f>
        <v>3183.8219999999997</v>
      </c>
      <c r="BG319" s="258">
        <f>SUM(BC319:BF319)</f>
        <v>6367.6439999999993</v>
      </c>
      <c r="BH319" s="1073">
        <f>(BH313*BH318*(8760/1000))/4</f>
        <v>3183.8219999999997</v>
      </c>
      <c r="BI319" s="1074">
        <f>(BI313*BI318*(8760/1000))/4</f>
        <v>0</v>
      </c>
      <c r="BJ319" s="1074">
        <f>(BJ313*BJ318*(8760/1000))/4</f>
        <v>0</v>
      </c>
      <c r="BK319" s="1075">
        <f>(BK313*BK318*(8760/1000))/4</f>
        <v>3183.8219999999997</v>
      </c>
      <c r="BL319" s="258">
        <f>SUM(BH319:BK319)</f>
        <v>6367.6439999999993</v>
      </c>
      <c r="BM319" s="1073">
        <f>(BM313*BM318*(8760/1000))/4</f>
        <v>0</v>
      </c>
      <c r="BN319" s="1074">
        <f>(BN313*BN318*(8760/1000))/4</f>
        <v>0</v>
      </c>
      <c r="BO319" s="1074">
        <f>(BO313*BO318*(8760/1000))/4</f>
        <v>0</v>
      </c>
      <c r="BP319" s="1075">
        <f>(BP313*BP318*(8760/1000))/4</f>
        <v>0</v>
      </c>
      <c r="BQ319" s="258">
        <f>SUM(BM319:BP319)</f>
        <v>0</v>
      </c>
      <c r="BR319" s="89"/>
    </row>
    <row r="320" spans="1:118" s="92" customFormat="1" ht="12.75" customHeight="1">
      <c r="A320" s="1313"/>
      <c r="B320" s="1313"/>
      <c r="C320" s="120"/>
      <c r="D320" s="1399"/>
      <c r="E320" s="214"/>
      <c r="F320" s="148"/>
      <c r="G320" s="148"/>
      <c r="H320" s="215"/>
      <c r="I320" s="88"/>
      <c r="J320" s="214"/>
      <c r="K320" s="148"/>
      <c r="L320" s="148"/>
      <c r="M320" s="215"/>
      <c r="N320" s="88"/>
      <c r="O320" s="214"/>
      <c r="P320" s="148"/>
      <c r="Q320" s="148"/>
      <c r="R320" s="215"/>
      <c r="S320" s="93"/>
      <c r="T320" s="145"/>
      <c r="U320" s="146"/>
      <c r="V320" s="146"/>
      <c r="W320" s="147"/>
      <c r="X320" s="89"/>
      <c r="Y320" s="145"/>
      <c r="Z320" s="146"/>
      <c r="AA320" s="146"/>
      <c r="AB320" s="147"/>
      <c r="AC320" s="89"/>
      <c r="AD320" s="145"/>
      <c r="AE320" s="146"/>
      <c r="AF320" s="146"/>
      <c r="AG320" s="147"/>
      <c r="AH320" s="89"/>
      <c r="AI320" s="145"/>
      <c r="AJ320" s="146"/>
      <c r="AK320" s="146"/>
      <c r="AL320" s="147"/>
      <c r="AM320" s="89"/>
      <c r="AN320" s="145"/>
      <c r="AO320" s="146"/>
      <c r="AP320" s="146"/>
      <c r="AQ320" s="147"/>
      <c r="AR320" s="89"/>
      <c r="AS320" s="145"/>
      <c r="AT320" s="146"/>
      <c r="AU320" s="146"/>
      <c r="AV320" s="147"/>
      <c r="AW320" s="89"/>
      <c r="AX320" s="145"/>
      <c r="AY320" s="146"/>
      <c r="AZ320" s="146"/>
      <c r="BA320" s="147"/>
      <c r="BB320" s="89"/>
      <c r="BC320" s="145"/>
      <c r="BD320" s="146"/>
      <c r="BE320" s="146"/>
      <c r="BF320" s="147"/>
      <c r="BG320" s="89"/>
      <c r="BH320" s="145"/>
      <c r="BI320" s="146"/>
      <c r="BJ320" s="146"/>
      <c r="BK320" s="147"/>
      <c r="BL320" s="89"/>
      <c r="BM320" s="145"/>
      <c r="BN320" s="146"/>
      <c r="BO320" s="146"/>
      <c r="BP320" s="147"/>
      <c r="BQ320" s="89"/>
      <c r="BR320" s="89"/>
    </row>
    <row r="321" spans="1:118" s="92" customFormat="1" ht="12.75" customHeight="1">
      <c r="A321" s="1313"/>
      <c r="B321" s="1313"/>
      <c r="C321" s="120" t="s">
        <v>588</v>
      </c>
      <c r="D321" s="1399"/>
      <c r="E321" s="214"/>
      <c r="F321" s="148"/>
      <c r="G321" s="148"/>
      <c r="H321" s="215"/>
      <c r="I321" s="88"/>
      <c r="J321" s="214"/>
      <c r="K321" s="148"/>
      <c r="L321" s="148"/>
      <c r="M321" s="215"/>
      <c r="N321" s="88"/>
      <c r="O321" s="214"/>
      <c r="P321" s="148"/>
      <c r="Q321" s="148"/>
      <c r="R321" s="215"/>
      <c r="S321" s="93"/>
      <c r="T321" s="833"/>
      <c r="U321" s="834"/>
      <c r="V321" s="834"/>
      <c r="W321" s="835"/>
      <c r="X321" s="826"/>
      <c r="Y321" s="833">
        <f>(Y319+Y316)/(8.76*Y313/4)</f>
        <v>0.4</v>
      </c>
      <c r="Z321" s="834">
        <f>(Z319+Z316)/(8.76*Z313/4)</f>
        <v>0.4</v>
      </c>
      <c r="AA321" s="834">
        <f>(AA319+AA316)/(8.76*AA313/4)</f>
        <v>0.4</v>
      </c>
      <c r="AB321" s="835">
        <f>(AB319+AB316)/(8.76*AB313/4)</f>
        <v>0.4</v>
      </c>
      <c r="AC321" s="826">
        <f>AVERAGE(Y321:AB321)</f>
        <v>0.4</v>
      </c>
      <c r="AD321" s="833">
        <f>(AD319+AD316)/(8.76*AD313/4)</f>
        <v>0.7</v>
      </c>
      <c r="AE321" s="834">
        <f>(AE319+AE316)/(8.76*AE313/4)</f>
        <v>0.7</v>
      </c>
      <c r="AF321" s="834">
        <f>(AF319+AF316)/(8.76*AF313/4)</f>
        <v>0.7</v>
      </c>
      <c r="AG321" s="835">
        <f>(AG319+AG316)/(8.76*AG313/4)</f>
        <v>0.7</v>
      </c>
      <c r="AH321" s="826">
        <f>AVERAGE(AD321:AG321)</f>
        <v>0.7</v>
      </c>
      <c r="AI321" s="833">
        <f>(AI319+AI316)/(8.76*AI313/4)</f>
        <v>0.7</v>
      </c>
      <c r="AJ321" s="834">
        <f>(AJ319+AJ316)/(8.76*AJ313/4)</f>
        <v>0.7</v>
      </c>
      <c r="AK321" s="834">
        <f>(AK319+AK316)/(8.76*AK313/4)</f>
        <v>0.7</v>
      </c>
      <c r="AL321" s="835">
        <f>(AL319+AL316)/(8.76*AL313/4)</f>
        <v>0.7</v>
      </c>
      <c r="AM321" s="826">
        <f>AVERAGE(AI321:AL321)</f>
        <v>0.7</v>
      </c>
      <c r="AN321" s="833">
        <f>(AN319+AN316)/(8.76*AN313/4)</f>
        <v>0.40000000000000008</v>
      </c>
      <c r="AO321" s="834">
        <f>(AO319+AO316)/(8.76*AO313/4)</f>
        <v>0.40000000000000008</v>
      </c>
      <c r="AP321" s="834">
        <f>(AP319+AP316)/(8.76*AP313/4)</f>
        <v>0.7</v>
      </c>
      <c r="AQ321" s="835">
        <f>(AQ319+AQ316)/(8.76*AQ313/4)</f>
        <v>0.7</v>
      </c>
      <c r="AR321" s="826">
        <f>AVERAGE(AN321:AQ321)</f>
        <v>0.55000000000000004</v>
      </c>
      <c r="AS321" s="833">
        <f>(AS319+AS316)/(8.76*AS313/4)</f>
        <v>0.40000000000000008</v>
      </c>
      <c r="AT321" s="834">
        <f>(AT319+AT316)/(8.76*AT313/4)</f>
        <v>0.40000000000000008</v>
      </c>
      <c r="AU321" s="834">
        <f>(AU319+AU316)/(8.76*AU313/4)</f>
        <v>0.40000000000000008</v>
      </c>
      <c r="AV321" s="835">
        <f>(AV319+AV316)/(8.76*AV313/4)</f>
        <v>0.40000000000000008</v>
      </c>
      <c r="AW321" s="826">
        <f>AVERAGE(AS321:AV321)</f>
        <v>0.40000000000000008</v>
      </c>
      <c r="AX321" s="833">
        <f>(AX319+AX316)/(8.76*AX313/4)</f>
        <v>0.7</v>
      </c>
      <c r="AY321" s="834">
        <f>(AY319+AY316)/(8.76*AY313/4)</f>
        <v>0.7</v>
      </c>
      <c r="AZ321" s="834">
        <f>(AZ319+AZ316)/(8.76*AZ313/4)</f>
        <v>0.7</v>
      </c>
      <c r="BA321" s="835">
        <f>(BA319+BA316)/(8.76*BA313/4)</f>
        <v>0.7</v>
      </c>
      <c r="BB321" s="826">
        <f>AVERAGE(AX321:BA321)</f>
        <v>0.7</v>
      </c>
      <c r="BC321" s="833">
        <f>(BC319+BC316)/(8.76*BC313/4)</f>
        <v>0.7</v>
      </c>
      <c r="BD321" s="834">
        <f>(BD319+BD316)/(8.76*BD313/4)</f>
        <v>0.40000000000000008</v>
      </c>
      <c r="BE321" s="834">
        <f>(BE319+BE316)/(8.76*BE313/4)</f>
        <v>0.40000000000000008</v>
      </c>
      <c r="BF321" s="835">
        <f>(BF319+BF316)/(8.76*BF313/4)</f>
        <v>0.7</v>
      </c>
      <c r="BG321" s="826">
        <f>AVERAGE(BC321:BF321)</f>
        <v>0.55000000000000004</v>
      </c>
      <c r="BH321" s="833">
        <f>(BH319+BH316)/(8.76*BH313/4)</f>
        <v>0.7</v>
      </c>
      <c r="BI321" s="834">
        <f>(BI319+BI316)/(8.76*BI313/4)</f>
        <v>0.40000000000000008</v>
      </c>
      <c r="BJ321" s="834">
        <f>(BJ319+BJ316)/(8.76*BJ313/4)</f>
        <v>0.40000000000000008</v>
      </c>
      <c r="BK321" s="835">
        <f>(BK319+BK316)/(8.76*BK313/4)</f>
        <v>0.7</v>
      </c>
      <c r="BL321" s="826">
        <f>AVERAGE(BH321:BK321)</f>
        <v>0.55000000000000004</v>
      </c>
      <c r="BM321" s="833">
        <f>(BM319+BM316)/(8.76*BM313/4)</f>
        <v>0.40000000000000008</v>
      </c>
      <c r="BN321" s="834">
        <f>(BN319+BN316)/(8.76*BN313/4)</f>
        <v>0.40000000000000008</v>
      </c>
      <c r="BO321" s="834">
        <f>(BO319+BO316)/(8.76*BO313/4)</f>
        <v>0.40000000000000008</v>
      </c>
      <c r="BP321" s="835">
        <f>(BP319+BP316)/(8.76*BP313/4)</f>
        <v>0.40000000000000008</v>
      </c>
      <c r="BQ321" s="826">
        <f>AVERAGE(BM321:BP321)</f>
        <v>0.40000000000000008</v>
      </c>
      <c r="BR321" s="89"/>
    </row>
    <row r="322" spans="1:118" s="92" customFormat="1" ht="12.75" customHeight="1">
      <c r="A322" s="1313"/>
      <c r="B322" s="1313"/>
      <c r="C322" s="88" t="s">
        <v>589</v>
      </c>
      <c r="D322" s="1399"/>
      <c r="E322" s="214"/>
      <c r="F322" s="148"/>
      <c r="G322" s="148"/>
      <c r="H322" s="215"/>
      <c r="I322" s="88"/>
      <c r="J322" s="214"/>
      <c r="K322" s="148"/>
      <c r="L322" s="148"/>
      <c r="M322" s="215"/>
      <c r="N322" s="88"/>
      <c r="O322" s="214"/>
      <c r="P322" s="148"/>
      <c r="Q322" s="148"/>
      <c r="R322" s="215"/>
      <c r="S322" s="93"/>
      <c r="T322" s="106"/>
      <c r="U322" s="76"/>
      <c r="V322" s="76"/>
      <c r="W322" s="107"/>
      <c r="X322" s="308"/>
      <c r="Y322" s="106">
        <f>+Y319+Y316</f>
        <v>5020.3559999999998</v>
      </c>
      <c r="Z322" s="76">
        <f>+Z319+Z316</f>
        <v>5020.3559999999998</v>
      </c>
      <c r="AA322" s="76">
        <f>+AA319+AA316</f>
        <v>5020.3559999999998</v>
      </c>
      <c r="AB322" s="107">
        <f>+AB319+AB316</f>
        <v>5020.3559999999998</v>
      </c>
      <c r="AC322" s="308">
        <f>SUM(Y322:AB322)</f>
        <v>20081.423999999999</v>
      </c>
      <c r="AD322" s="106">
        <f>+AD319+AD316</f>
        <v>7428.9179999999997</v>
      </c>
      <c r="AE322" s="76">
        <f>+AE319+AE316</f>
        <v>7428.9179999999997</v>
      </c>
      <c r="AF322" s="76">
        <f>+AF319+AF316</f>
        <v>7428.9179999999997</v>
      </c>
      <c r="AG322" s="107">
        <f>+AG319+AG316</f>
        <v>7428.9179999999997</v>
      </c>
      <c r="AH322" s="308">
        <f>SUM(AD322:AG322)</f>
        <v>29715.671999999999</v>
      </c>
      <c r="AI322" s="106">
        <f>+AI319+AI316</f>
        <v>7428.9179999999997</v>
      </c>
      <c r="AJ322" s="76">
        <f>+AJ319+AJ316</f>
        <v>7428.9179999999997</v>
      </c>
      <c r="AK322" s="76">
        <f>+AK319+AK316</f>
        <v>7428.9179999999997</v>
      </c>
      <c r="AL322" s="107">
        <f>+AL319+AL316</f>
        <v>7428.9179999999997</v>
      </c>
      <c r="AM322" s="308">
        <f>SUM(AI322:AL322)</f>
        <v>29715.671999999999</v>
      </c>
      <c r="AN322" s="106">
        <f>+AN319+AN316</f>
        <v>4245.0960000000005</v>
      </c>
      <c r="AO322" s="76">
        <f>+AO319+AO316</f>
        <v>4245.0960000000005</v>
      </c>
      <c r="AP322" s="76">
        <f>+AP319+AP316</f>
        <v>7428.9179999999997</v>
      </c>
      <c r="AQ322" s="107">
        <f>+AQ319+AQ316</f>
        <v>7428.9179999999997</v>
      </c>
      <c r="AR322" s="308">
        <f>SUM(AN322:AQ322)</f>
        <v>23348.027999999998</v>
      </c>
      <c r="AS322" s="106">
        <f>+AS319+AS316</f>
        <v>4245.0960000000005</v>
      </c>
      <c r="AT322" s="76">
        <f>+AT319+AT316</f>
        <v>4245.0960000000005</v>
      </c>
      <c r="AU322" s="76">
        <f>+AU319+AU316</f>
        <v>4245.0960000000005</v>
      </c>
      <c r="AV322" s="107">
        <f>+AV319+AV316</f>
        <v>4245.0960000000005</v>
      </c>
      <c r="AW322" s="308">
        <f>SUM(AS322:AV322)</f>
        <v>16980.384000000002</v>
      </c>
      <c r="AX322" s="106">
        <f>+AX319+AX316</f>
        <v>7428.9179999999997</v>
      </c>
      <c r="AY322" s="76">
        <f>+AY319+AY316</f>
        <v>7428.9179999999997</v>
      </c>
      <c r="AZ322" s="76">
        <f>+AZ319+AZ316</f>
        <v>7428.9179999999997</v>
      </c>
      <c r="BA322" s="107">
        <f>+BA319+BA316</f>
        <v>7428.9179999999997</v>
      </c>
      <c r="BB322" s="308">
        <f>SUM(AX322:BA322)</f>
        <v>29715.671999999999</v>
      </c>
      <c r="BC322" s="106">
        <f>+BC319+BC316</f>
        <v>7428.9179999999997</v>
      </c>
      <c r="BD322" s="76">
        <f>+BD319+BD316</f>
        <v>4245.0960000000005</v>
      </c>
      <c r="BE322" s="76">
        <f>+BE319+BE316</f>
        <v>4245.0960000000005</v>
      </c>
      <c r="BF322" s="107">
        <f>+BF319+BF316</f>
        <v>7428.9179999999997</v>
      </c>
      <c r="BG322" s="308">
        <f>SUM(BC322:BF322)</f>
        <v>23348.027999999998</v>
      </c>
      <c r="BH322" s="106">
        <f>+BH319+BH316</f>
        <v>7428.9179999999997</v>
      </c>
      <c r="BI322" s="76">
        <f>+BI319+BI316</f>
        <v>4245.0960000000005</v>
      </c>
      <c r="BJ322" s="76">
        <f>+BJ319+BJ316</f>
        <v>4245.0960000000005</v>
      </c>
      <c r="BK322" s="107">
        <f>+BK319+BK316</f>
        <v>7428.9179999999997</v>
      </c>
      <c r="BL322" s="308">
        <f>SUM(BH322:BK322)</f>
        <v>23348.027999999998</v>
      </c>
      <c r="BM322" s="106">
        <f>+BM319+BM316</f>
        <v>4245.0960000000005</v>
      </c>
      <c r="BN322" s="76">
        <f>+BN319+BN316</f>
        <v>4245.0960000000005</v>
      </c>
      <c r="BO322" s="76">
        <f>+BO319+BO316</f>
        <v>4245.0960000000005</v>
      </c>
      <c r="BP322" s="107">
        <f>+BP319+BP316</f>
        <v>4245.0960000000005</v>
      </c>
      <c r="BQ322" s="308">
        <f>SUM(BM322:BP322)</f>
        <v>16980.384000000002</v>
      </c>
      <c r="BR322" s="89"/>
      <c r="BT322" s="12"/>
      <c r="BU322" s="91"/>
      <c r="BV322" s="91"/>
      <c r="BW322" s="91"/>
      <c r="BX322" s="91"/>
      <c r="BY322" s="91"/>
      <c r="BZ322" s="91"/>
      <c r="CA322" s="91"/>
      <c r="CB322" s="91"/>
      <c r="CC322" s="91"/>
      <c r="CD322" s="91"/>
    </row>
    <row r="323" spans="1:118" ht="12.75" customHeight="1">
      <c r="A323" s="91"/>
      <c r="B323" s="89"/>
      <c r="C323" s="1184"/>
      <c r="D323" s="89"/>
      <c r="E323" s="145"/>
      <c r="F323" s="146"/>
      <c r="G323" s="146"/>
      <c r="H323" s="147"/>
      <c r="I323" s="87"/>
      <c r="J323" s="145"/>
      <c r="K323" s="146"/>
      <c r="L323" s="146"/>
      <c r="M323" s="147"/>
      <c r="N323" s="89"/>
      <c r="O323" s="145"/>
      <c r="P323" s="146"/>
      <c r="Q323" s="146"/>
      <c r="R323" s="147"/>
      <c r="S323" s="89"/>
      <c r="T323" s="145"/>
      <c r="U323" s="146"/>
      <c r="V323" s="146"/>
      <c r="W323" s="147"/>
      <c r="X323" s="89"/>
      <c r="Y323" s="145"/>
      <c r="Z323" s="146"/>
      <c r="AA323" s="146"/>
      <c r="AB323" s="147"/>
      <c r="AC323" s="89"/>
      <c r="AD323" s="145"/>
      <c r="AE323" s="146"/>
      <c r="AF323" s="146"/>
      <c r="AG323" s="147"/>
      <c r="AH323" s="89"/>
      <c r="AI323" s="145"/>
      <c r="AJ323" s="146"/>
      <c r="AK323" s="146"/>
      <c r="AL323" s="147"/>
      <c r="AM323" s="89"/>
      <c r="AN323" s="145"/>
      <c r="AO323" s="146"/>
      <c r="AP323" s="146"/>
      <c r="AQ323" s="147"/>
      <c r="AR323" s="89"/>
      <c r="AS323" s="145"/>
      <c r="AT323" s="146"/>
      <c r="AU323" s="146"/>
      <c r="AV323" s="147"/>
      <c r="AW323" s="89"/>
      <c r="AX323" s="145"/>
      <c r="AY323" s="146"/>
      <c r="AZ323" s="146"/>
      <c r="BA323" s="147"/>
      <c r="BB323" s="89"/>
      <c r="BC323" s="145"/>
      <c r="BD323" s="146"/>
      <c r="BE323" s="146"/>
      <c r="BF323" s="147"/>
      <c r="BG323" s="89"/>
      <c r="BH323" s="145"/>
      <c r="BI323" s="146"/>
      <c r="BJ323" s="146"/>
      <c r="BK323" s="147"/>
      <c r="BL323" s="89"/>
      <c r="BM323" s="145"/>
      <c r="BN323" s="146"/>
      <c r="BO323" s="146"/>
      <c r="BP323" s="147"/>
      <c r="BQ323" s="89"/>
      <c r="BR323" s="87"/>
      <c r="BS323" s="87"/>
      <c r="BT323" s="12"/>
      <c r="BU323" s="91"/>
      <c r="BV323" s="91"/>
      <c r="BW323" s="91"/>
      <c r="BX323" s="91"/>
      <c r="BY323" s="91"/>
      <c r="BZ323" s="91"/>
      <c r="CA323" s="91"/>
      <c r="CB323" s="91"/>
      <c r="CC323" s="91"/>
      <c r="CD323" s="91"/>
      <c r="CE323" s="91"/>
      <c r="CF323" s="91"/>
      <c r="CG323" s="91"/>
      <c r="CH323" s="91"/>
      <c r="CI323" s="91"/>
      <c r="CJ323" s="91"/>
      <c r="CK323" s="91"/>
      <c r="CL323" s="91"/>
      <c r="CM323" s="91"/>
      <c r="CN323" s="91"/>
      <c r="CO323" s="91"/>
      <c r="CP323" s="91"/>
      <c r="CQ323" s="91"/>
      <c r="CR323" s="1018"/>
      <c r="CS323" s="1018"/>
      <c r="CT323" s="821"/>
      <c r="CU323" s="12"/>
      <c r="CV323" s="12"/>
      <c r="CW323" s="12"/>
      <c r="CX323" s="12"/>
      <c r="CY323" s="12"/>
      <c r="CZ323" s="91"/>
      <c r="DA323" s="91"/>
      <c r="DB323" s="91"/>
      <c r="DC323" s="91"/>
      <c r="DD323" s="91"/>
      <c r="DE323" s="91"/>
      <c r="DF323" s="12"/>
      <c r="DG323" s="12"/>
      <c r="DH323" s="12"/>
      <c r="DI323" s="12"/>
      <c r="DJ323" s="12"/>
      <c r="DK323" s="12"/>
      <c r="DL323" s="12"/>
      <c r="DM323" s="12"/>
      <c r="DN323" s="12"/>
    </row>
    <row r="324" spans="1:118" ht="12.75" customHeight="1">
      <c r="A324" s="91"/>
      <c r="B324" s="89"/>
      <c r="C324" s="1179" t="s">
        <v>566</v>
      </c>
      <c r="D324" s="89"/>
      <c r="E324" s="145"/>
      <c r="F324" s="146"/>
      <c r="G324" s="146"/>
      <c r="H324" s="147"/>
      <c r="I324" s="87"/>
      <c r="J324" s="145"/>
      <c r="K324" s="146"/>
      <c r="L324" s="146"/>
      <c r="M324" s="147"/>
      <c r="N324" s="89"/>
      <c r="O324" s="145"/>
      <c r="P324" s="146"/>
      <c r="Q324" s="146"/>
      <c r="R324" s="147"/>
      <c r="S324" s="89"/>
      <c r="T324" s="1400"/>
      <c r="U324" s="1401"/>
      <c r="V324" s="1401"/>
      <c r="W324" s="1402"/>
      <c r="X324" s="1403"/>
      <c r="Y324" s="1400">
        <f>(Y309/1000*Y316)+(Y310/1000*Y319)</f>
        <v>190.85968707076333</v>
      </c>
      <c r="Z324" s="1401">
        <f>(Z309/1000*Z316)+(Z310/1000*Z319)</f>
        <v>209.88580281796749</v>
      </c>
      <c r="AA324" s="1401">
        <f>(AA309/1000*AA316)+(AA310/1000*AA319)</f>
        <v>209.71240815435667</v>
      </c>
      <c r="AB324" s="1402">
        <f>(AB309/1000*AB316)+(AB310/1000*AB319)</f>
        <v>180.82557261714129</v>
      </c>
      <c r="AC324" s="1403">
        <f>SUM(Y324:AB324)</f>
        <v>791.28347066022889</v>
      </c>
      <c r="AD324" s="1400">
        <f>(AD309/1000*AD316)+(AD310/1000*AD319)</f>
        <v>513.81836075815306</v>
      </c>
      <c r="AE324" s="1401">
        <f>(AE309/1000*AE316)+(AE310/1000*AE319)</f>
        <v>312.54326360623691</v>
      </c>
      <c r="AF324" s="1401">
        <f>(AF309/1000*AF316)+(AF310/1000*AF319)</f>
        <v>246.59888140760978</v>
      </c>
      <c r="AG324" s="1402">
        <f>(AG309/1000*AG316)+(AG310/1000*AG319)</f>
        <v>265.94704228321694</v>
      </c>
      <c r="AH324" s="1403">
        <f>SUM(AD324:AG324)</f>
        <v>1338.9075480552167</v>
      </c>
      <c r="AI324" s="1400">
        <f>(AI309/1000*AI316)+(AI310/1000*AI319)</f>
        <v>290.20092973903678</v>
      </c>
      <c r="AJ324" s="1401">
        <f>(AJ309/1000*AJ316)+(AJ310/1000*AJ319)</f>
        <v>232.96239937289403</v>
      </c>
      <c r="AK324" s="1401">
        <f>(AK309/1000*AK316)+(AK310/1000*AK319)</f>
        <v>224.88290948374976</v>
      </c>
      <c r="AL324" s="1402">
        <f>(AL309/1000*AL316)+(AL310/1000*AL319)</f>
        <v>200.94040353916878</v>
      </c>
      <c r="AM324" s="1403">
        <f>SUM(AI324:AL324)</f>
        <v>948.98664213484926</v>
      </c>
      <c r="AN324" s="1400">
        <f>(AN309/1000*AN316)+(AN310/1000*AN319)</f>
        <v>116.59697285226351</v>
      </c>
      <c r="AO324" s="1401">
        <f>(AO309/1000*AO316)+(AO310/1000*AO319)</f>
        <v>133.00336996002068</v>
      </c>
      <c r="AP324" s="1401">
        <f>(AP309/1000*AP316)+(AP310/1000*AP319)</f>
        <v>231.62138759395111</v>
      </c>
      <c r="AQ324" s="1402">
        <f>(AQ309/1000*AQ316)+(AQ310/1000*AQ319)</f>
        <v>217.69515216075268</v>
      </c>
      <c r="AR324" s="1403">
        <f>SUM(AN324:AQ324)</f>
        <v>698.91688256698797</v>
      </c>
      <c r="AS324" s="1400">
        <f>(AS309/1000*AS316)+(AS310/1000*AS319)</f>
        <v>140.33222259027352</v>
      </c>
      <c r="AT324" s="1401">
        <f>(AT309/1000*AT316)+(AT310/1000*AT319)</f>
        <v>140.33222259027352</v>
      </c>
      <c r="AU324" s="1401">
        <f>(AU309/1000*AU316)+(AU310/1000*AU319)</f>
        <v>155.33147413054144</v>
      </c>
      <c r="AV324" s="1402">
        <f>(AV309/1000*AV316)+(AV310/1000*AV319)</f>
        <v>136.28510984564551</v>
      </c>
      <c r="AW324" s="1403">
        <f>SUM(AS324:AV324)</f>
        <v>572.28102915673401</v>
      </c>
      <c r="AX324" s="1400">
        <f>(AX309/1000*AX316)+(AX310/1000*AX319)</f>
        <v>277.6705079465064</v>
      </c>
      <c r="AY324" s="1401">
        <f>(AY309/1000*AY316)+(AY310/1000*AY319)</f>
        <v>231.69380209999997</v>
      </c>
      <c r="AZ324" s="1401">
        <f>(AZ309/1000*AZ316)+(AZ310/1000*AZ319)</f>
        <v>240.32549729999999</v>
      </c>
      <c r="BA324" s="1402">
        <f>(BA309/1000*BA316)+(BA310/1000*BA319)</f>
        <v>225.2200307</v>
      </c>
      <c r="BB324" s="1403">
        <f>SUM(AX324:BA324)</f>
        <v>974.90983804650637</v>
      </c>
      <c r="BC324" s="1400">
        <f>(BC309/1000*BC316)+(BC310/1000*BC319)</f>
        <v>253.236425024357</v>
      </c>
      <c r="BD324" s="1401">
        <f>(BD309/1000*BD316)+(BD310/1000*BD319)</f>
        <v>132.51954753707648</v>
      </c>
      <c r="BE324" s="1401">
        <f>(BE309/1000*BE316)+(BE310/1000*BE319)</f>
        <v>143.67979183293721</v>
      </c>
      <c r="BF324" s="1402">
        <f>(BF309/1000*BF316)+(BF310/1000*BF319)</f>
        <v>244.54853901469016</v>
      </c>
      <c r="BG324" s="1403">
        <f>SUM(BC324:BF324)</f>
        <v>773.98430340906089</v>
      </c>
      <c r="BH324" s="1400">
        <f>(BH309/1000*BH316)+(BH310/1000*BH319)</f>
        <v>250.30748246748436</v>
      </c>
      <c r="BI324" s="1401">
        <f>(BI309/1000*BI316)+(BI310/1000*BI319)</f>
        <v>131.28102649106646</v>
      </c>
      <c r="BJ324" s="1401">
        <f>(BJ309/1000*BJ316)+(BJ310/1000*BJ319)</f>
        <v>142.33696770337514</v>
      </c>
      <c r="BK324" s="1402">
        <f>(BK309/1000*BK316)+(BK310/1000*BK319)</f>
        <v>241.726738263995</v>
      </c>
      <c r="BL324" s="1403">
        <f>SUM(BH324:BK324)</f>
        <v>765.65221492592104</v>
      </c>
      <c r="BM324" s="1400">
        <f>(BM309/1000*BM316)+(BM310/1000*BM319)</f>
        <v>152.98264710000004</v>
      </c>
      <c r="BN324" s="1401">
        <f>(BN309/1000*BN316)+(BN310/1000*BN319)</f>
        <v>152.98264710000004</v>
      </c>
      <c r="BO324" s="1401">
        <f>(BO309/1000*BO316)+(BO310/1000*BO319)</f>
        <v>152.98264710000004</v>
      </c>
      <c r="BP324" s="1402">
        <f>(BP309/1000*BP316)+(BP310/1000*BP319)</f>
        <v>152.98264710000004</v>
      </c>
      <c r="BQ324" s="1403">
        <f>SUM(BM324:BP324)</f>
        <v>611.93058840000015</v>
      </c>
      <c r="BR324" s="87"/>
      <c r="BS324" s="87"/>
      <c r="BT324" s="12"/>
      <c r="BU324" s="91"/>
      <c r="BV324" s="91"/>
      <c r="BW324" s="91"/>
      <c r="BX324" s="91"/>
      <c r="BY324" s="91"/>
      <c r="BZ324" s="91"/>
      <c r="CA324" s="91"/>
      <c r="CB324" s="91"/>
      <c r="CC324" s="91"/>
      <c r="CD324" s="91"/>
      <c r="CE324" s="91"/>
      <c r="CF324" s="91"/>
      <c r="CG324" s="91"/>
      <c r="CH324" s="91"/>
      <c r="CI324" s="91"/>
      <c r="CJ324" s="91"/>
      <c r="CK324" s="91"/>
      <c r="CL324" s="91"/>
      <c r="CM324" s="91"/>
      <c r="CN324" s="91"/>
      <c r="CO324" s="91"/>
      <c r="CP324" s="91"/>
      <c r="CQ324" s="91"/>
      <c r="CR324" s="1018"/>
      <c r="CS324" s="1018"/>
      <c r="CT324" s="821"/>
      <c r="CU324" s="12"/>
      <c r="CV324" s="12"/>
      <c r="CW324" s="12"/>
      <c r="CX324" s="12"/>
      <c r="CY324" s="12"/>
      <c r="CZ324" s="91"/>
      <c r="DA324" s="91"/>
      <c r="DB324" s="91"/>
      <c r="DC324" s="91"/>
      <c r="DD324" s="91"/>
      <c r="DE324" s="91"/>
      <c r="DF324" s="12"/>
      <c r="DG324" s="12"/>
      <c r="DH324" s="12"/>
      <c r="DI324" s="12"/>
      <c r="DJ324" s="12"/>
      <c r="DK324" s="12"/>
      <c r="DL324" s="12"/>
      <c r="DM324" s="12"/>
      <c r="DN324" s="12"/>
    </row>
    <row r="325" spans="1:118" ht="12.75" customHeight="1">
      <c r="A325" s="91"/>
      <c r="B325" s="89"/>
      <c r="C325" s="1179" t="s">
        <v>683</v>
      </c>
      <c r="D325" s="89"/>
      <c r="E325" s="145"/>
      <c r="F325" s="146"/>
      <c r="G325" s="146"/>
      <c r="H325" s="147"/>
      <c r="I325" s="87"/>
      <c r="J325" s="145"/>
      <c r="K325" s="146"/>
      <c r="L325" s="146"/>
      <c r="M325" s="147"/>
      <c r="N325" s="89"/>
      <c r="O325" s="145"/>
      <c r="P325" s="146"/>
      <c r="Q325" s="146"/>
      <c r="R325" s="147"/>
      <c r="S325" s="89"/>
      <c r="T325" s="114"/>
      <c r="U325" s="115"/>
      <c r="V325" s="115"/>
      <c r="W325" s="105"/>
      <c r="X325" s="113"/>
      <c r="Y325" s="114">
        <f>Y311/1000*Y322</f>
        <v>160.08334354586538</v>
      </c>
      <c r="Z325" s="115">
        <f>Z311/1000*Z322</f>
        <v>160.94061760551921</v>
      </c>
      <c r="AA325" s="115">
        <f>AA311/1000*AA322</f>
        <v>155.16559107161535</v>
      </c>
      <c r="AB325" s="105">
        <f>AB311/1000*AB322</f>
        <v>152.21041161213458</v>
      </c>
      <c r="AC325" s="113">
        <f>SUM(Y325:AB325)</f>
        <v>628.39996383513449</v>
      </c>
      <c r="AD325" s="114">
        <f>AD311/1000*AD322</f>
        <v>229.68196504716346</v>
      </c>
      <c r="AE325" s="115">
        <f>AE311/1000*AE322</f>
        <v>220.43403361572123</v>
      </c>
      <c r="AF325" s="115">
        <f>AF311/1000*AF322</f>
        <v>210.60907526500964</v>
      </c>
      <c r="AG325" s="105">
        <f>AG311/1000*AG322</f>
        <v>206.86865076796153</v>
      </c>
      <c r="AH325" s="113">
        <f>SUM(AD325:AG325)</f>
        <v>867.59372469585583</v>
      </c>
      <c r="AI325" s="114">
        <f>AI311/1000*AI322</f>
        <v>199.30479790159612</v>
      </c>
      <c r="AJ325" s="115">
        <f>AJ311/1000*AJ322</f>
        <v>197.37395782468272</v>
      </c>
      <c r="AK325" s="115">
        <f>AK311/1000*AK322</f>
        <v>191.32142546394232</v>
      </c>
      <c r="AL325" s="105">
        <f>AL311/1000*AL322</f>
        <v>178.13331021634616</v>
      </c>
      <c r="AM325" s="113">
        <f>SUM(AI325:AL325)</f>
        <v>766.13349140656737</v>
      </c>
      <c r="AN325" s="114">
        <f>AN311/1000*AN322</f>
        <v>94.943000678076913</v>
      </c>
      <c r="AO325" s="115">
        <f>AO311/1000*AO322</f>
        <v>92.845045662115396</v>
      </c>
      <c r="AP325" s="115">
        <f>AP311/1000*AP322</f>
        <v>161.5325357625</v>
      </c>
      <c r="AQ325" s="105">
        <f>AQ311/1000*AQ322</f>
        <v>173.36683785245194</v>
      </c>
      <c r="AR325" s="113">
        <f>SUM(AN325:AQ325)</f>
        <v>522.68741995514426</v>
      </c>
      <c r="AS325" s="114">
        <f>AS311/1000*AS322</f>
        <v>112.13051679011538</v>
      </c>
      <c r="AT325" s="115">
        <f>AT311/1000*AT322</f>
        <v>112.13051679011538</v>
      </c>
      <c r="AU325" s="115">
        <f>AU311/1000*AU322</f>
        <v>112.9961286009231</v>
      </c>
      <c r="AV325" s="105">
        <f>AV311/1000*AV322</f>
        <v>121.88568617076929</v>
      </c>
      <c r="AW325" s="113">
        <f>SUM(AS325:AV325)</f>
        <v>459.14284835192313</v>
      </c>
      <c r="AX325" s="114">
        <f>AX311/1000*AX322</f>
        <v>220.99280968355771</v>
      </c>
      <c r="AY325" s="115">
        <f>AY311/1000*AY322</f>
        <v>185.90867294999998</v>
      </c>
      <c r="AZ325" s="115">
        <f>AZ311/1000*AZ322</f>
        <v>186.02242825687497</v>
      </c>
      <c r="BA325" s="105">
        <f>BA311/1000*BA322</f>
        <v>186.11993280562501</v>
      </c>
      <c r="BB325" s="113">
        <f>SUM(AX325:BA325)</f>
        <v>779.04384369605771</v>
      </c>
      <c r="BC325" s="114">
        <f>BC311/1000*BC322</f>
        <v>183.67166815951074</v>
      </c>
      <c r="BD325" s="115">
        <f>BD311/1000*BD322</f>
        <v>104.95523894829186</v>
      </c>
      <c r="BE325" s="115">
        <f>BE311/1000*BE322</f>
        <v>104.95523894829186</v>
      </c>
      <c r="BF325" s="105">
        <f>BF311/1000*BF322</f>
        <v>205.16527259396784</v>
      </c>
      <c r="BG325" s="113">
        <f>SUM(BC325:BF325)</f>
        <v>598.74741865006229</v>
      </c>
      <c r="BH325" s="114">
        <f>BH311/1000*BH322</f>
        <v>183.67166815951074</v>
      </c>
      <c r="BI325" s="115">
        <f>BI311/1000*BI322</f>
        <v>104.95523894829186</v>
      </c>
      <c r="BJ325" s="115">
        <f>BJ311/1000*BJ322</f>
        <v>104.95523894829186</v>
      </c>
      <c r="BK325" s="105">
        <f>BK311/1000*BK322</f>
        <v>205.16527259396784</v>
      </c>
      <c r="BL325" s="113">
        <f>SUM(BH325:BK325)</f>
        <v>598.74741865006229</v>
      </c>
      <c r="BM325" s="114">
        <f>BM311/1000*BM322</f>
        <v>104.95523894829186</v>
      </c>
      <c r="BN325" s="115">
        <f>BN311/1000*BN322</f>
        <v>104.95523894829186</v>
      </c>
      <c r="BO325" s="115">
        <f>BO311/1000*BO322</f>
        <v>104.95523894829186</v>
      </c>
      <c r="BP325" s="105">
        <f>BP311/1000*BP322</f>
        <v>117.23729862512451</v>
      </c>
      <c r="BQ325" s="113">
        <f>SUM(BM325:BP325)</f>
        <v>432.10301547000006</v>
      </c>
      <c r="BR325" s="87"/>
      <c r="BS325" s="87"/>
      <c r="BT325" s="12"/>
      <c r="BU325" s="91"/>
      <c r="BV325" s="91"/>
      <c r="BW325" s="91"/>
      <c r="BX325" s="91"/>
      <c r="BY325" s="91"/>
      <c r="BZ325" s="91"/>
      <c r="CA325" s="91"/>
      <c r="CB325" s="91"/>
      <c r="CC325" s="91"/>
      <c r="CD325" s="91"/>
      <c r="CE325" s="91"/>
      <c r="CF325" s="91"/>
      <c r="CG325" s="91"/>
      <c r="CH325" s="91"/>
      <c r="CI325" s="91"/>
      <c r="CJ325" s="91"/>
      <c r="CK325" s="91"/>
      <c r="CL325" s="91"/>
      <c r="CM325" s="91"/>
      <c r="CN325" s="91"/>
      <c r="CO325" s="91"/>
      <c r="CP325" s="91"/>
      <c r="CQ325" s="91"/>
      <c r="CR325" s="1018"/>
      <c r="CS325" s="1018"/>
      <c r="CT325" s="821"/>
      <c r="CU325" s="12"/>
      <c r="CV325" s="12"/>
      <c r="CW325" s="12"/>
      <c r="CX325" s="12"/>
      <c r="CY325" s="12"/>
      <c r="CZ325" s="91"/>
      <c r="DA325" s="91"/>
      <c r="DB325" s="91"/>
      <c r="DC325" s="91"/>
      <c r="DD325" s="91"/>
      <c r="DE325" s="91"/>
      <c r="DF325" s="12"/>
      <c r="DG325" s="12"/>
      <c r="DH325" s="12"/>
      <c r="DI325" s="12"/>
      <c r="DJ325" s="12"/>
      <c r="DK325" s="12"/>
      <c r="DL325" s="12"/>
      <c r="DM325" s="12"/>
      <c r="DN325" s="12"/>
    </row>
    <row r="326" spans="1:118" ht="12.75" customHeight="1">
      <c r="A326" s="91"/>
      <c r="B326" s="88"/>
      <c r="C326" s="1186" t="s">
        <v>567</v>
      </c>
      <c r="D326" s="88"/>
      <c r="E326" s="214"/>
      <c r="F326" s="148"/>
      <c r="G326" s="148"/>
      <c r="H326" s="215"/>
      <c r="I326" s="87"/>
      <c r="J326" s="214"/>
      <c r="K326" s="148"/>
      <c r="L326" s="148"/>
      <c r="M326" s="215"/>
      <c r="N326" s="88"/>
      <c r="O326" s="214"/>
      <c r="P326" s="148"/>
      <c r="Q326" s="148"/>
      <c r="R326" s="215"/>
      <c r="S326" s="88"/>
      <c r="T326" s="106"/>
      <c r="U326" s="76"/>
      <c r="V326" s="76"/>
      <c r="W326" s="107"/>
      <c r="X326" s="93"/>
      <c r="Y326" s="106">
        <f t="shared" ref="Y326:AR326" si="555">Y324-Y325</f>
        <v>30.776343524897953</v>
      </c>
      <c r="Z326" s="76">
        <f t="shared" si="555"/>
        <v>48.94518521244828</v>
      </c>
      <c r="AA326" s="76">
        <f t="shared" si="555"/>
        <v>54.546817082741313</v>
      </c>
      <c r="AB326" s="107">
        <f>AB324-AB325</f>
        <v>28.615161005006712</v>
      </c>
      <c r="AC326" s="93">
        <f t="shared" si="555"/>
        <v>162.8835068250944</v>
      </c>
      <c r="AD326" s="106">
        <f t="shared" si="555"/>
        <v>284.13639571098963</v>
      </c>
      <c r="AE326" s="76">
        <f t="shared" si="555"/>
        <v>92.109229990515672</v>
      </c>
      <c r="AF326" s="76">
        <f t="shared" si="555"/>
        <v>35.989806142600145</v>
      </c>
      <c r="AG326" s="107">
        <f t="shared" si="555"/>
        <v>59.078391515255419</v>
      </c>
      <c r="AH326" s="93">
        <f t="shared" si="555"/>
        <v>471.31382335936087</v>
      </c>
      <c r="AI326" s="106">
        <f t="shared" si="555"/>
        <v>90.896131837440663</v>
      </c>
      <c r="AJ326" s="76">
        <f t="shared" si="555"/>
        <v>35.588441548211307</v>
      </c>
      <c r="AK326" s="76">
        <f t="shared" si="555"/>
        <v>33.561484019807438</v>
      </c>
      <c r="AL326" s="107">
        <f t="shared" si="555"/>
        <v>22.807093322822624</v>
      </c>
      <c r="AM326" s="93">
        <f t="shared" si="555"/>
        <v>182.85315072828189</v>
      </c>
      <c r="AN326" s="106">
        <f t="shared" si="555"/>
        <v>21.653972174186592</v>
      </c>
      <c r="AO326" s="76">
        <f t="shared" si="555"/>
        <v>40.158324297905281</v>
      </c>
      <c r="AP326" s="76">
        <f t="shared" ref="AP326" si="556">AP324-AP325</f>
        <v>70.088851831451109</v>
      </c>
      <c r="AQ326" s="107">
        <f t="shared" si="555"/>
        <v>44.328314308300747</v>
      </c>
      <c r="AR326" s="93">
        <f t="shared" si="555"/>
        <v>176.2294626118437</v>
      </c>
      <c r="AS326" s="106">
        <f t="shared" ref="AS326" si="557">AS324-AS325</f>
        <v>28.201705800158138</v>
      </c>
      <c r="AT326" s="76">
        <f t="shared" ref="AT326:BB326" si="558">AT324-AT325</f>
        <v>28.201705800158138</v>
      </c>
      <c r="AU326" s="76">
        <f t="shared" ref="AU326" si="559">AU324-AU325</f>
        <v>42.335345529618337</v>
      </c>
      <c r="AV326" s="107">
        <f t="shared" si="558"/>
        <v>14.399423674876218</v>
      </c>
      <c r="AW326" s="93">
        <f t="shared" si="558"/>
        <v>113.13818080481087</v>
      </c>
      <c r="AX326" s="106">
        <f t="shared" si="558"/>
        <v>56.677698262948695</v>
      </c>
      <c r="AY326" s="76">
        <f t="shared" si="558"/>
        <v>45.785129149999989</v>
      </c>
      <c r="AZ326" s="76">
        <f t="shared" si="558"/>
        <v>54.303069043125021</v>
      </c>
      <c r="BA326" s="107">
        <f t="shared" si="558"/>
        <v>39.100097894374983</v>
      </c>
      <c r="BB326" s="93">
        <f t="shared" si="558"/>
        <v>195.86599435044866</v>
      </c>
      <c r="BC326" s="106">
        <f t="shared" ref="BC326:BL326" si="560">BC324-BC325</f>
        <v>69.56475686484626</v>
      </c>
      <c r="BD326" s="76">
        <f t="shared" si="560"/>
        <v>27.564308588784613</v>
      </c>
      <c r="BE326" s="76">
        <f t="shared" si="560"/>
        <v>38.724552884645348</v>
      </c>
      <c r="BF326" s="107">
        <f t="shared" si="560"/>
        <v>39.383266420722322</v>
      </c>
      <c r="BG326" s="93">
        <f t="shared" si="560"/>
        <v>175.2368847589986</v>
      </c>
      <c r="BH326" s="106">
        <f t="shared" si="560"/>
        <v>66.635814307973618</v>
      </c>
      <c r="BI326" s="76">
        <f t="shared" si="560"/>
        <v>26.325787542774592</v>
      </c>
      <c r="BJ326" s="76">
        <f t="shared" si="560"/>
        <v>37.381728755083273</v>
      </c>
      <c r="BK326" s="107">
        <f t="shared" si="560"/>
        <v>36.561465670027161</v>
      </c>
      <c r="BL326" s="93">
        <f t="shared" si="560"/>
        <v>166.90479627585876</v>
      </c>
      <c r="BM326" s="106">
        <f t="shared" ref="BM326:BQ326" si="561">BM324-BM325</f>
        <v>48.027408151708173</v>
      </c>
      <c r="BN326" s="76">
        <f t="shared" si="561"/>
        <v>48.027408151708173</v>
      </c>
      <c r="BO326" s="76">
        <f t="shared" si="561"/>
        <v>48.027408151708173</v>
      </c>
      <c r="BP326" s="107">
        <f t="shared" si="561"/>
        <v>35.745348474875527</v>
      </c>
      <c r="BQ326" s="93">
        <f t="shared" si="561"/>
        <v>179.82757293000009</v>
      </c>
      <c r="BR326" s="87"/>
      <c r="BS326" s="87"/>
      <c r="BT326" s="12"/>
      <c r="BU326" s="91"/>
      <c r="BV326" s="91"/>
      <c r="BW326" s="91"/>
      <c r="BX326" s="91"/>
      <c r="BY326" s="91"/>
      <c r="BZ326" s="91"/>
      <c r="CA326" s="91"/>
      <c r="CB326" s="91"/>
      <c r="CC326" s="91"/>
      <c r="CD326" s="91"/>
      <c r="CE326" s="91"/>
      <c r="CF326" s="91"/>
      <c r="CG326" s="91"/>
      <c r="CH326" s="91"/>
      <c r="CI326" s="91"/>
      <c r="CJ326" s="91"/>
      <c r="CK326" s="91"/>
      <c r="CL326" s="91"/>
      <c r="CM326" s="91"/>
      <c r="CN326" s="91"/>
      <c r="CO326" s="91"/>
      <c r="CP326" s="91"/>
      <c r="CQ326" s="91"/>
      <c r="CR326" s="1018"/>
      <c r="CS326" s="1018"/>
      <c r="CT326" s="821"/>
      <c r="CU326" s="12"/>
      <c r="CV326" s="12"/>
      <c r="CW326" s="12"/>
      <c r="CX326" s="12"/>
      <c r="CY326" s="12"/>
      <c r="CZ326" s="91"/>
      <c r="DA326" s="91"/>
      <c r="DB326" s="91"/>
      <c r="DC326" s="91"/>
      <c r="DD326" s="91"/>
      <c r="DE326" s="91"/>
      <c r="DF326" s="12"/>
      <c r="DG326" s="12"/>
      <c r="DH326" s="12"/>
      <c r="DI326" s="12"/>
      <c r="DJ326" s="12"/>
      <c r="DK326" s="12"/>
      <c r="DL326" s="12"/>
      <c r="DM326" s="12"/>
      <c r="DN326" s="12"/>
    </row>
    <row r="327" spans="1:118" ht="12.75" customHeight="1">
      <c r="A327" s="91"/>
      <c r="B327" s="88"/>
      <c r="C327" s="1186"/>
      <c r="D327" s="88"/>
      <c r="E327" s="214"/>
      <c r="F327" s="148"/>
      <c r="G327" s="148"/>
      <c r="H327" s="215"/>
      <c r="I327" s="87"/>
      <c r="J327" s="214"/>
      <c r="K327" s="148"/>
      <c r="L327" s="148"/>
      <c r="M327" s="215"/>
      <c r="N327" s="88"/>
      <c r="O327" s="214"/>
      <c r="P327" s="148"/>
      <c r="Q327" s="148"/>
      <c r="R327" s="215"/>
      <c r="S327" s="88"/>
      <c r="T327" s="106"/>
      <c r="U327" s="76"/>
      <c r="V327" s="76"/>
      <c r="W327" s="107"/>
      <c r="X327" s="93"/>
      <c r="Y327" s="106"/>
      <c r="Z327" s="76"/>
      <c r="AA327" s="76"/>
      <c r="AB327" s="107"/>
      <c r="AC327" s="93"/>
      <c r="AD327" s="106"/>
      <c r="AE327" s="76"/>
      <c r="AF327" s="76"/>
      <c r="AG327" s="107"/>
      <c r="AH327" s="93"/>
      <c r="AI327" s="106"/>
      <c r="AJ327" s="76"/>
      <c r="AK327" s="76"/>
      <c r="AL327" s="107"/>
      <c r="AM327" s="93"/>
      <c r="AN327" s="106"/>
      <c r="AO327" s="76"/>
      <c r="AP327" s="76"/>
      <c r="AQ327" s="107"/>
      <c r="AR327" s="93"/>
      <c r="AS327" s="106"/>
      <c r="AT327" s="76"/>
      <c r="AU327" s="76"/>
      <c r="AV327" s="107"/>
      <c r="AW327" s="93"/>
      <c r="AX327" s="106"/>
      <c r="AY327" s="76"/>
      <c r="AZ327" s="76"/>
      <c r="BA327" s="107"/>
      <c r="BB327" s="93"/>
      <c r="BC327" s="106"/>
      <c r="BD327" s="76"/>
      <c r="BE327" s="76"/>
      <c r="BF327" s="107"/>
      <c r="BG327" s="93"/>
      <c r="BH327" s="106"/>
      <c r="BI327" s="76"/>
      <c r="BJ327" s="76"/>
      <c r="BK327" s="107"/>
      <c r="BL327" s="93"/>
      <c r="BM327" s="106"/>
      <c r="BN327" s="76"/>
      <c r="BO327" s="76"/>
      <c r="BP327" s="107"/>
      <c r="BQ327" s="93"/>
      <c r="BR327" s="87"/>
      <c r="BS327" s="87"/>
      <c r="BT327" s="12"/>
      <c r="BU327" s="91"/>
      <c r="BV327" s="91"/>
      <c r="BW327" s="91"/>
      <c r="BX327" s="91"/>
      <c r="BY327" s="91"/>
      <c r="BZ327" s="91"/>
      <c r="CA327" s="91"/>
      <c r="CB327" s="91"/>
      <c r="CC327" s="91"/>
      <c r="CD327" s="91"/>
      <c r="CE327" s="91"/>
      <c r="CF327" s="91"/>
      <c r="CG327" s="91"/>
      <c r="CH327" s="91"/>
      <c r="CI327" s="91"/>
      <c r="CJ327" s="91"/>
      <c r="CK327" s="91"/>
      <c r="CL327" s="91"/>
      <c r="CM327" s="91"/>
      <c r="CN327" s="91"/>
      <c r="CO327" s="91"/>
      <c r="CP327" s="91"/>
      <c r="CQ327" s="91"/>
      <c r="CR327" s="1018"/>
      <c r="CS327" s="1018"/>
      <c r="CT327" s="821"/>
      <c r="CU327" s="12"/>
      <c r="CV327" s="12"/>
      <c r="CW327" s="12"/>
      <c r="CX327" s="12"/>
      <c r="CY327" s="12"/>
      <c r="CZ327" s="91"/>
      <c r="DA327" s="91"/>
      <c r="DB327" s="91"/>
      <c r="DC327" s="91"/>
      <c r="DD327" s="91"/>
      <c r="DE327" s="91"/>
      <c r="DF327" s="12"/>
      <c r="DG327" s="12"/>
      <c r="DH327" s="12"/>
      <c r="DI327" s="12"/>
      <c r="DJ327" s="12"/>
      <c r="DK327" s="12"/>
      <c r="DL327" s="12"/>
      <c r="DM327" s="12"/>
      <c r="DN327" s="12"/>
    </row>
    <row r="328" spans="1:118" ht="12.75" customHeight="1">
      <c r="A328" s="91"/>
      <c r="B328" s="89"/>
      <c r="C328" s="1255" t="s">
        <v>560</v>
      </c>
      <c r="D328" s="89"/>
      <c r="E328" s="145"/>
      <c r="F328" s="146"/>
      <c r="G328" s="146"/>
      <c r="H328" s="147"/>
      <c r="I328" s="1021"/>
      <c r="J328" s="145"/>
      <c r="K328" s="146"/>
      <c r="L328" s="146"/>
      <c r="M328" s="147"/>
      <c r="N328" s="89"/>
      <c r="O328" s="145"/>
      <c r="P328" s="146"/>
      <c r="Q328" s="146"/>
      <c r="R328" s="147"/>
      <c r="S328" s="89"/>
      <c r="T328" s="145"/>
      <c r="U328" s="146"/>
      <c r="V328" s="146"/>
      <c r="W328" s="147"/>
      <c r="X328" s="89"/>
      <c r="Y328" s="145"/>
      <c r="Z328" s="146"/>
      <c r="AA328" s="146"/>
      <c r="AB328" s="147"/>
      <c r="AC328" s="89"/>
      <c r="AD328" s="145"/>
      <c r="AE328" s="146"/>
      <c r="AF328" s="146"/>
      <c r="AG328" s="147"/>
      <c r="AH328" s="89"/>
      <c r="AI328" s="145"/>
      <c r="AJ328" s="146"/>
      <c r="AK328" s="146"/>
      <c r="AL328" s="147"/>
      <c r="AM328" s="89"/>
      <c r="AN328" s="145"/>
      <c r="AO328" s="146"/>
      <c r="AP328" s="146"/>
      <c r="AQ328" s="147"/>
      <c r="AR328" s="89"/>
      <c r="AS328" s="145"/>
      <c r="AT328" s="146"/>
      <c r="AU328" s="146"/>
      <c r="AV328" s="147"/>
      <c r="AW328" s="89"/>
      <c r="AX328" s="145"/>
      <c r="AY328" s="146"/>
      <c r="AZ328" s="146"/>
      <c r="BA328" s="147"/>
      <c r="BB328" s="89"/>
      <c r="BC328" s="145"/>
      <c r="BD328" s="146"/>
      <c r="BE328" s="146"/>
      <c r="BF328" s="147"/>
      <c r="BG328" s="89"/>
      <c r="BH328" s="145"/>
      <c r="BI328" s="146"/>
      <c r="BJ328" s="146"/>
      <c r="BK328" s="147"/>
      <c r="BL328" s="89"/>
      <c r="BM328" s="145"/>
      <c r="BN328" s="146"/>
      <c r="BO328" s="146"/>
      <c r="BP328" s="147"/>
      <c r="BQ328" s="89"/>
      <c r="BR328" s="87"/>
      <c r="BS328" s="87"/>
      <c r="BT328" s="12"/>
      <c r="BU328" s="12"/>
      <c r="BV328" s="12"/>
      <c r="BW328" s="12"/>
      <c r="BX328" s="12"/>
      <c r="BY328" s="12"/>
      <c r="BZ328" s="12"/>
      <c r="CA328" s="12"/>
      <c r="CB328" s="12"/>
      <c r="CC328" s="12"/>
      <c r="CD328" s="12"/>
      <c r="CE328" s="91"/>
      <c r="CF328" s="91"/>
      <c r="CG328" s="91"/>
      <c r="CH328" s="91"/>
      <c r="CI328" s="91"/>
      <c r="CJ328" s="91"/>
      <c r="CK328" s="91"/>
      <c r="CL328" s="91"/>
      <c r="CM328" s="91"/>
      <c r="CN328" s="91"/>
      <c r="CO328" s="91"/>
      <c r="CP328" s="91"/>
      <c r="CQ328" s="91"/>
      <c r="CR328" s="1018"/>
      <c r="CS328" s="1018"/>
      <c r="CT328" s="821"/>
      <c r="CU328" s="12"/>
      <c r="CV328" s="12"/>
      <c r="CW328" s="12"/>
      <c r="CX328" s="12"/>
      <c r="CY328" s="12"/>
      <c r="CZ328" s="91"/>
      <c r="DA328" s="91"/>
      <c r="DB328" s="91"/>
      <c r="DC328" s="91"/>
      <c r="DD328" s="91"/>
      <c r="DE328" s="91"/>
      <c r="DF328" s="12"/>
      <c r="DG328" s="12"/>
      <c r="DH328" s="12"/>
      <c r="DI328" s="12"/>
      <c r="DJ328" s="12"/>
      <c r="DK328" s="12"/>
      <c r="DL328" s="12"/>
      <c r="DM328" s="12"/>
      <c r="DN328" s="12"/>
    </row>
    <row r="329" spans="1:118" ht="12.75" customHeight="1">
      <c r="A329" s="91"/>
      <c r="B329" s="89"/>
      <c r="C329" s="120" t="s">
        <v>579</v>
      </c>
      <c r="D329" s="89"/>
      <c r="E329" s="145"/>
      <c r="F329" s="146"/>
      <c r="G329" s="146"/>
      <c r="H329" s="147"/>
      <c r="I329" s="89"/>
      <c r="J329" s="145"/>
      <c r="K329" s="146"/>
      <c r="L329" s="146"/>
      <c r="M329" s="147"/>
      <c r="N329" s="89"/>
      <c r="O329" s="145"/>
      <c r="P329" s="146"/>
      <c r="Q329" s="146"/>
      <c r="R329" s="147"/>
      <c r="S329" s="89"/>
      <c r="T329" s="342"/>
      <c r="U329" s="150"/>
      <c r="V329" s="150"/>
      <c r="W329" s="343"/>
      <c r="X329" s="327"/>
      <c r="Y329" s="342">
        <f>+Y$67</f>
        <v>41.997815863095234</v>
      </c>
      <c r="Z329" s="150">
        <f t="shared" ref="Z329:BQ329" si="562">+Z$67</f>
        <v>45.53030431640623</v>
      </c>
      <c r="AA329" s="150">
        <f t="shared" si="562"/>
        <v>48.136464199218771</v>
      </c>
      <c r="AB329" s="343">
        <f t="shared" si="562"/>
        <v>40.193486718750009</v>
      </c>
      <c r="AC329" s="327">
        <f t="shared" si="562"/>
        <v>43.964517774367565</v>
      </c>
      <c r="AD329" s="342">
        <f t="shared" si="562"/>
        <v>113.57858770833332</v>
      </c>
      <c r="AE329" s="150">
        <f t="shared" si="562"/>
        <v>50.488559589843781</v>
      </c>
      <c r="AF329" s="150">
        <f t="shared" si="562"/>
        <v>41.389708935546885</v>
      </c>
      <c r="AG329" s="343">
        <f t="shared" si="562"/>
        <v>40.371172851562484</v>
      </c>
      <c r="AH329" s="327">
        <f t="shared" si="562"/>
        <v>61.457007271321615</v>
      </c>
      <c r="AI329" s="342">
        <f t="shared" si="562"/>
        <v>56.866776517857161</v>
      </c>
      <c r="AJ329" s="150">
        <f t="shared" si="562"/>
        <v>39.147263818359377</v>
      </c>
      <c r="AK329" s="150">
        <f t="shared" si="562"/>
        <v>39.464831807692292</v>
      </c>
      <c r="AL329" s="343">
        <f t="shared" si="562"/>
        <v>31.895178447265621</v>
      </c>
      <c r="AM329" s="327">
        <f t="shared" si="562"/>
        <v>41.843512647793617</v>
      </c>
      <c r="AN329" s="342">
        <f t="shared" si="562"/>
        <v>30.103148642578116</v>
      </c>
      <c r="AO329" s="150">
        <f t="shared" si="562"/>
        <v>32.701806339843749</v>
      </c>
      <c r="AP329" s="150">
        <f t="shared" si="562"/>
        <v>38.936782353515625</v>
      </c>
      <c r="AQ329" s="343">
        <f t="shared" si="562"/>
        <v>33.269796091269853</v>
      </c>
      <c r="AR329" s="327">
        <f t="shared" si="562"/>
        <v>33.752883356801831</v>
      </c>
      <c r="AS329" s="342">
        <f t="shared" si="562"/>
        <v>32.803312458984372</v>
      </c>
      <c r="AT329" s="150">
        <f t="shared" si="562"/>
        <v>32.803312458984372</v>
      </c>
      <c r="AU329" s="150">
        <f t="shared" si="562"/>
        <v>35.491018034722231</v>
      </c>
      <c r="AV329" s="343">
        <f t="shared" si="562"/>
        <v>37.44785995039684</v>
      </c>
      <c r="AW329" s="327">
        <f t="shared" si="562"/>
        <v>34.636375725771956</v>
      </c>
      <c r="AX329" s="342">
        <f t="shared" si="562"/>
        <v>48.149713212890617</v>
      </c>
      <c r="AY329" s="150">
        <f t="shared" si="562"/>
        <v>34.5</v>
      </c>
      <c r="AZ329" s="150">
        <f t="shared" si="562"/>
        <v>36.9</v>
      </c>
      <c r="BA329" s="343">
        <f t="shared" si="562"/>
        <v>34.68333333333333</v>
      </c>
      <c r="BB329" s="327">
        <f t="shared" si="562"/>
        <v>38.55826163655599</v>
      </c>
      <c r="BC329" s="342">
        <f t="shared" si="562"/>
        <v>40.501333218824755</v>
      </c>
      <c r="BD329" s="150">
        <f t="shared" si="562"/>
        <v>29.678493986239484</v>
      </c>
      <c r="BE329" s="150">
        <f t="shared" si="562"/>
        <v>32.100602483050345</v>
      </c>
      <c r="BF329" s="343">
        <f t="shared" si="562"/>
        <v>39.002903645085446</v>
      </c>
      <c r="BG329" s="327">
        <f t="shared" si="562"/>
        <v>35.320833333300008</v>
      </c>
      <c r="BH329" s="342">
        <f t="shared" si="562"/>
        <v>40.405777401430242</v>
      </c>
      <c r="BI329" s="150">
        <f t="shared" si="562"/>
        <v>29.608472766528742</v>
      </c>
      <c r="BJ329" s="150">
        <f t="shared" si="562"/>
        <v>32.024866721648337</v>
      </c>
      <c r="BK329" s="343">
        <f t="shared" si="562"/>
        <v>38.910883110392703</v>
      </c>
      <c r="BL329" s="327">
        <f t="shared" si="562"/>
        <v>35.237500000000004</v>
      </c>
      <c r="BM329" s="342">
        <f t="shared" si="562"/>
        <v>46.317231850089563</v>
      </c>
      <c r="BN329" s="150">
        <f t="shared" si="562"/>
        <v>24.886928307166592</v>
      </c>
      <c r="BO329" s="150">
        <f t="shared" si="562"/>
        <v>24.603015608248842</v>
      </c>
      <c r="BP329" s="343">
        <f t="shared" si="562"/>
        <v>47.392824234494974</v>
      </c>
      <c r="BQ329" s="327">
        <f t="shared" si="562"/>
        <v>35.79999999999999</v>
      </c>
      <c r="BR329" s="87"/>
      <c r="BS329" s="87"/>
      <c r="BT329" s="12"/>
      <c r="BU329" s="12"/>
      <c r="BV329" s="12"/>
      <c r="BW329" s="12"/>
      <c r="BX329" s="12"/>
      <c r="BY329" s="12"/>
      <c r="BZ329" s="12"/>
      <c r="CA329" s="12"/>
      <c r="CB329" s="12"/>
      <c r="CC329" s="12"/>
      <c r="CD329" s="12"/>
      <c r="CE329" s="12"/>
      <c r="CF329" s="12"/>
      <c r="CG329" s="91"/>
      <c r="CH329" s="91"/>
      <c r="CI329" s="91"/>
      <c r="CJ329" s="91"/>
      <c r="CK329" s="91"/>
      <c r="CL329" s="91"/>
      <c r="CM329" s="91"/>
      <c r="CN329" s="91"/>
      <c r="CO329" s="91"/>
      <c r="CP329" s="91"/>
      <c r="CQ329" s="91"/>
      <c r="CR329" s="1018"/>
      <c r="CS329" s="1018"/>
      <c r="CT329" s="821"/>
      <c r="CU329" s="12"/>
      <c r="CV329" s="12"/>
      <c r="CW329" s="12"/>
      <c r="CX329" s="12"/>
      <c r="CY329" s="12"/>
      <c r="CZ329" s="91"/>
      <c r="DA329" s="91"/>
      <c r="DB329" s="91"/>
      <c r="DC329" s="91"/>
      <c r="DD329" s="91"/>
      <c r="DE329" s="91"/>
      <c r="DF329" s="12"/>
      <c r="DG329" s="12"/>
      <c r="DH329" s="12"/>
      <c r="DI329" s="12"/>
      <c r="DJ329" s="12"/>
      <c r="DK329" s="12"/>
      <c r="DL329" s="12"/>
      <c r="DM329" s="12"/>
      <c r="DN329" s="12"/>
    </row>
    <row r="330" spans="1:118" ht="12.75" customHeight="1">
      <c r="A330" s="91"/>
      <c r="B330" s="89"/>
      <c r="C330" s="120" t="s">
        <v>584</v>
      </c>
      <c r="D330" s="89"/>
      <c r="E330" s="145"/>
      <c r="F330" s="146"/>
      <c r="G330" s="146"/>
      <c r="H330" s="147"/>
      <c r="I330" s="89"/>
      <c r="J330" s="145"/>
      <c r="K330" s="146"/>
      <c r="L330" s="146"/>
      <c r="M330" s="147"/>
      <c r="N330" s="89"/>
      <c r="O330" s="145"/>
      <c r="P330" s="146"/>
      <c r="Q330" s="146"/>
      <c r="R330" s="147"/>
      <c r="S330" s="89"/>
      <c r="T330" s="342"/>
      <c r="U330" s="150"/>
      <c r="V330" s="150"/>
      <c r="W330" s="343"/>
      <c r="X330" s="327"/>
      <c r="Y330" s="342">
        <f>+Y$68</f>
        <v>33.486062323832535</v>
      </c>
      <c r="Z330" s="150">
        <f t="shared" ref="Z330:BQ330" si="563">+Z$68</f>
        <v>29.612168522893782</v>
      </c>
      <c r="AA330" s="150">
        <f t="shared" si="563"/>
        <v>28.466996774909429</v>
      </c>
      <c r="AB330" s="343">
        <f t="shared" si="563"/>
        <v>31.005893446105066</v>
      </c>
      <c r="AC330" s="327">
        <f t="shared" si="563"/>
        <v>30.642780266935201</v>
      </c>
      <c r="AD330" s="342">
        <f t="shared" si="563"/>
        <v>78.280771197463764</v>
      </c>
      <c r="AE330" s="150">
        <f t="shared" si="563"/>
        <v>30.680673397435903</v>
      </c>
      <c r="AF330" s="150">
        <f t="shared" si="563"/>
        <v>27.413026009963776</v>
      </c>
      <c r="AG330" s="343">
        <f t="shared" si="563"/>
        <v>29.952876293025366</v>
      </c>
      <c r="AH330" s="327">
        <f t="shared" si="563"/>
        <v>41.581836724472197</v>
      </c>
      <c r="AI330" s="342">
        <f t="shared" si="563"/>
        <v>44.217764477254434</v>
      </c>
      <c r="AJ330" s="150">
        <f t="shared" si="563"/>
        <v>25.028568056318672</v>
      </c>
      <c r="AK330" s="150">
        <f t="shared" si="563"/>
        <v>23.22481523731884</v>
      </c>
      <c r="AL330" s="343">
        <f t="shared" si="563"/>
        <v>22.109061745018124</v>
      </c>
      <c r="AM330" s="327">
        <f t="shared" si="563"/>
        <v>28.645052378977518</v>
      </c>
      <c r="AN330" s="342">
        <f t="shared" si="563"/>
        <v>23.988923446826721</v>
      </c>
      <c r="AO330" s="150">
        <f t="shared" si="563"/>
        <v>21.266628026098903</v>
      </c>
      <c r="AP330" s="150">
        <f t="shared" si="563"/>
        <v>22.9101000946558</v>
      </c>
      <c r="AQ330" s="343">
        <f t="shared" si="563"/>
        <v>25.259746692934794</v>
      </c>
      <c r="AR330" s="327">
        <f t="shared" si="563"/>
        <v>23.356349565129054</v>
      </c>
      <c r="AS330" s="342">
        <f t="shared" si="563"/>
        <v>22.121270426282049</v>
      </c>
      <c r="AT330" s="150">
        <f t="shared" si="563"/>
        <v>22.121270426282049</v>
      </c>
      <c r="AU330" s="150">
        <f t="shared" si="563"/>
        <v>21.948979516304348</v>
      </c>
      <c r="AV330" s="343">
        <f t="shared" si="563"/>
        <v>28.679605414130432</v>
      </c>
      <c r="AW330" s="327">
        <f t="shared" si="563"/>
        <v>23.717781445749722</v>
      </c>
      <c r="AX330" s="342">
        <f t="shared" si="563"/>
        <v>43.803590137359109</v>
      </c>
      <c r="AY330" s="150">
        <f t="shared" si="563"/>
        <v>24.95</v>
      </c>
      <c r="AZ330" s="150">
        <f t="shared" si="563"/>
        <v>24.783333333333335</v>
      </c>
      <c r="BA330" s="343">
        <f t="shared" si="563"/>
        <v>25.683333333333334</v>
      </c>
      <c r="BB330" s="327">
        <f t="shared" si="563"/>
        <v>29.805064201006445</v>
      </c>
      <c r="BC330" s="342">
        <f t="shared" si="563"/>
        <v>32.710239316820804</v>
      </c>
      <c r="BD330" s="150">
        <f t="shared" si="563"/>
        <v>20.631697104333988</v>
      </c>
      <c r="BE330" s="150">
        <f t="shared" si="563"/>
        <v>20.527571740433242</v>
      </c>
      <c r="BF330" s="343">
        <f t="shared" si="563"/>
        <v>31.938458504811976</v>
      </c>
      <c r="BG330" s="327">
        <f t="shared" si="563"/>
        <v>26.451991666600001</v>
      </c>
      <c r="BH330" s="342">
        <f t="shared" si="563"/>
        <v>32.33891227956417</v>
      </c>
      <c r="BI330" s="150">
        <f t="shared" si="563"/>
        <v>20.397485826173483</v>
      </c>
      <c r="BJ330" s="150">
        <f t="shared" si="563"/>
        <v>20.29454249467874</v>
      </c>
      <c r="BK330" s="343">
        <f t="shared" si="563"/>
        <v>31.575892732783618</v>
      </c>
      <c r="BL330" s="327">
        <f t="shared" si="563"/>
        <v>26.1517083333</v>
      </c>
      <c r="BM330" s="342">
        <f t="shared" si="563"/>
        <v>28.731971222365488</v>
      </c>
      <c r="BN330" s="150">
        <f t="shared" si="563"/>
        <v>19.95374749428041</v>
      </c>
      <c r="BO330" s="150">
        <f t="shared" si="563"/>
        <v>19.463077695980385</v>
      </c>
      <c r="BP330" s="343">
        <f t="shared" si="563"/>
        <v>27.287156762167378</v>
      </c>
      <c r="BQ330" s="327">
        <f t="shared" si="563"/>
        <v>23.858988293698417</v>
      </c>
      <c r="BR330" s="87"/>
      <c r="BS330" s="87"/>
      <c r="BT330" s="12"/>
      <c r="BU330" s="91"/>
      <c r="BV330" s="91"/>
      <c r="BW330" s="91"/>
      <c r="BX330" s="91"/>
      <c r="BY330" s="91"/>
      <c r="BZ330" s="91"/>
      <c r="CA330" s="91"/>
      <c r="CB330" s="91"/>
      <c r="CC330" s="91"/>
      <c r="CD330" s="91"/>
      <c r="CE330" s="12"/>
      <c r="CF330" s="12"/>
      <c r="CG330" s="91"/>
      <c r="CH330" s="91"/>
      <c r="CI330" s="91"/>
      <c r="CJ330" s="91"/>
      <c r="CK330" s="91"/>
      <c r="CL330" s="91"/>
      <c r="CM330" s="91"/>
      <c r="CN330" s="91"/>
      <c r="CO330" s="91"/>
      <c r="CP330" s="91"/>
      <c r="CQ330" s="91"/>
      <c r="CR330" s="1018"/>
      <c r="CS330" s="1018"/>
      <c r="CT330" s="821"/>
      <c r="CU330" s="12"/>
      <c r="CV330" s="12"/>
      <c r="CW330" s="12"/>
      <c r="CX330" s="12"/>
      <c r="CY330" s="12"/>
      <c r="CZ330" s="91"/>
      <c r="DA330" s="91"/>
      <c r="DB330" s="91"/>
      <c r="DC330" s="91"/>
      <c r="DD330" s="91"/>
      <c r="DE330" s="91"/>
      <c r="DF330" s="12"/>
      <c r="DG330" s="12"/>
      <c r="DH330" s="12"/>
      <c r="DI330" s="12"/>
      <c r="DJ330" s="12"/>
      <c r="DK330" s="12"/>
      <c r="DL330" s="12"/>
      <c r="DM330" s="12"/>
      <c r="DN330" s="12"/>
    </row>
    <row r="331" spans="1:118" ht="12.75" customHeight="1">
      <c r="A331" s="91"/>
      <c r="B331" s="89"/>
      <c r="C331" s="1179" t="s">
        <v>573</v>
      </c>
      <c r="D331" s="89"/>
      <c r="E331" s="145"/>
      <c r="F331" s="146"/>
      <c r="G331" s="146"/>
      <c r="H331" s="147"/>
      <c r="I331" s="1070">
        <v>10500</v>
      </c>
      <c r="J331" s="145"/>
      <c r="K331" s="146"/>
      <c r="L331" s="146"/>
      <c r="M331" s="147"/>
      <c r="N331" s="89"/>
      <c r="O331" s="145"/>
      <c r="P331" s="146"/>
      <c r="Q331" s="146"/>
      <c r="R331" s="147"/>
      <c r="S331" s="89"/>
      <c r="T331" s="342"/>
      <c r="U331" s="150"/>
      <c r="V331" s="150"/>
      <c r="W331" s="343"/>
      <c r="X331" s="327"/>
      <c r="Y331" s="342">
        <f t="shared" ref="Y331:BB331" si="564">Y$306/24*$I331/1000</f>
        <v>31.886850961538464</v>
      </c>
      <c r="Z331" s="150">
        <f t="shared" si="564"/>
        <v>32.057610576923075</v>
      </c>
      <c r="AA331" s="150">
        <f t="shared" si="564"/>
        <v>30.907288461538453</v>
      </c>
      <c r="AB331" s="343">
        <f t="shared" si="564"/>
        <v>30.318649038461533</v>
      </c>
      <c r="AC331" s="327">
        <f t="shared" si="564"/>
        <v>31.292599759615381</v>
      </c>
      <c r="AD331" s="342">
        <f t="shared" si="564"/>
        <v>30.917283653846155</v>
      </c>
      <c r="AE331" s="150">
        <f t="shared" si="564"/>
        <v>29.672427884615395</v>
      </c>
      <c r="AF331" s="150">
        <f t="shared" si="564"/>
        <v>28.349899038461544</v>
      </c>
      <c r="AG331" s="343">
        <f t="shared" si="564"/>
        <v>27.846403846153848</v>
      </c>
      <c r="AH331" s="327">
        <f t="shared" si="564"/>
        <v>29.196503605769234</v>
      </c>
      <c r="AI331" s="342">
        <f t="shared" si="564"/>
        <v>26.828240384615381</v>
      </c>
      <c r="AJ331" s="150">
        <f t="shared" si="564"/>
        <v>26.568331730769238</v>
      </c>
      <c r="AK331" s="150">
        <f t="shared" si="564"/>
        <v>25.75360576923077</v>
      </c>
      <c r="AL331" s="343">
        <f t="shared" si="564"/>
        <v>23.978365384615387</v>
      </c>
      <c r="AM331" s="327">
        <f t="shared" si="564"/>
        <v>25.782135817307694</v>
      </c>
      <c r="AN331" s="342">
        <f t="shared" si="564"/>
        <v>22.365336538461534</v>
      </c>
      <c r="AO331" s="150">
        <f t="shared" si="564"/>
        <v>21.871129807692309</v>
      </c>
      <c r="AP331" s="150">
        <f t="shared" si="564"/>
        <v>21.743750000000002</v>
      </c>
      <c r="AQ331" s="343">
        <f t="shared" si="564"/>
        <v>23.336754807692309</v>
      </c>
      <c r="AR331" s="327">
        <f t="shared" si="564"/>
        <v>22.329242788461539</v>
      </c>
      <c r="AS331" s="342">
        <f t="shared" si="564"/>
        <v>26.414129807692305</v>
      </c>
      <c r="AT331" s="150">
        <f t="shared" si="564"/>
        <v>26.414129807692305</v>
      </c>
      <c r="AU331" s="150">
        <f t="shared" si="564"/>
        <v>26.618038461538465</v>
      </c>
      <c r="AV331" s="343">
        <f t="shared" si="564"/>
        <v>28.712115384615394</v>
      </c>
      <c r="AW331" s="327">
        <f t="shared" si="564"/>
        <v>27.039603365384622</v>
      </c>
      <c r="AX331" s="342">
        <f t="shared" si="564"/>
        <v>29.747644230769232</v>
      </c>
      <c r="AY331" s="150">
        <f t="shared" si="564"/>
        <v>25.024999999999999</v>
      </c>
      <c r="AZ331" s="150">
        <f t="shared" si="564"/>
        <v>25.040312499999999</v>
      </c>
      <c r="BA331" s="343">
        <f t="shared" si="564"/>
        <v>25.053437500000001</v>
      </c>
      <c r="BB331" s="327">
        <f t="shared" si="564"/>
        <v>26.216598557692308</v>
      </c>
      <c r="BC331" s="342">
        <f>BC$306/24*$I331/1000</f>
        <v>24.723878788204519</v>
      </c>
      <c r="BD331" s="150">
        <f>BD$306/24*$I331/1000</f>
        <v>24.723878788204519</v>
      </c>
      <c r="BE331" s="150">
        <f>BE$306/24*$I331/1000</f>
        <v>24.723878788204519</v>
      </c>
      <c r="BF331" s="343">
        <f>BF$306/24*$I331/1000</f>
        <v>27.617113635386453</v>
      </c>
      <c r="BG331" s="327">
        <f>BG$306/24*$I331/1000</f>
        <v>25.447187500000005</v>
      </c>
      <c r="BH331" s="342">
        <f t="shared" ref="BH331:BQ331" si="565">BH$306/24*$I331/1000+BH$95</f>
        <v>24.723878788204519</v>
      </c>
      <c r="BI331" s="150">
        <f t="shared" si="565"/>
        <v>24.723878788204519</v>
      </c>
      <c r="BJ331" s="150">
        <f t="shared" si="565"/>
        <v>24.723878788204519</v>
      </c>
      <c r="BK331" s="343">
        <f t="shared" si="565"/>
        <v>27.617113635386453</v>
      </c>
      <c r="BL331" s="327">
        <f t="shared" si="565"/>
        <v>25.447187500000005</v>
      </c>
      <c r="BM331" s="342">
        <f t="shared" si="565"/>
        <v>24.723878788204519</v>
      </c>
      <c r="BN331" s="150">
        <f t="shared" si="565"/>
        <v>24.723878788204519</v>
      </c>
      <c r="BO331" s="150">
        <f t="shared" si="565"/>
        <v>24.723878788204519</v>
      </c>
      <c r="BP331" s="343">
        <f t="shared" si="565"/>
        <v>27.617113635386453</v>
      </c>
      <c r="BQ331" s="327">
        <f t="shared" si="565"/>
        <v>25.447187500000005</v>
      </c>
      <c r="BR331" s="87"/>
      <c r="BS331" s="87"/>
      <c r="BT331" s="12"/>
      <c r="BU331" s="91"/>
      <c r="BV331" s="91"/>
      <c r="BW331" s="91"/>
      <c r="BX331" s="91"/>
      <c r="BY331" s="91"/>
      <c r="BZ331" s="91"/>
      <c r="CA331" s="91"/>
      <c r="CB331" s="91"/>
      <c r="CC331" s="91"/>
      <c r="CD331" s="91"/>
      <c r="CE331" s="91"/>
      <c r="CF331" s="91"/>
      <c r="CG331" s="91"/>
      <c r="CH331" s="91"/>
      <c r="CI331" s="91"/>
      <c r="CJ331" s="91"/>
      <c r="CK331" s="91"/>
      <c r="CL331" s="91"/>
      <c r="CM331" s="91"/>
      <c r="CN331" s="91"/>
      <c r="CO331" s="91"/>
      <c r="CP331" s="91"/>
      <c r="CQ331" s="91"/>
      <c r="CR331" s="1018"/>
      <c r="CS331" s="1018"/>
      <c r="CT331" s="821"/>
      <c r="CU331" s="12"/>
      <c r="CV331" s="12"/>
      <c r="CW331" s="12"/>
      <c r="CX331" s="12"/>
      <c r="CY331" s="12"/>
      <c r="CZ331" s="91"/>
      <c r="DA331" s="91"/>
      <c r="DB331" s="91"/>
      <c r="DC331" s="91"/>
      <c r="DD331" s="91"/>
      <c r="DE331" s="91"/>
      <c r="DF331" s="12"/>
      <c r="DG331" s="12"/>
      <c r="DH331" s="12"/>
      <c r="DI331" s="12"/>
      <c r="DJ331" s="12"/>
      <c r="DK331" s="12"/>
      <c r="DL331" s="12"/>
      <c r="DM331" s="12"/>
      <c r="DN331" s="12"/>
    </row>
    <row r="332" spans="1:118" ht="12.75" customHeight="1">
      <c r="A332" s="91"/>
      <c r="B332" s="89"/>
      <c r="C332" s="1184"/>
      <c r="D332" s="89"/>
      <c r="E332" s="145"/>
      <c r="F332" s="146"/>
      <c r="G332" s="146"/>
      <c r="H332" s="147"/>
      <c r="I332" s="87"/>
      <c r="J332" s="145"/>
      <c r="K332" s="146"/>
      <c r="L332" s="146"/>
      <c r="M332" s="147"/>
      <c r="N332" s="89"/>
      <c r="O332" s="145"/>
      <c r="P332" s="146"/>
      <c r="Q332" s="146"/>
      <c r="R332" s="147"/>
      <c r="S332" s="89"/>
      <c r="T332" s="145"/>
      <c r="U332" s="146"/>
      <c r="V332" s="146"/>
      <c r="W332" s="147"/>
      <c r="X332" s="89"/>
      <c r="Y332" s="145"/>
      <c r="Z332" s="146"/>
      <c r="AA332" s="146"/>
      <c r="AB332" s="147"/>
      <c r="AC332" s="89"/>
      <c r="AD332" s="145"/>
      <c r="AE332" s="146"/>
      <c r="AF332" s="146"/>
      <c r="AG332" s="147"/>
      <c r="AH332" s="89"/>
      <c r="AI332" s="145"/>
      <c r="AJ332" s="146"/>
      <c r="AK332" s="146"/>
      <c r="AL332" s="147"/>
      <c r="AM332" s="89"/>
      <c r="AN332" s="145"/>
      <c r="AO332" s="146"/>
      <c r="AP332" s="146"/>
      <c r="AQ332" s="147"/>
      <c r="AR332" s="89"/>
      <c r="AS332" s="145"/>
      <c r="AT332" s="146"/>
      <c r="AU332" s="146"/>
      <c r="AV332" s="147"/>
      <c r="AW332" s="89"/>
      <c r="AX332" s="145"/>
      <c r="AY332" s="146"/>
      <c r="AZ332" s="146"/>
      <c r="BA332" s="147"/>
      <c r="BB332" s="89"/>
      <c r="BC332" s="145"/>
      <c r="BD332" s="146"/>
      <c r="BE332" s="146"/>
      <c r="BF332" s="147"/>
      <c r="BG332" s="89"/>
      <c r="BH332" s="145"/>
      <c r="BI332" s="146"/>
      <c r="BJ332" s="146"/>
      <c r="BK332" s="147"/>
      <c r="BL332" s="89"/>
      <c r="BM332" s="145"/>
      <c r="BN332" s="146"/>
      <c r="BO332" s="146"/>
      <c r="BP332" s="147"/>
      <c r="BQ332" s="89"/>
      <c r="BR332" s="87"/>
      <c r="BS332" s="87"/>
      <c r="BT332" s="12"/>
      <c r="BU332" s="91"/>
      <c r="BV332" s="91"/>
      <c r="BW332" s="91"/>
      <c r="BX332" s="91"/>
      <c r="BY332" s="91"/>
      <c r="BZ332" s="91"/>
      <c r="CA332" s="91"/>
      <c r="CB332" s="91"/>
      <c r="CC332" s="91"/>
      <c r="CD332" s="91"/>
      <c r="CE332" s="91"/>
      <c r="CF332" s="91"/>
      <c r="CG332" s="91"/>
      <c r="CH332" s="91"/>
      <c r="CI332" s="91"/>
      <c r="CJ332" s="91"/>
      <c r="CK332" s="91"/>
      <c r="CL332" s="91"/>
      <c r="CM332" s="91"/>
      <c r="CN332" s="91"/>
      <c r="CO332" s="91"/>
      <c r="CP332" s="91"/>
      <c r="CQ332" s="91"/>
      <c r="CR332" s="1018"/>
      <c r="CS332" s="1018"/>
      <c r="CT332" s="821"/>
      <c r="CU332" s="12"/>
      <c r="CV332" s="12"/>
      <c r="CW332" s="12"/>
      <c r="CX332" s="12"/>
      <c r="CY332" s="12"/>
      <c r="CZ332" s="91"/>
      <c r="DA332" s="91"/>
      <c r="DB332" s="91"/>
      <c r="DC332" s="91"/>
      <c r="DD332" s="91"/>
      <c r="DE332" s="91"/>
      <c r="DF332" s="12"/>
      <c r="DG332" s="12"/>
      <c r="DH332" s="12"/>
      <c r="DI332" s="12"/>
      <c r="DJ332" s="12"/>
      <c r="DK332" s="12"/>
      <c r="DL332" s="12"/>
      <c r="DM332" s="12"/>
      <c r="DN332" s="12"/>
    </row>
    <row r="333" spans="1:118" ht="12.75" customHeight="1">
      <c r="A333" s="91"/>
      <c r="B333" s="88"/>
      <c r="C333" s="1186" t="s">
        <v>574</v>
      </c>
      <c r="D333" s="88"/>
      <c r="E333" s="214"/>
      <c r="F333" s="148"/>
      <c r="G333" s="148"/>
      <c r="H333" s="215"/>
      <c r="I333" s="88"/>
      <c r="J333" s="214"/>
      <c r="K333" s="148"/>
      <c r="L333" s="148"/>
      <c r="M333" s="215"/>
      <c r="N333" s="88"/>
      <c r="O333" s="106"/>
      <c r="P333" s="76"/>
      <c r="Q333" s="76"/>
      <c r="R333" s="107"/>
      <c r="S333" s="93"/>
      <c r="T333" s="106"/>
      <c r="U333" s="76"/>
      <c r="V333" s="76"/>
      <c r="W333" s="107"/>
      <c r="X333" s="93"/>
      <c r="Y333" s="106">
        <f t="shared" ref="Y333:AR333" si="566">+Y515</f>
        <v>4951</v>
      </c>
      <c r="Z333" s="76">
        <f t="shared" si="566"/>
        <v>4951</v>
      </c>
      <c r="AA333" s="76">
        <f t="shared" si="566"/>
        <v>4951</v>
      </c>
      <c r="AB333" s="107">
        <f t="shared" si="566"/>
        <v>1477</v>
      </c>
      <c r="AC333" s="93">
        <f t="shared" si="566"/>
        <v>1477</v>
      </c>
      <c r="AD333" s="106">
        <f t="shared" si="566"/>
        <v>1477</v>
      </c>
      <c r="AE333" s="76">
        <f t="shared" si="566"/>
        <v>1477</v>
      </c>
      <c r="AF333" s="76">
        <f t="shared" si="566"/>
        <v>1477</v>
      </c>
      <c r="AG333" s="107">
        <f t="shared" si="566"/>
        <v>1477</v>
      </c>
      <c r="AH333" s="93">
        <f t="shared" si="566"/>
        <v>1477</v>
      </c>
      <c r="AI333" s="106">
        <f t="shared" si="566"/>
        <v>1477</v>
      </c>
      <c r="AJ333" s="76">
        <f t="shared" si="566"/>
        <v>1477</v>
      </c>
      <c r="AK333" s="76">
        <f t="shared" si="566"/>
        <v>1477</v>
      </c>
      <c r="AL333" s="107">
        <f t="shared" si="566"/>
        <v>1477</v>
      </c>
      <c r="AM333" s="93">
        <f t="shared" si="566"/>
        <v>1477</v>
      </c>
      <c r="AN333" s="106">
        <f t="shared" si="566"/>
        <v>1477</v>
      </c>
      <c r="AO333" s="76">
        <f t="shared" si="566"/>
        <v>1477</v>
      </c>
      <c r="AP333" s="76">
        <f t="shared" ref="AP333" si="567">+AP515</f>
        <v>1477</v>
      </c>
      <c r="AQ333" s="107">
        <f t="shared" si="566"/>
        <v>1477</v>
      </c>
      <c r="AR333" s="93">
        <f t="shared" si="566"/>
        <v>1477</v>
      </c>
      <c r="AS333" s="106">
        <f t="shared" ref="AS333" si="568">+AS515</f>
        <v>1477</v>
      </c>
      <c r="AT333" s="76">
        <f t="shared" ref="AT333:BB333" si="569">+AT515</f>
        <v>1477</v>
      </c>
      <c r="AU333" s="76">
        <f t="shared" ref="AU333" si="570">+AU515</f>
        <v>1477</v>
      </c>
      <c r="AV333" s="107">
        <f t="shared" si="569"/>
        <v>1477</v>
      </c>
      <c r="AW333" s="93">
        <f t="shared" si="569"/>
        <v>1477</v>
      </c>
      <c r="AX333" s="106">
        <f t="shared" si="569"/>
        <v>1477</v>
      </c>
      <c r="AY333" s="76">
        <f t="shared" si="569"/>
        <v>1477</v>
      </c>
      <c r="AZ333" s="76">
        <f t="shared" si="569"/>
        <v>1477</v>
      </c>
      <c r="BA333" s="107">
        <f t="shared" si="569"/>
        <v>1477</v>
      </c>
      <c r="BB333" s="93">
        <f t="shared" si="569"/>
        <v>177</v>
      </c>
      <c r="BC333" s="106">
        <f t="shared" ref="BC333:BL333" si="571">+BC515</f>
        <v>177</v>
      </c>
      <c r="BD333" s="76">
        <f t="shared" si="571"/>
        <v>177</v>
      </c>
      <c r="BE333" s="76">
        <f t="shared" si="571"/>
        <v>177</v>
      </c>
      <c r="BF333" s="107">
        <f t="shared" si="571"/>
        <v>177</v>
      </c>
      <c r="BG333" s="93">
        <f t="shared" si="571"/>
        <v>177</v>
      </c>
      <c r="BH333" s="106">
        <f t="shared" si="571"/>
        <v>177</v>
      </c>
      <c r="BI333" s="76">
        <f t="shared" si="571"/>
        <v>177</v>
      </c>
      <c r="BJ333" s="76">
        <f t="shared" si="571"/>
        <v>177</v>
      </c>
      <c r="BK333" s="107">
        <f t="shared" si="571"/>
        <v>177</v>
      </c>
      <c r="BL333" s="93">
        <f t="shared" si="571"/>
        <v>177</v>
      </c>
      <c r="BM333" s="106">
        <f t="shared" ref="BM333:BQ333" si="572">+BM515</f>
        <v>177</v>
      </c>
      <c r="BN333" s="76">
        <f t="shared" si="572"/>
        <v>177</v>
      </c>
      <c r="BO333" s="76">
        <f t="shared" si="572"/>
        <v>177</v>
      </c>
      <c r="BP333" s="107">
        <f t="shared" si="572"/>
        <v>177</v>
      </c>
      <c r="BQ333" s="93">
        <f t="shared" si="572"/>
        <v>177</v>
      </c>
      <c r="BR333" s="87"/>
      <c r="BS333" s="87"/>
      <c r="BT333" s="12"/>
      <c r="BU333" s="91"/>
      <c r="BV333" s="91"/>
      <c r="BW333" s="91"/>
      <c r="BX333" s="91"/>
      <c r="BY333" s="91"/>
      <c r="BZ333" s="91"/>
      <c r="CA333" s="91"/>
      <c r="CB333" s="91"/>
      <c r="CC333" s="91"/>
      <c r="CD333" s="91"/>
      <c r="CE333" s="91"/>
      <c r="CF333" s="91"/>
      <c r="CG333" s="91"/>
      <c r="CH333" s="91"/>
      <c r="CI333" s="91"/>
      <c r="CJ333" s="91"/>
      <c r="CK333" s="91"/>
      <c r="CL333" s="91"/>
      <c r="CM333" s="91"/>
      <c r="CN333" s="91"/>
      <c r="CO333" s="91"/>
      <c r="CP333" s="91"/>
      <c r="CQ333" s="91"/>
      <c r="CR333" s="1018"/>
      <c r="CS333" s="1018"/>
      <c r="CT333" s="821"/>
      <c r="CU333" s="12"/>
      <c r="CV333" s="12"/>
      <c r="CW333" s="12"/>
      <c r="CX333" s="12"/>
      <c r="CY333" s="12"/>
      <c r="CZ333" s="91"/>
      <c r="DA333" s="91"/>
      <c r="DB333" s="91"/>
      <c r="DC333" s="91"/>
      <c r="DD333" s="91"/>
      <c r="DE333" s="91"/>
      <c r="DF333" s="12"/>
      <c r="DG333" s="12"/>
      <c r="DH333" s="12"/>
      <c r="DI333" s="12"/>
      <c r="DJ333" s="12"/>
      <c r="DK333" s="12"/>
      <c r="DL333" s="12"/>
      <c r="DM333" s="12"/>
      <c r="DN333" s="12"/>
    </row>
    <row r="334" spans="1:118" ht="12.75" customHeight="1">
      <c r="A334" s="91"/>
      <c r="B334" s="89"/>
      <c r="C334" s="1184"/>
      <c r="D334" s="89"/>
      <c r="E334" s="145"/>
      <c r="F334" s="146"/>
      <c r="G334" s="146"/>
      <c r="H334" s="147"/>
      <c r="I334" s="87"/>
      <c r="J334" s="145"/>
      <c r="K334" s="146"/>
      <c r="L334" s="146"/>
      <c r="M334" s="147"/>
      <c r="N334" s="89"/>
      <c r="O334" s="145"/>
      <c r="P334" s="146"/>
      <c r="Q334" s="146"/>
      <c r="R334" s="147"/>
      <c r="S334" s="89"/>
      <c r="T334" s="145"/>
      <c r="U334" s="146"/>
      <c r="V334" s="146"/>
      <c r="W334" s="147"/>
      <c r="X334" s="89"/>
      <c r="Y334" s="145"/>
      <c r="Z334" s="146"/>
      <c r="AA334" s="146"/>
      <c r="AB334" s="147"/>
      <c r="AC334" s="89"/>
      <c r="AD334" s="145"/>
      <c r="AE334" s="146"/>
      <c r="AF334" s="146"/>
      <c r="AG334" s="147"/>
      <c r="AH334" s="89"/>
      <c r="AI334" s="145"/>
      <c r="AJ334" s="146"/>
      <c r="AK334" s="146"/>
      <c r="AL334" s="147"/>
      <c r="AM334" s="89"/>
      <c r="AN334" s="145"/>
      <c r="AO334" s="146"/>
      <c r="AP334" s="146"/>
      <c r="AQ334" s="147"/>
      <c r="AR334" s="89"/>
      <c r="AS334" s="145"/>
      <c r="AT334" s="146"/>
      <c r="AU334" s="146"/>
      <c r="AV334" s="147"/>
      <c r="AW334" s="89"/>
      <c r="AX334" s="145"/>
      <c r="AY334" s="146"/>
      <c r="AZ334" s="146"/>
      <c r="BA334" s="147"/>
      <c r="BB334" s="89"/>
      <c r="BC334" s="145"/>
      <c r="BD334" s="146"/>
      <c r="BE334" s="146"/>
      <c r="BF334" s="147"/>
      <c r="BG334" s="89"/>
      <c r="BH334" s="145"/>
      <c r="BI334" s="146"/>
      <c r="BJ334" s="146"/>
      <c r="BK334" s="147"/>
      <c r="BL334" s="89"/>
      <c r="BM334" s="145"/>
      <c r="BN334" s="146"/>
      <c r="BO334" s="146"/>
      <c r="BP334" s="147"/>
      <c r="BQ334" s="89"/>
      <c r="BR334" s="87"/>
      <c r="BS334" s="87"/>
      <c r="BT334" s="92"/>
      <c r="BU334" s="92"/>
      <c r="BV334" s="92"/>
      <c r="BW334" s="92"/>
      <c r="BX334" s="92"/>
      <c r="BY334" s="92"/>
      <c r="BZ334" s="92"/>
      <c r="CA334" s="92"/>
      <c r="CB334" s="92"/>
      <c r="CC334" s="92"/>
      <c r="CD334" s="92"/>
      <c r="CE334" s="91"/>
      <c r="CF334" s="91"/>
      <c r="CG334" s="91"/>
      <c r="CH334" s="91"/>
      <c r="CI334" s="91"/>
      <c r="CJ334" s="91"/>
      <c r="CK334" s="91"/>
      <c r="CL334" s="91"/>
      <c r="CM334" s="91"/>
      <c r="CN334" s="91"/>
      <c r="CO334" s="91"/>
      <c r="CP334" s="91"/>
      <c r="CQ334" s="91"/>
      <c r="CR334" s="1018"/>
      <c r="CS334" s="1018"/>
      <c r="CT334" s="821"/>
      <c r="CU334" s="12"/>
      <c r="CV334" s="12"/>
      <c r="CW334" s="12"/>
      <c r="CX334" s="12"/>
      <c r="CY334" s="12"/>
      <c r="CZ334" s="91"/>
      <c r="DA334" s="91"/>
      <c r="DB334" s="91"/>
      <c r="DC334" s="91"/>
      <c r="DD334" s="91"/>
      <c r="DE334" s="91"/>
      <c r="DF334" s="12"/>
      <c r="DG334" s="12"/>
      <c r="DH334" s="12"/>
      <c r="DI334" s="12"/>
      <c r="DJ334" s="12"/>
      <c r="DK334" s="12"/>
      <c r="DL334" s="12"/>
      <c r="DM334" s="12"/>
      <c r="DN334" s="12"/>
    </row>
    <row r="335" spans="1:118" s="92" customFormat="1" ht="12.75" customHeight="1">
      <c r="A335" s="1313"/>
      <c r="B335" s="1313"/>
      <c r="C335" s="120" t="s">
        <v>581</v>
      </c>
      <c r="D335" s="1398"/>
      <c r="E335" s="145"/>
      <c r="F335" s="146"/>
      <c r="G335" s="146"/>
      <c r="H335" s="147"/>
      <c r="I335" s="1057">
        <v>0.4</v>
      </c>
      <c r="J335" s="145"/>
      <c r="K335" s="146"/>
      <c r="L335" s="146"/>
      <c r="M335" s="147"/>
      <c r="N335" s="89"/>
      <c r="O335" s="145"/>
      <c r="P335" s="146"/>
      <c r="Q335" s="146"/>
      <c r="R335" s="147"/>
      <c r="S335" s="89"/>
      <c r="T335" s="833"/>
      <c r="U335" s="834"/>
      <c r="V335" s="834"/>
      <c r="W335" s="835"/>
      <c r="X335" s="826"/>
      <c r="Y335" s="833">
        <f>IF(Y329&gt;Y331,$I335,0%)</f>
        <v>0.4</v>
      </c>
      <c r="Z335" s="834">
        <f>IF(Z329&gt;Z331,$I335,0%)</f>
        <v>0.4</v>
      </c>
      <c r="AA335" s="834">
        <f>IF(AA329&gt;AA331,$I335,0%)</f>
        <v>0.4</v>
      </c>
      <c r="AB335" s="835">
        <f>IF(AB329&gt;AB331,$I335,0%)</f>
        <v>0.4</v>
      </c>
      <c r="AC335" s="826">
        <f>AVERAGE(Y335:AB335)</f>
        <v>0.4</v>
      </c>
      <c r="AD335" s="1600">
        <v>0.4</v>
      </c>
      <c r="AE335" s="834">
        <f>IF(AE329&gt;AE331,$I335,0%)</f>
        <v>0.4</v>
      </c>
      <c r="AF335" s="834">
        <f>IF(AF329&gt;AF331,$I335,0%)</f>
        <v>0.4</v>
      </c>
      <c r="AG335" s="835">
        <f>IF(AG329&gt;AG331,$I335,0%)</f>
        <v>0.4</v>
      </c>
      <c r="AH335" s="826">
        <f>AVERAGE(AD335:AG335)</f>
        <v>0.4</v>
      </c>
      <c r="AI335" s="833">
        <f>IF(AI329&gt;AI331,$I335,0%)</f>
        <v>0.4</v>
      </c>
      <c r="AJ335" s="834">
        <f>IF(AJ329&gt;AJ331,$I335,0%)</f>
        <v>0.4</v>
      </c>
      <c r="AK335" s="834">
        <f>IF(AK329&gt;AK331,$I335,0%)</f>
        <v>0.4</v>
      </c>
      <c r="AL335" s="835">
        <f>IF(AL329&gt;AL331,$I335,0%)</f>
        <v>0.4</v>
      </c>
      <c r="AM335" s="826">
        <f>AVERAGE(AI335:AL335)</f>
        <v>0.4</v>
      </c>
      <c r="AN335" s="833">
        <f>IF(AN329&gt;AN331,$I335,0%)</f>
        <v>0.4</v>
      </c>
      <c r="AO335" s="834">
        <f>IF(AO329&gt;AO331,$I335,0%)</f>
        <v>0.4</v>
      </c>
      <c r="AP335" s="834">
        <f>IF(AP329&gt;AP331,$I335,0%)</f>
        <v>0.4</v>
      </c>
      <c r="AQ335" s="835">
        <f>IF(AQ329&gt;AQ331,$I335,0%)</f>
        <v>0.4</v>
      </c>
      <c r="AR335" s="826">
        <f>AVERAGE(AN335:AQ335)</f>
        <v>0.4</v>
      </c>
      <c r="AS335" s="833">
        <f>IF(AS329&gt;AS331,$I335,0%)</f>
        <v>0.4</v>
      </c>
      <c r="AT335" s="834">
        <f>IF(AT329&gt;AT331,$I335,0%)</f>
        <v>0.4</v>
      </c>
      <c r="AU335" s="834">
        <f>IF(AU329&gt;AU331,$I335,0%)</f>
        <v>0.4</v>
      </c>
      <c r="AV335" s="835">
        <f>IF(AV329&gt;AV331,$I335,0%)</f>
        <v>0.4</v>
      </c>
      <c r="AW335" s="826">
        <f>AVERAGE(AS335:AV335)</f>
        <v>0.4</v>
      </c>
      <c r="AX335" s="833">
        <f>IF(AX329&gt;AX331,$I335,0%)</f>
        <v>0.4</v>
      </c>
      <c r="AY335" s="834">
        <f>IF(AY329&gt;AY331,$I335,0%)</f>
        <v>0.4</v>
      </c>
      <c r="AZ335" s="834">
        <f>IF(AZ329&gt;AZ331,$I335,0%)</f>
        <v>0.4</v>
      </c>
      <c r="BA335" s="835">
        <f>IF(BA329&gt;BA331,$I335,0%)</f>
        <v>0.4</v>
      </c>
      <c r="BB335" s="826">
        <f>AVERAGE(AX335:BA335)</f>
        <v>0.4</v>
      </c>
      <c r="BC335" s="833">
        <f>IF(BC329&gt;BC331,$I335,0%)</f>
        <v>0.4</v>
      </c>
      <c r="BD335" s="834">
        <f>IF(BD329&gt;BD331,$I335,0%)</f>
        <v>0.4</v>
      </c>
      <c r="BE335" s="834">
        <f>IF(BE329&gt;BE331,$I335,0%)</f>
        <v>0.4</v>
      </c>
      <c r="BF335" s="835">
        <f>IF(BF329&gt;BF331,$I335,0%)</f>
        <v>0.4</v>
      </c>
      <c r="BG335" s="826">
        <f>AVERAGE(BC335:BF335)</f>
        <v>0.4</v>
      </c>
      <c r="BH335" s="833">
        <f>IF(BH329&gt;BH331,$I335,0%)</f>
        <v>0.4</v>
      </c>
      <c r="BI335" s="834">
        <f>IF(BI329&gt;BI331,$I335,0%)</f>
        <v>0.4</v>
      </c>
      <c r="BJ335" s="834">
        <f>IF(BJ329&gt;BJ331,$I335,0%)</f>
        <v>0.4</v>
      </c>
      <c r="BK335" s="835">
        <f>IF(BK329&gt;BK331,$I335,0%)</f>
        <v>0.4</v>
      </c>
      <c r="BL335" s="826">
        <f>AVERAGE(BH335:BK335)</f>
        <v>0.4</v>
      </c>
      <c r="BM335" s="833">
        <f>IF(BM329&gt;BM331,$I335,0%)</f>
        <v>0.4</v>
      </c>
      <c r="BN335" s="834">
        <f>IF(BN329&gt;BN331,$I335,0%)</f>
        <v>0.4</v>
      </c>
      <c r="BO335" s="834">
        <f>IF(BO329&gt;BO331,$I335,0%)</f>
        <v>0</v>
      </c>
      <c r="BP335" s="835">
        <f>IF(BP329&gt;BP331,$I335,0%)</f>
        <v>0.4</v>
      </c>
      <c r="BQ335" s="826">
        <f>AVERAGE(BM335:BP335)</f>
        <v>0.30000000000000004</v>
      </c>
      <c r="BR335" s="89"/>
    </row>
    <row r="336" spans="1:118" s="92" customFormat="1" ht="12.75" customHeight="1">
      <c r="A336" s="1313"/>
      <c r="B336" s="1313"/>
      <c r="C336" s="120" t="s">
        <v>585</v>
      </c>
      <c r="D336" s="1399"/>
      <c r="E336" s="214"/>
      <c r="F336" s="148"/>
      <c r="G336" s="148"/>
      <c r="H336" s="215"/>
      <c r="I336" s="88"/>
      <c r="J336" s="214"/>
      <c r="K336" s="148"/>
      <c r="L336" s="148"/>
      <c r="M336" s="215"/>
      <c r="N336" s="88"/>
      <c r="O336" s="214"/>
      <c r="P336" s="148"/>
      <c r="Q336" s="148"/>
      <c r="R336" s="215"/>
      <c r="S336" s="93"/>
      <c r="T336" s="1073"/>
      <c r="U336" s="1074"/>
      <c r="V336" s="1074"/>
      <c r="W336" s="1075"/>
      <c r="X336" s="258"/>
      <c r="Y336" s="1073">
        <f>(Y333*Y335*(8760/1000))/4</f>
        <v>4337.076</v>
      </c>
      <c r="Z336" s="1074">
        <f>(Z333*Z335*(8760/1000))/4</f>
        <v>4337.076</v>
      </c>
      <c r="AA336" s="1074">
        <f>(AA333*AA335*(8760/1000))/4</f>
        <v>4337.076</v>
      </c>
      <c r="AB336" s="1075">
        <f>(AB333*AB335*(8760/1000))/4</f>
        <v>1293.8520000000001</v>
      </c>
      <c r="AC336" s="258">
        <f>SUM(Y336:AB336)</f>
        <v>14305.08</v>
      </c>
      <c r="AD336" s="1073">
        <f>(AD333*AD335*(8760/1000))/4</f>
        <v>1293.8520000000001</v>
      </c>
      <c r="AE336" s="1074">
        <f>(AE333*AE335*(8760/1000))/4</f>
        <v>1293.8520000000001</v>
      </c>
      <c r="AF336" s="1074">
        <f>(AF333*AF335*(8760/1000))/4</f>
        <v>1293.8520000000001</v>
      </c>
      <c r="AG336" s="1075">
        <f>(AG333*AG335*(8760/1000))/4</f>
        <v>1293.8520000000001</v>
      </c>
      <c r="AH336" s="258">
        <f>SUM(AD336:AG336)</f>
        <v>5175.4080000000004</v>
      </c>
      <c r="AI336" s="1073">
        <f>(AI333*AI335*(8760/1000))/4</f>
        <v>1293.8520000000001</v>
      </c>
      <c r="AJ336" s="1074">
        <f>(AJ333*AJ335*(8760/1000))/4</f>
        <v>1293.8520000000001</v>
      </c>
      <c r="AK336" s="1074">
        <f>(AK333*AK335*(8760/1000))/4</f>
        <v>1293.8520000000001</v>
      </c>
      <c r="AL336" s="1075">
        <f>(AL333*AL335*(8760/1000))/4</f>
        <v>1293.8520000000001</v>
      </c>
      <c r="AM336" s="258">
        <f>SUM(AI336:AL336)</f>
        <v>5175.4080000000004</v>
      </c>
      <c r="AN336" s="1073">
        <f>(AN333*AN335*(8760/1000))/4</f>
        <v>1293.8520000000001</v>
      </c>
      <c r="AO336" s="1074">
        <f>(AO333*AO335*(8760/1000))/4</f>
        <v>1293.8520000000001</v>
      </c>
      <c r="AP336" s="1074">
        <f>(AP333*AP335*(8760/1000))/4</f>
        <v>1293.8520000000001</v>
      </c>
      <c r="AQ336" s="1075">
        <f>(AQ333*AQ335*(8760/1000))/4</f>
        <v>1293.8520000000001</v>
      </c>
      <c r="AR336" s="258">
        <f>SUM(AN336:AQ336)</f>
        <v>5175.4080000000004</v>
      </c>
      <c r="AS336" s="1073">
        <f>(AS333*AS335*(8760/1000))/4</f>
        <v>1293.8520000000001</v>
      </c>
      <c r="AT336" s="1074">
        <f>(AT333*AT335*(8760/1000))/4</f>
        <v>1293.8520000000001</v>
      </c>
      <c r="AU336" s="1074">
        <f>(AU333*AU335*(8760/1000))/4</f>
        <v>1293.8520000000001</v>
      </c>
      <c r="AV336" s="1075">
        <f>(AV333*AV335*(8760/1000))/4</f>
        <v>1293.8520000000001</v>
      </c>
      <c r="AW336" s="258">
        <f>SUM(AS336:AV336)</f>
        <v>5175.4080000000004</v>
      </c>
      <c r="AX336" s="1073">
        <f>(AX333*AX335*(8760/1000))/4</f>
        <v>1293.8520000000001</v>
      </c>
      <c r="AY336" s="1074">
        <f>(AY333*AY335*(8760/1000))/4</f>
        <v>1293.8520000000001</v>
      </c>
      <c r="AZ336" s="1074">
        <f>(AZ333*AZ335*(8760/1000))/4</f>
        <v>1293.8520000000001</v>
      </c>
      <c r="BA336" s="1075">
        <f>(BA333*BA335*(8760/1000))/4</f>
        <v>1293.8520000000001</v>
      </c>
      <c r="BB336" s="258">
        <f>SUM(AX336:BA336)</f>
        <v>5175.4080000000004</v>
      </c>
      <c r="BC336" s="1073">
        <f>(BC333*BC335*(8760/1000))/4</f>
        <v>155.05199999999999</v>
      </c>
      <c r="BD336" s="1074">
        <f>(BD333*BD335*(8760/1000))/4</f>
        <v>155.05199999999999</v>
      </c>
      <c r="BE336" s="1074">
        <f>(BE333*BE335*(8760/1000))/4</f>
        <v>155.05199999999999</v>
      </c>
      <c r="BF336" s="1075">
        <f>(BF333*BF335*(8760/1000))/4</f>
        <v>155.05199999999999</v>
      </c>
      <c r="BG336" s="258">
        <f>SUM(BC336:BF336)</f>
        <v>620.20799999999997</v>
      </c>
      <c r="BH336" s="1073">
        <f>(BH333*BH335*(8760/1000))/4</f>
        <v>155.05199999999999</v>
      </c>
      <c r="BI336" s="1074">
        <f>(BI333*BI335*(8760/1000))/4</f>
        <v>155.05199999999999</v>
      </c>
      <c r="BJ336" s="1074">
        <f>(BJ333*BJ335*(8760/1000))/4</f>
        <v>155.05199999999999</v>
      </c>
      <c r="BK336" s="1075">
        <f>(BK333*BK335*(8760/1000))/4</f>
        <v>155.05199999999999</v>
      </c>
      <c r="BL336" s="258">
        <f>SUM(BH336:BK336)</f>
        <v>620.20799999999997</v>
      </c>
      <c r="BM336" s="1073">
        <f>(BM333*BM335*(8760/1000))/4</f>
        <v>155.05199999999999</v>
      </c>
      <c r="BN336" s="1074">
        <f>(BN333*BN335*(8760/1000))/4</f>
        <v>155.05199999999999</v>
      </c>
      <c r="BO336" s="1074">
        <f>(BO333*BO335*(8760/1000))/4</f>
        <v>0</v>
      </c>
      <c r="BP336" s="1075">
        <f>(BP333*BP335*(8760/1000))/4</f>
        <v>155.05199999999999</v>
      </c>
      <c r="BQ336" s="258">
        <f>SUM(BM336:BP336)</f>
        <v>465.15599999999995</v>
      </c>
      <c r="BR336" s="89"/>
    </row>
    <row r="337" spans="1:118" s="92" customFormat="1" ht="12.75" customHeight="1">
      <c r="A337" s="1313"/>
      <c r="B337" s="1313"/>
      <c r="C337" s="120"/>
      <c r="D337" s="1399"/>
      <c r="E337" s="214"/>
      <c r="F337" s="148"/>
      <c r="G337" s="148"/>
      <c r="H337" s="215"/>
      <c r="I337" s="88"/>
      <c r="J337" s="214"/>
      <c r="K337" s="148"/>
      <c r="L337" s="148"/>
      <c r="M337" s="215"/>
      <c r="N337" s="88"/>
      <c r="O337" s="214"/>
      <c r="P337" s="148"/>
      <c r="Q337" s="148"/>
      <c r="R337" s="215"/>
      <c r="S337" s="93"/>
      <c r="T337" s="145"/>
      <c r="U337" s="146"/>
      <c r="V337" s="146"/>
      <c r="W337" s="147"/>
      <c r="X337" s="89"/>
      <c r="Y337" s="145"/>
      <c r="Z337" s="146"/>
      <c r="AA337" s="146"/>
      <c r="AB337" s="147"/>
      <c r="AC337" s="89"/>
      <c r="AD337" s="145"/>
      <c r="AE337" s="146"/>
      <c r="AF337" s="146"/>
      <c r="AG337" s="147"/>
      <c r="AH337" s="89"/>
      <c r="AI337" s="145"/>
      <c r="AJ337" s="146"/>
      <c r="AK337" s="146"/>
      <c r="AL337" s="147"/>
      <c r="AM337" s="89"/>
      <c r="AN337" s="145"/>
      <c r="AO337" s="146"/>
      <c r="AP337" s="146"/>
      <c r="AQ337" s="147"/>
      <c r="AR337" s="89"/>
      <c r="AS337" s="145"/>
      <c r="AT337" s="146"/>
      <c r="AU337" s="146"/>
      <c r="AV337" s="147"/>
      <c r="AW337" s="89"/>
      <c r="AX337" s="145"/>
      <c r="AY337" s="146"/>
      <c r="AZ337" s="146"/>
      <c r="BA337" s="147"/>
      <c r="BB337" s="89"/>
      <c r="BC337" s="145"/>
      <c r="BD337" s="146"/>
      <c r="BE337" s="146"/>
      <c r="BF337" s="147"/>
      <c r="BG337" s="89"/>
      <c r="BH337" s="145"/>
      <c r="BI337" s="146"/>
      <c r="BJ337" s="146"/>
      <c r="BK337" s="147"/>
      <c r="BL337" s="89"/>
      <c r="BM337" s="145"/>
      <c r="BN337" s="146"/>
      <c r="BO337" s="146"/>
      <c r="BP337" s="147"/>
      <c r="BQ337" s="89"/>
      <c r="BR337" s="89"/>
    </row>
    <row r="338" spans="1:118" s="92" customFormat="1" ht="12.75" customHeight="1">
      <c r="A338" s="1313"/>
      <c r="B338" s="1313"/>
      <c r="C338" s="120" t="s">
        <v>586</v>
      </c>
      <c r="D338" s="1399"/>
      <c r="E338" s="214"/>
      <c r="F338" s="148"/>
      <c r="G338" s="148"/>
      <c r="H338" s="215"/>
      <c r="I338" s="1057">
        <v>0.3</v>
      </c>
      <c r="J338" s="214"/>
      <c r="K338" s="148"/>
      <c r="L338" s="148"/>
      <c r="M338" s="215"/>
      <c r="N338" s="88"/>
      <c r="O338" s="214"/>
      <c r="P338" s="148"/>
      <c r="Q338" s="148"/>
      <c r="R338" s="215"/>
      <c r="S338" s="93"/>
      <c r="T338" s="833"/>
      <c r="U338" s="834"/>
      <c r="V338" s="834"/>
      <c r="W338" s="835"/>
      <c r="X338" s="826"/>
      <c r="Y338" s="833">
        <f>IF(Y330&gt;Y331,$I338,0%)</f>
        <v>0.3</v>
      </c>
      <c r="Z338" s="834">
        <f>IF(Z330&gt;Z331,$I338,0%)</f>
        <v>0</v>
      </c>
      <c r="AA338" s="834">
        <f>IF(AA330&gt;AA331,$I338,0%)</f>
        <v>0</v>
      </c>
      <c r="AB338" s="835">
        <f>IF(AB330&gt;AB331,$I338,0%)</f>
        <v>0.3</v>
      </c>
      <c r="AC338" s="826">
        <f>AVERAGE(Y338:AB338)</f>
        <v>0.15</v>
      </c>
      <c r="AD338" s="833">
        <f>$I$338</f>
        <v>0.3</v>
      </c>
      <c r="AE338" s="834">
        <f>$I$338</f>
        <v>0.3</v>
      </c>
      <c r="AF338" s="834">
        <f>$I$338</f>
        <v>0.3</v>
      </c>
      <c r="AG338" s="835">
        <f>$I$338</f>
        <v>0.3</v>
      </c>
      <c r="AH338" s="826">
        <f>AVERAGE(AD338:AG338)</f>
        <v>0.3</v>
      </c>
      <c r="AI338" s="833">
        <f>$I$338</f>
        <v>0.3</v>
      </c>
      <c r="AJ338" s="834">
        <f>$I$338</f>
        <v>0.3</v>
      </c>
      <c r="AK338" s="834">
        <f>$I$338</f>
        <v>0.3</v>
      </c>
      <c r="AL338" s="835">
        <f>$I$338</f>
        <v>0.3</v>
      </c>
      <c r="AM338" s="826">
        <f>AVERAGE(AI338:AL338)</f>
        <v>0.3</v>
      </c>
      <c r="AN338" s="833">
        <f>IF(AN330&gt;AN331,$I338,0%)</f>
        <v>0.3</v>
      </c>
      <c r="AO338" s="834">
        <f>IF(AO330&gt;AO331,$I338,0%)</f>
        <v>0</v>
      </c>
      <c r="AP338" s="834">
        <f>$I$338</f>
        <v>0.3</v>
      </c>
      <c r="AQ338" s="835">
        <f>IF(AQ330&gt;AQ331,$I338,0%)</f>
        <v>0.3</v>
      </c>
      <c r="AR338" s="826">
        <f>AVERAGE(AN338:AQ338)</f>
        <v>0.22499999999999998</v>
      </c>
      <c r="AS338" s="833">
        <f>IF(AS330&gt;AS331,$I338,0%)</f>
        <v>0</v>
      </c>
      <c r="AT338" s="834">
        <f>IF(AT330&gt;AT331,$I338,0%)</f>
        <v>0</v>
      </c>
      <c r="AU338" s="834">
        <f>IF(AU330&gt;AU331,$I338,0%)</f>
        <v>0</v>
      </c>
      <c r="AV338" s="835">
        <f>IF(AV330&gt;AV331,$I338,0%)</f>
        <v>0</v>
      </c>
      <c r="AW338" s="826">
        <f>AVERAGE(AS338:AV338)</f>
        <v>0</v>
      </c>
      <c r="AX338" s="833">
        <f>IF(AX330&gt;AX331,$I338,0%)</f>
        <v>0.3</v>
      </c>
      <c r="AY338" s="834">
        <f>IF(AY330&gt;AY331,$I338,0%)</f>
        <v>0</v>
      </c>
      <c r="AZ338" s="834">
        <f>IF(AZ330&gt;AZ331,$I338,0%)</f>
        <v>0</v>
      </c>
      <c r="BA338" s="835">
        <f>IF(BA330&gt;BA331,$I338,0%)</f>
        <v>0.3</v>
      </c>
      <c r="BB338" s="826">
        <f>AVERAGE(AX338:BA338)</f>
        <v>0.15</v>
      </c>
      <c r="BC338" s="833">
        <f>IF(BC330&gt;BC331,$I338,0%)</f>
        <v>0.3</v>
      </c>
      <c r="BD338" s="834">
        <f>IF(BD330&gt;BD331,$I338,0%)</f>
        <v>0</v>
      </c>
      <c r="BE338" s="834">
        <f>IF(BE330&gt;BE331,$I338,0%)</f>
        <v>0</v>
      </c>
      <c r="BF338" s="835">
        <f>IF(BF330&gt;BF331,$I338,0%)</f>
        <v>0.3</v>
      </c>
      <c r="BG338" s="826">
        <f>AVERAGE(BC338:BF338)</f>
        <v>0.15</v>
      </c>
      <c r="BH338" s="833">
        <f>IF(BH330&gt;BH331,$I338,0%)</f>
        <v>0.3</v>
      </c>
      <c r="BI338" s="834">
        <f>IF(BI330&gt;BI331,$I338,0%)</f>
        <v>0</v>
      </c>
      <c r="BJ338" s="834">
        <f>IF(BJ330&gt;BJ331,$I338,0%)</f>
        <v>0</v>
      </c>
      <c r="BK338" s="835">
        <f>IF(BK330&gt;BK331,$I338,0%)</f>
        <v>0.3</v>
      </c>
      <c r="BL338" s="826">
        <f>AVERAGE(BH338:BK338)</f>
        <v>0.15</v>
      </c>
      <c r="BM338" s="833">
        <f>IF(BM330&gt;BM331,$I338,0%)</f>
        <v>0.3</v>
      </c>
      <c r="BN338" s="834">
        <f>IF(BN330&gt;BN331,$I338,0%)</f>
        <v>0</v>
      </c>
      <c r="BO338" s="834">
        <f>IF(BO330&gt;BO331,$I338,0%)</f>
        <v>0</v>
      </c>
      <c r="BP338" s="835">
        <f>IF(BP330&gt;BP331,$I338,0%)</f>
        <v>0</v>
      </c>
      <c r="BQ338" s="826">
        <f>AVERAGE(BM338:BP338)</f>
        <v>7.4999999999999997E-2</v>
      </c>
      <c r="BR338" s="89"/>
    </row>
    <row r="339" spans="1:118" s="92" customFormat="1" ht="12.75" customHeight="1">
      <c r="A339" s="1313"/>
      <c r="B339" s="1313"/>
      <c r="C339" s="120" t="s">
        <v>587</v>
      </c>
      <c r="D339" s="1399"/>
      <c r="E339" s="214"/>
      <c r="F339" s="148"/>
      <c r="G339" s="148"/>
      <c r="H339" s="215"/>
      <c r="I339" s="88"/>
      <c r="J339" s="214"/>
      <c r="K339" s="148"/>
      <c r="L339" s="148"/>
      <c r="M339" s="215"/>
      <c r="N339" s="88"/>
      <c r="O339" s="214"/>
      <c r="P339" s="148"/>
      <c r="Q339" s="148"/>
      <c r="R339" s="215"/>
      <c r="S339" s="93"/>
      <c r="T339" s="1073"/>
      <c r="U339" s="1074"/>
      <c r="V339" s="1074"/>
      <c r="W339" s="1075"/>
      <c r="X339" s="258"/>
      <c r="Y339" s="1073">
        <f>(Y333*Y338*(8760/1000))/4</f>
        <v>3252.8069999999998</v>
      </c>
      <c r="Z339" s="1074">
        <f>(Z333*Z338*(8760/1000))/4</f>
        <v>0</v>
      </c>
      <c r="AA339" s="1074">
        <f>(AA333*AA338*(8760/1000))/4</f>
        <v>0</v>
      </c>
      <c r="AB339" s="1075">
        <f>(AB333*AB338*(8760/1000))/4</f>
        <v>970.3889999999999</v>
      </c>
      <c r="AC339" s="258">
        <f>SUM(Y339:AB339)</f>
        <v>4223.1959999999999</v>
      </c>
      <c r="AD339" s="1073">
        <f>(AD333*AD338*(8760/1000))/4</f>
        <v>970.3889999999999</v>
      </c>
      <c r="AE339" s="1074">
        <f>(AE333*AE338*(8760/1000))/4</f>
        <v>970.3889999999999</v>
      </c>
      <c r="AF339" s="1074">
        <f>(AF333*AF338*(8760/1000))/4</f>
        <v>970.3889999999999</v>
      </c>
      <c r="AG339" s="1075">
        <f>(AG333*AG338*(8760/1000))/4</f>
        <v>970.3889999999999</v>
      </c>
      <c r="AH339" s="258">
        <f>SUM(AD339:AG339)</f>
        <v>3881.5559999999996</v>
      </c>
      <c r="AI339" s="1073">
        <f>(AI333*AI338*(8760/1000))/4</f>
        <v>970.3889999999999</v>
      </c>
      <c r="AJ339" s="1074">
        <f>(AJ333*AJ338*(8760/1000))/4</f>
        <v>970.3889999999999</v>
      </c>
      <c r="AK339" s="1074">
        <f>(AK333*AK338*(8760/1000))/4</f>
        <v>970.3889999999999</v>
      </c>
      <c r="AL339" s="1075">
        <f>(AL333*AL338*(8760/1000))/4</f>
        <v>970.3889999999999</v>
      </c>
      <c r="AM339" s="258">
        <f>SUM(AI339:AL339)</f>
        <v>3881.5559999999996</v>
      </c>
      <c r="AN339" s="1073">
        <f>(AN333*AN338*(8760/1000))/4</f>
        <v>970.3889999999999</v>
      </c>
      <c r="AO339" s="1074">
        <f>(AO333*AO338*(8760/1000))/4</f>
        <v>0</v>
      </c>
      <c r="AP339" s="1074">
        <f>(AP333*AP338*(8760/1000))/4</f>
        <v>970.3889999999999</v>
      </c>
      <c r="AQ339" s="1075">
        <f>(AQ333*AQ338*(8760/1000))/4</f>
        <v>970.3889999999999</v>
      </c>
      <c r="AR339" s="258">
        <f>SUM(AN339:AQ339)</f>
        <v>2911.1669999999995</v>
      </c>
      <c r="AS339" s="1073">
        <f>(AS333*AS338*(8760/1000))/4</f>
        <v>0</v>
      </c>
      <c r="AT339" s="1074">
        <f>(AT333*AT338*(8760/1000))/4</f>
        <v>0</v>
      </c>
      <c r="AU339" s="1074">
        <f>(AU333*AU338*(8760/1000))/4</f>
        <v>0</v>
      </c>
      <c r="AV339" s="1075">
        <f>(AV333*AV338*(8760/1000))/4</f>
        <v>0</v>
      </c>
      <c r="AW339" s="258">
        <f>SUM(AS339:AV339)</f>
        <v>0</v>
      </c>
      <c r="AX339" s="1073">
        <f>(AX333*AX338*(8760/1000))/4</f>
        <v>970.3889999999999</v>
      </c>
      <c r="AY339" s="1074">
        <f>(AY333*AY338*(8760/1000))/4</f>
        <v>0</v>
      </c>
      <c r="AZ339" s="1074">
        <f>(AZ333*AZ338*(8760/1000))/4</f>
        <v>0</v>
      </c>
      <c r="BA339" s="1075">
        <f>(BA333*BA338*(8760/1000))/4</f>
        <v>970.3889999999999</v>
      </c>
      <c r="BB339" s="258">
        <f>SUM(AX339:BA339)</f>
        <v>1940.7779999999998</v>
      </c>
      <c r="BC339" s="1073">
        <f>(BC333*BC338*(8760/1000))/4</f>
        <v>116.289</v>
      </c>
      <c r="BD339" s="1074">
        <f>(BD333*BD338*(8760/1000))/4</f>
        <v>0</v>
      </c>
      <c r="BE339" s="1074">
        <f>(BE333*BE338*(8760/1000))/4</f>
        <v>0</v>
      </c>
      <c r="BF339" s="1075">
        <f>(BF333*BF338*(8760/1000))/4</f>
        <v>116.289</v>
      </c>
      <c r="BG339" s="258">
        <f>SUM(BC339:BF339)</f>
        <v>232.578</v>
      </c>
      <c r="BH339" s="1073">
        <f>(BH333*BH338*(8760/1000))/4</f>
        <v>116.289</v>
      </c>
      <c r="BI339" s="1074">
        <f>(BI333*BI338*(8760/1000))/4</f>
        <v>0</v>
      </c>
      <c r="BJ339" s="1074">
        <f>(BJ333*BJ338*(8760/1000))/4</f>
        <v>0</v>
      </c>
      <c r="BK339" s="1075">
        <f>(BK333*BK338*(8760/1000))/4</f>
        <v>116.289</v>
      </c>
      <c r="BL339" s="258">
        <f>SUM(BH339:BK339)</f>
        <v>232.578</v>
      </c>
      <c r="BM339" s="1073">
        <f>(BM333*BM338*(8760/1000))/4</f>
        <v>116.289</v>
      </c>
      <c r="BN339" s="1074">
        <f>(BN333*BN338*(8760/1000))/4</f>
        <v>0</v>
      </c>
      <c r="BO339" s="1074">
        <f>(BO333*BO338*(8760/1000))/4</f>
        <v>0</v>
      </c>
      <c r="BP339" s="1075">
        <f>(BP333*BP338*(8760/1000))/4</f>
        <v>0</v>
      </c>
      <c r="BQ339" s="258">
        <f>SUM(BM339:BP339)</f>
        <v>116.289</v>
      </c>
      <c r="BR339" s="89"/>
    </row>
    <row r="340" spans="1:118" s="92" customFormat="1" ht="12.75" customHeight="1">
      <c r="A340" s="1313"/>
      <c r="B340" s="1313"/>
      <c r="C340" s="120"/>
      <c r="D340" s="1399"/>
      <c r="E340" s="214"/>
      <c r="F340" s="148"/>
      <c r="G340" s="148"/>
      <c r="H340" s="215"/>
      <c r="I340" s="88"/>
      <c r="J340" s="214"/>
      <c r="K340" s="148"/>
      <c r="L340" s="148"/>
      <c r="M340" s="215"/>
      <c r="N340" s="88"/>
      <c r="O340" s="214"/>
      <c r="P340" s="148"/>
      <c r="Q340" s="148"/>
      <c r="R340" s="215"/>
      <c r="S340" s="93"/>
      <c r="T340" s="145"/>
      <c r="U340" s="146"/>
      <c r="V340" s="146"/>
      <c r="W340" s="147"/>
      <c r="X340" s="89"/>
      <c r="Y340" s="145"/>
      <c r="Z340" s="146"/>
      <c r="AA340" s="146"/>
      <c r="AB340" s="147"/>
      <c r="AC340" s="89"/>
      <c r="AD340" s="145"/>
      <c r="AE340" s="146"/>
      <c r="AF340" s="146"/>
      <c r="AG340" s="147"/>
      <c r="AH340" s="89"/>
      <c r="AI340" s="145"/>
      <c r="AJ340" s="146"/>
      <c r="AK340" s="146"/>
      <c r="AL340" s="147"/>
      <c r="AM340" s="89"/>
      <c r="AN340" s="145"/>
      <c r="AO340" s="146"/>
      <c r="AP340" s="146"/>
      <c r="AQ340" s="147"/>
      <c r="AR340" s="89"/>
      <c r="AS340" s="145"/>
      <c r="AT340" s="146"/>
      <c r="AU340" s="146"/>
      <c r="AV340" s="147"/>
      <c r="AW340" s="89"/>
      <c r="AX340" s="145"/>
      <c r="AY340" s="146"/>
      <c r="AZ340" s="146"/>
      <c r="BA340" s="147"/>
      <c r="BB340" s="89"/>
      <c r="BC340" s="145"/>
      <c r="BD340" s="146"/>
      <c r="BE340" s="146"/>
      <c r="BF340" s="147"/>
      <c r="BG340" s="89"/>
      <c r="BH340" s="145"/>
      <c r="BI340" s="146"/>
      <c r="BJ340" s="146"/>
      <c r="BK340" s="147"/>
      <c r="BL340" s="89"/>
      <c r="BM340" s="145"/>
      <c r="BN340" s="146"/>
      <c r="BO340" s="146"/>
      <c r="BP340" s="147"/>
      <c r="BQ340" s="89"/>
      <c r="BR340" s="89"/>
    </row>
    <row r="341" spans="1:118" s="92" customFormat="1" ht="12.75" customHeight="1">
      <c r="A341" s="1313"/>
      <c r="B341" s="1313"/>
      <c r="C341" s="120" t="s">
        <v>588</v>
      </c>
      <c r="D341" s="1399"/>
      <c r="E341" s="214"/>
      <c r="F341" s="148"/>
      <c r="G341" s="148"/>
      <c r="H341" s="215"/>
      <c r="I341" s="88"/>
      <c r="J341" s="214"/>
      <c r="K341" s="148"/>
      <c r="L341" s="148"/>
      <c r="M341" s="215"/>
      <c r="N341" s="88"/>
      <c r="O341" s="214"/>
      <c r="P341" s="148"/>
      <c r="Q341" s="148"/>
      <c r="R341" s="215"/>
      <c r="S341" s="93"/>
      <c r="T341" s="833"/>
      <c r="U341" s="834"/>
      <c r="V341" s="834"/>
      <c r="W341" s="835"/>
      <c r="X341" s="826"/>
      <c r="Y341" s="833">
        <f>(Y339+Y336)/(8.76*Y333/4)</f>
        <v>0.7</v>
      </c>
      <c r="Z341" s="834">
        <f>(Z339+Z336)/(8.76*Z333/4)</f>
        <v>0.39999999999999997</v>
      </c>
      <c r="AA341" s="834">
        <f>(AA339+AA336)/(8.76*AA333/4)</f>
        <v>0.39999999999999997</v>
      </c>
      <c r="AB341" s="835">
        <f>(AB339+AB336)/(8.76*AB333/4)</f>
        <v>0.7</v>
      </c>
      <c r="AC341" s="826">
        <f>AVERAGE(Y341:AB341)</f>
        <v>0.54999999999999993</v>
      </c>
      <c r="AD341" s="833">
        <f>(AD339+AD336)/(8.76*AD333/4)</f>
        <v>0.7</v>
      </c>
      <c r="AE341" s="834">
        <f>(AE339+AE336)/(8.76*AE333/4)</f>
        <v>0.7</v>
      </c>
      <c r="AF341" s="834">
        <f>(AF339+AF336)/(8.76*AF333/4)</f>
        <v>0.7</v>
      </c>
      <c r="AG341" s="835">
        <f>(AG339+AG336)/(8.76*AG333/4)</f>
        <v>0.7</v>
      </c>
      <c r="AH341" s="826">
        <f>AVERAGE(AD341:AG341)</f>
        <v>0.7</v>
      </c>
      <c r="AI341" s="833">
        <f>(AI339+AI336)/(8.76*AI333/4)</f>
        <v>0.7</v>
      </c>
      <c r="AJ341" s="834">
        <f>(AJ339+AJ336)/(8.76*AJ333/4)</f>
        <v>0.7</v>
      </c>
      <c r="AK341" s="834">
        <f>(AK339+AK336)/(8.76*AK333/4)</f>
        <v>0.7</v>
      </c>
      <c r="AL341" s="835">
        <f>(AL339+AL336)/(8.76*AL333/4)</f>
        <v>0.7</v>
      </c>
      <c r="AM341" s="826">
        <f>AVERAGE(AI341:AL341)</f>
        <v>0.7</v>
      </c>
      <c r="AN341" s="833">
        <f>(AN339+AN336)/(8.76*AN333/4)</f>
        <v>0.7</v>
      </c>
      <c r="AO341" s="834">
        <f>(AO339+AO336)/(8.76*AO333/4)</f>
        <v>0.4</v>
      </c>
      <c r="AP341" s="834">
        <f>(AP339+AP336)/(8.76*AP333/4)</f>
        <v>0.7</v>
      </c>
      <c r="AQ341" s="835">
        <f>(AQ339+AQ336)/(8.76*AQ333/4)</f>
        <v>0.7</v>
      </c>
      <c r="AR341" s="826">
        <f>AVERAGE(AN341:AQ341)</f>
        <v>0.625</v>
      </c>
      <c r="AS341" s="833">
        <f>(AS339+AS336)/(8.76*AS333/4)</f>
        <v>0.4</v>
      </c>
      <c r="AT341" s="834">
        <f>(AT339+AT336)/(8.76*AT333/4)</f>
        <v>0.4</v>
      </c>
      <c r="AU341" s="834">
        <f>(AU339+AU336)/(8.76*AU333/4)</f>
        <v>0.4</v>
      </c>
      <c r="AV341" s="835">
        <f>(AV339+AV336)/(8.76*AV333/4)</f>
        <v>0.4</v>
      </c>
      <c r="AW341" s="826">
        <f>AVERAGE(AS341:AV341)</f>
        <v>0.4</v>
      </c>
      <c r="AX341" s="833">
        <f>(AX339+AX336)/(8.76*AX333/4)</f>
        <v>0.7</v>
      </c>
      <c r="AY341" s="834">
        <f>(AY339+AY336)/(8.76*AY333/4)</f>
        <v>0.4</v>
      </c>
      <c r="AZ341" s="834">
        <f>(AZ339+AZ336)/(8.76*AZ333/4)</f>
        <v>0.4</v>
      </c>
      <c r="BA341" s="835">
        <f>(BA339+BA336)/(8.76*BA333/4)</f>
        <v>0.7</v>
      </c>
      <c r="BB341" s="826">
        <f>AVERAGE(AX341:BA341)</f>
        <v>0.55000000000000004</v>
      </c>
      <c r="BC341" s="833">
        <f>(BC339+BC336)/(8.76*BC333/4)</f>
        <v>0.70000000000000007</v>
      </c>
      <c r="BD341" s="834">
        <f>(BD339+BD336)/(8.76*BD333/4)</f>
        <v>0.39999999999999997</v>
      </c>
      <c r="BE341" s="834">
        <f>(BE339+BE336)/(8.76*BE333/4)</f>
        <v>0.39999999999999997</v>
      </c>
      <c r="BF341" s="835">
        <f>(BF339+BF336)/(8.76*BF333/4)</f>
        <v>0.70000000000000007</v>
      </c>
      <c r="BG341" s="826">
        <f>AVERAGE(BC341:BF341)</f>
        <v>0.55000000000000004</v>
      </c>
      <c r="BH341" s="833">
        <f>(BH339+BH336)/(8.76*BH333/4)</f>
        <v>0.70000000000000007</v>
      </c>
      <c r="BI341" s="834">
        <f>(BI339+BI336)/(8.76*BI333/4)</f>
        <v>0.39999999999999997</v>
      </c>
      <c r="BJ341" s="834">
        <f>(BJ339+BJ336)/(8.76*BJ333/4)</f>
        <v>0.39999999999999997</v>
      </c>
      <c r="BK341" s="835">
        <f>(BK339+BK336)/(8.76*BK333/4)</f>
        <v>0.70000000000000007</v>
      </c>
      <c r="BL341" s="826">
        <f>AVERAGE(BH341:BK341)</f>
        <v>0.55000000000000004</v>
      </c>
      <c r="BM341" s="833">
        <f>(BM339+BM336)/(8.76*BM333/4)</f>
        <v>0.70000000000000007</v>
      </c>
      <c r="BN341" s="834">
        <f>(BN339+BN336)/(8.76*BN333/4)</f>
        <v>0.39999999999999997</v>
      </c>
      <c r="BO341" s="834">
        <f>(BO339+BO336)/(8.76*BO333/4)</f>
        <v>0</v>
      </c>
      <c r="BP341" s="835">
        <f>(BP339+BP336)/(8.76*BP333/4)</f>
        <v>0.39999999999999997</v>
      </c>
      <c r="BQ341" s="826">
        <f>AVERAGE(BM341:BP341)</f>
        <v>0.375</v>
      </c>
      <c r="BR341" s="89"/>
    </row>
    <row r="342" spans="1:118" s="92" customFormat="1" ht="12.75" customHeight="1">
      <c r="A342" s="1313"/>
      <c r="B342" s="1313"/>
      <c r="C342" s="88" t="s">
        <v>589</v>
      </c>
      <c r="D342" s="1399"/>
      <c r="E342" s="214"/>
      <c r="F342" s="148"/>
      <c r="G342" s="148"/>
      <c r="H342" s="215"/>
      <c r="I342" s="88"/>
      <c r="J342" s="214"/>
      <c r="K342" s="148"/>
      <c r="L342" s="148"/>
      <c r="M342" s="215"/>
      <c r="N342" s="88"/>
      <c r="O342" s="214"/>
      <c r="P342" s="148"/>
      <c r="Q342" s="148"/>
      <c r="R342" s="215"/>
      <c r="S342" s="93"/>
      <c r="T342" s="106"/>
      <c r="U342" s="76"/>
      <c r="V342" s="76"/>
      <c r="W342" s="107"/>
      <c r="X342" s="308"/>
      <c r="Y342" s="106">
        <f>+Y339+Y336</f>
        <v>7589.8829999999998</v>
      </c>
      <c r="Z342" s="76">
        <f>+Z339+Z336</f>
        <v>4337.076</v>
      </c>
      <c r="AA342" s="76">
        <f>+AA339+AA336</f>
        <v>4337.076</v>
      </c>
      <c r="AB342" s="107">
        <f>+AB339+AB336</f>
        <v>2264.241</v>
      </c>
      <c r="AC342" s="308">
        <f>SUM(Y342:AB342)</f>
        <v>18528.275999999998</v>
      </c>
      <c r="AD342" s="106">
        <f>+AD339+AD336</f>
        <v>2264.241</v>
      </c>
      <c r="AE342" s="76">
        <f>+AE339+AE336</f>
        <v>2264.241</v>
      </c>
      <c r="AF342" s="76">
        <f>+AF339+AF336</f>
        <v>2264.241</v>
      </c>
      <c r="AG342" s="107">
        <f>+AG339+AG336</f>
        <v>2264.241</v>
      </c>
      <c r="AH342" s="308">
        <f>SUM(AD342:AG342)</f>
        <v>9056.9639999999999</v>
      </c>
      <c r="AI342" s="106">
        <f>+AI339+AI336</f>
        <v>2264.241</v>
      </c>
      <c r="AJ342" s="76">
        <f>+AJ339+AJ336</f>
        <v>2264.241</v>
      </c>
      <c r="AK342" s="76">
        <f>+AK339+AK336</f>
        <v>2264.241</v>
      </c>
      <c r="AL342" s="107">
        <f>+AL339+AL336</f>
        <v>2264.241</v>
      </c>
      <c r="AM342" s="308">
        <f>SUM(AI342:AL342)</f>
        <v>9056.9639999999999</v>
      </c>
      <c r="AN342" s="106">
        <f>+AN339+AN336</f>
        <v>2264.241</v>
      </c>
      <c r="AO342" s="76">
        <f>+AO339+AO336</f>
        <v>1293.8520000000001</v>
      </c>
      <c r="AP342" s="76">
        <f>+AP339+AP336</f>
        <v>2264.241</v>
      </c>
      <c r="AQ342" s="107">
        <f>+AQ339+AQ336</f>
        <v>2264.241</v>
      </c>
      <c r="AR342" s="308">
        <f>SUM(AN342:AQ342)</f>
        <v>8086.5749999999998</v>
      </c>
      <c r="AS342" s="106">
        <f>+AS339+AS336</f>
        <v>1293.8520000000001</v>
      </c>
      <c r="AT342" s="76">
        <f>+AT339+AT336</f>
        <v>1293.8520000000001</v>
      </c>
      <c r="AU342" s="76">
        <f>+AU339+AU336</f>
        <v>1293.8520000000001</v>
      </c>
      <c r="AV342" s="107">
        <f>+AV339+AV336</f>
        <v>1293.8520000000001</v>
      </c>
      <c r="AW342" s="308">
        <f>SUM(AS342:AV342)</f>
        <v>5175.4080000000004</v>
      </c>
      <c r="AX342" s="106">
        <f>+AX339+AX336</f>
        <v>2264.241</v>
      </c>
      <c r="AY342" s="76">
        <f>+AY339+AY336</f>
        <v>1293.8520000000001</v>
      </c>
      <c r="AZ342" s="76">
        <f>+AZ339+AZ336</f>
        <v>1293.8520000000001</v>
      </c>
      <c r="BA342" s="107">
        <f>+BA339+BA336</f>
        <v>2264.241</v>
      </c>
      <c r="BB342" s="308">
        <f>SUM(AX342:BA342)</f>
        <v>7116.1859999999997</v>
      </c>
      <c r="BC342" s="106">
        <f>+BC339+BC336</f>
        <v>271.34100000000001</v>
      </c>
      <c r="BD342" s="76">
        <f>+BD339+BD336</f>
        <v>155.05199999999999</v>
      </c>
      <c r="BE342" s="76">
        <f>+BE339+BE336</f>
        <v>155.05199999999999</v>
      </c>
      <c r="BF342" s="107">
        <f>+BF339+BF336</f>
        <v>271.34100000000001</v>
      </c>
      <c r="BG342" s="308">
        <f>SUM(BC342:BF342)</f>
        <v>852.78600000000006</v>
      </c>
      <c r="BH342" s="106">
        <f>+BH339+BH336</f>
        <v>271.34100000000001</v>
      </c>
      <c r="BI342" s="76">
        <f>+BI339+BI336</f>
        <v>155.05199999999999</v>
      </c>
      <c r="BJ342" s="76">
        <f>+BJ339+BJ336</f>
        <v>155.05199999999999</v>
      </c>
      <c r="BK342" s="107">
        <f>+BK339+BK336</f>
        <v>271.34100000000001</v>
      </c>
      <c r="BL342" s="308">
        <f>SUM(BH342:BK342)</f>
        <v>852.78600000000006</v>
      </c>
      <c r="BM342" s="106">
        <f>+BM339+BM336</f>
        <v>271.34100000000001</v>
      </c>
      <c r="BN342" s="76">
        <f>+BN339+BN336</f>
        <v>155.05199999999999</v>
      </c>
      <c r="BO342" s="76">
        <f>+BO339+BO336</f>
        <v>0</v>
      </c>
      <c r="BP342" s="107">
        <f>+BP339+BP336</f>
        <v>155.05199999999999</v>
      </c>
      <c r="BQ342" s="308">
        <f>SUM(BM342:BP342)</f>
        <v>581.44500000000005</v>
      </c>
      <c r="BR342" s="89"/>
      <c r="BT342" s="12"/>
      <c r="BU342" s="91"/>
      <c r="BV342" s="91"/>
      <c r="BW342" s="91"/>
      <c r="BX342" s="91"/>
      <c r="BY342" s="91"/>
      <c r="BZ342" s="91"/>
      <c r="CA342" s="91"/>
      <c r="CB342" s="91"/>
      <c r="CC342" s="91"/>
      <c r="CD342" s="91"/>
    </row>
    <row r="343" spans="1:118" ht="12.75" customHeight="1">
      <c r="A343" s="91"/>
      <c r="B343" s="89"/>
      <c r="C343" s="1184"/>
      <c r="D343" s="89"/>
      <c r="E343" s="145"/>
      <c r="F343" s="146"/>
      <c r="G343" s="146"/>
      <c r="H343" s="147"/>
      <c r="I343" s="87"/>
      <c r="J343" s="145"/>
      <c r="K343" s="146"/>
      <c r="L343" s="146"/>
      <c r="M343" s="147"/>
      <c r="N343" s="89"/>
      <c r="O343" s="145"/>
      <c r="P343" s="146"/>
      <c r="Q343" s="146"/>
      <c r="R343" s="147"/>
      <c r="S343" s="89"/>
      <c r="T343" s="145"/>
      <c r="U343" s="146"/>
      <c r="V343" s="146"/>
      <c r="W343" s="147"/>
      <c r="X343" s="89"/>
      <c r="Y343" s="145"/>
      <c r="Z343" s="146"/>
      <c r="AA343" s="146"/>
      <c r="AB343" s="147"/>
      <c r="AC343" s="89"/>
      <c r="AD343" s="145"/>
      <c r="AE343" s="146"/>
      <c r="AF343" s="146"/>
      <c r="AG343" s="147"/>
      <c r="AH343" s="89"/>
      <c r="AI343" s="145"/>
      <c r="AJ343" s="146"/>
      <c r="AK343" s="146"/>
      <c r="AL343" s="147"/>
      <c r="AM343" s="89"/>
      <c r="AN343" s="145"/>
      <c r="AO343" s="146"/>
      <c r="AP343" s="146"/>
      <c r="AQ343" s="147"/>
      <c r="AR343" s="89"/>
      <c r="AS343" s="145"/>
      <c r="AT343" s="146"/>
      <c r="AU343" s="146"/>
      <c r="AV343" s="147"/>
      <c r="AW343" s="89"/>
      <c r="AX343" s="145"/>
      <c r="AY343" s="146"/>
      <c r="AZ343" s="146"/>
      <c r="BA343" s="147"/>
      <c r="BB343" s="89"/>
      <c r="BC343" s="145"/>
      <c r="BD343" s="146"/>
      <c r="BE343" s="146"/>
      <c r="BF343" s="147"/>
      <c r="BG343" s="89"/>
      <c r="BH343" s="145"/>
      <c r="BI343" s="146"/>
      <c r="BJ343" s="146"/>
      <c r="BK343" s="147"/>
      <c r="BL343" s="89"/>
      <c r="BM343" s="145"/>
      <c r="BN343" s="146"/>
      <c r="BO343" s="146"/>
      <c r="BP343" s="147"/>
      <c r="BQ343" s="89"/>
      <c r="BR343" s="87"/>
      <c r="BS343" s="87"/>
      <c r="BT343" s="12"/>
      <c r="BU343" s="91"/>
      <c r="BV343" s="91"/>
      <c r="BW343" s="91"/>
      <c r="BX343" s="91"/>
      <c r="BY343" s="91"/>
      <c r="BZ343" s="91"/>
      <c r="CA343" s="91"/>
      <c r="CB343" s="91"/>
      <c r="CC343" s="91"/>
      <c r="CD343" s="91"/>
      <c r="CE343" s="91"/>
      <c r="CF343" s="91"/>
      <c r="CG343" s="91"/>
      <c r="CH343" s="91"/>
      <c r="CI343" s="91"/>
      <c r="CJ343" s="91"/>
      <c r="CK343" s="91"/>
      <c r="CL343" s="91"/>
      <c r="CM343" s="91"/>
      <c r="CN343" s="91"/>
      <c r="CO343" s="91"/>
      <c r="CP343" s="91"/>
      <c r="CQ343" s="91"/>
      <c r="CR343" s="1018"/>
      <c r="CS343" s="1018"/>
      <c r="CT343" s="821"/>
      <c r="CU343" s="12"/>
      <c r="CV343" s="12"/>
      <c r="CW343" s="12"/>
      <c r="CX343" s="12"/>
      <c r="CY343" s="12"/>
      <c r="CZ343" s="91"/>
      <c r="DA343" s="91"/>
      <c r="DB343" s="91"/>
      <c r="DC343" s="91"/>
      <c r="DD343" s="91"/>
      <c r="DE343" s="91"/>
      <c r="DF343" s="12"/>
      <c r="DG343" s="12"/>
      <c r="DH343" s="12"/>
      <c r="DI343" s="12"/>
      <c r="DJ343" s="12"/>
      <c r="DK343" s="12"/>
      <c r="DL343" s="12"/>
      <c r="DM343" s="12"/>
      <c r="DN343" s="12"/>
    </row>
    <row r="344" spans="1:118" ht="12.75" customHeight="1">
      <c r="A344" s="91"/>
      <c r="B344" s="89"/>
      <c r="C344" s="1179" t="s">
        <v>566</v>
      </c>
      <c r="D344" s="89"/>
      <c r="E344" s="145"/>
      <c r="F344" s="146"/>
      <c r="G344" s="146"/>
      <c r="H344" s="147"/>
      <c r="I344" s="87"/>
      <c r="J344" s="145"/>
      <c r="K344" s="146"/>
      <c r="L344" s="146"/>
      <c r="M344" s="147"/>
      <c r="N344" s="89"/>
      <c r="O344" s="145"/>
      <c r="P344" s="146"/>
      <c r="Q344" s="146"/>
      <c r="R344" s="147"/>
      <c r="S344" s="89"/>
      <c r="T344" s="114"/>
      <c r="U344" s="115"/>
      <c r="V344" s="115"/>
      <c r="W344" s="105"/>
      <c r="X344" s="113"/>
      <c r="Y344" s="1400">
        <f>(Y329/1000*Y336)+(Y330/1000*Y339)</f>
        <v>291.07141716164836</v>
      </c>
      <c r="Z344" s="1401">
        <f>(Z329/1000*Z336)+(Z330/1000*Z339)</f>
        <v>197.46839012338185</v>
      </c>
      <c r="AA344" s="1401">
        <f>(AA329/1000*AA336)+(AA330/1000*AA339)</f>
        <v>208.77150360329094</v>
      </c>
      <c r="AB344" s="1402">
        <f>(AB329/1000*AB336)+(AB330/1000*AB339)</f>
        <v>82.09220111330059</v>
      </c>
      <c r="AC344" s="1403">
        <f>SUM(Y344:AB344)</f>
        <v>779.40351200162172</v>
      </c>
      <c r="AD344" s="1400">
        <f>(AD329/1000*AD336)+(AD330/1000*AD339)</f>
        <v>222.91668214513817</v>
      </c>
      <c r="AE344" s="1401">
        <f>(AE329/1000*AE336)+(AE330/1000*AE339)</f>
        <v>95.096911779902982</v>
      </c>
      <c r="AF344" s="1401">
        <f>(AF329/1000*AF336)+(AF330/1000*AF339)</f>
        <v>80.153456582457949</v>
      </c>
      <c r="AG344" s="1402">
        <f>(AG329/1000*AG336)+(AG330/1000*AG339)</f>
        <v>81.30026440945241</v>
      </c>
      <c r="AH344" s="1403">
        <f>SUM(AD344:AG344)</f>
        <v>479.46731491695152</v>
      </c>
      <c r="AI344" s="1400">
        <f>(AI329/1000*AI336)+(AI330/1000*AI339)</f>
        <v>116.48562478450098</v>
      </c>
      <c r="AJ344" s="1401">
        <f>(AJ329/1000*AJ336)+(AJ330/1000*AJ339)</f>
        <v>74.938212713514943</v>
      </c>
      <c r="AK344" s="1401">
        <f>(AK329/1000*AK336)+(AK330/1000*AK339)</f>
        <v>73.598756797372886</v>
      </c>
      <c r="AL344" s="1402">
        <f>(AL329/1000*AL336)+(AL330/1000*AL339)</f>
        <v>62.722030742037916</v>
      </c>
      <c r="AM344" s="1403">
        <f>SUM(AI344:AL344)</f>
        <v>327.74462503742672</v>
      </c>
      <c r="AN344" s="1400">
        <f>(AN329/1000*AN336)+(AN330/1000*AN339)</f>
        <v>62.227606512139715</v>
      </c>
      <c r="AO344" s="1401">
        <f>(AO329/1000*AO336)+(AO330/1000*AO339)</f>
        <v>42.311297536419517</v>
      </c>
      <c r="AP344" s="1401">
        <f>(AP329/1000*AP336)+(AP330/1000*AP339)</f>
        <v>72.610142842413836</v>
      </c>
      <c r="AQ344" s="1402">
        <f>(AQ329/1000*AQ336)+(AQ330/1000*AQ339)</f>
        <v>67.557972545891971</v>
      </c>
      <c r="AR344" s="1403">
        <f>SUM(AN344:AQ344)</f>
        <v>244.70701943686504</v>
      </c>
      <c r="AS344" s="1400">
        <f>(AS329/1000*AS336)+(AS330/1000*AS339)</f>
        <v>42.442631431681853</v>
      </c>
      <c r="AT344" s="1401">
        <f>(AT329/1000*AT336)+(AT330/1000*AT339)</f>
        <v>42.442631431681853</v>
      </c>
      <c r="AU344" s="1401">
        <f>(AU329/1000*AU336)+(AU330/1000*AU339)</f>
        <v>45.92012466626143</v>
      </c>
      <c r="AV344" s="1402">
        <f>(AV329/1000*AV336)+(AV330/1000*AV339)</f>
        <v>48.451988492540849</v>
      </c>
      <c r="AW344" s="1403">
        <f>SUM(AS344:AV344)</f>
        <v>179.257376022166</v>
      </c>
      <c r="AX344" s="1400">
        <f>(AX329/1000*AX336)+(AX330/1000*AX339)</f>
        <v>104.80512476972672</v>
      </c>
      <c r="AY344" s="1401">
        <f>(AY329/1000*AY336)+(AY330/1000*AY339)</f>
        <v>44.63789400000001</v>
      </c>
      <c r="AZ344" s="1401">
        <f>(AZ329/1000*AZ336)+(AZ330/1000*AZ339)</f>
        <v>47.743138799999997</v>
      </c>
      <c r="BA344" s="1402">
        <f>(BA329/1000*BA336)+(BA330/1000*BA339)</f>
        <v>69.797924349999988</v>
      </c>
      <c r="BB344" s="1403">
        <f>SUM(AX344:BA344)</f>
        <v>266.98408191972669</v>
      </c>
      <c r="BC344" s="1400">
        <f>(BC329/1000*BC336)+(BC330/1000*BC339)</f>
        <v>10.08365373815899</v>
      </c>
      <c r="BD344" s="1401">
        <f>(BD329/1000*BD336)+(BD330/1000*BD339)</f>
        <v>4.6017098495544042</v>
      </c>
      <c r="BE344" s="1401">
        <f>(BE329/1000*BE336)+(BE330/1000*BE339)</f>
        <v>4.9772626162019211</v>
      </c>
      <c r="BF344" s="1402">
        <f>(BF329/1000*BF336)+(BF330/1000*BF339)</f>
        <v>9.7615696170438682</v>
      </c>
      <c r="BG344" s="1403">
        <f>SUM(BC344:BF344)</f>
        <v>29.424195820959184</v>
      </c>
      <c r="BH344" s="1400">
        <f>(BH329/1000*BH336)+(BH330/1000*BH339)</f>
        <v>10.0256563677248</v>
      </c>
      <c r="BI344" s="1401">
        <f>(BI329/1000*BI336)+(BI330/1000*BI339)</f>
        <v>4.5908529193958136</v>
      </c>
      <c r="BJ344" s="1401">
        <f>(BJ329/1000*BJ336)+(BJ330/1000*BJ339)</f>
        <v>4.9655196349250179</v>
      </c>
      <c r="BK344" s="1402">
        <f>(BK329/1000*BK336)+(BK330/1000*BK339)</f>
        <v>9.705139238035283</v>
      </c>
      <c r="BL344" s="1403">
        <f>SUM(BH344:BK344)</f>
        <v>29.287168160080913</v>
      </c>
      <c r="BM344" s="1400">
        <f>(BM329/1000*BM336)+(BM330/1000*BM339)</f>
        <v>10.522791634297747</v>
      </c>
      <c r="BN344" s="1401">
        <f>(BN329/1000*BN336)+(BN330/1000*BN339)</f>
        <v>3.8587680078827944</v>
      </c>
      <c r="BO344" s="1401">
        <f>(BO329/1000*BO336)+(BO330/1000*BO339)</f>
        <v>0</v>
      </c>
      <c r="BP344" s="1402">
        <f>(BP329/1000*BP336)+(BP330/1000*BP339)</f>
        <v>7.3483521832069139</v>
      </c>
      <c r="BQ344" s="1403">
        <f>SUM(BM344:BP344)</f>
        <v>21.729911825387454</v>
      </c>
      <c r="BR344" s="87"/>
      <c r="BS344" s="87"/>
      <c r="BT344" s="12"/>
      <c r="BU344" s="91"/>
      <c r="BV344" s="91"/>
      <c r="BW344" s="91"/>
      <c r="BX344" s="91"/>
      <c r="BY344" s="91"/>
      <c r="BZ344" s="91"/>
      <c r="CA344" s="91"/>
      <c r="CB344" s="91"/>
      <c r="CC344" s="91"/>
      <c r="CD344" s="91"/>
      <c r="CE344" s="91"/>
      <c r="CF344" s="91"/>
      <c r="CG344" s="91"/>
      <c r="CH344" s="91"/>
      <c r="CI344" s="91"/>
      <c r="CJ344" s="91"/>
      <c r="CK344" s="91"/>
      <c r="CL344" s="91"/>
      <c r="CM344" s="91"/>
      <c r="CN344" s="91"/>
      <c r="CO344" s="91"/>
      <c r="CP344" s="91"/>
      <c r="CQ344" s="91"/>
      <c r="CR344" s="1018"/>
      <c r="CS344" s="1018"/>
      <c r="CT344" s="821"/>
      <c r="CU344" s="12"/>
      <c r="CV344" s="12"/>
      <c r="CW344" s="12"/>
      <c r="CX344" s="12"/>
      <c r="CY344" s="12"/>
      <c r="CZ344" s="91"/>
      <c r="DA344" s="91"/>
      <c r="DB344" s="91"/>
      <c r="DC344" s="91"/>
      <c r="DD344" s="91"/>
      <c r="DE344" s="91"/>
      <c r="DF344" s="12"/>
      <c r="DG344" s="12"/>
      <c r="DH344" s="12"/>
      <c r="DI344" s="12"/>
      <c r="DJ344" s="12"/>
      <c r="DK344" s="12"/>
      <c r="DL344" s="12"/>
      <c r="DM344" s="12"/>
      <c r="DN344" s="12"/>
    </row>
    <row r="345" spans="1:118" ht="12.75" customHeight="1">
      <c r="A345" s="91"/>
      <c r="B345" s="89"/>
      <c r="C345" s="1179" t="s">
        <v>683</v>
      </c>
      <c r="D345" s="89"/>
      <c r="E345" s="145"/>
      <c r="F345" s="146"/>
      <c r="G345" s="146"/>
      <c r="H345" s="147"/>
      <c r="I345" s="87"/>
      <c r="J345" s="145"/>
      <c r="K345" s="146"/>
      <c r="L345" s="146"/>
      <c r="M345" s="147"/>
      <c r="N345" s="89"/>
      <c r="O345" s="145"/>
      <c r="P345" s="146"/>
      <c r="Q345" s="146"/>
      <c r="R345" s="147"/>
      <c r="S345" s="89"/>
      <c r="T345" s="114"/>
      <c r="U345" s="115"/>
      <c r="V345" s="115"/>
      <c r="W345" s="105"/>
      <c r="X345" s="113"/>
      <c r="Y345" s="114">
        <f>Y331/1000*Y342</f>
        <v>242.0174680365144</v>
      </c>
      <c r="Z345" s="115">
        <f>Z331/1000*Z342</f>
        <v>139.03629345051922</v>
      </c>
      <c r="AA345" s="115">
        <f>AA331/1000*AA342</f>
        <v>134.04725901161535</v>
      </c>
      <c r="AB345" s="105">
        <f>AB331/1000*AB342</f>
        <v>68.648728217495176</v>
      </c>
      <c r="AC345" s="113">
        <f>SUM(Y345:AB345)</f>
        <v>583.74974871614415</v>
      </c>
      <c r="AD345" s="114">
        <f>AD331/1000*AD342</f>
        <v>70.004181257668264</v>
      </c>
      <c r="AE345" s="115">
        <f>AE331/1000*AE342</f>
        <v>67.185527785889448</v>
      </c>
      <c r="AF345" s="115">
        <f>AF331/1000*AF342</f>
        <v>64.191003748745203</v>
      </c>
      <c r="AG345" s="105">
        <f>AG331/1000*AG342</f>
        <v>63.050969291019236</v>
      </c>
      <c r="AH345" s="113">
        <f>SUM(AD345:AG345)</f>
        <v>264.43168208332213</v>
      </c>
      <c r="AI345" s="114">
        <f>AI331/1000*AI342</f>
        <v>60.745601836701915</v>
      </c>
      <c r="AJ345" s="115">
        <f>AJ331/1000*AJ342</f>
        <v>60.157106006408668</v>
      </c>
      <c r="AK345" s="115">
        <f>AK331/1000*AK342</f>
        <v>58.312370080528851</v>
      </c>
      <c r="AL345" s="105">
        <f>AL331/1000*AL342</f>
        <v>54.292798016826929</v>
      </c>
      <c r="AM345" s="113">
        <f>SUM(AI345:AL345)</f>
        <v>233.50787594046639</v>
      </c>
      <c r="AN345" s="114">
        <f>AN331/1000*AN342</f>
        <v>50.640511969182683</v>
      </c>
      <c r="AO345" s="115">
        <f>AO331/1000*AO342</f>
        <v>28.298005043942311</v>
      </c>
      <c r="AP345" s="115">
        <f>AP331/1000*AP342</f>
        <v>49.233090243750006</v>
      </c>
      <c r="AQ345" s="105">
        <f>AQ331/1000*AQ342</f>
        <v>52.840037042524045</v>
      </c>
      <c r="AR345" s="113">
        <f>SUM(AN345:AQ345)</f>
        <v>181.01164429939905</v>
      </c>
      <c r="AS345" s="114">
        <f>AS331/1000*AS342</f>
        <v>34.175974679942307</v>
      </c>
      <c r="AT345" s="115">
        <f>AT331/1000*AT342</f>
        <v>34.175974679942307</v>
      </c>
      <c r="AU345" s="115">
        <f>AU331/1000*AU342</f>
        <v>34.439802299538464</v>
      </c>
      <c r="AV345" s="105">
        <f>AV331/1000*AV342</f>
        <v>37.149227914615402</v>
      </c>
      <c r="AW345" s="113">
        <f>SUM(AS345:AV345)</f>
        <v>139.94097957403849</v>
      </c>
      <c r="AX345" s="114">
        <f>AX331/1000*AX342</f>
        <v>67.35583572072116</v>
      </c>
      <c r="AY345" s="115">
        <f>AY331/1000*AY342</f>
        <v>32.3786463</v>
      </c>
      <c r="AZ345" s="115">
        <f>AZ331/1000*AZ342</f>
        <v>32.398458408750002</v>
      </c>
      <c r="BA345" s="105">
        <f>BA331/1000*BA342</f>
        <v>56.727020378437501</v>
      </c>
      <c r="BB345" s="113">
        <f>SUM(AX345:BA345)</f>
        <v>188.85996080790864</v>
      </c>
      <c r="BC345" s="114">
        <f>BC331/1000*BC342</f>
        <v>6.7086019942702029</v>
      </c>
      <c r="BD345" s="115">
        <f>BD331/1000*BD342</f>
        <v>3.833486853868687</v>
      </c>
      <c r="BE345" s="115">
        <f>BE331/1000*BE342</f>
        <v>3.833486853868687</v>
      </c>
      <c r="BF345" s="105">
        <f>BF331/1000*BF342</f>
        <v>7.493655230939396</v>
      </c>
      <c r="BG345" s="113">
        <f>SUM(BC345:BF345)</f>
        <v>21.869230932946973</v>
      </c>
      <c r="BH345" s="114">
        <f>BH331/1000*BH342</f>
        <v>6.7086019942702029</v>
      </c>
      <c r="BI345" s="115">
        <f>BI331/1000*BI342</f>
        <v>3.833486853868687</v>
      </c>
      <c r="BJ345" s="115">
        <f>BJ331/1000*BJ342</f>
        <v>3.833486853868687</v>
      </c>
      <c r="BK345" s="105">
        <f>BK331/1000*BK342</f>
        <v>7.493655230939396</v>
      </c>
      <c r="BL345" s="113">
        <f>SUM(BH345:BK345)</f>
        <v>21.869230932946973</v>
      </c>
      <c r="BM345" s="114">
        <f>BM331/1000*BM342</f>
        <v>6.7086019942702029</v>
      </c>
      <c r="BN345" s="115">
        <f>BN331/1000*BN342</f>
        <v>3.833486853868687</v>
      </c>
      <c r="BO345" s="115">
        <f>BO331/1000*BO342</f>
        <v>0</v>
      </c>
      <c r="BP345" s="105">
        <f>BP331/1000*BP342</f>
        <v>4.2820887033939403</v>
      </c>
      <c r="BQ345" s="113">
        <f>SUM(BM345:BP345)</f>
        <v>14.824177551532831</v>
      </c>
      <c r="BR345" s="87"/>
      <c r="BS345" s="87"/>
      <c r="BT345" s="12"/>
      <c r="BU345" s="91"/>
      <c r="BV345" s="91"/>
      <c r="BW345" s="91"/>
      <c r="BX345" s="91"/>
      <c r="BY345" s="91"/>
      <c r="BZ345" s="91"/>
      <c r="CA345" s="91"/>
      <c r="CB345" s="91"/>
      <c r="CC345" s="91"/>
      <c r="CD345" s="91"/>
      <c r="CE345" s="91"/>
      <c r="CF345" s="91"/>
      <c r="CG345" s="91"/>
      <c r="CH345" s="91"/>
      <c r="CI345" s="91"/>
      <c r="CJ345" s="91"/>
      <c r="CK345" s="91"/>
      <c r="CL345" s="91"/>
      <c r="CM345" s="91"/>
      <c r="CN345" s="91"/>
      <c r="CO345" s="91"/>
      <c r="CP345" s="91"/>
      <c r="CQ345" s="91"/>
      <c r="CR345" s="1018"/>
      <c r="CS345" s="1018"/>
      <c r="CT345" s="821"/>
      <c r="CU345" s="12"/>
      <c r="CV345" s="12"/>
      <c r="CW345" s="12"/>
      <c r="CX345" s="12"/>
      <c r="CY345" s="12"/>
      <c r="CZ345" s="91"/>
      <c r="DA345" s="91"/>
      <c r="DB345" s="91"/>
      <c r="DC345" s="91"/>
      <c r="DD345" s="91"/>
      <c r="DE345" s="91"/>
      <c r="DF345" s="12"/>
      <c r="DG345" s="12"/>
      <c r="DH345" s="12"/>
      <c r="DI345" s="12"/>
      <c r="DJ345" s="12"/>
      <c r="DK345" s="12"/>
      <c r="DL345" s="12"/>
      <c r="DM345" s="12"/>
      <c r="DN345" s="12"/>
    </row>
    <row r="346" spans="1:118" ht="12.75" customHeight="1">
      <c r="A346" s="91"/>
      <c r="B346" s="88"/>
      <c r="C346" s="1186" t="s">
        <v>567</v>
      </c>
      <c r="D346" s="88"/>
      <c r="E346" s="214"/>
      <c r="F346" s="148"/>
      <c r="G346" s="148"/>
      <c r="H346" s="215"/>
      <c r="I346" s="87"/>
      <c r="J346" s="214"/>
      <c r="K346" s="148"/>
      <c r="L346" s="148"/>
      <c r="M346" s="215"/>
      <c r="N346" s="88"/>
      <c r="O346" s="214"/>
      <c r="P346" s="148"/>
      <c r="Q346" s="148"/>
      <c r="R346" s="215"/>
      <c r="S346" s="88"/>
      <c r="T346" s="106"/>
      <c r="U346" s="76"/>
      <c r="V346" s="76"/>
      <c r="W346" s="107"/>
      <c r="X346" s="93"/>
      <c r="Y346" s="106">
        <f t="shared" ref="Y346:AR346" si="573">Y344-Y345</f>
        <v>49.053949125133954</v>
      </c>
      <c r="Z346" s="76">
        <f t="shared" si="573"/>
        <v>58.432096672862627</v>
      </c>
      <c r="AA346" s="76">
        <f t="shared" si="573"/>
        <v>74.724244591675586</v>
      </c>
      <c r="AB346" s="107">
        <f t="shared" si="573"/>
        <v>13.443472895805414</v>
      </c>
      <c r="AC346" s="93">
        <f t="shared" si="573"/>
        <v>195.65376328547757</v>
      </c>
      <c r="AD346" s="106">
        <f t="shared" si="573"/>
        <v>152.91250088746989</v>
      </c>
      <c r="AE346" s="76">
        <f t="shared" si="573"/>
        <v>27.911383994013534</v>
      </c>
      <c r="AF346" s="76">
        <f t="shared" si="573"/>
        <v>15.962452833712746</v>
      </c>
      <c r="AG346" s="107">
        <f t="shared" si="573"/>
        <v>18.249295118433174</v>
      </c>
      <c r="AH346" s="93">
        <f t="shared" si="573"/>
        <v>215.03563283362939</v>
      </c>
      <c r="AI346" s="106">
        <f t="shared" si="573"/>
        <v>55.740022947799069</v>
      </c>
      <c r="AJ346" s="76">
        <f t="shared" si="573"/>
        <v>14.781106707106275</v>
      </c>
      <c r="AK346" s="76">
        <f t="shared" si="573"/>
        <v>15.286386716844035</v>
      </c>
      <c r="AL346" s="107">
        <f t="shared" si="573"/>
        <v>8.4292327252109871</v>
      </c>
      <c r="AM346" s="93">
        <f t="shared" si="573"/>
        <v>94.236749096960324</v>
      </c>
      <c r="AN346" s="106">
        <f t="shared" si="573"/>
        <v>11.587094542957033</v>
      </c>
      <c r="AO346" s="76">
        <f t="shared" si="573"/>
        <v>14.013292492477206</v>
      </c>
      <c r="AP346" s="76">
        <f t="shared" ref="AP346" si="574">AP344-AP345</f>
        <v>23.37705259866383</v>
      </c>
      <c r="AQ346" s="107">
        <f t="shared" si="573"/>
        <v>14.717935503367926</v>
      </c>
      <c r="AR346" s="93">
        <f t="shared" si="573"/>
        <v>63.695375137465987</v>
      </c>
      <c r="AS346" s="106">
        <f t="shared" ref="AS346" si="575">AS344-AS345</f>
        <v>8.2666567517395464</v>
      </c>
      <c r="AT346" s="76">
        <f t="shared" ref="AT346:BB346" si="576">AT344-AT345</f>
        <v>8.2666567517395464</v>
      </c>
      <c r="AU346" s="76">
        <f t="shared" ref="AU346" si="577">AU344-AU345</f>
        <v>11.480322366722966</v>
      </c>
      <c r="AV346" s="107">
        <f t="shared" si="576"/>
        <v>11.302760577925447</v>
      </c>
      <c r="AW346" s="93">
        <f t="shared" si="576"/>
        <v>39.316396448127506</v>
      </c>
      <c r="AX346" s="106">
        <f t="shared" si="576"/>
        <v>37.449289049005557</v>
      </c>
      <c r="AY346" s="76">
        <f t="shared" si="576"/>
        <v>12.25924770000001</v>
      </c>
      <c r="AZ346" s="76">
        <f t="shared" si="576"/>
        <v>15.344680391249994</v>
      </c>
      <c r="BA346" s="107">
        <f t="shared" si="576"/>
        <v>13.070903971562487</v>
      </c>
      <c r="BB346" s="93">
        <f t="shared" si="576"/>
        <v>78.124121111818056</v>
      </c>
      <c r="BC346" s="106">
        <f t="shared" ref="BC346:BL346" si="578">BC344-BC345</f>
        <v>3.375051743888787</v>
      </c>
      <c r="BD346" s="76">
        <f t="shared" si="578"/>
        <v>0.76822299568571717</v>
      </c>
      <c r="BE346" s="76">
        <f t="shared" si="578"/>
        <v>1.1437757623332341</v>
      </c>
      <c r="BF346" s="107">
        <f t="shared" si="578"/>
        <v>2.2679143861044722</v>
      </c>
      <c r="BG346" s="93">
        <f t="shared" si="578"/>
        <v>7.5549648880122113</v>
      </c>
      <c r="BH346" s="106">
        <f t="shared" si="578"/>
        <v>3.3170543734545967</v>
      </c>
      <c r="BI346" s="76">
        <f t="shared" si="578"/>
        <v>0.7573660655271266</v>
      </c>
      <c r="BJ346" s="76">
        <f t="shared" si="578"/>
        <v>1.1320327810563309</v>
      </c>
      <c r="BK346" s="107">
        <f t="shared" si="578"/>
        <v>2.211484007095887</v>
      </c>
      <c r="BL346" s="93">
        <f t="shared" si="578"/>
        <v>7.4179372271339403</v>
      </c>
      <c r="BM346" s="106">
        <f t="shared" ref="BM346:BQ346" si="579">BM344-BM345</f>
        <v>3.8141896400275437</v>
      </c>
      <c r="BN346" s="76">
        <f t="shared" si="579"/>
        <v>2.5281154014107354E-2</v>
      </c>
      <c r="BO346" s="76">
        <f t="shared" si="579"/>
        <v>0</v>
      </c>
      <c r="BP346" s="107">
        <f t="shared" si="579"/>
        <v>3.0662634798129735</v>
      </c>
      <c r="BQ346" s="93">
        <f t="shared" si="579"/>
        <v>6.9057342738546232</v>
      </c>
      <c r="BR346" s="87"/>
      <c r="BS346" s="87"/>
      <c r="BT346" s="12"/>
      <c r="BU346" s="91"/>
      <c r="BV346" s="91"/>
      <c r="BW346" s="91"/>
      <c r="BX346" s="91"/>
      <c r="BY346" s="91"/>
      <c r="BZ346" s="91"/>
      <c r="CA346" s="91"/>
      <c r="CB346" s="91"/>
      <c r="CC346" s="91"/>
      <c r="CD346" s="91"/>
      <c r="CE346" s="91"/>
      <c r="CF346" s="91"/>
      <c r="CG346" s="91"/>
      <c r="CH346" s="91"/>
      <c r="CI346" s="91"/>
      <c r="CJ346" s="91"/>
      <c r="CK346" s="91"/>
      <c r="CL346" s="91"/>
      <c r="CM346" s="91"/>
      <c r="CN346" s="91"/>
      <c r="CO346" s="91"/>
      <c r="CP346" s="91"/>
      <c r="CQ346" s="91"/>
      <c r="CR346" s="1018"/>
      <c r="CS346" s="1018"/>
      <c r="CT346" s="821"/>
      <c r="CU346" s="12"/>
      <c r="CV346" s="12"/>
      <c r="CW346" s="12"/>
      <c r="CX346" s="12"/>
      <c r="CY346" s="12"/>
      <c r="CZ346" s="91"/>
      <c r="DA346" s="91"/>
      <c r="DB346" s="91"/>
      <c r="DC346" s="91"/>
      <c r="DD346" s="91"/>
      <c r="DE346" s="91"/>
      <c r="DF346" s="12"/>
      <c r="DG346" s="12"/>
      <c r="DH346" s="12"/>
      <c r="DI346" s="12"/>
      <c r="DJ346" s="12"/>
      <c r="DK346" s="12"/>
      <c r="DL346" s="12"/>
      <c r="DM346" s="12"/>
      <c r="DN346" s="12"/>
    </row>
    <row r="347" spans="1:118">
      <c r="A347" s="91"/>
      <c r="B347" s="88"/>
      <c r="C347" s="1186"/>
      <c r="D347" s="88"/>
      <c r="E347" s="214"/>
      <c r="F347" s="148"/>
      <c r="G347" s="148"/>
      <c r="H347" s="215"/>
      <c r="I347" s="87"/>
      <c r="J347" s="214"/>
      <c r="K347" s="148"/>
      <c r="L347" s="148"/>
      <c r="M347" s="215"/>
      <c r="N347" s="88"/>
      <c r="O347" s="214"/>
      <c r="P347" s="148"/>
      <c r="Q347" s="148"/>
      <c r="R347" s="215"/>
      <c r="S347" s="88"/>
      <c r="T347" s="106"/>
      <c r="U347" s="76"/>
      <c r="V347" s="76"/>
      <c r="W347" s="107"/>
      <c r="X347" s="93"/>
      <c r="Y347" s="106"/>
      <c r="Z347" s="76"/>
      <c r="AA347" s="76"/>
      <c r="AB347" s="107"/>
      <c r="AC347" s="93"/>
      <c r="AD347" s="106"/>
      <c r="AE347" s="76"/>
      <c r="AF347" s="76"/>
      <c r="AG347" s="107"/>
      <c r="AH347" s="93"/>
      <c r="AI347" s="106"/>
      <c r="AJ347" s="76"/>
      <c r="AK347" s="76"/>
      <c r="AL347" s="107"/>
      <c r="AM347" s="93"/>
      <c r="AN347" s="106"/>
      <c r="AO347" s="76"/>
      <c r="AP347" s="76"/>
      <c r="AQ347" s="107"/>
      <c r="AR347" s="93"/>
      <c r="AS347" s="106"/>
      <c r="AT347" s="76"/>
      <c r="AU347" s="76"/>
      <c r="AV347" s="107"/>
      <c r="AW347" s="93"/>
      <c r="AX347" s="106"/>
      <c r="AY347" s="76"/>
      <c r="AZ347" s="76"/>
      <c r="BA347" s="107"/>
      <c r="BB347" s="93"/>
      <c r="BC347" s="106"/>
      <c r="BD347" s="76"/>
      <c r="BE347" s="76"/>
      <c r="BF347" s="107"/>
      <c r="BG347" s="93"/>
      <c r="BH347" s="106"/>
      <c r="BI347" s="76"/>
      <c r="BJ347" s="76"/>
      <c r="BK347" s="107"/>
      <c r="BL347" s="93"/>
      <c r="BM347" s="106"/>
      <c r="BN347" s="76"/>
      <c r="BO347" s="76"/>
      <c r="BP347" s="107"/>
      <c r="BQ347" s="93"/>
      <c r="BR347" s="87"/>
      <c r="BS347" s="87"/>
      <c r="BT347" s="12"/>
      <c r="BU347" s="91"/>
      <c r="BV347" s="91"/>
      <c r="BW347" s="91"/>
      <c r="BX347" s="91"/>
      <c r="BY347" s="91"/>
      <c r="BZ347" s="91"/>
      <c r="CA347" s="91"/>
      <c r="CB347" s="91"/>
      <c r="CC347" s="91"/>
      <c r="CD347" s="91"/>
      <c r="CE347" s="91"/>
      <c r="CF347" s="91"/>
      <c r="CG347" s="91"/>
      <c r="CH347" s="91"/>
      <c r="CI347" s="91"/>
      <c r="CJ347" s="91"/>
      <c r="CK347" s="91"/>
      <c r="CL347" s="91"/>
      <c r="CM347" s="91"/>
      <c r="CN347" s="91"/>
      <c r="CO347" s="91"/>
      <c r="CP347" s="91"/>
      <c r="CQ347" s="91"/>
      <c r="CR347" s="1018"/>
      <c r="CS347" s="1018"/>
      <c r="CT347" s="821"/>
      <c r="CU347" s="12"/>
      <c r="CV347" s="12"/>
      <c r="CW347" s="12"/>
      <c r="CX347" s="12"/>
      <c r="CY347" s="12"/>
      <c r="CZ347" s="91"/>
      <c r="DA347" s="91"/>
      <c r="DB347" s="91"/>
      <c r="DC347" s="91"/>
      <c r="DD347" s="91"/>
      <c r="DE347" s="91"/>
      <c r="DF347" s="12"/>
      <c r="DG347" s="12"/>
      <c r="DH347" s="12"/>
      <c r="DI347" s="12"/>
      <c r="DJ347" s="12"/>
      <c r="DK347" s="12"/>
      <c r="DL347" s="12"/>
      <c r="DM347" s="12"/>
      <c r="DN347" s="12"/>
    </row>
    <row r="348" spans="1:118">
      <c r="A348" s="91"/>
      <c r="B348" s="88"/>
      <c r="C348" s="1186"/>
      <c r="D348" s="88"/>
      <c r="E348" s="214"/>
      <c r="F348" s="148"/>
      <c r="G348" s="148"/>
      <c r="H348" s="215"/>
      <c r="I348" s="87"/>
      <c r="J348" s="214"/>
      <c r="K348" s="148"/>
      <c r="L348" s="148"/>
      <c r="M348" s="215"/>
      <c r="N348" s="88"/>
      <c r="O348" s="214"/>
      <c r="P348" s="148"/>
      <c r="Q348" s="148"/>
      <c r="R348" s="215"/>
      <c r="S348" s="88"/>
      <c r="T348" s="106"/>
      <c r="U348" s="76"/>
      <c r="V348" s="76"/>
      <c r="W348" s="107"/>
      <c r="X348" s="93"/>
      <c r="Y348" s="106"/>
      <c r="Z348" s="76"/>
      <c r="AA348" s="76"/>
      <c r="AB348" s="107"/>
      <c r="AC348" s="93"/>
      <c r="AD348" s="106"/>
      <c r="AE348" s="76"/>
      <c r="AF348" s="76"/>
      <c r="AG348" s="107"/>
      <c r="AH348" s="93"/>
      <c r="AI348" s="106"/>
      <c r="AJ348" s="76"/>
      <c r="AK348" s="76"/>
      <c r="AL348" s="107"/>
      <c r="AM348" s="93"/>
      <c r="AN348" s="106"/>
      <c r="AO348" s="76"/>
      <c r="AP348" s="76"/>
      <c r="AQ348" s="107"/>
      <c r="AR348" s="93"/>
      <c r="AS348" s="106"/>
      <c r="AT348" s="76"/>
      <c r="AU348" s="76"/>
      <c r="AV348" s="107"/>
      <c r="AW348" s="93"/>
      <c r="AX348" s="106"/>
      <c r="AY348" s="76"/>
      <c r="AZ348" s="76"/>
      <c r="BA348" s="107"/>
      <c r="BB348" s="93"/>
      <c r="BC348" s="106"/>
      <c r="BD348" s="76"/>
      <c r="BE348" s="76"/>
      <c r="BF348" s="107"/>
      <c r="BG348" s="93"/>
      <c r="BH348" s="106"/>
      <c r="BI348" s="76"/>
      <c r="BJ348" s="76"/>
      <c r="BK348" s="107"/>
      <c r="BL348" s="93"/>
      <c r="BM348" s="106"/>
      <c r="BN348" s="76"/>
      <c r="BO348" s="76"/>
      <c r="BP348" s="107"/>
      <c r="BQ348" s="93"/>
      <c r="BR348" s="87"/>
      <c r="BS348" s="87"/>
      <c r="CE348" s="91"/>
      <c r="CF348" s="91"/>
      <c r="CG348" s="91"/>
      <c r="CH348" s="91"/>
      <c r="CI348" s="91"/>
      <c r="CJ348" s="91"/>
      <c r="CK348" s="91"/>
      <c r="CL348" s="91"/>
      <c r="CM348" s="91"/>
      <c r="CN348" s="91"/>
      <c r="CO348" s="91"/>
      <c r="CP348" s="91"/>
      <c r="CQ348" s="91"/>
      <c r="CR348" s="1018"/>
      <c r="CS348" s="1018"/>
      <c r="CT348" s="821"/>
      <c r="CU348" s="12"/>
      <c r="CV348" s="12"/>
      <c r="CW348" s="12"/>
      <c r="CX348" s="12"/>
      <c r="CY348" s="12"/>
      <c r="CZ348" s="91"/>
      <c r="DA348" s="91"/>
      <c r="DB348" s="91"/>
      <c r="DC348" s="91"/>
      <c r="DD348" s="91"/>
      <c r="DE348" s="91"/>
      <c r="DF348" s="12"/>
      <c r="DG348" s="12"/>
      <c r="DH348" s="12"/>
      <c r="DI348" s="12"/>
      <c r="DJ348" s="12"/>
      <c r="DK348" s="12"/>
      <c r="DL348" s="12"/>
      <c r="DM348" s="12"/>
      <c r="DN348" s="12"/>
    </row>
    <row r="349" spans="1:118">
      <c r="A349" s="91"/>
      <c r="B349" s="807" t="s">
        <v>592</v>
      </c>
      <c r="C349" s="1247"/>
      <c r="D349" s="1017"/>
      <c r="E349" s="214"/>
      <c r="F349" s="148"/>
      <c r="G349" s="148"/>
      <c r="H349" s="215"/>
      <c r="I349" s="87"/>
      <c r="J349" s="214"/>
      <c r="K349" s="148"/>
      <c r="L349" s="148"/>
      <c r="M349" s="215"/>
      <c r="N349" s="88"/>
      <c r="O349" s="214"/>
      <c r="P349" s="148"/>
      <c r="Q349" s="148"/>
      <c r="R349" s="215"/>
      <c r="S349" s="88"/>
      <c r="T349" s="106"/>
      <c r="U349" s="76"/>
      <c r="V349" s="76"/>
      <c r="W349" s="107"/>
      <c r="X349" s="93"/>
      <c r="Y349" s="106"/>
      <c r="Z349" s="76"/>
      <c r="AA349" s="76"/>
      <c r="AB349" s="107"/>
      <c r="AC349" s="93"/>
      <c r="AD349" s="106"/>
      <c r="AE349" s="76"/>
      <c r="AF349" s="76"/>
      <c r="AG349" s="107"/>
      <c r="AH349" s="93"/>
      <c r="AI349" s="106"/>
      <c r="AJ349" s="76"/>
      <c r="AK349" s="76"/>
      <c r="AL349" s="107"/>
      <c r="AM349" s="93"/>
      <c r="AN349" s="106"/>
      <c r="AO349" s="76"/>
      <c r="AP349" s="76"/>
      <c r="AQ349" s="107"/>
      <c r="AR349" s="93"/>
      <c r="AS349" s="106"/>
      <c r="AT349" s="76"/>
      <c r="AU349" s="76"/>
      <c r="AV349" s="107"/>
      <c r="AW349" s="93"/>
      <c r="AX349" s="106"/>
      <c r="AY349" s="76"/>
      <c r="AZ349" s="76"/>
      <c r="BA349" s="107"/>
      <c r="BB349" s="93"/>
      <c r="BC349" s="106"/>
      <c r="BD349" s="76"/>
      <c r="BE349" s="76"/>
      <c r="BF349" s="107"/>
      <c r="BG349" s="93"/>
      <c r="BH349" s="106"/>
      <c r="BI349" s="76"/>
      <c r="BJ349" s="76"/>
      <c r="BK349" s="107"/>
      <c r="BL349" s="93"/>
      <c r="BM349" s="106"/>
      <c r="BN349" s="76"/>
      <c r="BO349" s="76"/>
      <c r="BP349" s="107"/>
      <c r="BQ349" s="93"/>
      <c r="BR349" s="87"/>
      <c r="BS349" s="87"/>
      <c r="CL349" s="865"/>
      <c r="CM349" s="865"/>
      <c r="CN349" s="865"/>
      <c r="CO349" s="865"/>
      <c r="CP349" s="865"/>
      <c r="CQ349" s="865"/>
      <c r="CW349" s="12"/>
      <c r="CX349" s="12"/>
      <c r="CY349" s="12"/>
      <c r="CZ349" s="91"/>
      <c r="DA349" s="91"/>
      <c r="DB349" s="91"/>
      <c r="DC349" s="91"/>
      <c r="DD349" s="91"/>
      <c r="DE349" s="91"/>
      <c r="DF349" s="12"/>
      <c r="DG349" s="12"/>
      <c r="DH349" s="12"/>
      <c r="DI349" s="12"/>
      <c r="DJ349" s="12"/>
      <c r="DK349" s="12"/>
      <c r="DL349" s="12"/>
      <c r="DM349" s="12"/>
      <c r="DN349" s="12"/>
    </row>
    <row r="350" spans="1:118">
      <c r="A350" s="91"/>
      <c r="B350" s="89"/>
      <c r="C350" s="1186"/>
      <c r="D350" s="88"/>
      <c r="E350" s="214"/>
      <c r="F350" s="148"/>
      <c r="G350" s="148"/>
      <c r="H350" s="215"/>
      <c r="I350" s="87"/>
      <c r="J350" s="214"/>
      <c r="K350" s="148"/>
      <c r="L350" s="148"/>
      <c r="M350" s="215"/>
      <c r="N350" s="88"/>
      <c r="O350" s="214"/>
      <c r="P350" s="148"/>
      <c r="Q350" s="148"/>
      <c r="R350" s="215"/>
      <c r="S350" s="88"/>
      <c r="T350" s="106"/>
      <c r="U350" s="76"/>
      <c r="V350" s="76"/>
      <c r="W350" s="107"/>
      <c r="X350" s="93"/>
      <c r="Y350" s="106"/>
      <c r="Z350" s="76"/>
      <c r="AA350" s="76"/>
      <c r="AB350" s="107"/>
      <c r="AC350" s="93"/>
      <c r="AD350" s="106"/>
      <c r="AE350" s="76"/>
      <c r="AF350" s="76"/>
      <c r="AG350" s="107"/>
      <c r="AH350" s="93"/>
      <c r="AI350" s="106"/>
      <c r="AJ350" s="76"/>
      <c r="AK350" s="76"/>
      <c r="AL350" s="107"/>
      <c r="AM350" s="93"/>
      <c r="AN350" s="106"/>
      <c r="AO350" s="76"/>
      <c r="AP350" s="76"/>
      <c r="AQ350" s="107"/>
      <c r="AR350" s="93"/>
      <c r="AS350" s="106"/>
      <c r="AT350" s="76"/>
      <c r="AU350" s="76"/>
      <c r="AV350" s="107"/>
      <c r="AW350" s="93"/>
      <c r="AX350" s="106"/>
      <c r="AY350" s="76"/>
      <c r="AZ350" s="76"/>
      <c r="BA350" s="107"/>
      <c r="BB350" s="93"/>
      <c r="BC350" s="106"/>
      <c r="BD350" s="76"/>
      <c r="BE350" s="76"/>
      <c r="BF350" s="107"/>
      <c r="BG350" s="93"/>
      <c r="BH350" s="106"/>
      <c r="BI350" s="76"/>
      <c r="BJ350" s="76"/>
      <c r="BK350" s="107"/>
      <c r="BL350" s="93"/>
      <c r="BM350" s="106"/>
      <c r="BN350" s="76"/>
      <c r="BO350" s="76"/>
      <c r="BP350" s="107"/>
      <c r="BQ350" s="93"/>
      <c r="BR350" s="87"/>
      <c r="BS350" s="87"/>
      <c r="CL350" s="865"/>
      <c r="CM350" s="865"/>
      <c r="CN350" s="865"/>
      <c r="CO350" s="865"/>
      <c r="CP350" s="865"/>
      <c r="CQ350" s="865"/>
      <c r="CW350" s="12"/>
      <c r="CX350" s="12"/>
      <c r="CY350" s="12"/>
      <c r="CZ350" s="91"/>
      <c r="DA350" s="91"/>
      <c r="DB350" s="91"/>
      <c r="DC350" s="91"/>
      <c r="DD350" s="91"/>
      <c r="DE350" s="91"/>
      <c r="DF350" s="12"/>
      <c r="DG350" s="12"/>
      <c r="DH350" s="12"/>
      <c r="DI350" s="12"/>
      <c r="DJ350" s="12"/>
      <c r="DK350" s="12"/>
      <c r="DL350" s="12"/>
      <c r="DM350" s="12"/>
      <c r="DN350" s="12"/>
    </row>
    <row r="351" spans="1:118">
      <c r="A351" s="91"/>
      <c r="B351" s="89"/>
      <c r="C351" s="1254" t="s">
        <v>593</v>
      </c>
      <c r="D351" s="89"/>
      <c r="E351" s="145"/>
      <c r="F351" s="146"/>
      <c r="G351" s="146"/>
      <c r="H351" s="147"/>
      <c r="I351" s="87"/>
      <c r="J351" s="145"/>
      <c r="K351" s="146"/>
      <c r="L351" s="146"/>
      <c r="M351" s="147"/>
      <c r="N351" s="89"/>
      <c r="O351" s="145"/>
      <c r="P351" s="146"/>
      <c r="Q351" s="146"/>
      <c r="R351" s="147"/>
      <c r="S351" s="89"/>
      <c r="T351" s="145"/>
      <c r="U351" s="146"/>
      <c r="V351" s="146"/>
      <c r="W351" s="147"/>
      <c r="X351" s="89"/>
      <c r="Y351" s="145"/>
      <c r="Z351" s="146"/>
      <c r="AA351" s="146"/>
      <c r="AB351" s="147"/>
      <c r="AC351" s="89"/>
      <c r="AD351" s="145"/>
      <c r="AE351" s="146"/>
      <c r="AF351" s="146"/>
      <c r="AG351" s="147"/>
      <c r="AH351" s="89"/>
      <c r="AI351" s="145"/>
      <c r="AJ351" s="146"/>
      <c r="AK351" s="146"/>
      <c r="AL351" s="147"/>
      <c r="AM351" s="89"/>
      <c r="AN351" s="145"/>
      <c r="AO351" s="146"/>
      <c r="AP351" s="146"/>
      <c r="AQ351" s="147"/>
      <c r="AR351" s="89"/>
      <c r="AS351" s="145"/>
      <c r="AT351" s="146"/>
      <c r="AU351" s="146"/>
      <c r="AV351" s="147"/>
      <c r="AW351" s="89"/>
      <c r="AX351" s="145"/>
      <c r="AY351" s="146"/>
      <c r="AZ351" s="146"/>
      <c r="BA351" s="147"/>
      <c r="BB351" s="89"/>
      <c r="BC351" s="145"/>
      <c r="BD351" s="146"/>
      <c r="BE351" s="146"/>
      <c r="BF351" s="147"/>
      <c r="BG351" s="89"/>
      <c r="BH351" s="145"/>
      <c r="BI351" s="146"/>
      <c r="BJ351" s="146"/>
      <c r="BK351" s="147"/>
      <c r="BL351" s="89"/>
      <c r="BM351" s="145"/>
      <c r="BN351" s="146"/>
      <c r="BO351" s="146"/>
      <c r="BP351" s="147"/>
      <c r="BQ351" s="89"/>
      <c r="BR351" s="87"/>
      <c r="BS351" s="87"/>
      <c r="CL351" s="865"/>
      <c r="CM351" s="865"/>
      <c r="CN351" s="865"/>
      <c r="CO351" s="865"/>
      <c r="CP351" s="865"/>
      <c r="CQ351" s="865"/>
      <c r="CW351" s="12"/>
      <c r="CX351" s="12"/>
      <c r="CY351" s="12"/>
      <c r="CZ351" s="91"/>
      <c r="DA351" s="91"/>
      <c r="DB351" s="91"/>
      <c r="DC351" s="91"/>
      <c r="DD351" s="91"/>
      <c r="DE351" s="91"/>
      <c r="DF351" s="12"/>
      <c r="DG351" s="12"/>
      <c r="DH351" s="12"/>
      <c r="DI351" s="12"/>
      <c r="DJ351" s="12"/>
      <c r="DK351" s="12"/>
      <c r="DL351" s="12"/>
      <c r="DM351" s="12"/>
      <c r="DN351" s="12"/>
    </row>
    <row r="352" spans="1:118">
      <c r="A352" s="91"/>
      <c r="B352" s="89"/>
      <c r="C352" s="1179" t="s">
        <v>566</v>
      </c>
      <c r="D352" s="89"/>
      <c r="E352" s="145"/>
      <c r="F352" s="146"/>
      <c r="G352" s="146"/>
      <c r="H352" s="147"/>
      <c r="I352" s="87"/>
      <c r="J352" s="145"/>
      <c r="K352" s="146"/>
      <c r="L352" s="146"/>
      <c r="M352" s="147"/>
      <c r="N352" s="89"/>
      <c r="O352" s="145"/>
      <c r="P352" s="146"/>
      <c r="Q352" s="146"/>
      <c r="R352" s="147"/>
      <c r="S352" s="89"/>
      <c r="T352" s="114"/>
      <c r="U352" s="115"/>
      <c r="V352" s="115"/>
      <c r="W352" s="105"/>
      <c r="X352" s="113"/>
      <c r="Y352" s="114">
        <f t="shared" ref="Y352:AR353" si="580">+Y369+Y382</f>
        <v>1.7506220387091602</v>
      </c>
      <c r="Z352" s="115">
        <f t="shared" si="580"/>
        <v>24.946828243500434</v>
      </c>
      <c r="AA352" s="115">
        <f t="shared" si="580"/>
        <v>60.049808592944771</v>
      </c>
      <c r="AB352" s="105">
        <f t="shared" si="580"/>
        <v>22.141830122484027</v>
      </c>
      <c r="AC352" s="113">
        <f t="shared" si="580"/>
        <v>108.8890889976384</v>
      </c>
      <c r="AD352" s="114">
        <f t="shared" si="580"/>
        <v>17.73495573489312</v>
      </c>
      <c r="AE352" s="115">
        <f t="shared" si="580"/>
        <v>15.767274228550672</v>
      </c>
      <c r="AF352" s="115">
        <f t="shared" si="580"/>
        <v>30.698674685504489</v>
      </c>
      <c r="AG352" s="105">
        <f t="shared" si="580"/>
        <v>6.3038375272529272</v>
      </c>
      <c r="AH352" s="113">
        <f t="shared" si="580"/>
        <v>70.504742176201205</v>
      </c>
      <c r="AI352" s="114">
        <f t="shared" si="580"/>
        <v>8.8795765529338411</v>
      </c>
      <c r="AJ352" s="115">
        <f t="shared" si="580"/>
        <v>12.225455606890723</v>
      </c>
      <c r="AK352" s="115">
        <f t="shared" si="580"/>
        <v>29.270996688309712</v>
      </c>
      <c r="AL352" s="105">
        <f t="shared" si="580"/>
        <v>4.9803364290051855</v>
      </c>
      <c r="AM352" s="113">
        <f t="shared" si="580"/>
        <v>55.35636527713946</v>
      </c>
      <c r="AN352" s="114">
        <f t="shared" si="580"/>
        <v>4.7005163510926451</v>
      </c>
      <c r="AO352" s="115">
        <f t="shared" si="580"/>
        <v>10.212577909095163</v>
      </c>
      <c r="AP352" s="115">
        <f t="shared" ref="AP352" si="581">+AP369+AP382</f>
        <v>28.879343332233418</v>
      </c>
      <c r="AQ352" s="105">
        <f t="shared" si="580"/>
        <v>5.1949788502635128</v>
      </c>
      <c r="AR352" s="113">
        <f t="shared" si="580"/>
        <v>48.987416442684733</v>
      </c>
      <c r="AS352" s="114">
        <f t="shared" ref="AS352" si="582">+AS369+AS382</f>
        <v>5.1221388305330322</v>
      </c>
      <c r="AT352" s="115">
        <f t="shared" ref="AT352:AW353" si="583">+AT369+AT382</f>
        <v>10.244277661066064</v>
      </c>
      <c r="AU352" s="115">
        <f t="shared" ref="AU352" si="584">+AU369+AU382</f>
        <v>26.323625967071919</v>
      </c>
      <c r="AV352" s="105">
        <f t="shared" si="583"/>
        <v>0</v>
      </c>
      <c r="AW352" s="113">
        <f t="shared" si="583"/>
        <v>41.690042458671016</v>
      </c>
      <c r="AX352" s="114">
        <f t="shared" ref="AX352:BB353" si="585">+AX369+AX382</f>
        <v>0</v>
      </c>
      <c r="AY352" s="115">
        <f t="shared" si="585"/>
        <v>0</v>
      </c>
      <c r="AZ352" s="115">
        <f t="shared" si="585"/>
        <v>0</v>
      </c>
      <c r="BA352" s="105">
        <f t="shared" si="585"/>
        <v>0</v>
      </c>
      <c r="BB352" s="113">
        <f t="shared" si="585"/>
        <v>0</v>
      </c>
      <c r="BC352" s="114">
        <f t="shared" ref="BC352:BG353" si="586">+BC369+BC382</f>
        <v>0</v>
      </c>
      <c r="BD352" s="115">
        <f t="shared" si="586"/>
        <v>0</v>
      </c>
      <c r="BE352" s="115">
        <f t="shared" si="586"/>
        <v>0</v>
      </c>
      <c r="BF352" s="105">
        <f t="shared" si="586"/>
        <v>0</v>
      </c>
      <c r="BG352" s="113">
        <f t="shared" si="586"/>
        <v>0</v>
      </c>
      <c r="BH352" s="114">
        <f t="shared" ref="BH352:BL353" si="587">+BH369+BH382</f>
        <v>0</v>
      </c>
      <c r="BI352" s="115">
        <f t="shared" si="587"/>
        <v>0</v>
      </c>
      <c r="BJ352" s="115">
        <f t="shared" si="587"/>
        <v>0</v>
      </c>
      <c r="BK352" s="105">
        <f t="shared" si="587"/>
        <v>0</v>
      </c>
      <c r="BL352" s="113">
        <f t="shared" si="587"/>
        <v>0</v>
      </c>
      <c r="BM352" s="114">
        <f t="shared" ref="BM352:BQ352" si="588">+BM369+BM382</f>
        <v>0</v>
      </c>
      <c r="BN352" s="115">
        <f t="shared" si="588"/>
        <v>0</v>
      </c>
      <c r="BO352" s="115">
        <f t="shared" si="588"/>
        <v>0</v>
      </c>
      <c r="BP352" s="105">
        <f t="shared" si="588"/>
        <v>0</v>
      </c>
      <c r="BQ352" s="113">
        <f t="shared" si="588"/>
        <v>0</v>
      </c>
      <c r="BR352" s="87"/>
      <c r="BS352" s="87"/>
      <c r="CL352" s="865"/>
      <c r="CM352" s="865"/>
      <c r="CN352" s="865"/>
      <c r="CO352" s="865"/>
      <c r="CP352" s="865"/>
      <c r="CQ352" s="865"/>
      <c r="CW352" s="12"/>
      <c r="CX352" s="12"/>
      <c r="CY352" s="12"/>
      <c r="CZ352" s="91"/>
      <c r="DA352" s="91"/>
      <c r="DB352" s="91"/>
      <c r="DC352" s="91"/>
      <c r="DD352" s="91"/>
      <c r="DE352" s="91"/>
      <c r="DF352" s="12"/>
      <c r="DG352" s="12"/>
      <c r="DH352" s="12"/>
      <c r="DI352" s="12"/>
      <c r="DJ352" s="12"/>
      <c r="DK352" s="12"/>
      <c r="DL352" s="12"/>
      <c r="DM352" s="12"/>
      <c r="DN352" s="12"/>
    </row>
    <row r="353" spans="1:118">
      <c r="A353" s="91"/>
      <c r="B353" s="89"/>
      <c r="C353" s="1179" t="s">
        <v>683</v>
      </c>
      <c r="D353" s="89"/>
      <c r="E353" s="145"/>
      <c r="F353" s="146"/>
      <c r="G353" s="146"/>
      <c r="H353" s="147"/>
      <c r="I353" s="87"/>
      <c r="J353" s="145"/>
      <c r="K353" s="146"/>
      <c r="L353" s="146"/>
      <c r="M353" s="147"/>
      <c r="N353" s="89"/>
      <c r="O353" s="145"/>
      <c r="P353" s="146"/>
      <c r="Q353" s="146"/>
      <c r="R353" s="147"/>
      <c r="S353" s="89"/>
      <c r="T353" s="114"/>
      <c r="U353" s="115"/>
      <c r="V353" s="115"/>
      <c r="W353" s="105"/>
      <c r="X353" s="113"/>
      <c r="Y353" s="114">
        <f t="shared" si="580"/>
        <v>0</v>
      </c>
      <c r="Z353" s="115">
        <f t="shared" si="580"/>
        <v>18.871538877954979</v>
      </c>
      <c r="AA353" s="115">
        <f t="shared" si="580"/>
        <v>43.086614389869808</v>
      </c>
      <c r="AB353" s="105">
        <f t="shared" si="580"/>
        <v>19.759745834268301</v>
      </c>
      <c r="AC353" s="113">
        <f t="shared" si="580"/>
        <v>81.717899102093085</v>
      </c>
      <c r="AD353" s="114">
        <f t="shared" si="580"/>
        <v>15.279134475212967</v>
      </c>
      <c r="AE353" s="115">
        <f t="shared" si="580"/>
        <v>11.976737772473559</v>
      </c>
      <c r="AF353" s="115">
        <f t="shared" si="580"/>
        <v>25.415241773493271</v>
      </c>
      <c r="AG353" s="105">
        <f t="shared" si="580"/>
        <v>5.8463147181587898</v>
      </c>
      <c r="AH353" s="113">
        <f t="shared" si="580"/>
        <v>58.517428739338584</v>
      </c>
      <c r="AI353" s="114">
        <f t="shared" si="580"/>
        <v>8.6305890872873103</v>
      </c>
      <c r="AJ353" s="115">
        <f t="shared" si="580"/>
        <v>9.7703395407249793</v>
      </c>
      <c r="AK353" s="115">
        <f t="shared" si="580"/>
        <v>21.532256022615897</v>
      </c>
      <c r="AL353" s="105">
        <f t="shared" si="580"/>
        <v>4.3153295803741809</v>
      </c>
      <c r="AM353" s="113">
        <f t="shared" si="580"/>
        <v>44.248514231002368</v>
      </c>
      <c r="AN353" s="114">
        <f t="shared" si="580"/>
        <v>4.6822480368145651</v>
      </c>
      <c r="AO353" s="115">
        <f t="shared" si="580"/>
        <v>8.3018004159781622</v>
      </c>
      <c r="AP353" s="115">
        <f t="shared" ref="AP353" si="589">+AP370+AP383</f>
        <v>21.240476434413804</v>
      </c>
      <c r="AQ353" s="105">
        <f t="shared" si="580"/>
        <v>4.9302920835771111</v>
      </c>
      <c r="AR353" s="113">
        <f t="shared" si="580"/>
        <v>39.154816970783642</v>
      </c>
      <c r="AS353" s="114">
        <f t="shared" ref="AS353" si="590">+AS370+AS383</f>
        <v>4.3177125165658286</v>
      </c>
      <c r="AT353" s="115">
        <f t="shared" si="583"/>
        <v>8.6354250331316571</v>
      </c>
      <c r="AU353" s="115">
        <f t="shared" ref="AU353" si="591">+AU370+AU383</f>
        <v>20.349399620660979</v>
      </c>
      <c r="AV353" s="105">
        <f t="shared" si="583"/>
        <v>0</v>
      </c>
      <c r="AW353" s="113">
        <f t="shared" si="583"/>
        <v>33.302537170358463</v>
      </c>
      <c r="AX353" s="114">
        <f t="shared" si="585"/>
        <v>0</v>
      </c>
      <c r="AY353" s="115">
        <f t="shared" si="585"/>
        <v>0</v>
      </c>
      <c r="AZ353" s="115">
        <f t="shared" si="585"/>
        <v>0</v>
      </c>
      <c r="BA353" s="105">
        <f t="shared" si="585"/>
        <v>0</v>
      </c>
      <c r="BB353" s="113">
        <f t="shared" si="585"/>
        <v>0</v>
      </c>
      <c r="BC353" s="114">
        <f t="shared" si="586"/>
        <v>0</v>
      </c>
      <c r="BD353" s="115">
        <f t="shared" si="586"/>
        <v>0</v>
      </c>
      <c r="BE353" s="115">
        <f t="shared" si="586"/>
        <v>0</v>
      </c>
      <c r="BF353" s="105">
        <f t="shared" si="586"/>
        <v>0</v>
      </c>
      <c r="BG353" s="113">
        <f t="shared" si="586"/>
        <v>0</v>
      </c>
      <c r="BH353" s="114">
        <f t="shared" si="587"/>
        <v>0</v>
      </c>
      <c r="BI353" s="115">
        <f t="shared" si="587"/>
        <v>0</v>
      </c>
      <c r="BJ353" s="115">
        <f t="shared" si="587"/>
        <v>0</v>
      </c>
      <c r="BK353" s="105">
        <f t="shared" si="587"/>
        <v>0</v>
      </c>
      <c r="BL353" s="113">
        <f t="shared" si="587"/>
        <v>0</v>
      </c>
      <c r="BM353" s="114">
        <f t="shared" ref="BM353:BQ353" si="592">+BM370+BM383</f>
        <v>0</v>
      </c>
      <c r="BN353" s="115">
        <f t="shared" si="592"/>
        <v>0</v>
      </c>
      <c r="BO353" s="115">
        <f t="shared" si="592"/>
        <v>0</v>
      </c>
      <c r="BP353" s="105">
        <f t="shared" si="592"/>
        <v>0</v>
      </c>
      <c r="BQ353" s="113">
        <f t="shared" si="592"/>
        <v>0</v>
      </c>
      <c r="BR353" s="87"/>
      <c r="BS353" s="87"/>
      <c r="CL353" s="865"/>
      <c r="CM353" s="865"/>
      <c r="CN353" s="865"/>
      <c r="CO353" s="865"/>
      <c r="CP353" s="865"/>
      <c r="CQ353" s="865"/>
      <c r="CW353" s="12"/>
      <c r="CX353" s="12"/>
      <c r="CY353" s="12"/>
      <c r="CZ353" s="91"/>
      <c r="DA353" s="91"/>
      <c r="DB353" s="91"/>
      <c r="DC353" s="91"/>
      <c r="DD353" s="91"/>
      <c r="DE353" s="91"/>
      <c r="DF353" s="12"/>
      <c r="DG353" s="12"/>
      <c r="DH353" s="12"/>
      <c r="DI353" s="12"/>
      <c r="DJ353" s="12"/>
      <c r="DK353" s="12"/>
      <c r="DL353" s="12"/>
      <c r="DM353" s="12"/>
      <c r="DN353" s="12"/>
    </row>
    <row r="354" spans="1:118">
      <c r="A354" s="91"/>
      <c r="B354" s="89"/>
      <c r="C354" s="1186" t="s">
        <v>567</v>
      </c>
      <c r="D354" s="88"/>
      <c r="E354" s="214"/>
      <c r="F354" s="148"/>
      <c r="G354" s="148"/>
      <c r="H354" s="215"/>
      <c r="I354" s="87"/>
      <c r="J354" s="214"/>
      <c r="K354" s="148"/>
      <c r="L354" s="148"/>
      <c r="M354" s="215"/>
      <c r="N354" s="88"/>
      <c r="O354" s="214"/>
      <c r="P354" s="148"/>
      <c r="Q354" s="148"/>
      <c r="R354" s="215"/>
      <c r="S354" s="88"/>
      <c r="T354" s="106"/>
      <c r="U354" s="76"/>
      <c r="V354" s="76"/>
      <c r="W354" s="107"/>
      <c r="X354" s="93"/>
      <c r="Y354" s="106">
        <f t="shared" ref="Y354:AR354" si="593">Y352-Y353</f>
        <v>1.7506220387091602</v>
      </c>
      <c r="Z354" s="76">
        <f t="shared" si="593"/>
        <v>6.075289365545455</v>
      </c>
      <c r="AA354" s="76">
        <f t="shared" si="593"/>
        <v>16.963194203074963</v>
      </c>
      <c r="AB354" s="107">
        <f t="shared" si="593"/>
        <v>2.3820842882157258</v>
      </c>
      <c r="AC354" s="93">
        <f t="shared" si="593"/>
        <v>27.171189895545311</v>
      </c>
      <c r="AD354" s="106">
        <f t="shared" si="593"/>
        <v>2.4558212596801532</v>
      </c>
      <c r="AE354" s="76">
        <f t="shared" si="593"/>
        <v>3.7905364560771133</v>
      </c>
      <c r="AF354" s="76">
        <f t="shared" si="593"/>
        <v>5.283432912011218</v>
      </c>
      <c r="AG354" s="107">
        <f t="shared" si="593"/>
        <v>0.45752280909413745</v>
      </c>
      <c r="AH354" s="93">
        <f t="shared" si="593"/>
        <v>11.987313436862621</v>
      </c>
      <c r="AI354" s="106">
        <f t="shared" si="593"/>
        <v>0.24898746564653074</v>
      </c>
      <c r="AJ354" s="76">
        <f t="shared" si="593"/>
        <v>2.4551160661657434</v>
      </c>
      <c r="AK354" s="76">
        <f t="shared" si="593"/>
        <v>7.7387406656938147</v>
      </c>
      <c r="AL354" s="107">
        <f t="shared" si="593"/>
        <v>0.66500684863100457</v>
      </c>
      <c r="AM354" s="93">
        <f t="shared" si="593"/>
        <v>11.107851046137093</v>
      </c>
      <c r="AN354" s="106">
        <f t="shared" si="593"/>
        <v>1.8268314278079956E-2</v>
      </c>
      <c r="AO354" s="76">
        <f t="shared" si="593"/>
        <v>1.910777493117001</v>
      </c>
      <c r="AP354" s="76">
        <f t="shared" ref="AP354" si="594">AP352-AP353</f>
        <v>7.6388668978196144</v>
      </c>
      <c r="AQ354" s="107">
        <f t="shared" si="593"/>
        <v>0.26468676668640168</v>
      </c>
      <c r="AR354" s="93">
        <f t="shared" si="593"/>
        <v>9.8325994719010907</v>
      </c>
      <c r="AS354" s="106">
        <f t="shared" ref="AS354" si="595">AS352-AS353</f>
        <v>0.80442631396720365</v>
      </c>
      <c r="AT354" s="76">
        <f t="shared" ref="AT354:BB354" si="596">AT352-AT353</f>
        <v>1.6088526279344073</v>
      </c>
      <c r="AU354" s="76">
        <f t="shared" ref="AU354" si="597">AU352-AU353</f>
        <v>5.9742263464109406</v>
      </c>
      <c r="AV354" s="107">
        <f t="shared" si="596"/>
        <v>0</v>
      </c>
      <c r="AW354" s="93">
        <f t="shared" si="596"/>
        <v>8.3875052883125534</v>
      </c>
      <c r="AX354" s="106">
        <f t="shared" si="596"/>
        <v>0</v>
      </c>
      <c r="AY354" s="76">
        <f t="shared" si="596"/>
        <v>0</v>
      </c>
      <c r="AZ354" s="76">
        <f t="shared" si="596"/>
        <v>0</v>
      </c>
      <c r="BA354" s="107">
        <f t="shared" si="596"/>
        <v>0</v>
      </c>
      <c r="BB354" s="93">
        <f t="shared" si="596"/>
        <v>0</v>
      </c>
      <c r="BC354" s="106">
        <f t="shared" ref="BC354:BL354" si="598">BC352-BC353</f>
        <v>0</v>
      </c>
      <c r="BD354" s="76">
        <f t="shared" si="598"/>
        <v>0</v>
      </c>
      <c r="BE354" s="76">
        <f t="shared" si="598"/>
        <v>0</v>
      </c>
      <c r="BF354" s="107">
        <f t="shared" si="598"/>
        <v>0</v>
      </c>
      <c r="BG354" s="93">
        <f t="shared" si="598"/>
        <v>0</v>
      </c>
      <c r="BH354" s="106">
        <f t="shared" si="598"/>
        <v>0</v>
      </c>
      <c r="BI354" s="76">
        <f t="shared" si="598"/>
        <v>0</v>
      </c>
      <c r="BJ354" s="76">
        <f t="shared" si="598"/>
        <v>0</v>
      </c>
      <c r="BK354" s="107">
        <f t="shared" si="598"/>
        <v>0</v>
      </c>
      <c r="BL354" s="93">
        <f t="shared" si="598"/>
        <v>0</v>
      </c>
      <c r="BM354" s="106">
        <f t="shared" ref="BM354:BQ354" si="599">BM352-BM353</f>
        <v>0</v>
      </c>
      <c r="BN354" s="76">
        <f t="shared" si="599"/>
        <v>0</v>
      </c>
      <c r="BO354" s="76">
        <f t="shared" si="599"/>
        <v>0</v>
      </c>
      <c r="BP354" s="107">
        <f t="shared" si="599"/>
        <v>0</v>
      </c>
      <c r="BQ354" s="93">
        <f t="shared" si="599"/>
        <v>0</v>
      </c>
      <c r="BR354" s="87"/>
      <c r="BS354" s="87"/>
      <c r="CL354" s="865"/>
      <c r="CM354" s="865"/>
      <c r="CN354" s="865"/>
      <c r="CO354" s="865"/>
      <c r="CP354" s="865"/>
      <c r="CQ354" s="865"/>
      <c r="CW354" s="12"/>
      <c r="CX354" s="12"/>
      <c r="CY354" s="12"/>
      <c r="CZ354" s="91"/>
      <c r="DA354" s="91"/>
      <c r="DB354" s="91"/>
      <c r="DC354" s="91"/>
      <c r="DD354" s="91"/>
      <c r="DE354" s="91"/>
      <c r="DF354" s="12"/>
      <c r="DG354" s="12"/>
      <c r="DH354" s="12"/>
      <c r="DI354" s="12"/>
      <c r="DJ354" s="12"/>
      <c r="DK354" s="12"/>
      <c r="DL354" s="12"/>
      <c r="DM354" s="12"/>
      <c r="DN354" s="12"/>
    </row>
    <row r="355" spans="1:118">
      <c r="A355" s="91"/>
      <c r="B355" s="89"/>
      <c r="C355" s="1184"/>
      <c r="D355" s="89"/>
      <c r="E355" s="145"/>
      <c r="F355" s="146"/>
      <c r="G355" s="146"/>
      <c r="H355" s="147"/>
      <c r="I355" s="87"/>
      <c r="J355" s="145"/>
      <c r="K355" s="146"/>
      <c r="L355" s="146"/>
      <c r="M355" s="147"/>
      <c r="N355" s="89"/>
      <c r="O355" s="145"/>
      <c r="P355" s="146"/>
      <c r="Q355" s="146"/>
      <c r="R355" s="147"/>
      <c r="S355" s="89"/>
      <c r="T355" s="145"/>
      <c r="U355" s="146"/>
      <c r="V355" s="146"/>
      <c r="W355" s="147"/>
      <c r="X355" s="89"/>
      <c r="Y355" s="145"/>
      <c r="Z355" s="146"/>
      <c r="AA355" s="146"/>
      <c r="AB355" s="147"/>
      <c r="AC355" s="89"/>
      <c r="AD355" s="145"/>
      <c r="AE355" s="146"/>
      <c r="AF355" s="146"/>
      <c r="AG355" s="147"/>
      <c r="AH355" s="327"/>
      <c r="AI355" s="145"/>
      <c r="AJ355" s="146"/>
      <c r="AK355" s="146"/>
      <c r="AL355" s="147"/>
      <c r="AM355" s="89"/>
      <c r="AN355" s="145"/>
      <c r="AO355" s="146"/>
      <c r="AP355" s="146"/>
      <c r="AQ355" s="147"/>
      <c r="AR355" s="89"/>
      <c r="AS355" s="145"/>
      <c r="AT355" s="146"/>
      <c r="AU355" s="146"/>
      <c r="AV355" s="147"/>
      <c r="AW355" s="89"/>
      <c r="AX355" s="145"/>
      <c r="AY355" s="146"/>
      <c r="AZ355" s="146"/>
      <c r="BA355" s="147"/>
      <c r="BB355" s="89"/>
      <c r="BC355" s="145"/>
      <c r="BD355" s="146"/>
      <c r="BE355" s="146"/>
      <c r="BF355" s="147"/>
      <c r="BG355" s="89"/>
      <c r="BH355" s="145"/>
      <c r="BI355" s="146"/>
      <c r="BJ355" s="146"/>
      <c r="BK355" s="147"/>
      <c r="BL355" s="89"/>
      <c r="BM355" s="145"/>
      <c r="BN355" s="146"/>
      <c r="BO355" s="146"/>
      <c r="BP355" s="147"/>
      <c r="BQ355" s="89"/>
      <c r="BR355" s="87"/>
      <c r="BS355" s="87"/>
      <c r="BT355" s="12"/>
      <c r="BZ355" s="12"/>
      <c r="CA355" s="12"/>
      <c r="CB355" s="12"/>
      <c r="CC355" s="12"/>
      <c r="CD355" s="12"/>
      <c r="CW355" s="12"/>
      <c r="CX355" s="12"/>
      <c r="CY355" s="12"/>
      <c r="CZ355" s="91"/>
      <c r="DA355" s="91"/>
      <c r="DB355" s="91"/>
      <c r="DC355" s="91"/>
      <c r="DD355" s="91"/>
      <c r="DE355" s="91"/>
      <c r="DF355" s="12"/>
      <c r="DG355" s="12"/>
      <c r="DH355" s="12"/>
      <c r="DI355" s="12"/>
      <c r="DJ355" s="12"/>
      <c r="DK355" s="12"/>
      <c r="DL355" s="12"/>
      <c r="DM355" s="12"/>
      <c r="DN355" s="12"/>
    </row>
    <row r="356" spans="1:118" s="12" customFormat="1">
      <c r="A356" s="91"/>
      <c r="B356" s="87"/>
      <c r="C356" s="1179" t="s">
        <v>568</v>
      </c>
      <c r="D356" s="87"/>
      <c r="E356" s="104"/>
      <c r="F356" s="77"/>
      <c r="G356" s="77"/>
      <c r="H356" s="102"/>
      <c r="I356" s="87"/>
      <c r="J356" s="104"/>
      <c r="K356" s="77"/>
      <c r="L356" s="77"/>
      <c r="M356" s="102"/>
      <c r="N356" s="96"/>
      <c r="O356" s="104"/>
      <c r="P356" s="77"/>
      <c r="Q356" s="77"/>
      <c r="R356" s="102"/>
      <c r="S356" s="96"/>
      <c r="T356" s="114"/>
      <c r="U356" s="77"/>
      <c r="V356" s="77"/>
      <c r="W356" s="102"/>
      <c r="X356" s="96"/>
      <c r="Y356" s="104">
        <f t="shared" ref="Y356:AR356" si="600">+Y364+Y377</f>
        <v>1235</v>
      </c>
      <c r="Z356" s="77">
        <f t="shared" si="600"/>
        <v>1235</v>
      </c>
      <c r="AA356" s="77">
        <f t="shared" si="600"/>
        <v>1235</v>
      </c>
      <c r="AB356" s="102">
        <f t="shared" si="600"/>
        <v>1235</v>
      </c>
      <c r="AC356" s="96">
        <f t="shared" si="600"/>
        <v>1235</v>
      </c>
      <c r="AD356" s="104">
        <f t="shared" si="600"/>
        <v>713</v>
      </c>
      <c r="AE356" s="77">
        <f t="shared" si="600"/>
        <v>713</v>
      </c>
      <c r="AF356" s="77">
        <f t="shared" si="600"/>
        <v>713</v>
      </c>
      <c r="AG356" s="102">
        <f t="shared" si="600"/>
        <v>713</v>
      </c>
      <c r="AH356" s="96">
        <f t="shared" si="600"/>
        <v>713</v>
      </c>
      <c r="AI356" s="104">
        <f t="shared" si="600"/>
        <v>713</v>
      </c>
      <c r="AJ356" s="77">
        <f t="shared" si="600"/>
        <v>713</v>
      </c>
      <c r="AK356" s="77">
        <f t="shared" si="600"/>
        <v>713</v>
      </c>
      <c r="AL356" s="102">
        <f t="shared" si="600"/>
        <v>713</v>
      </c>
      <c r="AM356" s="96">
        <f t="shared" si="600"/>
        <v>713</v>
      </c>
      <c r="AN356" s="104">
        <f t="shared" si="600"/>
        <v>713</v>
      </c>
      <c r="AO356" s="77">
        <f t="shared" si="600"/>
        <v>713</v>
      </c>
      <c r="AP356" s="77">
        <f t="shared" ref="AP356" si="601">+AP364+AP377</f>
        <v>713</v>
      </c>
      <c r="AQ356" s="102">
        <f t="shared" si="600"/>
        <v>713</v>
      </c>
      <c r="AR356" s="96">
        <f t="shared" si="600"/>
        <v>713</v>
      </c>
      <c r="AS356" s="104">
        <f t="shared" ref="AS356" si="602">+AS364+AS377</f>
        <v>713</v>
      </c>
      <c r="AT356" s="77">
        <f t="shared" ref="AT356:BB356" si="603">+AT364+AT377</f>
        <v>713</v>
      </c>
      <c r="AU356" s="77">
        <f t="shared" ref="AU356" si="604">+AU364+AU377</f>
        <v>713</v>
      </c>
      <c r="AV356" s="102">
        <f t="shared" si="603"/>
        <v>0</v>
      </c>
      <c r="AW356" s="96">
        <f t="shared" si="603"/>
        <v>0</v>
      </c>
      <c r="AX356" s="104">
        <f t="shared" si="603"/>
        <v>0</v>
      </c>
      <c r="AY356" s="77">
        <f t="shared" si="603"/>
        <v>0</v>
      </c>
      <c r="AZ356" s="77">
        <f t="shared" si="603"/>
        <v>0</v>
      </c>
      <c r="BA356" s="102">
        <f t="shared" si="603"/>
        <v>0</v>
      </c>
      <c r="BB356" s="96">
        <f t="shared" si="603"/>
        <v>0</v>
      </c>
      <c r="BC356" s="104">
        <f t="shared" ref="BC356:BL356" si="605">+BC364+BC377</f>
        <v>0</v>
      </c>
      <c r="BD356" s="77">
        <f t="shared" si="605"/>
        <v>0</v>
      </c>
      <c r="BE356" s="77">
        <f t="shared" si="605"/>
        <v>0</v>
      </c>
      <c r="BF356" s="102">
        <f t="shared" si="605"/>
        <v>0</v>
      </c>
      <c r="BG356" s="96">
        <f t="shared" si="605"/>
        <v>0</v>
      </c>
      <c r="BH356" s="104">
        <f t="shared" si="605"/>
        <v>0</v>
      </c>
      <c r="BI356" s="77">
        <f t="shared" si="605"/>
        <v>0</v>
      </c>
      <c r="BJ356" s="77">
        <f t="shared" si="605"/>
        <v>0</v>
      </c>
      <c r="BK356" s="102">
        <f t="shared" si="605"/>
        <v>0</v>
      </c>
      <c r="BL356" s="96">
        <f t="shared" si="605"/>
        <v>0</v>
      </c>
      <c r="BM356" s="104">
        <f t="shared" ref="BM356:BQ356" si="606">+BM364+BM377</f>
        <v>0</v>
      </c>
      <c r="BN356" s="77">
        <f t="shared" si="606"/>
        <v>0</v>
      </c>
      <c r="BO356" s="77">
        <f t="shared" si="606"/>
        <v>0</v>
      </c>
      <c r="BP356" s="102">
        <f t="shared" si="606"/>
        <v>0</v>
      </c>
      <c r="BQ356" s="96">
        <f t="shared" si="606"/>
        <v>0</v>
      </c>
      <c r="BR356" s="87"/>
      <c r="BS356" s="87"/>
      <c r="BU356"/>
      <c r="BV356"/>
      <c r="BW356"/>
      <c r="BX356"/>
      <c r="BY356"/>
      <c r="CL356"/>
      <c r="CM356"/>
      <c r="CN356"/>
      <c r="CO356"/>
      <c r="CP356"/>
      <c r="CQ356"/>
      <c r="CZ356" s="91"/>
      <c r="DA356" s="91"/>
      <c r="DB356" s="91"/>
      <c r="DC356" s="91"/>
      <c r="DD356" s="91"/>
      <c r="DE356" s="91"/>
    </row>
    <row r="357" spans="1:118" s="12" customFormat="1">
      <c r="A357" s="91"/>
      <c r="B357" s="87"/>
      <c r="C357" s="1179" t="s">
        <v>569</v>
      </c>
      <c r="D357" s="87"/>
      <c r="E357" s="872"/>
      <c r="F357" s="800"/>
      <c r="G357" s="800"/>
      <c r="H357" s="1051"/>
      <c r="I357" s="87"/>
      <c r="J357" s="872"/>
      <c r="K357" s="800"/>
      <c r="L357" s="800"/>
      <c r="M357" s="1051"/>
      <c r="N357" s="1052"/>
      <c r="O357" s="872"/>
      <c r="P357" s="800"/>
      <c r="Q357" s="800"/>
      <c r="R357" s="1051"/>
      <c r="S357" s="87"/>
      <c r="T357" s="245"/>
      <c r="U357" s="246"/>
      <c r="V357" s="246"/>
      <c r="W357" s="1053"/>
      <c r="X357" s="256"/>
      <c r="Y357" s="245">
        <f t="shared" ref="Y357:AR357" si="607">+Y367+Y380</f>
        <v>46.646999999999998</v>
      </c>
      <c r="Z357" s="246">
        <f t="shared" si="607"/>
        <v>556.47900000000004</v>
      </c>
      <c r="AA357" s="246">
        <f t="shared" si="607"/>
        <v>1257.4979999999998</v>
      </c>
      <c r="AB357" s="1053">
        <f t="shared" si="607"/>
        <v>556.47900000000004</v>
      </c>
      <c r="AC357" s="256">
        <f t="shared" si="607"/>
        <v>2417.1030000000001</v>
      </c>
      <c r="AD357" s="245">
        <f t="shared" si="607"/>
        <v>156.14699999999999</v>
      </c>
      <c r="AE357" s="246">
        <f t="shared" si="607"/>
        <v>312.29399999999998</v>
      </c>
      <c r="AF357" s="246">
        <f t="shared" si="607"/>
        <v>741.69825000000003</v>
      </c>
      <c r="AG357" s="1053">
        <f t="shared" si="607"/>
        <v>156.14699999999999</v>
      </c>
      <c r="AH357" s="256">
        <f t="shared" si="607"/>
        <v>1366.2862499999999</v>
      </c>
      <c r="AI357" s="245">
        <f t="shared" si="607"/>
        <v>156.14699999999999</v>
      </c>
      <c r="AJ357" s="246">
        <f t="shared" si="607"/>
        <v>312.29399999999998</v>
      </c>
      <c r="AK357" s="246">
        <f t="shared" si="607"/>
        <v>741.69825000000003</v>
      </c>
      <c r="AL357" s="1053">
        <f t="shared" si="607"/>
        <v>156.14699999999999</v>
      </c>
      <c r="AM357" s="256">
        <f t="shared" si="607"/>
        <v>1366.2862499999999</v>
      </c>
      <c r="AN357" s="245">
        <f t="shared" si="607"/>
        <v>156.14699999999999</v>
      </c>
      <c r="AO357" s="246">
        <f t="shared" si="607"/>
        <v>312.29399999999998</v>
      </c>
      <c r="AP357" s="246">
        <f t="shared" ref="AP357" si="608">+AP367+AP380</f>
        <v>741.69825000000003</v>
      </c>
      <c r="AQ357" s="1053">
        <f t="shared" si="607"/>
        <v>156.14699999999999</v>
      </c>
      <c r="AR357" s="256">
        <f t="shared" si="607"/>
        <v>1366.2862499999999</v>
      </c>
      <c r="AS357" s="245">
        <f t="shared" ref="AS357" si="609">+AS367+AS380</f>
        <v>156.14699999999999</v>
      </c>
      <c r="AT357" s="246">
        <f t="shared" ref="AT357:BB357" si="610">+AT367+AT380</f>
        <v>312.29399999999998</v>
      </c>
      <c r="AU357" s="246">
        <f t="shared" ref="AU357" si="611">+AU367+AU380</f>
        <v>741.69825000000003</v>
      </c>
      <c r="AV357" s="1053">
        <f t="shared" si="610"/>
        <v>0</v>
      </c>
      <c r="AW357" s="256">
        <f t="shared" si="610"/>
        <v>1210.1392499999999</v>
      </c>
      <c r="AX357" s="245">
        <f t="shared" si="610"/>
        <v>0</v>
      </c>
      <c r="AY357" s="246">
        <f t="shared" si="610"/>
        <v>0</v>
      </c>
      <c r="AZ357" s="246">
        <f t="shared" si="610"/>
        <v>0</v>
      </c>
      <c r="BA357" s="1053">
        <f t="shared" si="610"/>
        <v>0</v>
      </c>
      <c r="BB357" s="256">
        <f t="shared" si="610"/>
        <v>0</v>
      </c>
      <c r="BC357" s="245">
        <f t="shared" ref="BC357:BL357" si="612">+BC367+BC380</f>
        <v>0</v>
      </c>
      <c r="BD357" s="246">
        <f t="shared" si="612"/>
        <v>0</v>
      </c>
      <c r="BE357" s="246">
        <f t="shared" si="612"/>
        <v>0</v>
      </c>
      <c r="BF357" s="1053">
        <f t="shared" si="612"/>
        <v>0</v>
      </c>
      <c r="BG357" s="256">
        <f t="shared" si="612"/>
        <v>0</v>
      </c>
      <c r="BH357" s="245">
        <f t="shared" si="612"/>
        <v>0</v>
      </c>
      <c r="BI357" s="246">
        <f t="shared" si="612"/>
        <v>0</v>
      </c>
      <c r="BJ357" s="246">
        <f t="shared" si="612"/>
        <v>0</v>
      </c>
      <c r="BK357" s="1053">
        <f t="shared" si="612"/>
        <v>0</v>
      </c>
      <c r="BL357" s="256">
        <f t="shared" si="612"/>
        <v>0</v>
      </c>
      <c r="BM357" s="245">
        <f t="shared" ref="BM357:BQ357" si="613">+BM367+BM380</f>
        <v>0</v>
      </c>
      <c r="BN357" s="246">
        <f t="shared" si="613"/>
        <v>0</v>
      </c>
      <c r="BO357" s="246">
        <f t="shared" si="613"/>
        <v>0</v>
      </c>
      <c r="BP357" s="1053">
        <f t="shared" si="613"/>
        <v>0</v>
      </c>
      <c r="BQ357" s="256">
        <f t="shared" si="613"/>
        <v>0</v>
      </c>
      <c r="BR357" s="87"/>
      <c r="BS357" s="87"/>
      <c r="BT357"/>
      <c r="BU357"/>
      <c r="BV357"/>
      <c r="BW357"/>
      <c r="BX357"/>
      <c r="BY357"/>
      <c r="BZ357"/>
      <c r="CA357"/>
      <c r="CB357"/>
      <c r="CC357"/>
      <c r="CD357"/>
      <c r="CL357"/>
      <c r="CM357"/>
      <c r="CN357"/>
      <c r="CO357"/>
      <c r="CP357"/>
      <c r="CQ357"/>
      <c r="CZ357" s="91"/>
      <c r="DA357" s="91"/>
      <c r="DB357" s="91"/>
      <c r="DC357" s="91"/>
      <c r="DD357" s="91"/>
      <c r="DE357" s="91"/>
    </row>
    <row r="358" spans="1:118">
      <c r="A358" s="91"/>
      <c r="B358" s="89"/>
      <c r="C358" s="1179" t="s">
        <v>570</v>
      </c>
      <c r="D358" s="89"/>
      <c r="E358" s="145"/>
      <c r="F358" s="146"/>
      <c r="G358" s="146"/>
      <c r="H358" s="147"/>
      <c r="I358" s="87"/>
      <c r="J358" s="145"/>
      <c r="K358" s="146"/>
      <c r="L358" s="146"/>
      <c r="M358" s="147"/>
      <c r="N358" s="89"/>
      <c r="O358" s="145"/>
      <c r="P358" s="146"/>
      <c r="Q358" s="146"/>
      <c r="R358" s="147"/>
      <c r="S358" s="89"/>
      <c r="T358" s="833"/>
      <c r="U358" s="834"/>
      <c r="V358" s="834"/>
      <c r="W358" s="835"/>
      <c r="X358" s="1054"/>
      <c r="Y358" s="833">
        <f>Y357/(Y356*8.76/4)</f>
        <v>1.7246963562753036E-2</v>
      </c>
      <c r="Z358" s="834">
        <f>Z357/(Z356*8.76/4)</f>
        <v>0.20574898785425103</v>
      </c>
      <c r="AA358" s="834">
        <f>AA357/(AA356*8.76/4)</f>
        <v>0.46493927125506063</v>
      </c>
      <c r="AB358" s="835">
        <f>AB357/(AB356*8.76/4)</f>
        <v>0.20574898785425103</v>
      </c>
      <c r="AC358" s="1054">
        <f>AC357/(AC356*8.76)</f>
        <v>0.22342105263157894</v>
      </c>
      <c r="AD358" s="833">
        <f>AD357/(AD356*8.76/4)</f>
        <v>9.9999999999999992E-2</v>
      </c>
      <c r="AE358" s="834">
        <f>AE357/(AE356*8.76/4)</f>
        <v>0.19999999999999998</v>
      </c>
      <c r="AF358" s="834">
        <f>AF357/(AF356*8.76/4)</f>
        <v>0.47500000000000003</v>
      </c>
      <c r="AG358" s="835">
        <f>AG357/(AG356*8.76/4)</f>
        <v>9.9999999999999992E-2</v>
      </c>
      <c r="AH358" s="1054">
        <f>AH357/(AH356*8.76)</f>
        <v>0.21874999999999997</v>
      </c>
      <c r="AI358" s="833">
        <f>AI357/(AI356*8.76/4)</f>
        <v>9.9999999999999992E-2</v>
      </c>
      <c r="AJ358" s="834">
        <f>AJ357/(AJ356*8.76/4)</f>
        <v>0.19999999999999998</v>
      </c>
      <c r="AK358" s="834">
        <f>AK357/(AK356*8.76/4)</f>
        <v>0.47500000000000003</v>
      </c>
      <c r="AL358" s="835">
        <f>AL357/(AL356*8.76/4)</f>
        <v>9.9999999999999992E-2</v>
      </c>
      <c r="AM358" s="1054">
        <f>AM357/(AM356*8.76)</f>
        <v>0.21874999999999997</v>
      </c>
      <c r="AN358" s="833">
        <f>AN357/(AN356*8.76/4)</f>
        <v>9.9999999999999992E-2</v>
      </c>
      <c r="AO358" s="834">
        <f>AO357/(AO356*8.76/4)</f>
        <v>0.19999999999999998</v>
      </c>
      <c r="AP358" s="834">
        <f>AP357/(AP356*8.76/4)</f>
        <v>0.47500000000000003</v>
      </c>
      <c r="AQ358" s="835">
        <f>AQ357/(AQ356*8.76/4)</f>
        <v>9.9999999999999992E-2</v>
      </c>
      <c r="AR358" s="1054">
        <f>AR357/(AR356*8.76)</f>
        <v>0.21874999999999997</v>
      </c>
      <c r="AS358" s="833">
        <f>AS357/(AS356*8.76/4)</f>
        <v>9.9999999999999992E-2</v>
      </c>
      <c r="AT358" s="834">
        <f t="shared" ref="AT358:BQ358" si="614">IFERROR(AT357/(AT356*8.76/4),0)</f>
        <v>0.19999999999999998</v>
      </c>
      <c r="AU358" s="834">
        <f t="shared" ref="AU358" si="615">IFERROR(AU357/(AU356*8.76/4),0)</f>
        <v>0.47500000000000003</v>
      </c>
      <c r="AV358" s="835">
        <f t="shared" si="614"/>
        <v>0</v>
      </c>
      <c r="AW358" s="1054">
        <f t="shared" si="614"/>
        <v>0</v>
      </c>
      <c r="AX358" s="833">
        <f t="shared" si="614"/>
        <v>0</v>
      </c>
      <c r="AY358" s="834">
        <f t="shared" si="614"/>
        <v>0</v>
      </c>
      <c r="AZ358" s="834">
        <f t="shared" si="614"/>
        <v>0</v>
      </c>
      <c r="BA358" s="835">
        <f t="shared" si="614"/>
        <v>0</v>
      </c>
      <c r="BB358" s="1054">
        <f t="shared" si="614"/>
        <v>0</v>
      </c>
      <c r="BC358" s="833">
        <f t="shared" si="614"/>
        <v>0</v>
      </c>
      <c r="BD358" s="834">
        <f t="shared" si="614"/>
        <v>0</v>
      </c>
      <c r="BE358" s="834">
        <f t="shared" si="614"/>
        <v>0</v>
      </c>
      <c r="BF358" s="835">
        <f t="shared" si="614"/>
        <v>0</v>
      </c>
      <c r="BG358" s="1054">
        <f t="shared" si="614"/>
        <v>0</v>
      </c>
      <c r="BH358" s="833">
        <f t="shared" si="614"/>
        <v>0</v>
      </c>
      <c r="BI358" s="834">
        <f t="shared" si="614"/>
        <v>0</v>
      </c>
      <c r="BJ358" s="834">
        <f t="shared" si="614"/>
        <v>0</v>
      </c>
      <c r="BK358" s="835">
        <f t="shared" si="614"/>
        <v>0</v>
      </c>
      <c r="BL358" s="1054">
        <f t="shared" si="614"/>
        <v>0</v>
      </c>
      <c r="BM358" s="833">
        <f t="shared" si="614"/>
        <v>0</v>
      </c>
      <c r="BN358" s="834">
        <f t="shared" si="614"/>
        <v>0</v>
      </c>
      <c r="BO358" s="834">
        <f t="shared" si="614"/>
        <v>0</v>
      </c>
      <c r="BP358" s="835">
        <f t="shared" si="614"/>
        <v>0</v>
      </c>
      <c r="BQ358" s="1054">
        <f t="shared" si="614"/>
        <v>0</v>
      </c>
      <c r="BR358" s="87"/>
      <c r="BS358" s="87"/>
      <c r="CL358" s="81"/>
      <c r="CM358" s="81"/>
      <c r="CN358" s="81"/>
      <c r="CO358" s="81"/>
      <c r="CP358" s="81"/>
      <c r="CQ358" s="81"/>
      <c r="CW358" s="12"/>
      <c r="CX358" s="12"/>
      <c r="CY358" s="12"/>
      <c r="CZ358" s="91"/>
      <c r="DA358" s="91"/>
      <c r="DB358" s="91"/>
      <c r="DC358" s="91"/>
      <c r="DD358" s="91"/>
      <c r="DE358" s="91"/>
      <c r="DF358" s="12"/>
      <c r="DG358" s="12"/>
      <c r="DH358" s="12"/>
      <c r="DI358" s="12"/>
      <c r="DJ358" s="12"/>
      <c r="DK358" s="12"/>
      <c r="DL358" s="12"/>
      <c r="DM358" s="12"/>
      <c r="DN358" s="12"/>
    </row>
    <row r="359" spans="1:118">
      <c r="A359" s="91"/>
      <c r="B359" s="89"/>
      <c r="C359" s="1184"/>
      <c r="D359" s="89"/>
      <c r="E359" s="145"/>
      <c r="F359" s="146"/>
      <c r="G359" s="146"/>
      <c r="H359" s="147"/>
      <c r="I359" s="87"/>
      <c r="J359" s="145"/>
      <c r="K359" s="146"/>
      <c r="L359" s="146"/>
      <c r="M359" s="147"/>
      <c r="N359" s="89"/>
      <c r="O359" s="145"/>
      <c r="P359" s="146"/>
      <c r="Q359" s="146"/>
      <c r="R359" s="147"/>
      <c r="S359" s="89"/>
      <c r="T359" s="145"/>
      <c r="U359" s="146"/>
      <c r="V359" s="146"/>
      <c r="W359" s="147"/>
      <c r="X359" s="89"/>
      <c r="Y359" s="145"/>
      <c r="Z359" s="146"/>
      <c r="AA359" s="146"/>
      <c r="AB359" s="147"/>
      <c r="AC359" s="89"/>
      <c r="AD359" s="145"/>
      <c r="AE359" s="146"/>
      <c r="AF359" s="146"/>
      <c r="AG359" s="147"/>
      <c r="AH359" s="89"/>
      <c r="AI359" s="145"/>
      <c r="AJ359" s="146"/>
      <c r="AK359" s="146"/>
      <c r="AL359" s="147"/>
      <c r="AM359" s="89"/>
      <c r="AN359" s="145"/>
      <c r="AO359" s="146"/>
      <c r="AP359" s="146"/>
      <c r="AQ359" s="147"/>
      <c r="AR359" s="89"/>
      <c r="AS359" s="145"/>
      <c r="AT359" s="146"/>
      <c r="AU359" s="146"/>
      <c r="AV359" s="147"/>
      <c r="AW359" s="89"/>
      <c r="AX359" s="145"/>
      <c r="AY359" s="146"/>
      <c r="AZ359" s="146"/>
      <c r="BA359" s="147"/>
      <c r="BB359" s="89"/>
      <c r="BC359" s="145"/>
      <c r="BD359" s="146"/>
      <c r="BE359" s="146"/>
      <c r="BF359" s="147"/>
      <c r="BG359" s="89"/>
      <c r="BH359" s="145"/>
      <c r="BI359" s="146"/>
      <c r="BJ359" s="146"/>
      <c r="BK359" s="147"/>
      <c r="BL359" s="89"/>
      <c r="BM359" s="145"/>
      <c r="BN359" s="146"/>
      <c r="BO359" s="146"/>
      <c r="BP359" s="147"/>
      <c r="BQ359" s="89"/>
      <c r="BR359" s="87"/>
      <c r="BS359" s="87"/>
      <c r="CL359" s="26"/>
      <c r="CM359" s="26"/>
      <c r="CN359" s="26"/>
      <c r="CO359" s="26"/>
      <c r="CP359" s="26"/>
      <c r="CQ359" s="26"/>
      <c r="CW359" s="12"/>
      <c r="CX359" s="12"/>
      <c r="CY359" s="12"/>
      <c r="CZ359" s="91"/>
      <c r="DA359" s="91"/>
      <c r="DB359" s="91"/>
      <c r="DC359" s="91"/>
      <c r="DD359" s="91"/>
      <c r="DE359" s="91"/>
      <c r="DF359" s="12"/>
      <c r="DG359" s="12"/>
      <c r="DH359" s="12"/>
      <c r="DI359" s="12"/>
      <c r="DJ359" s="12"/>
      <c r="DK359" s="12"/>
      <c r="DL359" s="12"/>
      <c r="DM359" s="12"/>
      <c r="DN359" s="12"/>
    </row>
    <row r="360" spans="1:118">
      <c r="A360" s="91"/>
      <c r="B360" s="89"/>
      <c r="C360" s="1255" t="s">
        <v>595</v>
      </c>
      <c r="D360" s="89"/>
      <c r="E360" s="145"/>
      <c r="F360" s="146"/>
      <c r="G360" s="146"/>
      <c r="H360" s="147"/>
      <c r="I360" s="87"/>
      <c r="J360" s="145"/>
      <c r="K360" s="146"/>
      <c r="L360" s="146"/>
      <c r="M360" s="147"/>
      <c r="N360" s="89"/>
      <c r="O360" s="145"/>
      <c r="P360" s="146"/>
      <c r="Q360" s="146"/>
      <c r="R360" s="147"/>
      <c r="S360" s="89"/>
      <c r="T360" s="145"/>
      <c r="U360" s="146"/>
      <c r="V360" s="146"/>
      <c r="W360" s="147"/>
      <c r="X360" s="89"/>
      <c r="Y360" s="145"/>
      <c r="Z360" s="146"/>
      <c r="AA360" s="146"/>
      <c r="AB360" s="147"/>
      <c r="AC360" s="89"/>
      <c r="AD360" s="145"/>
      <c r="AE360" s="146"/>
      <c r="AF360" s="146"/>
      <c r="AG360" s="147"/>
      <c r="AH360" s="89"/>
      <c r="AI360" s="145"/>
      <c r="AJ360" s="146"/>
      <c r="AK360" s="150"/>
      <c r="AL360" s="147"/>
      <c r="AM360" s="89"/>
      <c r="AN360" s="145"/>
      <c r="AO360" s="146"/>
      <c r="AP360" s="150"/>
      <c r="AQ360" s="147"/>
      <c r="AR360" s="89"/>
      <c r="AS360" s="145"/>
      <c r="AT360" s="146"/>
      <c r="AU360" s="146"/>
      <c r="AV360" s="147"/>
      <c r="AW360" s="89"/>
      <c r="AX360" s="145"/>
      <c r="AY360" s="146"/>
      <c r="AZ360" s="146"/>
      <c r="BA360" s="147"/>
      <c r="BB360" s="89"/>
      <c r="BC360" s="145"/>
      <c r="BD360" s="146"/>
      <c r="BE360" s="146"/>
      <c r="BF360" s="147"/>
      <c r="BG360" s="89"/>
      <c r="BH360" s="145"/>
      <c r="BI360" s="146"/>
      <c r="BJ360" s="146"/>
      <c r="BK360" s="147"/>
      <c r="BL360" s="89"/>
      <c r="BM360" s="145"/>
      <c r="BN360" s="146"/>
      <c r="BO360" s="146"/>
      <c r="BP360" s="147"/>
      <c r="BQ360" s="89"/>
      <c r="BR360" s="87"/>
      <c r="BS360" s="87"/>
      <c r="CL360" s="1076"/>
      <c r="CM360" s="1076"/>
      <c r="CN360" s="1076"/>
      <c r="CO360" s="1076"/>
      <c r="CP360" s="1076"/>
      <c r="CQ360" s="1076"/>
      <c r="CW360" s="12"/>
      <c r="CX360" s="12"/>
      <c r="CY360" s="12"/>
      <c r="CZ360" s="91"/>
      <c r="DA360" s="91"/>
      <c r="DB360" s="91"/>
      <c r="DC360" s="91"/>
      <c r="DD360" s="91"/>
      <c r="DE360" s="91"/>
      <c r="DF360" s="12"/>
      <c r="DG360" s="12"/>
      <c r="DH360" s="12"/>
      <c r="DI360" s="12"/>
      <c r="DJ360" s="12"/>
      <c r="DK360" s="12"/>
      <c r="DL360" s="12"/>
      <c r="DM360" s="12"/>
      <c r="DN360" s="12"/>
    </row>
    <row r="361" spans="1:118">
      <c r="A361" s="91"/>
      <c r="B361" s="89"/>
      <c r="C361" s="1179" t="s">
        <v>579</v>
      </c>
      <c r="D361" s="89"/>
      <c r="E361" s="145"/>
      <c r="F361" s="146"/>
      <c r="G361" s="146"/>
      <c r="H361" s="147"/>
      <c r="I361" s="87"/>
      <c r="J361" s="145"/>
      <c r="K361" s="146"/>
      <c r="L361" s="146"/>
      <c r="M361" s="147"/>
      <c r="N361" s="89"/>
      <c r="O361" s="145"/>
      <c r="P361" s="146"/>
      <c r="Q361" s="146"/>
      <c r="R361" s="147"/>
      <c r="S361" s="89"/>
      <c r="T361" s="342"/>
      <c r="U361" s="150"/>
      <c r="V361" s="150"/>
      <c r="W361" s="343"/>
      <c r="X361" s="327"/>
      <c r="Y361" s="342">
        <f t="shared" ref="Y361:BL361" si="616">Y$67</f>
        <v>41.997815863095234</v>
      </c>
      <c r="Z361" s="150">
        <f t="shared" si="616"/>
        <v>45.53030431640623</v>
      </c>
      <c r="AA361" s="150">
        <f t="shared" si="616"/>
        <v>48.136464199218771</v>
      </c>
      <c r="AB361" s="343">
        <f t="shared" si="616"/>
        <v>40.193486718750009</v>
      </c>
      <c r="AC361" s="327">
        <f t="shared" si="616"/>
        <v>43.964517774367565</v>
      </c>
      <c r="AD361" s="342">
        <f t="shared" si="616"/>
        <v>113.57858770833332</v>
      </c>
      <c r="AE361" s="150">
        <f t="shared" si="616"/>
        <v>50.488559589843781</v>
      </c>
      <c r="AF361" s="150">
        <f t="shared" si="616"/>
        <v>41.389708935546885</v>
      </c>
      <c r="AG361" s="343">
        <f t="shared" si="616"/>
        <v>40.371172851562484</v>
      </c>
      <c r="AH361" s="327">
        <f t="shared" si="616"/>
        <v>61.457007271321615</v>
      </c>
      <c r="AI361" s="342">
        <f t="shared" si="616"/>
        <v>56.866776517857161</v>
      </c>
      <c r="AJ361" s="150">
        <f t="shared" si="616"/>
        <v>39.147263818359377</v>
      </c>
      <c r="AK361" s="150">
        <f t="shared" si="616"/>
        <v>39.464831807692292</v>
      </c>
      <c r="AL361" s="343">
        <f t="shared" si="616"/>
        <v>31.895178447265621</v>
      </c>
      <c r="AM361" s="327">
        <f t="shared" si="616"/>
        <v>41.843512647793617</v>
      </c>
      <c r="AN361" s="342">
        <f t="shared" si="616"/>
        <v>30.103148642578116</v>
      </c>
      <c r="AO361" s="150">
        <f t="shared" si="616"/>
        <v>32.701806339843749</v>
      </c>
      <c r="AP361" s="150">
        <f t="shared" si="616"/>
        <v>38.936782353515625</v>
      </c>
      <c r="AQ361" s="343">
        <f t="shared" si="616"/>
        <v>33.269796091269853</v>
      </c>
      <c r="AR361" s="327">
        <f t="shared" si="616"/>
        <v>33.752883356801831</v>
      </c>
      <c r="AS361" s="342">
        <f t="shared" si="616"/>
        <v>32.803312458984372</v>
      </c>
      <c r="AT361" s="150">
        <f t="shared" si="616"/>
        <v>32.803312458984372</v>
      </c>
      <c r="AU361" s="150">
        <f t="shared" si="616"/>
        <v>35.491018034722231</v>
      </c>
      <c r="AV361" s="343">
        <f t="shared" si="616"/>
        <v>37.44785995039684</v>
      </c>
      <c r="AW361" s="327">
        <f t="shared" si="616"/>
        <v>34.636375725771956</v>
      </c>
      <c r="AX361" s="342">
        <f t="shared" si="616"/>
        <v>48.149713212890617</v>
      </c>
      <c r="AY361" s="150">
        <f t="shared" si="616"/>
        <v>34.5</v>
      </c>
      <c r="AZ361" s="150">
        <f t="shared" si="616"/>
        <v>36.9</v>
      </c>
      <c r="BA361" s="343">
        <f t="shared" si="616"/>
        <v>34.68333333333333</v>
      </c>
      <c r="BB361" s="327">
        <f t="shared" si="616"/>
        <v>38.55826163655599</v>
      </c>
      <c r="BC361" s="342">
        <f t="shared" si="616"/>
        <v>40.501333218824755</v>
      </c>
      <c r="BD361" s="150">
        <f t="shared" si="616"/>
        <v>29.678493986239484</v>
      </c>
      <c r="BE361" s="150">
        <f t="shared" si="616"/>
        <v>32.100602483050345</v>
      </c>
      <c r="BF361" s="343">
        <f t="shared" si="616"/>
        <v>39.002903645085446</v>
      </c>
      <c r="BG361" s="327">
        <f t="shared" si="616"/>
        <v>35.320833333300008</v>
      </c>
      <c r="BH361" s="342">
        <f t="shared" ref="BH361:BJ361" si="617">$BL$361*BC361/$BG$361</f>
        <v>40.405777401430242</v>
      </c>
      <c r="BI361" s="150">
        <f t="shared" si="617"/>
        <v>29.608472766528745</v>
      </c>
      <c r="BJ361" s="150">
        <f t="shared" si="617"/>
        <v>32.024866721648337</v>
      </c>
      <c r="BK361" s="343">
        <f>$BL$361*BF361/$BG$361</f>
        <v>38.910883110392696</v>
      </c>
      <c r="BL361" s="327">
        <f t="shared" si="616"/>
        <v>35.237500000000004</v>
      </c>
      <c r="BM361" s="342">
        <f>$BQ$361*BH361/$BL$361</f>
        <v>41.050779169101162</v>
      </c>
      <c r="BN361" s="150">
        <f>$BQ$361*BI361/$BL$361</f>
        <v>30.081115999765267</v>
      </c>
      <c r="BO361" s="150">
        <f>$BQ$361*BJ361/$BL$361</f>
        <v>32.536083111316358</v>
      </c>
      <c r="BP361" s="343">
        <f>$BQ$361*BK361/$BL$361</f>
        <v>39.53202171981718</v>
      </c>
      <c r="BQ361" s="327">
        <f t="shared" ref="BQ361" si="618">BQ$67</f>
        <v>35.79999999999999</v>
      </c>
      <c r="BR361" s="87"/>
      <c r="BS361" s="87"/>
      <c r="BZ361" s="91"/>
      <c r="CA361" s="91"/>
      <c r="CB361" s="91"/>
      <c r="CC361" s="91"/>
      <c r="CD361" s="91"/>
      <c r="CL361" s="991"/>
      <c r="CM361" s="991"/>
      <c r="CN361" s="991"/>
      <c r="CO361" s="991"/>
      <c r="CP361" s="991"/>
      <c r="CQ361" s="991"/>
      <c r="CW361" s="12"/>
      <c r="CX361" s="12"/>
      <c r="CY361" s="12"/>
      <c r="CZ361" s="91"/>
      <c r="DA361" s="91"/>
      <c r="DB361" s="91"/>
      <c r="DC361" s="91"/>
      <c r="DD361" s="91"/>
      <c r="DE361" s="91"/>
      <c r="DF361" s="12"/>
      <c r="DG361" s="12"/>
      <c r="DH361" s="12"/>
      <c r="DI361" s="12"/>
      <c r="DJ361" s="12"/>
      <c r="DK361" s="12"/>
      <c r="DL361" s="12"/>
      <c r="DM361" s="12"/>
      <c r="DN361" s="12"/>
    </row>
    <row r="362" spans="1:118">
      <c r="A362" s="91"/>
      <c r="B362" s="89"/>
      <c r="C362" s="1179" t="s">
        <v>573</v>
      </c>
      <c r="D362" s="89"/>
      <c r="E362" s="145"/>
      <c r="F362" s="146"/>
      <c r="G362" s="146"/>
      <c r="H362" s="147"/>
      <c r="I362" s="1324">
        <v>1.25</v>
      </c>
      <c r="J362" s="145"/>
      <c r="K362" s="146"/>
      <c r="L362" s="146"/>
      <c r="M362" s="147"/>
      <c r="N362" s="89"/>
      <c r="O362" s="145"/>
      <c r="P362" s="146"/>
      <c r="Q362" s="146"/>
      <c r="R362" s="147"/>
      <c r="S362" s="89"/>
      <c r="T362" s="342"/>
      <c r="U362" s="150"/>
      <c r="V362" s="150"/>
      <c r="W362" s="343"/>
      <c r="X362" s="327"/>
      <c r="Y362" s="342">
        <f t="shared" ref="Y362:AB362" si="619">$I362*Y$68</f>
        <v>41.857577904790666</v>
      </c>
      <c r="Z362" s="150">
        <f t="shared" si="619"/>
        <v>37.015210653617231</v>
      </c>
      <c r="AA362" s="150">
        <f t="shared" si="619"/>
        <v>35.583745968636784</v>
      </c>
      <c r="AB362" s="343">
        <f t="shared" si="619"/>
        <v>38.757366807631335</v>
      </c>
      <c r="AC362" s="327">
        <f t="shared" ref="AC362:BP362" si="620">$I362*AC$68</f>
        <v>38.303475333668999</v>
      </c>
      <c r="AD362" s="342">
        <f t="shared" si="620"/>
        <v>97.850963996829705</v>
      </c>
      <c r="AE362" s="150">
        <f t="shared" si="620"/>
        <v>38.350841746794877</v>
      </c>
      <c r="AF362" s="150">
        <f t="shared" si="620"/>
        <v>34.266282512454723</v>
      </c>
      <c r="AG362" s="343">
        <f t="shared" si="620"/>
        <v>37.441095366281708</v>
      </c>
      <c r="AH362" s="327">
        <f t="shared" si="620"/>
        <v>51.977295905590246</v>
      </c>
      <c r="AI362" s="342">
        <f t="shared" si="620"/>
        <v>55.272205596568043</v>
      </c>
      <c r="AJ362" s="150">
        <f t="shared" si="620"/>
        <v>31.285710070398341</v>
      </c>
      <c r="AK362" s="150">
        <f t="shared" si="620"/>
        <v>29.031019046648549</v>
      </c>
      <c r="AL362" s="343">
        <f t="shared" si="620"/>
        <v>27.636327181272655</v>
      </c>
      <c r="AM362" s="327">
        <f t="shared" si="620"/>
        <v>35.806315473721895</v>
      </c>
      <c r="AN362" s="342">
        <f t="shared" si="620"/>
        <v>29.986154308533401</v>
      </c>
      <c r="AO362" s="150">
        <f t="shared" si="620"/>
        <v>26.583285032623628</v>
      </c>
      <c r="AP362" s="150">
        <f t="shared" si="620"/>
        <v>28.63762511831975</v>
      </c>
      <c r="AQ362" s="343">
        <f t="shared" si="620"/>
        <v>31.574683366168493</v>
      </c>
      <c r="AR362" s="327">
        <f t="shared" si="620"/>
        <v>29.195436956411317</v>
      </c>
      <c r="AS362" s="342">
        <f t="shared" si="620"/>
        <v>27.651588032852562</v>
      </c>
      <c r="AT362" s="150">
        <f t="shared" si="620"/>
        <v>27.651588032852562</v>
      </c>
      <c r="AU362" s="150">
        <f t="shared" si="620"/>
        <v>27.436224395380435</v>
      </c>
      <c r="AV362" s="343">
        <f t="shared" si="620"/>
        <v>35.849506767663037</v>
      </c>
      <c r="AW362" s="327">
        <f t="shared" si="620"/>
        <v>29.647226807187153</v>
      </c>
      <c r="AX362" s="342">
        <f t="shared" si="620"/>
        <v>54.754487671698882</v>
      </c>
      <c r="AY362" s="150">
        <f t="shared" si="620"/>
        <v>31.1875</v>
      </c>
      <c r="AZ362" s="150">
        <f t="shared" si="620"/>
        <v>30.979166666666668</v>
      </c>
      <c r="BA362" s="343">
        <f t="shared" si="620"/>
        <v>32.104166666666664</v>
      </c>
      <c r="BB362" s="327">
        <f t="shared" si="620"/>
        <v>37.256330251258056</v>
      </c>
      <c r="BC362" s="342">
        <f t="shared" si="620"/>
        <v>40.887799146026005</v>
      </c>
      <c r="BD362" s="150">
        <f t="shared" si="620"/>
        <v>25.789621380417486</v>
      </c>
      <c r="BE362" s="150">
        <f t="shared" si="620"/>
        <v>25.659464675541553</v>
      </c>
      <c r="BF362" s="343">
        <f t="shared" si="620"/>
        <v>39.923073131014974</v>
      </c>
      <c r="BG362" s="327">
        <f t="shared" si="620"/>
        <v>33.064989583250004</v>
      </c>
      <c r="BH362" s="342">
        <f t="shared" si="620"/>
        <v>40.423640349455212</v>
      </c>
      <c r="BI362" s="150">
        <f t="shared" si="620"/>
        <v>25.496857282716853</v>
      </c>
      <c r="BJ362" s="150">
        <f t="shared" si="620"/>
        <v>25.368178118348425</v>
      </c>
      <c r="BK362" s="343">
        <f t="shared" si="620"/>
        <v>39.469865915979526</v>
      </c>
      <c r="BL362" s="327">
        <f>$I362*BL$68</f>
        <v>32.689635416625002</v>
      </c>
      <c r="BM362" s="342">
        <f t="shared" si="620"/>
        <v>35.914964027956856</v>
      </c>
      <c r="BN362" s="150">
        <f t="shared" si="620"/>
        <v>24.942184367850512</v>
      </c>
      <c r="BO362" s="150">
        <f t="shared" si="620"/>
        <v>24.328847119975482</v>
      </c>
      <c r="BP362" s="343">
        <f t="shared" si="620"/>
        <v>34.10894595270922</v>
      </c>
      <c r="BQ362" s="327">
        <f>$I362*BQ$68</f>
        <v>29.823735367123021</v>
      </c>
      <c r="BR362" s="87"/>
      <c r="BS362" s="87"/>
      <c r="BZ362" s="91"/>
      <c r="CA362" s="91"/>
      <c r="CB362" s="91"/>
      <c r="CC362" s="91"/>
      <c r="CD362" s="91"/>
      <c r="CE362" s="91"/>
      <c r="CF362" s="91"/>
      <c r="CG362" s="91"/>
      <c r="CH362" s="91"/>
      <c r="CI362" s="91"/>
      <c r="CJ362" s="91"/>
      <c r="CK362" s="91"/>
      <c r="CL362" s="91"/>
      <c r="CM362" s="91"/>
      <c r="CN362" s="91"/>
      <c r="CO362" s="91"/>
      <c r="CP362" s="91"/>
      <c r="CQ362" s="91"/>
      <c r="CR362" s="1018"/>
      <c r="CS362" s="1018"/>
      <c r="CT362" s="821"/>
      <c r="CU362" s="12"/>
      <c r="CV362" s="12"/>
      <c r="CW362" s="12"/>
      <c r="CX362" s="12"/>
      <c r="CY362" s="12"/>
      <c r="CZ362" s="91"/>
      <c r="DA362" s="91"/>
      <c r="DB362" s="91"/>
      <c r="DC362" s="91"/>
      <c r="DD362" s="91"/>
      <c r="DE362" s="91"/>
      <c r="DF362" s="12"/>
      <c r="DG362" s="12"/>
      <c r="DH362" s="12"/>
      <c r="DI362" s="12"/>
      <c r="DJ362" s="12"/>
      <c r="DK362" s="12"/>
      <c r="DL362" s="12"/>
      <c r="DM362" s="12"/>
      <c r="DN362" s="12"/>
    </row>
    <row r="363" spans="1:118">
      <c r="A363" s="91"/>
      <c r="B363" s="89"/>
      <c r="C363" s="1184"/>
      <c r="D363" s="89"/>
      <c r="E363" s="145"/>
      <c r="F363" s="146"/>
      <c r="G363" s="146"/>
      <c r="H363" s="147"/>
      <c r="I363" s="87"/>
      <c r="J363" s="145"/>
      <c r="K363" s="146"/>
      <c r="L363" s="146"/>
      <c r="M363" s="147"/>
      <c r="N363" s="89"/>
      <c r="O363" s="145"/>
      <c r="P363" s="146"/>
      <c r="Q363" s="146"/>
      <c r="R363" s="147"/>
      <c r="S363" s="89"/>
      <c r="T363" s="145"/>
      <c r="U363" s="146"/>
      <c r="V363" s="146"/>
      <c r="W363" s="147"/>
      <c r="X363" s="89"/>
      <c r="Y363" s="145"/>
      <c r="Z363" s="146"/>
      <c r="AA363" s="146"/>
      <c r="AB363" s="147"/>
      <c r="AC363" s="89"/>
      <c r="AD363" s="145"/>
      <c r="AE363" s="146"/>
      <c r="AF363" s="146"/>
      <c r="AG363" s="147"/>
      <c r="AH363" s="89"/>
      <c r="AI363" s="145"/>
      <c r="AJ363" s="146"/>
      <c r="AK363" s="146"/>
      <c r="AL363" s="147"/>
      <c r="AM363" s="89"/>
      <c r="AN363" s="145"/>
      <c r="AO363" s="146"/>
      <c r="AP363" s="146"/>
      <c r="AQ363" s="147"/>
      <c r="AR363" s="89"/>
      <c r="AS363" s="145"/>
      <c r="AT363" s="146"/>
      <c r="AU363" s="146"/>
      <c r="AV363" s="147"/>
      <c r="AW363" s="89"/>
      <c r="AX363" s="145"/>
      <c r="AY363" s="146"/>
      <c r="AZ363" s="146"/>
      <c r="BA363" s="147"/>
      <c r="BB363" s="89"/>
      <c r="BC363" s="145"/>
      <c r="BD363" s="146"/>
      <c r="BE363" s="146"/>
      <c r="BF363" s="147"/>
      <c r="BG363" s="89"/>
      <c r="BH363" s="145"/>
      <c r="BI363" s="146"/>
      <c r="BJ363" s="146"/>
      <c r="BK363" s="147"/>
      <c r="BL363" s="89"/>
      <c r="BM363" s="145"/>
      <c r="BN363" s="146"/>
      <c r="BO363" s="146"/>
      <c r="BP363" s="147"/>
      <c r="BQ363" s="89"/>
      <c r="BR363" s="87"/>
      <c r="BS363" s="87"/>
      <c r="BZ363" s="91"/>
      <c r="CA363" s="91"/>
      <c r="CB363" s="91"/>
      <c r="CC363" s="91"/>
      <c r="CD363" s="91"/>
      <c r="CE363" s="91"/>
      <c r="CF363" s="91"/>
      <c r="CG363" s="91"/>
      <c r="CH363" s="91"/>
      <c r="CI363" s="91"/>
      <c r="CJ363" s="91"/>
      <c r="CK363" s="91"/>
      <c r="CL363" s="91"/>
      <c r="CM363" s="91"/>
      <c r="CN363" s="91"/>
      <c r="CO363" s="91"/>
      <c r="CP363" s="91"/>
      <c r="CQ363" s="91"/>
      <c r="CR363" s="1018"/>
      <c r="CS363" s="1018"/>
      <c r="CT363" s="821"/>
      <c r="CU363" s="12"/>
      <c r="CV363" s="12"/>
      <c r="CW363" s="12"/>
      <c r="CX363" s="12"/>
      <c r="CY363" s="12"/>
      <c r="CZ363" s="91"/>
      <c r="DA363" s="91"/>
      <c r="DB363" s="91"/>
      <c r="DC363" s="91"/>
      <c r="DD363" s="91"/>
      <c r="DE363" s="91"/>
      <c r="DF363" s="12"/>
      <c r="DG363" s="12"/>
      <c r="DH363" s="12"/>
      <c r="DI363" s="12"/>
      <c r="DJ363" s="12"/>
      <c r="DK363" s="12"/>
      <c r="DL363" s="12"/>
      <c r="DM363" s="12"/>
      <c r="DN363" s="12"/>
    </row>
    <row r="364" spans="1:118">
      <c r="A364" s="91"/>
      <c r="B364" s="89"/>
      <c r="C364" s="1186" t="s">
        <v>574</v>
      </c>
      <c r="D364" s="88"/>
      <c r="E364" s="106"/>
      <c r="F364" s="76"/>
      <c r="G364" s="76"/>
      <c r="H364" s="107"/>
      <c r="I364" s="93"/>
      <c r="J364" s="106"/>
      <c r="K364" s="76"/>
      <c r="L364" s="76"/>
      <c r="M364" s="107"/>
      <c r="N364" s="93"/>
      <c r="O364" s="106"/>
      <c r="P364" s="76"/>
      <c r="Q364" s="76"/>
      <c r="R364" s="107"/>
      <c r="S364" s="93"/>
      <c r="T364" s="106"/>
      <c r="U364" s="76"/>
      <c r="V364" s="76"/>
      <c r="W364" s="107"/>
      <c r="X364" s="93"/>
      <c r="Y364" s="106">
        <f t="shared" ref="Y364:AR364" si="621">+Y490</f>
        <v>1164</v>
      </c>
      <c r="Z364" s="76">
        <f t="shared" si="621"/>
        <v>1164</v>
      </c>
      <c r="AA364" s="76">
        <f t="shared" si="621"/>
        <v>1164</v>
      </c>
      <c r="AB364" s="107">
        <f t="shared" si="621"/>
        <v>1164</v>
      </c>
      <c r="AC364" s="93">
        <f t="shared" si="621"/>
        <v>1164</v>
      </c>
      <c r="AD364" s="106">
        <f t="shared" si="621"/>
        <v>713</v>
      </c>
      <c r="AE364" s="76">
        <f t="shared" si="621"/>
        <v>713</v>
      </c>
      <c r="AF364" s="76">
        <f t="shared" si="621"/>
        <v>713</v>
      </c>
      <c r="AG364" s="107">
        <f t="shared" si="621"/>
        <v>713</v>
      </c>
      <c r="AH364" s="93">
        <f t="shared" si="621"/>
        <v>713</v>
      </c>
      <c r="AI364" s="106">
        <f t="shared" si="621"/>
        <v>713</v>
      </c>
      <c r="AJ364" s="76">
        <f t="shared" si="621"/>
        <v>713</v>
      </c>
      <c r="AK364" s="76">
        <f t="shared" si="621"/>
        <v>713</v>
      </c>
      <c r="AL364" s="107">
        <f t="shared" si="621"/>
        <v>713</v>
      </c>
      <c r="AM364" s="93">
        <f t="shared" si="621"/>
        <v>713</v>
      </c>
      <c r="AN364" s="106">
        <f t="shared" si="621"/>
        <v>713</v>
      </c>
      <c r="AO364" s="76">
        <f t="shared" si="621"/>
        <v>713</v>
      </c>
      <c r="AP364" s="76">
        <f t="shared" ref="AP364" si="622">+AP490</f>
        <v>713</v>
      </c>
      <c r="AQ364" s="107">
        <f t="shared" si="621"/>
        <v>713</v>
      </c>
      <c r="AR364" s="93">
        <f t="shared" si="621"/>
        <v>713</v>
      </c>
      <c r="AS364" s="106">
        <f t="shared" ref="AS364" si="623">+AS490</f>
        <v>713</v>
      </c>
      <c r="AT364" s="76">
        <f t="shared" ref="AT364:BB364" si="624">+AT490</f>
        <v>713</v>
      </c>
      <c r="AU364" s="76">
        <f t="shared" ref="AU364" si="625">+AU490</f>
        <v>713</v>
      </c>
      <c r="AV364" s="107">
        <f t="shared" si="624"/>
        <v>0</v>
      </c>
      <c r="AW364" s="93">
        <f t="shared" si="624"/>
        <v>0</v>
      </c>
      <c r="AX364" s="106">
        <f t="shared" si="624"/>
        <v>0</v>
      </c>
      <c r="AY364" s="76">
        <f t="shared" si="624"/>
        <v>0</v>
      </c>
      <c r="AZ364" s="76">
        <f t="shared" si="624"/>
        <v>0</v>
      </c>
      <c r="BA364" s="107">
        <f t="shared" si="624"/>
        <v>0</v>
      </c>
      <c r="BB364" s="93">
        <f t="shared" si="624"/>
        <v>0</v>
      </c>
      <c r="BC364" s="106">
        <f t="shared" ref="BC364:BL364" si="626">+BC490</f>
        <v>0</v>
      </c>
      <c r="BD364" s="76">
        <f t="shared" si="626"/>
        <v>0</v>
      </c>
      <c r="BE364" s="76">
        <f t="shared" si="626"/>
        <v>0</v>
      </c>
      <c r="BF364" s="107">
        <f t="shared" si="626"/>
        <v>0</v>
      </c>
      <c r="BG364" s="93">
        <f t="shared" si="626"/>
        <v>0</v>
      </c>
      <c r="BH364" s="106">
        <f t="shared" si="626"/>
        <v>0</v>
      </c>
      <c r="BI364" s="76">
        <f t="shared" si="626"/>
        <v>0</v>
      </c>
      <c r="BJ364" s="76">
        <f t="shared" si="626"/>
        <v>0</v>
      </c>
      <c r="BK364" s="107">
        <f t="shared" si="626"/>
        <v>0</v>
      </c>
      <c r="BL364" s="93">
        <f t="shared" si="626"/>
        <v>0</v>
      </c>
      <c r="BM364" s="106">
        <f t="shared" ref="BM364:BQ364" si="627">+BM490</f>
        <v>0</v>
      </c>
      <c r="BN364" s="76">
        <f t="shared" si="627"/>
        <v>0</v>
      </c>
      <c r="BO364" s="76">
        <f t="shared" si="627"/>
        <v>0</v>
      </c>
      <c r="BP364" s="107">
        <f t="shared" si="627"/>
        <v>0</v>
      </c>
      <c r="BQ364" s="93">
        <f t="shared" si="627"/>
        <v>0</v>
      </c>
      <c r="BR364" s="87"/>
      <c r="BS364" s="87"/>
      <c r="BZ364" s="91"/>
      <c r="CA364" s="91"/>
      <c r="CB364" s="91"/>
      <c r="CC364" s="91"/>
      <c r="CD364" s="91"/>
      <c r="CE364" s="91"/>
      <c r="CF364" s="91"/>
      <c r="CG364" s="91"/>
      <c r="CH364" s="91"/>
      <c r="CI364" s="91"/>
      <c r="CJ364" s="91"/>
      <c r="CK364" s="91"/>
      <c r="CL364" s="91"/>
      <c r="CM364" s="91"/>
      <c r="CN364" s="91"/>
      <c r="CO364" s="91"/>
      <c r="CP364" s="91"/>
      <c r="CQ364" s="91"/>
      <c r="CR364" s="1018"/>
      <c r="CS364" s="1018"/>
      <c r="CT364" s="821"/>
      <c r="CU364" s="12"/>
      <c r="CV364" s="12"/>
      <c r="CW364" s="12"/>
      <c r="CX364" s="12"/>
      <c r="CY364" s="12"/>
      <c r="CZ364" s="91"/>
      <c r="DA364" s="91"/>
      <c r="DB364" s="91"/>
      <c r="DC364" s="91"/>
      <c r="DD364" s="91"/>
      <c r="DE364" s="91"/>
      <c r="DF364" s="12"/>
      <c r="DG364" s="12"/>
      <c r="DH364" s="12"/>
      <c r="DI364" s="12"/>
      <c r="DJ364" s="12"/>
      <c r="DK364" s="12"/>
      <c r="DL364" s="12"/>
      <c r="DM364" s="12"/>
      <c r="DN364" s="12"/>
    </row>
    <row r="365" spans="1:118">
      <c r="A365" s="91"/>
      <c r="B365" s="89"/>
      <c r="C365" s="1184"/>
      <c r="D365" s="89"/>
      <c r="E365" s="145"/>
      <c r="F365" s="146"/>
      <c r="G365" s="146"/>
      <c r="H365" s="147"/>
      <c r="I365" s="87"/>
      <c r="J365" s="145"/>
      <c r="K365" s="146"/>
      <c r="L365" s="146"/>
      <c r="M365" s="147"/>
      <c r="N365" s="89"/>
      <c r="O365" s="145"/>
      <c r="P365" s="146"/>
      <c r="Q365" s="146"/>
      <c r="R365" s="147"/>
      <c r="S365" s="89"/>
      <c r="T365" s="145"/>
      <c r="U365" s="146"/>
      <c r="V365" s="146"/>
      <c r="W365" s="147"/>
      <c r="X365" s="89"/>
      <c r="Y365" s="145"/>
      <c r="Z365" s="146"/>
      <c r="AA365" s="146"/>
      <c r="AB365" s="147"/>
      <c r="AC365" s="89"/>
      <c r="AD365" s="145"/>
      <c r="AE365" s="146"/>
      <c r="AF365" s="146"/>
      <c r="AG365" s="147"/>
      <c r="AH365" s="89"/>
      <c r="AI365" s="145"/>
      <c r="AJ365" s="146"/>
      <c r="AK365" s="146"/>
      <c r="AL365" s="147"/>
      <c r="AM365" s="89"/>
      <c r="AN365" s="145"/>
      <c r="AO365" s="146"/>
      <c r="AP365" s="146"/>
      <c r="AQ365" s="147"/>
      <c r="AR365" s="89"/>
      <c r="AS365" s="145"/>
      <c r="AT365" s="146"/>
      <c r="AU365" s="146"/>
      <c r="AV365" s="147"/>
      <c r="AW365" s="89"/>
      <c r="AX365" s="145"/>
      <c r="AY365" s="146"/>
      <c r="AZ365" s="146"/>
      <c r="BA365" s="147"/>
      <c r="BB365" s="89"/>
      <c r="BC365" s="145"/>
      <c r="BD365" s="146"/>
      <c r="BE365" s="146"/>
      <c r="BF365" s="147"/>
      <c r="BG365" s="89"/>
      <c r="BH365" s="145"/>
      <c r="BI365" s="146"/>
      <c r="BJ365" s="146"/>
      <c r="BK365" s="147"/>
      <c r="BL365" s="89"/>
      <c r="BM365" s="145"/>
      <c r="BN365" s="146"/>
      <c r="BO365" s="146"/>
      <c r="BP365" s="147"/>
      <c r="BQ365" s="89"/>
      <c r="BR365" s="87"/>
      <c r="BS365" s="87"/>
      <c r="BZ365" s="91"/>
      <c r="CA365" s="91"/>
      <c r="CB365" s="91"/>
      <c r="CC365" s="91"/>
      <c r="CD365" s="91"/>
      <c r="CE365" s="91"/>
      <c r="CF365" s="91"/>
      <c r="CG365" s="91"/>
      <c r="CH365" s="91"/>
      <c r="CI365" s="91"/>
      <c r="CJ365" s="91"/>
      <c r="CK365" s="91"/>
      <c r="CL365" s="91"/>
      <c r="CM365" s="91"/>
      <c r="CN365" s="91"/>
      <c r="CO365" s="91"/>
      <c r="CP365" s="91"/>
      <c r="CQ365" s="91"/>
      <c r="CR365" s="1018"/>
      <c r="CS365" s="1018"/>
      <c r="CT365" s="821"/>
      <c r="CU365" s="12"/>
      <c r="CV365" s="12"/>
      <c r="CW365" s="12"/>
      <c r="CX365" s="12"/>
      <c r="CY365" s="12"/>
      <c r="CZ365" s="91"/>
      <c r="DA365" s="91"/>
      <c r="DB365" s="91"/>
      <c r="DC365" s="91"/>
      <c r="DD365" s="91"/>
      <c r="DE365" s="91"/>
      <c r="DF365" s="12"/>
      <c r="DG365" s="12"/>
      <c r="DH365" s="12"/>
      <c r="DI365" s="12"/>
      <c r="DJ365" s="12"/>
      <c r="DK365" s="12"/>
      <c r="DL365" s="12"/>
      <c r="DM365" s="12"/>
      <c r="DN365" s="12"/>
    </row>
    <row r="366" spans="1:118">
      <c r="A366" s="91"/>
      <c r="B366" s="89"/>
      <c r="C366" s="1179" t="s">
        <v>575</v>
      </c>
      <c r="D366" s="89"/>
      <c r="E366" s="145"/>
      <c r="F366" s="146"/>
      <c r="G366" s="146"/>
      <c r="H366" s="147"/>
      <c r="I366" s="1057">
        <f>+AR366</f>
        <v>0.21874999999999997</v>
      </c>
      <c r="J366" s="145"/>
      <c r="K366" s="146"/>
      <c r="L366" s="146"/>
      <c r="M366" s="147"/>
      <c r="N366" s="89"/>
      <c r="O366" s="145"/>
      <c r="P366" s="146"/>
      <c r="Q366" s="146"/>
      <c r="R366" s="147"/>
      <c r="S366" s="1054"/>
      <c r="T366" s="1325"/>
      <c r="U366" s="1307"/>
      <c r="V366" s="1307"/>
      <c r="W366" s="1326"/>
      <c r="X366" s="1054"/>
      <c r="Y366" s="1325">
        <v>0</v>
      </c>
      <c r="Z366" s="1307">
        <v>0.2</v>
      </c>
      <c r="AA366" s="1307">
        <v>0.47499999999999998</v>
      </c>
      <c r="AB366" s="1326">
        <v>0.2</v>
      </c>
      <c r="AC366" s="1054">
        <f>IF(AVERAGE(Y364:AB364)=0,0,AC367/(AVERAGE(Y364:AB364)*8.76))</f>
        <v>0.21875</v>
      </c>
      <c r="AD366" s="1325">
        <v>0.1</v>
      </c>
      <c r="AE366" s="1307">
        <v>0.2</v>
      </c>
      <c r="AF366" s="1307">
        <v>0.47499999999999998</v>
      </c>
      <c r="AG366" s="1326">
        <v>0.1</v>
      </c>
      <c r="AH366" s="1054">
        <f>IF(AVERAGE(AD364:AG364)=0,0,AH367/(AVERAGE(AD364:AG364)*8.76))</f>
        <v>0.21874999999999997</v>
      </c>
      <c r="AI366" s="1325">
        <v>0.1</v>
      </c>
      <c r="AJ366" s="1307">
        <v>0.2</v>
      </c>
      <c r="AK366" s="1307">
        <v>0.47499999999999998</v>
      </c>
      <c r="AL366" s="1326">
        <v>0.1</v>
      </c>
      <c r="AM366" s="1054">
        <f>IF(AVERAGE(AI364:AL364)=0,0,AM367/(AVERAGE(AI364:AL364)*8.76))</f>
        <v>0.21874999999999997</v>
      </c>
      <c r="AN366" s="1325">
        <v>0.1</v>
      </c>
      <c r="AO366" s="1307">
        <v>0.2</v>
      </c>
      <c r="AP366" s="1307">
        <v>0.47499999999999998</v>
      </c>
      <c r="AQ366" s="1326">
        <v>0.1</v>
      </c>
      <c r="AR366" s="1054">
        <f>IF(AVERAGE(AN364:AQ364)=0,0,AR367/(AVERAGE(AN364:AQ364)*8.76))</f>
        <v>0.21874999999999997</v>
      </c>
      <c r="AS366" s="1325">
        <v>0.1</v>
      </c>
      <c r="AT366" s="1307">
        <v>0.2</v>
      </c>
      <c r="AU366" s="1307">
        <v>0.47499999999999998</v>
      </c>
      <c r="AV366" s="1326">
        <v>0.1</v>
      </c>
      <c r="AW366" s="1054">
        <f>IF(AVERAGE(AS364:AV364)=0,0,AW367/(AVERAGE(AS364:AV364)*8.76))</f>
        <v>0.2583333333333333</v>
      </c>
      <c r="AX366" s="1325">
        <v>0.1</v>
      </c>
      <c r="AY366" s="1307">
        <v>0.2</v>
      </c>
      <c r="AZ366" s="1307">
        <v>0.47499999999999998</v>
      </c>
      <c r="BA366" s="1326">
        <v>0.1</v>
      </c>
      <c r="BB366" s="1054">
        <f>IF(AVERAGE(AX364:BA364)=0,0,BB367/(AVERAGE(AX364:BA364)*8.76))</f>
        <v>0</v>
      </c>
      <c r="BC366" s="1325">
        <v>0.1</v>
      </c>
      <c r="BD366" s="1307">
        <v>0.2</v>
      </c>
      <c r="BE366" s="1307">
        <v>0.47499999999999998</v>
      </c>
      <c r="BF366" s="1326">
        <v>0.1</v>
      </c>
      <c r="BG366" s="1054">
        <f>IF(AVERAGE(BC364:BF364)=0,0,BG367/(AVERAGE(BC364:BF364)*8.76))</f>
        <v>0</v>
      </c>
      <c r="BH366" s="1325">
        <v>0.1</v>
      </c>
      <c r="BI366" s="1307">
        <v>0.2</v>
      </c>
      <c r="BJ366" s="1307">
        <v>0.47499999999999998</v>
      </c>
      <c r="BK366" s="1326">
        <v>0.1</v>
      </c>
      <c r="BL366" s="1054">
        <f>IF(AVERAGE(BH364:BK364)=0,0,BL367/(AVERAGE(BH364:BK364)*8.76))</f>
        <v>0</v>
      </c>
      <c r="BM366" s="1325">
        <v>0.1</v>
      </c>
      <c r="BN366" s="1307">
        <v>0.2</v>
      </c>
      <c r="BO366" s="1307">
        <v>0.47499999999999998</v>
      </c>
      <c r="BP366" s="1326">
        <v>0.1</v>
      </c>
      <c r="BQ366" s="1054">
        <f>IF(AVERAGE(BM364:BP364)=0,0,BQ367/(AVERAGE(BM364:BP364)*8.76))</f>
        <v>0</v>
      </c>
      <c r="BR366" s="87"/>
      <c r="BS366" s="87"/>
      <c r="BZ366" s="91"/>
      <c r="CA366" s="91"/>
      <c r="CB366" s="91"/>
      <c r="CC366" s="91"/>
      <c r="CD366" s="91"/>
      <c r="CE366" s="91"/>
      <c r="CF366" s="91"/>
      <c r="CG366" s="91"/>
      <c r="CH366" s="91"/>
      <c r="CI366" s="91"/>
      <c r="CJ366" s="91"/>
      <c r="CK366" s="91"/>
      <c r="CL366" s="91"/>
      <c r="CM366" s="91"/>
      <c r="CN366" s="91"/>
      <c r="CO366" s="91"/>
      <c r="CP366" s="91"/>
      <c r="CQ366" s="91"/>
      <c r="CR366" s="1018"/>
      <c r="CS366" s="1018"/>
      <c r="CT366" s="821"/>
      <c r="CU366" s="12"/>
      <c r="CV366" s="12"/>
      <c r="CW366" s="12"/>
      <c r="CX366" s="12"/>
      <c r="CY366" s="12"/>
      <c r="CZ366" s="91"/>
      <c r="DA366" s="91"/>
      <c r="DB366" s="91"/>
      <c r="DC366" s="91"/>
      <c r="DD366" s="91"/>
      <c r="DE366" s="91"/>
      <c r="DF366" s="12"/>
      <c r="DG366" s="12"/>
      <c r="DH366" s="12"/>
      <c r="DI366" s="12"/>
      <c r="DJ366" s="12"/>
      <c r="DK366" s="12"/>
      <c r="DL366" s="12"/>
      <c r="DM366" s="12"/>
      <c r="DN366" s="12"/>
    </row>
    <row r="367" spans="1:118">
      <c r="A367" s="91"/>
      <c r="B367" s="89"/>
      <c r="C367" s="1186" t="s">
        <v>569</v>
      </c>
      <c r="D367" s="88"/>
      <c r="E367" s="214"/>
      <c r="F367" s="148"/>
      <c r="G367" s="148"/>
      <c r="H367" s="215"/>
      <c r="I367" s="88"/>
      <c r="J367" s="214"/>
      <c r="K367" s="148"/>
      <c r="L367" s="148"/>
      <c r="M367" s="215"/>
      <c r="N367" s="88"/>
      <c r="O367" s="214"/>
      <c r="P367" s="148"/>
      <c r="Q367" s="148"/>
      <c r="R367" s="215"/>
      <c r="S367" s="88"/>
      <c r="T367" s="240"/>
      <c r="U367" s="241"/>
      <c r="V367" s="241"/>
      <c r="W367" s="1059"/>
      <c r="X367" s="242"/>
      <c r="Y367" s="240">
        <f>(Y364*Y366*(8760/1000))/4</f>
        <v>0</v>
      </c>
      <c r="Z367" s="241">
        <f>(Z364*Z366*(8760/1000))/4</f>
        <v>509.83199999999999</v>
      </c>
      <c r="AA367" s="241">
        <f>(AA364*AA366*(8760/1000))/4</f>
        <v>1210.8509999999999</v>
      </c>
      <c r="AB367" s="1059">
        <f>(AB364*AB366*(8760/1000))/4</f>
        <v>509.83199999999999</v>
      </c>
      <c r="AC367" s="242">
        <f>SUM(Y367:AB367)</f>
        <v>2230.5149999999999</v>
      </c>
      <c r="AD367" s="240">
        <f>(AD364*AD366*(8760/1000))/4</f>
        <v>156.14699999999999</v>
      </c>
      <c r="AE367" s="241">
        <f>(AE364*AE366*(8760/1000))/4</f>
        <v>312.29399999999998</v>
      </c>
      <c r="AF367" s="241">
        <f>(AF364*AF366*(8760/1000))/4</f>
        <v>741.69825000000003</v>
      </c>
      <c r="AG367" s="1059">
        <f>(AG364*AG366*(8760/1000))/4</f>
        <v>156.14699999999999</v>
      </c>
      <c r="AH367" s="242">
        <f>SUM(AD367:AG367)</f>
        <v>1366.2862499999999</v>
      </c>
      <c r="AI367" s="240">
        <f>(AI364*AI366*(8760/1000))/4</f>
        <v>156.14699999999999</v>
      </c>
      <c r="AJ367" s="241">
        <f>(AJ364*AJ366*(8760/1000))/4</f>
        <v>312.29399999999998</v>
      </c>
      <c r="AK367" s="241">
        <f>(AK364*AK366*(8760/1000))/4</f>
        <v>741.69825000000003</v>
      </c>
      <c r="AL367" s="1059">
        <f>(AL364*AL366*(8760/1000))/4</f>
        <v>156.14699999999999</v>
      </c>
      <c r="AM367" s="242">
        <f>SUM(AI367:AL367)</f>
        <v>1366.2862499999999</v>
      </c>
      <c r="AN367" s="240">
        <f>(AN364*AN366*(8760/1000))/4</f>
        <v>156.14699999999999</v>
      </c>
      <c r="AO367" s="241">
        <f>(AO364*AO366*(8760/1000))/4</f>
        <v>312.29399999999998</v>
      </c>
      <c r="AP367" s="241">
        <f>(AP364*AP366*(8760/1000))/4</f>
        <v>741.69825000000003</v>
      </c>
      <c r="AQ367" s="1059">
        <f>(AQ364*AQ366*(8760/1000))/4</f>
        <v>156.14699999999999</v>
      </c>
      <c r="AR367" s="242">
        <f>SUM(AN367:AQ367)</f>
        <v>1366.2862499999999</v>
      </c>
      <c r="AS367" s="240">
        <f>(AS364*AS366*(8760/1000))/4</f>
        <v>156.14699999999999</v>
      </c>
      <c r="AT367" s="241">
        <f>(AT364*AT366*(8760/1000))/4</f>
        <v>312.29399999999998</v>
      </c>
      <c r="AU367" s="241">
        <f>(AU364*AU366*(8760/1000))/4</f>
        <v>741.69825000000003</v>
      </c>
      <c r="AV367" s="1059">
        <f>(AV364*AV366*(8760/1000))/4</f>
        <v>0</v>
      </c>
      <c r="AW367" s="242">
        <f>SUM(AS367:AV367)</f>
        <v>1210.1392499999999</v>
      </c>
      <c r="AX367" s="240">
        <f>(AX364*AX366*(8760/1000))/4</f>
        <v>0</v>
      </c>
      <c r="AY367" s="241">
        <f>(AY364*AY366*(8760/1000))/4</f>
        <v>0</v>
      </c>
      <c r="AZ367" s="241">
        <f>(AZ364*AZ366*(8760/1000))/4</f>
        <v>0</v>
      </c>
      <c r="BA367" s="1059">
        <f>(BA364*BA366*(8760/1000))/4</f>
        <v>0</v>
      </c>
      <c r="BB367" s="242">
        <f>SUM(AX367:BA367)</f>
        <v>0</v>
      </c>
      <c r="BC367" s="240">
        <f>(BC364*BC366*(8760/1000))/4</f>
        <v>0</v>
      </c>
      <c r="BD367" s="241">
        <f>(BD364*BD366*(8760/1000))/4</f>
        <v>0</v>
      </c>
      <c r="BE367" s="241">
        <f>(BE364*BE366*(8760/1000))/4</f>
        <v>0</v>
      </c>
      <c r="BF367" s="1059">
        <f>(BF364*BF366*(8760/1000))/4</f>
        <v>0</v>
      </c>
      <c r="BG367" s="242">
        <f>SUM(BC367:BF367)</f>
        <v>0</v>
      </c>
      <c r="BH367" s="240">
        <f>(BH364*BH366*(8760/1000))/4</f>
        <v>0</v>
      </c>
      <c r="BI367" s="241">
        <f>(BI364*BI366*(8760/1000))/4</f>
        <v>0</v>
      </c>
      <c r="BJ367" s="241">
        <f>(BJ364*BJ366*(8760/1000))/4</f>
        <v>0</v>
      </c>
      <c r="BK367" s="1059">
        <f>(BK364*BK366*(8760/1000))/4</f>
        <v>0</v>
      </c>
      <c r="BL367" s="242">
        <f>SUM(BH367:BK367)</f>
        <v>0</v>
      </c>
      <c r="BM367" s="240">
        <f>(BM364*BM366*(8760/1000))/4</f>
        <v>0</v>
      </c>
      <c r="BN367" s="241">
        <f>(BN364*BN366*(8760/1000))/4</f>
        <v>0</v>
      </c>
      <c r="BO367" s="241">
        <f>(BO364*BO366*(8760/1000))/4</f>
        <v>0</v>
      </c>
      <c r="BP367" s="1059">
        <f>(BP364*BP366*(8760/1000))/4</f>
        <v>0</v>
      </c>
      <c r="BQ367" s="242">
        <f>SUM(BM367:BP367)</f>
        <v>0</v>
      </c>
      <c r="BR367" s="87"/>
      <c r="BS367" s="87"/>
      <c r="BZ367" s="91"/>
      <c r="CA367" s="91"/>
      <c r="CB367" s="91"/>
      <c r="CC367" s="91"/>
      <c r="CD367" s="91"/>
      <c r="CE367" s="91"/>
      <c r="CF367" s="91"/>
      <c r="CG367" s="91"/>
      <c r="CH367" s="91"/>
      <c r="CI367" s="91"/>
      <c r="CJ367" s="91"/>
      <c r="CK367" s="91"/>
      <c r="CL367" s="91"/>
      <c r="CM367" s="91"/>
      <c r="CN367" s="91"/>
      <c r="CO367" s="91"/>
      <c r="CP367" s="91"/>
      <c r="CQ367" s="91"/>
      <c r="CR367" s="1018"/>
      <c r="CS367" s="1018"/>
      <c r="CT367" s="821"/>
      <c r="CU367" s="12"/>
      <c r="CV367" s="12"/>
      <c r="CW367" s="12"/>
      <c r="CX367" s="12"/>
      <c r="CY367" s="12"/>
      <c r="CZ367" s="91"/>
      <c r="DA367" s="91"/>
      <c r="DB367" s="91"/>
      <c r="DC367" s="91"/>
      <c r="DD367" s="91"/>
      <c r="DE367" s="91"/>
      <c r="DF367" s="12"/>
      <c r="DG367" s="12"/>
      <c r="DH367" s="12"/>
      <c r="DI367" s="12"/>
      <c r="DJ367" s="12"/>
      <c r="DK367" s="12"/>
      <c r="DL367" s="12"/>
      <c r="DM367" s="12"/>
      <c r="DN367" s="12"/>
    </row>
    <row r="368" spans="1:118">
      <c r="A368" s="91"/>
      <c r="B368" s="89"/>
      <c r="C368" s="1184"/>
      <c r="D368" s="89"/>
      <c r="E368" s="145"/>
      <c r="F368" s="146"/>
      <c r="G368" s="146"/>
      <c r="H368" s="147"/>
      <c r="I368" s="87"/>
      <c r="J368" s="145"/>
      <c r="K368" s="146"/>
      <c r="L368" s="146"/>
      <c r="M368" s="147"/>
      <c r="N368" s="89"/>
      <c r="O368" s="145"/>
      <c r="P368" s="146"/>
      <c r="Q368" s="146"/>
      <c r="R368" s="147"/>
      <c r="S368" s="89"/>
      <c r="T368" s="145"/>
      <c r="U368" s="146"/>
      <c r="V368" s="146"/>
      <c r="W368" s="147"/>
      <c r="X368" s="89"/>
      <c r="Y368" s="145"/>
      <c r="Z368" s="146"/>
      <c r="AA368" s="146"/>
      <c r="AB368" s="147"/>
      <c r="AC368" s="89"/>
      <c r="AD368" s="145"/>
      <c r="AE368" s="146"/>
      <c r="AF368" s="146"/>
      <c r="AG368" s="147"/>
      <c r="AH368" s="89"/>
      <c r="AI368" s="145"/>
      <c r="AJ368" s="146"/>
      <c r="AK368" s="146"/>
      <c r="AL368" s="147"/>
      <c r="AM368" s="89"/>
      <c r="AN368" s="145"/>
      <c r="AO368" s="146"/>
      <c r="AP368" s="146"/>
      <c r="AQ368" s="147"/>
      <c r="AR368" s="89"/>
      <c r="AS368" s="145"/>
      <c r="AT368" s="146"/>
      <c r="AU368" s="146"/>
      <c r="AV368" s="147"/>
      <c r="AW368" s="89"/>
      <c r="AX368" s="145"/>
      <c r="AY368" s="146"/>
      <c r="AZ368" s="146"/>
      <c r="BA368" s="147"/>
      <c r="BB368" s="89"/>
      <c r="BC368" s="145"/>
      <c r="BD368" s="146"/>
      <c r="BE368" s="146"/>
      <c r="BF368" s="147"/>
      <c r="BG368" s="89"/>
      <c r="BH368" s="145"/>
      <c r="BI368" s="146"/>
      <c r="BJ368" s="146"/>
      <c r="BK368" s="147"/>
      <c r="BL368" s="89"/>
      <c r="BM368" s="145"/>
      <c r="BN368" s="146"/>
      <c r="BO368" s="146"/>
      <c r="BP368" s="147"/>
      <c r="BQ368" s="89"/>
      <c r="BR368" s="87"/>
      <c r="BS368" s="87"/>
      <c r="BZ368" s="91"/>
      <c r="CA368" s="91"/>
      <c r="CB368" s="91"/>
      <c r="CC368" s="91"/>
      <c r="CD368" s="91"/>
      <c r="CE368" s="91"/>
      <c r="CF368" s="91"/>
      <c r="CG368" s="91"/>
      <c r="CH368" s="91"/>
      <c r="CI368" s="91"/>
      <c r="CJ368" s="91"/>
      <c r="CK368" s="91"/>
      <c r="CL368" s="91"/>
      <c r="CM368" s="91"/>
      <c r="CN368" s="91"/>
      <c r="CO368" s="91"/>
      <c r="CP368" s="91"/>
      <c r="CQ368" s="91"/>
      <c r="CR368" s="1018"/>
      <c r="CS368" s="1018"/>
      <c r="CT368" s="821"/>
      <c r="CU368" s="12"/>
      <c r="CV368" s="12"/>
      <c r="CW368" s="12"/>
      <c r="CX368" s="12"/>
      <c r="CY368" s="12"/>
      <c r="CZ368" s="91"/>
      <c r="DA368" s="91"/>
      <c r="DB368" s="91"/>
      <c r="DC368" s="91"/>
      <c r="DD368" s="91"/>
      <c r="DE368" s="91"/>
      <c r="DF368" s="12"/>
      <c r="DG368" s="12"/>
      <c r="DH368" s="12"/>
      <c r="DI368" s="12"/>
      <c r="DJ368" s="12"/>
      <c r="DK368" s="12"/>
      <c r="DL368" s="12"/>
      <c r="DM368" s="12"/>
      <c r="DN368" s="12"/>
    </row>
    <row r="369" spans="1:118">
      <c r="A369" s="91"/>
      <c r="B369" s="89"/>
      <c r="C369" s="1179" t="s">
        <v>566</v>
      </c>
      <c r="D369" s="89"/>
      <c r="E369" s="145"/>
      <c r="F369" s="146"/>
      <c r="G369" s="146"/>
      <c r="H369" s="147"/>
      <c r="I369" s="87"/>
      <c r="J369" s="145"/>
      <c r="K369" s="146"/>
      <c r="L369" s="146"/>
      <c r="M369" s="147"/>
      <c r="N369" s="89"/>
      <c r="O369" s="145"/>
      <c r="P369" s="146"/>
      <c r="Q369" s="146"/>
      <c r="R369" s="147"/>
      <c r="S369" s="89"/>
      <c r="T369" s="104"/>
      <c r="U369" s="77"/>
      <c r="V369" s="77"/>
      <c r="W369" s="102"/>
      <c r="X369" s="96"/>
      <c r="Y369" s="104">
        <f>(Y361/1000*Y367)</f>
        <v>0</v>
      </c>
      <c r="Z369" s="77">
        <f>(Z361/1000*Z367)</f>
        <v>23.21280611024202</v>
      </c>
      <c r="AA369" s="77">
        <f>(AA361/1000*AA367)</f>
        <v>58.286085812088238</v>
      </c>
      <c r="AB369" s="102">
        <f>(AB361/1000*AB367)</f>
        <v>20.491925720793756</v>
      </c>
      <c r="AC369" s="96">
        <f>SUM(Y369:AB369)</f>
        <v>101.99081764312402</v>
      </c>
      <c r="AD369" s="104">
        <f>(AD361/1000*AD367)</f>
        <v>17.73495573489312</v>
      </c>
      <c r="AE369" s="77">
        <f>(AE361/1000*AE367)</f>
        <v>15.767274228550672</v>
      </c>
      <c r="AF369" s="77">
        <f>(AF361/1000*AF367)</f>
        <v>30.698674685504489</v>
      </c>
      <c r="AG369" s="102">
        <f>(AG361/1000*AG367)</f>
        <v>6.3038375272529272</v>
      </c>
      <c r="AH369" s="96">
        <f>SUM(AD369:AG369)</f>
        <v>70.504742176201205</v>
      </c>
      <c r="AI369" s="104">
        <f>(AI361/1000*AI367)</f>
        <v>8.8795765529338411</v>
      </c>
      <c r="AJ369" s="77">
        <f>(AJ361/1000*AJ367)</f>
        <v>12.225455606890723</v>
      </c>
      <c r="AK369" s="77">
        <f>(AK361/1000*AK367)</f>
        <v>29.270996688309712</v>
      </c>
      <c r="AL369" s="102">
        <f>(AL361/1000*AL367)</f>
        <v>4.9803364290051855</v>
      </c>
      <c r="AM369" s="96">
        <f>SUM(AI369:AL369)</f>
        <v>55.35636527713946</v>
      </c>
      <c r="AN369" s="104">
        <f>(AN361/1000*AN367)</f>
        <v>4.7005163510926451</v>
      </c>
      <c r="AO369" s="77">
        <f>(AO361/1000*AO367)</f>
        <v>10.212577909095163</v>
      </c>
      <c r="AP369" s="77">
        <f>(AP361/1000*AP367)</f>
        <v>28.879343332233418</v>
      </c>
      <c r="AQ369" s="102">
        <f>(AQ361/1000*AQ367)</f>
        <v>5.1949788502635128</v>
      </c>
      <c r="AR369" s="96">
        <f>SUM(AN369:AQ369)</f>
        <v>48.987416442684733</v>
      </c>
      <c r="AS369" s="104">
        <f>(AS361/1000*AS367)</f>
        <v>5.1221388305330322</v>
      </c>
      <c r="AT369" s="77">
        <f>(AT361/1000*AT367)</f>
        <v>10.244277661066064</v>
      </c>
      <c r="AU369" s="77">
        <f>(AU361/1000*AU367)</f>
        <v>26.323625967071919</v>
      </c>
      <c r="AV369" s="102">
        <f>(AV361/1000*AV367)</f>
        <v>0</v>
      </c>
      <c r="AW369" s="96">
        <f>SUM(AS369:AV369)</f>
        <v>41.690042458671016</v>
      </c>
      <c r="AX369" s="104">
        <f>(AX361/1000*AX367)</f>
        <v>0</v>
      </c>
      <c r="AY369" s="77">
        <f>(AY361/1000*AY367)</f>
        <v>0</v>
      </c>
      <c r="AZ369" s="77">
        <f>(AZ361/1000*AZ367)</f>
        <v>0</v>
      </c>
      <c r="BA369" s="102">
        <f>(BA361/1000*BA367)</f>
        <v>0</v>
      </c>
      <c r="BB369" s="96">
        <f>SUM(AX369:BA369)</f>
        <v>0</v>
      </c>
      <c r="BC369" s="104">
        <f>(BC361/1000*BC367)</f>
        <v>0</v>
      </c>
      <c r="BD369" s="77">
        <f>(BD361/1000*BD367)</f>
        <v>0</v>
      </c>
      <c r="BE369" s="77">
        <f>(BE361/1000*BE367)</f>
        <v>0</v>
      </c>
      <c r="BF369" s="102">
        <f>(BF361/1000*BF367)</f>
        <v>0</v>
      </c>
      <c r="BG369" s="96">
        <f>SUM(BC369:BF369)</f>
        <v>0</v>
      </c>
      <c r="BH369" s="104">
        <f>(BH361/1000*BH367)</f>
        <v>0</v>
      </c>
      <c r="BI369" s="77">
        <f>(BI361/1000*BI367)</f>
        <v>0</v>
      </c>
      <c r="BJ369" s="77">
        <f>(BJ361/1000*BJ367)</f>
        <v>0</v>
      </c>
      <c r="BK369" s="102">
        <f>(BK361/1000*BK367)</f>
        <v>0</v>
      </c>
      <c r="BL369" s="96">
        <f>SUM(BH369:BK369)</f>
        <v>0</v>
      </c>
      <c r="BM369" s="104">
        <f>(BM361/1000*BM367)</f>
        <v>0</v>
      </c>
      <c r="BN369" s="77">
        <f>(BN361/1000*BN367)</f>
        <v>0</v>
      </c>
      <c r="BO369" s="77">
        <f>(BO361/1000*BO367)</f>
        <v>0</v>
      </c>
      <c r="BP369" s="102">
        <f>(BP361/1000*BP367)</f>
        <v>0</v>
      </c>
      <c r="BQ369" s="96">
        <f>SUM(BM369:BP369)</f>
        <v>0</v>
      </c>
      <c r="BR369" s="87"/>
      <c r="BS369" s="87"/>
      <c r="BZ369" s="91"/>
      <c r="CA369" s="91"/>
      <c r="CB369" s="91"/>
      <c r="CC369" s="91"/>
      <c r="CD369" s="91"/>
      <c r="CE369" s="91"/>
      <c r="CF369" s="91"/>
      <c r="CG369" s="91"/>
      <c r="CH369" s="91"/>
      <c r="CI369" s="91"/>
      <c r="CJ369" s="91"/>
      <c r="CK369" s="91"/>
      <c r="CL369" s="91"/>
      <c r="CM369" s="91"/>
      <c r="CN369" s="91"/>
      <c r="CO369" s="91"/>
      <c r="CP369" s="91"/>
      <c r="CQ369" s="91"/>
      <c r="CR369" s="1018"/>
      <c r="CS369" s="1018"/>
      <c r="CT369" s="821"/>
      <c r="CU369" s="12"/>
      <c r="CV369" s="12"/>
      <c r="CW369" s="12"/>
      <c r="CX369" s="12"/>
      <c r="CY369" s="12"/>
      <c r="CZ369" s="91"/>
      <c r="DA369" s="91"/>
      <c r="DB369" s="91"/>
      <c r="DC369" s="91"/>
      <c r="DD369" s="91"/>
      <c r="DE369" s="91"/>
      <c r="DF369" s="12"/>
      <c r="DG369" s="12"/>
      <c r="DH369" s="12"/>
      <c r="DI369" s="12"/>
      <c r="DJ369" s="12"/>
      <c r="DK369" s="12"/>
      <c r="DL369" s="12"/>
      <c r="DM369" s="12"/>
      <c r="DN369" s="12"/>
    </row>
    <row r="370" spans="1:118">
      <c r="A370" s="91"/>
      <c r="B370" s="89"/>
      <c r="C370" s="1179" t="s">
        <v>683</v>
      </c>
      <c r="D370" s="89"/>
      <c r="E370" s="145"/>
      <c r="F370" s="146"/>
      <c r="G370" s="146"/>
      <c r="H370" s="147"/>
      <c r="I370" s="87"/>
      <c r="J370" s="145"/>
      <c r="K370" s="146"/>
      <c r="L370" s="146"/>
      <c r="M370" s="147"/>
      <c r="N370" s="89"/>
      <c r="O370" s="145"/>
      <c r="P370" s="146"/>
      <c r="Q370" s="146"/>
      <c r="R370" s="147"/>
      <c r="S370" s="89"/>
      <c r="T370" s="104"/>
      <c r="U370" s="77"/>
      <c r="V370" s="77"/>
      <c r="W370" s="102"/>
      <c r="X370" s="96"/>
      <c r="Y370" s="104">
        <f t="shared" ref="Y370:AB370" si="628">Y362/1000*Y367</f>
        <v>0</v>
      </c>
      <c r="Z370" s="77">
        <f t="shared" si="628"/>
        <v>18.871538877954979</v>
      </c>
      <c r="AA370" s="77">
        <f t="shared" si="628"/>
        <v>43.086614389869808</v>
      </c>
      <c r="AB370" s="102">
        <f t="shared" si="628"/>
        <v>19.759745834268301</v>
      </c>
      <c r="AC370" s="96">
        <f>SUM(Y370:AB370)</f>
        <v>81.717899102093085</v>
      </c>
      <c r="AD370" s="104">
        <f t="shared" ref="AD370:AG370" si="629">AD362/1000*AD367</f>
        <v>15.279134475212967</v>
      </c>
      <c r="AE370" s="77">
        <f t="shared" si="629"/>
        <v>11.976737772473559</v>
      </c>
      <c r="AF370" s="77">
        <f t="shared" si="629"/>
        <v>25.415241773493271</v>
      </c>
      <c r="AG370" s="102">
        <f t="shared" si="629"/>
        <v>5.8463147181587898</v>
      </c>
      <c r="AH370" s="96">
        <f>SUM(AD370:AG370)</f>
        <v>58.517428739338584</v>
      </c>
      <c r="AI370" s="104">
        <f t="shared" ref="AI370:AL370" si="630">AI362/1000*AI367</f>
        <v>8.6305890872873103</v>
      </c>
      <c r="AJ370" s="77">
        <f t="shared" si="630"/>
        <v>9.7703395407249793</v>
      </c>
      <c r="AK370" s="77">
        <f t="shared" si="630"/>
        <v>21.532256022615897</v>
      </c>
      <c r="AL370" s="102">
        <f t="shared" si="630"/>
        <v>4.3153295803741809</v>
      </c>
      <c r="AM370" s="96">
        <f>SUM(AI370:AL370)</f>
        <v>44.248514231002368</v>
      </c>
      <c r="AN370" s="104">
        <f t="shared" ref="AN370:AQ370" si="631">AN362/1000*AN367</f>
        <v>4.6822480368145651</v>
      </c>
      <c r="AO370" s="77">
        <f t="shared" si="631"/>
        <v>8.3018004159781622</v>
      </c>
      <c r="AP370" s="77">
        <f t="shared" si="631"/>
        <v>21.240476434413804</v>
      </c>
      <c r="AQ370" s="102">
        <f t="shared" si="631"/>
        <v>4.9302920835771111</v>
      </c>
      <c r="AR370" s="96">
        <f>SUM(AN370:AQ370)</f>
        <v>39.154816970783642</v>
      </c>
      <c r="AS370" s="104">
        <f t="shared" ref="AS370" si="632">AS362/1000*AS367</f>
        <v>4.3177125165658286</v>
      </c>
      <c r="AT370" s="77">
        <f t="shared" ref="AT370:AV370" si="633">AT362/1000*AT367</f>
        <v>8.6354250331316571</v>
      </c>
      <c r="AU370" s="77">
        <f t="shared" ref="AU370" si="634">AU362/1000*AU367</f>
        <v>20.349399620660979</v>
      </c>
      <c r="AV370" s="102">
        <f t="shared" si="633"/>
        <v>0</v>
      </c>
      <c r="AW370" s="96">
        <f>SUM(AS370:AV370)</f>
        <v>33.302537170358463</v>
      </c>
      <c r="AX370" s="104">
        <f t="shared" ref="AX370:BA370" si="635">AX362/1000*AX367</f>
        <v>0</v>
      </c>
      <c r="AY370" s="77">
        <f t="shared" si="635"/>
        <v>0</v>
      </c>
      <c r="AZ370" s="77">
        <f t="shared" si="635"/>
        <v>0</v>
      </c>
      <c r="BA370" s="102">
        <f t="shared" si="635"/>
        <v>0</v>
      </c>
      <c r="BB370" s="96">
        <f>SUM(AX370:BA370)</f>
        <v>0</v>
      </c>
      <c r="BC370" s="104">
        <f t="shared" ref="BC370:BF370" si="636">BC362/1000*BC367</f>
        <v>0</v>
      </c>
      <c r="BD370" s="77">
        <f t="shared" si="636"/>
        <v>0</v>
      </c>
      <c r="BE370" s="77">
        <f t="shared" si="636"/>
        <v>0</v>
      </c>
      <c r="BF370" s="102">
        <f t="shared" si="636"/>
        <v>0</v>
      </c>
      <c r="BG370" s="96">
        <f>SUM(BC370:BF370)</f>
        <v>0</v>
      </c>
      <c r="BH370" s="104">
        <f t="shared" ref="BH370:BK370" si="637">BH362/1000*BH367</f>
        <v>0</v>
      </c>
      <c r="BI370" s="77">
        <f t="shared" si="637"/>
        <v>0</v>
      </c>
      <c r="BJ370" s="77">
        <f t="shared" si="637"/>
        <v>0</v>
      </c>
      <c r="BK370" s="102">
        <f t="shared" si="637"/>
        <v>0</v>
      </c>
      <c r="BL370" s="96">
        <f>SUM(BH370:BK370)</f>
        <v>0</v>
      </c>
      <c r="BM370" s="104">
        <f t="shared" ref="BM370:BP370" si="638">BM362/1000*BM367</f>
        <v>0</v>
      </c>
      <c r="BN370" s="77">
        <f t="shared" si="638"/>
        <v>0</v>
      </c>
      <c r="BO370" s="77">
        <f t="shared" si="638"/>
        <v>0</v>
      </c>
      <c r="BP370" s="102">
        <f t="shared" si="638"/>
        <v>0</v>
      </c>
      <c r="BQ370" s="96">
        <f>SUM(BM370:BP370)</f>
        <v>0</v>
      </c>
      <c r="BR370" s="87"/>
      <c r="BS370" s="87"/>
      <c r="BZ370" s="91"/>
      <c r="CA370" s="91"/>
      <c r="CB370" s="91"/>
      <c r="CC370" s="91"/>
      <c r="CD370" s="91"/>
      <c r="CE370" s="91"/>
      <c r="CF370" s="91"/>
      <c r="CG370" s="91"/>
      <c r="CH370" s="91"/>
      <c r="CI370" s="91"/>
      <c r="CJ370" s="91"/>
      <c r="CK370" s="91"/>
      <c r="CL370" s="91"/>
      <c r="CM370" s="91"/>
      <c r="CN370" s="91"/>
      <c r="CO370" s="91"/>
      <c r="CP370" s="91"/>
      <c r="CQ370" s="91"/>
      <c r="CR370" s="1018"/>
      <c r="CS370" s="1018"/>
      <c r="CT370" s="821"/>
      <c r="CU370" s="12"/>
      <c r="CV370" s="12"/>
      <c r="CW370" s="12"/>
      <c r="CX370" s="12"/>
      <c r="CY370" s="12"/>
      <c r="CZ370" s="91"/>
      <c r="DA370" s="91"/>
      <c r="DB370" s="91"/>
      <c r="DC370" s="91"/>
      <c r="DD370" s="91"/>
      <c r="DE370" s="91"/>
      <c r="DF370" s="12"/>
      <c r="DG370" s="12"/>
      <c r="DH370" s="12"/>
      <c r="DI370" s="12"/>
      <c r="DJ370" s="12"/>
      <c r="DK370" s="12"/>
      <c r="DL370" s="12"/>
      <c r="DM370" s="12"/>
      <c r="DN370" s="12"/>
    </row>
    <row r="371" spans="1:118">
      <c r="A371" s="91"/>
      <c r="B371" s="89"/>
      <c r="C371" s="1186" t="s">
        <v>567</v>
      </c>
      <c r="D371" s="88"/>
      <c r="E371" s="214"/>
      <c r="F371" s="148"/>
      <c r="G371" s="148"/>
      <c r="H371" s="215"/>
      <c r="I371" s="87"/>
      <c r="J371" s="214"/>
      <c r="K371" s="148"/>
      <c r="L371" s="148"/>
      <c r="M371" s="215"/>
      <c r="N371" s="88"/>
      <c r="O371" s="214"/>
      <c r="P371" s="148"/>
      <c r="Q371" s="148"/>
      <c r="R371" s="215"/>
      <c r="S371" s="88"/>
      <c r="T371" s="106"/>
      <c r="U371" s="76"/>
      <c r="V371" s="76"/>
      <c r="W371" s="107"/>
      <c r="X371" s="93"/>
      <c r="Y371" s="106">
        <f t="shared" ref="Y371:AR371" si="639">Y369-Y370</f>
        <v>0</v>
      </c>
      <c r="Z371" s="76">
        <f t="shared" si="639"/>
        <v>4.3412672322870414</v>
      </c>
      <c r="AA371" s="76">
        <f t="shared" si="639"/>
        <v>15.19947142221843</v>
      </c>
      <c r="AB371" s="107">
        <f>AB369-AB370</f>
        <v>0.73217988652545429</v>
      </c>
      <c r="AC371" s="93">
        <f>AC369-AC370</f>
        <v>20.272918541030933</v>
      </c>
      <c r="AD371" s="106">
        <f t="shared" si="639"/>
        <v>2.4558212596801532</v>
      </c>
      <c r="AE371" s="76">
        <f>AE369-AE370</f>
        <v>3.7905364560771133</v>
      </c>
      <c r="AF371" s="76">
        <f>AF369-AF370</f>
        <v>5.283432912011218</v>
      </c>
      <c r="AG371" s="107">
        <f>AG369-AG370</f>
        <v>0.45752280909413745</v>
      </c>
      <c r="AH371" s="93">
        <f t="shared" si="639"/>
        <v>11.987313436862621</v>
      </c>
      <c r="AI371" s="106">
        <f t="shared" si="639"/>
        <v>0.24898746564653074</v>
      </c>
      <c r="AJ371" s="76">
        <f t="shared" si="639"/>
        <v>2.4551160661657434</v>
      </c>
      <c r="AK371" s="76">
        <f t="shared" si="639"/>
        <v>7.7387406656938147</v>
      </c>
      <c r="AL371" s="107">
        <f t="shared" si="639"/>
        <v>0.66500684863100457</v>
      </c>
      <c r="AM371" s="93">
        <f t="shared" si="639"/>
        <v>11.107851046137093</v>
      </c>
      <c r="AN371" s="106">
        <f t="shared" si="639"/>
        <v>1.8268314278079956E-2</v>
      </c>
      <c r="AO371" s="76">
        <f t="shared" si="639"/>
        <v>1.910777493117001</v>
      </c>
      <c r="AP371" s="76">
        <f t="shared" ref="AP371" si="640">AP369-AP370</f>
        <v>7.6388668978196144</v>
      </c>
      <c r="AQ371" s="107">
        <f t="shared" si="639"/>
        <v>0.26468676668640168</v>
      </c>
      <c r="AR371" s="93">
        <f t="shared" si="639"/>
        <v>9.8325994719010907</v>
      </c>
      <c r="AS371" s="106">
        <f t="shared" ref="AS371" si="641">AS369-AS370</f>
        <v>0.80442631396720365</v>
      </c>
      <c r="AT371" s="76">
        <f t="shared" ref="AT371:BB371" si="642">AT369-AT370</f>
        <v>1.6088526279344073</v>
      </c>
      <c r="AU371" s="76">
        <f t="shared" ref="AU371" si="643">AU369-AU370</f>
        <v>5.9742263464109406</v>
      </c>
      <c r="AV371" s="107">
        <f t="shared" si="642"/>
        <v>0</v>
      </c>
      <c r="AW371" s="93">
        <f t="shared" si="642"/>
        <v>8.3875052883125534</v>
      </c>
      <c r="AX371" s="106">
        <f t="shared" si="642"/>
        <v>0</v>
      </c>
      <c r="AY371" s="76">
        <f t="shared" si="642"/>
        <v>0</v>
      </c>
      <c r="AZ371" s="76">
        <f t="shared" si="642"/>
        <v>0</v>
      </c>
      <c r="BA371" s="107">
        <f t="shared" si="642"/>
        <v>0</v>
      </c>
      <c r="BB371" s="93">
        <f t="shared" si="642"/>
        <v>0</v>
      </c>
      <c r="BC371" s="106">
        <f t="shared" ref="BC371:BL371" si="644">BC369-BC370</f>
        <v>0</v>
      </c>
      <c r="BD371" s="76">
        <f t="shared" si="644"/>
        <v>0</v>
      </c>
      <c r="BE371" s="76">
        <f t="shared" si="644"/>
        <v>0</v>
      </c>
      <c r="BF371" s="107">
        <f t="shared" si="644"/>
        <v>0</v>
      </c>
      <c r="BG371" s="93">
        <f t="shared" si="644"/>
        <v>0</v>
      </c>
      <c r="BH371" s="106">
        <f t="shared" si="644"/>
        <v>0</v>
      </c>
      <c r="BI371" s="76">
        <f t="shared" si="644"/>
        <v>0</v>
      </c>
      <c r="BJ371" s="76">
        <f t="shared" si="644"/>
        <v>0</v>
      </c>
      <c r="BK371" s="107">
        <f t="shared" si="644"/>
        <v>0</v>
      </c>
      <c r="BL371" s="93">
        <f t="shared" si="644"/>
        <v>0</v>
      </c>
      <c r="BM371" s="106">
        <f t="shared" ref="BM371:BQ371" si="645">BM369-BM370</f>
        <v>0</v>
      </c>
      <c r="BN371" s="76">
        <f t="shared" si="645"/>
        <v>0</v>
      </c>
      <c r="BO371" s="76">
        <f t="shared" si="645"/>
        <v>0</v>
      </c>
      <c r="BP371" s="107">
        <f t="shared" si="645"/>
        <v>0</v>
      </c>
      <c r="BQ371" s="93">
        <f t="shared" si="645"/>
        <v>0</v>
      </c>
      <c r="BR371" s="87"/>
      <c r="BS371" s="87"/>
      <c r="BZ371" s="91"/>
      <c r="CA371" s="91"/>
      <c r="CB371" s="91"/>
      <c r="CC371" s="91"/>
      <c r="CD371" s="91"/>
      <c r="CE371" s="91"/>
      <c r="CF371" s="91"/>
      <c r="CG371" s="91"/>
      <c r="CH371" s="91"/>
      <c r="CI371" s="91"/>
      <c r="CJ371" s="91"/>
      <c r="CK371" s="91"/>
      <c r="CL371" s="91"/>
      <c r="CM371" s="91"/>
      <c r="CN371" s="91"/>
      <c r="CO371" s="91"/>
      <c r="CP371" s="91"/>
      <c r="CQ371" s="91"/>
      <c r="CR371" s="1018"/>
      <c r="CS371" s="1018"/>
      <c r="CT371" s="821"/>
      <c r="CU371" s="12"/>
      <c r="CV371" s="12"/>
      <c r="CW371" s="12"/>
      <c r="CX371" s="12"/>
      <c r="CY371" s="12"/>
      <c r="CZ371" s="91"/>
      <c r="DA371" s="91"/>
      <c r="DB371" s="91"/>
      <c r="DC371" s="91"/>
      <c r="DD371" s="91"/>
      <c r="DE371" s="91"/>
      <c r="DF371" s="12"/>
      <c r="DG371" s="12"/>
      <c r="DH371" s="12"/>
      <c r="DI371" s="12"/>
      <c r="DJ371" s="12"/>
      <c r="DK371" s="12"/>
      <c r="DL371" s="12"/>
      <c r="DM371" s="12"/>
      <c r="DN371" s="12"/>
    </row>
    <row r="372" spans="1:118">
      <c r="A372" s="91"/>
      <c r="B372" s="88"/>
      <c r="C372" s="1186"/>
      <c r="D372" s="88"/>
      <c r="E372" s="214"/>
      <c r="F372" s="148"/>
      <c r="G372" s="148"/>
      <c r="H372" s="215"/>
      <c r="I372" s="88"/>
      <c r="J372" s="214"/>
      <c r="K372" s="148"/>
      <c r="L372" s="148"/>
      <c r="M372" s="215"/>
      <c r="N372" s="88"/>
      <c r="O372" s="214"/>
      <c r="P372" s="148"/>
      <c r="Q372" s="148"/>
      <c r="R372" s="215"/>
      <c r="S372" s="88"/>
      <c r="T372" s="106"/>
      <c r="U372" s="76"/>
      <c r="V372" s="76"/>
      <c r="W372" s="107"/>
      <c r="X372" s="308"/>
      <c r="Y372" s="106"/>
      <c r="Z372" s="76"/>
      <c r="AA372" s="76"/>
      <c r="AB372" s="107"/>
      <c r="AC372" s="308"/>
      <c r="AD372" s="106"/>
      <c r="AE372" s="76"/>
      <c r="AF372" s="76"/>
      <c r="AG372" s="107"/>
      <c r="AH372" s="308"/>
      <c r="AI372" s="106"/>
      <c r="AJ372" s="76"/>
      <c r="AK372" s="76"/>
      <c r="AL372" s="107"/>
      <c r="AM372" s="308"/>
      <c r="AN372" s="106"/>
      <c r="AO372" s="76"/>
      <c r="AP372" s="76"/>
      <c r="AQ372" s="107"/>
      <c r="AR372" s="308"/>
      <c r="AS372" s="106"/>
      <c r="AT372" s="76"/>
      <c r="AU372" s="76"/>
      <c r="AV372" s="107"/>
      <c r="AW372" s="308"/>
      <c r="AX372" s="106"/>
      <c r="AY372" s="76"/>
      <c r="AZ372" s="76"/>
      <c r="BA372" s="107"/>
      <c r="BB372" s="308"/>
      <c r="BC372" s="106"/>
      <c r="BD372" s="76"/>
      <c r="BE372" s="76"/>
      <c r="BF372" s="107"/>
      <c r="BG372" s="308"/>
      <c r="BH372" s="106"/>
      <c r="BI372" s="76"/>
      <c r="BJ372" s="76"/>
      <c r="BK372" s="107"/>
      <c r="BL372" s="308"/>
      <c r="BM372" s="106"/>
      <c r="BN372" s="76"/>
      <c r="BO372" s="76"/>
      <c r="BP372" s="107"/>
      <c r="BQ372" s="308"/>
      <c r="BR372" s="87"/>
      <c r="BS372" s="87"/>
      <c r="BZ372" s="91"/>
      <c r="CA372" s="91"/>
      <c r="CB372" s="91"/>
      <c r="CC372" s="91"/>
      <c r="CD372" s="91"/>
      <c r="CE372" s="91"/>
      <c r="CF372" s="91"/>
      <c r="CG372" s="91"/>
      <c r="CH372" s="91"/>
      <c r="CI372" s="91"/>
      <c r="CJ372" s="91"/>
      <c r="CK372" s="91"/>
      <c r="CL372" s="91"/>
      <c r="CM372" s="91"/>
      <c r="CN372" s="91"/>
      <c r="CO372" s="91"/>
      <c r="CP372" s="91"/>
      <c r="CQ372" s="91"/>
      <c r="CR372" s="1018"/>
      <c r="CS372" s="1018"/>
      <c r="CT372" s="821"/>
      <c r="CU372" s="12"/>
      <c r="CV372" s="12"/>
      <c r="CW372" s="12"/>
      <c r="CX372" s="12"/>
      <c r="CY372" s="12"/>
      <c r="CZ372" s="91"/>
      <c r="DA372" s="91"/>
      <c r="DB372" s="91"/>
      <c r="DC372" s="91"/>
      <c r="DD372" s="91"/>
      <c r="DE372" s="91"/>
      <c r="DF372" s="12"/>
      <c r="DG372" s="12"/>
      <c r="DH372" s="12"/>
      <c r="DI372" s="12"/>
      <c r="DJ372" s="12"/>
      <c r="DK372" s="12"/>
      <c r="DL372" s="12"/>
      <c r="DM372" s="12"/>
      <c r="DN372" s="12"/>
    </row>
    <row r="373" spans="1:118">
      <c r="A373" s="91"/>
      <c r="B373" s="89"/>
      <c r="C373" s="1255" t="s">
        <v>372</v>
      </c>
      <c r="D373" s="89"/>
      <c r="E373" s="145"/>
      <c r="F373" s="146"/>
      <c r="G373" s="146"/>
      <c r="H373" s="147"/>
      <c r="I373" s="87"/>
      <c r="J373" s="145"/>
      <c r="K373" s="146"/>
      <c r="L373" s="146"/>
      <c r="M373" s="147"/>
      <c r="N373" s="89"/>
      <c r="O373" s="145"/>
      <c r="P373" s="146"/>
      <c r="Q373" s="146"/>
      <c r="R373" s="147"/>
      <c r="S373" s="89"/>
      <c r="T373" s="145"/>
      <c r="U373" s="146"/>
      <c r="V373" s="146"/>
      <c r="W373" s="147"/>
      <c r="X373" s="89"/>
      <c r="Y373" s="145"/>
      <c r="Z373" s="146"/>
      <c r="AA373" s="146"/>
      <c r="AB373" s="147"/>
      <c r="AC373" s="89"/>
      <c r="AD373" s="145"/>
      <c r="AE373" s="146"/>
      <c r="AF373" s="146"/>
      <c r="AG373" s="147"/>
      <c r="AH373" s="89"/>
      <c r="AI373" s="145"/>
      <c r="AJ373" s="146"/>
      <c r="AK373" s="146"/>
      <c r="AL373" s="147"/>
      <c r="AM373" s="89"/>
      <c r="AN373" s="145"/>
      <c r="AO373" s="146"/>
      <c r="AP373" s="146"/>
      <c r="AQ373" s="147"/>
      <c r="AR373" s="89"/>
      <c r="AS373" s="145"/>
      <c r="AT373" s="146"/>
      <c r="AU373" s="146"/>
      <c r="AV373" s="147"/>
      <c r="AW373" s="89"/>
      <c r="AX373" s="145"/>
      <c r="AY373" s="146"/>
      <c r="AZ373" s="146"/>
      <c r="BA373" s="147"/>
      <c r="BB373" s="89"/>
      <c r="BC373" s="145"/>
      <c r="BD373" s="146"/>
      <c r="BE373" s="146"/>
      <c r="BF373" s="147"/>
      <c r="BG373" s="89"/>
      <c r="BH373" s="145"/>
      <c r="BI373" s="146"/>
      <c r="BJ373" s="146"/>
      <c r="BK373" s="147"/>
      <c r="BL373" s="89"/>
      <c r="BM373" s="145"/>
      <c r="BN373" s="146"/>
      <c r="BO373" s="146"/>
      <c r="BP373" s="147"/>
      <c r="BQ373" s="89"/>
      <c r="BR373" s="87"/>
      <c r="BS373" s="87"/>
      <c r="BZ373" s="91"/>
      <c r="CA373" s="91"/>
      <c r="CB373" s="91"/>
      <c r="CC373" s="91"/>
      <c r="CD373" s="91"/>
      <c r="CE373" s="91"/>
      <c r="CF373" s="91"/>
      <c r="CG373" s="91"/>
      <c r="CH373" s="91"/>
      <c r="CI373" s="91"/>
      <c r="CJ373" s="91"/>
      <c r="CK373" s="91"/>
      <c r="CL373" s="91"/>
      <c r="CM373" s="91"/>
      <c r="CN373" s="91"/>
      <c r="CO373" s="91"/>
      <c r="CP373" s="91"/>
      <c r="CQ373" s="91"/>
      <c r="CR373" s="1018"/>
      <c r="CS373" s="1018"/>
      <c r="CT373" s="821"/>
      <c r="CU373" s="12"/>
      <c r="CV373" s="12"/>
      <c r="CW373" s="12"/>
      <c r="CX373" s="12"/>
      <c r="CY373" s="12"/>
      <c r="CZ373" s="91"/>
      <c r="DA373" s="91"/>
      <c r="DB373" s="91"/>
      <c r="DC373" s="91"/>
      <c r="DD373" s="91"/>
      <c r="DE373" s="91"/>
      <c r="DF373" s="12"/>
      <c r="DG373" s="12"/>
      <c r="DH373" s="12"/>
      <c r="DI373" s="12"/>
      <c r="DJ373" s="12"/>
      <c r="DK373" s="12"/>
      <c r="DL373" s="12"/>
      <c r="DM373" s="12"/>
      <c r="DN373" s="12"/>
    </row>
    <row r="374" spans="1:118">
      <c r="A374" s="91"/>
      <c r="B374" s="89"/>
      <c r="C374" s="1179" t="s">
        <v>572</v>
      </c>
      <c r="D374" s="89"/>
      <c r="E374" s="145"/>
      <c r="F374" s="146"/>
      <c r="G374" s="146"/>
      <c r="H374" s="147"/>
      <c r="I374" s="87"/>
      <c r="J374" s="145"/>
      <c r="K374" s="146"/>
      <c r="L374" s="146"/>
      <c r="M374" s="147"/>
      <c r="N374" s="89"/>
      <c r="O374" s="145"/>
      <c r="P374" s="146"/>
      <c r="Q374" s="146"/>
      <c r="R374" s="147"/>
      <c r="S374" s="89"/>
      <c r="T374" s="342"/>
      <c r="U374" s="150"/>
      <c r="V374" s="150"/>
      <c r="W374" s="343"/>
      <c r="X374" s="327"/>
      <c r="Y374" s="342">
        <f>Y$69</f>
        <v>37.529145254982318</v>
      </c>
      <c r="Z374" s="150">
        <f t="shared" ref="Z374:BQ374" si="646">Z$69</f>
        <v>37.173283024812193</v>
      </c>
      <c r="AA374" s="150">
        <f t="shared" si="646"/>
        <v>37.809993801456365</v>
      </c>
      <c r="AB374" s="343">
        <f t="shared" si="646"/>
        <v>35.370000250611412</v>
      </c>
      <c r="AC374" s="327">
        <f t="shared" si="646"/>
        <v>36.970605582965575</v>
      </c>
      <c r="AD374" s="342">
        <f t="shared" si="646"/>
        <v>95.047234040126796</v>
      </c>
      <c r="AE374" s="150">
        <f t="shared" si="646"/>
        <v>40.089419338829643</v>
      </c>
      <c r="AF374" s="150">
        <f t="shared" si="646"/>
        <v>34.051950399615748</v>
      </c>
      <c r="AG374" s="343">
        <f t="shared" si="646"/>
        <v>34.901567158330494</v>
      </c>
      <c r="AH374" s="327">
        <f t="shared" si="646"/>
        <v>51.022542734225667</v>
      </c>
      <c r="AI374" s="342">
        <f t="shared" si="646"/>
        <v>50.226045196540731</v>
      </c>
      <c r="AJ374" s="150">
        <f t="shared" si="646"/>
        <v>31.734948543288006</v>
      </c>
      <c r="AK374" s="150">
        <f t="shared" si="646"/>
        <v>30.938823108246229</v>
      </c>
      <c r="AL374" s="343">
        <f t="shared" si="646"/>
        <v>26.757467178585685</v>
      </c>
      <c r="AM374" s="327">
        <f t="shared" si="646"/>
        <v>34.914321006665162</v>
      </c>
      <c r="AN374" s="342">
        <f t="shared" si="646"/>
        <v>26.893180414808633</v>
      </c>
      <c r="AO374" s="150">
        <f t="shared" si="646"/>
        <v>26.698337725127704</v>
      </c>
      <c r="AP374" s="150">
        <f t="shared" si="646"/>
        <v>30.522774167614216</v>
      </c>
      <c r="AQ374" s="343">
        <f t="shared" si="646"/>
        <v>29.064520157143946</v>
      </c>
      <c r="AR374" s="327">
        <f t="shared" si="646"/>
        <v>28.294703116173622</v>
      </c>
      <c r="AS374" s="342">
        <f t="shared" si="646"/>
        <v>27.195240391815652</v>
      </c>
      <c r="AT374" s="150">
        <f t="shared" si="646"/>
        <v>27.195240391815652</v>
      </c>
      <c r="AU374" s="150">
        <f t="shared" si="646"/>
        <v>28.381447812552842</v>
      </c>
      <c r="AV374" s="343">
        <f t="shared" si="646"/>
        <v>32.844526318856978</v>
      </c>
      <c r="AW374" s="327">
        <f t="shared" si="646"/>
        <v>28.904113728760283</v>
      </c>
      <c r="AX374" s="342">
        <f t="shared" si="646"/>
        <v>45.867998598236575</v>
      </c>
      <c r="AY374" s="150">
        <f t="shared" si="646"/>
        <v>29.486249999999998</v>
      </c>
      <c r="AZ374" s="150">
        <f t="shared" si="646"/>
        <v>30.53875</v>
      </c>
      <c r="BA374" s="343">
        <f t="shared" si="646"/>
        <v>29.958333333333332</v>
      </c>
      <c r="BB374" s="327">
        <f t="shared" si="646"/>
        <v>33.962832982892479</v>
      </c>
      <c r="BC374" s="342">
        <f t="shared" si="646"/>
        <v>36.411008920272678</v>
      </c>
      <c r="BD374" s="150">
        <f t="shared" si="646"/>
        <v>24.928925623239095</v>
      </c>
      <c r="BE374" s="150">
        <f t="shared" si="646"/>
        <v>26.024761343176365</v>
      </c>
      <c r="BF374" s="343">
        <f t="shared" si="646"/>
        <v>35.294069946441873</v>
      </c>
      <c r="BG374" s="327">
        <f t="shared" si="646"/>
        <v>30.664691458282505</v>
      </c>
      <c r="BH374" s="342">
        <f t="shared" si="646"/>
        <v>36.170673212450552</v>
      </c>
      <c r="BI374" s="150">
        <f t="shared" si="646"/>
        <v>24.77270462284223</v>
      </c>
      <c r="BJ374" s="150">
        <f t="shared" si="646"/>
        <v>25.866446502489296</v>
      </c>
      <c r="BK374" s="343">
        <f t="shared" si="646"/>
        <v>35.060013162147939</v>
      </c>
      <c r="BL374" s="327">
        <f t="shared" si="646"/>
        <v>30.467459374982504</v>
      </c>
      <c r="BM374" s="342">
        <f t="shared" si="646"/>
        <v>37.084970020534421</v>
      </c>
      <c r="BN374" s="150">
        <f t="shared" si="646"/>
        <v>22.297008380401348</v>
      </c>
      <c r="BO374" s="150">
        <f t="shared" si="646"/>
        <v>21.904548204307901</v>
      </c>
      <c r="BP374" s="343">
        <f t="shared" si="646"/>
        <v>36.837348811522986</v>
      </c>
      <c r="BQ374" s="327">
        <f t="shared" si="646"/>
        <v>29.530968854191663</v>
      </c>
      <c r="BR374" s="87"/>
      <c r="BS374" s="87"/>
      <c r="BZ374" s="91"/>
      <c r="CA374" s="91"/>
      <c r="CB374" s="91"/>
      <c r="CC374" s="91"/>
      <c r="CD374" s="91"/>
      <c r="CE374" s="91"/>
      <c r="CF374" s="91"/>
      <c r="CG374" s="91"/>
      <c r="CH374" s="91"/>
      <c r="CI374" s="91"/>
      <c r="CJ374" s="91"/>
      <c r="CK374" s="91"/>
      <c r="CL374" s="91"/>
      <c r="CM374" s="91"/>
      <c r="CN374" s="91"/>
      <c r="CO374" s="91"/>
      <c r="CP374" s="91"/>
      <c r="CQ374" s="91"/>
      <c r="CR374" s="1018"/>
      <c r="CS374" s="1018"/>
      <c r="CT374" s="821"/>
      <c r="CU374" s="12"/>
      <c r="CV374" s="12"/>
      <c r="CW374" s="12"/>
      <c r="CX374" s="12"/>
      <c r="CY374" s="12"/>
      <c r="CZ374" s="91"/>
      <c r="DA374" s="91"/>
      <c r="DB374" s="91"/>
      <c r="DC374" s="91"/>
      <c r="DD374" s="91"/>
      <c r="DE374" s="91"/>
      <c r="DF374" s="12"/>
      <c r="DG374" s="12"/>
      <c r="DH374" s="12"/>
      <c r="DI374" s="12"/>
      <c r="DJ374" s="12"/>
      <c r="DK374" s="12"/>
      <c r="DL374" s="12"/>
      <c r="DM374" s="12"/>
      <c r="DN374" s="12"/>
    </row>
    <row r="375" spans="1:118">
      <c r="A375" s="91"/>
      <c r="B375" s="89"/>
      <c r="C375" s="1179" t="s">
        <v>573</v>
      </c>
      <c r="D375" s="89"/>
      <c r="E375" s="145"/>
      <c r="F375" s="146"/>
      <c r="G375" s="146"/>
      <c r="H375" s="147"/>
      <c r="I375" s="1056">
        <v>0</v>
      </c>
      <c r="J375" s="145"/>
      <c r="K375" s="146"/>
      <c r="L375" s="146"/>
      <c r="M375" s="147"/>
      <c r="N375" s="89"/>
      <c r="O375" s="145"/>
      <c r="P375" s="146"/>
      <c r="Q375" s="146"/>
      <c r="R375" s="147"/>
      <c r="S375" s="89"/>
      <c r="T375" s="342"/>
      <c r="U375" s="150"/>
      <c r="V375" s="150"/>
      <c r="W375" s="343"/>
      <c r="X375" s="327"/>
      <c r="Y375" s="342">
        <f>+$I375</f>
        <v>0</v>
      </c>
      <c r="Z375" s="150">
        <f t="shared" ref="Z375:BQ375" si="647">+$I375</f>
        <v>0</v>
      </c>
      <c r="AA375" s="150">
        <f t="shared" si="647"/>
        <v>0</v>
      </c>
      <c r="AB375" s="343">
        <f t="shared" si="647"/>
        <v>0</v>
      </c>
      <c r="AC375" s="327">
        <f t="shared" si="647"/>
        <v>0</v>
      </c>
      <c r="AD375" s="342">
        <f t="shared" si="647"/>
        <v>0</v>
      </c>
      <c r="AE375" s="150">
        <f t="shared" si="647"/>
        <v>0</v>
      </c>
      <c r="AF375" s="150">
        <f t="shared" si="647"/>
        <v>0</v>
      </c>
      <c r="AG375" s="343">
        <f t="shared" si="647"/>
        <v>0</v>
      </c>
      <c r="AH375" s="327">
        <f t="shared" si="647"/>
        <v>0</v>
      </c>
      <c r="AI375" s="342">
        <f t="shared" si="647"/>
        <v>0</v>
      </c>
      <c r="AJ375" s="150">
        <f t="shared" si="647"/>
        <v>0</v>
      </c>
      <c r="AK375" s="150">
        <f t="shared" si="647"/>
        <v>0</v>
      </c>
      <c r="AL375" s="343">
        <f t="shared" si="647"/>
        <v>0</v>
      </c>
      <c r="AM375" s="327">
        <f t="shared" si="647"/>
        <v>0</v>
      </c>
      <c r="AN375" s="342">
        <f t="shared" si="647"/>
        <v>0</v>
      </c>
      <c r="AO375" s="150">
        <f t="shared" si="647"/>
        <v>0</v>
      </c>
      <c r="AP375" s="150">
        <f t="shared" si="647"/>
        <v>0</v>
      </c>
      <c r="AQ375" s="343">
        <f t="shared" si="647"/>
        <v>0</v>
      </c>
      <c r="AR375" s="327">
        <f t="shared" si="647"/>
        <v>0</v>
      </c>
      <c r="AS375" s="342">
        <f t="shared" si="647"/>
        <v>0</v>
      </c>
      <c r="AT375" s="150">
        <f t="shared" si="647"/>
        <v>0</v>
      </c>
      <c r="AU375" s="150">
        <f t="shared" si="647"/>
        <v>0</v>
      </c>
      <c r="AV375" s="343">
        <f t="shared" si="647"/>
        <v>0</v>
      </c>
      <c r="AW375" s="327">
        <f t="shared" si="647"/>
        <v>0</v>
      </c>
      <c r="AX375" s="342">
        <f t="shared" si="647"/>
        <v>0</v>
      </c>
      <c r="AY375" s="150">
        <f t="shared" si="647"/>
        <v>0</v>
      </c>
      <c r="AZ375" s="150">
        <f t="shared" si="647"/>
        <v>0</v>
      </c>
      <c r="BA375" s="343">
        <f t="shared" si="647"/>
        <v>0</v>
      </c>
      <c r="BB375" s="327">
        <f t="shared" si="647"/>
        <v>0</v>
      </c>
      <c r="BC375" s="342">
        <f t="shared" si="647"/>
        <v>0</v>
      </c>
      <c r="BD375" s="150">
        <f t="shared" si="647"/>
        <v>0</v>
      </c>
      <c r="BE375" s="150">
        <f t="shared" si="647"/>
        <v>0</v>
      </c>
      <c r="BF375" s="343">
        <f t="shared" si="647"/>
        <v>0</v>
      </c>
      <c r="BG375" s="327">
        <f t="shared" si="647"/>
        <v>0</v>
      </c>
      <c r="BH375" s="342">
        <f t="shared" si="647"/>
        <v>0</v>
      </c>
      <c r="BI375" s="150">
        <f t="shared" si="647"/>
        <v>0</v>
      </c>
      <c r="BJ375" s="150">
        <f t="shared" si="647"/>
        <v>0</v>
      </c>
      <c r="BK375" s="343">
        <f t="shared" si="647"/>
        <v>0</v>
      </c>
      <c r="BL375" s="327">
        <f t="shared" si="647"/>
        <v>0</v>
      </c>
      <c r="BM375" s="342">
        <f t="shared" si="647"/>
        <v>0</v>
      </c>
      <c r="BN375" s="150">
        <f t="shared" si="647"/>
        <v>0</v>
      </c>
      <c r="BO375" s="150">
        <f t="shared" si="647"/>
        <v>0</v>
      </c>
      <c r="BP375" s="343">
        <f t="shared" si="647"/>
        <v>0</v>
      </c>
      <c r="BQ375" s="327">
        <f t="shared" si="647"/>
        <v>0</v>
      </c>
      <c r="BR375" s="87"/>
      <c r="BS375" s="87"/>
      <c r="BZ375" s="91"/>
      <c r="CA375" s="91"/>
      <c r="CB375" s="91"/>
      <c r="CC375" s="91"/>
      <c r="CD375" s="91"/>
      <c r="CE375" s="91"/>
      <c r="CF375" s="91"/>
      <c r="CG375" s="91"/>
      <c r="CH375" s="91"/>
      <c r="CI375" s="91"/>
      <c r="CJ375" s="91"/>
      <c r="CK375" s="91"/>
      <c r="CL375" s="91"/>
      <c r="CM375" s="91"/>
      <c r="CN375" s="91"/>
      <c r="CO375" s="91"/>
      <c r="CP375" s="91"/>
      <c r="CQ375" s="91"/>
      <c r="CR375" s="1018"/>
      <c r="CS375" s="1018"/>
      <c r="CT375" s="821"/>
      <c r="CU375" s="12"/>
      <c r="CV375" s="12"/>
      <c r="CW375" s="12"/>
      <c r="CX375" s="12"/>
      <c r="CY375" s="12"/>
      <c r="CZ375" s="91"/>
      <c r="DA375" s="91"/>
      <c r="DB375" s="91"/>
      <c r="DC375" s="91"/>
      <c r="DD375" s="91"/>
      <c r="DE375" s="91"/>
      <c r="DF375" s="12"/>
      <c r="DG375" s="12"/>
      <c r="DH375" s="12"/>
      <c r="DI375" s="12"/>
      <c r="DJ375" s="12"/>
      <c r="DK375" s="12"/>
      <c r="DL375" s="12"/>
      <c r="DM375" s="12"/>
      <c r="DN375" s="12"/>
    </row>
    <row r="376" spans="1:118">
      <c r="A376" s="91"/>
      <c r="B376" s="89"/>
      <c r="C376" s="1184"/>
      <c r="D376" s="89"/>
      <c r="E376" s="145"/>
      <c r="F376" s="146"/>
      <c r="G376" s="146"/>
      <c r="H376" s="147"/>
      <c r="I376" s="87"/>
      <c r="J376" s="145"/>
      <c r="K376" s="146"/>
      <c r="L376" s="146"/>
      <c r="M376" s="147"/>
      <c r="N376" s="89"/>
      <c r="O376" s="145"/>
      <c r="P376" s="146"/>
      <c r="Q376" s="146"/>
      <c r="R376" s="147"/>
      <c r="S376" s="89"/>
      <c r="T376" s="145"/>
      <c r="U376" s="146"/>
      <c r="V376" s="146"/>
      <c r="W376" s="147"/>
      <c r="X376" s="89"/>
      <c r="Y376" s="145"/>
      <c r="Z376" s="146"/>
      <c r="AA376" s="146"/>
      <c r="AB376" s="147"/>
      <c r="AC376" s="89"/>
      <c r="AD376" s="145"/>
      <c r="AE376" s="146"/>
      <c r="AF376" s="146"/>
      <c r="AG376" s="147"/>
      <c r="AH376" s="89"/>
      <c r="AI376" s="145"/>
      <c r="AJ376" s="146"/>
      <c r="AK376" s="146"/>
      <c r="AL376" s="147"/>
      <c r="AM376" s="89"/>
      <c r="AN376" s="145"/>
      <c r="AO376" s="146"/>
      <c r="AP376" s="146"/>
      <c r="AQ376" s="147"/>
      <c r="AR376" s="89"/>
      <c r="AS376" s="145"/>
      <c r="AT376" s="146"/>
      <c r="AU376" s="146"/>
      <c r="AV376" s="147"/>
      <c r="AW376" s="89"/>
      <c r="AX376" s="145"/>
      <c r="AY376" s="146"/>
      <c r="AZ376" s="146"/>
      <c r="BA376" s="147"/>
      <c r="BB376" s="89"/>
      <c r="BC376" s="145"/>
      <c r="BD376" s="146"/>
      <c r="BE376" s="146"/>
      <c r="BF376" s="147"/>
      <c r="BG376" s="89"/>
      <c r="BH376" s="145"/>
      <c r="BI376" s="146"/>
      <c r="BJ376" s="146"/>
      <c r="BK376" s="147"/>
      <c r="BL376" s="89"/>
      <c r="BM376" s="145"/>
      <c r="BN376" s="146"/>
      <c r="BO376" s="146"/>
      <c r="BP376" s="147"/>
      <c r="BQ376" s="89"/>
      <c r="BR376" s="87"/>
      <c r="BS376" s="87"/>
      <c r="BZ376" s="91"/>
      <c r="CA376" s="91"/>
      <c r="CB376" s="91"/>
      <c r="CC376" s="91"/>
      <c r="CD376" s="91"/>
      <c r="CE376" s="91"/>
      <c r="CF376" s="91"/>
      <c r="CG376" s="91"/>
      <c r="CH376" s="91"/>
      <c r="CI376" s="91"/>
      <c r="CJ376" s="91"/>
      <c r="CK376" s="91"/>
      <c r="CL376" s="91"/>
      <c r="CM376" s="91"/>
      <c r="CN376" s="91"/>
      <c r="CO376" s="91"/>
      <c r="CP376" s="91"/>
      <c r="CQ376" s="91"/>
      <c r="CR376" s="1018"/>
      <c r="CS376" s="1018"/>
      <c r="CT376" s="821"/>
      <c r="CU376" s="12"/>
      <c r="CV376" s="12"/>
      <c r="CW376" s="12"/>
      <c r="CX376" s="12"/>
      <c r="CY376" s="12"/>
      <c r="CZ376" s="91"/>
      <c r="DA376" s="91"/>
      <c r="DB376" s="91"/>
      <c r="DC376" s="91"/>
      <c r="DD376" s="91"/>
      <c r="DE376" s="91"/>
      <c r="DF376" s="12"/>
      <c r="DG376" s="12"/>
      <c r="DH376" s="12"/>
      <c r="DI376" s="12"/>
      <c r="DJ376" s="12"/>
      <c r="DK376" s="12"/>
      <c r="DL376" s="12"/>
      <c r="DM376" s="12"/>
      <c r="DN376" s="12"/>
    </row>
    <row r="377" spans="1:118">
      <c r="A377" s="91"/>
      <c r="B377" s="89"/>
      <c r="C377" s="1186" t="s">
        <v>574</v>
      </c>
      <c r="D377" s="88"/>
      <c r="E377" s="106"/>
      <c r="F377" s="76"/>
      <c r="G377" s="76"/>
      <c r="H377" s="107"/>
      <c r="I377" s="93"/>
      <c r="J377" s="106"/>
      <c r="K377" s="76"/>
      <c r="L377" s="76"/>
      <c r="M377" s="107"/>
      <c r="N377" s="93"/>
      <c r="O377" s="106"/>
      <c r="P377" s="76"/>
      <c r="Q377" s="76"/>
      <c r="R377" s="107"/>
      <c r="S377" s="93"/>
      <c r="T377" s="106"/>
      <c r="U377" s="76"/>
      <c r="V377" s="76"/>
      <c r="W377" s="107"/>
      <c r="X377" s="93"/>
      <c r="Y377" s="106">
        <f t="shared" ref="Y377:AR377" si="648">+Y494</f>
        <v>71</v>
      </c>
      <c r="Z377" s="76">
        <f t="shared" si="648"/>
        <v>71</v>
      </c>
      <c r="AA377" s="76">
        <f t="shared" si="648"/>
        <v>71</v>
      </c>
      <c r="AB377" s="107">
        <f t="shared" si="648"/>
        <v>71</v>
      </c>
      <c r="AC377" s="93">
        <f t="shared" si="648"/>
        <v>71</v>
      </c>
      <c r="AD377" s="106">
        <f t="shared" si="648"/>
        <v>0</v>
      </c>
      <c r="AE377" s="76">
        <f t="shared" si="648"/>
        <v>0</v>
      </c>
      <c r="AF377" s="76">
        <f t="shared" si="648"/>
        <v>0</v>
      </c>
      <c r="AG377" s="107">
        <f t="shared" si="648"/>
        <v>0</v>
      </c>
      <c r="AH377" s="93">
        <f t="shared" si="648"/>
        <v>0</v>
      </c>
      <c r="AI377" s="106">
        <f t="shared" si="648"/>
        <v>0</v>
      </c>
      <c r="AJ377" s="76">
        <f t="shared" si="648"/>
        <v>0</v>
      </c>
      <c r="AK377" s="76">
        <f t="shared" si="648"/>
        <v>0</v>
      </c>
      <c r="AL377" s="107">
        <f t="shared" si="648"/>
        <v>0</v>
      </c>
      <c r="AM377" s="93">
        <f t="shared" si="648"/>
        <v>0</v>
      </c>
      <c r="AN377" s="106">
        <f t="shared" si="648"/>
        <v>0</v>
      </c>
      <c r="AO377" s="76">
        <f t="shared" si="648"/>
        <v>0</v>
      </c>
      <c r="AP377" s="76">
        <f t="shared" ref="AP377" si="649">+AP494</f>
        <v>0</v>
      </c>
      <c r="AQ377" s="107">
        <f t="shared" si="648"/>
        <v>0</v>
      </c>
      <c r="AR377" s="93">
        <f t="shared" si="648"/>
        <v>0</v>
      </c>
      <c r="AS377" s="106">
        <f t="shared" ref="AS377" si="650">+AS494</f>
        <v>0</v>
      </c>
      <c r="AT377" s="76">
        <f t="shared" ref="AT377:BB377" si="651">+AT494</f>
        <v>0</v>
      </c>
      <c r="AU377" s="76">
        <f t="shared" ref="AU377" si="652">+AU494</f>
        <v>0</v>
      </c>
      <c r="AV377" s="107">
        <f t="shared" si="651"/>
        <v>0</v>
      </c>
      <c r="AW377" s="93">
        <f t="shared" si="651"/>
        <v>0</v>
      </c>
      <c r="AX377" s="106">
        <f t="shared" si="651"/>
        <v>0</v>
      </c>
      <c r="AY377" s="76">
        <f t="shared" si="651"/>
        <v>0</v>
      </c>
      <c r="AZ377" s="76">
        <f t="shared" si="651"/>
        <v>0</v>
      </c>
      <c r="BA377" s="107">
        <f t="shared" si="651"/>
        <v>0</v>
      </c>
      <c r="BB377" s="93">
        <f t="shared" si="651"/>
        <v>0</v>
      </c>
      <c r="BC377" s="106">
        <f t="shared" ref="BC377:BL377" si="653">+BC494</f>
        <v>0</v>
      </c>
      <c r="BD377" s="76">
        <f t="shared" si="653"/>
        <v>0</v>
      </c>
      <c r="BE377" s="76">
        <f t="shared" si="653"/>
        <v>0</v>
      </c>
      <c r="BF377" s="107">
        <f t="shared" si="653"/>
        <v>0</v>
      </c>
      <c r="BG377" s="93">
        <f t="shared" si="653"/>
        <v>0</v>
      </c>
      <c r="BH377" s="106">
        <f t="shared" si="653"/>
        <v>0</v>
      </c>
      <c r="BI377" s="76">
        <f t="shared" si="653"/>
        <v>0</v>
      </c>
      <c r="BJ377" s="76">
        <f t="shared" si="653"/>
        <v>0</v>
      </c>
      <c r="BK377" s="107">
        <f t="shared" si="653"/>
        <v>0</v>
      </c>
      <c r="BL377" s="93">
        <f t="shared" si="653"/>
        <v>0</v>
      </c>
      <c r="BM377" s="106">
        <f t="shared" ref="BM377:BQ377" si="654">+BM494</f>
        <v>0</v>
      </c>
      <c r="BN377" s="76">
        <f t="shared" si="654"/>
        <v>0</v>
      </c>
      <c r="BO377" s="76">
        <f t="shared" si="654"/>
        <v>0</v>
      </c>
      <c r="BP377" s="107">
        <f t="shared" si="654"/>
        <v>0</v>
      </c>
      <c r="BQ377" s="93">
        <f t="shared" si="654"/>
        <v>0</v>
      </c>
      <c r="BR377" s="87"/>
      <c r="BS377" s="87"/>
      <c r="BZ377" s="91"/>
      <c r="CA377" s="91"/>
      <c r="CB377" s="91"/>
      <c r="CC377" s="91"/>
      <c r="CD377" s="91"/>
      <c r="CE377" s="91"/>
      <c r="CF377" s="91"/>
      <c r="CG377" s="91"/>
      <c r="CH377" s="91"/>
      <c r="CI377" s="91"/>
      <c r="CJ377" s="91"/>
      <c r="CK377" s="91"/>
      <c r="CL377" s="91"/>
      <c r="CM377" s="91"/>
      <c r="CN377" s="91"/>
      <c r="CO377" s="91"/>
      <c r="CP377" s="91"/>
      <c r="CQ377" s="91"/>
      <c r="CR377" s="1018"/>
      <c r="CS377" s="1018"/>
      <c r="CT377" s="821"/>
      <c r="CU377" s="12"/>
      <c r="CV377" s="12"/>
      <c r="CW377" s="12"/>
      <c r="CX377" s="12"/>
      <c r="CY377" s="12"/>
      <c r="CZ377" s="91"/>
      <c r="DA377" s="91"/>
      <c r="DB377" s="91"/>
      <c r="DC377" s="91"/>
      <c r="DD377" s="91"/>
      <c r="DE377" s="91"/>
      <c r="DF377" s="12"/>
      <c r="DG377" s="12"/>
      <c r="DH377" s="12"/>
      <c r="DI377" s="12"/>
      <c r="DJ377" s="12"/>
      <c r="DK377" s="12"/>
      <c r="DL377" s="12"/>
      <c r="DM377" s="12"/>
      <c r="DN377" s="12"/>
    </row>
    <row r="378" spans="1:118">
      <c r="A378" s="91"/>
      <c r="B378" s="89"/>
      <c r="C378" s="1184"/>
      <c r="D378" s="89"/>
      <c r="E378" s="145"/>
      <c r="F378" s="146"/>
      <c r="G378" s="146"/>
      <c r="H378" s="147"/>
      <c r="I378" s="87"/>
      <c r="J378" s="145"/>
      <c r="K378" s="146"/>
      <c r="L378" s="146"/>
      <c r="M378" s="147"/>
      <c r="N378" s="89"/>
      <c r="O378" s="145"/>
      <c r="P378" s="146"/>
      <c r="Q378" s="146"/>
      <c r="R378" s="147"/>
      <c r="S378" s="89"/>
      <c r="T378" s="145"/>
      <c r="U378" s="146"/>
      <c r="V378" s="146"/>
      <c r="W378" s="147"/>
      <c r="X378" s="89"/>
      <c r="Y378" s="145"/>
      <c r="Z378" s="146"/>
      <c r="AA378" s="146"/>
      <c r="AB378" s="147"/>
      <c r="AC378" s="89"/>
      <c r="AD378" s="145"/>
      <c r="AE378" s="146"/>
      <c r="AF378" s="146"/>
      <c r="AG378" s="147"/>
      <c r="AH378" s="89"/>
      <c r="AI378" s="145"/>
      <c r="AJ378" s="146"/>
      <c r="AK378" s="146"/>
      <c r="AL378" s="147"/>
      <c r="AM378" s="89"/>
      <c r="AN378" s="145"/>
      <c r="AO378" s="146"/>
      <c r="AP378" s="146"/>
      <c r="AQ378" s="147"/>
      <c r="AR378" s="89"/>
      <c r="AS378" s="145"/>
      <c r="AT378" s="146"/>
      <c r="AU378" s="146"/>
      <c r="AV378" s="147"/>
      <c r="AW378" s="89"/>
      <c r="AX378" s="145"/>
      <c r="AY378" s="146"/>
      <c r="AZ378" s="146"/>
      <c r="BA378" s="147"/>
      <c r="BB378" s="89"/>
      <c r="BC378" s="145"/>
      <c r="BD378" s="146"/>
      <c r="BE378" s="146"/>
      <c r="BF378" s="147"/>
      <c r="BG378" s="89"/>
      <c r="BH378" s="145"/>
      <c r="BI378" s="146"/>
      <c r="BJ378" s="146"/>
      <c r="BK378" s="147"/>
      <c r="BL378" s="89"/>
      <c r="BM378" s="145"/>
      <c r="BN378" s="146"/>
      <c r="BO378" s="146"/>
      <c r="BP378" s="147"/>
      <c r="BQ378" s="89"/>
      <c r="BR378" s="87"/>
      <c r="BS378" s="87"/>
      <c r="BZ378" s="91"/>
      <c r="CA378" s="91"/>
      <c r="CB378" s="91"/>
      <c r="CC378" s="91"/>
      <c r="CD378" s="91"/>
      <c r="CE378" s="91"/>
      <c r="CF378" s="91"/>
      <c r="CG378" s="91"/>
      <c r="CH378" s="91"/>
      <c r="CI378" s="91"/>
      <c r="CJ378" s="91"/>
      <c r="CK378" s="91"/>
      <c r="CL378" s="91"/>
      <c r="CM378" s="91"/>
      <c r="CN378" s="91"/>
      <c r="CO378" s="91"/>
      <c r="CP378" s="91"/>
      <c r="CQ378" s="91"/>
      <c r="CR378" s="1018"/>
      <c r="CS378" s="1018"/>
      <c r="CT378" s="821"/>
      <c r="CU378" s="12"/>
      <c r="CV378" s="12"/>
      <c r="CW378" s="12"/>
      <c r="CX378" s="12"/>
      <c r="CY378" s="12"/>
      <c r="CZ378" s="91"/>
      <c r="DA378" s="91"/>
      <c r="DB378" s="91"/>
      <c r="DC378" s="91"/>
      <c r="DD378" s="91"/>
      <c r="DE378" s="91"/>
      <c r="DF378" s="12"/>
      <c r="DG378" s="12"/>
      <c r="DH378" s="12"/>
      <c r="DI378" s="12"/>
      <c r="DJ378" s="12"/>
      <c r="DK378" s="12"/>
      <c r="DL378" s="12"/>
      <c r="DM378" s="12"/>
      <c r="DN378" s="12"/>
    </row>
    <row r="379" spans="1:118">
      <c r="A379" s="91"/>
      <c r="B379" s="89"/>
      <c r="C379" s="1179" t="s">
        <v>575</v>
      </c>
      <c r="D379" s="89"/>
      <c r="E379" s="145"/>
      <c r="F379" s="146"/>
      <c r="G379" s="146"/>
      <c r="H379" s="147"/>
      <c r="I379" s="1057">
        <v>0.3</v>
      </c>
      <c r="J379" s="145"/>
      <c r="K379" s="146"/>
      <c r="L379" s="146"/>
      <c r="M379" s="147"/>
      <c r="N379" s="89"/>
      <c r="O379" s="145"/>
      <c r="P379" s="146"/>
      <c r="Q379" s="146"/>
      <c r="R379" s="147"/>
      <c r="S379" s="89"/>
      <c r="T379" s="833"/>
      <c r="U379" s="834"/>
      <c r="V379" s="834"/>
      <c r="W379" s="835"/>
      <c r="X379" s="1054"/>
      <c r="Y379" s="833">
        <f>+I379</f>
        <v>0.3</v>
      </c>
      <c r="Z379" s="834">
        <f>+Y379</f>
        <v>0.3</v>
      </c>
      <c r="AA379" s="834">
        <f>+Z379</f>
        <v>0.3</v>
      </c>
      <c r="AB379" s="835">
        <f>+AA379</f>
        <v>0.3</v>
      </c>
      <c r="AC379" s="1054">
        <f>IF(AVERAGE(Y377:AB377)=0,0,AC380/(AVERAGE(Y377:AB377)*8.76))</f>
        <v>0.3</v>
      </c>
      <c r="AD379" s="833">
        <f>+AB379</f>
        <v>0.3</v>
      </c>
      <c r="AE379" s="834">
        <f>+Z379</f>
        <v>0.3</v>
      </c>
      <c r="AF379" s="834">
        <f>+AA379</f>
        <v>0.3</v>
      </c>
      <c r="AG379" s="835">
        <f>+AB379</f>
        <v>0.3</v>
      </c>
      <c r="AH379" s="1054">
        <f>IF(AVERAGE(AD377:AG377)=0,0,AH380/(AVERAGE(AD377:AG377)*8.76))</f>
        <v>0</v>
      </c>
      <c r="AI379" s="833">
        <f>+AG379</f>
        <v>0.3</v>
      </c>
      <c r="AJ379" s="834">
        <f>+AE379</f>
        <v>0.3</v>
      </c>
      <c r="AK379" s="834">
        <f>+AF379</f>
        <v>0.3</v>
      </c>
      <c r="AL379" s="835">
        <f>+AG379</f>
        <v>0.3</v>
      </c>
      <c r="AM379" s="1054">
        <f>IF(AVERAGE(AI377:AL377)=0,0,AM380/(AVERAGE(AI377:AL377)*8.76))</f>
        <v>0</v>
      </c>
      <c r="AN379" s="833">
        <f>+AL379</f>
        <v>0.3</v>
      </c>
      <c r="AO379" s="834">
        <f>+AJ379</f>
        <v>0.3</v>
      </c>
      <c r="AP379" s="834">
        <f>+AK379</f>
        <v>0.3</v>
      </c>
      <c r="AQ379" s="835">
        <f>+AL379</f>
        <v>0.3</v>
      </c>
      <c r="AR379" s="1054">
        <f>IF(AVERAGE(AN377:AQ377)=0,0,AR380/(AVERAGE(AN377:AQ377)*8.76))</f>
        <v>0</v>
      </c>
      <c r="AS379" s="833">
        <f>+AQ379</f>
        <v>0.3</v>
      </c>
      <c r="AT379" s="834">
        <f>+AO379</f>
        <v>0.3</v>
      </c>
      <c r="AU379" s="834">
        <f>+AP379</f>
        <v>0.3</v>
      </c>
      <c r="AV379" s="835">
        <f>+AQ379</f>
        <v>0.3</v>
      </c>
      <c r="AW379" s="1054">
        <f>IF(AVERAGE(AS377:AV377)=0,0,AW380/(AVERAGE(AS377:AV377)*8.76))</f>
        <v>0</v>
      </c>
      <c r="AX379" s="833">
        <f>+AV379</f>
        <v>0.3</v>
      </c>
      <c r="AY379" s="834">
        <f>+AT379</f>
        <v>0.3</v>
      </c>
      <c r="AZ379" s="834">
        <f>+AU379</f>
        <v>0.3</v>
      </c>
      <c r="BA379" s="835">
        <f>+AV379</f>
        <v>0.3</v>
      </c>
      <c r="BB379" s="1054">
        <f>IF(AVERAGE(AX377:BA377)=0,0,BB380/(AVERAGE(AX377:BA377)*8.76))</f>
        <v>0</v>
      </c>
      <c r="BC379" s="833">
        <f>+BA379</f>
        <v>0.3</v>
      </c>
      <c r="BD379" s="834">
        <f>+AY379</f>
        <v>0.3</v>
      </c>
      <c r="BE379" s="834">
        <f>+AZ379</f>
        <v>0.3</v>
      </c>
      <c r="BF379" s="835">
        <f>+BA379</f>
        <v>0.3</v>
      </c>
      <c r="BG379" s="1054">
        <f>IF(AVERAGE(BC377:BF377)=0,0,BG380/(AVERAGE(BC377:BF377)*8.76))</f>
        <v>0</v>
      </c>
      <c r="BH379" s="833">
        <f>+BF379</f>
        <v>0.3</v>
      </c>
      <c r="BI379" s="834">
        <f>+BD379</f>
        <v>0.3</v>
      </c>
      <c r="BJ379" s="834">
        <f>+BE379</f>
        <v>0.3</v>
      </c>
      <c r="BK379" s="835">
        <f>+BF379</f>
        <v>0.3</v>
      </c>
      <c r="BL379" s="1054">
        <f>IF(AVERAGE(BH377:BK377)=0,0,BL380/(AVERAGE(BH377:BK377)*8.76))</f>
        <v>0</v>
      </c>
      <c r="BM379" s="833">
        <f>+BK379</f>
        <v>0.3</v>
      </c>
      <c r="BN379" s="834">
        <f>+BI379</f>
        <v>0.3</v>
      </c>
      <c r="BO379" s="834">
        <f>+BJ379</f>
        <v>0.3</v>
      </c>
      <c r="BP379" s="835">
        <f>+BK379</f>
        <v>0.3</v>
      </c>
      <c r="BQ379" s="1054">
        <f>IF(AVERAGE(BM377:BP377)=0,0,BQ380/(AVERAGE(BM377:BP377)*8.76))</f>
        <v>0</v>
      </c>
      <c r="BR379" s="87"/>
      <c r="BS379" s="87"/>
      <c r="BZ379" s="91"/>
      <c r="CA379" s="91"/>
      <c r="CB379" s="91"/>
      <c r="CC379" s="91"/>
      <c r="CD379" s="91"/>
      <c r="CE379" s="91"/>
      <c r="CF379" s="91"/>
      <c r="CG379" s="91"/>
      <c r="CH379" s="91"/>
      <c r="CI379" s="91"/>
      <c r="CJ379" s="91"/>
      <c r="CK379" s="91"/>
      <c r="CL379" s="91"/>
      <c r="CM379" s="91"/>
      <c r="CN379" s="91"/>
      <c r="CO379" s="91"/>
      <c r="CP379" s="91"/>
      <c r="CQ379" s="91"/>
      <c r="CR379" s="1018"/>
      <c r="CS379" s="1018"/>
      <c r="CT379" s="821"/>
      <c r="CU379" s="12"/>
      <c r="CV379" s="12"/>
      <c r="CW379" s="12"/>
      <c r="CX379" s="12"/>
      <c r="CY379" s="12"/>
      <c r="CZ379" s="91"/>
      <c r="DA379" s="91"/>
      <c r="DB379" s="91"/>
      <c r="DC379" s="91"/>
      <c r="DD379" s="91"/>
      <c r="DE379" s="91"/>
      <c r="DF379" s="12"/>
      <c r="DG379" s="12"/>
      <c r="DH379" s="12"/>
      <c r="DI379" s="12"/>
      <c r="DJ379" s="12"/>
      <c r="DK379" s="12"/>
      <c r="DL379" s="12"/>
      <c r="DM379" s="12"/>
      <c r="DN379" s="12"/>
    </row>
    <row r="380" spans="1:118">
      <c r="A380" s="91"/>
      <c r="B380" s="89"/>
      <c r="C380" s="1186" t="s">
        <v>569</v>
      </c>
      <c r="D380" s="88"/>
      <c r="E380" s="214"/>
      <c r="F380" s="148"/>
      <c r="G380" s="148"/>
      <c r="H380" s="215"/>
      <c r="I380" s="88"/>
      <c r="J380" s="214"/>
      <c r="K380" s="148"/>
      <c r="L380" s="148"/>
      <c r="M380" s="215"/>
      <c r="N380" s="88"/>
      <c r="O380" s="214"/>
      <c r="P380" s="148"/>
      <c r="Q380" s="148"/>
      <c r="R380" s="215"/>
      <c r="S380" s="88"/>
      <c r="T380" s="240"/>
      <c r="U380" s="241"/>
      <c r="V380" s="241"/>
      <c r="W380" s="1059"/>
      <c r="X380" s="242"/>
      <c r="Y380" s="240">
        <f>(Y377*Y379*(8760/1000))/4</f>
        <v>46.646999999999998</v>
      </c>
      <c r="Z380" s="241">
        <f>(Z377*Z379*(8760/1000))/4</f>
        <v>46.646999999999998</v>
      </c>
      <c r="AA380" s="241">
        <f>(AA377*AA379*(8760/1000))/4</f>
        <v>46.646999999999998</v>
      </c>
      <c r="AB380" s="1059">
        <f>(AB377*AB379*(8760/1000))/4</f>
        <v>46.646999999999998</v>
      </c>
      <c r="AC380" s="242">
        <f>SUM(Y380:AB380)</f>
        <v>186.58799999999999</v>
      </c>
      <c r="AD380" s="240">
        <f>(AD377*AD379*(8760/1000))/4</f>
        <v>0</v>
      </c>
      <c r="AE380" s="241">
        <f>(AE377*AE379*(8760/1000))/4</f>
        <v>0</v>
      </c>
      <c r="AF380" s="241">
        <f>(AF377*AF379*(8760/1000))/4</f>
        <v>0</v>
      </c>
      <c r="AG380" s="1059">
        <f>(AG377*AG379*(8760/1000))/4</f>
        <v>0</v>
      </c>
      <c r="AH380" s="242">
        <f>SUM(AD380:AG380)</f>
        <v>0</v>
      </c>
      <c r="AI380" s="240">
        <f>(AI377*AI379*(8760/1000))/4</f>
        <v>0</v>
      </c>
      <c r="AJ380" s="241">
        <f>(AJ377*AJ379*(8760/1000))/4</f>
        <v>0</v>
      </c>
      <c r="AK380" s="241">
        <f>(AK377*AK379*(8760/1000))/4</f>
        <v>0</v>
      </c>
      <c r="AL380" s="1059">
        <f>(AL377*AL379*(8760/1000))/4</f>
        <v>0</v>
      </c>
      <c r="AM380" s="242">
        <f>SUM(AI380:AL380)</f>
        <v>0</v>
      </c>
      <c r="AN380" s="240">
        <f>(AN377*AN379*(8760/1000))/4</f>
        <v>0</v>
      </c>
      <c r="AO380" s="241">
        <f>(AO377*AO379*(8760/1000))/4</f>
        <v>0</v>
      </c>
      <c r="AP380" s="241">
        <f>(AP377*AP379*(8760/1000))/4</f>
        <v>0</v>
      </c>
      <c r="AQ380" s="1059">
        <f>(AQ377*AQ379*(8760/1000))/4</f>
        <v>0</v>
      </c>
      <c r="AR380" s="242">
        <f>SUM(AN380:AQ380)</f>
        <v>0</v>
      </c>
      <c r="AS380" s="240">
        <f>(AS377*AS379*(8760/1000))/4</f>
        <v>0</v>
      </c>
      <c r="AT380" s="241">
        <f>(AT377*AT379*(8760/1000))/4</f>
        <v>0</v>
      </c>
      <c r="AU380" s="241">
        <f>(AU377*AU379*(8760/1000))/4</f>
        <v>0</v>
      </c>
      <c r="AV380" s="1059">
        <f>(AV377*AV379*(8760/1000))/4</f>
        <v>0</v>
      </c>
      <c r="AW380" s="242">
        <f>SUM(AS380:AV380)</f>
        <v>0</v>
      </c>
      <c r="AX380" s="240">
        <f>(AX377*AX379*(8760/1000))/4</f>
        <v>0</v>
      </c>
      <c r="AY380" s="241">
        <f>(AY377*AY379*(8760/1000))/4</f>
        <v>0</v>
      </c>
      <c r="AZ380" s="241">
        <f>(AZ377*AZ379*(8760/1000))/4</f>
        <v>0</v>
      </c>
      <c r="BA380" s="1059">
        <f>(BA377*BA379*(8760/1000))/4</f>
        <v>0</v>
      </c>
      <c r="BB380" s="242">
        <f>SUM(AX380:BA380)</f>
        <v>0</v>
      </c>
      <c r="BC380" s="240">
        <f>(BC377*BC379*(8760/1000))/4</f>
        <v>0</v>
      </c>
      <c r="BD380" s="241">
        <f>(BD377*BD379*(8760/1000))/4</f>
        <v>0</v>
      </c>
      <c r="BE380" s="241">
        <f>(BE377*BE379*(8760/1000))/4</f>
        <v>0</v>
      </c>
      <c r="BF380" s="1059">
        <f>(BF377*BF379*(8760/1000))/4</f>
        <v>0</v>
      </c>
      <c r="BG380" s="242">
        <f>SUM(BC380:BF380)</f>
        <v>0</v>
      </c>
      <c r="BH380" s="240">
        <f>(BH377*BH379*(8760/1000))/4</f>
        <v>0</v>
      </c>
      <c r="BI380" s="241">
        <f>(BI377*BI379*(8760/1000))/4</f>
        <v>0</v>
      </c>
      <c r="BJ380" s="241">
        <f>(BJ377*BJ379*(8760/1000))/4</f>
        <v>0</v>
      </c>
      <c r="BK380" s="1059">
        <f>(BK377*BK379*(8760/1000))/4</f>
        <v>0</v>
      </c>
      <c r="BL380" s="242">
        <f>SUM(BH380:BK380)</f>
        <v>0</v>
      </c>
      <c r="BM380" s="240">
        <f>(BM377*BM379*(8760/1000))/4</f>
        <v>0</v>
      </c>
      <c r="BN380" s="241">
        <f>(BN377*BN379*(8760/1000))/4</f>
        <v>0</v>
      </c>
      <c r="BO380" s="241">
        <f>(BO377*BO379*(8760/1000))/4</f>
        <v>0</v>
      </c>
      <c r="BP380" s="1059">
        <f>(BP377*BP379*(8760/1000))/4</f>
        <v>0</v>
      </c>
      <c r="BQ380" s="242">
        <f>SUM(BM380:BP380)</f>
        <v>0</v>
      </c>
      <c r="BR380" s="87"/>
      <c r="BS380" s="87"/>
      <c r="BZ380" s="91"/>
      <c r="CA380" s="91"/>
      <c r="CB380" s="91"/>
      <c r="CC380" s="91"/>
      <c r="CD380" s="91"/>
      <c r="CE380" s="91"/>
      <c r="CF380" s="91"/>
      <c r="CG380" s="91"/>
      <c r="CH380" s="91"/>
      <c r="CI380" s="91"/>
      <c r="CJ380" s="91"/>
      <c r="CK380" s="91"/>
      <c r="CL380" s="91"/>
      <c r="CM380" s="91"/>
      <c r="CN380" s="91"/>
      <c r="CO380" s="91"/>
      <c r="CP380" s="91"/>
      <c r="CQ380" s="91"/>
      <c r="CR380" s="1018"/>
      <c r="CS380" s="1018"/>
      <c r="CT380" s="821"/>
      <c r="CU380" s="12"/>
      <c r="CV380" s="12"/>
      <c r="CW380" s="12"/>
      <c r="CX380" s="12"/>
      <c r="CY380" s="12"/>
      <c r="CZ380" s="91"/>
      <c r="DA380" s="91"/>
      <c r="DB380" s="91"/>
      <c r="DC380" s="91"/>
      <c r="DD380" s="91"/>
      <c r="DE380" s="91"/>
      <c r="DF380" s="12"/>
      <c r="DG380" s="12"/>
      <c r="DH380" s="12"/>
      <c r="DI380" s="12"/>
      <c r="DJ380" s="12"/>
      <c r="DK380" s="12"/>
      <c r="DL380" s="12"/>
      <c r="DM380" s="12"/>
      <c r="DN380" s="12"/>
    </row>
    <row r="381" spans="1:118">
      <c r="A381" s="91"/>
      <c r="B381" s="89"/>
      <c r="C381" s="1184"/>
      <c r="D381" s="89"/>
      <c r="E381" s="145"/>
      <c r="F381" s="146"/>
      <c r="G381" s="146"/>
      <c r="H381" s="147"/>
      <c r="I381" s="87"/>
      <c r="J381" s="145"/>
      <c r="K381" s="146"/>
      <c r="L381" s="146"/>
      <c r="M381" s="147"/>
      <c r="N381" s="89"/>
      <c r="O381" s="145"/>
      <c r="P381" s="146"/>
      <c r="Q381" s="146"/>
      <c r="R381" s="147"/>
      <c r="S381" s="89"/>
      <c r="T381" s="145"/>
      <c r="U381" s="146"/>
      <c r="V381" s="146"/>
      <c r="W381" s="147"/>
      <c r="X381" s="89"/>
      <c r="Y381" s="145"/>
      <c r="Z381" s="146"/>
      <c r="AA381" s="146"/>
      <c r="AB381" s="147"/>
      <c r="AC381" s="89"/>
      <c r="AD381" s="145"/>
      <c r="AE381" s="146"/>
      <c r="AF381" s="146"/>
      <c r="AG381" s="147"/>
      <c r="AH381" s="89"/>
      <c r="AI381" s="145"/>
      <c r="AJ381" s="146"/>
      <c r="AK381" s="146"/>
      <c r="AL381" s="147"/>
      <c r="AM381" s="89"/>
      <c r="AN381" s="145"/>
      <c r="AO381" s="146"/>
      <c r="AP381" s="146"/>
      <c r="AQ381" s="147"/>
      <c r="AR381" s="89"/>
      <c r="AS381" s="145"/>
      <c r="AT381" s="146"/>
      <c r="AU381" s="146"/>
      <c r="AV381" s="147"/>
      <c r="AW381" s="89"/>
      <c r="AX381" s="145"/>
      <c r="AY381" s="146"/>
      <c r="AZ381" s="146"/>
      <c r="BA381" s="147"/>
      <c r="BB381" s="89"/>
      <c r="BC381" s="145"/>
      <c r="BD381" s="146"/>
      <c r="BE381" s="146"/>
      <c r="BF381" s="147"/>
      <c r="BG381" s="89"/>
      <c r="BH381" s="145"/>
      <c r="BI381" s="146"/>
      <c r="BJ381" s="146"/>
      <c r="BK381" s="147"/>
      <c r="BL381" s="89"/>
      <c r="BM381" s="145"/>
      <c r="BN381" s="146"/>
      <c r="BO381" s="146"/>
      <c r="BP381" s="147"/>
      <c r="BQ381" s="89"/>
      <c r="BR381" s="87"/>
      <c r="BS381" s="87"/>
      <c r="BZ381" s="91"/>
      <c r="CA381" s="91"/>
      <c r="CB381" s="91"/>
      <c r="CC381" s="91"/>
      <c r="CD381" s="91"/>
      <c r="CE381" s="91"/>
      <c r="CF381" s="91"/>
      <c r="CG381" s="91"/>
      <c r="CH381" s="91"/>
      <c r="CI381" s="91"/>
      <c r="CJ381" s="91"/>
      <c r="CK381" s="91"/>
      <c r="CL381" s="91"/>
      <c r="CM381" s="91"/>
      <c r="CN381" s="91"/>
      <c r="CO381" s="91"/>
      <c r="CP381" s="91"/>
      <c r="CQ381" s="91"/>
      <c r="CR381" s="1018"/>
      <c r="CS381" s="1018"/>
      <c r="CT381" s="821"/>
      <c r="CU381" s="12"/>
      <c r="CV381" s="12"/>
      <c r="CW381" s="12"/>
      <c r="CX381" s="12"/>
      <c r="CY381" s="12"/>
      <c r="CZ381" s="91"/>
      <c r="DA381" s="91"/>
      <c r="DB381" s="91"/>
      <c r="DC381" s="91"/>
      <c r="DD381" s="91"/>
      <c r="DE381" s="91"/>
      <c r="DF381" s="12"/>
      <c r="DG381" s="12"/>
      <c r="DH381" s="12"/>
      <c r="DI381" s="12"/>
      <c r="DJ381" s="12"/>
      <c r="DK381" s="12"/>
      <c r="DL381" s="12"/>
      <c r="DM381" s="12"/>
      <c r="DN381" s="12"/>
    </row>
    <row r="382" spans="1:118">
      <c r="A382" s="91"/>
      <c r="B382" s="89"/>
      <c r="C382" s="1179" t="s">
        <v>566</v>
      </c>
      <c r="D382" s="89"/>
      <c r="E382" s="145"/>
      <c r="F382" s="146"/>
      <c r="G382" s="146"/>
      <c r="H382" s="147"/>
      <c r="I382" s="87"/>
      <c r="J382" s="145"/>
      <c r="K382" s="146"/>
      <c r="L382" s="146"/>
      <c r="M382" s="147"/>
      <c r="N382" s="89"/>
      <c r="O382" s="145"/>
      <c r="P382" s="146"/>
      <c r="Q382" s="146"/>
      <c r="R382" s="147"/>
      <c r="S382" s="89"/>
      <c r="T382" s="104"/>
      <c r="U382" s="77"/>
      <c r="V382" s="77"/>
      <c r="W382" s="102"/>
      <c r="X382" s="96"/>
      <c r="Y382" s="104">
        <f>(Y374/1000*Y380)</f>
        <v>1.7506220387091602</v>
      </c>
      <c r="Z382" s="77">
        <f>(Z374/1000*Z380)</f>
        <v>1.7340221332584145</v>
      </c>
      <c r="AA382" s="77">
        <f>(AA374/1000*AA380)</f>
        <v>1.763722780856535</v>
      </c>
      <c r="AB382" s="102">
        <f>(AB374/1000*AB380)</f>
        <v>1.6499044016902704</v>
      </c>
      <c r="AC382" s="96">
        <f>SUM(Y382:AB382)</f>
        <v>6.8982713545143808</v>
      </c>
      <c r="AD382" s="104">
        <f>(AD374/1000*AD380)</f>
        <v>0</v>
      </c>
      <c r="AE382" s="77">
        <f>(AE374/1000*AE380)</f>
        <v>0</v>
      </c>
      <c r="AF382" s="77">
        <f>(AF374/1000*AF380)</f>
        <v>0</v>
      </c>
      <c r="AG382" s="102">
        <f>(AG374/1000*AG380)</f>
        <v>0</v>
      </c>
      <c r="AH382" s="96">
        <f>SUM(AD382:AG382)</f>
        <v>0</v>
      </c>
      <c r="AI382" s="104">
        <f>(AI374/1000*AI380)</f>
        <v>0</v>
      </c>
      <c r="AJ382" s="77">
        <f>(AJ374/1000*AJ380)</f>
        <v>0</v>
      </c>
      <c r="AK382" s="77">
        <f>(AK374/1000*AK380)</f>
        <v>0</v>
      </c>
      <c r="AL382" s="102">
        <f>(AL374/1000*AL380)</f>
        <v>0</v>
      </c>
      <c r="AM382" s="96">
        <f>SUM(AI382:AL382)</f>
        <v>0</v>
      </c>
      <c r="AN382" s="104">
        <f>(AN374/1000*AN380)</f>
        <v>0</v>
      </c>
      <c r="AO382" s="77">
        <f>(AO374/1000*AO380)</f>
        <v>0</v>
      </c>
      <c r="AP382" s="77">
        <f>(AP374/1000*AP380)</f>
        <v>0</v>
      </c>
      <c r="AQ382" s="102">
        <f>(AQ374/1000*AQ380)</f>
        <v>0</v>
      </c>
      <c r="AR382" s="96">
        <f>SUM(AN382:AQ382)</f>
        <v>0</v>
      </c>
      <c r="AS382" s="104">
        <f>(AS374/1000*AS380)</f>
        <v>0</v>
      </c>
      <c r="AT382" s="77">
        <f>(AT374/1000*AT380)</f>
        <v>0</v>
      </c>
      <c r="AU382" s="77">
        <f>(AU374/1000*AU380)</f>
        <v>0</v>
      </c>
      <c r="AV382" s="102">
        <f>(AV374/1000*AV380)</f>
        <v>0</v>
      </c>
      <c r="AW382" s="96">
        <f>SUM(AS382:AV382)</f>
        <v>0</v>
      </c>
      <c r="AX382" s="104">
        <f>(AX374/1000*AX380)</f>
        <v>0</v>
      </c>
      <c r="AY382" s="77">
        <f>(AY374/1000*AY380)</f>
        <v>0</v>
      </c>
      <c r="AZ382" s="77">
        <f>(AZ374/1000*AZ380)</f>
        <v>0</v>
      </c>
      <c r="BA382" s="102">
        <f>(BA374/1000*BA380)</f>
        <v>0</v>
      </c>
      <c r="BB382" s="96">
        <f>SUM(AX382:BA382)</f>
        <v>0</v>
      </c>
      <c r="BC382" s="104">
        <f>(BC374/1000*BC380)</f>
        <v>0</v>
      </c>
      <c r="BD382" s="77">
        <f>(BD374/1000*BD380)</f>
        <v>0</v>
      </c>
      <c r="BE382" s="77">
        <f>(BE374/1000*BE380)</f>
        <v>0</v>
      </c>
      <c r="BF382" s="102">
        <f>(BF374/1000*BF380)</f>
        <v>0</v>
      </c>
      <c r="BG382" s="96">
        <f>SUM(BC382:BF382)</f>
        <v>0</v>
      </c>
      <c r="BH382" s="104">
        <f>(BH374/1000*BH380)</f>
        <v>0</v>
      </c>
      <c r="BI382" s="77">
        <f>(BI374/1000*BI380)</f>
        <v>0</v>
      </c>
      <c r="BJ382" s="77">
        <f>(BJ374/1000*BJ380)</f>
        <v>0</v>
      </c>
      <c r="BK382" s="102">
        <f>(BK374/1000*BK380)</f>
        <v>0</v>
      </c>
      <c r="BL382" s="96">
        <f>SUM(BH382:BK382)</f>
        <v>0</v>
      </c>
      <c r="BM382" s="104">
        <f>(BM374/1000*BM380)</f>
        <v>0</v>
      </c>
      <c r="BN382" s="77">
        <f>(BN374/1000*BN380)</f>
        <v>0</v>
      </c>
      <c r="BO382" s="77">
        <f>(BO374/1000*BO380)</f>
        <v>0</v>
      </c>
      <c r="BP382" s="102">
        <f>(BP374/1000*BP380)</f>
        <v>0</v>
      </c>
      <c r="BQ382" s="96">
        <f>SUM(BM382:BP382)</f>
        <v>0</v>
      </c>
      <c r="BR382" s="87"/>
      <c r="BS382" s="87"/>
      <c r="BZ382" s="91"/>
      <c r="CA382" s="91"/>
      <c r="CB382" s="91"/>
      <c r="CC382" s="91"/>
      <c r="CD382" s="91"/>
      <c r="CE382" s="91"/>
      <c r="CF382" s="91"/>
      <c r="CG382" s="91"/>
      <c r="CH382" s="91"/>
      <c r="CI382" s="91"/>
      <c r="CJ382" s="91"/>
      <c r="CK382" s="91"/>
      <c r="CL382" s="91"/>
      <c r="CM382" s="91"/>
      <c r="CN382" s="91"/>
      <c r="CO382" s="91"/>
      <c r="CP382" s="91"/>
      <c r="CQ382" s="91"/>
      <c r="CR382" s="1018"/>
      <c r="CS382" s="1018"/>
      <c r="CT382" s="821"/>
      <c r="CU382" s="12"/>
      <c r="CV382" s="12"/>
      <c r="CW382" s="12"/>
      <c r="CX382" s="12"/>
      <c r="CY382" s="12"/>
      <c r="CZ382" s="91"/>
      <c r="DA382" s="91"/>
      <c r="DB382" s="91"/>
      <c r="DC382" s="91"/>
      <c r="DD382" s="91"/>
      <c r="DE382" s="91"/>
      <c r="DF382" s="12"/>
      <c r="DG382" s="12"/>
      <c r="DH382" s="12"/>
      <c r="DI382" s="12"/>
      <c r="DJ382" s="12"/>
      <c r="DK382" s="12"/>
      <c r="DL382" s="12"/>
      <c r="DM382" s="12"/>
      <c r="DN382" s="12"/>
    </row>
    <row r="383" spans="1:118">
      <c r="A383" s="91"/>
      <c r="B383" s="89"/>
      <c r="C383" s="1179" t="s">
        <v>683</v>
      </c>
      <c r="D383" s="89"/>
      <c r="E383" s="145"/>
      <c r="F383" s="146"/>
      <c r="G383" s="146"/>
      <c r="H383" s="147"/>
      <c r="I383" s="87"/>
      <c r="J383" s="145"/>
      <c r="K383" s="146"/>
      <c r="L383" s="146"/>
      <c r="M383" s="147"/>
      <c r="N383" s="89"/>
      <c r="O383" s="145"/>
      <c r="P383" s="146"/>
      <c r="Q383" s="146"/>
      <c r="R383" s="147"/>
      <c r="S383" s="89"/>
      <c r="T383" s="104"/>
      <c r="U383" s="77"/>
      <c r="V383" s="77"/>
      <c r="W383" s="102"/>
      <c r="X383" s="96"/>
      <c r="Y383" s="104">
        <f>Y375/1000*Y380</f>
        <v>0</v>
      </c>
      <c r="Z383" s="77">
        <f>Z375/1000*Z380</f>
        <v>0</v>
      </c>
      <c r="AA383" s="77">
        <f>AA375/1000*AA380</f>
        <v>0</v>
      </c>
      <c r="AB383" s="102">
        <f>AB375/1000*AB380</f>
        <v>0</v>
      </c>
      <c r="AC383" s="96">
        <f>SUM(Y383:AB383)</f>
        <v>0</v>
      </c>
      <c r="AD383" s="104">
        <f>AD375/1000*AD380</f>
        <v>0</v>
      </c>
      <c r="AE383" s="77">
        <f>AE375/1000*AE380</f>
        <v>0</v>
      </c>
      <c r="AF383" s="77">
        <f>AF375/1000*AF380</f>
        <v>0</v>
      </c>
      <c r="AG383" s="102">
        <f>AG375/1000*AG380</f>
        <v>0</v>
      </c>
      <c r="AH383" s="96">
        <f>SUM(AD383:AG383)</f>
        <v>0</v>
      </c>
      <c r="AI383" s="104">
        <f>AI375/1000*AI380</f>
        <v>0</v>
      </c>
      <c r="AJ383" s="77">
        <f>AJ375/1000*AJ380</f>
        <v>0</v>
      </c>
      <c r="AK383" s="77">
        <f>AK375/1000*AK380</f>
        <v>0</v>
      </c>
      <c r="AL383" s="102">
        <f>AL375/1000*AL380</f>
        <v>0</v>
      </c>
      <c r="AM383" s="96">
        <f>SUM(AI383:AL383)</f>
        <v>0</v>
      </c>
      <c r="AN383" s="104">
        <f>AN375/1000*AN380</f>
        <v>0</v>
      </c>
      <c r="AO383" s="77">
        <f>AO375/1000*AO380</f>
        <v>0</v>
      </c>
      <c r="AP383" s="77">
        <f>AP375/1000*AP380</f>
        <v>0</v>
      </c>
      <c r="AQ383" s="102">
        <f>AQ375/1000*AQ380</f>
        <v>0</v>
      </c>
      <c r="AR383" s="96">
        <f>SUM(AN383:AQ383)</f>
        <v>0</v>
      </c>
      <c r="AS383" s="104">
        <f>AS375/1000*AS380</f>
        <v>0</v>
      </c>
      <c r="AT383" s="77">
        <f>AT375/1000*AT380</f>
        <v>0</v>
      </c>
      <c r="AU383" s="77">
        <f>AU375/1000*AU380</f>
        <v>0</v>
      </c>
      <c r="AV383" s="102">
        <f>AV375/1000*AV380</f>
        <v>0</v>
      </c>
      <c r="AW383" s="96">
        <f>SUM(AS383:AV383)</f>
        <v>0</v>
      </c>
      <c r="AX383" s="104">
        <f>AX375/1000*AX380</f>
        <v>0</v>
      </c>
      <c r="AY383" s="77">
        <f>AY375/1000*AY380</f>
        <v>0</v>
      </c>
      <c r="AZ383" s="77">
        <f>AZ375/1000*AZ380</f>
        <v>0</v>
      </c>
      <c r="BA383" s="102">
        <f>BA375/1000*BA380</f>
        <v>0</v>
      </c>
      <c r="BB383" s="96">
        <f>SUM(AX383:BA383)</f>
        <v>0</v>
      </c>
      <c r="BC383" s="104">
        <f>BC375/1000*BC380</f>
        <v>0</v>
      </c>
      <c r="BD383" s="77">
        <f>BD375/1000*BD380</f>
        <v>0</v>
      </c>
      <c r="BE383" s="77">
        <f>BE375/1000*BE380</f>
        <v>0</v>
      </c>
      <c r="BF383" s="102">
        <f>BF375/1000*BF380</f>
        <v>0</v>
      </c>
      <c r="BG383" s="96">
        <f>SUM(BC383:BF383)</f>
        <v>0</v>
      </c>
      <c r="BH383" s="104">
        <f>BH375/1000*BH380</f>
        <v>0</v>
      </c>
      <c r="BI383" s="77">
        <f>BI375/1000*BI380</f>
        <v>0</v>
      </c>
      <c r="BJ383" s="77">
        <f>BJ375/1000*BJ380</f>
        <v>0</v>
      </c>
      <c r="BK383" s="102">
        <f>BK375/1000*BK380</f>
        <v>0</v>
      </c>
      <c r="BL383" s="96">
        <f>SUM(BH383:BK383)</f>
        <v>0</v>
      </c>
      <c r="BM383" s="104">
        <f>BM375/1000*BM380</f>
        <v>0</v>
      </c>
      <c r="BN383" s="77">
        <f>BN375/1000*BN380</f>
        <v>0</v>
      </c>
      <c r="BO383" s="77">
        <f>BO375/1000*BO380</f>
        <v>0</v>
      </c>
      <c r="BP383" s="102">
        <f>BP375/1000*BP380</f>
        <v>0</v>
      </c>
      <c r="BQ383" s="96">
        <f>SUM(BM383:BP383)</f>
        <v>0</v>
      </c>
      <c r="BR383" s="87"/>
      <c r="BS383" s="87"/>
      <c r="BZ383" s="91"/>
      <c r="CA383" s="91"/>
      <c r="CB383" s="91"/>
      <c r="CC383" s="91"/>
      <c r="CD383" s="91"/>
      <c r="CE383" s="91"/>
      <c r="CF383" s="91"/>
      <c r="CG383" s="91"/>
      <c r="CH383" s="91"/>
      <c r="CI383" s="91"/>
      <c r="CJ383" s="91"/>
      <c r="CK383" s="91"/>
      <c r="CL383" s="91"/>
      <c r="CM383" s="91"/>
      <c r="CN383" s="91"/>
      <c r="CO383" s="91"/>
      <c r="CP383" s="91"/>
      <c r="CQ383" s="91"/>
      <c r="CR383" s="1018"/>
      <c r="CS383" s="1018"/>
      <c r="CT383" s="821"/>
      <c r="CU383" s="12"/>
      <c r="CV383" s="12"/>
      <c r="CW383" s="12"/>
      <c r="CX383" s="12"/>
      <c r="CY383" s="12"/>
      <c r="CZ383" s="91"/>
      <c r="DA383" s="91"/>
      <c r="DB383" s="91"/>
      <c r="DC383" s="91"/>
      <c r="DD383" s="91"/>
      <c r="DE383" s="91"/>
      <c r="DF383" s="12"/>
      <c r="DG383" s="12"/>
      <c r="DH383" s="12"/>
      <c r="DI383" s="12"/>
      <c r="DJ383" s="12"/>
      <c r="DK383" s="12"/>
      <c r="DL383" s="12"/>
      <c r="DM383" s="12"/>
      <c r="DN383" s="12"/>
    </row>
    <row r="384" spans="1:118">
      <c r="A384" s="91"/>
      <c r="B384" s="89"/>
      <c r="C384" s="1186" t="s">
        <v>567</v>
      </c>
      <c r="D384" s="88"/>
      <c r="E384" s="214"/>
      <c r="F384" s="148"/>
      <c r="G384" s="148"/>
      <c r="H384" s="215"/>
      <c r="I384" s="87"/>
      <c r="J384" s="214"/>
      <c r="K384" s="148"/>
      <c r="L384" s="148"/>
      <c r="M384" s="215"/>
      <c r="N384" s="88"/>
      <c r="O384" s="214"/>
      <c r="P384" s="148"/>
      <c r="Q384" s="148"/>
      <c r="R384" s="215"/>
      <c r="S384" s="88"/>
      <c r="T384" s="106"/>
      <c r="U384" s="76"/>
      <c r="V384" s="76"/>
      <c r="W384" s="107"/>
      <c r="X384" s="93"/>
      <c r="Y384" s="106">
        <f t="shared" ref="Y384:AR384" si="655">Y382-Y383</f>
        <v>1.7506220387091602</v>
      </c>
      <c r="Z384" s="76">
        <f t="shared" si="655"/>
        <v>1.7340221332584145</v>
      </c>
      <c r="AA384" s="76">
        <f t="shared" si="655"/>
        <v>1.763722780856535</v>
      </c>
      <c r="AB384" s="107">
        <f t="shared" si="655"/>
        <v>1.6499044016902704</v>
      </c>
      <c r="AC384" s="93">
        <f t="shared" si="655"/>
        <v>6.8982713545143808</v>
      </c>
      <c r="AD384" s="106">
        <f t="shared" si="655"/>
        <v>0</v>
      </c>
      <c r="AE384" s="76">
        <f t="shared" si="655"/>
        <v>0</v>
      </c>
      <c r="AF384" s="76">
        <f t="shared" si="655"/>
        <v>0</v>
      </c>
      <c r="AG384" s="107">
        <f t="shared" si="655"/>
        <v>0</v>
      </c>
      <c r="AH384" s="93">
        <f t="shared" si="655"/>
        <v>0</v>
      </c>
      <c r="AI384" s="106">
        <f t="shared" si="655"/>
        <v>0</v>
      </c>
      <c r="AJ384" s="76">
        <f t="shared" si="655"/>
        <v>0</v>
      </c>
      <c r="AK384" s="76">
        <f t="shared" si="655"/>
        <v>0</v>
      </c>
      <c r="AL384" s="107">
        <f t="shared" si="655"/>
        <v>0</v>
      </c>
      <c r="AM384" s="93">
        <f t="shared" si="655"/>
        <v>0</v>
      </c>
      <c r="AN384" s="106">
        <f t="shared" si="655"/>
        <v>0</v>
      </c>
      <c r="AO384" s="76">
        <f t="shared" si="655"/>
        <v>0</v>
      </c>
      <c r="AP384" s="76">
        <f t="shared" ref="AP384" si="656">AP382-AP383</f>
        <v>0</v>
      </c>
      <c r="AQ384" s="107">
        <f t="shared" si="655"/>
        <v>0</v>
      </c>
      <c r="AR384" s="93">
        <f t="shared" si="655"/>
        <v>0</v>
      </c>
      <c r="AS384" s="106">
        <f t="shared" ref="AS384" si="657">AS382-AS383</f>
        <v>0</v>
      </c>
      <c r="AT384" s="76">
        <f t="shared" ref="AT384:BB384" si="658">AT382-AT383</f>
        <v>0</v>
      </c>
      <c r="AU384" s="76">
        <f t="shared" ref="AU384" si="659">AU382-AU383</f>
        <v>0</v>
      </c>
      <c r="AV384" s="107">
        <f t="shared" si="658"/>
        <v>0</v>
      </c>
      <c r="AW384" s="93">
        <f t="shared" si="658"/>
        <v>0</v>
      </c>
      <c r="AX384" s="106">
        <f t="shared" si="658"/>
        <v>0</v>
      </c>
      <c r="AY384" s="76">
        <f t="shared" si="658"/>
        <v>0</v>
      </c>
      <c r="AZ384" s="76">
        <f t="shared" si="658"/>
        <v>0</v>
      </c>
      <c r="BA384" s="107">
        <f t="shared" si="658"/>
        <v>0</v>
      </c>
      <c r="BB384" s="93">
        <f t="shared" si="658"/>
        <v>0</v>
      </c>
      <c r="BC384" s="106">
        <f t="shared" ref="BC384:BL384" si="660">BC382-BC383</f>
        <v>0</v>
      </c>
      <c r="BD384" s="76">
        <f t="shared" si="660"/>
        <v>0</v>
      </c>
      <c r="BE384" s="76">
        <f t="shared" si="660"/>
        <v>0</v>
      </c>
      <c r="BF384" s="107">
        <f t="shared" si="660"/>
        <v>0</v>
      </c>
      <c r="BG384" s="93">
        <f t="shared" si="660"/>
        <v>0</v>
      </c>
      <c r="BH384" s="106">
        <f t="shared" si="660"/>
        <v>0</v>
      </c>
      <c r="BI384" s="76">
        <f t="shared" si="660"/>
        <v>0</v>
      </c>
      <c r="BJ384" s="76">
        <f t="shared" si="660"/>
        <v>0</v>
      </c>
      <c r="BK384" s="107">
        <f t="shared" si="660"/>
        <v>0</v>
      </c>
      <c r="BL384" s="93">
        <f t="shared" si="660"/>
        <v>0</v>
      </c>
      <c r="BM384" s="106">
        <f t="shared" ref="BM384:BQ384" si="661">BM382-BM383</f>
        <v>0</v>
      </c>
      <c r="BN384" s="76">
        <f t="shared" si="661"/>
        <v>0</v>
      </c>
      <c r="BO384" s="76">
        <f t="shared" si="661"/>
        <v>0</v>
      </c>
      <c r="BP384" s="107">
        <f t="shared" si="661"/>
        <v>0</v>
      </c>
      <c r="BQ384" s="93">
        <f t="shared" si="661"/>
        <v>0</v>
      </c>
      <c r="BR384" s="87"/>
      <c r="BS384" s="87"/>
      <c r="BZ384" s="91"/>
      <c r="CA384" s="91"/>
      <c r="CB384" s="91"/>
      <c r="CC384" s="91"/>
      <c r="CD384" s="91"/>
      <c r="CE384" s="91"/>
      <c r="CF384" s="91"/>
      <c r="CG384" s="91"/>
      <c r="CH384" s="91"/>
      <c r="CI384" s="91"/>
      <c r="CJ384" s="91"/>
      <c r="CK384" s="91"/>
      <c r="CL384" s="91"/>
      <c r="CM384" s="91"/>
      <c r="CN384" s="91"/>
      <c r="CO384" s="91"/>
      <c r="CP384" s="91"/>
      <c r="CQ384" s="91"/>
      <c r="CR384" s="1018"/>
      <c r="CS384" s="1018"/>
      <c r="CT384" s="821"/>
      <c r="CU384" s="12"/>
      <c r="CV384" s="12"/>
      <c r="CW384" s="12"/>
      <c r="CX384" s="12"/>
      <c r="CY384" s="12"/>
      <c r="CZ384" s="91"/>
      <c r="DA384" s="91"/>
      <c r="DB384" s="91"/>
      <c r="DC384" s="91"/>
      <c r="DD384" s="91"/>
      <c r="DE384" s="91"/>
      <c r="DF384" s="12"/>
      <c r="DG384" s="12"/>
      <c r="DH384" s="12"/>
      <c r="DI384" s="12"/>
      <c r="DJ384" s="12"/>
      <c r="DK384" s="12"/>
      <c r="DL384" s="12"/>
      <c r="DM384" s="12"/>
      <c r="DN384" s="12"/>
    </row>
    <row r="385" spans="1:118">
      <c r="A385" s="91"/>
      <c r="B385" s="88"/>
      <c r="C385" s="1186"/>
      <c r="D385" s="88"/>
      <c r="E385" s="214"/>
      <c r="F385" s="148"/>
      <c r="G385" s="148"/>
      <c r="H385" s="215"/>
      <c r="I385" s="88"/>
      <c r="J385" s="214"/>
      <c r="K385" s="148"/>
      <c r="L385" s="148"/>
      <c r="M385" s="215"/>
      <c r="N385" s="88"/>
      <c r="O385" s="214"/>
      <c r="P385" s="148"/>
      <c r="Q385" s="148"/>
      <c r="R385" s="215"/>
      <c r="S385" s="88"/>
      <c r="T385" s="106"/>
      <c r="U385" s="76"/>
      <c r="V385" s="76"/>
      <c r="W385" s="107"/>
      <c r="X385" s="308"/>
      <c r="Y385" s="106"/>
      <c r="Z385" s="76"/>
      <c r="AA385" s="76"/>
      <c r="AB385" s="107"/>
      <c r="AC385" s="308"/>
      <c r="AD385" s="106"/>
      <c r="AE385" s="76"/>
      <c r="AF385" s="76"/>
      <c r="AG385" s="107"/>
      <c r="AH385" s="308"/>
      <c r="AI385" s="106"/>
      <c r="AJ385" s="76"/>
      <c r="AK385" s="76"/>
      <c r="AL385" s="107"/>
      <c r="AM385" s="308"/>
      <c r="AN385" s="106"/>
      <c r="AO385" s="76"/>
      <c r="AP385" s="76"/>
      <c r="AQ385" s="107"/>
      <c r="AR385" s="308"/>
      <c r="AS385" s="106"/>
      <c r="AT385" s="76"/>
      <c r="AU385" s="76"/>
      <c r="AV385" s="107"/>
      <c r="AW385" s="308"/>
      <c r="AX385" s="106"/>
      <c r="AY385" s="76"/>
      <c r="AZ385" s="76"/>
      <c r="BA385" s="107"/>
      <c r="BB385" s="308"/>
      <c r="BC385" s="106"/>
      <c r="BD385" s="76"/>
      <c r="BE385" s="76"/>
      <c r="BF385" s="107"/>
      <c r="BG385" s="308"/>
      <c r="BH385" s="106"/>
      <c r="BI385" s="76"/>
      <c r="BJ385" s="76"/>
      <c r="BK385" s="107"/>
      <c r="BL385" s="308"/>
      <c r="BM385" s="106"/>
      <c r="BN385" s="76"/>
      <c r="BO385" s="76"/>
      <c r="BP385" s="107"/>
      <c r="BQ385" s="308"/>
      <c r="BR385" s="87"/>
      <c r="BS385" s="87"/>
      <c r="BZ385" s="91"/>
      <c r="CA385" s="91"/>
      <c r="CB385" s="91"/>
      <c r="CC385" s="91"/>
      <c r="CD385" s="91"/>
      <c r="CE385" s="91"/>
      <c r="CF385" s="91"/>
      <c r="CG385" s="91"/>
      <c r="CH385" s="91"/>
      <c r="CI385" s="91"/>
      <c r="CJ385" s="91"/>
      <c r="CK385" s="91"/>
      <c r="CL385" s="91"/>
      <c r="CM385" s="91"/>
      <c r="CN385" s="91"/>
      <c r="CO385" s="91"/>
      <c r="CP385" s="91"/>
      <c r="CQ385" s="91"/>
      <c r="CR385" s="1018"/>
      <c r="CS385" s="1018"/>
      <c r="CT385" s="821"/>
      <c r="CU385" s="12"/>
      <c r="CV385" s="12"/>
      <c r="CW385" s="12"/>
      <c r="CX385" s="12"/>
      <c r="CY385" s="12"/>
      <c r="CZ385" s="91"/>
      <c r="DA385" s="91"/>
      <c r="DB385" s="91"/>
      <c r="DC385" s="91"/>
      <c r="DD385" s="91"/>
      <c r="DE385" s="91"/>
      <c r="DF385" s="12"/>
      <c r="DG385" s="12"/>
      <c r="DH385" s="12"/>
      <c r="DI385" s="12"/>
      <c r="DJ385" s="12"/>
      <c r="DK385" s="12"/>
      <c r="DL385" s="12"/>
      <c r="DM385" s="12"/>
      <c r="DN385" s="12"/>
    </row>
    <row r="386" spans="1:118">
      <c r="A386" s="91"/>
      <c r="B386" s="88"/>
      <c r="C386" s="1186"/>
      <c r="D386" s="88"/>
      <c r="E386" s="214"/>
      <c r="F386" s="148"/>
      <c r="G386" s="148"/>
      <c r="H386" s="215"/>
      <c r="I386" s="88"/>
      <c r="J386" s="214"/>
      <c r="K386" s="148"/>
      <c r="L386" s="148"/>
      <c r="M386" s="215"/>
      <c r="N386" s="88"/>
      <c r="O386" s="214"/>
      <c r="P386" s="148"/>
      <c r="Q386" s="148"/>
      <c r="R386" s="215"/>
      <c r="S386" s="88"/>
      <c r="T386" s="106"/>
      <c r="U386" s="76"/>
      <c r="V386" s="76"/>
      <c r="W386" s="107"/>
      <c r="X386" s="308"/>
      <c r="Y386" s="106"/>
      <c r="Z386" s="76"/>
      <c r="AA386" s="76"/>
      <c r="AB386" s="107"/>
      <c r="AC386" s="308"/>
      <c r="AD386" s="106"/>
      <c r="AE386" s="76"/>
      <c r="AF386" s="76"/>
      <c r="AG386" s="107"/>
      <c r="AH386" s="308"/>
      <c r="AI386" s="106"/>
      <c r="AJ386" s="76"/>
      <c r="AK386" s="76"/>
      <c r="AL386" s="107"/>
      <c r="AM386" s="308"/>
      <c r="AN386" s="106"/>
      <c r="AO386" s="76"/>
      <c r="AP386" s="76"/>
      <c r="AQ386" s="107"/>
      <c r="AR386" s="308"/>
      <c r="AS386" s="106"/>
      <c r="AT386" s="76"/>
      <c r="AU386" s="76"/>
      <c r="AV386" s="107"/>
      <c r="AW386" s="308"/>
      <c r="AX386" s="106"/>
      <c r="AY386" s="76"/>
      <c r="AZ386" s="76"/>
      <c r="BA386" s="107"/>
      <c r="BB386" s="308"/>
      <c r="BC386" s="106"/>
      <c r="BD386" s="76"/>
      <c r="BE386" s="76"/>
      <c r="BF386" s="107"/>
      <c r="BG386" s="308"/>
      <c r="BH386" s="106"/>
      <c r="BI386" s="76"/>
      <c r="BJ386" s="76"/>
      <c r="BK386" s="107"/>
      <c r="BL386" s="308"/>
      <c r="BM386" s="106"/>
      <c r="BN386" s="76"/>
      <c r="BO386" s="76"/>
      <c r="BP386" s="107"/>
      <c r="BQ386" s="308"/>
      <c r="BR386" s="87"/>
      <c r="BS386" s="87"/>
      <c r="BZ386" s="91"/>
      <c r="CA386" s="91"/>
      <c r="CB386" s="91"/>
      <c r="CC386" s="91"/>
      <c r="CD386" s="91"/>
      <c r="CE386" s="91"/>
      <c r="CF386" s="91"/>
      <c r="CG386" s="91"/>
      <c r="CH386" s="91"/>
      <c r="CI386" s="91"/>
      <c r="CJ386" s="91"/>
      <c r="CK386" s="91"/>
      <c r="CL386" s="91"/>
      <c r="CM386" s="91"/>
      <c r="CN386" s="91"/>
      <c r="CO386" s="91"/>
      <c r="CP386" s="91"/>
      <c r="CQ386" s="91"/>
      <c r="CR386" s="1018"/>
      <c r="CS386" s="1018"/>
      <c r="CT386" s="821"/>
      <c r="CU386" s="12"/>
      <c r="CV386" s="12"/>
      <c r="CW386" s="12"/>
      <c r="CX386" s="12"/>
      <c r="CY386" s="12"/>
      <c r="CZ386" s="91"/>
      <c r="DA386" s="91"/>
      <c r="DB386" s="91"/>
      <c r="DC386" s="91"/>
      <c r="DD386" s="91"/>
      <c r="DE386" s="91"/>
      <c r="DF386" s="12"/>
      <c r="DG386" s="12"/>
      <c r="DH386" s="12"/>
      <c r="DI386" s="12"/>
      <c r="DJ386" s="12"/>
      <c r="DK386" s="12"/>
      <c r="DL386" s="12"/>
      <c r="DM386" s="12"/>
      <c r="DN386" s="12"/>
    </row>
    <row r="387" spans="1:118">
      <c r="A387" s="91"/>
      <c r="B387" s="807" t="s">
        <v>591</v>
      </c>
      <c r="C387" s="1247"/>
      <c r="D387" s="1017"/>
      <c r="E387" s="145"/>
      <c r="F387" s="146"/>
      <c r="G387" s="146"/>
      <c r="H387" s="147"/>
      <c r="I387" s="87"/>
      <c r="J387" s="145"/>
      <c r="K387" s="146"/>
      <c r="L387" s="146"/>
      <c r="M387" s="147"/>
      <c r="N387" s="89"/>
      <c r="O387" s="145"/>
      <c r="P387" s="146"/>
      <c r="Q387" s="146"/>
      <c r="R387" s="147"/>
      <c r="S387" s="89"/>
      <c r="T387" s="145"/>
      <c r="U387" s="146"/>
      <c r="V387" s="146"/>
      <c r="W387" s="147"/>
      <c r="X387" s="89"/>
      <c r="Y387" s="145"/>
      <c r="Z387" s="146"/>
      <c r="AA387" s="146"/>
      <c r="AB387" s="147"/>
      <c r="AC387" s="89"/>
      <c r="AD387" s="145"/>
      <c r="AE387" s="146"/>
      <c r="AF387" s="146"/>
      <c r="AG387" s="147"/>
      <c r="AH387" s="89"/>
      <c r="AI387" s="145"/>
      <c r="AJ387" s="146"/>
      <c r="AK387" s="146"/>
      <c r="AL387" s="147"/>
      <c r="AM387" s="89"/>
      <c r="AN387" s="145"/>
      <c r="AO387" s="146"/>
      <c r="AP387" s="146"/>
      <c r="AQ387" s="147"/>
      <c r="AR387" s="89"/>
      <c r="AS387" s="145"/>
      <c r="AT387" s="146"/>
      <c r="AU387" s="146"/>
      <c r="AV387" s="147"/>
      <c r="AW387" s="89"/>
      <c r="AX387" s="145"/>
      <c r="AY387" s="146"/>
      <c r="AZ387" s="146"/>
      <c r="BA387" s="147"/>
      <c r="BB387" s="89"/>
      <c r="BC387" s="145"/>
      <c r="BD387" s="146"/>
      <c r="BE387" s="146"/>
      <c r="BF387" s="147"/>
      <c r="BG387" s="89"/>
      <c r="BH387" s="145"/>
      <c r="BI387" s="146"/>
      <c r="BJ387" s="146"/>
      <c r="BK387" s="147"/>
      <c r="BL387" s="89"/>
      <c r="BM387" s="145"/>
      <c r="BN387" s="146"/>
      <c r="BO387" s="146"/>
      <c r="BP387" s="147"/>
      <c r="BQ387" s="89"/>
      <c r="BR387" s="87"/>
      <c r="BS387" s="87"/>
      <c r="BZ387" s="91"/>
      <c r="CA387" s="91"/>
      <c r="CB387" s="91"/>
      <c r="CC387" s="91"/>
      <c r="CD387" s="91"/>
      <c r="CE387" s="91"/>
      <c r="CF387" s="91"/>
      <c r="CG387" s="91"/>
      <c r="CH387" s="91"/>
      <c r="CI387" s="91"/>
      <c r="CJ387" s="91"/>
      <c r="CK387" s="91"/>
      <c r="CL387" s="91"/>
      <c r="CM387" s="91"/>
      <c r="CN387" s="91"/>
      <c r="CO387" s="91"/>
      <c r="CP387" s="91"/>
      <c r="CQ387" s="91"/>
      <c r="CR387" s="1018"/>
      <c r="CS387" s="1018"/>
      <c r="CT387" s="821"/>
      <c r="CU387" s="12"/>
      <c r="CV387" s="12"/>
      <c r="CW387" s="12"/>
      <c r="CX387" s="12"/>
      <c r="CY387" s="12"/>
      <c r="CZ387" s="91"/>
      <c r="DA387" s="91"/>
      <c r="DB387" s="91"/>
      <c r="DC387" s="91"/>
      <c r="DD387" s="91"/>
      <c r="DE387" s="91"/>
      <c r="DF387" s="12"/>
      <c r="DG387" s="12"/>
      <c r="DH387" s="12"/>
      <c r="DI387" s="12"/>
      <c r="DJ387" s="12"/>
      <c r="DK387" s="12"/>
      <c r="DL387" s="12"/>
      <c r="DM387" s="12"/>
      <c r="DN387" s="12"/>
    </row>
    <row r="388" spans="1:118">
      <c r="A388" s="91"/>
      <c r="B388" s="88"/>
      <c r="C388" s="1186"/>
      <c r="D388" s="88"/>
      <c r="E388" s="214"/>
      <c r="F388" s="148"/>
      <c r="G388" s="148"/>
      <c r="H388" s="215"/>
      <c r="I388" s="87"/>
      <c r="J388" s="214"/>
      <c r="K388" s="148"/>
      <c r="L388" s="148"/>
      <c r="M388" s="215"/>
      <c r="N388" s="88"/>
      <c r="O388" s="214"/>
      <c r="P388" s="148"/>
      <c r="Q388" s="148"/>
      <c r="R388" s="215"/>
      <c r="S388" s="88"/>
      <c r="T388" s="106"/>
      <c r="U388" s="76"/>
      <c r="V388" s="76"/>
      <c r="W388" s="107"/>
      <c r="X388" s="93"/>
      <c r="Y388" s="106"/>
      <c r="Z388" s="76"/>
      <c r="AA388" s="76"/>
      <c r="AB388" s="107"/>
      <c r="AC388" s="93"/>
      <c r="AD388" s="106"/>
      <c r="AE388" s="76"/>
      <c r="AF388" s="76"/>
      <c r="AG388" s="107"/>
      <c r="AH388" s="93"/>
      <c r="AI388" s="106"/>
      <c r="AJ388" s="76"/>
      <c r="AK388" s="76"/>
      <c r="AL388" s="107"/>
      <c r="AM388" s="93"/>
      <c r="AN388" s="106"/>
      <c r="AO388" s="76"/>
      <c r="AP388" s="76"/>
      <c r="AQ388" s="107"/>
      <c r="AR388" s="93"/>
      <c r="AS388" s="106"/>
      <c r="AT388" s="76"/>
      <c r="AU388" s="76"/>
      <c r="AV388" s="107"/>
      <c r="AW388" s="93"/>
      <c r="AX388" s="106"/>
      <c r="AY388" s="76"/>
      <c r="AZ388" s="76"/>
      <c r="BA388" s="107"/>
      <c r="BB388" s="93"/>
      <c r="BC388" s="106"/>
      <c r="BD388" s="76"/>
      <c r="BE388" s="76"/>
      <c r="BF388" s="107"/>
      <c r="BG388" s="93"/>
      <c r="BH388" s="106"/>
      <c r="BI388" s="76"/>
      <c r="BJ388" s="76"/>
      <c r="BK388" s="107"/>
      <c r="BL388" s="93"/>
      <c r="BM388" s="106"/>
      <c r="BN388" s="76"/>
      <c r="BO388" s="76"/>
      <c r="BP388" s="107"/>
      <c r="BQ388" s="93"/>
      <c r="BR388" s="87"/>
      <c r="BS388" s="87"/>
      <c r="BZ388" s="91"/>
      <c r="CA388" s="91"/>
      <c r="CB388" s="91"/>
      <c r="CC388" s="91"/>
      <c r="CD388" s="91"/>
      <c r="CE388" s="91"/>
      <c r="CF388" s="91"/>
      <c r="CG388" s="91"/>
      <c r="CH388" s="91"/>
      <c r="CI388" s="91"/>
      <c r="CJ388" s="91"/>
      <c r="CK388" s="91"/>
      <c r="CL388" s="91"/>
      <c r="CM388" s="91"/>
      <c r="CN388" s="91"/>
      <c r="CO388" s="91"/>
      <c r="CP388" s="91"/>
      <c r="CQ388" s="91"/>
      <c r="CR388" s="1018"/>
      <c r="CS388" s="1018"/>
      <c r="CT388" s="821"/>
      <c r="CU388" s="12"/>
      <c r="CV388" s="12"/>
      <c r="CW388" s="12"/>
      <c r="CX388" s="12"/>
      <c r="CY388" s="12"/>
      <c r="CZ388" s="91"/>
      <c r="DA388" s="91"/>
      <c r="DB388" s="91"/>
      <c r="DC388" s="91"/>
      <c r="DD388" s="91"/>
      <c r="DE388" s="91"/>
      <c r="DF388" s="12"/>
      <c r="DG388" s="12"/>
      <c r="DH388" s="12"/>
      <c r="DI388" s="12"/>
      <c r="DJ388" s="12"/>
      <c r="DK388" s="12"/>
      <c r="DL388" s="12"/>
      <c r="DM388" s="12"/>
      <c r="DN388" s="12"/>
    </row>
    <row r="389" spans="1:118">
      <c r="A389" s="91"/>
      <c r="B389" s="89"/>
      <c r="C389" s="1254" t="s">
        <v>594</v>
      </c>
      <c r="D389" s="89"/>
      <c r="E389" s="145"/>
      <c r="F389" s="146"/>
      <c r="G389" s="146"/>
      <c r="H389" s="147"/>
      <c r="I389" s="87"/>
      <c r="J389" s="145"/>
      <c r="K389" s="146"/>
      <c r="L389" s="146"/>
      <c r="M389" s="147"/>
      <c r="N389" s="89"/>
      <c r="O389" s="145"/>
      <c r="P389" s="146"/>
      <c r="Q389" s="146"/>
      <c r="R389" s="147"/>
      <c r="S389" s="89"/>
      <c r="T389" s="145"/>
      <c r="U389" s="146"/>
      <c r="V389" s="146"/>
      <c r="W389" s="147"/>
      <c r="X389" s="89"/>
      <c r="Y389" s="145"/>
      <c r="Z389" s="146"/>
      <c r="AA389" s="146"/>
      <c r="AB389" s="147"/>
      <c r="AC389" s="89"/>
      <c r="AD389" s="145"/>
      <c r="AE389" s="146"/>
      <c r="AF389" s="146"/>
      <c r="AG389" s="147"/>
      <c r="AH389" s="89"/>
      <c r="AI389" s="145"/>
      <c r="AJ389" s="146"/>
      <c r="AK389" s="146"/>
      <c r="AL389" s="147"/>
      <c r="AM389" s="89"/>
      <c r="AN389" s="145"/>
      <c r="AO389" s="146"/>
      <c r="AP389" s="146"/>
      <c r="AQ389" s="147"/>
      <c r="AR389" s="89"/>
      <c r="AS389" s="145"/>
      <c r="AT389" s="146"/>
      <c r="AU389" s="146"/>
      <c r="AV389" s="147"/>
      <c r="AW389" s="89"/>
      <c r="AX389" s="145"/>
      <c r="AY389" s="146"/>
      <c r="AZ389" s="146"/>
      <c r="BA389" s="147"/>
      <c r="BB389" s="89"/>
      <c r="BC389" s="145"/>
      <c r="BD389" s="146"/>
      <c r="BE389" s="146"/>
      <c r="BF389" s="147"/>
      <c r="BG389" s="89"/>
      <c r="BH389" s="145"/>
      <c r="BI389" s="146"/>
      <c r="BJ389" s="146"/>
      <c r="BK389" s="147"/>
      <c r="BL389" s="89"/>
      <c r="BM389" s="145"/>
      <c r="BN389" s="146"/>
      <c r="BO389" s="146"/>
      <c r="BP389" s="147"/>
      <c r="BQ389" s="89"/>
      <c r="BR389" s="87"/>
      <c r="BS389" s="87"/>
      <c r="BZ389" s="91"/>
      <c r="CA389" s="91"/>
      <c r="CB389" s="91"/>
      <c r="CC389" s="91"/>
      <c r="CD389" s="91"/>
      <c r="CE389" s="91"/>
      <c r="CF389" s="91"/>
      <c r="CG389" s="91"/>
      <c r="CH389" s="91"/>
      <c r="CI389" s="91"/>
      <c r="CJ389" s="91"/>
      <c r="CK389" s="91"/>
      <c r="CL389" s="91"/>
      <c r="CM389" s="91"/>
      <c r="CN389" s="91"/>
      <c r="CO389" s="91"/>
      <c r="CP389" s="91"/>
      <c r="CQ389" s="91"/>
      <c r="CR389" s="1018"/>
      <c r="CS389" s="1018"/>
      <c r="CT389" s="821"/>
      <c r="CU389" s="12"/>
      <c r="CV389" s="12"/>
      <c r="CW389" s="12"/>
      <c r="CX389" s="12"/>
      <c r="CY389" s="12"/>
      <c r="CZ389" s="91"/>
      <c r="DA389" s="91"/>
      <c r="DB389" s="91"/>
      <c r="DC389" s="91"/>
      <c r="DD389" s="91"/>
      <c r="DE389" s="91"/>
      <c r="DF389" s="12"/>
      <c r="DG389" s="12"/>
      <c r="DH389" s="12"/>
      <c r="DI389" s="12"/>
      <c r="DJ389" s="12"/>
      <c r="DK389" s="12"/>
      <c r="DL389" s="12"/>
      <c r="DM389" s="12"/>
      <c r="DN389" s="12"/>
    </row>
    <row r="390" spans="1:118">
      <c r="A390" s="91"/>
      <c r="B390" s="89"/>
      <c r="C390" s="1179" t="s">
        <v>566</v>
      </c>
      <c r="D390" s="89"/>
      <c r="E390" s="145"/>
      <c r="F390" s="146"/>
      <c r="G390" s="146"/>
      <c r="H390" s="147"/>
      <c r="I390" s="87"/>
      <c r="J390" s="145"/>
      <c r="K390" s="146"/>
      <c r="L390" s="146"/>
      <c r="M390" s="147"/>
      <c r="N390" s="89"/>
      <c r="O390" s="145"/>
      <c r="P390" s="146"/>
      <c r="Q390" s="146"/>
      <c r="R390" s="147"/>
      <c r="S390" s="89"/>
      <c r="T390" s="114"/>
      <c r="U390" s="115"/>
      <c r="V390" s="115"/>
      <c r="W390" s="105"/>
      <c r="X390" s="113"/>
      <c r="Y390" s="114">
        <f t="shared" ref="Y390:AR390" si="662">+Y414+Y427+Y440</f>
        <v>32.348249633218401</v>
      </c>
      <c r="Z390" s="115">
        <f t="shared" si="662"/>
        <v>26.323800743573422</v>
      </c>
      <c r="AA390" s="115">
        <f t="shared" si="662"/>
        <v>43.132328077858766</v>
      </c>
      <c r="AB390" s="105">
        <f t="shared" si="662"/>
        <v>30.707586012479215</v>
      </c>
      <c r="AC390" s="113">
        <f t="shared" si="662"/>
        <v>132.51196446712979</v>
      </c>
      <c r="AD390" s="114">
        <f t="shared" si="662"/>
        <v>65.666596269449983</v>
      </c>
      <c r="AE390" s="115">
        <f t="shared" si="662"/>
        <v>45.438092468597191</v>
      </c>
      <c r="AF390" s="115">
        <f t="shared" si="662"/>
        <v>37.794213435740758</v>
      </c>
      <c r="AG390" s="105">
        <f t="shared" si="662"/>
        <v>37.638515965297415</v>
      </c>
      <c r="AH390" s="113">
        <f t="shared" si="662"/>
        <v>186.53741813908533</v>
      </c>
      <c r="AI390" s="114">
        <f t="shared" si="662"/>
        <v>32.878095511564297</v>
      </c>
      <c r="AJ390" s="115">
        <f t="shared" si="662"/>
        <v>35.529937965742604</v>
      </c>
      <c r="AK390" s="115">
        <f t="shared" si="662"/>
        <v>35.334726479479059</v>
      </c>
      <c r="AL390" s="105">
        <f t="shared" si="662"/>
        <v>29.361609653486845</v>
      </c>
      <c r="AM390" s="113">
        <f t="shared" si="662"/>
        <v>133.10436961027284</v>
      </c>
      <c r="AN390" s="114">
        <f t="shared" si="662"/>
        <v>28.464032309265932</v>
      </c>
      <c r="AO390" s="115">
        <f t="shared" si="662"/>
        <v>29.76652521126034</v>
      </c>
      <c r="AP390" s="115">
        <f t="shared" ref="AP390" si="663">+AP414+AP427+AP440</f>
        <v>34.860984621982531</v>
      </c>
      <c r="AQ390" s="105">
        <f t="shared" si="662"/>
        <v>31.156492646991033</v>
      </c>
      <c r="AR390" s="113">
        <f t="shared" si="662"/>
        <v>124.24803478949984</v>
      </c>
      <c r="AS390" s="114">
        <f t="shared" ref="AS390" si="664">+AS414+AS427+AS440</f>
        <v>30.048901445220331</v>
      </c>
      <c r="AT390" s="115">
        <f t="shared" ref="AT390:AW391" si="665">+AT414+AT427+AT440</f>
        <v>30.048901445220331</v>
      </c>
      <c r="AU390" s="115">
        <f t="shared" ref="AU390" si="666">+AU414+AU427+AU440</f>
        <v>32.032795045065662</v>
      </c>
      <c r="AV390" s="105">
        <f t="shared" si="665"/>
        <v>4.0349320139353591</v>
      </c>
      <c r="AW390" s="113">
        <f t="shared" si="665"/>
        <v>96.165529949441691</v>
      </c>
      <c r="AX390" s="114">
        <f t="shared" ref="AX390:BB391" si="667">+AX414+AX427+AX440</f>
        <v>0</v>
      </c>
      <c r="AY390" s="115">
        <f t="shared" si="667"/>
        <v>3.7173060000000007</v>
      </c>
      <c r="AZ390" s="115">
        <f t="shared" si="667"/>
        <v>3.9759011999999996</v>
      </c>
      <c r="BA390" s="105">
        <f t="shared" si="667"/>
        <v>3.7370597999999999</v>
      </c>
      <c r="BB390" s="113">
        <f t="shared" si="667"/>
        <v>11.430267000000001</v>
      </c>
      <c r="BC390" s="114">
        <f t="shared" ref="BC390:BG391" si="668">+BC414+BC427+BC440</f>
        <v>4.3639376516619297</v>
      </c>
      <c r="BD390" s="115">
        <f t="shared" si="668"/>
        <v>3.1977983700293318</v>
      </c>
      <c r="BE390" s="115">
        <f t="shared" si="668"/>
        <v>3.4587757163437085</v>
      </c>
      <c r="BF390" s="105">
        <f t="shared" si="668"/>
        <v>4.2024848619506674</v>
      </c>
      <c r="BG390" s="113">
        <f t="shared" si="668"/>
        <v>15.222996599985638</v>
      </c>
      <c r="BH390" s="114">
        <f t="shared" ref="BH390:BL391" si="669">+BH414+BH427+BH440</f>
        <v>4.3536417034493056</v>
      </c>
      <c r="BI390" s="115">
        <f t="shared" si="669"/>
        <v>0</v>
      </c>
      <c r="BJ390" s="115">
        <f t="shared" si="669"/>
        <v>3.4506153395241652</v>
      </c>
      <c r="BK390" s="105">
        <f t="shared" si="669"/>
        <v>4.1925698333785935</v>
      </c>
      <c r="BL390" s="113">
        <f t="shared" si="669"/>
        <v>11.996826876352063</v>
      </c>
      <c r="BM390" s="114">
        <f t="shared" ref="BM390:BQ390" si="670">+BM414+BM427+BM440</f>
        <v>4.9905890973834506</v>
      </c>
      <c r="BN390" s="115">
        <f t="shared" si="670"/>
        <v>0</v>
      </c>
      <c r="BO390" s="115">
        <f t="shared" si="670"/>
        <v>0</v>
      </c>
      <c r="BP390" s="105">
        <f t="shared" si="670"/>
        <v>5.1064820256183641</v>
      </c>
      <c r="BQ390" s="113">
        <f t="shared" si="670"/>
        <v>10.097071123001815</v>
      </c>
      <c r="BR390" s="87"/>
      <c r="BS390" s="87"/>
      <c r="BZ390" s="91"/>
      <c r="CA390" s="91"/>
      <c r="CB390" s="91"/>
      <c r="CC390" s="91"/>
      <c r="CD390" s="91"/>
      <c r="CE390" s="91"/>
      <c r="CF390" s="91"/>
      <c r="CG390" s="91"/>
      <c r="CH390" s="91"/>
      <c r="CI390" s="91"/>
      <c r="CJ390" s="91"/>
      <c r="CK390" s="91"/>
      <c r="CL390" s="91"/>
      <c r="CM390" s="91"/>
      <c r="CN390" s="91"/>
      <c r="CO390" s="91"/>
      <c r="CP390" s="91"/>
      <c r="CQ390" s="91"/>
      <c r="CR390" s="1018"/>
      <c r="CS390" s="1018"/>
      <c r="CT390" s="821"/>
      <c r="CU390" s="12"/>
      <c r="CV390" s="12"/>
      <c r="CW390" s="12"/>
      <c r="CX390" s="12"/>
      <c r="CY390" s="12"/>
      <c r="CZ390" s="91"/>
      <c r="DA390" s="91"/>
      <c r="DB390" s="91"/>
      <c r="DC390" s="91"/>
      <c r="DD390" s="91"/>
      <c r="DE390" s="91"/>
      <c r="DF390" s="12"/>
      <c r="DG390" s="12"/>
      <c r="DH390" s="12"/>
      <c r="DI390" s="12"/>
      <c r="DJ390" s="12"/>
      <c r="DK390" s="12"/>
      <c r="DL390" s="12"/>
      <c r="DM390" s="12"/>
      <c r="DN390" s="12"/>
    </row>
    <row r="391" spans="1:118">
      <c r="A391" s="91"/>
      <c r="B391" s="89"/>
      <c r="C391" s="1179" t="s">
        <v>683</v>
      </c>
      <c r="D391" s="89"/>
      <c r="E391" s="145"/>
      <c r="F391" s="146"/>
      <c r="G391" s="146"/>
      <c r="H391" s="147"/>
      <c r="I391" s="87"/>
      <c r="J391" s="145"/>
      <c r="K391" s="146"/>
      <c r="L391" s="146"/>
      <c r="M391" s="147"/>
      <c r="N391" s="89"/>
      <c r="O391" s="145"/>
      <c r="P391" s="146"/>
      <c r="Q391" s="146"/>
      <c r="R391" s="147"/>
      <c r="S391" s="89"/>
      <c r="T391" s="114"/>
      <c r="U391" s="115"/>
      <c r="V391" s="115"/>
      <c r="W391" s="105"/>
      <c r="X391" s="113"/>
      <c r="Y391" s="114">
        <f t="shared" ref="Y391:AR391" si="671">+Y415+Y428+Y441</f>
        <v>26.406699164999996</v>
      </c>
      <c r="Z391" s="115">
        <f t="shared" si="671"/>
        <v>17.965554131249998</v>
      </c>
      <c r="AA391" s="115">
        <f t="shared" si="671"/>
        <v>28.924581715031241</v>
      </c>
      <c r="AB391" s="105">
        <f t="shared" si="671"/>
        <v>24.434255510156252</v>
      </c>
      <c r="AC391" s="113">
        <f t="shared" si="671"/>
        <v>97.731090521437494</v>
      </c>
      <c r="AD391" s="114">
        <f t="shared" si="671"/>
        <v>55.045713186885237</v>
      </c>
      <c r="AE391" s="115">
        <f t="shared" si="671"/>
        <v>30.297164377570301</v>
      </c>
      <c r="AF391" s="115">
        <f t="shared" si="671"/>
        <v>20.641781683335932</v>
      </c>
      <c r="AG391" s="105">
        <f t="shared" si="671"/>
        <v>22.50857060690624</v>
      </c>
      <c r="AH391" s="113">
        <f t="shared" si="671"/>
        <v>128.49322985469772</v>
      </c>
      <c r="AI391" s="114">
        <f t="shared" si="671"/>
        <v>27.95771943870967</v>
      </c>
      <c r="AJ391" s="115">
        <f t="shared" si="671"/>
        <v>13.242561438642857</v>
      </c>
      <c r="AK391" s="115">
        <f t="shared" si="671"/>
        <v>11.20251860015625</v>
      </c>
      <c r="AL391" s="105">
        <f t="shared" si="671"/>
        <v>10.522212882499996</v>
      </c>
      <c r="AM391" s="113">
        <f t="shared" si="671"/>
        <v>62.925012360008772</v>
      </c>
      <c r="AN391" s="114">
        <f t="shared" si="671"/>
        <v>14.963256931131152</v>
      </c>
      <c r="AO391" s="115">
        <f t="shared" si="671"/>
        <v>12.91438992642188</v>
      </c>
      <c r="AP391" s="115">
        <f t="shared" ref="AP391" si="672">+AP415+AP428+AP441</f>
        <v>10.998384383460934</v>
      </c>
      <c r="AQ391" s="105">
        <f t="shared" si="671"/>
        <v>18.22477513964516</v>
      </c>
      <c r="AR391" s="113">
        <f t="shared" si="671"/>
        <v>57.10080638065913</v>
      </c>
      <c r="AS391" s="114">
        <f t="shared" ref="AS391" si="673">+AS415+AS428+AS441</f>
        <v>20.519505160031251</v>
      </c>
      <c r="AT391" s="115">
        <f t="shared" si="665"/>
        <v>20.519505160031251</v>
      </c>
      <c r="AU391" s="115">
        <f t="shared" ref="AU391" si="674">+AU415+AU428+AU441</f>
        <v>14.223607051642853</v>
      </c>
      <c r="AV391" s="105">
        <f t="shared" si="665"/>
        <v>3.4077903117096766</v>
      </c>
      <c r="AW391" s="113">
        <f t="shared" si="665"/>
        <v>58.670407683415029</v>
      </c>
      <c r="AX391" s="114">
        <f t="shared" si="667"/>
        <v>0</v>
      </c>
      <c r="AY391" s="115">
        <f t="shared" si="667"/>
        <v>3.320380326</v>
      </c>
      <c r="AZ391" s="115">
        <f t="shared" si="667"/>
        <v>3.4880721300000008</v>
      </c>
      <c r="BA391" s="105">
        <f t="shared" si="667"/>
        <v>3.5954609700000009</v>
      </c>
      <c r="BB391" s="113">
        <f t="shared" si="667"/>
        <v>10.403913426000003</v>
      </c>
      <c r="BC391" s="114">
        <f t="shared" si="668"/>
        <v>3.596734392193468</v>
      </c>
      <c r="BD391" s="115">
        <f t="shared" si="668"/>
        <v>3.1524972374452669</v>
      </c>
      <c r="BE391" s="115">
        <f t="shared" si="668"/>
        <v>3.194144470702911</v>
      </c>
      <c r="BF391" s="105">
        <f t="shared" si="668"/>
        <v>3.7338317756583534</v>
      </c>
      <c r="BG391" s="113">
        <f t="shared" si="668"/>
        <v>13.677207875999999</v>
      </c>
      <c r="BH391" s="114">
        <f t="shared" si="669"/>
        <v>3.6504996734683295</v>
      </c>
      <c r="BI391" s="115">
        <f t="shared" si="669"/>
        <v>0</v>
      </c>
      <c r="BJ391" s="115">
        <f t="shared" si="669"/>
        <v>3.2418916928143422</v>
      </c>
      <c r="BK391" s="105">
        <f t="shared" si="669"/>
        <v>3.7896464380051209</v>
      </c>
      <c r="BL391" s="113">
        <f t="shared" si="669"/>
        <v>10.682037804287793</v>
      </c>
      <c r="BM391" s="114">
        <f t="shared" ref="BM391:BQ391" si="675">+BM415+BM428+BM441</f>
        <v>3.0977550000000003</v>
      </c>
      <c r="BN391" s="115">
        <f t="shared" si="675"/>
        <v>0</v>
      </c>
      <c r="BO391" s="115">
        <f t="shared" si="675"/>
        <v>0</v>
      </c>
      <c r="BP391" s="105">
        <f t="shared" si="675"/>
        <v>3.0977550000000003</v>
      </c>
      <c r="BQ391" s="113">
        <f t="shared" si="675"/>
        <v>6.1955100000000005</v>
      </c>
      <c r="BR391" s="87"/>
      <c r="BS391" s="87"/>
      <c r="BZ391" s="91"/>
      <c r="CA391" s="91"/>
      <c r="CB391" s="91"/>
      <c r="CC391" s="91"/>
      <c r="CD391" s="91"/>
      <c r="CE391" s="91"/>
      <c r="CF391" s="91"/>
      <c r="CG391" s="91"/>
      <c r="CH391" s="91"/>
      <c r="CI391" s="91"/>
      <c r="CJ391" s="91"/>
      <c r="CK391" s="91"/>
      <c r="CL391" s="91"/>
      <c r="CM391" s="91"/>
      <c r="CN391" s="91"/>
      <c r="CO391" s="91"/>
      <c r="CP391" s="91"/>
      <c r="CQ391" s="91"/>
      <c r="CR391" s="1018"/>
      <c r="CS391" s="1018"/>
      <c r="CT391" s="821"/>
      <c r="CU391" s="12"/>
      <c r="CV391" s="12"/>
      <c r="CW391" s="12"/>
      <c r="CX391" s="12"/>
      <c r="CY391" s="12"/>
      <c r="CZ391" s="91"/>
      <c r="DA391" s="91"/>
      <c r="DB391" s="91"/>
      <c r="DC391" s="91"/>
      <c r="DD391" s="91"/>
      <c r="DE391" s="91"/>
      <c r="DF391" s="12"/>
      <c r="DG391" s="12"/>
      <c r="DH391" s="12"/>
      <c r="DI391" s="12"/>
      <c r="DJ391" s="12"/>
      <c r="DK391" s="12"/>
      <c r="DL391" s="12"/>
      <c r="DM391" s="12"/>
      <c r="DN391" s="12"/>
    </row>
    <row r="392" spans="1:118">
      <c r="A392" s="91"/>
      <c r="B392" s="89"/>
      <c r="C392" s="1186" t="s">
        <v>567</v>
      </c>
      <c r="D392" s="88"/>
      <c r="E392" s="214"/>
      <c r="F392" s="148"/>
      <c r="G392" s="148"/>
      <c r="H392" s="215"/>
      <c r="I392" s="87"/>
      <c r="J392" s="214"/>
      <c r="K392" s="148"/>
      <c r="L392" s="148"/>
      <c r="M392" s="215"/>
      <c r="N392" s="88"/>
      <c r="O392" s="214"/>
      <c r="P392" s="148"/>
      <c r="Q392" s="148"/>
      <c r="R392" s="215"/>
      <c r="S392" s="88"/>
      <c r="T392" s="106"/>
      <c r="U392" s="76"/>
      <c r="V392" s="76"/>
      <c r="W392" s="107"/>
      <c r="X392" s="93"/>
      <c r="Y392" s="106">
        <f t="shared" ref="Y392:AR392" si="676">Y390-Y391</f>
        <v>5.9415504682184057</v>
      </c>
      <c r="Z392" s="76">
        <f t="shared" si="676"/>
        <v>8.3582466123234234</v>
      </c>
      <c r="AA392" s="76">
        <f t="shared" si="676"/>
        <v>14.207746362827525</v>
      </c>
      <c r="AB392" s="107">
        <f t="shared" si="676"/>
        <v>6.2733305023229633</v>
      </c>
      <c r="AC392" s="93">
        <f t="shared" si="676"/>
        <v>34.780873945692292</v>
      </c>
      <c r="AD392" s="106">
        <f t="shared" si="676"/>
        <v>10.620883082564745</v>
      </c>
      <c r="AE392" s="76">
        <f t="shared" si="676"/>
        <v>15.14092809102689</v>
      </c>
      <c r="AF392" s="76">
        <f t="shared" si="676"/>
        <v>17.152431752404826</v>
      </c>
      <c r="AG392" s="107">
        <f t="shared" si="676"/>
        <v>15.129945358391176</v>
      </c>
      <c r="AH392" s="93">
        <f t="shared" si="676"/>
        <v>58.044188284387616</v>
      </c>
      <c r="AI392" s="106">
        <f t="shared" si="676"/>
        <v>4.9203760728546264</v>
      </c>
      <c r="AJ392" s="76">
        <f t="shared" si="676"/>
        <v>22.287376527099745</v>
      </c>
      <c r="AK392" s="76">
        <f t="shared" si="676"/>
        <v>24.132207879322809</v>
      </c>
      <c r="AL392" s="107">
        <f t="shared" si="676"/>
        <v>18.839396770986848</v>
      </c>
      <c r="AM392" s="93">
        <f t="shared" si="676"/>
        <v>70.179357250264076</v>
      </c>
      <c r="AN392" s="106">
        <f t="shared" si="676"/>
        <v>13.500775378134779</v>
      </c>
      <c r="AO392" s="76">
        <f t="shared" si="676"/>
        <v>16.852135284838461</v>
      </c>
      <c r="AP392" s="76">
        <f t="shared" ref="AP392" si="677">AP390-AP391</f>
        <v>23.862600238521598</v>
      </c>
      <c r="AQ392" s="107">
        <f t="shared" si="676"/>
        <v>12.931717507345873</v>
      </c>
      <c r="AR392" s="93">
        <f t="shared" si="676"/>
        <v>67.147228408840704</v>
      </c>
      <c r="AS392" s="106">
        <f t="shared" ref="AS392" si="678">AS390-AS391</f>
        <v>9.5293962851890797</v>
      </c>
      <c r="AT392" s="76">
        <f t="shared" ref="AT392:BB392" si="679">AT390-AT391</f>
        <v>9.5293962851890797</v>
      </c>
      <c r="AU392" s="76">
        <f t="shared" ref="AU392" si="680">AU390-AU391</f>
        <v>17.80918799342281</v>
      </c>
      <c r="AV392" s="107">
        <f t="shared" si="679"/>
        <v>0.62714170222568244</v>
      </c>
      <c r="AW392" s="93">
        <f t="shared" si="679"/>
        <v>37.495122266026662</v>
      </c>
      <c r="AX392" s="106">
        <f t="shared" si="679"/>
        <v>0</v>
      </c>
      <c r="AY392" s="76">
        <f t="shared" si="679"/>
        <v>0.39692567400000067</v>
      </c>
      <c r="AZ392" s="76">
        <f t="shared" si="679"/>
        <v>0.48782906999999875</v>
      </c>
      <c r="BA392" s="107">
        <f t="shared" si="679"/>
        <v>0.14159882999999907</v>
      </c>
      <c r="BB392" s="93">
        <f t="shared" si="679"/>
        <v>1.026353573999998</v>
      </c>
      <c r="BC392" s="106">
        <f t="shared" ref="BC392:BL392" si="681">BC390-BC391</f>
        <v>0.76720325946846168</v>
      </c>
      <c r="BD392" s="76">
        <f t="shared" si="681"/>
        <v>4.5301132584064874E-2</v>
      </c>
      <c r="BE392" s="76">
        <f t="shared" si="681"/>
        <v>0.26463124564079754</v>
      </c>
      <c r="BF392" s="107">
        <f t="shared" si="681"/>
        <v>0.46865308629231395</v>
      </c>
      <c r="BG392" s="93">
        <f t="shared" si="681"/>
        <v>1.5457887239856394</v>
      </c>
      <c r="BH392" s="106">
        <f t="shared" si="681"/>
        <v>0.70314202998097608</v>
      </c>
      <c r="BI392" s="76">
        <f t="shared" si="681"/>
        <v>0</v>
      </c>
      <c r="BJ392" s="76">
        <f t="shared" si="681"/>
        <v>0.20872364670982302</v>
      </c>
      <c r="BK392" s="107">
        <f t="shared" si="681"/>
        <v>0.40292339537347255</v>
      </c>
      <c r="BL392" s="93">
        <f t="shared" si="681"/>
        <v>1.3147890720642703</v>
      </c>
      <c r="BM392" s="106">
        <f t="shared" ref="BM392:BQ392" si="682">BM390-BM391</f>
        <v>1.8928340973834503</v>
      </c>
      <c r="BN392" s="76">
        <f t="shared" si="682"/>
        <v>0</v>
      </c>
      <c r="BO392" s="76">
        <f t="shared" si="682"/>
        <v>0</v>
      </c>
      <c r="BP392" s="107">
        <f t="shared" si="682"/>
        <v>2.0087270256183638</v>
      </c>
      <c r="BQ392" s="93">
        <f t="shared" si="682"/>
        <v>3.9015611230018141</v>
      </c>
      <c r="BR392" s="87"/>
      <c r="BS392" s="87"/>
      <c r="BZ392" s="91"/>
      <c r="CA392" s="91"/>
      <c r="CB392" s="91"/>
      <c r="CC392" s="91"/>
      <c r="CD392" s="91"/>
      <c r="CE392" s="91"/>
      <c r="CF392" s="91"/>
      <c r="CG392" s="91"/>
      <c r="CH392" s="91"/>
      <c r="CI392" s="91"/>
      <c r="CJ392" s="91"/>
      <c r="CK392" s="91"/>
      <c r="CL392" s="91"/>
      <c r="CM392" s="91"/>
      <c r="CN392" s="91"/>
      <c r="CO392" s="91"/>
      <c r="CP392" s="91"/>
      <c r="CQ392" s="91"/>
      <c r="CR392" s="1018"/>
      <c r="CS392" s="1018"/>
      <c r="CT392" s="821"/>
      <c r="CU392" s="12"/>
      <c r="CV392" s="12"/>
      <c r="CW392" s="12"/>
      <c r="CX392" s="12"/>
      <c r="CY392" s="12"/>
      <c r="CZ392" s="91"/>
      <c r="DA392" s="91"/>
      <c r="DB392" s="91"/>
      <c r="DC392" s="91"/>
      <c r="DD392" s="91"/>
      <c r="DE392" s="91"/>
      <c r="DF392" s="12"/>
      <c r="DG392" s="12"/>
      <c r="DH392" s="12"/>
      <c r="DI392" s="12"/>
      <c r="DJ392" s="12"/>
      <c r="DK392" s="12"/>
      <c r="DL392" s="12"/>
      <c r="DM392" s="12"/>
      <c r="DN392" s="12"/>
    </row>
    <row r="393" spans="1:118">
      <c r="A393" s="91"/>
      <c r="B393" s="89"/>
      <c r="C393" s="1184"/>
      <c r="D393" s="89"/>
      <c r="E393" s="145"/>
      <c r="F393" s="146"/>
      <c r="G393" s="146"/>
      <c r="H393" s="147"/>
      <c r="I393" s="87"/>
      <c r="J393" s="145"/>
      <c r="K393" s="146"/>
      <c r="L393" s="146"/>
      <c r="M393" s="147"/>
      <c r="N393" s="89"/>
      <c r="O393" s="145"/>
      <c r="P393" s="146"/>
      <c r="Q393" s="146"/>
      <c r="R393" s="147"/>
      <c r="S393" s="89"/>
      <c r="T393" s="145"/>
      <c r="U393" s="146"/>
      <c r="V393" s="146"/>
      <c r="W393" s="147"/>
      <c r="X393" s="89"/>
      <c r="Y393" s="145"/>
      <c r="Z393" s="146"/>
      <c r="AA393" s="146"/>
      <c r="AB393" s="147"/>
      <c r="AC393" s="89"/>
      <c r="AD393" s="145"/>
      <c r="AE393" s="146"/>
      <c r="AF393" s="146"/>
      <c r="AG393" s="147"/>
      <c r="AH393" s="89"/>
      <c r="AI393" s="145"/>
      <c r="AJ393" s="146"/>
      <c r="AK393" s="146"/>
      <c r="AL393" s="147"/>
      <c r="AM393" s="89"/>
      <c r="AN393" s="145"/>
      <c r="AO393" s="146"/>
      <c r="AP393" s="146"/>
      <c r="AQ393" s="147"/>
      <c r="AR393" s="89"/>
      <c r="AS393" s="145"/>
      <c r="AT393" s="146"/>
      <c r="AU393" s="146"/>
      <c r="AV393" s="147"/>
      <c r="AW393" s="89"/>
      <c r="AX393" s="145"/>
      <c r="AY393" s="146"/>
      <c r="AZ393" s="146"/>
      <c r="BA393" s="147"/>
      <c r="BB393" s="89"/>
      <c r="BC393" s="145"/>
      <c r="BD393" s="146"/>
      <c r="BE393" s="146"/>
      <c r="BF393" s="147"/>
      <c r="BG393" s="89"/>
      <c r="BH393" s="145"/>
      <c r="BI393" s="146"/>
      <c r="BJ393" s="146"/>
      <c r="BK393" s="147"/>
      <c r="BL393" s="89"/>
      <c r="BM393" s="145"/>
      <c r="BN393" s="146"/>
      <c r="BO393" s="146"/>
      <c r="BP393" s="147"/>
      <c r="BQ393" s="89"/>
      <c r="BR393" s="87"/>
      <c r="BS393" s="87"/>
      <c r="BT393" s="12"/>
      <c r="BZ393" s="91"/>
      <c r="CA393" s="91"/>
      <c r="CB393" s="91"/>
      <c r="CC393" s="91"/>
      <c r="CD393" s="91"/>
      <c r="CE393" s="91"/>
      <c r="CF393" s="91"/>
      <c r="CG393" s="91"/>
      <c r="CH393" s="91"/>
      <c r="CI393" s="91"/>
      <c r="CJ393" s="91"/>
      <c r="CK393" s="91"/>
      <c r="CL393" s="91"/>
      <c r="CM393" s="91"/>
      <c r="CN393" s="91"/>
      <c r="CO393" s="91"/>
      <c r="CP393" s="91"/>
      <c r="CQ393" s="91"/>
      <c r="CR393" s="1018"/>
      <c r="CS393" s="1018"/>
      <c r="CT393" s="821"/>
      <c r="CU393" s="12"/>
      <c r="CV393" s="12"/>
      <c r="CW393" s="12"/>
      <c r="CX393" s="12"/>
      <c r="CY393" s="12"/>
      <c r="CZ393" s="91"/>
      <c r="DA393" s="91"/>
      <c r="DB393" s="91"/>
      <c r="DC393" s="91"/>
      <c r="DD393" s="91"/>
      <c r="DE393" s="91"/>
      <c r="DF393" s="12"/>
      <c r="DG393" s="12"/>
      <c r="DH393" s="12"/>
      <c r="DI393" s="12"/>
      <c r="DJ393" s="12"/>
      <c r="DK393" s="12"/>
      <c r="DL393" s="12"/>
      <c r="DM393" s="12"/>
      <c r="DN393" s="12"/>
    </row>
    <row r="394" spans="1:118" s="12" customFormat="1">
      <c r="A394" s="91"/>
      <c r="B394" s="87"/>
      <c r="C394" s="1179" t="s">
        <v>568</v>
      </c>
      <c r="D394" s="87"/>
      <c r="E394" s="104"/>
      <c r="F394" s="77"/>
      <c r="G394" s="77"/>
      <c r="H394" s="102"/>
      <c r="I394" s="87"/>
      <c r="J394" s="104"/>
      <c r="K394" s="77"/>
      <c r="L394" s="77"/>
      <c r="M394" s="102"/>
      <c r="N394" s="96"/>
      <c r="O394" s="104"/>
      <c r="P394" s="77"/>
      <c r="Q394" s="77"/>
      <c r="R394" s="102"/>
      <c r="S394" s="96"/>
      <c r="T394" s="114"/>
      <c r="U394" s="77"/>
      <c r="V394" s="77"/>
      <c r="W394" s="102"/>
      <c r="X394" s="96"/>
      <c r="Y394" s="104">
        <f t="shared" ref="Y394:AR394" si="683">+Y403+Y422+Y435</f>
        <v>1599</v>
      </c>
      <c r="Z394" s="77">
        <f t="shared" si="683"/>
        <v>1599</v>
      </c>
      <c r="AA394" s="77">
        <f t="shared" si="683"/>
        <v>1599</v>
      </c>
      <c r="AB394" s="102">
        <f t="shared" si="683"/>
        <v>1599</v>
      </c>
      <c r="AC394" s="96">
        <f t="shared" si="683"/>
        <v>1599</v>
      </c>
      <c r="AD394" s="104">
        <f t="shared" si="683"/>
        <v>1599</v>
      </c>
      <c r="AE394" s="77">
        <f t="shared" si="683"/>
        <v>1599</v>
      </c>
      <c r="AF394" s="77">
        <f t="shared" si="683"/>
        <v>1599</v>
      </c>
      <c r="AG394" s="102">
        <f t="shared" si="683"/>
        <v>1599</v>
      </c>
      <c r="AH394" s="96">
        <f t="shared" si="683"/>
        <v>1599</v>
      </c>
      <c r="AI394" s="104">
        <f t="shared" si="683"/>
        <v>1599</v>
      </c>
      <c r="AJ394" s="77">
        <f t="shared" si="683"/>
        <v>1599</v>
      </c>
      <c r="AK394" s="77">
        <f t="shared" si="683"/>
        <v>1599</v>
      </c>
      <c r="AL394" s="102">
        <f t="shared" si="683"/>
        <v>1599</v>
      </c>
      <c r="AM394" s="96">
        <f t="shared" si="683"/>
        <v>1599</v>
      </c>
      <c r="AN394" s="104">
        <f t="shared" si="683"/>
        <v>1599</v>
      </c>
      <c r="AO394" s="77">
        <f t="shared" si="683"/>
        <v>1599</v>
      </c>
      <c r="AP394" s="77">
        <f t="shared" ref="AP394" si="684">+AP403+AP422+AP435</f>
        <v>1599</v>
      </c>
      <c r="AQ394" s="102">
        <f t="shared" si="683"/>
        <v>1599</v>
      </c>
      <c r="AR394" s="96">
        <f t="shared" si="683"/>
        <v>1599</v>
      </c>
      <c r="AS394" s="104">
        <f t="shared" ref="AS394" si="685">+AS403+AS422+AS435</f>
        <v>1599</v>
      </c>
      <c r="AT394" s="77">
        <f t="shared" ref="AT394:BB394" si="686">+AT403+AT422+AT435</f>
        <v>1599</v>
      </c>
      <c r="AU394" s="77">
        <f t="shared" ref="AU394" si="687">+AU403+AU422+AU435</f>
        <v>1599</v>
      </c>
      <c r="AV394" s="102">
        <f t="shared" si="686"/>
        <v>740</v>
      </c>
      <c r="AW394" s="96">
        <f t="shared" si="686"/>
        <v>740</v>
      </c>
      <c r="AX394" s="104">
        <f t="shared" si="686"/>
        <v>740</v>
      </c>
      <c r="AY394" s="77">
        <f t="shared" si="686"/>
        <v>740</v>
      </c>
      <c r="AZ394" s="77">
        <f t="shared" si="686"/>
        <v>740</v>
      </c>
      <c r="BA394" s="102">
        <f t="shared" si="686"/>
        <v>740</v>
      </c>
      <c r="BB394" s="96">
        <f t="shared" si="686"/>
        <v>740</v>
      </c>
      <c r="BC394" s="104">
        <f t="shared" ref="BC394:BL394" si="688">+BC403+BC422+BC435</f>
        <v>740</v>
      </c>
      <c r="BD394" s="77">
        <f t="shared" si="688"/>
        <v>740</v>
      </c>
      <c r="BE394" s="77">
        <f t="shared" si="688"/>
        <v>740</v>
      </c>
      <c r="BF394" s="102">
        <f t="shared" si="688"/>
        <v>740</v>
      </c>
      <c r="BG394" s="96">
        <f t="shared" si="688"/>
        <v>740</v>
      </c>
      <c r="BH394" s="104">
        <f t="shared" si="688"/>
        <v>740</v>
      </c>
      <c r="BI394" s="77">
        <f t="shared" si="688"/>
        <v>740</v>
      </c>
      <c r="BJ394" s="77">
        <f t="shared" si="688"/>
        <v>740</v>
      </c>
      <c r="BK394" s="102">
        <f t="shared" si="688"/>
        <v>740</v>
      </c>
      <c r="BL394" s="96">
        <f t="shared" si="688"/>
        <v>740</v>
      </c>
      <c r="BM394" s="104">
        <f t="shared" ref="BM394:BQ394" si="689">+BM403+BM422+BM435</f>
        <v>740</v>
      </c>
      <c r="BN394" s="77">
        <f t="shared" si="689"/>
        <v>740</v>
      </c>
      <c r="BO394" s="77">
        <f t="shared" si="689"/>
        <v>740</v>
      </c>
      <c r="BP394" s="102">
        <f t="shared" si="689"/>
        <v>740</v>
      </c>
      <c r="BQ394" s="96">
        <f t="shared" si="689"/>
        <v>740</v>
      </c>
      <c r="BR394" s="87"/>
      <c r="BS394" s="87"/>
      <c r="BU394"/>
      <c r="BV394"/>
      <c r="BW394"/>
      <c r="BX394"/>
      <c r="BY394"/>
      <c r="BZ394" s="91"/>
      <c r="CA394" s="91"/>
      <c r="CB394" s="91"/>
      <c r="CC394" s="91"/>
      <c r="CD394" s="91"/>
      <c r="CE394" s="91"/>
      <c r="CF394" s="91"/>
      <c r="CG394" s="91"/>
      <c r="CH394" s="91"/>
      <c r="CI394" s="91"/>
      <c r="CJ394" s="91"/>
      <c r="CK394" s="91"/>
      <c r="CL394" s="91"/>
      <c r="CM394" s="91"/>
      <c r="CN394" s="91"/>
      <c r="CO394" s="91"/>
      <c r="CP394" s="91"/>
      <c r="CQ394" s="91"/>
      <c r="CR394" s="1049"/>
      <c r="CS394" s="1049"/>
      <c r="CT394" s="1050"/>
      <c r="CZ394" s="91"/>
      <c r="DA394" s="91"/>
      <c r="DB394" s="91"/>
      <c r="DC394" s="91"/>
      <c r="DD394" s="91"/>
      <c r="DE394" s="91"/>
    </row>
    <row r="395" spans="1:118" s="12" customFormat="1">
      <c r="A395" s="91"/>
      <c r="B395" s="87"/>
      <c r="C395" s="1179" t="s">
        <v>569</v>
      </c>
      <c r="D395" s="87"/>
      <c r="E395" s="872"/>
      <c r="F395" s="800"/>
      <c r="G395" s="800"/>
      <c r="H395" s="1051"/>
      <c r="I395" s="87"/>
      <c r="J395" s="872"/>
      <c r="K395" s="800"/>
      <c r="L395" s="800"/>
      <c r="M395" s="1051"/>
      <c r="N395" s="1052"/>
      <c r="O395" s="872"/>
      <c r="P395" s="800"/>
      <c r="Q395" s="800"/>
      <c r="R395" s="1051"/>
      <c r="S395" s="87"/>
      <c r="T395" s="114"/>
      <c r="U395" s="246"/>
      <c r="V395" s="246"/>
      <c r="W395" s="1053"/>
      <c r="X395" s="256"/>
      <c r="Y395" s="245">
        <f t="shared" ref="Y395:AR395" si="690">+Y412+Y425+Y438</f>
        <v>819.06</v>
      </c>
      <c r="Z395" s="246">
        <f t="shared" si="690"/>
        <v>578.16</v>
      </c>
      <c r="AA395" s="246">
        <f t="shared" si="690"/>
        <v>994.47899999999993</v>
      </c>
      <c r="AB395" s="1053">
        <f t="shared" si="690"/>
        <v>819.06</v>
      </c>
      <c r="AC395" s="256">
        <f t="shared" si="690"/>
        <v>3210.7589999999996</v>
      </c>
      <c r="AD395" s="245">
        <f t="shared" si="690"/>
        <v>578.16</v>
      </c>
      <c r="AE395" s="246">
        <f t="shared" si="690"/>
        <v>994.47899999999993</v>
      </c>
      <c r="AF395" s="246">
        <f t="shared" si="690"/>
        <v>994.47899999999993</v>
      </c>
      <c r="AG395" s="1053">
        <f t="shared" si="690"/>
        <v>994.47899999999993</v>
      </c>
      <c r="AH395" s="256">
        <f t="shared" si="690"/>
        <v>3561.5969999999998</v>
      </c>
      <c r="AI395" s="245">
        <f t="shared" si="690"/>
        <v>578.16</v>
      </c>
      <c r="AJ395" s="246">
        <f t="shared" si="690"/>
        <v>994.47899999999993</v>
      </c>
      <c r="AK395" s="246">
        <f t="shared" si="690"/>
        <v>994.47899999999993</v>
      </c>
      <c r="AL395" s="1053">
        <f t="shared" si="690"/>
        <v>994.47899999999993</v>
      </c>
      <c r="AM395" s="256">
        <f t="shared" si="690"/>
        <v>3561.5969999999998</v>
      </c>
      <c r="AN395" s="245">
        <f t="shared" si="690"/>
        <v>994.47899999999993</v>
      </c>
      <c r="AO395" s="246">
        <f t="shared" si="690"/>
        <v>994.47899999999993</v>
      </c>
      <c r="AP395" s="246">
        <f t="shared" ref="AP395" si="691">+AP412+AP425+AP438</f>
        <v>994.47899999999993</v>
      </c>
      <c r="AQ395" s="1053">
        <f t="shared" si="690"/>
        <v>994.47899999999993</v>
      </c>
      <c r="AR395" s="256">
        <f t="shared" si="690"/>
        <v>3977.9159999999997</v>
      </c>
      <c r="AS395" s="245">
        <f t="shared" ref="AS395" si="692">+AS412+AS425+AS438</f>
        <v>994.47899999999993</v>
      </c>
      <c r="AT395" s="246">
        <f t="shared" ref="AT395:BB395" si="693">+AT412+AT425+AT438</f>
        <v>994.47899999999993</v>
      </c>
      <c r="AU395" s="246">
        <f t="shared" ref="AU395" si="694">+AU412+AU425+AU438</f>
        <v>994.47899999999993</v>
      </c>
      <c r="AV395" s="1053">
        <f t="shared" si="693"/>
        <v>107.748</v>
      </c>
      <c r="AW395" s="256">
        <f t="shared" si="693"/>
        <v>3091.1849999999999</v>
      </c>
      <c r="AX395" s="245">
        <f t="shared" si="693"/>
        <v>0</v>
      </c>
      <c r="AY395" s="246">
        <f t="shared" si="693"/>
        <v>107.748</v>
      </c>
      <c r="AZ395" s="246">
        <f t="shared" si="693"/>
        <v>107.748</v>
      </c>
      <c r="BA395" s="1053">
        <f t="shared" si="693"/>
        <v>107.748</v>
      </c>
      <c r="BB395" s="256">
        <f t="shared" si="693"/>
        <v>323.24400000000003</v>
      </c>
      <c r="BC395" s="245">
        <f t="shared" ref="BC395:BL395" si="695">+BC412+BC425+BC438</f>
        <v>107.748</v>
      </c>
      <c r="BD395" s="246">
        <f t="shared" si="695"/>
        <v>107.748</v>
      </c>
      <c r="BE395" s="246">
        <f t="shared" si="695"/>
        <v>107.748</v>
      </c>
      <c r="BF395" s="1053">
        <f t="shared" si="695"/>
        <v>107.748</v>
      </c>
      <c r="BG395" s="256">
        <f t="shared" si="695"/>
        <v>430.99200000000002</v>
      </c>
      <c r="BH395" s="245">
        <f t="shared" si="695"/>
        <v>107.748</v>
      </c>
      <c r="BI395" s="246">
        <f t="shared" si="695"/>
        <v>0</v>
      </c>
      <c r="BJ395" s="246">
        <f t="shared" si="695"/>
        <v>107.748</v>
      </c>
      <c r="BK395" s="1053">
        <f t="shared" si="695"/>
        <v>107.748</v>
      </c>
      <c r="BL395" s="256">
        <f t="shared" si="695"/>
        <v>323.24400000000003</v>
      </c>
      <c r="BM395" s="245">
        <f t="shared" ref="BM395:BQ395" si="696">+BM412+BM425+BM438</f>
        <v>107.748</v>
      </c>
      <c r="BN395" s="246">
        <f t="shared" si="696"/>
        <v>0</v>
      </c>
      <c r="BO395" s="246">
        <f t="shared" si="696"/>
        <v>0</v>
      </c>
      <c r="BP395" s="1053">
        <f t="shared" si="696"/>
        <v>107.748</v>
      </c>
      <c r="BQ395" s="256">
        <f t="shared" si="696"/>
        <v>215.49600000000001</v>
      </c>
      <c r="BR395" s="87"/>
      <c r="BS395" s="87"/>
      <c r="BT395"/>
      <c r="BU395"/>
      <c r="BV395"/>
      <c r="BW395"/>
      <c r="BX395"/>
      <c r="BY395"/>
      <c r="BZ395" s="91"/>
      <c r="CA395" s="91"/>
      <c r="CB395" s="91"/>
      <c r="CC395" s="91"/>
      <c r="CD395" s="91"/>
      <c r="CE395" s="91"/>
      <c r="CF395" s="91"/>
      <c r="CG395" s="91"/>
      <c r="CH395" s="91"/>
      <c r="CI395" s="91"/>
      <c r="CJ395" s="91"/>
      <c r="CK395" s="91"/>
      <c r="CL395" s="91"/>
      <c r="CM395" s="91"/>
      <c r="CN395" s="91"/>
      <c r="CO395" s="91"/>
      <c r="CP395" s="91"/>
      <c r="CQ395" s="91"/>
      <c r="CR395" s="1049"/>
      <c r="CS395" s="1049"/>
      <c r="CT395" s="1050"/>
      <c r="CZ395" s="91"/>
      <c r="DA395" s="91"/>
      <c r="DB395" s="91"/>
      <c r="DC395" s="91"/>
      <c r="DD395" s="91"/>
      <c r="DE395" s="91"/>
    </row>
    <row r="396" spans="1:118">
      <c r="A396" s="91"/>
      <c r="B396" s="89"/>
      <c r="C396" s="1179" t="s">
        <v>570</v>
      </c>
      <c r="D396" s="89"/>
      <c r="E396" s="145"/>
      <c r="F396" s="146"/>
      <c r="G396" s="146"/>
      <c r="H396" s="147"/>
      <c r="I396" s="87"/>
      <c r="J396" s="145"/>
      <c r="K396" s="146"/>
      <c r="L396" s="146"/>
      <c r="M396" s="147"/>
      <c r="N396" s="89"/>
      <c r="O396" s="145"/>
      <c r="P396" s="146"/>
      <c r="Q396" s="146"/>
      <c r="R396" s="147"/>
      <c r="S396" s="89"/>
      <c r="T396" s="833"/>
      <c r="U396" s="834"/>
      <c r="V396" s="834"/>
      <c r="W396" s="835"/>
      <c r="X396" s="1054"/>
      <c r="Y396" s="833">
        <f t="shared" ref="Y396:AQ396" si="697">Y395/(Y394*8.76/4)</f>
        <v>0.23389618511569729</v>
      </c>
      <c r="Z396" s="834">
        <f t="shared" si="697"/>
        <v>0.16510318949343339</v>
      </c>
      <c r="AA396" s="834">
        <f t="shared" si="697"/>
        <v>0.2839899937460913</v>
      </c>
      <c r="AB396" s="835">
        <f t="shared" si="697"/>
        <v>0.23389618511569729</v>
      </c>
      <c r="AC396" s="1054">
        <f>AC395/(AC394*8.76)</f>
        <v>0.22922138836772982</v>
      </c>
      <c r="AD396" s="833">
        <f t="shared" si="697"/>
        <v>0.16510318949343339</v>
      </c>
      <c r="AE396" s="834">
        <f t="shared" si="697"/>
        <v>0.2839899937460913</v>
      </c>
      <c r="AF396" s="834">
        <f t="shared" si="697"/>
        <v>0.2839899937460913</v>
      </c>
      <c r="AG396" s="835">
        <f t="shared" si="697"/>
        <v>0.2839899937460913</v>
      </c>
      <c r="AH396" s="1054">
        <f>AH395/(AH394*8.76)</f>
        <v>0.25426829268292683</v>
      </c>
      <c r="AI396" s="833">
        <f t="shared" si="697"/>
        <v>0.16510318949343339</v>
      </c>
      <c r="AJ396" s="834">
        <f t="shared" si="697"/>
        <v>0.2839899937460913</v>
      </c>
      <c r="AK396" s="834">
        <f t="shared" si="697"/>
        <v>0.2839899937460913</v>
      </c>
      <c r="AL396" s="835">
        <f t="shared" si="697"/>
        <v>0.2839899937460913</v>
      </c>
      <c r="AM396" s="1054">
        <f>AM395/(AM394*8.76)</f>
        <v>0.25426829268292683</v>
      </c>
      <c r="AN396" s="833">
        <f t="shared" si="697"/>
        <v>0.2839899937460913</v>
      </c>
      <c r="AO396" s="834">
        <f t="shared" si="697"/>
        <v>0.2839899937460913</v>
      </c>
      <c r="AP396" s="834">
        <f t="shared" ref="AP396" si="698">AP395/(AP394*8.76/4)</f>
        <v>0.2839899937460913</v>
      </c>
      <c r="AQ396" s="835">
        <f t="shared" si="697"/>
        <v>0.2839899937460913</v>
      </c>
      <c r="AR396" s="1054">
        <f>AR395/(AR394*8.76)</f>
        <v>0.2839899937460913</v>
      </c>
      <c r="AS396" s="833">
        <f t="shared" ref="AS396" si="699">AS395/(AS394*8.76/4)</f>
        <v>0.2839899937460913</v>
      </c>
      <c r="AT396" s="834">
        <f>AT395/(AT394*8.76/4)</f>
        <v>0.2839899937460913</v>
      </c>
      <c r="AU396" s="834">
        <f>AU395/(AU394*8.76/4)</f>
        <v>0.2839899937460913</v>
      </c>
      <c r="AV396" s="835">
        <f>AV395/(AV394*8.76/4)</f>
        <v>6.6486486486486487E-2</v>
      </c>
      <c r="AW396" s="1054">
        <f>AW395/(AW394*8.76)</f>
        <v>0.47685810810810814</v>
      </c>
      <c r="AX396" s="833">
        <f>AX395/(AX394*8.76/4)</f>
        <v>0</v>
      </c>
      <c r="AY396" s="834">
        <f>AY395/(AY394*8.76/4)</f>
        <v>6.6486486486486487E-2</v>
      </c>
      <c r="AZ396" s="834">
        <f>AZ395/(AZ394*8.76/4)</f>
        <v>6.6486486486486487E-2</v>
      </c>
      <c r="BA396" s="835">
        <f>BA395/(BA394*8.76/4)</f>
        <v>6.6486486486486487E-2</v>
      </c>
      <c r="BB396" s="1054">
        <f>BB395/(BB394*8.76)</f>
        <v>4.9864864864864869E-2</v>
      </c>
      <c r="BC396" s="833">
        <f>BC395/(BC394*8.76/4)</f>
        <v>6.6486486486486487E-2</v>
      </c>
      <c r="BD396" s="834">
        <f>BD395/(BD394*8.76/4)</f>
        <v>6.6486486486486487E-2</v>
      </c>
      <c r="BE396" s="834">
        <f>BE395/(BE394*8.76/4)</f>
        <v>6.6486486486486487E-2</v>
      </c>
      <c r="BF396" s="835">
        <f>BF395/(BF394*8.76/4)</f>
        <v>6.6486486486486487E-2</v>
      </c>
      <c r="BG396" s="1054">
        <f>BG395/(BG394*8.76)</f>
        <v>6.6486486486486487E-2</v>
      </c>
      <c r="BH396" s="833">
        <f>BH395/(BH394*8.76/4)</f>
        <v>6.6486486486486487E-2</v>
      </c>
      <c r="BI396" s="834">
        <f>BI395/(BI394*8.76/4)</f>
        <v>0</v>
      </c>
      <c r="BJ396" s="834">
        <f>BJ395/(BJ394*8.76/4)</f>
        <v>6.6486486486486487E-2</v>
      </c>
      <c r="BK396" s="835">
        <f>BK395/(BK394*8.76/4)</f>
        <v>6.6486486486486487E-2</v>
      </c>
      <c r="BL396" s="1054">
        <f>BL395/(BL394*8.76)</f>
        <v>4.9864864864864869E-2</v>
      </c>
      <c r="BM396" s="833">
        <f>BM395/(BM394*8.76/4)</f>
        <v>6.6486486486486487E-2</v>
      </c>
      <c r="BN396" s="834">
        <f>BN395/(BN394*8.76/4)</f>
        <v>0</v>
      </c>
      <c r="BO396" s="834">
        <f>BO395/(BO394*8.76/4)</f>
        <v>0</v>
      </c>
      <c r="BP396" s="835">
        <f>BP395/(BP394*8.76/4)</f>
        <v>6.6486486486486487E-2</v>
      </c>
      <c r="BQ396" s="1054">
        <f>BQ395/(BQ394*8.76)</f>
        <v>3.3243243243243244E-2</v>
      </c>
      <c r="BR396" s="87"/>
      <c r="BS396" s="87"/>
      <c r="BZ396" s="1328"/>
      <c r="CA396" s="91"/>
      <c r="CB396" s="91"/>
      <c r="CC396" s="91"/>
      <c r="CD396" s="91"/>
      <c r="CE396" s="91"/>
      <c r="CF396" s="91"/>
      <c r="CG396" s="91"/>
      <c r="CH396" s="91"/>
      <c r="CI396" s="91"/>
      <c r="CJ396" s="91"/>
      <c r="CK396" s="91"/>
      <c r="CL396" s="91"/>
      <c r="CM396" s="91"/>
      <c r="CN396" s="91"/>
      <c r="CO396" s="91"/>
      <c r="CP396" s="91"/>
      <c r="CQ396" s="91"/>
      <c r="CR396" s="1018"/>
      <c r="CS396" s="1018"/>
      <c r="CT396" s="821"/>
      <c r="CU396" s="12"/>
      <c r="CV396" s="12"/>
      <c r="CW396" s="12"/>
      <c r="CX396" s="12"/>
      <c r="CY396" s="12"/>
      <c r="CZ396" s="91"/>
      <c r="DA396" s="91"/>
      <c r="DB396" s="91"/>
      <c r="DC396" s="91"/>
      <c r="DD396" s="91"/>
      <c r="DE396" s="91"/>
      <c r="DF396" s="12"/>
      <c r="DG396" s="12"/>
      <c r="DH396" s="12"/>
      <c r="DI396" s="12"/>
      <c r="DJ396" s="12"/>
      <c r="DK396" s="12"/>
      <c r="DL396" s="12"/>
      <c r="DM396" s="12"/>
      <c r="DN396" s="12"/>
    </row>
    <row r="397" spans="1:118">
      <c r="A397" s="91"/>
      <c r="B397" s="89"/>
      <c r="C397" s="1184"/>
      <c r="D397" s="89"/>
      <c r="E397" s="145"/>
      <c r="F397" s="146"/>
      <c r="G397" s="146"/>
      <c r="H397" s="147"/>
      <c r="I397" s="87"/>
      <c r="J397" s="145"/>
      <c r="K397" s="146"/>
      <c r="L397" s="146"/>
      <c r="M397" s="147"/>
      <c r="N397" s="89"/>
      <c r="O397" s="145"/>
      <c r="P397" s="146"/>
      <c r="Q397" s="146"/>
      <c r="R397" s="147"/>
      <c r="S397" s="89"/>
      <c r="T397" s="145"/>
      <c r="U397" s="146"/>
      <c r="V397" s="146"/>
      <c r="W397" s="147"/>
      <c r="X397" s="89"/>
      <c r="Y397" s="145"/>
      <c r="Z397" s="146"/>
      <c r="AA397" s="146"/>
      <c r="AB397" s="147"/>
      <c r="AC397" s="89"/>
      <c r="AD397" s="145"/>
      <c r="AE397" s="146"/>
      <c r="AF397" s="146"/>
      <c r="AG397" s="147"/>
      <c r="AH397" s="89"/>
      <c r="AI397" s="145"/>
      <c r="AJ397" s="146"/>
      <c r="AK397" s="146"/>
      <c r="AL397" s="147"/>
      <c r="AM397" s="89"/>
      <c r="AN397" s="145"/>
      <c r="AO397" s="146"/>
      <c r="AP397" s="146"/>
      <c r="AQ397" s="147"/>
      <c r="AR397" s="89"/>
      <c r="AS397" s="145"/>
      <c r="AT397" s="146"/>
      <c r="AU397" s="146"/>
      <c r="AV397" s="147"/>
      <c r="AW397" s="89"/>
      <c r="AX397" s="145"/>
      <c r="AY397" s="146"/>
      <c r="AZ397" s="146"/>
      <c r="BA397" s="147"/>
      <c r="BB397" s="89"/>
      <c r="BC397" s="145"/>
      <c r="BD397" s="146"/>
      <c r="BE397" s="146"/>
      <c r="BF397" s="147"/>
      <c r="BG397" s="89"/>
      <c r="BH397" s="145"/>
      <c r="BI397" s="146"/>
      <c r="BJ397" s="146"/>
      <c r="BK397" s="147"/>
      <c r="BL397" s="89"/>
      <c r="BM397" s="145"/>
      <c r="BN397" s="146"/>
      <c r="BO397" s="146"/>
      <c r="BP397" s="147"/>
      <c r="BQ397" s="89"/>
      <c r="BR397" s="87"/>
      <c r="BS397" s="87"/>
      <c r="BZ397" s="91"/>
      <c r="CA397" s="91"/>
      <c r="CB397" s="91"/>
      <c r="CC397" s="91"/>
      <c r="CD397" s="91"/>
      <c r="CE397" s="91"/>
      <c r="CF397" s="91"/>
      <c r="CG397" s="91"/>
      <c r="CH397" s="91"/>
      <c r="CI397" s="91"/>
      <c r="CJ397" s="91"/>
      <c r="CK397" s="91"/>
      <c r="CL397" s="91"/>
      <c r="CM397" s="91"/>
      <c r="CN397" s="91"/>
      <c r="CO397" s="91"/>
      <c r="CP397" s="91"/>
      <c r="CQ397" s="91"/>
      <c r="CR397" s="1018"/>
      <c r="CS397" s="1018"/>
      <c r="CT397" s="821"/>
      <c r="CU397" s="12"/>
      <c r="CV397" s="12"/>
      <c r="CW397" s="12"/>
      <c r="CX397" s="12"/>
      <c r="CY397" s="12"/>
      <c r="CZ397" s="91"/>
      <c r="DA397" s="91"/>
      <c r="DB397" s="91"/>
      <c r="DC397" s="91"/>
      <c r="DD397" s="91"/>
      <c r="DE397" s="91"/>
      <c r="DF397" s="12"/>
      <c r="DG397" s="12"/>
      <c r="DH397" s="12"/>
      <c r="DI397" s="12"/>
      <c r="DJ397" s="12"/>
      <c r="DK397" s="12"/>
      <c r="DL397" s="12"/>
      <c r="DM397" s="12"/>
      <c r="DN397" s="12"/>
    </row>
    <row r="398" spans="1:118">
      <c r="A398" s="91"/>
      <c r="B398" s="88"/>
      <c r="C398" s="1255" t="s">
        <v>590</v>
      </c>
      <c r="D398" s="89"/>
      <c r="E398" s="145"/>
      <c r="F398" s="146"/>
      <c r="G398" s="146"/>
      <c r="H398" s="147"/>
      <c r="I398" s="1021"/>
      <c r="J398" s="145"/>
      <c r="K398" s="146"/>
      <c r="L398" s="146"/>
      <c r="M398" s="147"/>
      <c r="N398" s="89"/>
      <c r="O398" s="145"/>
      <c r="P398" s="146"/>
      <c r="Q398" s="146"/>
      <c r="R398" s="147"/>
      <c r="S398" s="89"/>
      <c r="T398" s="145"/>
      <c r="U398" s="146"/>
      <c r="V398" s="146"/>
      <c r="W398" s="147"/>
      <c r="X398" s="89"/>
      <c r="Y398" s="145"/>
      <c r="Z398" s="146"/>
      <c r="AA398" s="146"/>
      <c r="AB398" s="147"/>
      <c r="AC398" s="89"/>
      <c r="AD398" s="145"/>
      <c r="AE398" s="146"/>
      <c r="AF398" s="146"/>
      <c r="AG398" s="147"/>
      <c r="AH398" s="89"/>
      <c r="AI398" s="145"/>
      <c r="AJ398" s="146"/>
      <c r="AK398" s="146"/>
      <c r="AL398" s="147"/>
      <c r="AM398" s="89"/>
      <c r="AN398" s="145"/>
      <c r="AO398" s="146"/>
      <c r="AP398" s="146"/>
      <c r="AQ398" s="147"/>
      <c r="AR398" s="89"/>
      <c r="AS398" s="145"/>
      <c r="AT398" s="146"/>
      <c r="AU398" s="146"/>
      <c r="AV398" s="147"/>
      <c r="AW398" s="89"/>
      <c r="AX398" s="145"/>
      <c r="AY398" s="146"/>
      <c r="AZ398" s="146"/>
      <c r="BA398" s="147"/>
      <c r="BB398" s="89"/>
      <c r="BC398" s="145"/>
      <c r="BD398" s="146"/>
      <c r="BE398" s="146"/>
      <c r="BF398" s="147"/>
      <c r="BG398" s="89"/>
      <c r="BH398" s="145"/>
      <c r="BI398" s="146"/>
      <c r="BJ398" s="146"/>
      <c r="BK398" s="147"/>
      <c r="BL398" s="89"/>
      <c r="BM398" s="145"/>
      <c r="BN398" s="146"/>
      <c r="BO398" s="146"/>
      <c r="BP398" s="147"/>
      <c r="BQ398" s="89"/>
      <c r="BR398" s="87"/>
      <c r="BS398" s="87"/>
      <c r="BZ398" s="91"/>
      <c r="CA398" s="91"/>
      <c r="CB398" s="91"/>
      <c r="CC398" s="91"/>
      <c r="CD398" s="91"/>
      <c r="CE398" s="91"/>
      <c r="CF398" s="91"/>
      <c r="CG398" s="91"/>
      <c r="CH398" s="91"/>
      <c r="CI398" s="91"/>
      <c r="CJ398" s="91"/>
      <c r="CK398" s="91"/>
      <c r="CL398" s="91"/>
      <c r="CM398" s="91"/>
      <c r="CN398" s="91"/>
      <c r="CO398" s="91"/>
      <c r="CP398" s="91"/>
      <c r="CQ398" s="91"/>
      <c r="CR398" s="1018"/>
      <c r="CS398" s="1018"/>
      <c r="CT398" s="821"/>
      <c r="CU398" s="12"/>
      <c r="CV398" s="12"/>
      <c r="CW398" s="12"/>
      <c r="CX398" s="12"/>
      <c r="CY398" s="12"/>
      <c r="CZ398" s="91"/>
      <c r="DA398" s="91"/>
      <c r="DB398" s="91"/>
      <c r="DC398" s="91"/>
      <c r="DD398" s="91"/>
      <c r="DE398" s="91"/>
      <c r="DF398" s="12"/>
      <c r="DG398" s="12"/>
      <c r="DH398" s="12"/>
      <c r="DI398" s="12"/>
      <c r="DJ398" s="12"/>
      <c r="DK398" s="12"/>
      <c r="DL398" s="12"/>
      <c r="DM398" s="12"/>
      <c r="DN398" s="12"/>
    </row>
    <row r="399" spans="1:118">
      <c r="A399" s="91"/>
      <c r="B399" s="88"/>
      <c r="C399" s="1179" t="s">
        <v>579</v>
      </c>
      <c r="D399" s="89"/>
      <c r="E399" s="145"/>
      <c r="F399" s="146"/>
      <c r="G399" s="146"/>
      <c r="H399" s="147"/>
      <c r="I399" s="87"/>
      <c r="J399" s="145"/>
      <c r="K399" s="146"/>
      <c r="L399" s="146"/>
      <c r="M399" s="147"/>
      <c r="N399" s="89"/>
      <c r="O399" s="145"/>
      <c r="P399" s="146"/>
      <c r="Q399" s="146"/>
      <c r="R399" s="147"/>
      <c r="S399" s="89"/>
      <c r="T399" s="342"/>
      <c r="U399" s="150"/>
      <c r="V399" s="150"/>
      <c r="W399" s="343"/>
      <c r="X399" s="327"/>
      <c r="Y399" s="342">
        <f t="shared" ref="Y399:BQ399" si="700">+Y$67</f>
        <v>41.997815863095234</v>
      </c>
      <c r="Z399" s="150">
        <f t="shared" si="700"/>
        <v>45.53030431640623</v>
      </c>
      <c r="AA399" s="150">
        <f t="shared" si="700"/>
        <v>48.136464199218771</v>
      </c>
      <c r="AB399" s="343">
        <f t="shared" si="700"/>
        <v>40.193486718750009</v>
      </c>
      <c r="AC399" s="327">
        <f t="shared" si="700"/>
        <v>43.964517774367565</v>
      </c>
      <c r="AD399" s="342">
        <f t="shared" si="700"/>
        <v>113.57858770833332</v>
      </c>
      <c r="AE399" s="150">
        <f t="shared" si="700"/>
        <v>50.488559589843781</v>
      </c>
      <c r="AF399" s="150">
        <f t="shared" si="700"/>
        <v>41.389708935546885</v>
      </c>
      <c r="AG399" s="343">
        <f t="shared" si="700"/>
        <v>40.371172851562484</v>
      </c>
      <c r="AH399" s="327">
        <f t="shared" si="700"/>
        <v>61.457007271321615</v>
      </c>
      <c r="AI399" s="342">
        <f t="shared" si="700"/>
        <v>56.866776517857161</v>
      </c>
      <c r="AJ399" s="150">
        <f t="shared" si="700"/>
        <v>39.147263818359377</v>
      </c>
      <c r="AK399" s="150">
        <f t="shared" si="700"/>
        <v>39.464831807692292</v>
      </c>
      <c r="AL399" s="343">
        <f t="shared" si="700"/>
        <v>31.895178447265621</v>
      </c>
      <c r="AM399" s="327">
        <f t="shared" si="700"/>
        <v>41.843512647793617</v>
      </c>
      <c r="AN399" s="342">
        <f t="shared" si="700"/>
        <v>30.103148642578116</v>
      </c>
      <c r="AO399" s="150">
        <f t="shared" si="700"/>
        <v>32.701806339843749</v>
      </c>
      <c r="AP399" s="150">
        <f t="shared" si="700"/>
        <v>38.936782353515625</v>
      </c>
      <c r="AQ399" s="343">
        <f t="shared" si="700"/>
        <v>33.269796091269853</v>
      </c>
      <c r="AR399" s="327">
        <f t="shared" si="700"/>
        <v>33.752883356801831</v>
      </c>
      <c r="AS399" s="342">
        <f t="shared" si="700"/>
        <v>32.803312458984372</v>
      </c>
      <c r="AT399" s="150">
        <f t="shared" si="700"/>
        <v>32.803312458984372</v>
      </c>
      <c r="AU399" s="150">
        <f t="shared" si="700"/>
        <v>35.491018034722231</v>
      </c>
      <c r="AV399" s="343">
        <f t="shared" si="700"/>
        <v>37.44785995039684</v>
      </c>
      <c r="AW399" s="327">
        <f t="shared" si="700"/>
        <v>34.636375725771956</v>
      </c>
      <c r="AX399" s="342">
        <f t="shared" si="700"/>
        <v>48.149713212890617</v>
      </c>
      <c r="AY399" s="150">
        <f t="shared" si="700"/>
        <v>34.5</v>
      </c>
      <c r="AZ399" s="150">
        <f t="shared" si="700"/>
        <v>36.9</v>
      </c>
      <c r="BA399" s="343">
        <f t="shared" si="700"/>
        <v>34.68333333333333</v>
      </c>
      <c r="BB399" s="327">
        <f t="shared" si="700"/>
        <v>38.55826163655599</v>
      </c>
      <c r="BC399" s="342">
        <f t="shared" si="700"/>
        <v>40.501333218824755</v>
      </c>
      <c r="BD399" s="150">
        <f t="shared" si="700"/>
        <v>29.678493986239484</v>
      </c>
      <c r="BE399" s="150">
        <f t="shared" si="700"/>
        <v>32.100602483050345</v>
      </c>
      <c r="BF399" s="343">
        <f t="shared" si="700"/>
        <v>39.002903645085446</v>
      </c>
      <c r="BG399" s="327">
        <f t="shared" si="700"/>
        <v>35.320833333300008</v>
      </c>
      <c r="BH399" s="342">
        <f t="shared" si="700"/>
        <v>40.405777401430242</v>
      </c>
      <c r="BI399" s="150">
        <f t="shared" si="700"/>
        <v>29.608472766528742</v>
      </c>
      <c r="BJ399" s="150">
        <f t="shared" si="700"/>
        <v>32.024866721648337</v>
      </c>
      <c r="BK399" s="343">
        <f t="shared" si="700"/>
        <v>38.910883110392703</v>
      </c>
      <c r="BL399" s="327">
        <f t="shared" si="700"/>
        <v>35.237500000000004</v>
      </c>
      <c r="BM399" s="342">
        <f t="shared" si="700"/>
        <v>46.317231850089563</v>
      </c>
      <c r="BN399" s="150">
        <f t="shared" si="700"/>
        <v>24.886928307166592</v>
      </c>
      <c r="BO399" s="150">
        <f t="shared" si="700"/>
        <v>24.603015608248842</v>
      </c>
      <c r="BP399" s="343">
        <f t="shared" si="700"/>
        <v>47.392824234494974</v>
      </c>
      <c r="BQ399" s="327">
        <f t="shared" si="700"/>
        <v>35.79999999999999</v>
      </c>
      <c r="BR399" s="87"/>
      <c r="BS399" s="87"/>
      <c r="BZ399" s="91"/>
      <c r="CA399" s="91"/>
      <c r="CB399" s="91"/>
      <c r="CC399" s="91"/>
      <c r="CD399" s="91"/>
      <c r="CE399" s="91"/>
      <c r="CF399" s="91"/>
      <c r="CG399" s="91"/>
      <c r="CH399" s="91"/>
      <c r="CI399" s="91"/>
      <c r="CJ399" s="91"/>
      <c r="CK399" s="91"/>
      <c r="CL399" s="91"/>
      <c r="CM399" s="91"/>
      <c r="CN399" s="91"/>
      <c r="CO399" s="91"/>
      <c r="CP399" s="91"/>
      <c r="CQ399" s="91"/>
      <c r="CR399" s="1018"/>
      <c r="CS399" s="1018"/>
      <c r="CT399" s="821"/>
      <c r="CU399" s="12"/>
      <c r="CV399" s="12"/>
      <c r="CW399" s="12"/>
      <c r="CX399" s="12"/>
      <c r="CY399" s="12"/>
      <c r="CZ399" s="91"/>
      <c r="DA399" s="91"/>
      <c r="DB399" s="91"/>
      <c r="DC399" s="91"/>
      <c r="DD399" s="91"/>
      <c r="DE399" s="91"/>
      <c r="DF399" s="12"/>
      <c r="DG399" s="12"/>
      <c r="DH399" s="12"/>
      <c r="DI399" s="12"/>
      <c r="DJ399" s="12"/>
      <c r="DK399" s="12"/>
      <c r="DL399" s="12"/>
      <c r="DM399" s="12"/>
      <c r="DN399" s="12"/>
    </row>
    <row r="400" spans="1:118">
      <c r="A400" s="91"/>
      <c r="B400" s="88"/>
      <c r="C400" s="1179" t="s">
        <v>584</v>
      </c>
      <c r="D400" s="89"/>
      <c r="E400" s="145"/>
      <c r="F400" s="146"/>
      <c r="G400" s="146"/>
      <c r="H400" s="147"/>
      <c r="I400" s="87"/>
      <c r="J400" s="145"/>
      <c r="K400" s="146"/>
      <c r="L400" s="146"/>
      <c r="M400" s="147"/>
      <c r="N400" s="89"/>
      <c r="O400" s="145"/>
      <c r="P400" s="146"/>
      <c r="Q400" s="146"/>
      <c r="R400" s="147"/>
      <c r="S400" s="89"/>
      <c r="T400" s="342"/>
      <c r="U400" s="150"/>
      <c r="V400" s="150"/>
      <c r="W400" s="343"/>
      <c r="X400" s="327"/>
      <c r="Y400" s="342">
        <f t="shared" ref="Y400:BQ400" si="701">+Y$68</f>
        <v>33.486062323832535</v>
      </c>
      <c r="Z400" s="150">
        <f t="shared" si="701"/>
        <v>29.612168522893782</v>
      </c>
      <c r="AA400" s="150">
        <f t="shared" si="701"/>
        <v>28.466996774909429</v>
      </c>
      <c r="AB400" s="343">
        <f t="shared" si="701"/>
        <v>31.005893446105066</v>
      </c>
      <c r="AC400" s="327">
        <f t="shared" si="701"/>
        <v>30.642780266935201</v>
      </c>
      <c r="AD400" s="342">
        <f t="shared" si="701"/>
        <v>78.280771197463764</v>
      </c>
      <c r="AE400" s="150">
        <f t="shared" si="701"/>
        <v>30.680673397435903</v>
      </c>
      <c r="AF400" s="150">
        <f t="shared" si="701"/>
        <v>27.413026009963776</v>
      </c>
      <c r="AG400" s="343">
        <f t="shared" si="701"/>
        <v>29.952876293025366</v>
      </c>
      <c r="AH400" s="327">
        <f t="shared" si="701"/>
        <v>41.581836724472197</v>
      </c>
      <c r="AI400" s="342">
        <f t="shared" si="701"/>
        <v>44.217764477254434</v>
      </c>
      <c r="AJ400" s="150">
        <f t="shared" si="701"/>
        <v>25.028568056318672</v>
      </c>
      <c r="AK400" s="150">
        <f t="shared" si="701"/>
        <v>23.22481523731884</v>
      </c>
      <c r="AL400" s="343">
        <f t="shared" si="701"/>
        <v>22.109061745018124</v>
      </c>
      <c r="AM400" s="327">
        <f t="shared" si="701"/>
        <v>28.645052378977518</v>
      </c>
      <c r="AN400" s="342">
        <f t="shared" si="701"/>
        <v>23.988923446826721</v>
      </c>
      <c r="AO400" s="150">
        <f t="shared" si="701"/>
        <v>21.266628026098903</v>
      </c>
      <c r="AP400" s="150">
        <f t="shared" si="701"/>
        <v>22.9101000946558</v>
      </c>
      <c r="AQ400" s="343">
        <f t="shared" si="701"/>
        <v>25.259746692934794</v>
      </c>
      <c r="AR400" s="327">
        <f t="shared" si="701"/>
        <v>23.356349565129054</v>
      </c>
      <c r="AS400" s="342">
        <f t="shared" si="701"/>
        <v>22.121270426282049</v>
      </c>
      <c r="AT400" s="150">
        <f t="shared" si="701"/>
        <v>22.121270426282049</v>
      </c>
      <c r="AU400" s="150">
        <f t="shared" si="701"/>
        <v>21.948979516304348</v>
      </c>
      <c r="AV400" s="343">
        <f t="shared" si="701"/>
        <v>28.679605414130432</v>
      </c>
      <c r="AW400" s="327">
        <f t="shared" si="701"/>
        <v>23.717781445749722</v>
      </c>
      <c r="AX400" s="342">
        <f t="shared" si="701"/>
        <v>43.803590137359109</v>
      </c>
      <c r="AY400" s="150">
        <f t="shared" si="701"/>
        <v>24.95</v>
      </c>
      <c r="AZ400" s="150">
        <f t="shared" si="701"/>
        <v>24.783333333333335</v>
      </c>
      <c r="BA400" s="343">
        <f t="shared" si="701"/>
        <v>25.683333333333334</v>
      </c>
      <c r="BB400" s="327">
        <f t="shared" si="701"/>
        <v>29.805064201006445</v>
      </c>
      <c r="BC400" s="342">
        <f t="shared" si="701"/>
        <v>32.710239316820804</v>
      </c>
      <c r="BD400" s="150">
        <f t="shared" si="701"/>
        <v>20.631697104333988</v>
      </c>
      <c r="BE400" s="150">
        <f t="shared" si="701"/>
        <v>20.527571740433242</v>
      </c>
      <c r="BF400" s="343">
        <f t="shared" si="701"/>
        <v>31.938458504811976</v>
      </c>
      <c r="BG400" s="327">
        <f t="shared" si="701"/>
        <v>26.451991666600001</v>
      </c>
      <c r="BH400" s="342">
        <f t="shared" si="701"/>
        <v>32.33891227956417</v>
      </c>
      <c r="BI400" s="150">
        <f t="shared" si="701"/>
        <v>20.397485826173483</v>
      </c>
      <c r="BJ400" s="150">
        <f t="shared" si="701"/>
        <v>20.29454249467874</v>
      </c>
      <c r="BK400" s="343">
        <f t="shared" si="701"/>
        <v>31.575892732783618</v>
      </c>
      <c r="BL400" s="327">
        <f t="shared" si="701"/>
        <v>26.1517083333</v>
      </c>
      <c r="BM400" s="342">
        <f t="shared" si="701"/>
        <v>28.731971222365488</v>
      </c>
      <c r="BN400" s="150">
        <f t="shared" si="701"/>
        <v>19.95374749428041</v>
      </c>
      <c r="BO400" s="150">
        <f t="shared" si="701"/>
        <v>19.463077695980385</v>
      </c>
      <c r="BP400" s="343">
        <f t="shared" si="701"/>
        <v>27.287156762167378</v>
      </c>
      <c r="BQ400" s="327">
        <f t="shared" si="701"/>
        <v>23.858988293698417</v>
      </c>
      <c r="BR400" s="87"/>
      <c r="BS400" s="87"/>
      <c r="BZ400" s="91"/>
      <c r="CA400" s="91"/>
      <c r="CB400" s="91"/>
      <c r="CC400" s="91"/>
      <c r="CD400" s="91"/>
      <c r="CE400" s="91"/>
      <c r="CF400" s="91"/>
      <c r="CG400" s="91"/>
      <c r="CH400" s="91"/>
      <c r="CI400" s="91"/>
      <c r="CJ400" s="91"/>
      <c r="CK400" s="91"/>
      <c r="CL400" s="91"/>
      <c r="CM400" s="91"/>
      <c r="CN400" s="91"/>
      <c r="CO400" s="91"/>
      <c r="CP400" s="91"/>
      <c r="CQ400" s="91"/>
      <c r="CR400" s="1018"/>
      <c r="CS400" s="1018"/>
      <c r="CT400" s="821"/>
      <c r="CU400" s="12"/>
      <c r="CV400" s="12"/>
      <c r="CW400" s="12"/>
      <c r="CX400" s="12"/>
      <c r="CY400" s="12"/>
      <c r="CZ400" s="91"/>
      <c r="DA400" s="91"/>
      <c r="DB400" s="91"/>
      <c r="DC400" s="91"/>
      <c r="DD400" s="91"/>
      <c r="DE400" s="91"/>
      <c r="DF400" s="12"/>
      <c r="DG400" s="12"/>
      <c r="DH400" s="12"/>
      <c r="DI400" s="12"/>
      <c r="DJ400" s="12"/>
      <c r="DK400" s="12"/>
      <c r="DL400" s="12"/>
      <c r="DM400" s="12"/>
      <c r="DN400" s="12"/>
    </row>
    <row r="401" spans="1:118">
      <c r="A401" s="91"/>
      <c r="B401" s="88"/>
      <c r="C401" s="1179" t="s">
        <v>573</v>
      </c>
      <c r="D401" s="89"/>
      <c r="E401" s="145"/>
      <c r="F401" s="146"/>
      <c r="G401" s="146"/>
      <c r="H401" s="147"/>
      <c r="I401" s="1070">
        <v>7500</v>
      </c>
      <c r="J401" s="145"/>
      <c r="K401" s="146"/>
      <c r="L401" s="146"/>
      <c r="M401" s="147"/>
      <c r="N401" s="89"/>
      <c r="O401" s="145"/>
      <c r="P401" s="146"/>
      <c r="Q401" s="146"/>
      <c r="R401" s="147"/>
      <c r="S401" s="89"/>
      <c r="T401" s="342"/>
      <c r="U401" s="150"/>
      <c r="V401" s="150"/>
      <c r="W401" s="343"/>
      <c r="X401" s="327"/>
      <c r="Y401" s="342">
        <f t="shared" ref="Y401:BB401" si="702">$I401/1000*(Y$53+Y$60)</f>
        <v>32.240249999999996</v>
      </c>
      <c r="Z401" s="150">
        <f t="shared" si="702"/>
        <v>31.073671874999999</v>
      </c>
      <c r="AA401" s="150">
        <f t="shared" si="702"/>
        <v>26.584218749999994</v>
      </c>
      <c r="AB401" s="343">
        <f t="shared" si="702"/>
        <v>29.832070312500004</v>
      </c>
      <c r="AC401" s="327">
        <f t="shared" si="702"/>
        <v>29.932552734374998</v>
      </c>
      <c r="AD401" s="342">
        <f t="shared" si="702"/>
        <v>95.208442622950813</v>
      </c>
      <c r="AE401" s="150">
        <f t="shared" si="702"/>
        <v>27.84574218749999</v>
      </c>
      <c r="AF401" s="150">
        <f t="shared" si="702"/>
        <v>18.971601562499995</v>
      </c>
      <c r="AG401" s="343">
        <f t="shared" si="702"/>
        <v>20.687343749999989</v>
      </c>
      <c r="AH401" s="327">
        <f t="shared" si="702"/>
        <v>40.678282530737697</v>
      </c>
      <c r="AI401" s="342">
        <f t="shared" si="702"/>
        <v>48.356370967741924</v>
      </c>
      <c r="AJ401" s="150">
        <f t="shared" si="702"/>
        <v>12.171071428571429</v>
      </c>
      <c r="AK401" s="150">
        <f t="shared" si="702"/>
        <v>10.296093749999999</v>
      </c>
      <c r="AL401" s="343">
        <f t="shared" si="702"/>
        <v>9.6708333333333307</v>
      </c>
      <c r="AM401" s="327">
        <f t="shared" si="702"/>
        <v>20.12359236991167</v>
      </c>
      <c r="AN401" s="342">
        <f>$I401/1000*(AN$53+AN$60)</f>
        <v>13.752540983606561</v>
      </c>
      <c r="AO401" s="150">
        <f t="shared" si="702"/>
        <v>11.869453125000003</v>
      </c>
      <c r="AP401" s="150">
        <f t="shared" si="702"/>
        <v>10.108476562499996</v>
      </c>
      <c r="AQ401" s="343">
        <f t="shared" si="702"/>
        <v>16.75016129032258</v>
      </c>
      <c r="AR401" s="327">
        <f t="shared" si="702"/>
        <v>13.120157990357285</v>
      </c>
      <c r="AS401" s="342">
        <f>$I401/1000*(AS$53+AS$60)</f>
        <v>18.85921875</v>
      </c>
      <c r="AT401" s="150">
        <f t="shared" si="702"/>
        <v>18.85921875</v>
      </c>
      <c r="AU401" s="150">
        <f t="shared" si="702"/>
        <v>13.072738095238092</v>
      </c>
      <c r="AV401" s="343">
        <f t="shared" si="702"/>
        <v>20.626572580645153</v>
      </c>
      <c r="AW401" s="327">
        <f t="shared" si="702"/>
        <v>17.854437043970812</v>
      </c>
      <c r="AX401" s="342">
        <f t="shared" si="702"/>
        <v>49.162500000000001</v>
      </c>
      <c r="AY401" s="150">
        <f t="shared" si="702"/>
        <v>20.097499999999997</v>
      </c>
      <c r="AZ401" s="150">
        <f t="shared" si="702"/>
        <v>21.112500000000001</v>
      </c>
      <c r="BA401" s="343">
        <f t="shared" si="702"/>
        <v>21.762500000000003</v>
      </c>
      <c r="BB401" s="327">
        <f t="shared" si="702"/>
        <v>28.033750000000001</v>
      </c>
      <c r="BC401" s="342">
        <f>$I401/1000*(BC$53+BC$60)</f>
        <v>21.770207732253688</v>
      </c>
      <c r="BD401" s="150">
        <f>$I401/1000*(BD$53+BD$60)</f>
        <v>19.081342198494958</v>
      </c>
      <c r="BE401" s="150">
        <f>$I401/1000*(BE$53+BE$60)</f>
        <v>19.333423342284842</v>
      </c>
      <c r="BF401" s="343">
        <f>$I401/1000*(BF$53+BF$60)</f>
        <v>22.600026726966504</v>
      </c>
      <c r="BG401" s="327">
        <f>$I401/1000*(BG$53+BG$60)</f>
        <v>20.696249999999996</v>
      </c>
      <c r="BH401" s="342">
        <f t="shared" ref="BH401:BQ401" si="703">$I401/1000*(BH$53+BH$60)+BH$94</f>
        <v>22.095636639285928</v>
      </c>
      <c r="BI401" s="150">
        <f t="shared" si="703"/>
        <v>19.366576974971824</v>
      </c>
      <c r="BJ401" s="150">
        <f t="shared" si="703"/>
        <v>19.622426318501276</v>
      </c>
      <c r="BK401" s="343">
        <f t="shared" si="703"/>
        <v>22.937860067240962</v>
      </c>
      <c r="BL401" s="327">
        <f t="shared" si="703"/>
        <v>21.005624999999995</v>
      </c>
      <c r="BM401" s="342">
        <f t="shared" si="703"/>
        <v>18.75</v>
      </c>
      <c r="BN401" s="150">
        <f t="shared" si="703"/>
        <v>18.75</v>
      </c>
      <c r="BO401" s="150">
        <f t="shared" si="703"/>
        <v>18.75</v>
      </c>
      <c r="BP401" s="343">
        <f t="shared" si="703"/>
        <v>18.75</v>
      </c>
      <c r="BQ401" s="327">
        <f t="shared" si="703"/>
        <v>18.75</v>
      </c>
      <c r="BR401" s="87"/>
      <c r="BS401" s="87"/>
      <c r="BZ401" s="91"/>
      <c r="CA401" s="91"/>
      <c r="CB401" s="91"/>
      <c r="CC401" s="91"/>
      <c r="CD401" s="91"/>
      <c r="CE401" s="91"/>
      <c r="CF401" s="91"/>
      <c r="CG401" s="91"/>
      <c r="CH401" s="91"/>
      <c r="CI401" s="91"/>
      <c r="CJ401" s="91"/>
      <c r="CK401" s="91"/>
      <c r="CL401" s="91"/>
      <c r="CM401" s="91"/>
      <c r="CN401" s="91"/>
      <c r="CO401" s="91"/>
      <c r="CP401" s="91"/>
      <c r="CQ401" s="91"/>
      <c r="CR401" s="1018"/>
      <c r="CS401" s="1018"/>
      <c r="CT401" s="821"/>
      <c r="CU401" s="12"/>
      <c r="CV401" s="12"/>
      <c r="CW401" s="12"/>
      <c r="CX401" s="12"/>
      <c r="CY401" s="12"/>
      <c r="CZ401" s="91"/>
      <c r="DA401" s="91"/>
      <c r="DB401" s="91"/>
      <c r="DC401" s="91"/>
      <c r="DD401" s="91"/>
      <c r="DE401" s="91"/>
      <c r="DF401" s="12"/>
      <c r="DG401" s="12"/>
      <c r="DH401" s="12"/>
      <c r="DI401" s="12"/>
      <c r="DJ401" s="12"/>
      <c r="DK401" s="12"/>
      <c r="DL401" s="12"/>
      <c r="DM401" s="12"/>
      <c r="DN401" s="12"/>
    </row>
    <row r="402" spans="1:118">
      <c r="A402" s="91"/>
      <c r="B402" s="88"/>
      <c r="C402" s="1179"/>
      <c r="D402" s="89"/>
      <c r="E402" s="145"/>
      <c r="F402" s="146"/>
      <c r="G402" s="146"/>
      <c r="H402" s="147"/>
      <c r="I402" s="891"/>
      <c r="J402" s="145"/>
      <c r="K402" s="146"/>
      <c r="L402" s="146"/>
      <c r="M402" s="147"/>
      <c r="N402" s="89"/>
      <c r="O402" s="145"/>
      <c r="P402" s="146"/>
      <c r="Q402" s="146"/>
      <c r="R402" s="147"/>
      <c r="S402" s="89"/>
      <c r="T402" s="342"/>
      <c r="U402" s="150"/>
      <c r="V402" s="150"/>
      <c r="W402" s="343"/>
      <c r="X402" s="327"/>
      <c r="Y402" s="342"/>
      <c r="Z402" s="150"/>
      <c r="AA402" s="150"/>
      <c r="AB402" s="343"/>
      <c r="AC402" s="327"/>
      <c r="AD402" s="342"/>
      <c r="AE402" s="150"/>
      <c r="AF402" s="150"/>
      <c r="AG402" s="343"/>
      <c r="AH402" s="327"/>
      <c r="AI402" s="342"/>
      <c r="AJ402" s="150"/>
      <c r="AK402" s="150"/>
      <c r="AL402" s="343"/>
      <c r="AM402" s="327"/>
      <c r="AN402" s="342"/>
      <c r="AO402" s="150"/>
      <c r="AP402" s="150"/>
      <c r="AQ402" s="343"/>
      <c r="AR402" s="327"/>
      <c r="AS402" s="342"/>
      <c r="AT402" s="150"/>
      <c r="AU402" s="150"/>
      <c r="AV402" s="343"/>
      <c r="AW402" s="327"/>
      <c r="AX402" s="342"/>
      <c r="AY402" s="150"/>
      <c r="AZ402" s="150"/>
      <c r="BA402" s="343"/>
      <c r="BB402" s="327"/>
      <c r="BC402" s="342"/>
      <c r="BD402" s="150"/>
      <c r="BE402" s="150"/>
      <c r="BF402" s="343"/>
      <c r="BG402" s="327"/>
      <c r="BH402" s="342"/>
      <c r="BI402" s="150"/>
      <c r="BJ402" s="150"/>
      <c r="BK402" s="343"/>
      <c r="BL402" s="327"/>
      <c r="BM402" s="342"/>
      <c r="BN402" s="150"/>
      <c r="BO402" s="150"/>
      <c r="BP402" s="343"/>
      <c r="BQ402" s="327"/>
      <c r="BR402" s="87"/>
      <c r="BS402" s="87"/>
      <c r="BZ402" s="91"/>
      <c r="CA402" s="91"/>
      <c r="CB402" s="91"/>
      <c r="CC402" s="91"/>
      <c r="CD402" s="91"/>
      <c r="CE402" s="91"/>
      <c r="CF402" s="91"/>
      <c r="CG402" s="91"/>
      <c r="CH402" s="91"/>
      <c r="CI402" s="91"/>
      <c r="CJ402" s="91"/>
      <c r="CK402" s="91"/>
      <c r="CL402" s="91"/>
      <c r="CM402" s="91"/>
      <c r="CN402" s="91"/>
      <c r="CO402" s="91"/>
      <c r="CP402" s="91"/>
      <c r="CQ402" s="91"/>
      <c r="CR402" s="1018"/>
      <c r="CS402" s="1018"/>
      <c r="CT402" s="821"/>
      <c r="CU402" s="12"/>
      <c r="CV402" s="12"/>
      <c r="CW402" s="12"/>
      <c r="CX402" s="12"/>
      <c r="CY402" s="12"/>
      <c r="CZ402" s="91"/>
      <c r="DA402" s="91"/>
      <c r="DB402" s="91"/>
      <c r="DC402" s="91"/>
      <c r="DD402" s="91"/>
      <c r="DE402" s="91"/>
      <c r="DF402" s="12"/>
      <c r="DG402" s="12"/>
      <c r="DH402" s="12"/>
      <c r="DI402" s="12"/>
      <c r="DJ402" s="12"/>
      <c r="DK402" s="12"/>
      <c r="DL402" s="12"/>
      <c r="DM402" s="12"/>
      <c r="DN402" s="12"/>
    </row>
    <row r="403" spans="1:118">
      <c r="A403" s="91"/>
      <c r="B403" s="88"/>
      <c r="C403" s="1186" t="s">
        <v>574</v>
      </c>
      <c r="D403" s="88"/>
      <c r="E403" s="106"/>
      <c r="F403" s="76"/>
      <c r="G403" s="76"/>
      <c r="H403" s="107"/>
      <c r="I403" s="93"/>
      <c r="J403" s="106"/>
      <c r="K403" s="76"/>
      <c r="L403" s="76"/>
      <c r="M403" s="107"/>
      <c r="N403" s="93"/>
      <c r="O403" s="106"/>
      <c r="P403" s="76"/>
      <c r="Q403" s="76"/>
      <c r="R403" s="107"/>
      <c r="S403" s="93"/>
      <c r="T403" s="106"/>
      <c r="U403" s="76"/>
      <c r="V403" s="76"/>
      <c r="W403" s="107"/>
      <c r="X403" s="93"/>
      <c r="Y403" s="106">
        <f t="shared" ref="Y403:AR403" si="704">+Y517</f>
        <v>550</v>
      </c>
      <c r="Z403" s="76">
        <f t="shared" si="704"/>
        <v>550</v>
      </c>
      <c r="AA403" s="76">
        <f t="shared" si="704"/>
        <v>550</v>
      </c>
      <c r="AB403" s="107">
        <f t="shared" si="704"/>
        <v>550</v>
      </c>
      <c r="AC403" s="93">
        <f t="shared" si="704"/>
        <v>550</v>
      </c>
      <c r="AD403" s="106">
        <f t="shared" si="704"/>
        <v>550</v>
      </c>
      <c r="AE403" s="76">
        <f t="shared" si="704"/>
        <v>550</v>
      </c>
      <c r="AF403" s="76">
        <f t="shared" si="704"/>
        <v>550</v>
      </c>
      <c r="AG403" s="107">
        <f t="shared" si="704"/>
        <v>550</v>
      </c>
      <c r="AH403" s="93">
        <f t="shared" si="704"/>
        <v>550</v>
      </c>
      <c r="AI403" s="106">
        <f t="shared" si="704"/>
        <v>550</v>
      </c>
      <c r="AJ403" s="76">
        <f t="shared" si="704"/>
        <v>550</v>
      </c>
      <c r="AK403" s="76">
        <f t="shared" si="704"/>
        <v>550</v>
      </c>
      <c r="AL403" s="107">
        <f t="shared" si="704"/>
        <v>550</v>
      </c>
      <c r="AM403" s="93">
        <f t="shared" si="704"/>
        <v>550</v>
      </c>
      <c r="AN403" s="106">
        <f t="shared" si="704"/>
        <v>550</v>
      </c>
      <c r="AO403" s="76">
        <f t="shared" si="704"/>
        <v>550</v>
      </c>
      <c r="AP403" s="76">
        <f t="shared" ref="AP403" si="705">+AP517</f>
        <v>550</v>
      </c>
      <c r="AQ403" s="107">
        <f t="shared" si="704"/>
        <v>550</v>
      </c>
      <c r="AR403" s="93">
        <f t="shared" si="704"/>
        <v>550</v>
      </c>
      <c r="AS403" s="106">
        <f t="shared" ref="AS403" si="706">+AS517</f>
        <v>550</v>
      </c>
      <c r="AT403" s="76">
        <f t="shared" ref="AT403:BB403" si="707">+AT517</f>
        <v>550</v>
      </c>
      <c r="AU403" s="76">
        <f t="shared" ref="AU403" si="708">+AU517</f>
        <v>550</v>
      </c>
      <c r="AV403" s="107">
        <f t="shared" si="707"/>
        <v>0</v>
      </c>
      <c r="AW403" s="93">
        <f t="shared" si="707"/>
        <v>0</v>
      </c>
      <c r="AX403" s="106">
        <f t="shared" si="707"/>
        <v>0</v>
      </c>
      <c r="AY403" s="76">
        <f t="shared" si="707"/>
        <v>0</v>
      </c>
      <c r="AZ403" s="76">
        <f t="shared" si="707"/>
        <v>0</v>
      </c>
      <c r="BA403" s="107">
        <f t="shared" si="707"/>
        <v>0</v>
      </c>
      <c r="BB403" s="93">
        <f t="shared" si="707"/>
        <v>0</v>
      </c>
      <c r="BC403" s="106">
        <f t="shared" ref="BC403:BL403" si="709">+BC517</f>
        <v>0</v>
      </c>
      <c r="BD403" s="76">
        <f t="shared" si="709"/>
        <v>0</v>
      </c>
      <c r="BE403" s="76">
        <f t="shared" si="709"/>
        <v>0</v>
      </c>
      <c r="BF403" s="107">
        <f t="shared" si="709"/>
        <v>0</v>
      </c>
      <c r="BG403" s="93">
        <f t="shared" si="709"/>
        <v>0</v>
      </c>
      <c r="BH403" s="106">
        <f t="shared" si="709"/>
        <v>0</v>
      </c>
      <c r="BI403" s="76">
        <f t="shared" si="709"/>
        <v>0</v>
      </c>
      <c r="BJ403" s="76">
        <f t="shared" si="709"/>
        <v>0</v>
      </c>
      <c r="BK403" s="107">
        <f t="shared" si="709"/>
        <v>0</v>
      </c>
      <c r="BL403" s="93">
        <f t="shared" si="709"/>
        <v>0</v>
      </c>
      <c r="BM403" s="106">
        <f t="shared" ref="BM403:BQ403" si="710">+BM517</f>
        <v>0</v>
      </c>
      <c r="BN403" s="76">
        <f t="shared" si="710"/>
        <v>0</v>
      </c>
      <c r="BO403" s="76">
        <f t="shared" si="710"/>
        <v>0</v>
      </c>
      <c r="BP403" s="107">
        <f t="shared" si="710"/>
        <v>0</v>
      </c>
      <c r="BQ403" s="93">
        <f t="shared" si="710"/>
        <v>0</v>
      </c>
      <c r="BR403" s="87"/>
      <c r="BS403" s="87"/>
      <c r="BZ403" s="91"/>
      <c r="CA403" s="91"/>
      <c r="CB403" s="91"/>
      <c r="CC403" s="91"/>
      <c r="CD403" s="91"/>
      <c r="CE403" s="91"/>
      <c r="CF403" s="91"/>
      <c r="CG403" s="91"/>
      <c r="CH403" s="91"/>
      <c r="CI403" s="91"/>
      <c r="CJ403" s="91"/>
      <c r="CK403" s="91"/>
      <c r="CL403" s="91"/>
      <c r="CM403" s="91"/>
      <c r="CN403" s="91"/>
      <c r="CO403" s="91"/>
      <c r="CP403" s="91"/>
      <c r="CQ403" s="91"/>
      <c r="CR403" s="1018"/>
      <c r="CS403" s="1018"/>
      <c r="CT403" s="821"/>
      <c r="CU403" s="12"/>
      <c r="CV403" s="12"/>
      <c r="CW403" s="12"/>
      <c r="CX403" s="12"/>
      <c r="CY403" s="12"/>
      <c r="CZ403" s="91"/>
      <c r="DA403" s="91"/>
      <c r="DB403" s="91"/>
      <c r="DC403" s="91"/>
      <c r="DD403" s="91"/>
      <c r="DE403" s="91"/>
      <c r="DF403" s="12"/>
      <c r="DG403" s="12"/>
      <c r="DH403" s="12"/>
      <c r="DI403" s="12"/>
      <c r="DJ403" s="12"/>
      <c r="DK403" s="12"/>
      <c r="DL403" s="12"/>
      <c r="DM403" s="12"/>
      <c r="DN403" s="12"/>
    </row>
    <row r="404" spans="1:118">
      <c r="A404" s="91"/>
      <c r="B404" s="88"/>
      <c r="C404" s="1184"/>
      <c r="D404" s="89"/>
      <c r="E404" s="145"/>
      <c r="F404" s="146"/>
      <c r="G404" s="146"/>
      <c r="H404" s="147"/>
      <c r="I404" s="87"/>
      <c r="J404" s="145"/>
      <c r="K404" s="146"/>
      <c r="L404" s="146"/>
      <c r="M404" s="147"/>
      <c r="N404" s="89"/>
      <c r="O404" s="145"/>
      <c r="P404" s="146"/>
      <c r="Q404" s="146"/>
      <c r="R404" s="147"/>
      <c r="S404" s="89"/>
      <c r="T404" s="145"/>
      <c r="U404" s="146"/>
      <c r="V404" s="146"/>
      <c r="W404" s="147"/>
      <c r="X404" s="89"/>
      <c r="Y404" s="145"/>
      <c r="Z404" s="146"/>
      <c r="AA404" s="146"/>
      <c r="AB404" s="147"/>
      <c r="AC404" s="89"/>
      <c r="AD404" s="145"/>
      <c r="AE404" s="146"/>
      <c r="AF404" s="146"/>
      <c r="AG404" s="147"/>
      <c r="AH404" s="89"/>
      <c r="AI404" s="145"/>
      <c r="AJ404" s="146"/>
      <c r="AK404" s="146"/>
      <c r="AL404" s="147"/>
      <c r="AM404" s="89"/>
      <c r="AN404" s="145"/>
      <c r="AO404" s="146"/>
      <c r="AP404" s="146"/>
      <c r="AQ404" s="147"/>
      <c r="AR404" s="89"/>
      <c r="AS404" s="145"/>
      <c r="AT404" s="146"/>
      <c r="AU404" s="146"/>
      <c r="AV404" s="147"/>
      <c r="AW404" s="89"/>
      <c r="AX404" s="145"/>
      <c r="AY404" s="146"/>
      <c r="AZ404" s="146"/>
      <c r="BA404" s="147"/>
      <c r="BB404" s="89"/>
      <c r="BC404" s="145"/>
      <c r="BD404" s="146"/>
      <c r="BE404" s="146"/>
      <c r="BF404" s="147"/>
      <c r="BG404" s="89"/>
      <c r="BH404" s="145"/>
      <c r="BI404" s="146"/>
      <c r="BJ404" s="146"/>
      <c r="BK404" s="147"/>
      <c r="BL404" s="89"/>
      <c r="BM404" s="145"/>
      <c r="BN404" s="146"/>
      <c r="BO404" s="146"/>
      <c r="BP404" s="147"/>
      <c r="BQ404" s="89"/>
      <c r="BR404" s="87"/>
      <c r="BS404" s="87"/>
      <c r="BZ404" s="91"/>
      <c r="CA404" s="91"/>
      <c r="CB404" s="91"/>
      <c r="CC404" s="91"/>
      <c r="CD404" s="91"/>
      <c r="CE404" s="91"/>
      <c r="CF404" s="91"/>
      <c r="CG404" s="91"/>
      <c r="CH404" s="91"/>
      <c r="CI404" s="91"/>
      <c r="CJ404" s="91"/>
      <c r="CK404" s="91"/>
      <c r="CL404" s="91"/>
      <c r="CM404" s="91"/>
      <c r="CN404" s="91"/>
      <c r="CO404" s="91"/>
      <c r="CP404" s="91"/>
      <c r="CQ404" s="91"/>
      <c r="CR404" s="1018"/>
      <c r="CS404" s="1018"/>
      <c r="CT404" s="821"/>
      <c r="CU404" s="12"/>
      <c r="CV404" s="12"/>
      <c r="CW404" s="12"/>
      <c r="CX404" s="12"/>
      <c r="CY404" s="12"/>
      <c r="CZ404" s="91"/>
      <c r="DA404" s="91"/>
      <c r="DB404" s="91"/>
      <c r="DC404" s="91"/>
      <c r="DD404" s="91"/>
      <c r="DE404" s="91"/>
      <c r="DF404" s="12"/>
      <c r="DG404" s="12"/>
      <c r="DH404" s="12"/>
      <c r="DI404" s="12"/>
      <c r="DJ404" s="12"/>
      <c r="DK404" s="12"/>
      <c r="DL404" s="12"/>
      <c r="DM404" s="12"/>
      <c r="DN404" s="12"/>
    </row>
    <row r="405" spans="1:118">
      <c r="A405" s="91"/>
      <c r="B405" s="88"/>
      <c r="C405" s="1179" t="s">
        <v>581</v>
      </c>
      <c r="D405" s="89"/>
      <c r="E405" s="145"/>
      <c r="F405" s="146"/>
      <c r="G405" s="146"/>
      <c r="H405" s="147"/>
      <c r="I405" s="1057">
        <v>0.48</v>
      </c>
      <c r="J405" s="145"/>
      <c r="K405" s="146"/>
      <c r="L405" s="146"/>
      <c r="M405" s="147"/>
      <c r="N405" s="89"/>
      <c r="O405" s="145"/>
      <c r="P405" s="146"/>
      <c r="Q405" s="146"/>
      <c r="R405" s="147"/>
      <c r="S405" s="89"/>
      <c r="T405" s="833"/>
      <c r="U405" s="834"/>
      <c r="V405" s="834"/>
      <c r="W405" s="835"/>
      <c r="X405" s="826"/>
      <c r="Y405" s="833">
        <f>+I405</f>
        <v>0.48</v>
      </c>
      <c r="Z405" s="834">
        <f>Y405</f>
        <v>0.48</v>
      </c>
      <c r="AA405" s="834">
        <f>Z405</f>
        <v>0.48</v>
      </c>
      <c r="AB405" s="835">
        <f>AA405</f>
        <v>0.48</v>
      </c>
      <c r="AC405" s="826">
        <f>AVERAGE(Y405:AB405)</f>
        <v>0.48</v>
      </c>
      <c r="AD405" s="833">
        <f>AC405</f>
        <v>0.48</v>
      </c>
      <c r="AE405" s="834">
        <f>AD405</f>
        <v>0.48</v>
      </c>
      <c r="AF405" s="834">
        <f>AE405</f>
        <v>0.48</v>
      </c>
      <c r="AG405" s="835">
        <f>AF405</f>
        <v>0.48</v>
      </c>
      <c r="AH405" s="826">
        <f>AVERAGE(AD405:AG405)</f>
        <v>0.48</v>
      </c>
      <c r="AI405" s="833">
        <f>AH405</f>
        <v>0.48</v>
      </c>
      <c r="AJ405" s="834">
        <f>AI405</f>
        <v>0.48</v>
      </c>
      <c r="AK405" s="834">
        <f>AJ405</f>
        <v>0.48</v>
      </c>
      <c r="AL405" s="835">
        <f>AK405</f>
        <v>0.48</v>
      </c>
      <c r="AM405" s="826">
        <f>AVERAGE(AI405:AL405)</f>
        <v>0.48</v>
      </c>
      <c r="AN405" s="833">
        <f>AM405</f>
        <v>0.48</v>
      </c>
      <c r="AO405" s="834">
        <f>AN405</f>
        <v>0.48</v>
      </c>
      <c r="AP405" s="834">
        <f>AO405</f>
        <v>0.48</v>
      </c>
      <c r="AQ405" s="835">
        <f>AP405</f>
        <v>0.48</v>
      </c>
      <c r="AR405" s="826">
        <f>AVERAGE(AN405:AQ405)</f>
        <v>0.48</v>
      </c>
      <c r="AS405" s="833">
        <f>AR405</f>
        <v>0.48</v>
      </c>
      <c r="AT405" s="834">
        <f>AS405</f>
        <v>0.48</v>
      </c>
      <c r="AU405" s="834">
        <f>AT405</f>
        <v>0.48</v>
      </c>
      <c r="AV405" s="835">
        <f>AU405</f>
        <v>0.48</v>
      </c>
      <c r="AW405" s="826">
        <f>AVERAGE(AS405:AV405)</f>
        <v>0.48</v>
      </c>
      <c r="AX405" s="833">
        <f>AW405</f>
        <v>0.48</v>
      </c>
      <c r="AY405" s="834">
        <f>AX405</f>
        <v>0.48</v>
      </c>
      <c r="AZ405" s="834">
        <f>AY405</f>
        <v>0.48</v>
      </c>
      <c r="BA405" s="835">
        <f>AZ405</f>
        <v>0.48</v>
      </c>
      <c r="BB405" s="826">
        <f>AVERAGE(AX405:BA405)</f>
        <v>0.48</v>
      </c>
      <c r="BC405" s="833">
        <f>BB405</f>
        <v>0.48</v>
      </c>
      <c r="BD405" s="834">
        <f>BC405</f>
        <v>0.48</v>
      </c>
      <c r="BE405" s="834">
        <f>BD405</f>
        <v>0.48</v>
      </c>
      <c r="BF405" s="835">
        <f>BE405</f>
        <v>0.48</v>
      </c>
      <c r="BG405" s="826">
        <f>AVERAGE(BC405:BF405)</f>
        <v>0.48</v>
      </c>
      <c r="BH405" s="833">
        <f>BG405</f>
        <v>0.48</v>
      </c>
      <c r="BI405" s="834">
        <f>BH405</f>
        <v>0.48</v>
      </c>
      <c r="BJ405" s="834">
        <f>BI405</f>
        <v>0.48</v>
      </c>
      <c r="BK405" s="835">
        <f>BJ405</f>
        <v>0.48</v>
      </c>
      <c r="BL405" s="826">
        <f>AVERAGE(BH405:BK405)</f>
        <v>0.48</v>
      </c>
      <c r="BM405" s="833">
        <f>BL405</f>
        <v>0.48</v>
      </c>
      <c r="BN405" s="834">
        <f>BM405</f>
        <v>0.48</v>
      </c>
      <c r="BO405" s="834">
        <f>BN405</f>
        <v>0.48</v>
      </c>
      <c r="BP405" s="835">
        <f>BO405</f>
        <v>0.48</v>
      </c>
      <c r="BQ405" s="826">
        <f>AVERAGE(BM405:BP405)</f>
        <v>0.48</v>
      </c>
      <c r="BR405" s="87"/>
      <c r="BS405" s="87"/>
      <c r="BZ405" s="91"/>
      <c r="CA405" s="91"/>
      <c r="CB405" s="91"/>
      <c r="CC405" s="91"/>
      <c r="CD405" s="91"/>
      <c r="CE405" s="91"/>
      <c r="CF405" s="91"/>
      <c r="CG405" s="91"/>
      <c r="CH405" s="91"/>
      <c r="CI405" s="91"/>
      <c r="CJ405" s="91"/>
      <c r="CK405" s="91"/>
      <c r="CL405" s="91"/>
      <c r="CM405" s="91"/>
      <c r="CN405" s="91"/>
      <c r="CO405" s="91"/>
      <c r="CP405" s="91"/>
      <c r="CQ405" s="91"/>
      <c r="CR405" s="1018"/>
      <c r="CS405" s="1018"/>
      <c r="CT405" s="821"/>
      <c r="CU405" s="12"/>
      <c r="CV405" s="12"/>
      <c r="CW405" s="12"/>
      <c r="CX405" s="12"/>
      <c r="CY405" s="12"/>
      <c r="CZ405" s="91"/>
      <c r="DA405" s="91"/>
      <c r="DB405" s="91"/>
      <c r="DC405" s="91"/>
      <c r="DD405" s="91"/>
      <c r="DE405" s="91"/>
      <c r="DF405" s="12"/>
      <c r="DG405" s="12"/>
      <c r="DH405" s="12"/>
      <c r="DI405" s="12"/>
      <c r="DJ405" s="12"/>
      <c r="DK405" s="12"/>
      <c r="DL405" s="12"/>
      <c r="DM405" s="12"/>
      <c r="DN405" s="12"/>
    </row>
    <row r="406" spans="1:118">
      <c r="A406" s="91"/>
      <c r="B406" s="88"/>
      <c r="C406" s="1179" t="s">
        <v>585</v>
      </c>
      <c r="D406" s="89"/>
      <c r="E406" s="145"/>
      <c r="F406" s="146"/>
      <c r="G406" s="146"/>
      <c r="H406" s="147"/>
      <c r="I406" s="87"/>
      <c r="J406" s="145"/>
      <c r="K406" s="146"/>
      <c r="L406" s="146"/>
      <c r="M406" s="147"/>
      <c r="N406" s="89"/>
      <c r="O406" s="145"/>
      <c r="P406" s="146"/>
      <c r="Q406" s="146"/>
      <c r="R406" s="147"/>
      <c r="S406" s="89"/>
      <c r="T406" s="1073"/>
      <c r="U406" s="1074"/>
      <c r="V406" s="1074"/>
      <c r="W406" s="1075"/>
      <c r="X406" s="258"/>
      <c r="Y406" s="1073">
        <f>(Y403*Y405*(8760/1000))/4</f>
        <v>578.16</v>
      </c>
      <c r="Z406" s="1074">
        <f>(Z403*Z405*(8760/1000))/4</f>
        <v>578.16</v>
      </c>
      <c r="AA406" s="1074">
        <f>(AA403*AA405*(8760/1000))/4</f>
        <v>578.16</v>
      </c>
      <c r="AB406" s="1075">
        <f>(AB403*AB405*(8760/1000))/4</f>
        <v>578.16</v>
      </c>
      <c r="AC406" s="258">
        <f>SUM(Y406:AB406)</f>
        <v>2312.64</v>
      </c>
      <c r="AD406" s="1073">
        <f>(AD403*AD405*(8760/1000))/4</f>
        <v>578.16</v>
      </c>
      <c r="AE406" s="1074">
        <f>(AE403*AE405*(8760/1000))/4</f>
        <v>578.16</v>
      </c>
      <c r="AF406" s="1074">
        <f>(AF403*AF405*(8760/1000))/4</f>
        <v>578.16</v>
      </c>
      <c r="AG406" s="1075">
        <f>(AG403*AG405*(8760/1000))/4</f>
        <v>578.16</v>
      </c>
      <c r="AH406" s="258">
        <f>SUM(AD406:AG406)</f>
        <v>2312.64</v>
      </c>
      <c r="AI406" s="1073">
        <f>(AI403*AI405*(8760/1000))/4</f>
        <v>578.16</v>
      </c>
      <c r="AJ406" s="1074">
        <f>(AJ403*AJ405*(8760/1000))/4</f>
        <v>578.16</v>
      </c>
      <c r="AK406" s="1074">
        <f>(AK403*AK405*(8760/1000))/4</f>
        <v>578.16</v>
      </c>
      <c r="AL406" s="1075">
        <f>(AL403*AL405*(8760/1000))/4</f>
        <v>578.16</v>
      </c>
      <c r="AM406" s="258">
        <f>SUM(AI406:AL406)</f>
        <v>2312.64</v>
      </c>
      <c r="AN406" s="1073">
        <f>(AN403*AN405*(8760/1000))/4</f>
        <v>578.16</v>
      </c>
      <c r="AO406" s="1074">
        <f>(AO403*AO405*(8760/1000))/4</f>
        <v>578.16</v>
      </c>
      <c r="AP406" s="1074">
        <f>(AP403*AP405*(8760/1000))/4</f>
        <v>578.16</v>
      </c>
      <c r="AQ406" s="1075">
        <f>(AQ403*AQ405*(8760/1000))/4</f>
        <v>578.16</v>
      </c>
      <c r="AR406" s="258">
        <f>SUM(AN406:AQ406)</f>
        <v>2312.64</v>
      </c>
      <c r="AS406" s="1073">
        <f>(AS403*AS405*(8760/1000))/4</f>
        <v>578.16</v>
      </c>
      <c r="AT406" s="1074">
        <f>(AT403*AT405*(8760/1000))/4</f>
        <v>578.16</v>
      </c>
      <c r="AU406" s="1074">
        <f>(AU403*AU405*(8760/1000))/4</f>
        <v>578.16</v>
      </c>
      <c r="AV406" s="1075">
        <f>(AV403*AV405*(8760/1000))/4</f>
        <v>0</v>
      </c>
      <c r="AW406" s="258">
        <f>SUM(AS406:AV406)</f>
        <v>1734.48</v>
      </c>
      <c r="AX406" s="1073">
        <f>(AX403*AX405*(8760/1000))/4</f>
        <v>0</v>
      </c>
      <c r="AY406" s="1074">
        <f>(AY403*AY405*(8760/1000))/4</f>
        <v>0</v>
      </c>
      <c r="AZ406" s="1074">
        <f>(AZ403*AZ405*(8760/1000))/4</f>
        <v>0</v>
      </c>
      <c r="BA406" s="1075">
        <f>(BA403*BA405*(8760/1000))/4</f>
        <v>0</v>
      </c>
      <c r="BB406" s="258">
        <f>SUM(AX406:BA406)</f>
        <v>0</v>
      </c>
      <c r="BC406" s="1073">
        <f>(BC403*BC405*(8760/1000))/4</f>
        <v>0</v>
      </c>
      <c r="BD406" s="1074">
        <f>(BD403*BD405*(8760/1000))/4</f>
        <v>0</v>
      </c>
      <c r="BE406" s="1074">
        <f>(BE403*BE405*(8760/1000))/4</f>
        <v>0</v>
      </c>
      <c r="BF406" s="1075">
        <f>(BF403*BF405*(8760/1000))/4</f>
        <v>0</v>
      </c>
      <c r="BG406" s="258">
        <f>SUM(BC406:BF406)</f>
        <v>0</v>
      </c>
      <c r="BH406" s="1073">
        <f>(BH403*BH405*(8760/1000))/4</f>
        <v>0</v>
      </c>
      <c r="BI406" s="1074">
        <f>(BI403*BI405*(8760/1000))/4</f>
        <v>0</v>
      </c>
      <c r="BJ406" s="1074">
        <f>(BJ403*BJ405*(8760/1000))/4</f>
        <v>0</v>
      </c>
      <c r="BK406" s="1075">
        <f>(BK403*BK405*(8760/1000))/4</f>
        <v>0</v>
      </c>
      <c r="BL406" s="258">
        <f>SUM(BH406:BK406)</f>
        <v>0</v>
      </c>
      <c r="BM406" s="1073">
        <f>(BM403*BM405*(8760/1000))/4</f>
        <v>0</v>
      </c>
      <c r="BN406" s="1074">
        <f>(BN403*BN405*(8760/1000))/4</f>
        <v>0</v>
      </c>
      <c r="BO406" s="1074">
        <f>(BO403*BO405*(8760/1000))/4</f>
        <v>0</v>
      </c>
      <c r="BP406" s="1075">
        <f>(BP403*BP405*(8760/1000))/4</f>
        <v>0</v>
      </c>
      <c r="BQ406" s="258">
        <f>SUM(BM406:BP406)</f>
        <v>0</v>
      </c>
      <c r="BR406" s="87"/>
      <c r="BS406" s="87"/>
      <c r="BZ406" s="91"/>
      <c r="CA406" s="91"/>
      <c r="CB406" s="91"/>
      <c r="CC406" s="91"/>
      <c r="CD406" s="91"/>
      <c r="CE406" s="91"/>
      <c r="CF406" s="91"/>
      <c r="CG406" s="91"/>
      <c r="CH406" s="91"/>
      <c r="CI406" s="91"/>
      <c r="CJ406" s="91"/>
      <c r="CK406" s="91"/>
      <c r="CL406" s="91"/>
      <c r="CM406" s="91"/>
      <c r="CN406" s="91"/>
      <c r="CO406" s="91"/>
      <c r="CP406" s="91"/>
      <c r="CQ406" s="91"/>
      <c r="CR406" s="1018"/>
      <c r="CS406" s="1018"/>
      <c r="CT406" s="821"/>
      <c r="CU406" s="12"/>
      <c r="CV406" s="12"/>
      <c r="CW406" s="12"/>
      <c r="CX406" s="12"/>
      <c r="CY406" s="12"/>
      <c r="CZ406" s="91"/>
      <c r="DA406" s="91"/>
      <c r="DB406" s="91"/>
      <c r="DC406" s="91"/>
      <c r="DD406" s="91"/>
      <c r="DE406" s="91"/>
      <c r="DF406" s="12"/>
      <c r="DG406" s="12"/>
      <c r="DH406" s="12"/>
      <c r="DI406" s="12"/>
      <c r="DJ406" s="12"/>
      <c r="DK406" s="12"/>
      <c r="DL406" s="12"/>
      <c r="DM406" s="12"/>
      <c r="DN406" s="12"/>
    </row>
    <row r="407" spans="1:118">
      <c r="A407" s="91"/>
      <c r="B407" s="88"/>
      <c r="C407" s="1179"/>
      <c r="D407" s="89"/>
      <c r="E407" s="145"/>
      <c r="F407" s="146"/>
      <c r="G407" s="146"/>
      <c r="H407" s="147"/>
      <c r="I407" s="87"/>
      <c r="J407" s="145"/>
      <c r="K407" s="146"/>
      <c r="L407" s="146"/>
      <c r="M407" s="147"/>
      <c r="N407" s="89"/>
      <c r="O407" s="145"/>
      <c r="P407" s="146"/>
      <c r="Q407" s="146"/>
      <c r="R407" s="147"/>
      <c r="S407" s="89"/>
      <c r="T407" s="145"/>
      <c r="U407" s="146"/>
      <c r="V407" s="146"/>
      <c r="W407" s="147"/>
      <c r="X407" s="89"/>
      <c r="Y407" s="145"/>
      <c r="Z407" s="146"/>
      <c r="AA407" s="146"/>
      <c r="AB407" s="147"/>
      <c r="AC407" s="89"/>
      <c r="AD407" s="145"/>
      <c r="AE407" s="146"/>
      <c r="AF407" s="146"/>
      <c r="AG407" s="147"/>
      <c r="AH407" s="89"/>
      <c r="AI407" s="145"/>
      <c r="AJ407" s="146"/>
      <c r="AK407" s="146"/>
      <c r="AL407" s="147"/>
      <c r="AM407" s="89"/>
      <c r="AN407" s="145"/>
      <c r="AO407" s="146"/>
      <c r="AP407" s="146"/>
      <c r="AQ407" s="147"/>
      <c r="AR407" s="89"/>
      <c r="AS407" s="145"/>
      <c r="AT407" s="146"/>
      <c r="AU407" s="146"/>
      <c r="AV407" s="147"/>
      <c r="AW407" s="89"/>
      <c r="AX407" s="145"/>
      <c r="AY407" s="146"/>
      <c r="AZ407" s="146"/>
      <c r="BA407" s="147"/>
      <c r="BB407" s="89"/>
      <c r="BC407" s="145"/>
      <c r="BD407" s="146"/>
      <c r="BE407" s="146"/>
      <c r="BF407" s="147"/>
      <c r="BG407" s="89"/>
      <c r="BH407" s="145"/>
      <c r="BI407" s="146"/>
      <c r="BJ407" s="146"/>
      <c r="BK407" s="147"/>
      <c r="BL407" s="89"/>
      <c r="BM407" s="145"/>
      <c r="BN407" s="146"/>
      <c r="BO407" s="146"/>
      <c r="BP407" s="147"/>
      <c r="BQ407" s="89"/>
      <c r="BR407" s="87"/>
      <c r="BS407" s="87"/>
      <c r="BZ407" s="91"/>
      <c r="CA407" s="91"/>
      <c r="CB407" s="91"/>
      <c r="CC407" s="91"/>
      <c r="CD407" s="91"/>
      <c r="CE407" s="91"/>
      <c r="CF407" s="91"/>
      <c r="CG407" s="91"/>
      <c r="CH407" s="91"/>
      <c r="CI407" s="91"/>
      <c r="CJ407" s="91"/>
      <c r="CK407" s="91"/>
      <c r="CL407" s="91"/>
      <c r="CM407" s="91"/>
      <c r="CN407" s="91"/>
      <c r="CO407" s="91"/>
      <c r="CP407" s="91"/>
      <c r="CQ407" s="91"/>
      <c r="CR407" s="1018"/>
      <c r="CS407" s="1018"/>
      <c r="CT407" s="821"/>
      <c r="CU407" s="12"/>
      <c r="CV407" s="12"/>
      <c r="CW407" s="12"/>
      <c r="CX407" s="12"/>
      <c r="CY407" s="12"/>
      <c r="CZ407" s="91"/>
      <c r="DA407" s="91"/>
      <c r="DB407" s="91"/>
      <c r="DC407" s="91"/>
      <c r="DD407" s="91"/>
      <c r="DE407" s="91"/>
      <c r="DF407" s="12"/>
      <c r="DG407" s="12"/>
      <c r="DH407" s="12"/>
      <c r="DI407" s="12"/>
      <c r="DJ407" s="12"/>
      <c r="DK407" s="12"/>
      <c r="DL407" s="12"/>
      <c r="DM407" s="12"/>
      <c r="DN407" s="12"/>
    </row>
    <row r="408" spans="1:118">
      <c r="A408" s="91"/>
      <c r="B408" s="88"/>
      <c r="C408" s="1179" t="s">
        <v>586</v>
      </c>
      <c r="D408" s="89"/>
      <c r="E408" s="145"/>
      <c r="F408" s="146"/>
      <c r="G408" s="146"/>
      <c r="H408" s="147"/>
      <c r="I408" s="1057">
        <v>0.2</v>
      </c>
      <c r="J408" s="145"/>
      <c r="K408" s="146"/>
      <c r="L408" s="146"/>
      <c r="M408" s="147"/>
      <c r="N408" s="89"/>
      <c r="O408" s="145"/>
      <c r="P408" s="146"/>
      <c r="Q408" s="146"/>
      <c r="R408" s="147"/>
      <c r="S408" s="89"/>
      <c r="T408" s="833"/>
      <c r="U408" s="834"/>
      <c r="V408" s="834"/>
      <c r="W408" s="835"/>
      <c r="X408" s="826"/>
      <c r="Y408" s="833">
        <f>IF(Y400&gt;Y401,$I408,0%)</f>
        <v>0.2</v>
      </c>
      <c r="Z408" s="834">
        <f>IF(Z400&gt;Z401,$I408,0%)</f>
        <v>0</v>
      </c>
      <c r="AA408" s="834">
        <f>IF(AA400&gt;AA401,$I408,0%)</f>
        <v>0.2</v>
      </c>
      <c r="AB408" s="835">
        <f>IF(AB400&gt;AB401,$I408,0%)</f>
        <v>0.2</v>
      </c>
      <c r="AC408" s="826">
        <f>AVERAGE(Y408:AB408)</f>
        <v>0.15000000000000002</v>
      </c>
      <c r="AD408" s="833">
        <f>IF(AD400&gt;AD401,$I408,0%)</f>
        <v>0</v>
      </c>
      <c r="AE408" s="834">
        <f>IF(AE400&gt;AE401,$I408,0%)</f>
        <v>0.2</v>
      </c>
      <c r="AF408" s="834">
        <f>IF(AF400&gt;AF401,$I408,0%)</f>
        <v>0.2</v>
      </c>
      <c r="AG408" s="835">
        <f>IF(AG400&gt;AG401,$I408,0%)</f>
        <v>0.2</v>
      </c>
      <c r="AH408" s="826">
        <f>AVERAGE(AD408:AG408)</f>
        <v>0.15000000000000002</v>
      </c>
      <c r="AI408" s="833">
        <f>IF(AI400&gt;AI401,$I408,0%)</f>
        <v>0</v>
      </c>
      <c r="AJ408" s="834">
        <f>IF(AJ400&gt;AJ401,$I408,0%)</f>
        <v>0.2</v>
      </c>
      <c r="AK408" s="834">
        <f>IF(AK400&gt;AK401,$I408,0%)</f>
        <v>0.2</v>
      </c>
      <c r="AL408" s="835">
        <f>IF(AL400&gt;AL401,$I408,0%)</f>
        <v>0.2</v>
      </c>
      <c r="AM408" s="826">
        <f>AVERAGE(AI408:AL408)</f>
        <v>0.15000000000000002</v>
      </c>
      <c r="AN408" s="833">
        <f>IF(AN400&gt;AN401,$I408,0%)</f>
        <v>0.2</v>
      </c>
      <c r="AO408" s="834">
        <f>IF(AO400&gt;AO401,$I408,0%)</f>
        <v>0.2</v>
      </c>
      <c r="AP408" s="834">
        <f>IF(AP400&gt;AP401,$I408,0%)</f>
        <v>0.2</v>
      </c>
      <c r="AQ408" s="835">
        <f>IF(AQ400&gt;AQ401,$I408,0%)</f>
        <v>0.2</v>
      </c>
      <c r="AR408" s="826">
        <f>AVERAGE(AN408:AQ408)</f>
        <v>0.2</v>
      </c>
      <c r="AS408" s="833">
        <f>IF(AS400&gt;AS401,$I408,0%)</f>
        <v>0.2</v>
      </c>
      <c r="AT408" s="834">
        <f>IF(AT400&gt;AT401,$I408,0%)</f>
        <v>0.2</v>
      </c>
      <c r="AU408" s="834">
        <f>IF(AU400&gt;AU401,$I408,0%)</f>
        <v>0.2</v>
      </c>
      <c r="AV408" s="835">
        <f>IF(AV400&gt;AV401,$I408,0%)</f>
        <v>0.2</v>
      </c>
      <c r="AW408" s="826">
        <f>AVERAGE(AS408:AV408)</f>
        <v>0.2</v>
      </c>
      <c r="AX408" s="833">
        <f>IF(AX400&gt;AX401,$I408,0%)</f>
        <v>0</v>
      </c>
      <c r="AY408" s="834">
        <f>IF(AY400&gt;AY401,$I408,0%)</f>
        <v>0.2</v>
      </c>
      <c r="AZ408" s="834">
        <f>IF(AZ400&gt;AZ401,$I408,0%)</f>
        <v>0.2</v>
      </c>
      <c r="BA408" s="835">
        <f>IF(BA400&gt;BA401,$I408,0%)</f>
        <v>0.2</v>
      </c>
      <c r="BB408" s="826">
        <f>AVERAGE(AX408:BA408)</f>
        <v>0.15000000000000002</v>
      </c>
      <c r="BC408" s="833">
        <f>IF(BC400&gt;BC401,$I408,0%)</f>
        <v>0.2</v>
      </c>
      <c r="BD408" s="834">
        <f>IF(BD400&gt;BD401,$I408,0%)</f>
        <v>0.2</v>
      </c>
      <c r="BE408" s="834">
        <f>IF(BE400&gt;BE401,$I408,0%)</f>
        <v>0.2</v>
      </c>
      <c r="BF408" s="835">
        <f>IF(BF400&gt;BF401,$I408,0%)</f>
        <v>0.2</v>
      </c>
      <c r="BG408" s="826">
        <f>AVERAGE(BC408:BF408)</f>
        <v>0.2</v>
      </c>
      <c r="BH408" s="833">
        <f>IF(BH400&gt;BH401,$I408,0%)</f>
        <v>0.2</v>
      </c>
      <c r="BI408" s="834">
        <f>IF(BI400&gt;BI401,$I408,0%)</f>
        <v>0.2</v>
      </c>
      <c r="BJ408" s="834">
        <f>IF(BJ400&gt;BJ401,$I408,0%)</f>
        <v>0.2</v>
      </c>
      <c r="BK408" s="835">
        <f>IF(BK400&gt;BK401,$I408,0%)</f>
        <v>0.2</v>
      </c>
      <c r="BL408" s="826">
        <f>AVERAGE(BH408:BK408)</f>
        <v>0.2</v>
      </c>
      <c r="BM408" s="833">
        <f>IF(BM400&gt;BM401,$I408,0%)</f>
        <v>0.2</v>
      </c>
      <c r="BN408" s="834">
        <f>IF(BN400&gt;BN401,$I408,0%)</f>
        <v>0.2</v>
      </c>
      <c r="BO408" s="834">
        <f>IF(BO400&gt;BO401,$I408,0%)</f>
        <v>0.2</v>
      </c>
      <c r="BP408" s="835">
        <f>IF(BP400&gt;BP401,$I408,0%)</f>
        <v>0.2</v>
      </c>
      <c r="BQ408" s="826">
        <f>AVERAGE(BM408:BP408)</f>
        <v>0.2</v>
      </c>
      <c r="BR408" s="87"/>
      <c r="BS408" s="87"/>
      <c r="BZ408" s="91"/>
      <c r="CA408" s="91"/>
      <c r="CB408" s="91"/>
      <c r="CC408" s="91"/>
      <c r="CD408" s="91"/>
      <c r="CE408" s="91"/>
      <c r="CF408" s="91"/>
      <c r="CG408" s="91"/>
      <c r="CH408" s="91"/>
      <c r="CI408" s="91"/>
      <c r="CJ408" s="91"/>
      <c r="CK408" s="91"/>
      <c r="CL408" s="91"/>
      <c r="CM408" s="91"/>
      <c r="CN408" s="91"/>
      <c r="CO408" s="91"/>
      <c r="CP408" s="91"/>
      <c r="CQ408" s="91"/>
      <c r="CR408" s="1018"/>
      <c r="CS408" s="1018"/>
      <c r="CT408" s="821"/>
      <c r="CU408" s="12"/>
      <c r="CV408" s="12"/>
      <c r="CW408" s="12"/>
      <c r="CX408" s="12"/>
      <c r="CY408" s="12"/>
      <c r="CZ408" s="91"/>
      <c r="DA408" s="91"/>
      <c r="DB408" s="91"/>
      <c r="DC408" s="91"/>
      <c r="DD408" s="91"/>
      <c r="DE408" s="91"/>
      <c r="DF408" s="12"/>
      <c r="DG408" s="12"/>
      <c r="DH408" s="12"/>
      <c r="DI408" s="12"/>
      <c r="DJ408" s="12"/>
      <c r="DK408" s="12"/>
      <c r="DL408" s="12"/>
      <c r="DM408" s="12"/>
      <c r="DN408" s="12"/>
    </row>
    <row r="409" spans="1:118">
      <c r="A409" s="91"/>
      <c r="B409" s="88"/>
      <c r="C409" s="1179" t="s">
        <v>587</v>
      </c>
      <c r="D409" s="89"/>
      <c r="E409" s="145"/>
      <c r="F409" s="146"/>
      <c r="G409" s="146"/>
      <c r="H409" s="147"/>
      <c r="I409" s="371"/>
      <c r="J409" s="145"/>
      <c r="K409" s="146"/>
      <c r="L409" s="146"/>
      <c r="M409" s="147"/>
      <c r="N409" s="89"/>
      <c r="O409" s="145"/>
      <c r="P409" s="146"/>
      <c r="Q409" s="146"/>
      <c r="R409" s="147"/>
      <c r="S409" s="89"/>
      <c r="T409" s="1073"/>
      <c r="U409" s="1074"/>
      <c r="V409" s="1074"/>
      <c r="W409" s="1075"/>
      <c r="X409" s="258"/>
      <c r="Y409" s="1073">
        <f>(Y403*Y408*(8760/1000))/4</f>
        <v>240.9</v>
      </c>
      <c r="Z409" s="1074">
        <f>(Z403*Z408*(8760/1000))/4</f>
        <v>0</v>
      </c>
      <c r="AA409" s="1074">
        <f>(AA403*AA408*(8760/1000))/4</f>
        <v>240.9</v>
      </c>
      <c r="AB409" s="1075">
        <f>(AB403*AB408*(8760/1000))/4</f>
        <v>240.9</v>
      </c>
      <c r="AC409" s="258">
        <f>SUM(Y409:AB409)</f>
        <v>722.7</v>
      </c>
      <c r="AD409" s="1073">
        <f>(AD403*AD408*(8760/1000))/4</f>
        <v>0</v>
      </c>
      <c r="AE409" s="1074">
        <f>(AE403*AE408*(8760/1000))/4</f>
        <v>240.9</v>
      </c>
      <c r="AF409" s="1074">
        <f>(AF403*AF408*(8760/1000))/4</f>
        <v>240.9</v>
      </c>
      <c r="AG409" s="1075">
        <f>(AG403*AG408*(8760/1000))/4</f>
        <v>240.9</v>
      </c>
      <c r="AH409" s="258">
        <f>SUM(AD409:AG409)</f>
        <v>722.7</v>
      </c>
      <c r="AI409" s="1073">
        <f>(AI403*AI408*(8760/1000))/4</f>
        <v>0</v>
      </c>
      <c r="AJ409" s="1074">
        <f>(AJ403*AJ408*(8760/1000))/4</f>
        <v>240.9</v>
      </c>
      <c r="AK409" s="1074">
        <f>(AK403*AK408*(8760/1000))/4</f>
        <v>240.9</v>
      </c>
      <c r="AL409" s="1075">
        <f>(AL403*AL408*(8760/1000))/4</f>
        <v>240.9</v>
      </c>
      <c r="AM409" s="258">
        <f>SUM(AI409:AL409)</f>
        <v>722.7</v>
      </c>
      <c r="AN409" s="1073">
        <f>(AN403*AN408*(8760/1000))/4</f>
        <v>240.9</v>
      </c>
      <c r="AO409" s="1074">
        <f>(AO403*AO408*(8760/1000))/4</f>
        <v>240.9</v>
      </c>
      <c r="AP409" s="1074">
        <f>(AP403*AP408*(8760/1000))/4</f>
        <v>240.9</v>
      </c>
      <c r="AQ409" s="1075">
        <f>(AQ403*AQ408*(8760/1000))/4</f>
        <v>240.9</v>
      </c>
      <c r="AR409" s="258">
        <f>SUM(AN409:AQ409)</f>
        <v>963.6</v>
      </c>
      <c r="AS409" s="1073">
        <f>(AS403*AS408*(8760/1000))/4</f>
        <v>240.9</v>
      </c>
      <c r="AT409" s="1074">
        <f>(AT403*AT408*(8760/1000))/4</f>
        <v>240.9</v>
      </c>
      <c r="AU409" s="1074">
        <f>(AU403*AU408*(8760/1000))/4</f>
        <v>240.9</v>
      </c>
      <c r="AV409" s="1075">
        <f>(AV403*AV408*(8760/1000))/4</f>
        <v>0</v>
      </c>
      <c r="AW409" s="258">
        <f>SUM(AS409:AV409)</f>
        <v>722.7</v>
      </c>
      <c r="AX409" s="1073">
        <f>(AX403*AX408*(8760/1000))/4</f>
        <v>0</v>
      </c>
      <c r="AY409" s="1074">
        <f>(AY403*AY408*(8760/1000))/4</f>
        <v>0</v>
      </c>
      <c r="AZ409" s="1074">
        <f>(AZ403*AZ408*(8760/1000))/4</f>
        <v>0</v>
      </c>
      <c r="BA409" s="1075">
        <f>(BA403*BA408*(8760/1000))/4</f>
        <v>0</v>
      </c>
      <c r="BB409" s="258">
        <f>SUM(AX409:BA409)</f>
        <v>0</v>
      </c>
      <c r="BC409" s="1073">
        <f>(BC403*BC408*(8760/1000))/4</f>
        <v>0</v>
      </c>
      <c r="BD409" s="1074">
        <f>(BD403*BD408*(8760/1000))/4</f>
        <v>0</v>
      </c>
      <c r="BE409" s="1074">
        <f>(BE403*BE408*(8760/1000))/4</f>
        <v>0</v>
      </c>
      <c r="BF409" s="1075">
        <f>(BF403*BF408*(8760/1000))/4</f>
        <v>0</v>
      </c>
      <c r="BG409" s="258">
        <f>SUM(BC409:BF409)</f>
        <v>0</v>
      </c>
      <c r="BH409" s="1073">
        <f>(BH403*BH408*(8760/1000))/4</f>
        <v>0</v>
      </c>
      <c r="BI409" s="1074">
        <f>(BI403*BI408*(8760/1000))/4</f>
        <v>0</v>
      </c>
      <c r="BJ409" s="1074">
        <f>(BJ403*BJ408*(8760/1000))/4</f>
        <v>0</v>
      </c>
      <c r="BK409" s="1075">
        <f>(BK403*BK408*(8760/1000))/4</f>
        <v>0</v>
      </c>
      <c r="BL409" s="258">
        <f>SUM(BH409:BK409)</f>
        <v>0</v>
      </c>
      <c r="BM409" s="1073">
        <f>(BM403*BM408*(8760/1000))/4</f>
        <v>0</v>
      </c>
      <c r="BN409" s="1074">
        <f>(BN403*BN408*(8760/1000))/4</f>
        <v>0</v>
      </c>
      <c r="BO409" s="1074">
        <f>(BO403*BO408*(8760/1000))/4</f>
        <v>0</v>
      </c>
      <c r="BP409" s="1075">
        <f>(BP403*BP408*(8760/1000))/4</f>
        <v>0</v>
      </c>
      <c r="BQ409" s="258">
        <f>SUM(BM409:BP409)</f>
        <v>0</v>
      </c>
      <c r="BR409" s="87"/>
      <c r="BS409" s="87"/>
      <c r="BZ409" s="91"/>
      <c r="CA409" s="91"/>
      <c r="CB409" s="91"/>
      <c r="CC409" s="91"/>
      <c r="CD409" s="91"/>
      <c r="CE409" s="91"/>
      <c r="CF409" s="91"/>
      <c r="CG409" s="91"/>
      <c r="CH409" s="91"/>
      <c r="CI409" s="91"/>
      <c r="CJ409" s="91"/>
      <c r="CK409" s="91"/>
      <c r="CL409" s="91"/>
      <c r="CM409" s="91"/>
      <c r="CN409" s="91"/>
      <c r="CO409" s="91"/>
      <c r="CP409" s="91"/>
      <c r="CQ409" s="91"/>
      <c r="CR409" s="1018"/>
      <c r="CS409" s="1018"/>
      <c r="CT409" s="821"/>
      <c r="CU409" s="12"/>
      <c r="CV409" s="12"/>
      <c r="CW409" s="12"/>
      <c r="CX409" s="12"/>
      <c r="CY409" s="12"/>
      <c r="CZ409" s="91"/>
      <c r="DA409" s="91"/>
      <c r="DB409" s="91"/>
      <c r="DC409" s="91"/>
      <c r="DD409" s="91"/>
      <c r="DE409" s="91"/>
      <c r="DF409" s="12"/>
      <c r="DG409" s="12"/>
      <c r="DH409" s="12"/>
      <c r="DI409" s="12"/>
      <c r="DJ409" s="12"/>
      <c r="DK409" s="12"/>
      <c r="DL409" s="12"/>
      <c r="DM409" s="12"/>
      <c r="DN409" s="12"/>
    </row>
    <row r="410" spans="1:118">
      <c r="A410" s="91"/>
      <c r="B410" s="88"/>
      <c r="C410" s="1179"/>
      <c r="D410" s="89"/>
      <c r="E410" s="145"/>
      <c r="F410" s="146"/>
      <c r="G410" s="146"/>
      <c r="H410" s="147"/>
      <c r="I410" s="87"/>
      <c r="J410" s="145"/>
      <c r="K410" s="146"/>
      <c r="L410" s="146"/>
      <c r="M410" s="147"/>
      <c r="N410" s="89"/>
      <c r="O410" s="145"/>
      <c r="P410" s="146"/>
      <c r="Q410" s="146"/>
      <c r="R410" s="147"/>
      <c r="S410" s="89"/>
      <c r="T410" s="145"/>
      <c r="U410" s="146"/>
      <c r="V410" s="146"/>
      <c r="W410" s="147"/>
      <c r="X410" s="89"/>
      <c r="Y410" s="145"/>
      <c r="Z410" s="146"/>
      <c r="AA410" s="146"/>
      <c r="AB410" s="147"/>
      <c r="AC410" s="89"/>
      <c r="AD410" s="145"/>
      <c r="AE410" s="146"/>
      <c r="AF410" s="146"/>
      <c r="AG410" s="147"/>
      <c r="AH410" s="89"/>
      <c r="AI410" s="145"/>
      <c r="AJ410" s="146"/>
      <c r="AK410" s="146"/>
      <c r="AL410" s="147"/>
      <c r="AM410" s="89"/>
      <c r="AN410" s="145"/>
      <c r="AO410" s="146"/>
      <c r="AP410" s="146"/>
      <c r="AQ410" s="147"/>
      <c r="AR410" s="89"/>
      <c r="AS410" s="145"/>
      <c r="AT410" s="146"/>
      <c r="AU410" s="146"/>
      <c r="AV410" s="147"/>
      <c r="AW410" s="89"/>
      <c r="AX410" s="145"/>
      <c r="AY410" s="146"/>
      <c r="AZ410" s="146"/>
      <c r="BA410" s="147"/>
      <c r="BB410" s="89"/>
      <c r="BC410" s="145"/>
      <c r="BD410" s="146"/>
      <c r="BE410" s="146"/>
      <c r="BF410" s="147"/>
      <c r="BG410" s="89"/>
      <c r="BH410" s="145"/>
      <c r="BI410" s="146"/>
      <c r="BJ410" s="146"/>
      <c r="BK410" s="147"/>
      <c r="BL410" s="89"/>
      <c r="BM410" s="145"/>
      <c r="BN410" s="146"/>
      <c r="BO410" s="146"/>
      <c r="BP410" s="147"/>
      <c r="BQ410" s="89"/>
      <c r="BR410" s="87"/>
      <c r="BS410" s="87"/>
      <c r="BZ410" s="91"/>
      <c r="CA410" s="91"/>
      <c r="CB410" s="91"/>
      <c r="CC410" s="91"/>
      <c r="CD410" s="91"/>
      <c r="CE410" s="91"/>
      <c r="CF410" s="91"/>
      <c r="CG410" s="91"/>
      <c r="CH410" s="91"/>
      <c r="CI410" s="91"/>
      <c r="CJ410" s="91"/>
      <c r="CK410" s="91"/>
      <c r="CL410" s="91"/>
      <c r="CM410" s="91"/>
      <c r="CN410" s="91"/>
      <c r="CO410" s="91"/>
      <c r="CP410" s="91"/>
      <c r="CQ410" s="91"/>
      <c r="CR410" s="1018"/>
      <c r="CS410" s="1018"/>
      <c r="CT410" s="821"/>
      <c r="CU410" s="12"/>
      <c r="CV410" s="12"/>
      <c r="CW410" s="12"/>
      <c r="CX410" s="12"/>
      <c r="CY410" s="12"/>
      <c r="CZ410" s="91"/>
      <c r="DA410" s="91"/>
      <c r="DB410" s="91"/>
      <c r="DC410" s="91"/>
      <c r="DD410" s="91"/>
      <c r="DE410" s="91"/>
      <c r="DF410" s="12"/>
      <c r="DG410" s="12"/>
      <c r="DH410" s="12"/>
      <c r="DI410" s="12"/>
      <c r="DJ410" s="12"/>
      <c r="DK410" s="12"/>
      <c r="DL410" s="12"/>
      <c r="DM410" s="12"/>
      <c r="DN410" s="12"/>
    </row>
    <row r="411" spans="1:118">
      <c r="A411" s="91"/>
      <c r="B411" s="88"/>
      <c r="C411" s="1179" t="s">
        <v>588</v>
      </c>
      <c r="D411" s="89"/>
      <c r="E411" s="145"/>
      <c r="F411" s="146"/>
      <c r="G411" s="146"/>
      <c r="H411" s="147"/>
      <c r="I411" s="87"/>
      <c r="J411" s="145"/>
      <c r="K411" s="146"/>
      <c r="L411" s="146"/>
      <c r="M411" s="147"/>
      <c r="N411" s="89"/>
      <c r="O411" s="145"/>
      <c r="P411" s="146"/>
      <c r="Q411" s="146"/>
      <c r="R411" s="147"/>
      <c r="S411" s="89"/>
      <c r="T411" s="833"/>
      <c r="U411" s="834"/>
      <c r="V411" s="834"/>
      <c r="W411" s="835"/>
      <c r="X411" s="826"/>
      <c r="Y411" s="833">
        <f>(Y409+Y406)/(8.76*Y403/4)</f>
        <v>0.67999999999999994</v>
      </c>
      <c r="Z411" s="834">
        <f>(Z409+Z406)/(8.76*Z403/4)</f>
        <v>0.48</v>
      </c>
      <c r="AA411" s="834">
        <f>(AA409+AA406)/(8.76*AA403/4)</f>
        <v>0.67999999999999994</v>
      </c>
      <c r="AB411" s="835">
        <f>(AB409+AB406)/(8.76*AB403/4)</f>
        <v>0.67999999999999994</v>
      </c>
      <c r="AC411" s="826">
        <f>AVERAGE(Y411:AB411)</f>
        <v>0.62999999999999989</v>
      </c>
      <c r="AD411" s="833">
        <f>(AD409+AD406)/(8.76*AD403/4)</f>
        <v>0.48</v>
      </c>
      <c r="AE411" s="834">
        <f>(AE409+AE406)/(8.76*AE403/4)</f>
        <v>0.67999999999999994</v>
      </c>
      <c r="AF411" s="834">
        <f>(AF409+AF406)/(8.76*AF403/4)</f>
        <v>0.67999999999999994</v>
      </c>
      <c r="AG411" s="835">
        <f>(AG409+AG406)/(8.76*AG403/4)</f>
        <v>0.67999999999999994</v>
      </c>
      <c r="AH411" s="826">
        <f>AVERAGE(AD411:AG411)</f>
        <v>0.62999999999999989</v>
      </c>
      <c r="AI411" s="833">
        <f>(AI409+AI406)/(8.76*AI403/4)</f>
        <v>0.48</v>
      </c>
      <c r="AJ411" s="834">
        <f>(AJ409+AJ406)/(8.76*AJ403/4)</f>
        <v>0.67999999999999994</v>
      </c>
      <c r="AK411" s="834">
        <f>(AK409+AK406)/(8.76*AK403/4)</f>
        <v>0.67999999999999994</v>
      </c>
      <c r="AL411" s="835">
        <f>(AL409+AL406)/(8.76*AL403/4)</f>
        <v>0.67999999999999994</v>
      </c>
      <c r="AM411" s="826">
        <f>AVERAGE(AI411:AL411)</f>
        <v>0.62999999999999989</v>
      </c>
      <c r="AN411" s="833">
        <f>(AN409+AN406)/(8.76*AN403/4)</f>
        <v>0.67999999999999994</v>
      </c>
      <c r="AO411" s="834">
        <f>(AO409+AO406)/(8.76*AO403/4)</f>
        <v>0.67999999999999994</v>
      </c>
      <c r="AP411" s="834">
        <f>(AP409+AP406)/(8.76*AP403/4)</f>
        <v>0.67999999999999994</v>
      </c>
      <c r="AQ411" s="835">
        <f>(AQ409+AQ406)/(8.76*AQ403/4)</f>
        <v>0.67999999999999994</v>
      </c>
      <c r="AR411" s="826">
        <f>AVERAGE(AN411:AQ411)</f>
        <v>0.67999999999999994</v>
      </c>
      <c r="AS411" s="833">
        <f>(AS409+AS406)/(8.76*AS403/4)</f>
        <v>0.67999999999999994</v>
      </c>
      <c r="AT411" s="834">
        <f t="shared" ref="AT411:AV411" si="711">IFERROR((AT409+AT406)/(8.76*AT403/4),0)</f>
        <v>0.67999999999999994</v>
      </c>
      <c r="AU411" s="834">
        <f t="shared" ref="AU411" si="712">IFERROR((AU409+AU406)/(8.76*AU403/4),0)</f>
        <v>0.67999999999999994</v>
      </c>
      <c r="AV411" s="835">
        <f t="shared" si="711"/>
        <v>0</v>
      </c>
      <c r="AW411" s="826">
        <f>AVERAGE(AS411:AV411)</f>
        <v>0.51</v>
      </c>
      <c r="AX411" s="833">
        <f>IFERROR((AX409+AX406)/(8.76*AX403/4),0)</f>
        <v>0</v>
      </c>
      <c r="AY411" s="834">
        <f t="shared" ref="AY411:BA411" si="713">IFERROR((AY409+AY406)/(8.76*AY403/4),0)</f>
        <v>0</v>
      </c>
      <c r="AZ411" s="834">
        <f t="shared" si="713"/>
        <v>0</v>
      </c>
      <c r="BA411" s="835">
        <f t="shared" si="713"/>
        <v>0</v>
      </c>
      <c r="BB411" s="826">
        <f>AVERAGE(AX411:BA411)</f>
        <v>0</v>
      </c>
      <c r="BC411" s="833">
        <f>IFERROR((BC409+BC406)/(8.76*BC403/4),0)</f>
        <v>0</v>
      </c>
      <c r="BD411" s="834">
        <f t="shared" ref="BD411:BF411" si="714">IFERROR((BD409+BD406)/(8.76*BD403/4),0)</f>
        <v>0</v>
      </c>
      <c r="BE411" s="834">
        <f t="shared" si="714"/>
        <v>0</v>
      </c>
      <c r="BF411" s="835">
        <f t="shared" si="714"/>
        <v>0</v>
      </c>
      <c r="BG411" s="826">
        <f>AVERAGE(BC411:BF411)</f>
        <v>0</v>
      </c>
      <c r="BH411" s="833">
        <f>IFERROR((BH409+BH406)/(8.76*BH403/4),0)</f>
        <v>0</v>
      </c>
      <c r="BI411" s="834">
        <f t="shared" ref="BI411:BK411" si="715">IFERROR((BI409+BI406)/(8.76*BI403/4),0)</f>
        <v>0</v>
      </c>
      <c r="BJ411" s="834">
        <f t="shared" si="715"/>
        <v>0</v>
      </c>
      <c r="BK411" s="835">
        <f t="shared" si="715"/>
        <v>0</v>
      </c>
      <c r="BL411" s="826">
        <f>AVERAGE(BH411:BK411)</f>
        <v>0</v>
      </c>
      <c r="BM411" s="833">
        <f>IFERROR((BM409+BM406)/(8.76*BM403/4),0)</f>
        <v>0</v>
      </c>
      <c r="BN411" s="834">
        <f t="shared" ref="BN411:BP411" si="716">IFERROR((BN409+BN406)/(8.76*BN403/4),0)</f>
        <v>0</v>
      </c>
      <c r="BO411" s="834">
        <f t="shared" si="716"/>
        <v>0</v>
      </c>
      <c r="BP411" s="835">
        <f t="shared" si="716"/>
        <v>0</v>
      </c>
      <c r="BQ411" s="826">
        <f>AVERAGE(BM411:BP411)</f>
        <v>0</v>
      </c>
      <c r="BR411" s="87"/>
      <c r="BS411" s="87"/>
      <c r="BZ411" s="91"/>
      <c r="CA411" s="91"/>
      <c r="CB411" s="91"/>
      <c r="CC411" s="91"/>
      <c r="CD411" s="91"/>
      <c r="CE411" s="91"/>
      <c r="CF411" s="91"/>
      <c r="CG411" s="91"/>
      <c r="CH411" s="91"/>
      <c r="CI411" s="91"/>
      <c r="CJ411" s="91"/>
      <c r="CK411" s="91"/>
      <c r="CL411" s="91"/>
      <c r="CM411" s="91"/>
      <c r="CN411" s="91"/>
      <c r="CO411" s="91"/>
      <c r="CP411" s="91"/>
      <c r="CQ411" s="91"/>
      <c r="CR411" s="1018"/>
      <c r="CS411" s="1018"/>
      <c r="CT411" s="821"/>
      <c r="CU411" s="12"/>
      <c r="CV411" s="12"/>
      <c r="CW411" s="12"/>
      <c r="CX411" s="12"/>
      <c r="CY411" s="12"/>
      <c r="CZ411" s="91"/>
      <c r="DA411" s="91"/>
      <c r="DB411" s="91"/>
      <c r="DC411" s="91"/>
      <c r="DD411" s="91"/>
      <c r="DE411" s="91"/>
      <c r="DF411" s="12"/>
      <c r="DG411" s="12"/>
      <c r="DH411" s="12"/>
      <c r="DI411" s="12"/>
      <c r="DJ411" s="12"/>
      <c r="DK411" s="12"/>
      <c r="DL411" s="12"/>
      <c r="DM411" s="12"/>
      <c r="DN411" s="12"/>
    </row>
    <row r="412" spans="1:118">
      <c r="A412" s="91"/>
      <c r="B412" s="88"/>
      <c r="C412" s="1186" t="s">
        <v>589</v>
      </c>
      <c r="D412" s="88"/>
      <c r="E412" s="214"/>
      <c r="F412" s="148"/>
      <c r="G412" s="148"/>
      <c r="H412" s="215"/>
      <c r="I412" s="88"/>
      <c r="J412" s="214"/>
      <c r="K412" s="148"/>
      <c r="L412" s="148"/>
      <c r="M412" s="215"/>
      <c r="N412" s="88"/>
      <c r="O412" s="214"/>
      <c r="P412" s="148"/>
      <c r="Q412" s="148"/>
      <c r="R412" s="215"/>
      <c r="S412" s="88"/>
      <c r="T412" s="106"/>
      <c r="U412" s="76"/>
      <c r="V412" s="76"/>
      <c r="W412" s="107"/>
      <c r="X412" s="308"/>
      <c r="Y412" s="106">
        <f>+Y409+Y406</f>
        <v>819.06</v>
      </c>
      <c r="Z412" s="76">
        <f>+Z409+Z406</f>
        <v>578.16</v>
      </c>
      <c r="AA412" s="76">
        <f>+AA409+AA406</f>
        <v>819.06</v>
      </c>
      <c r="AB412" s="107">
        <f>+AB409+AB406</f>
        <v>819.06</v>
      </c>
      <c r="AC412" s="308">
        <f>SUM(Y412:AB412)</f>
        <v>3035.3399999999997</v>
      </c>
      <c r="AD412" s="106">
        <f>+AD409+AD406</f>
        <v>578.16</v>
      </c>
      <c r="AE412" s="76">
        <f>+AE409+AE406</f>
        <v>819.06</v>
      </c>
      <c r="AF412" s="76">
        <f>+AF409+AF406</f>
        <v>819.06</v>
      </c>
      <c r="AG412" s="107">
        <f>+AG409+AG406</f>
        <v>819.06</v>
      </c>
      <c r="AH412" s="308">
        <f>SUM(AD412:AG412)</f>
        <v>3035.3399999999997</v>
      </c>
      <c r="AI412" s="106">
        <f>+AI409+AI406</f>
        <v>578.16</v>
      </c>
      <c r="AJ412" s="76">
        <f>+AJ409+AJ406</f>
        <v>819.06</v>
      </c>
      <c r="AK412" s="76">
        <f>+AK409+AK406</f>
        <v>819.06</v>
      </c>
      <c r="AL412" s="107">
        <f>+AL409+AL406</f>
        <v>819.06</v>
      </c>
      <c r="AM412" s="308">
        <f>SUM(AI412:AL412)</f>
        <v>3035.3399999999997</v>
      </c>
      <c r="AN412" s="106">
        <f>+AN409+AN406</f>
        <v>819.06</v>
      </c>
      <c r="AO412" s="76">
        <f>+AO409+AO406</f>
        <v>819.06</v>
      </c>
      <c r="AP412" s="76">
        <f>+AP409+AP406</f>
        <v>819.06</v>
      </c>
      <c r="AQ412" s="107">
        <f>+AQ409+AQ406</f>
        <v>819.06</v>
      </c>
      <c r="AR412" s="308">
        <f>SUM(AN412:AQ412)</f>
        <v>3276.24</v>
      </c>
      <c r="AS412" s="106">
        <f>+AS409+AS406</f>
        <v>819.06</v>
      </c>
      <c r="AT412" s="76">
        <f>+AT409+AT406</f>
        <v>819.06</v>
      </c>
      <c r="AU412" s="76">
        <f>+AU409+AU406</f>
        <v>819.06</v>
      </c>
      <c r="AV412" s="107">
        <f>+AV409+AV406</f>
        <v>0</v>
      </c>
      <c r="AW412" s="308">
        <f>SUM(AS412:AV412)</f>
        <v>2457.1799999999998</v>
      </c>
      <c r="AX412" s="106">
        <f>+AX409+AX406</f>
        <v>0</v>
      </c>
      <c r="AY412" s="76">
        <f>+AY409+AY406</f>
        <v>0</v>
      </c>
      <c r="AZ412" s="76">
        <f>+AZ409+AZ406</f>
        <v>0</v>
      </c>
      <c r="BA412" s="107">
        <f>+BA409+BA406</f>
        <v>0</v>
      </c>
      <c r="BB412" s="308">
        <f>SUM(AX412:BA412)</f>
        <v>0</v>
      </c>
      <c r="BC412" s="106">
        <f>+BC409+BC406</f>
        <v>0</v>
      </c>
      <c r="BD412" s="76">
        <f>+BD409+BD406</f>
        <v>0</v>
      </c>
      <c r="BE412" s="76">
        <f>+BE409+BE406</f>
        <v>0</v>
      </c>
      <c r="BF412" s="107">
        <f>+BF409+BF406</f>
        <v>0</v>
      </c>
      <c r="BG412" s="308">
        <f>SUM(BC412:BF412)</f>
        <v>0</v>
      </c>
      <c r="BH412" s="106">
        <f>+BH409+BH406</f>
        <v>0</v>
      </c>
      <c r="BI412" s="76">
        <f>+BI409+BI406</f>
        <v>0</v>
      </c>
      <c r="BJ412" s="76">
        <f>+BJ409+BJ406</f>
        <v>0</v>
      </c>
      <c r="BK412" s="107">
        <f>+BK409+BK406</f>
        <v>0</v>
      </c>
      <c r="BL412" s="308">
        <f>SUM(BH412:BK412)</f>
        <v>0</v>
      </c>
      <c r="BM412" s="106">
        <f>+BM409+BM406</f>
        <v>0</v>
      </c>
      <c r="BN412" s="76">
        <f>+BN409+BN406</f>
        <v>0</v>
      </c>
      <c r="BO412" s="76">
        <f>+BO409+BO406</f>
        <v>0</v>
      </c>
      <c r="BP412" s="107">
        <f>+BP409+BP406</f>
        <v>0</v>
      </c>
      <c r="BQ412" s="308">
        <f>SUM(BM412:BP412)</f>
        <v>0</v>
      </c>
      <c r="BR412" s="87"/>
      <c r="BS412" s="87"/>
      <c r="BZ412" s="91"/>
      <c r="CA412" s="91"/>
      <c r="CB412" s="91"/>
      <c r="CC412" s="91"/>
      <c r="CD412" s="91"/>
      <c r="CE412" s="91"/>
      <c r="CF412" s="91"/>
      <c r="CG412" s="91"/>
      <c r="CH412" s="91"/>
      <c r="CI412" s="91"/>
      <c r="CJ412" s="91"/>
      <c r="CK412" s="91"/>
      <c r="CL412" s="91"/>
      <c r="CM412" s="91"/>
      <c r="CN412" s="91"/>
      <c r="CO412" s="91"/>
      <c r="CP412" s="91"/>
      <c r="CQ412" s="91"/>
      <c r="CR412" s="1018"/>
      <c r="CS412" s="1018"/>
      <c r="CT412" s="821"/>
      <c r="CU412" s="12"/>
      <c r="CV412" s="12"/>
      <c r="CW412" s="12"/>
      <c r="CX412" s="12"/>
      <c r="CY412" s="12"/>
      <c r="CZ412" s="91"/>
      <c r="DA412" s="91"/>
      <c r="DB412" s="91"/>
      <c r="DC412" s="91"/>
      <c r="DD412" s="91"/>
      <c r="DE412" s="91"/>
      <c r="DF412" s="12"/>
      <c r="DG412" s="12"/>
      <c r="DH412" s="12"/>
      <c r="DI412" s="12"/>
      <c r="DJ412" s="12"/>
      <c r="DK412" s="12"/>
      <c r="DL412" s="12"/>
      <c r="DM412" s="12"/>
      <c r="DN412" s="12"/>
    </row>
    <row r="413" spans="1:118">
      <c r="A413" s="91"/>
      <c r="B413" s="88"/>
      <c r="C413" s="1179"/>
      <c r="D413" s="89"/>
      <c r="E413" s="145"/>
      <c r="F413" s="146"/>
      <c r="G413" s="146"/>
      <c r="H413" s="147"/>
      <c r="I413" s="87"/>
      <c r="J413" s="145"/>
      <c r="K413" s="146"/>
      <c r="L413" s="146"/>
      <c r="M413" s="147"/>
      <c r="N413" s="89"/>
      <c r="O413" s="145"/>
      <c r="P413" s="146"/>
      <c r="Q413" s="146"/>
      <c r="R413" s="147"/>
      <c r="S413" s="89"/>
      <c r="T413" s="145"/>
      <c r="U413" s="146"/>
      <c r="V413" s="146"/>
      <c r="W413" s="147"/>
      <c r="X413" s="89"/>
      <c r="Y413" s="145"/>
      <c r="Z413" s="146"/>
      <c r="AA413" s="146"/>
      <c r="AB413" s="147"/>
      <c r="AC413" s="89"/>
      <c r="AD413" s="145"/>
      <c r="AE413" s="146"/>
      <c r="AF413" s="146"/>
      <c r="AG413" s="147"/>
      <c r="AH413" s="89"/>
      <c r="AI413" s="145"/>
      <c r="AJ413" s="146"/>
      <c r="AK413" s="146"/>
      <c r="AL413" s="147"/>
      <c r="AM413" s="89"/>
      <c r="AN413" s="145"/>
      <c r="AO413" s="146"/>
      <c r="AP413" s="146"/>
      <c r="AQ413" s="147"/>
      <c r="AR413" s="89"/>
      <c r="AS413" s="145"/>
      <c r="AT413" s="146"/>
      <c r="AU413" s="146"/>
      <c r="AV413" s="147"/>
      <c r="AW413" s="89"/>
      <c r="AX413" s="145"/>
      <c r="AY413" s="146"/>
      <c r="AZ413" s="146"/>
      <c r="BA413" s="147"/>
      <c r="BB413" s="89"/>
      <c r="BC413" s="145"/>
      <c r="BD413" s="146"/>
      <c r="BE413" s="146"/>
      <c r="BF413" s="147"/>
      <c r="BG413" s="89"/>
      <c r="BH413" s="145"/>
      <c r="BI413" s="146"/>
      <c r="BJ413" s="146"/>
      <c r="BK413" s="147"/>
      <c r="BL413" s="89"/>
      <c r="BM413" s="145"/>
      <c r="BN413" s="146"/>
      <c r="BO413" s="146"/>
      <c r="BP413" s="147"/>
      <c r="BQ413" s="89"/>
      <c r="BR413" s="87"/>
      <c r="BS413" s="87"/>
      <c r="BZ413" s="91"/>
      <c r="CA413" s="91"/>
      <c r="CB413" s="91"/>
      <c r="CC413" s="91"/>
      <c r="CD413" s="91"/>
      <c r="CE413" s="91"/>
      <c r="CF413" s="91"/>
      <c r="CG413" s="91"/>
      <c r="CH413" s="91"/>
      <c r="CI413" s="91"/>
      <c r="CJ413" s="91"/>
      <c r="CK413" s="91"/>
      <c r="CL413" s="91"/>
      <c r="CM413" s="91"/>
      <c r="CN413" s="91"/>
      <c r="CO413" s="91"/>
      <c r="CP413" s="91"/>
      <c r="CQ413" s="91"/>
      <c r="CR413" s="1018"/>
      <c r="CS413" s="1018"/>
      <c r="CT413" s="821"/>
      <c r="CU413" s="12"/>
      <c r="CV413" s="12"/>
      <c r="CW413" s="12"/>
      <c r="CX413" s="12"/>
      <c r="CY413" s="12"/>
      <c r="CZ413" s="91"/>
      <c r="DA413" s="91"/>
      <c r="DB413" s="91"/>
      <c r="DC413" s="91"/>
      <c r="DD413" s="91"/>
      <c r="DE413" s="91"/>
      <c r="DF413" s="12"/>
      <c r="DG413" s="12"/>
      <c r="DH413" s="12"/>
      <c r="DI413" s="12"/>
      <c r="DJ413" s="12"/>
      <c r="DK413" s="12"/>
      <c r="DL413" s="12"/>
      <c r="DM413" s="12"/>
      <c r="DN413" s="12"/>
    </row>
    <row r="414" spans="1:118">
      <c r="A414" s="91"/>
      <c r="B414" s="88"/>
      <c r="C414" s="1179" t="s">
        <v>566</v>
      </c>
      <c r="D414" s="89"/>
      <c r="E414" s="145"/>
      <c r="F414" s="146"/>
      <c r="G414" s="146"/>
      <c r="H414" s="147"/>
      <c r="I414" s="87"/>
      <c r="J414" s="145"/>
      <c r="K414" s="146"/>
      <c r="L414" s="146"/>
      <c r="M414" s="147"/>
      <c r="N414" s="89"/>
      <c r="O414" s="145"/>
      <c r="P414" s="146"/>
      <c r="Q414" s="146"/>
      <c r="R414" s="147"/>
      <c r="S414" s="89"/>
      <c r="T414" s="114"/>
      <c r="U414" s="115"/>
      <c r="V414" s="115"/>
      <c r="W414" s="105"/>
      <c r="X414" s="113"/>
      <c r="Y414" s="114">
        <f>(Y399/1000*Y406)+(Y400/1000*Y409)</f>
        <v>32.348249633218401</v>
      </c>
      <c r="Z414" s="115">
        <f>(Z399/1000*Z406)+(Z400/1000*Z409)</f>
        <v>26.323800743573422</v>
      </c>
      <c r="AA414" s="115">
        <f>(AA399/1000*AA406)+(AA400/1000*AA409)</f>
        <v>34.688277664496006</v>
      </c>
      <c r="AB414" s="105">
        <f>(AB399/1000*AB406)+(AB400/1000*AB409)</f>
        <v>30.707586012479215</v>
      </c>
      <c r="AC414" s="113">
        <f>SUM(Y414:AB414)</f>
        <v>124.06791405376704</v>
      </c>
      <c r="AD414" s="114">
        <f>(AD399/1000*AD406)+(AD400/1000*AD409)</f>
        <v>65.666596269449983</v>
      </c>
      <c r="AE414" s="115">
        <f>(AE399/1000*AE406)+(AE400/1000*AE409)</f>
        <v>36.581439833906387</v>
      </c>
      <c r="AF414" s="115">
        <f>(AF399/1000*AF406)+(AF400/1000*AF409)</f>
        <v>30.533672083976057</v>
      </c>
      <c r="AG414" s="105">
        <f>(AG399/1000*AG406)+(AG400/1000*AG409)</f>
        <v>30.556645194849175</v>
      </c>
      <c r="AH414" s="113">
        <f>SUM(AD414:AG414)</f>
        <v>163.33835338218159</v>
      </c>
      <c r="AI414" s="114">
        <f>(AI399/1000*AI406)+(AI400/1000*AI409)</f>
        <v>32.878095511564297</v>
      </c>
      <c r="AJ414" s="115">
        <f>(AJ399/1000*AJ406)+(AJ400/1000*AJ409)</f>
        <v>28.662764093989821</v>
      </c>
      <c r="AK414" s="115">
        <f>(AK399/1000*AK406)+(AK400/1000*AK409)</f>
        <v>28.411845148605487</v>
      </c>
      <c r="AL414" s="105">
        <f>(AL399/1000*AL406)+(AL400/1000*AL409)</f>
        <v>23.766589345445958</v>
      </c>
      <c r="AM414" s="113">
        <f>SUM(AI414:AL414)</f>
        <v>113.71929409960558</v>
      </c>
      <c r="AN414" s="114">
        <f>(AN399/1000*AN406)+(AN400/1000*AN409)</f>
        <v>23.183368077533519</v>
      </c>
      <c r="AO414" s="115">
        <f>(AO399/1000*AO406)+(AO400/1000*AO409)</f>
        <v>24.030007044931288</v>
      </c>
      <c r="AP414" s="115">
        <f>(AP399/1000*AP406)+(AP400/1000*AP409)</f>
        <v>28.030733198311172</v>
      </c>
      <c r="AQ414" s="105">
        <f>(AQ399/1000*AQ406)+(AQ400/1000*AQ409)</f>
        <v>25.320338286456568</v>
      </c>
      <c r="AR414" s="113">
        <f>SUM(AN414:AQ414)</f>
        <v>100.56444660723255</v>
      </c>
      <c r="AS414" s="114">
        <f>(AS399/1000*AS406)+(AS400/1000*AS409)</f>
        <v>24.29457717697775</v>
      </c>
      <c r="AT414" s="115">
        <f>(AT399/1000*AT406)+(AT400/1000*AT409)</f>
        <v>24.29457717697775</v>
      </c>
      <c r="AU414" s="115">
        <f>(AU399/1000*AU406)+(AU400/1000*AU409)</f>
        <v>25.806996152432724</v>
      </c>
      <c r="AV414" s="105">
        <f>(AV399/1000*AV406)+(AV400/1000*AV409)</f>
        <v>0</v>
      </c>
      <c r="AW414" s="113">
        <f>SUM(AS414:AV414)</f>
        <v>74.396150506388224</v>
      </c>
      <c r="AX414" s="114">
        <f>(AX399/1000*AX406)+(AX400/1000*AX409)</f>
        <v>0</v>
      </c>
      <c r="AY414" s="115">
        <f>(AY399/1000*AY406)+(AY400/1000*AY409)</f>
        <v>0</v>
      </c>
      <c r="AZ414" s="115">
        <f>(AZ399/1000*AZ406)+(AZ400/1000*AZ409)</f>
        <v>0</v>
      </c>
      <c r="BA414" s="105">
        <f>(BA399/1000*BA406)+(BA400/1000*BA409)</f>
        <v>0</v>
      </c>
      <c r="BB414" s="113">
        <f>SUM(AX414:BA414)</f>
        <v>0</v>
      </c>
      <c r="BC414" s="114">
        <f>(BC399/1000*BC406)+(BC400/1000*BC409)</f>
        <v>0</v>
      </c>
      <c r="BD414" s="115">
        <f>(BD399/1000*BD406)+(BD400/1000*BD409)</f>
        <v>0</v>
      </c>
      <c r="BE414" s="115">
        <f>(BE399/1000*BE406)+(BE400/1000*BE409)</f>
        <v>0</v>
      </c>
      <c r="BF414" s="105">
        <f>(BF399/1000*BF406)+(BF400/1000*BF409)</f>
        <v>0</v>
      </c>
      <c r="BG414" s="113">
        <f>SUM(BC414:BF414)</f>
        <v>0</v>
      </c>
      <c r="BH414" s="114">
        <f>(BH399/1000*BH406)+(BH400/1000*BH409)</f>
        <v>0</v>
      </c>
      <c r="BI414" s="115">
        <f>(BI399/1000*BI406)+(BI400/1000*BI409)</f>
        <v>0</v>
      </c>
      <c r="BJ414" s="115">
        <f>(BJ399/1000*BJ406)+(BJ400/1000*BJ409)</f>
        <v>0</v>
      </c>
      <c r="BK414" s="105">
        <f>(BK399/1000*BK406)+(BK400/1000*BK409)</f>
        <v>0</v>
      </c>
      <c r="BL414" s="113">
        <f>SUM(BH414:BK414)</f>
        <v>0</v>
      </c>
      <c r="BM414" s="114">
        <f>(BM399/1000*BM406)+(BM400/1000*BM409)</f>
        <v>0</v>
      </c>
      <c r="BN414" s="115">
        <f>(BN399/1000*BN406)+(BN400/1000*BN409)</f>
        <v>0</v>
      </c>
      <c r="BO414" s="115">
        <f>(BO399/1000*BO406)+(BO400/1000*BO409)</f>
        <v>0</v>
      </c>
      <c r="BP414" s="105">
        <f>(BP399/1000*BP406)+(BP400/1000*BP409)</f>
        <v>0</v>
      </c>
      <c r="BQ414" s="113">
        <f>SUM(BM414:BP414)</f>
        <v>0</v>
      </c>
      <c r="BR414" s="87"/>
      <c r="BS414" s="87"/>
      <c r="BZ414" s="91"/>
      <c r="CA414" s="91"/>
      <c r="CB414" s="91"/>
      <c r="CC414" s="91"/>
      <c r="CD414" s="91"/>
      <c r="CE414" s="91"/>
      <c r="CF414" s="91"/>
      <c r="CG414" s="91"/>
      <c r="CH414" s="91"/>
      <c r="CI414" s="91"/>
      <c r="CJ414" s="91"/>
      <c r="CK414" s="91"/>
      <c r="CL414" s="91"/>
      <c r="CM414" s="91"/>
      <c r="CN414" s="91"/>
      <c r="CO414" s="91"/>
      <c r="CP414" s="91"/>
      <c r="CQ414" s="91"/>
      <c r="CR414" s="1018"/>
      <c r="CS414" s="1018"/>
      <c r="CT414" s="821"/>
      <c r="CU414" s="12"/>
      <c r="CV414" s="12"/>
      <c r="CW414" s="12"/>
      <c r="CX414" s="12"/>
      <c r="CY414" s="12"/>
      <c r="CZ414" s="91"/>
      <c r="DA414" s="91"/>
      <c r="DB414" s="91"/>
      <c r="DC414" s="91"/>
      <c r="DD414" s="91"/>
      <c r="DE414" s="91"/>
      <c r="DF414" s="12"/>
      <c r="DG414" s="12"/>
      <c r="DH414" s="12"/>
      <c r="DI414" s="12"/>
      <c r="DJ414" s="12"/>
      <c r="DK414" s="12"/>
      <c r="DL414" s="12"/>
      <c r="DM414" s="12"/>
      <c r="DN414" s="12"/>
    </row>
    <row r="415" spans="1:118">
      <c r="A415" s="91"/>
      <c r="B415" s="88"/>
      <c r="C415" s="1179" t="s">
        <v>683</v>
      </c>
      <c r="D415" s="89"/>
      <c r="E415" s="145"/>
      <c r="F415" s="146"/>
      <c r="G415" s="146"/>
      <c r="H415" s="147"/>
      <c r="I415" s="87"/>
      <c r="J415" s="145"/>
      <c r="K415" s="146"/>
      <c r="L415" s="146"/>
      <c r="M415" s="147"/>
      <c r="N415" s="89"/>
      <c r="O415" s="145"/>
      <c r="P415" s="146"/>
      <c r="Q415" s="146"/>
      <c r="R415" s="147"/>
      <c r="S415" s="89"/>
      <c r="T415" s="114"/>
      <c r="U415" s="115"/>
      <c r="V415" s="115"/>
      <c r="W415" s="105"/>
      <c r="X415" s="113"/>
      <c r="Y415" s="114">
        <f>Y401/1000*Y412</f>
        <v>26.406699164999996</v>
      </c>
      <c r="Z415" s="115">
        <f>Z401/1000*Z412</f>
        <v>17.965554131249998</v>
      </c>
      <c r="AA415" s="115">
        <f>AA401/1000*AA412</f>
        <v>21.774070209374994</v>
      </c>
      <c r="AB415" s="105">
        <f>AB401/1000*AB412</f>
        <v>24.434255510156252</v>
      </c>
      <c r="AC415" s="113">
        <f>SUM(Y415:AB415)</f>
        <v>90.58057901578124</v>
      </c>
      <c r="AD415" s="114">
        <f>AD401/1000*AD412</f>
        <v>55.045713186885237</v>
      </c>
      <c r="AE415" s="115">
        <f>AE401/1000*AE412</f>
        <v>22.807333596093741</v>
      </c>
      <c r="AF415" s="115">
        <f>AF401/1000*AF412</f>
        <v>15.538879975781246</v>
      </c>
      <c r="AG415" s="105">
        <f>AG401/1000*AG412</f>
        <v>16.944175771874992</v>
      </c>
      <c r="AH415" s="113">
        <f>SUM(AD415:AG415)</f>
        <v>110.33610253063522</v>
      </c>
      <c r="AI415" s="114">
        <f>AI401/1000*AI412</f>
        <v>27.95771943870967</v>
      </c>
      <c r="AJ415" s="115">
        <f>AJ401/1000*AJ412</f>
        <v>9.9688377642857144</v>
      </c>
      <c r="AK415" s="115">
        <f>AK401/1000*AK412</f>
        <v>8.433118546874999</v>
      </c>
      <c r="AL415" s="105">
        <f>AL401/1000*AL412</f>
        <v>7.9209927499999964</v>
      </c>
      <c r="AM415" s="113">
        <f>SUM(AI415:AL415)</f>
        <v>54.28066849987038</v>
      </c>
      <c r="AN415" s="114">
        <f>AN401/1000*AN412</f>
        <v>11.26415621803279</v>
      </c>
      <c r="AO415" s="115">
        <f>AO401/1000*AO412</f>
        <v>9.7217942765625018</v>
      </c>
      <c r="AP415" s="115">
        <f>AP401/1000*AP412</f>
        <v>8.2794488132812472</v>
      </c>
      <c r="AQ415" s="105">
        <f>AQ401/1000*AQ412</f>
        <v>13.719387106451613</v>
      </c>
      <c r="AR415" s="113">
        <f>SUM(AN415:AQ415)</f>
        <v>42.984786414328156</v>
      </c>
      <c r="AS415" s="114">
        <f>AS401/1000*AS412</f>
        <v>15.446831709374999</v>
      </c>
      <c r="AT415" s="115">
        <f>AT401/1000*AT412</f>
        <v>15.446831709374999</v>
      </c>
      <c r="AU415" s="115">
        <f>AU401/1000*AU412</f>
        <v>10.70735686428571</v>
      </c>
      <c r="AV415" s="105">
        <f>AV401/1000*AV412</f>
        <v>0</v>
      </c>
      <c r="AW415" s="113">
        <f>SUM(AS415:AV415)</f>
        <v>41.601020283035709</v>
      </c>
      <c r="AX415" s="114">
        <f>AX401/1000*AX412</f>
        <v>0</v>
      </c>
      <c r="AY415" s="115">
        <f>AY401/1000*AY412</f>
        <v>0</v>
      </c>
      <c r="AZ415" s="115">
        <f>AZ401/1000*AZ412</f>
        <v>0</v>
      </c>
      <c r="BA415" s="105">
        <f>BA401/1000*BA412</f>
        <v>0</v>
      </c>
      <c r="BB415" s="113">
        <f>SUM(AX415:BA415)</f>
        <v>0</v>
      </c>
      <c r="BC415" s="114">
        <f>BC401/1000*BC412</f>
        <v>0</v>
      </c>
      <c r="BD415" s="115">
        <f>BD401/1000*BD412</f>
        <v>0</v>
      </c>
      <c r="BE415" s="115">
        <f>BE401/1000*BE412</f>
        <v>0</v>
      </c>
      <c r="BF415" s="105">
        <f>BF401/1000*BF412</f>
        <v>0</v>
      </c>
      <c r="BG415" s="113">
        <f>SUM(BC415:BF415)</f>
        <v>0</v>
      </c>
      <c r="BH415" s="114">
        <f>BH401/1000*BH412</f>
        <v>0</v>
      </c>
      <c r="BI415" s="115">
        <f>BI401/1000*BI412</f>
        <v>0</v>
      </c>
      <c r="BJ415" s="115">
        <f>BJ401/1000*BJ412</f>
        <v>0</v>
      </c>
      <c r="BK415" s="105">
        <f>BK401/1000*BK412</f>
        <v>0</v>
      </c>
      <c r="BL415" s="113">
        <f>SUM(BH415:BK415)</f>
        <v>0</v>
      </c>
      <c r="BM415" s="114">
        <f>BM401/1000*BM412</f>
        <v>0</v>
      </c>
      <c r="BN415" s="115">
        <f>BN401/1000*BN412</f>
        <v>0</v>
      </c>
      <c r="BO415" s="115">
        <f>BO401/1000*BO412</f>
        <v>0</v>
      </c>
      <c r="BP415" s="105">
        <f>BP401/1000*BP412</f>
        <v>0</v>
      </c>
      <c r="BQ415" s="113">
        <f>SUM(BM415:BP415)</f>
        <v>0</v>
      </c>
      <c r="BR415" s="87"/>
      <c r="BS415" s="87"/>
      <c r="BZ415" s="91"/>
      <c r="CA415" s="91"/>
      <c r="CB415" s="91"/>
      <c r="CC415" s="91"/>
      <c r="CD415" s="91"/>
      <c r="CE415" s="91"/>
      <c r="CF415" s="91"/>
      <c r="CG415" s="91"/>
      <c r="CH415" s="91"/>
      <c r="CI415" s="91"/>
      <c r="CJ415" s="91"/>
      <c r="CK415" s="91"/>
      <c r="CL415" s="91"/>
      <c r="CM415" s="91"/>
      <c r="CN415" s="91"/>
      <c r="CO415" s="91"/>
      <c r="CP415" s="91"/>
      <c r="CQ415" s="91"/>
      <c r="CR415" s="1018"/>
      <c r="CS415" s="1018"/>
      <c r="CT415" s="821"/>
      <c r="CU415" s="12"/>
      <c r="CV415" s="12"/>
      <c r="CW415" s="12"/>
      <c r="CX415" s="12"/>
      <c r="CY415" s="12"/>
      <c r="CZ415" s="91"/>
      <c r="DA415" s="91"/>
      <c r="DB415" s="91"/>
      <c r="DC415" s="91"/>
      <c r="DD415" s="91"/>
      <c r="DE415" s="91"/>
      <c r="DF415" s="12"/>
      <c r="DG415" s="12"/>
      <c r="DH415" s="12"/>
      <c r="DI415" s="12"/>
      <c r="DJ415" s="12"/>
      <c r="DK415" s="12"/>
      <c r="DL415" s="12"/>
      <c r="DM415" s="12"/>
      <c r="DN415" s="12"/>
    </row>
    <row r="416" spans="1:118">
      <c r="A416" s="91"/>
      <c r="B416" s="88"/>
      <c r="C416" s="1186" t="s">
        <v>567</v>
      </c>
      <c r="D416" s="88"/>
      <c r="E416" s="214"/>
      <c r="F416" s="148"/>
      <c r="G416" s="148"/>
      <c r="H416" s="215"/>
      <c r="I416" s="87"/>
      <c r="J416" s="214"/>
      <c r="K416" s="148"/>
      <c r="L416" s="148"/>
      <c r="M416" s="215"/>
      <c r="N416" s="88"/>
      <c r="O416" s="214"/>
      <c r="P416" s="148"/>
      <c r="Q416" s="148"/>
      <c r="R416" s="215"/>
      <c r="S416" s="88"/>
      <c r="T416" s="106"/>
      <c r="U416" s="76"/>
      <c r="V416" s="76"/>
      <c r="W416" s="107"/>
      <c r="X416" s="93"/>
      <c r="Y416" s="106">
        <f t="shared" ref="Y416:AR416" si="717">Y414-Y415</f>
        <v>5.9415504682184057</v>
      </c>
      <c r="Z416" s="76">
        <f t="shared" si="717"/>
        <v>8.3582466123234234</v>
      </c>
      <c r="AA416" s="76">
        <f t="shared" si="717"/>
        <v>12.914207455121012</v>
      </c>
      <c r="AB416" s="107">
        <f t="shared" si="717"/>
        <v>6.2733305023229633</v>
      </c>
      <c r="AC416" s="93">
        <f t="shared" si="717"/>
        <v>33.487335037985801</v>
      </c>
      <c r="AD416" s="106">
        <f t="shared" si="717"/>
        <v>10.620883082564745</v>
      </c>
      <c r="AE416" s="76">
        <f t="shared" si="717"/>
        <v>13.774106237812646</v>
      </c>
      <c r="AF416" s="76">
        <f t="shared" si="717"/>
        <v>14.994792108194812</v>
      </c>
      <c r="AG416" s="107">
        <f t="shared" si="717"/>
        <v>13.612469422974183</v>
      </c>
      <c r="AH416" s="93">
        <f t="shared" si="717"/>
        <v>53.002250851546378</v>
      </c>
      <c r="AI416" s="106">
        <f t="shared" si="717"/>
        <v>4.9203760728546264</v>
      </c>
      <c r="AJ416" s="76">
        <f t="shared" si="717"/>
        <v>18.693926329704105</v>
      </c>
      <c r="AK416" s="76">
        <f t="shared" si="717"/>
        <v>19.978726601730486</v>
      </c>
      <c r="AL416" s="107">
        <f t="shared" si="717"/>
        <v>15.845596595445961</v>
      </c>
      <c r="AM416" s="93">
        <f t="shared" si="717"/>
        <v>59.438625599735197</v>
      </c>
      <c r="AN416" s="106">
        <f t="shared" si="717"/>
        <v>11.919211859500729</v>
      </c>
      <c r="AO416" s="76">
        <f t="shared" si="717"/>
        <v>14.308212768368787</v>
      </c>
      <c r="AP416" s="76">
        <f t="shared" ref="AP416" si="718">AP414-AP415</f>
        <v>19.751284385029926</v>
      </c>
      <c r="AQ416" s="107">
        <f t="shared" si="717"/>
        <v>11.600951180004955</v>
      </c>
      <c r="AR416" s="93">
        <f t="shared" si="717"/>
        <v>57.579660192904399</v>
      </c>
      <c r="AS416" s="106">
        <f t="shared" ref="AS416" si="719">AS414-AS415</f>
        <v>8.8477454676027509</v>
      </c>
      <c r="AT416" s="76">
        <f t="shared" ref="AT416:BB416" si="720">AT414-AT415</f>
        <v>8.8477454676027509</v>
      </c>
      <c r="AU416" s="76">
        <f t="shared" ref="AU416" si="721">AU414-AU415</f>
        <v>15.099639288147014</v>
      </c>
      <c r="AV416" s="107">
        <f t="shared" si="720"/>
        <v>0</v>
      </c>
      <c r="AW416" s="93">
        <f t="shared" si="720"/>
        <v>32.795130223352515</v>
      </c>
      <c r="AX416" s="106">
        <f t="shared" si="720"/>
        <v>0</v>
      </c>
      <c r="AY416" s="76">
        <f t="shared" si="720"/>
        <v>0</v>
      </c>
      <c r="AZ416" s="76">
        <f t="shared" si="720"/>
        <v>0</v>
      </c>
      <c r="BA416" s="107">
        <f t="shared" si="720"/>
        <v>0</v>
      </c>
      <c r="BB416" s="93">
        <f t="shared" si="720"/>
        <v>0</v>
      </c>
      <c r="BC416" s="106">
        <f t="shared" ref="BC416:BL416" si="722">BC414-BC415</f>
        <v>0</v>
      </c>
      <c r="BD416" s="76">
        <f t="shared" si="722"/>
        <v>0</v>
      </c>
      <c r="BE416" s="76">
        <f t="shared" si="722"/>
        <v>0</v>
      </c>
      <c r="BF416" s="107">
        <f t="shared" si="722"/>
        <v>0</v>
      </c>
      <c r="BG416" s="93">
        <f t="shared" si="722"/>
        <v>0</v>
      </c>
      <c r="BH416" s="106">
        <f t="shared" si="722"/>
        <v>0</v>
      </c>
      <c r="BI416" s="76">
        <f t="shared" si="722"/>
        <v>0</v>
      </c>
      <c r="BJ416" s="76">
        <f t="shared" si="722"/>
        <v>0</v>
      </c>
      <c r="BK416" s="107">
        <f t="shared" si="722"/>
        <v>0</v>
      </c>
      <c r="BL416" s="93">
        <f t="shared" si="722"/>
        <v>0</v>
      </c>
      <c r="BM416" s="106">
        <f t="shared" ref="BM416:BQ416" si="723">BM414-BM415</f>
        <v>0</v>
      </c>
      <c r="BN416" s="76">
        <f t="shared" si="723"/>
        <v>0</v>
      </c>
      <c r="BO416" s="76">
        <f t="shared" si="723"/>
        <v>0</v>
      </c>
      <c r="BP416" s="107">
        <f t="shared" si="723"/>
        <v>0</v>
      </c>
      <c r="BQ416" s="93">
        <f t="shared" si="723"/>
        <v>0</v>
      </c>
      <c r="BR416" s="87"/>
      <c r="BS416" s="87"/>
      <c r="BZ416" s="91"/>
      <c r="CA416" s="91"/>
      <c r="CB416" s="91"/>
      <c r="CC416" s="91"/>
      <c r="CD416" s="91"/>
      <c r="CE416" s="91"/>
      <c r="CF416" s="91"/>
      <c r="CG416" s="91"/>
      <c r="CH416" s="91"/>
      <c r="CI416" s="91"/>
      <c r="CJ416" s="91"/>
      <c r="CK416" s="91"/>
      <c r="CL416" s="91"/>
      <c r="CM416" s="91"/>
      <c r="CN416" s="91"/>
      <c r="CO416" s="91"/>
      <c r="CP416" s="91"/>
      <c r="CQ416" s="91"/>
      <c r="CR416" s="1018"/>
      <c r="CS416" s="1018"/>
      <c r="CT416" s="821"/>
      <c r="CU416" s="12"/>
      <c r="CV416" s="12"/>
      <c r="CW416" s="12"/>
      <c r="CX416" s="12"/>
      <c r="CY416" s="12"/>
      <c r="CZ416" s="91"/>
      <c r="DA416" s="91"/>
      <c r="DB416" s="91"/>
      <c r="DC416" s="91"/>
      <c r="DD416" s="91"/>
      <c r="DE416" s="91"/>
      <c r="DF416" s="12"/>
      <c r="DG416" s="12"/>
      <c r="DH416" s="12"/>
      <c r="DI416" s="12"/>
      <c r="DJ416" s="12"/>
      <c r="DK416" s="12"/>
      <c r="DL416" s="12"/>
      <c r="DM416" s="12"/>
      <c r="DN416" s="12"/>
    </row>
    <row r="417" spans="1:118">
      <c r="A417" s="91"/>
      <c r="B417" s="88"/>
      <c r="C417" s="1186"/>
      <c r="D417" s="88"/>
      <c r="E417" s="214"/>
      <c r="F417" s="148"/>
      <c r="G417" s="148"/>
      <c r="H417" s="215"/>
      <c r="I417" s="87"/>
      <c r="J417" s="214"/>
      <c r="K417" s="148"/>
      <c r="L417" s="148"/>
      <c r="M417" s="215"/>
      <c r="N417" s="88"/>
      <c r="O417" s="214"/>
      <c r="P417" s="148"/>
      <c r="Q417" s="148"/>
      <c r="R417" s="215"/>
      <c r="S417" s="88"/>
      <c r="T417" s="106"/>
      <c r="U417" s="76"/>
      <c r="V417" s="76"/>
      <c r="W417" s="107"/>
      <c r="X417" s="93"/>
      <c r="Y417" s="106"/>
      <c r="Z417" s="76"/>
      <c r="AA417" s="76"/>
      <c r="AB417" s="107"/>
      <c r="AC417" s="93"/>
      <c r="AD417" s="106"/>
      <c r="AE417" s="76"/>
      <c r="AF417" s="76"/>
      <c r="AG417" s="107"/>
      <c r="AH417" s="93"/>
      <c r="AI417" s="106"/>
      <c r="AJ417" s="76"/>
      <c r="AK417" s="76"/>
      <c r="AL417" s="107"/>
      <c r="AM417" s="93"/>
      <c r="AN417" s="106"/>
      <c r="AO417" s="76"/>
      <c r="AP417" s="76"/>
      <c r="AQ417" s="107"/>
      <c r="AR417" s="93"/>
      <c r="AS417" s="106"/>
      <c r="AT417" s="76"/>
      <c r="AU417" s="76"/>
      <c r="AV417" s="107"/>
      <c r="AW417" s="93"/>
      <c r="AX417" s="106"/>
      <c r="AY417" s="76"/>
      <c r="AZ417" s="76"/>
      <c r="BA417" s="107"/>
      <c r="BB417" s="93"/>
      <c r="BC417" s="106"/>
      <c r="BD417" s="76"/>
      <c r="BE417" s="76"/>
      <c r="BF417" s="107"/>
      <c r="BG417" s="93"/>
      <c r="BH417" s="106"/>
      <c r="BI417" s="76"/>
      <c r="BJ417" s="76"/>
      <c r="BK417" s="107"/>
      <c r="BL417" s="93"/>
      <c r="BM417" s="106"/>
      <c r="BN417" s="76"/>
      <c r="BO417" s="76"/>
      <c r="BP417" s="107"/>
      <c r="BQ417" s="93"/>
      <c r="BR417" s="87"/>
      <c r="BS417" s="87"/>
      <c r="BZ417" s="91"/>
      <c r="CA417" s="91"/>
      <c r="CB417" s="91"/>
      <c r="CC417" s="91"/>
      <c r="CD417" s="91"/>
      <c r="CE417" s="91"/>
      <c r="CF417" s="91"/>
      <c r="CG417" s="91"/>
      <c r="CH417" s="91"/>
      <c r="CI417" s="91"/>
      <c r="CJ417" s="91"/>
      <c r="CK417" s="91"/>
      <c r="CL417" s="91"/>
      <c r="CM417" s="91"/>
      <c r="CN417" s="91"/>
      <c r="CO417" s="91"/>
      <c r="CP417" s="91"/>
      <c r="CQ417" s="91"/>
      <c r="CR417" s="1018"/>
      <c r="CS417" s="1018"/>
      <c r="CT417" s="821"/>
      <c r="CU417" s="12"/>
      <c r="CV417" s="12"/>
      <c r="CW417" s="12"/>
      <c r="CX417" s="12"/>
      <c r="CY417" s="12"/>
      <c r="CZ417" s="91"/>
      <c r="DA417" s="91"/>
      <c r="DB417" s="91"/>
      <c r="DC417" s="91"/>
      <c r="DD417" s="91"/>
      <c r="DE417" s="91"/>
      <c r="DF417" s="12"/>
      <c r="DG417" s="12"/>
      <c r="DH417" s="12"/>
      <c r="DI417" s="12"/>
      <c r="DJ417" s="12"/>
      <c r="DK417" s="12"/>
      <c r="DL417" s="12"/>
      <c r="DM417" s="12"/>
      <c r="DN417" s="12"/>
    </row>
    <row r="418" spans="1:118">
      <c r="A418" s="91"/>
      <c r="B418" s="89"/>
      <c r="C418" s="1255" t="s">
        <v>609</v>
      </c>
      <c r="D418" s="89"/>
      <c r="E418" s="145"/>
      <c r="F418" s="146"/>
      <c r="G418" s="146"/>
      <c r="H418" s="147"/>
      <c r="I418" s="1021"/>
      <c r="J418" s="145"/>
      <c r="K418" s="146"/>
      <c r="L418" s="146"/>
      <c r="M418" s="147"/>
      <c r="N418" s="89"/>
      <c r="O418" s="145"/>
      <c r="P418" s="146"/>
      <c r="Q418" s="146"/>
      <c r="R418" s="147"/>
      <c r="S418" s="89"/>
      <c r="T418" s="145"/>
      <c r="U418" s="146"/>
      <c r="V418" s="146"/>
      <c r="W418" s="147"/>
      <c r="X418" s="89"/>
      <c r="Y418" s="145"/>
      <c r="Z418" s="146"/>
      <c r="AA418" s="146"/>
      <c r="AB418" s="147"/>
      <c r="AC418" s="89"/>
      <c r="AD418" s="145"/>
      <c r="AE418" s="146"/>
      <c r="AF418" s="146"/>
      <c r="AG418" s="147"/>
      <c r="AH418" s="89"/>
      <c r="AI418" s="145"/>
      <c r="AJ418" s="146"/>
      <c r="AK418" s="146"/>
      <c r="AL418" s="147"/>
      <c r="AM418" s="89"/>
      <c r="AN418" s="145"/>
      <c r="AO418" s="146"/>
      <c r="AP418" s="146"/>
      <c r="AQ418" s="147"/>
      <c r="AR418" s="89"/>
      <c r="AS418" s="145"/>
      <c r="AT418" s="146"/>
      <c r="AU418" s="146"/>
      <c r="AV418" s="147"/>
      <c r="AW418" s="89"/>
      <c r="AX418" s="145"/>
      <c r="AY418" s="146"/>
      <c r="AZ418" s="146"/>
      <c r="BA418" s="147"/>
      <c r="BB418" s="89"/>
      <c r="BC418" s="145"/>
      <c r="BD418" s="146"/>
      <c r="BE418" s="146"/>
      <c r="BF418" s="147"/>
      <c r="BG418" s="89"/>
      <c r="BH418" s="145"/>
      <c r="BI418" s="146"/>
      <c r="BJ418" s="146"/>
      <c r="BK418" s="147"/>
      <c r="BL418" s="89"/>
      <c r="BM418" s="145"/>
      <c r="BN418" s="146"/>
      <c r="BO418" s="146"/>
      <c r="BP418" s="147"/>
      <c r="BQ418" s="89"/>
      <c r="BR418" s="87"/>
      <c r="BS418" s="87"/>
      <c r="BZ418" s="91"/>
      <c r="CA418" s="91"/>
      <c r="CB418" s="91"/>
      <c r="CC418" s="91"/>
      <c r="CD418" s="91"/>
      <c r="CE418" s="91"/>
      <c r="CF418" s="91"/>
      <c r="CG418" s="91"/>
      <c r="CH418" s="91"/>
      <c r="CI418" s="91"/>
      <c r="CJ418" s="91"/>
      <c r="CK418" s="91"/>
      <c r="CL418" s="91"/>
      <c r="CM418" s="91"/>
      <c r="CN418" s="91"/>
      <c r="CO418" s="91"/>
      <c r="CP418" s="91"/>
      <c r="CQ418" s="91"/>
      <c r="CR418" s="1018"/>
      <c r="CS418" s="1018"/>
      <c r="CT418" s="821"/>
      <c r="CU418" s="12"/>
      <c r="CV418" s="12"/>
      <c r="CW418" s="12"/>
      <c r="CX418" s="12"/>
      <c r="CY418" s="12"/>
      <c r="CZ418" s="91"/>
      <c r="DA418" s="91"/>
      <c r="DB418" s="91"/>
      <c r="DC418" s="91"/>
      <c r="DD418" s="91"/>
      <c r="DE418" s="91"/>
      <c r="DF418" s="12"/>
      <c r="DG418" s="12"/>
      <c r="DH418" s="12"/>
      <c r="DI418" s="12"/>
      <c r="DJ418" s="12"/>
      <c r="DK418" s="12"/>
      <c r="DL418" s="12"/>
      <c r="DM418" s="12"/>
      <c r="DN418" s="12"/>
    </row>
    <row r="419" spans="1:118">
      <c r="A419" s="91"/>
      <c r="B419" s="88"/>
      <c r="C419" s="1179" t="s">
        <v>579</v>
      </c>
      <c r="D419" s="89"/>
      <c r="E419" s="145"/>
      <c r="F419" s="146"/>
      <c r="G419" s="146"/>
      <c r="H419" s="147"/>
      <c r="I419" s="87"/>
      <c r="J419" s="145"/>
      <c r="K419" s="146"/>
      <c r="L419" s="146"/>
      <c r="M419" s="147"/>
      <c r="N419" s="89"/>
      <c r="O419" s="145"/>
      <c r="P419" s="146"/>
      <c r="Q419" s="146"/>
      <c r="R419" s="147"/>
      <c r="S419" s="89"/>
      <c r="T419" s="342"/>
      <c r="U419" s="150"/>
      <c r="V419" s="150"/>
      <c r="W419" s="343"/>
      <c r="X419" s="327"/>
      <c r="Y419" s="342">
        <f t="shared" ref="Y419:BQ419" si="724">+Y$67</f>
        <v>41.997815863095234</v>
      </c>
      <c r="Z419" s="150">
        <f t="shared" si="724"/>
        <v>45.53030431640623</v>
      </c>
      <c r="AA419" s="150">
        <f t="shared" si="724"/>
        <v>48.136464199218771</v>
      </c>
      <c r="AB419" s="343">
        <f t="shared" si="724"/>
        <v>40.193486718750009</v>
      </c>
      <c r="AC419" s="327">
        <f t="shared" si="724"/>
        <v>43.964517774367565</v>
      </c>
      <c r="AD419" s="342">
        <f t="shared" si="724"/>
        <v>113.57858770833332</v>
      </c>
      <c r="AE419" s="150">
        <f t="shared" si="724"/>
        <v>50.488559589843781</v>
      </c>
      <c r="AF419" s="150">
        <f t="shared" si="724"/>
        <v>41.389708935546885</v>
      </c>
      <c r="AG419" s="343">
        <f t="shared" si="724"/>
        <v>40.371172851562484</v>
      </c>
      <c r="AH419" s="327">
        <f t="shared" si="724"/>
        <v>61.457007271321615</v>
      </c>
      <c r="AI419" s="342">
        <f t="shared" si="724"/>
        <v>56.866776517857161</v>
      </c>
      <c r="AJ419" s="150">
        <f t="shared" si="724"/>
        <v>39.147263818359377</v>
      </c>
      <c r="AK419" s="150">
        <f t="shared" si="724"/>
        <v>39.464831807692292</v>
      </c>
      <c r="AL419" s="343">
        <f t="shared" si="724"/>
        <v>31.895178447265621</v>
      </c>
      <c r="AM419" s="327">
        <f t="shared" si="724"/>
        <v>41.843512647793617</v>
      </c>
      <c r="AN419" s="342">
        <f t="shared" si="724"/>
        <v>30.103148642578116</v>
      </c>
      <c r="AO419" s="150">
        <f t="shared" si="724"/>
        <v>32.701806339843749</v>
      </c>
      <c r="AP419" s="150">
        <f t="shared" si="724"/>
        <v>38.936782353515625</v>
      </c>
      <c r="AQ419" s="343">
        <f t="shared" si="724"/>
        <v>33.269796091269853</v>
      </c>
      <c r="AR419" s="327">
        <f t="shared" si="724"/>
        <v>33.752883356801831</v>
      </c>
      <c r="AS419" s="342">
        <f t="shared" si="724"/>
        <v>32.803312458984372</v>
      </c>
      <c r="AT419" s="150">
        <f t="shared" si="724"/>
        <v>32.803312458984372</v>
      </c>
      <c r="AU419" s="150">
        <f t="shared" si="724"/>
        <v>35.491018034722231</v>
      </c>
      <c r="AV419" s="343">
        <f t="shared" si="724"/>
        <v>37.44785995039684</v>
      </c>
      <c r="AW419" s="327">
        <f t="shared" si="724"/>
        <v>34.636375725771956</v>
      </c>
      <c r="AX419" s="342">
        <f t="shared" si="724"/>
        <v>48.149713212890617</v>
      </c>
      <c r="AY419" s="150">
        <f t="shared" si="724"/>
        <v>34.5</v>
      </c>
      <c r="AZ419" s="150">
        <f t="shared" si="724"/>
        <v>36.9</v>
      </c>
      <c r="BA419" s="343">
        <f t="shared" si="724"/>
        <v>34.68333333333333</v>
      </c>
      <c r="BB419" s="327">
        <f t="shared" si="724"/>
        <v>38.55826163655599</v>
      </c>
      <c r="BC419" s="342">
        <f t="shared" si="724"/>
        <v>40.501333218824755</v>
      </c>
      <c r="BD419" s="150">
        <f t="shared" si="724"/>
        <v>29.678493986239484</v>
      </c>
      <c r="BE419" s="150">
        <f t="shared" si="724"/>
        <v>32.100602483050345</v>
      </c>
      <c r="BF419" s="343">
        <f t="shared" si="724"/>
        <v>39.002903645085446</v>
      </c>
      <c r="BG419" s="327">
        <f t="shared" si="724"/>
        <v>35.320833333300008</v>
      </c>
      <c r="BH419" s="342">
        <f t="shared" si="724"/>
        <v>40.405777401430242</v>
      </c>
      <c r="BI419" s="150">
        <f t="shared" si="724"/>
        <v>29.608472766528742</v>
      </c>
      <c r="BJ419" s="150">
        <f t="shared" si="724"/>
        <v>32.024866721648337</v>
      </c>
      <c r="BK419" s="343">
        <f t="shared" si="724"/>
        <v>38.910883110392703</v>
      </c>
      <c r="BL419" s="327">
        <f t="shared" si="724"/>
        <v>35.237500000000004</v>
      </c>
      <c r="BM419" s="342">
        <f t="shared" si="724"/>
        <v>46.317231850089563</v>
      </c>
      <c r="BN419" s="150">
        <f t="shared" si="724"/>
        <v>24.886928307166592</v>
      </c>
      <c r="BO419" s="150">
        <f t="shared" si="724"/>
        <v>24.603015608248842</v>
      </c>
      <c r="BP419" s="343">
        <f t="shared" si="724"/>
        <v>47.392824234494974</v>
      </c>
      <c r="BQ419" s="327">
        <f t="shared" si="724"/>
        <v>35.79999999999999</v>
      </c>
      <c r="BR419" s="87"/>
      <c r="BS419" s="87"/>
      <c r="BZ419" s="91"/>
      <c r="CA419" s="91"/>
      <c r="CB419" s="91"/>
      <c r="CC419" s="91"/>
      <c r="CD419" s="91"/>
      <c r="CE419" s="91"/>
      <c r="CF419" s="91"/>
      <c r="CG419" s="91"/>
      <c r="CH419" s="91"/>
      <c r="CI419" s="91"/>
      <c r="CJ419" s="91"/>
      <c r="CK419" s="91"/>
      <c r="CL419" s="91"/>
      <c r="CM419" s="91"/>
      <c r="CN419" s="91"/>
      <c r="CO419" s="91"/>
      <c r="CP419" s="91"/>
      <c r="CQ419" s="91"/>
      <c r="CR419" s="1018"/>
      <c r="CS419" s="1018"/>
      <c r="CT419" s="821"/>
      <c r="CU419" s="12"/>
      <c r="CV419" s="12"/>
      <c r="CW419" s="12"/>
      <c r="CX419" s="12"/>
      <c r="CY419" s="12"/>
      <c r="CZ419" s="91"/>
      <c r="DA419" s="91"/>
      <c r="DB419" s="91"/>
      <c r="DC419" s="91"/>
      <c r="DD419" s="91"/>
      <c r="DE419" s="91"/>
      <c r="DF419" s="12"/>
      <c r="DG419" s="12"/>
      <c r="DH419" s="12"/>
      <c r="DI419" s="12"/>
      <c r="DJ419" s="12"/>
      <c r="DK419" s="12"/>
      <c r="DL419" s="12"/>
      <c r="DM419" s="12"/>
      <c r="DN419" s="12"/>
    </row>
    <row r="420" spans="1:118">
      <c r="A420" s="91"/>
      <c r="B420" s="89"/>
      <c r="C420" s="1179" t="s">
        <v>573</v>
      </c>
      <c r="D420" s="89"/>
      <c r="E420" s="145"/>
      <c r="F420" s="146"/>
      <c r="G420" s="146"/>
      <c r="H420" s="147"/>
      <c r="I420" s="1070">
        <v>11500</v>
      </c>
      <c r="J420" s="145"/>
      <c r="K420" s="146"/>
      <c r="L420" s="146"/>
      <c r="M420" s="147"/>
      <c r="N420" s="89"/>
      <c r="O420" s="145"/>
      <c r="P420" s="146"/>
      <c r="Q420" s="146"/>
      <c r="R420" s="147"/>
      <c r="S420" s="89"/>
      <c r="T420" s="342"/>
      <c r="U420" s="150"/>
      <c r="V420" s="150"/>
      <c r="W420" s="343"/>
      <c r="X420" s="327"/>
      <c r="Y420" s="342">
        <f t="shared" ref="Y420:BB420" si="725">$I420/1000*(Y$53+Y$60)</f>
        <v>49.43504999999999</v>
      </c>
      <c r="Z420" s="150">
        <f t="shared" si="725"/>
        <v>47.646296874999997</v>
      </c>
      <c r="AA420" s="150">
        <f t="shared" si="725"/>
        <v>40.762468749999989</v>
      </c>
      <c r="AB420" s="343">
        <f t="shared" si="725"/>
        <v>45.742507812500008</v>
      </c>
      <c r="AC420" s="327">
        <f t="shared" si="725"/>
        <v>45.896580859374993</v>
      </c>
      <c r="AD420" s="342">
        <f t="shared" si="725"/>
        <v>145.98627868852458</v>
      </c>
      <c r="AE420" s="150">
        <f t="shared" si="725"/>
        <v>42.696804687499984</v>
      </c>
      <c r="AF420" s="150">
        <f t="shared" si="725"/>
        <v>29.089789062499992</v>
      </c>
      <c r="AG420" s="343">
        <f t="shared" si="725"/>
        <v>31.720593749999985</v>
      </c>
      <c r="AH420" s="327">
        <f t="shared" si="725"/>
        <v>62.373366547131134</v>
      </c>
      <c r="AI420" s="342">
        <f t="shared" si="725"/>
        <v>74.146435483870945</v>
      </c>
      <c r="AJ420" s="150">
        <f t="shared" si="725"/>
        <v>18.662309523809522</v>
      </c>
      <c r="AK420" s="150">
        <f t="shared" si="725"/>
        <v>15.787343749999998</v>
      </c>
      <c r="AL420" s="343">
        <f t="shared" si="725"/>
        <v>14.828611111111108</v>
      </c>
      <c r="AM420" s="327">
        <f t="shared" si="725"/>
        <v>30.856174967197891</v>
      </c>
      <c r="AN420" s="342">
        <f t="shared" si="725"/>
        <v>21.087229508196728</v>
      </c>
      <c r="AO420" s="150">
        <f t="shared" si="725"/>
        <v>18.199828125000007</v>
      </c>
      <c r="AP420" s="150">
        <f t="shared" si="725"/>
        <v>15.499664062499996</v>
      </c>
      <c r="AQ420" s="343">
        <f t="shared" si="725"/>
        <v>25.683580645161292</v>
      </c>
      <c r="AR420" s="327">
        <f t="shared" si="725"/>
        <v>20.117575585214503</v>
      </c>
      <c r="AS420" s="342">
        <f t="shared" si="725"/>
        <v>28.917468749999998</v>
      </c>
      <c r="AT420" s="150">
        <f t="shared" si="725"/>
        <v>28.917468749999998</v>
      </c>
      <c r="AU420" s="150">
        <f t="shared" si="725"/>
        <v>20.044865079365074</v>
      </c>
      <c r="AV420" s="343">
        <f t="shared" si="725"/>
        <v>31.62741129032257</v>
      </c>
      <c r="AW420" s="327">
        <f t="shared" si="725"/>
        <v>27.376803467421912</v>
      </c>
      <c r="AX420" s="342">
        <f t="shared" si="725"/>
        <v>75.382500000000007</v>
      </c>
      <c r="AY420" s="150">
        <f t="shared" si="725"/>
        <v>30.816166666666664</v>
      </c>
      <c r="AZ420" s="150">
        <f t="shared" si="725"/>
        <v>32.372500000000002</v>
      </c>
      <c r="BA420" s="343">
        <f t="shared" si="725"/>
        <v>33.369166666666672</v>
      </c>
      <c r="BB420" s="327">
        <f t="shared" si="725"/>
        <v>42.985083333333336</v>
      </c>
      <c r="BC420" s="342">
        <f>$I420/1000*(BC$53+BC$60)</f>
        <v>33.380985189455657</v>
      </c>
      <c r="BD420" s="150">
        <f>$I420/1000*(BD$53+BD$60)</f>
        <v>29.258058037692269</v>
      </c>
      <c r="BE420" s="150">
        <f>$I420/1000*(BE$53+BE$60)</f>
        <v>29.644582458170092</v>
      </c>
      <c r="BF420" s="343">
        <f>$I420/1000*(BF$53+BF$60)</f>
        <v>34.653374314681976</v>
      </c>
      <c r="BG420" s="327">
        <f>$I420/1000*(BG$53+BG$60)</f>
        <v>31.734249999999996</v>
      </c>
      <c r="BH420" s="342">
        <f t="shared" ref="BH420:BQ420" si="726">$I420/1000*(BH$53+BH$60)+BH$93</f>
        <v>33.879976180238423</v>
      </c>
      <c r="BI420" s="150">
        <f t="shared" si="726"/>
        <v>29.695418028290131</v>
      </c>
      <c r="BJ420" s="150">
        <f t="shared" si="726"/>
        <v>30.087720355035287</v>
      </c>
      <c r="BK420" s="343">
        <f t="shared" si="726"/>
        <v>35.17138543643614</v>
      </c>
      <c r="BL420" s="327">
        <f t="shared" si="726"/>
        <v>32.208624999999991</v>
      </c>
      <c r="BM420" s="342">
        <f t="shared" si="726"/>
        <v>28.75</v>
      </c>
      <c r="BN420" s="150">
        <f t="shared" si="726"/>
        <v>28.75</v>
      </c>
      <c r="BO420" s="150">
        <f t="shared" si="726"/>
        <v>28.75</v>
      </c>
      <c r="BP420" s="343">
        <f t="shared" si="726"/>
        <v>28.75</v>
      </c>
      <c r="BQ420" s="327">
        <f t="shared" si="726"/>
        <v>28.75</v>
      </c>
      <c r="BR420" s="87"/>
      <c r="BS420" s="87"/>
      <c r="BZ420" s="91"/>
      <c r="CA420" s="91"/>
      <c r="CB420" s="91"/>
      <c r="CC420" s="91"/>
      <c r="CD420" s="91"/>
      <c r="CE420" s="91"/>
      <c r="CF420" s="91"/>
      <c r="CG420" s="91"/>
      <c r="CH420" s="91"/>
      <c r="CI420" s="91"/>
      <c r="CJ420" s="91"/>
      <c r="CK420" s="91"/>
      <c r="CL420" s="91"/>
      <c r="CM420" s="91"/>
      <c r="CN420" s="91"/>
      <c r="CO420" s="91"/>
      <c r="CP420" s="91"/>
      <c r="CQ420" s="91"/>
      <c r="CR420" s="1018"/>
      <c r="CS420" s="1018"/>
      <c r="CT420" s="821"/>
      <c r="CU420" s="12"/>
      <c r="CV420" s="12"/>
      <c r="CW420" s="12"/>
      <c r="CX420" s="12"/>
      <c r="CY420" s="12"/>
      <c r="CZ420" s="91"/>
      <c r="DA420" s="91"/>
      <c r="DB420" s="91"/>
      <c r="DC420" s="91"/>
      <c r="DD420" s="91"/>
      <c r="DE420" s="91"/>
      <c r="DF420" s="12"/>
      <c r="DG420" s="12"/>
      <c r="DH420" s="12"/>
      <c r="DI420" s="12"/>
      <c r="DJ420" s="12"/>
      <c r="DK420" s="12"/>
      <c r="DL420" s="12"/>
      <c r="DM420" s="12"/>
      <c r="DN420" s="12"/>
    </row>
    <row r="421" spans="1:118">
      <c r="A421" s="91"/>
      <c r="B421" s="89"/>
      <c r="C421" s="1179"/>
      <c r="D421" s="89"/>
      <c r="E421" s="145"/>
      <c r="F421" s="146"/>
      <c r="G421" s="146"/>
      <c r="H421" s="147"/>
      <c r="I421" s="891"/>
      <c r="J421" s="145"/>
      <c r="K421" s="146"/>
      <c r="L421" s="146"/>
      <c r="M421" s="147"/>
      <c r="N421" s="89"/>
      <c r="O421" s="145"/>
      <c r="P421" s="146"/>
      <c r="Q421" s="146"/>
      <c r="R421" s="147"/>
      <c r="S421" s="89"/>
      <c r="T421" s="342"/>
      <c r="U421" s="150"/>
      <c r="V421" s="150"/>
      <c r="W421" s="343"/>
      <c r="X421" s="327"/>
      <c r="Y421" s="342"/>
      <c r="Z421" s="150"/>
      <c r="AA421" s="150"/>
      <c r="AB421" s="343"/>
      <c r="AC421" s="327"/>
      <c r="AD421" s="342"/>
      <c r="AE421" s="150"/>
      <c r="AF421" s="150"/>
      <c r="AG421" s="343"/>
      <c r="AH421" s="327"/>
      <c r="AI421" s="342"/>
      <c r="AJ421" s="150"/>
      <c r="AK421" s="150"/>
      <c r="AL421" s="343"/>
      <c r="AM421" s="327"/>
      <c r="AN421" s="342"/>
      <c r="AO421" s="150"/>
      <c r="AP421" s="150"/>
      <c r="AQ421" s="343"/>
      <c r="AR421" s="327"/>
      <c r="AS421" s="342"/>
      <c r="AT421" s="150"/>
      <c r="AU421" s="150"/>
      <c r="AV421" s="343"/>
      <c r="AW421" s="327"/>
      <c r="AX421" s="342"/>
      <c r="AY421" s="150"/>
      <c r="AZ421" s="150"/>
      <c r="BA421" s="343"/>
      <c r="BB421" s="327"/>
      <c r="BC421" s="342"/>
      <c r="BD421" s="150"/>
      <c r="BE421" s="150"/>
      <c r="BF421" s="343"/>
      <c r="BG421" s="327"/>
      <c r="BH421" s="342"/>
      <c r="BI421" s="150"/>
      <c r="BJ421" s="150"/>
      <c r="BK421" s="343"/>
      <c r="BL421" s="327"/>
      <c r="BM421" s="342"/>
      <c r="BN421" s="150"/>
      <c r="BO421" s="150"/>
      <c r="BP421" s="343"/>
      <c r="BQ421" s="327"/>
      <c r="BR421" s="87"/>
      <c r="BS421" s="87"/>
      <c r="BZ421" s="91"/>
      <c r="CA421" s="91"/>
      <c r="CB421" s="91"/>
      <c r="CC421" s="91"/>
      <c r="CD421" s="91"/>
      <c r="CE421" s="91"/>
      <c r="CF421" s="91"/>
      <c r="CG421" s="91"/>
      <c r="CH421" s="91"/>
      <c r="CI421" s="91"/>
      <c r="CJ421" s="91"/>
      <c r="CK421" s="91"/>
      <c r="CL421" s="91"/>
      <c r="CM421" s="91"/>
      <c r="CN421" s="91"/>
      <c r="CO421" s="91"/>
      <c r="CP421" s="91"/>
      <c r="CQ421" s="91"/>
      <c r="CR421" s="1018"/>
      <c r="CS421" s="1018"/>
      <c r="CT421" s="821"/>
      <c r="CU421" s="12"/>
      <c r="CV421" s="12"/>
      <c r="CW421" s="12"/>
      <c r="CX421" s="12"/>
      <c r="CY421" s="12"/>
      <c r="CZ421" s="91"/>
      <c r="DA421" s="91"/>
      <c r="DB421" s="91"/>
      <c r="DC421" s="91"/>
      <c r="DD421" s="91"/>
      <c r="DE421" s="91"/>
      <c r="DF421" s="12"/>
      <c r="DG421" s="12"/>
      <c r="DH421" s="12"/>
      <c r="DI421" s="12"/>
      <c r="DJ421" s="12"/>
      <c r="DK421" s="12"/>
      <c r="DL421" s="12"/>
      <c r="DM421" s="12"/>
      <c r="DN421" s="12"/>
    </row>
    <row r="422" spans="1:118">
      <c r="A422" s="91"/>
      <c r="B422" s="88"/>
      <c r="C422" s="1186" t="s">
        <v>574</v>
      </c>
      <c r="D422" s="88"/>
      <c r="E422" s="106"/>
      <c r="F422" s="76"/>
      <c r="G422" s="76"/>
      <c r="H422" s="107"/>
      <c r="I422" s="93"/>
      <c r="J422" s="106"/>
      <c r="K422" s="76"/>
      <c r="L422" s="76"/>
      <c r="M422" s="107"/>
      <c r="N422" s="93"/>
      <c r="O422" s="106"/>
      <c r="P422" s="76"/>
      <c r="Q422" s="76"/>
      <c r="R422" s="107"/>
      <c r="S422" s="93"/>
      <c r="T422" s="106"/>
      <c r="U422" s="76"/>
      <c r="V422" s="76"/>
      <c r="W422" s="107"/>
      <c r="X422" s="93"/>
      <c r="Y422" s="106">
        <f t="shared" ref="Y422:AR422" si="727">+Y526</f>
        <v>801</v>
      </c>
      <c r="Z422" s="76">
        <f t="shared" si="727"/>
        <v>801</v>
      </c>
      <c r="AA422" s="76">
        <f t="shared" si="727"/>
        <v>801</v>
      </c>
      <c r="AB422" s="107">
        <f t="shared" si="727"/>
        <v>801</v>
      </c>
      <c r="AC422" s="93">
        <f t="shared" si="727"/>
        <v>801</v>
      </c>
      <c r="AD422" s="106">
        <f t="shared" si="727"/>
        <v>801</v>
      </c>
      <c r="AE422" s="76">
        <f t="shared" si="727"/>
        <v>801</v>
      </c>
      <c r="AF422" s="76">
        <f t="shared" si="727"/>
        <v>801</v>
      </c>
      <c r="AG422" s="107">
        <f t="shared" si="727"/>
        <v>801</v>
      </c>
      <c r="AH422" s="93">
        <f t="shared" si="727"/>
        <v>801</v>
      </c>
      <c r="AI422" s="106">
        <f t="shared" si="727"/>
        <v>801</v>
      </c>
      <c r="AJ422" s="76">
        <f t="shared" si="727"/>
        <v>801</v>
      </c>
      <c r="AK422" s="76">
        <f t="shared" si="727"/>
        <v>801</v>
      </c>
      <c r="AL422" s="107">
        <f t="shared" si="727"/>
        <v>801</v>
      </c>
      <c r="AM422" s="93">
        <f t="shared" si="727"/>
        <v>801</v>
      </c>
      <c r="AN422" s="106">
        <f t="shared" si="727"/>
        <v>801</v>
      </c>
      <c r="AO422" s="76">
        <f t="shared" si="727"/>
        <v>801</v>
      </c>
      <c r="AP422" s="76">
        <f t="shared" ref="AP422" si="728">+AP526</f>
        <v>801</v>
      </c>
      <c r="AQ422" s="107">
        <f t="shared" si="727"/>
        <v>801</v>
      </c>
      <c r="AR422" s="93">
        <f t="shared" si="727"/>
        <v>801</v>
      </c>
      <c r="AS422" s="106">
        <f t="shared" ref="AS422" si="729">+AS526</f>
        <v>801</v>
      </c>
      <c r="AT422" s="76">
        <f t="shared" ref="AT422:BB422" si="730">+AT526</f>
        <v>801</v>
      </c>
      <c r="AU422" s="76">
        <f t="shared" ref="AU422" si="731">+AU526</f>
        <v>801</v>
      </c>
      <c r="AV422" s="107">
        <f t="shared" si="730"/>
        <v>492</v>
      </c>
      <c r="AW422" s="93">
        <f t="shared" si="730"/>
        <v>492</v>
      </c>
      <c r="AX422" s="106">
        <f t="shared" si="730"/>
        <v>492</v>
      </c>
      <c r="AY422" s="76">
        <f t="shared" si="730"/>
        <v>492</v>
      </c>
      <c r="AZ422" s="76">
        <f t="shared" si="730"/>
        <v>492</v>
      </c>
      <c r="BA422" s="107">
        <f t="shared" si="730"/>
        <v>492</v>
      </c>
      <c r="BB422" s="93">
        <f t="shared" si="730"/>
        <v>492</v>
      </c>
      <c r="BC422" s="106">
        <f t="shared" ref="BC422:BL422" si="732">+BC526</f>
        <v>492</v>
      </c>
      <c r="BD422" s="76">
        <f t="shared" si="732"/>
        <v>492</v>
      </c>
      <c r="BE422" s="76">
        <f t="shared" si="732"/>
        <v>492</v>
      </c>
      <c r="BF422" s="107">
        <f t="shared" si="732"/>
        <v>492</v>
      </c>
      <c r="BG422" s="93">
        <f t="shared" si="732"/>
        <v>492</v>
      </c>
      <c r="BH422" s="106">
        <f t="shared" si="732"/>
        <v>492</v>
      </c>
      <c r="BI422" s="76">
        <f t="shared" si="732"/>
        <v>492</v>
      </c>
      <c r="BJ422" s="76">
        <f t="shared" si="732"/>
        <v>492</v>
      </c>
      <c r="BK422" s="107">
        <f t="shared" si="732"/>
        <v>492</v>
      </c>
      <c r="BL422" s="93">
        <f t="shared" si="732"/>
        <v>492</v>
      </c>
      <c r="BM422" s="106">
        <f t="shared" ref="BM422:BQ422" si="733">+BM526</f>
        <v>492</v>
      </c>
      <c r="BN422" s="76">
        <f t="shared" si="733"/>
        <v>492</v>
      </c>
      <c r="BO422" s="76">
        <f t="shared" si="733"/>
        <v>492</v>
      </c>
      <c r="BP422" s="107">
        <f t="shared" si="733"/>
        <v>492</v>
      </c>
      <c r="BQ422" s="93">
        <f t="shared" si="733"/>
        <v>492</v>
      </c>
      <c r="BR422" s="87"/>
      <c r="BS422" s="87"/>
      <c r="BZ422" s="91"/>
      <c r="CA422" s="91"/>
      <c r="CB422" s="91"/>
      <c r="CC422" s="91"/>
      <c r="CD422" s="91"/>
      <c r="CE422" s="91"/>
      <c r="CF422" s="91"/>
      <c r="CG422" s="91"/>
      <c r="CH422" s="91"/>
      <c r="CI422" s="91"/>
      <c r="CJ422" s="91"/>
      <c r="CK422" s="91"/>
      <c r="CL422" s="91"/>
      <c r="CM422" s="91"/>
      <c r="CN422" s="91"/>
      <c r="CO422" s="91"/>
      <c r="CP422" s="91"/>
      <c r="CQ422" s="91"/>
      <c r="CR422" s="1018"/>
      <c r="CS422" s="1018"/>
      <c r="CT422" s="821"/>
      <c r="CU422" s="12"/>
      <c r="CV422" s="12"/>
      <c r="CW422" s="12"/>
      <c r="CX422" s="12"/>
      <c r="CY422" s="12"/>
      <c r="CZ422" s="91"/>
      <c r="DA422" s="91"/>
      <c r="DB422" s="91"/>
      <c r="DC422" s="91"/>
      <c r="DD422" s="91"/>
      <c r="DE422" s="91"/>
      <c r="DF422" s="12"/>
      <c r="DG422" s="12"/>
      <c r="DH422" s="12"/>
      <c r="DI422" s="12"/>
      <c r="DJ422" s="12"/>
      <c r="DK422" s="12"/>
      <c r="DL422" s="12"/>
      <c r="DM422" s="12"/>
      <c r="DN422" s="12"/>
    </row>
    <row r="423" spans="1:118">
      <c r="A423" s="91"/>
      <c r="B423" s="89"/>
      <c r="C423" s="1184"/>
      <c r="D423" s="89"/>
      <c r="E423" s="145"/>
      <c r="F423" s="146"/>
      <c r="G423" s="146"/>
      <c r="H423" s="147"/>
      <c r="I423" s="87"/>
      <c r="J423" s="145"/>
      <c r="K423" s="146"/>
      <c r="L423" s="146"/>
      <c r="M423" s="147"/>
      <c r="N423" s="89"/>
      <c r="O423" s="145"/>
      <c r="P423" s="146"/>
      <c r="Q423" s="146"/>
      <c r="R423" s="147"/>
      <c r="S423" s="89"/>
      <c r="T423" s="145"/>
      <c r="U423" s="146"/>
      <c r="V423" s="146"/>
      <c r="W423" s="147"/>
      <c r="X423" s="89"/>
      <c r="Y423" s="145"/>
      <c r="Z423" s="146"/>
      <c r="AA423" s="146"/>
      <c r="AB423" s="147"/>
      <c r="AC423" s="89"/>
      <c r="AD423" s="145"/>
      <c r="AE423" s="146"/>
      <c r="AF423" s="146"/>
      <c r="AG423" s="147"/>
      <c r="AH423" s="89"/>
      <c r="AI423" s="145"/>
      <c r="AJ423" s="146"/>
      <c r="AK423" s="146"/>
      <c r="AL423" s="147"/>
      <c r="AM423" s="89"/>
      <c r="AN423" s="145"/>
      <c r="AO423" s="146"/>
      <c r="AP423" s="146"/>
      <c r="AQ423" s="147"/>
      <c r="AR423" s="89"/>
      <c r="AS423" s="145"/>
      <c r="AT423" s="146"/>
      <c r="AU423" s="146"/>
      <c r="AV423" s="147"/>
      <c r="AW423" s="89"/>
      <c r="AX423" s="145"/>
      <c r="AY423" s="146"/>
      <c r="AZ423" s="146"/>
      <c r="BA423" s="147"/>
      <c r="BB423" s="89"/>
      <c r="BC423" s="145"/>
      <c r="BD423" s="146"/>
      <c r="BE423" s="146"/>
      <c r="BF423" s="147"/>
      <c r="BG423" s="89"/>
      <c r="BH423" s="145"/>
      <c r="BI423" s="146"/>
      <c r="BJ423" s="146"/>
      <c r="BK423" s="147"/>
      <c r="BL423" s="89"/>
      <c r="BM423" s="145"/>
      <c r="BN423" s="146"/>
      <c r="BO423" s="146"/>
      <c r="BP423" s="147"/>
      <c r="BQ423" s="89"/>
      <c r="BR423" s="87"/>
      <c r="BS423" s="87"/>
      <c r="BZ423" s="91"/>
      <c r="CA423" s="91"/>
      <c r="CB423" s="91"/>
      <c r="CC423" s="91"/>
      <c r="CD423" s="1327"/>
      <c r="CE423" s="91"/>
      <c r="CF423" s="91"/>
      <c r="CG423" s="91"/>
      <c r="CH423" s="91"/>
      <c r="CI423" s="91"/>
      <c r="CJ423" s="91"/>
      <c r="CK423" s="91"/>
      <c r="CL423" s="91"/>
      <c r="CM423" s="91"/>
      <c r="CN423" s="91"/>
      <c r="CO423" s="91"/>
      <c r="CP423" s="91"/>
      <c r="CQ423" s="91"/>
      <c r="CR423" s="1018"/>
      <c r="CS423" s="1018"/>
      <c r="CT423" s="821"/>
      <c r="CU423" s="12"/>
      <c r="CV423" s="12"/>
      <c r="CW423" s="12"/>
      <c r="CX423" s="12"/>
      <c r="CY423" s="12"/>
      <c r="CZ423" s="91"/>
      <c r="DA423" s="91"/>
      <c r="DB423" s="91"/>
      <c r="DC423" s="91"/>
      <c r="DD423" s="91"/>
      <c r="DE423" s="91"/>
      <c r="DF423" s="12"/>
      <c r="DG423" s="12"/>
      <c r="DH423" s="12"/>
      <c r="DI423" s="12"/>
      <c r="DJ423" s="12"/>
      <c r="DK423" s="12"/>
      <c r="DL423" s="12"/>
      <c r="DM423" s="12"/>
      <c r="DN423" s="12"/>
    </row>
    <row r="424" spans="1:118">
      <c r="A424" s="91"/>
      <c r="B424" s="89"/>
      <c r="C424" s="1179" t="s">
        <v>581</v>
      </c>
      <c r="D424" s="89"/>
      <c r="E424" s="145"/>
      <c r="F424" s="146"/>
      <c r="G424" s="146"/>
      <c r="H424" s="147"/>
      <c r="I424" s="1057">
        <v>0.1</v>
      </c>
      <c r="J424" s="145"/>
      <c r="K424" s="146"/>
      <c r="L424" s="146"/>
      <c r="M424" s="147"/>
      <c r="N424" s="89"/>
      <c r="O424" s="145"/>
      <c r="P424" s="146"/>
      <c r="Q424" s="146"/>
      <c r="R424" s="147"/>
      <c r="S424" s="89"/>
      <c r="T424" s="833"/>
      <c r="U424" s="834"/>
      <c r="V424" s="834"/>
      <c r="W424" s="835"/>
      <c r="X424" s="826"/>
      <c r="Y424" s="833">
        <f>IF(Y419&gt;Y420,$I424,0%)</f>
        <v>0</v>
      </c>
      <c r="Z424" s="834">
        <f>IF(Z419&gt;Z420,$I424,0%)</f>
        <v>0</v>
      </c>
      <c r="AA424" s="834">
        <f>IF(AA419&gt;AA420,$I424,0%)</f>
        <v>0.1</v>
      </c>
      <c r="AB424" s="835">
        <f>IF(AB419&gt;AB420,$I424,0%)</f>
        <v>0</v>
      </c>
      <c r="AC424" s="826">
        <f>AVERAGE(Y424:AB424)</f>
        <v>2.5000000000000001E-2</v>
      </c>
      <c r="AD424" s="833">
        <f>IF(AD419&gt;AD420,$I424,0%)</f>
        <v>0</v>
      </c>
      <c r="AE424" s="834">
        <f>IF(AE419&gt;AE420,$I424,0%)</f>
        <v>0.1</v>
      </c>
      <c r="AF424" s="834">
        <f>IF(AF419&gt;AF420,$I424,0%)</f>
        <v>0.1</v>
      </c>
      <c r="AG424" s="835">
        <f>IF(AG419&gt;AG420,$I424,0%)</f>
        <v>0.1</v>
      </c>
      <c r="AH424" s="826">
        <f>AVERAGE(AD424:AG424)</f>
        <v>7.5000000000000011E-2</v>
      </c>
      <c r="AI424" s="833">
        <f>IF(AI419&gt;AI420,$I424,0%)</f>
        <v>0</v>
      </c>
      <c r="AJ424" s="834">
        <f>IF(AJ419&gt;AJ420,$I424,0%)</f>
        <v>0.1</v>
      </c>
      <c r="AK424" s="834">
        <f>IF(AK419&gt;AK420,$I424,0%)</f>
        <v>0.1</v>
      </c>
      <c r="AL424" s="835">
        <f>IF(AL419&gt;AL420,$I424,0%)</f>
        <v>0.1</v>
      </c>
      <c r="AM424" s="826">
        <f>AVERAGE(AI424:AL424)</f>
        <v>7.5000000000000011E-2</v>
      </c>
      <c r="AN424" s="833">
        <f>IF(AN419&gt;AN420,$I424,0%)</f>
        <v>0.1</v>
      </c>
      <c r="AO424" s="834">
        <f>IF(AO419&gt;AO420,$I424,0%)</f>
        <v>0.1</v>
      </c>
      <c r="AP424" s="834">
        <f>IF(AP419&gt;AP420,$I424,0%)</f>
        <v>0.1</v>
      </c>
      <c r="AQ424" s="835">
        <f>IF(AQ419&gt;AQ420,$I424,0%)</f>
        <v>0.1</v>
      </c>
      <c r="AR424" s="826">
        <f>AVERAGE(AN424:AQ424)</f>
        <v>0.1</v>
      </c>
      <c r="AS424" s="833">
        <f>IF(AS419&gt;AS420,$I424,0%)</f>
        <v>0.1</v>
      </c>
      <c r="AT424" s="834">
        <f>IF(AT419&gt;AT420,$I424,0%)</f>
        <v>0.1</v>
      </c>
      <c r="AU424" s="834">
        <f>IF(AU419&gt;AU420,$I424,0%)</f>
        <v>0.1</v>
      </c>
      <c r="AV424" s="835">
        <f>IF(AV419&gt;AV420,$I424,0%)</f>
        <v>0.1</v>
      </c>
      <c r="AW424" s="826">
        <f>AVERAGE(AS424:AV424)</f>
        <v>0.1</v>
      </c>
      <c r="AX424" s="833">
        <f>IF(AX419&gt;AX420,$I424,0%)</f>
        <v>0</v>
      </c>
      <c r="AY424" s="834">
        <f>IF(AY419&gt;AY420,$I424,0%)</f>
        <v>0.1</v>
      </c>
      <c r="AZ424" s="834">
        <f>IF(AZ419&gt;AZ420,$I424,0%)</f>
        <v>0.1</v>
      </c>
      <c r="BA424" s="835">
        <f>IF(BA419&gt;BA420,$I424,0%)</f>
        <v>0.1</v>
      </c>
      <c r="BB424" s="826">
        <f>AVERAGE(AX424:BA424)</f>
        <v>7.5000000000000011E-2</v>
      </c>
      <c r="BC424" s="833">
        <f>IF(BC419&gt;BC420,$I424,0%)</f>
        <v>0.1</v>
      </c>
      <c r="BD424" s="834">
        <f>IF(BD419&gt;BD420,$I424,0%)</f>
        <v>0.1</v>
      </c>
      <c r="BE424" s="834">
        <f>IF(BE419&gt;BE420,$I424,0%)</f>
        <v>0.1</v>
      </c>
      <c r="BF424" s="835">
        <f>IF(BF419&gt;BF420,$I424,0%)</f>
        <v>0.1</v>
      </c>
      <c r="BG424" s="826">
        <f>AVERAGE(BC424:BF424)</f>
        <v>0.1</v>
      </c>
      <c r="BH424" s="833">
        <f>IF(BH419&gt;BH420,$I424,0%)</f>
        <v>0.1</v>
      </c>
      <c r="BI424" s="834">
        <f>IF(BI419&gt;BI420,$I424,0%)</f>
        <v>0</v>
      </c>
      <c r="BJ424" s="834">
        <f>IF(BJ419&gt;BJ420,$I424,0%)</f>
        <v>0.1</v>
      </c>
      <c r="BK424" s="835">
        <f>IF(BK419&gt;BK420,$I424,0%)</f>
        <v>0.1</v>
      </c>
      <c r="BL424" s="826">
        <f>AVERAGE(BH424:BK424)</f>
        <v>7.5000000000000011E-2</v>
      </c>
      <c r="BM424" s="833">
        <f>IF(BM419&gt;BM420,$I424,0%)</f>
        <v>0.1</v>
      </c>
      <c r="BN424" s="834">
        <f>IF(BN419&gt;BN420,$I424,0%)</f>
        <v>0</v>
      </c>
      <c r="BO424" s="834">
        <f>IF(BO419&gt;BO420,$I424,0%)</f>
        <v>0</v>
      </c>
      <c r="BP424" s="835">
        <f>IF(BP419&gt;BP420,$I424,0%)</f>
        <v>0.1</v>
      </c>
      <c r="BQ424" s="826">
        <f>AVERAGE(BM424:BP424)</f>
        <v>0.05</v>
      </c>
      <c r="BR424" s="87"/>
      <c r="BS424" s="87"/>
      <c r="BZ424" s="91"/>
      <c r="CA424" s="91"/>
      <c r="CB424" s="91"/>
      <c r="CC424" s="91"/>
      <c r="CE424" s="91"/>
      <c r="CF424" s="91"/>
      <c r="CG424" s="91"/>
      <c r="CH424" s="91"/>
      <c r="CI424" s="91"/>
      <c r="CJ424" s="91"/>
      <c r="CK424" s="91"/>
      <c r="CL424" s="91"/>
      <c r="CM424" s="91"/>
      <c r="CN424" s="91"/>
      <c r="CO424" s="91"/>
      <c r="CP424" s="91"/>
      <c r="CQ424" s="91"/>
      <c r="CR424" s="1018"/>
      <c r="CS424" s="1018"/>
      <c r="CT424" s="821"/>
      <c r="CU424" s="12"/>
      <c r="CV424" s="12"/>
      <c r="CW424" s="12"/>
      <c r="CX424" s="12"/>
      <c r="CY424" s="12"/>
      <c r="CZ424" s="91"/>
      <c r="DA424" s="91"/>
      <c r="DB424" s="91"/>
      <c r="DC424" s="91"/>
      <c r="DD424" s="91"/>
      <c r="DE424" s="91"/>
      <c r="DF424" s="12"/>
      <c r="DG424" s="12"/>
      <c r="DH424" s="12"/>
      <c r="DI424" s="12"/>
      <c r="DJ424" s="12"/>
      <c r="DK424" s="12"/>
      <c r="DL424" s="12"/>
      <c r="DM424" s="12"/>
      <c r="DN424" s="12"/>
    </row>
    <row r="425" spans="1:118">
      <c r="A425" s="91"/>
      <c r="B425" s="88"/>
      <c r="C425" s="1186" t="s">
        <v>569</v>
      </c>
      <c r="D425" s="88"/>
      <c r="E425" s="214"/>
      <c r="F425" s="148"/>
      <c r="G425" s="148"/>
      <c r="H425" s="215"/>
      <c r="I425" s="88"/>
      <c r="J425" s="214"/>
      <c r="K425" s="148"/>
      <c r="L425" s="148"/>
      <c r="M425" s="215"/>
      <c r="N425" s="88"/>
      <c r="O425" s="214"/>
      <c r="P425" s="148"/>
      <c r="Q425" s="148"/>
      <c r="R425" s="215"/>
      <c r="S425" s="88"/>
      <c r="T425" s="240"/>
      <c r="U425" s="241"/>
      <c r="V425" s="241"/>
      <c r="W425" s="1059"/>
      <c r="X425" s="242"/>
      <c r="Y425" s="240">
        <f>(Y422*Y424*(8760/1000))/4</f>
        <v>0</v>
      </c>
      <c r="Z425" s="241">
        <f>(Z422*Z424*(8760/1000))/4</f>
        <v>0</v>
      </c>
      <c r="AA425" s="241">
        <f>(AA422*AA424*(8760/1000))/4</f>
        <v>175.41900000000001</v>
      </c>
      <c r="AB425" s="1059">
        <f>(AB422*AB424*(8760/1000))/4</f>
        <v>0</v>
      </c>
      <c r="AC425" s="242">
        <f>SUM(Y425:AB425)</f>
        <v>175.41900000000001</v>
      </c>
      <c r="AD425" s="240">
        <f>(AD422*AD424*(8760/1000))/4</f>
        <v>0</v>
      </c>
      <c r="AE425" s="241">
        <f>(AE422*AE424*(8760/1000))/4</f>
        <v>175.41900000000001</v>
      </c>
      <c r="AF425" s="241">
        <f>(AF422*AF424*(8760/1000))/4</f>
        <v>175.41900000000001</v>
      </c>
      <c r="AG425" s="1059">
        <f>(AG422*AG424*(8760/1000))/4</f>
        <v>175.41900000000001</v>
      </c>
      <c r="AH425" s="242">
        <f>SUM(AD425:AG425)</f>
        <v>526.25700000000006</v>
      </c>
      <c r="AI425" s="240">
        <f>(AI422*AI424*(8760/1000))/4</f>
        <v>0</v>
      </c>
      <c r="AJ425" s="241">
        <f>(AJ422*AJ424*(8760/1000))/4</f>
        <v>175.41900000000001</v>
      </c>
      <c r="AK425" s="241">
        <f>(AK422*AK424*(8760/1000))/4</f>
        <v>175.41900000000001</v>
      </c>
      <c r="AL425" s="1059">
        <f>(AL422*AL424*(8760/1000))/4</f>
        <v>175.41900000000001</v>
      </c>
      <c r="AM425" s="242">
        <f>SUM(AI425:AL425)</f>
        <v>526.25700000000006</v>
      </c>
      <c r="AN425" s="240">
        <f>(AN422*AN424*(8760/1000))/4</f>
        <v>175.41900000000001</v>
      </c>
      <c r="AO425" s="241">
        <f>(AO422*AO424*(8760/1000))/4</f>
        <v>175.41900000000001</v>
      </c>
      <c r="AP425" s="241">
        <f>(AP422*AP424*(8760/1000))/4</f>
        <v>175.41900000000001</v>
      </c>
      <c r="AQ425" s="1059">
        <f>(AQ422*AQ424*(8760/1000))/4</f>
        <v>175.41900000000001</v>
      </c>
      <c r="AR425" s="242">
        <f>SUM(AN425:AQ425)</f>
        <v>701.67600000000004</v>
      </c>
      <c r="AS425" s="240">
        <f>(AS422*AS424*(8760/1000))/4</f>
        <v>175.41900000000001</v>
      </c>
      <c r="AT425" s="241">
        <f>(AT422*AT424*(8760/1000))/4</f>
        <v>175.41900000000001</v>
      </c>
      <c r="AU425" s="241">
        <f>(AU422*AU424*(8760/1000))/4</f>
        <v>175.41900000000001</v>
      </c>
      <c r="AV425" s="1059">
        <f>(AV422*AV424*(8760/1000))/4</f>
        <v>107.748</v>
      </c>
      <c r="AW425" s="242">
        <f>SUM(AS425:AV425)</f>
        <v>634.00500000000011</v>
      </c>
      <c r="AX425" s="240">
        <f>(AX422*AX424*(8760/1000))/4</f>
        <v>0</v>
      </c>
      <c r="AY425" s="241">
        <f>(AY422*AY424*(8760/1000))/4</f>
        <v>107.748</v>
      </c>
      <c r="AZ425" s="241">
        <f>(AZ422*AZ424*(8760/1000))/4</f>
        <v>107.748</v>
      </c>
      <c r="BA425" s="1059">
        <f>(BA422*BA424*(8760/1000))/4</f>
        <v>107.748</v>
      </c>
      <c r="BB425" s="242">
        <f>SUM(AX425:BA425)</f>
        <v>323.24400000000003</v>
      </c>
      <c r="BC425" s="240">
        <f>(BC422*BC424*(8760/1000))/4</f>
        <v>107.748</v>
      </c>
      <c r="BD425" s="241">
        <f>(BD422*BD424*(8760/1000))/4</f>
        <v>107.748</v>
      </c>
      <c r="BE425" s="241">
        <f>(BE422*BE424*(8760/1000))/4</f>
        <v>107.748</v>
      </c>
      <c r="BF425" s="1059">
        <f>(BF422*BF424*(8760/1000))/4</f>
        <v>107.748</v>
      </c>
      <c r="BG425" s="242">
        <f>SUM(BC425:BF425)</f>
        <v>430.99200000000002</v>
      </c>
      <c r="BH425" s="240">
        <f>(BH422*BH424*(8760/1000))/4</f>
        <v>107.748</v>
      </c>
      <c r="BI425" s="241">
        <f>(BI422*BI424*(8760/1000))/4</f>
        <v>0</v>
      </c>
      <c r="BJ425" s="241">
        <f>(BJ422*BJ424*(8760/1000))/4</f>
        <v>107.748</v>
      </c>
      <c r="BK425" s="1059">
        <f>(BK422*BK424*(8760/1000))/4</f>
        <v>107.748</v>
      </c>
      <c r="BL425" s="242">
        <f>SUM(BH425:BK425)</f>
        <v>323.24400000000003</v>
      </c>
      <c r="BM425" s="240">
        <f>(BM422*BM424*(8760/1000))/4</f>
        <v>107.748</v>
      </c>
      <c r="BN425" s="241">
        <f>(BN422*BN424*(8760/1000))/4</f>
        <v>0</v>
      </c>
      <c r="BO425" s="241">
        <f>(BO422*BO424*(8760/1000))/4</f>
        <v>0</v>
      </c>
      <c r="BP425" s="1059">
        <f>(BP422*BP424*(8760/1000))/4</f>
        <v>107.748</v>
      </c>
      <c r="BQ425" s="242">
        <f>SUM(BM425:BP425)</f>
        <v>215.49600000000001</v>
      </c>
      <c r="BR425" s="87"/>
      <c r="BS425" s="87"/>
      <c r="BZ425" s="91"/>
      <c r="CA425" s="91"/>
      <c r="CB425" s="91"/>
      <c r="CC425" s="91"/>
      <c r="CD425" s="1327"/>
      <c r="CF425" s="91"/>
      <c r="CG425" s="91"/>
      <c r="CH425" s="91"/>
      <c r="CI425" s="91"/>
      <c r="CJ425" s="91"/>
      <c r="CK425" s="91"/>
      <c r="CL425" s="91"/>
      <c r="CM425" s="91"/>
      <c r="CN425" s="91"/>
      <c r="CO425" s="91"/>
      <c r="CP425" s="91"/>
      <c r="CQ425" s="91"/>
      <c r="CR425" s="1018"/>
      <c r="CS425" s="1018"/>
      <c r="CT425" s="821"/>
      <c r="CU425" s="12"/>
      <c r="CV425" s="12"/>
      <c r="CW425" s="12"/>
      <c r="CX425" s="12"/>
      <c r="CY425" s="12"/>
      <c r="CZ425" s="91"/>
      <c r="DA425" s="91"/>
      <c r="DB425" s="91"/>
      <c r="DC425" s="91"/>
      <c r="DD425" s="91"/>
      <c r="DE425" s="91"/>
      <c r="DF425" s="12"/>
      <c r="DG425" s="12"/>
      <c r="DH425" s="12"/>
      <c r="DI425" s="12"/>
      <c r="DJ425" s="12"/>
      <c r="DK425" s="12"/>
      <c r="DL425" s="12"/>
      <c r="DM425" s="12"/>
      <c r="DN425" s="12"/>
    </row>
    <row r="426" spans="1:118">
      <c r="A426" s="91"/>
      <c r="B426" s="89"/>
      <c r="C426" s="1179"/>
      <c r="D426" s="89"/>
      <c r="E426" s="145"/>
      <c r="F426" s="146"/>
      <c r="G426" s="146"/>
      <c r="H426" s="147"/>
      <c r="I426" s="87"/>
      <c r="J426" s="145"/>
      <c r="K426" s="146"/>
      <c r="L426" s="146"/>
      <c r="M426" s="147"/>
      <c r="N426" s="89"/>
      <c r="O426" s="145"/>
      <c r="P426" s="146"/>
      <c r="Q426" s="146"/>
      <c r="R426" s="147"/>
      <c r="S426" s="89"/>
      <c r="T426" s="145"/>
      <c r="U426" s="146"/>
      <c r="V426" s="146"/>
      <c r="W426" s="147"/>
      <c r="X426" s="89"/>
      <c r="Y426" s="145"/>
      <c r="Z426" s="146"/>
      <c r="AA426" s="146"/>
      <c r="AB426" s="147"/>
      <c r="AC426" s="89"/>
      <c r="AD426" s="145"/>
      <c r="AE426" s="146"/>
      <c r="AF426" s="146"/>
      <c r="AG426" s="147"/>
      <c r="AH426" s="89"/>
      <c r="AI426" s="145"/>
      <c r="AJ426" s="146"/>
      <c r="AK426" s="146"/>
      <c r="AL426" s="147"/>
      <c r="AM426" s="89"/>
      <c r="AN426" s="145"/>
      <c r="AO426" s="146"/>
      <c r="AP426" s="146"/>
      <c r="AQ426" s="147"/>
      <c r="AR426" s="89"/>
      <c r="AS426" s="145"/>
      <c r="AT426" s="146"/>
      <c r="AU426" s="146"/>
      <c r="AV426" s="147"/>
      <c r="AW426" s="89"/>
      <c r="AX426" s="145"/>
      <c r="AY426" s="146"/>
      <c r="AZ426" s="146"/>
      <c r="BA426" s="147"/>
      <c r="BB426" s="89"/>
      <c r="BC426" s="145"/>
      <c r="BD426" s="146"/>
      <c r="BE426" s="146"/>
      <c r="BF426" s="147"/>
      <c r="BG426" s="89"/>
      <c r="BH426" s="145"/>
      <c r="BI426" s="146"/>
      <c r="BJ426" s="146"/>
      <c r="BK426" s="147"/>
      <c r="BL426" s="89"/>
      <c r="BM426" s="145"/>
      <c r="BN426" s="146"/>
      <c r="BO426" s="146"/>
      <c r="BP426" s="147"/>
      <c r="BQ426" s="89"/>
      <c r="BR426" s="87"/>
      <c r="BS426" s="87"/>
      <c r="BZ426" s="91"/>
      <c r="CA426" s="91"/>
      <c r="CB426" s="91"/>
      <c r="CC426" s="91"/>
      <c r="CD426" s="91"/>
      <c r="CE426" s="1327"/>
      <c r="CF426" s="91"/>
      <c r="CG426" s="91"/>
      <c r="CH426" s="91"/>
      <c r="CI426" s="91"/>
      <c r="CJ426" s="91"/>
      <c r="CK426" s="91"/>
      <c r="CL426" s="91"/>
      <c r="CM426" s="91"/>
      <c r="CN426" s="91"/>
      <c r="CO426" s="91"/>
      <c r="CP426" s="91"/>
      <c r="CQ426" s="91"/>
      <c r="CR426" s="1018"/>
      <c r="CS426" s="1018"/>
      <c r="CT426" s="821"/>
      <c r="CU426" s="12"/>
      <c r="CV426" s="12"/>
      <c r="CW426" s="12"/>
      <c r="CX426" s="12"/>
      <c r="CY426" s="12"/>
      <c r="CZ426" s="91"/>
      <c r="DA426" s="91"/>
      <c r="DB426" s="91"/>
      <c r="DC426" s="91"/>
      <c r="DD426" s="91"/>
      <c r="DE426" s="91"/>
      <c r="DF426" s="12"/>
      <c r="DG426" s="12"/>
      <c r="DH426" s="12"/>
      <c r="DI426" s="12"/>
      <c r="DJ426" s="12"/>
      <c r="DK426" s="12"/>
      <c r="DL426" s="12"/>
      <c r="DM426" s="12"/>
      <c r="DN426" s="12"/>
    </row>
    <row r="427" spans="1:118">
      <c r="A427" s="91"/>
      <c r="B427" s="89"/>
      <c r="C427" s="1179" t="s">
        <v>582</v>
      </c>
      <c r="D427" s="89"/>
      <c r="E427" s="145"/>
      <c r="F427" s="146"/>
      <c r="G427" s="146"/>
      <c r="H427" s="147"/>
      <c r="I427" s="87"/>
      <c r="J427" s="145"/>
      <c r="K427" s="146"/>
      <c r="L427" s="146"/>
      <c r="M427" s="147"/>
      <c r="N427" s="89"/>
      <c r="O427" s="145"/>
      <c r="P427" s="146"/>
      <c r="Q427" s="146"/>
      <c r="R427" s="147"/>
      <c r="S427" s="89"/>
      <c r="T427" s="114"/>
      <c r="U427" s="115"/>
      <c r="V427" s="115"/>
      <c r="W427" s="105"/>
      <c r="X427" s="113"/>
      <c r="Y427" s="114">
        <f>(Y419/1000*Y425)</f>
        <v>0</v>
      </c>
      <c r="Z427" s="115">
        <f>(Z419/1000*Z425)</f>
        <v>0</v>
      </c>
      <c r="AA427" s="115">
        <f>(AA419/1000*AA425)</f>
        <v>8.4440504133627581</v>
      </c>
      <c r="AB427" s="105">
        <f>(AB419/1000*AB425)</f>
        <v>0</v>
      </c>
      <c r="AC427" s="113">
        <f>SUM(Y427:AB427)</f>
        <v>8.4440504133627581</v>
      </c>
      <c r="AD427" s="114">
        <f>(AD419/1000*AD425)</f>
        <v>0</v>
      </c>
      <c r="AE427" s="115">
        <f>(AE419/1000*AE425)</f>
        <v>8.856652634690807</v>
      </c>
      <c r="AF427" s="115">
        <f>(AF419/1000*AF425)</f>
        <v>7.2605413517646999</v>
      </c>
      <c r="AG427" s="105">
        <f>(AG419/1000*AG425)</f>
        <v>7.0818707704482398</v>
      </c>
      <c r="AH427" s="113">
        <f>SUM(AD427:AG427)</f>
        <v>23.199064756903748</v>
      </c>
      <c r="AI427" s="114">
        <f>(AI419/1000*AI425)</f>
        <v>0</v>
      </c>
      <c r="AJ427" s="115">
        <f>(AJ419/1000*AJ425)</f>
        <v>6.8671738717527839</v>
      </c>
      <c r="AK427" s="115">
        <f>(AK419/1000*AK425)</f>
        <v>6.922881330873575</v>
      </c>
      <c r="AL427" s="105">
        <f>(AL419/1000*AL425)</f>
        <v>5.5950203080408887</v>
      </c>
      <c r="AM427" s="113">
        <f>SUM(AI427:AL427)</f>
        <v>19.385075510667249</v>
      </c>
      <c r="AN427" s="114">
        <f>(AN419/1000*AN425)</f>
        <v>5.2806642317324108</v>
      </c>
      <c r="AO427" s="115">
        <f>(AO419/1000*AO425)</f>
        <v>5.7365181663290512</v>
      </c>
      <c r="AP427" s="115">
        <f>(AP419/1000*AP425)</f>
        <v>6.8302514236713572</v>
      </c>
      <c r="AQ427" s="105">
        <f>(AQ419/1000*AQ425)</f>
        <v>5.8361543605344659</v>
      </c>
      <c r="AR427" s="113">
        <f>SUM(AN427:AQ427)</f>
        <v>23.683588182267282</v>
      </c>
      <c r="AS427" s="114">
        <f>(AS419/1000*AS425)</f>
        <v>5.7543242682425797</v>
      </c>
      <c r="AT427" s="115">
        <f>(AT419/1000*AT425)</f>
        <v>5.7543242682425797</v>
      </c>
      <c r="AU427" s="115">
        <f>(AU419/1000*AU425)</f>
        <v>6.2257988926329393</v>
      </c>
      <c r="AV427" s="105">
        <f>(AV419/1000*AV425)</f>
        <v>4.0349320139353591</v>
      </c>
      <c r="AW427" s="113">
        <f>SUM(AS427:AV427)</f>
        <v>21.76937944305346</v>
      </c>
      <c r="AX427" s="114">
        <f>(AX419/1000*AX425)</f>
        <v>0</v>
      </c>
      <c r="AY427" s="115">
        <f>(AY419/1000*AY425)</f>
        <v>3.7173060000000007</v>
      </c>
      <c r="AZ427" s="115">
        <f>(AZ419/1000*AZ425)</f>
        <v>3.9759011999999996</v>
      </c>
      <c r="BA427" s="105">
        <f>(BA419/1000*BA425)</f>
        <v>3.7370597999999999</v>
      </c>
      <c r="BB427" s="113">
        <f>SUM(AX427:BA427)</f>
        <v>11.430267000000001</v>
      </c>
      <c r="BC427" s="114">
        <f>(BC419/1000*BC425)</f>
        <v>4.3639376516619297</v>
      </c>
      <c r="BD427" s="115">
        <f>(BD419/1000*BD425)</f>
        <v>3.1977983700293318</v>
      </c>
      <c r="BE427" s="115">
        <f>(BE419/1000*BE425)</f>
        <v>3.4587757163437085</v>
      </c>
      <c r="BF427" s="105">
        <f>(BF419/1000*BF425)</f>
        <v>4.2024848619506674</v>
      </c>
      <c r="BG427" s="113">
        <f>SUM(BC427:BF427)</f>
        <v>15.222996599985638</v>
      </c>
      <c r="BH427" s="114">
        <f>(BH419/1000*BH425)</f>
        <v>4.3536417034493056</v>
      </c>
      <c r="BI427" s="115">
        <f>(BI419/1000*BI425)</f>
        <v>0</v>
      </c>
      <c r="BJ427" s="115">
        <f>(BJ419/1000*BJ425)</f>
        <v>3.4506153395241652</v>
      </c>
      <c r="BK427" s="105">
        <f>(BK419/1000*BK425)</f>
        <v>4.1925698333785935</v>
      </c>
      <c r="BL427" s="113">
        <f>SUM(BH427:BK427)</f>
        <v>11.996826876352063</v>
      </c>
      <c r="BM427" s="114">
        <f>(BM419/1000*BM425)</f>
        <v>4.9905890973834506</v>
      </c>
      <c r="BN427" s="115">
        <f>(BN419/1000*BN425)</f>
        <v>0</v>
      </c>
      <c r="BO427" s="115">
        <f>(BO419/1000*BO425)</f>
        <v>0</v>
      </c>
      <c r="BP427" s="105">
        <f>(BP419/1000*BP425)</f>
        <v>5.1064820256183641</v>
      </c>
      <c r="BQ427" s="113">
        <f>SUM(BM427:BP427)</f>
        <v>10.097071123001815</v>
      </c>
      <c r="BR427" s="87"/>
      <c r="BS427" s="87"/>
      <c r="BZ427" s="91"/>
      <c r="CA427" s="1327"/>
      <c r="CB427" s="1327"/>
      <c r="CC427" s="1327"/>
      <c r="CD427" s="91"/>
      <c r="CE427" s="91"/>
      <c r="CF427" s="91"/>
      <c r="CG427" s="91"/>
      <c r="CH427" s="91"/>
      <c r="CI427" s="91"/>
      <c r="CJ427" s="91"/>
      <c r="CK427" s="91"/>
      <c r="CL427" s="91"/>
      <c r="CM427" s="91"/>
      <c r="CN427" s="91"/>
      <c r="CO427" s="91"/>
      <c r="CP427" s="91"/>
      <c r="CQ427" s="91"/>
      <c r="CR427" s="1018"/>
      <c r="CS427" s="1018"/>
      <c r="CT427" s="821"/>
      <c r="CU427" s="12"/>
      <c r="CV427" s="12"/>
      <c r="CW427" s="12"/>
      <c r="CX427" s="12"/>
      <c r="CY427" s="12"/>
      <c r="CZ427" s="91"/>
      <c r="DA427" s="91"/>
      <c r="DB427" s="91"/>
      <c r="DC427" s="91"/>
      <c r="DD427" s="91"/>
      <c r="DE427" s="91"/>
      <c r="DF427" s="12"/>
      <c r="DG427" s="12"/>
      <c r="DH427" s="12"/>
      <c r="DI427" s="12"/>
      <c r="DJ427" s="12"/>
      <c r="DK427" s="12"/>
      <c r="DL427" s="12"/>
      <c r="DM427" s="12"/>
      <c r="DN427" s="12"/>
    </row>
    <row r="428" spans="1:118">
      <c r="A428" s="91"/>
      <c r="B428" s="89"/>
      <c r="C428" s="1179" t="s">
        <v>683</v>
      </c>
      <c r="D428" s="89"/>
      <c r="E428" s="145"/>
      <c r="F428" s="146"/>
      <c r="G428" s="146"/>
      <c r="H428" s="147"/>
      <c r="I428" s="87"/>
      <c r="J428" s="145"/>
      <c r="K428" s="146"/>
      <c r="L428" s="146"/>
      <c r="M428" s="147"/>
      <c r="N428" s="89"/>
      <c r="O428" s="145"/>
      <c r="P428" s="146"/>
      <c r="Q428" s="146"/>
      <c r="R428" s="147"/>
      <c r="S428" s="89"/>
      <c r="T428" s="114"/>
      <c r="U428" s="115"/>
      <c r="V428" s="115"/>
      <c r="W428" s="105"/>
      <c r="X428" s="113"/>
      <c r="Y428" s="114">
        <f>Y420/1000*Y425</f>
        <v>0</v>
      </c>
      <c r="Z428" s="115">
        <f>Z420/1000*Z425</f>
        <v>0</v>
      </c>
      <c r="AA428" s="115">
        <f>AA420/1000*AA425</f>
        <v>7.1505115056562483</v>
      </c>
      <c r="AB428" s="105">
        <f>AB420/1000*AB425</f>
        <v>0</v>
      </c>
      <c r="AC428" s="113">
        <f>SUM(Y428:AB428)</f>
        <v>7.1505115056562483</v>
      </c>
      <c r="AD428" s="114">
        <f>AD420/1000*AD425</f>
        <v>0</v>
      </c>
      <c r="AE428" s="115">
        <f>AE420/1000*AE425</f>
        <v>7.4898307814765603</v>
      </c>
      <c r="AF428" s="115">
        <f>AF420/1000*AF425</f>
        <v>5.1029017075546861</v>
      </c>
      <c r="AG428" s="105">
        <f>AG420/1000*AG425</f>
        <v>5.5643948350312478</v>
      </c>
      <c r="AH428" s="113">
        <f>SUM(AD428:AG428)</f>
        <v>18.157127324062493</v>
      </c>
      <c r="AI428" s="114">
        <f>AI420/1000*AI425</f>
        <v>0</v>
      </c>
      <c r="AJ428" s="115">
        <f>AJ420/1000*AJ425</f>
        <v>3.273723674357143</v>
      </c>
      <c r="AK428" s="115">
        <f>AK420/1000*AK425</f>
        <v>2.7694000532812497</v>
      </c>
      <c r="AL428" s="105">
        <f>AL420/1000*AL425</f>
        <v>2.6012201324999995</v>
      </c>
      <c r="AM428" s="113">
        <f>SUM(AI428:AL428)</f>
        <v>8.6443438601383917</v>
      </c>
      <c r="AN428" s="114">
        <f>AN420/1000*AN425</f>
        <v>3.6991007130983617</v>
      </c>
      <c r="AO428" s="115">
        <f>AO420/1000*AO425</f>
        <v>3.1925956498593768</v>
      </c>
      <c r="AP428" s="115">
        <f>AP420/1000*AP425</f>
        <v>2.7189355701796871</v>
      </c>
      <c r="AQ428" s="105">
        <f>AQ420/1000*AQ425</f>
        <v>4.5053880331935492</v>
      </c>
      <c r="AR428" s="113">
        <f>SUM(AN428:AQ428)</f>
        <v>14.116019966330974</v>
      </c>
      <c r="AS428" s="114">
        <f>AS420/1000*AS425</f>
        <v>5.0726734506562501</v>
      </c>
      <c r="AT428" s="115">
        <f>AT420/1000*AT425</f>
        <v>5.0726734506562501</v>
      </c>
      <c r="AU428" s="115">
        <f>AU420/1000*AU425</f>
        <v>3.5162501873571426</v>
      </c>
      <c r="AV428" s="105">
        <f>AV420/1000*AV425</f>
        <v>3.4077903117096766</v>
      </c>
      <c r="AW428" s="113">
        <f>SUM(AS428:AV428)</f>
        <v>17.06938740037932</v>
      </c>
      <c r="AX428" s="114">
        <f>AX420/1000*AX425</f>
        <v>0</v>
      </c>
      <c r="AY428" s="115">
        <f>AY420/1000*AY425</f>
        <v>3.320380326</v>
      </c>
      <c r="AZ428" s="115">
        <f>AZ420/1000*AZ425</f>
        <v>3.4880721300000008</v>
      </c>
      <c r="BA428" s="105">
        <f>BA420/1000*BA425</f>
        <v>3.5954609700000009</v>
      </c>
      <c r="BB428" s="113">
        <f>SUM(AX428:BA428)</f>
        <v>10.403913426000003</v>
      </c>
      <c r="BC428" s="114">
        <f>BC420/1000*BC425</f>
        <v>3.596734392193468</v>
      </c>
      <c r="BD428" s="115">
        <f>BD420/1000*BD425</f>
        <v>3.1524972374452669</v>
      </c>
      <c r="BE428" s="115">
        <f>BE420/1000*BE425</f>
        <v>3.194144470702911</v>
      </c>
      <c r="BF428" s="105">
        <f>BF420/1000*BF425</f>
        <v>3.7338317756583534</v>
      </c>
      <c r="BG428" s="113">
        <f>SUM(BC428:BF428)</f>
        <v>13.677207875999999</v>
      </c>
      <c r="BH428" s="114">
        <f>BH420/1000*BH425</f>
        <v>3.6504996734683295</v>
      </c>
      <c r="BI428" s="115">
        <f>BI420/1000*BI425</f>
        <v>0</v>
      </c>
      <c r="BJ428" s="115">
        <f>BJ420/1000*BJ425</f>
        <v>3.2418916928143422</v>
      </c>
      <c r="BK428" s="105">
        <f>BK420/1000*BK425</f>
        <v>3.7896464380051209</v>
      </c>
      <c r="BL428" s="113">
        <f>SUM(BH428:BK428)</f>
        <v>10.682037804287793</v>
      </c>
      <c r="BM428" s="114">
        <f>BM420/1000*BM425</f>
        <v>3.0977550000000003</v>
      </c>
      <c r="BN428" s="115">
        <f>BN420/1000*BN425</f>
        <v>0</v>
      </c>
      <c r="BO428" s="115">
        <f>BO420/1000*BO425</f>
        <v>0</v>
      </c>
      <c r="BP428" s="105">
        <f>BP420/1000*BP425</f>
        <v>3.0977550000000003</v>
      </c>
      <c r="BQ428" s="113">
        <f>SUM(BM428:BP428)</f>
        <v>6.1955100000000005</v>
      </c>
      <c r="BR428" s="87"/>
      <c r="BS428" s="87"/>
      <c r="BZ428" s="91"/>
      <c r="CA428" s="91"/>
      <c r="CB428" s="91"/>
      <c r="CC428" s="91"/>
      <c r="CD428" s="91"/>
      <c r="CE428" s="91"/>
      <c r="CF428" s="91"/>
      <c r="CG428" s="91"/>
      <c r="CH428" s="91"/>
      <c r="CI428" s="91"/>
      <c r="CJ428" s="91"/>
      <c r="CK428" s="91"/>
      <c r="CL428" s="91"/>
      <c r="CM428" s="91"/>
      <c r="CN428" s="91"/>
      <c r="CO428" s="91"/>
      <c r="CP428" s="91"/>
      <c r="CQ428" s="91"/>
      <c r="CR428" s="1018"/>
      <c r="CS428" s="1018"/>
      <c r="CT428" s="821"/>
      <c r="CU428" s="12"/>
      <c r="CV428" s="12"/>
      <c r="CW428" s="12"/>
      <c r="CX428" s="12"/>
      <c r="CY428" s="12"/>
      <c r="CZ428" s="91"/>
      <c r="DA428" s="91"/>
      <c r="DB428" s="91"/>
      <c r="DC428" s="91"/>
      <c r="DD428" s="91"/>
      <c r="DE428" s="91"/>
      <c r="DF428" s="12"/>
      <c r="DG428" s="12"/>
      <c r="DH428" s="12"/>
      <c r="DI428" s="12"/>
      <c r="DJ428" s="12"/>
      <c r="DK428" s="12"/>
      <c r="DL428" s="12"/>
      <c r="DM428" s="12"/>
      <c r="DN428" s="12"/>
    </row>
    <row r="429" spans="1:118">
      <c r="A429" s="91"/>
      <c r="B429" s="88"/>
      <c r="C429" s="1186" t="s">
        <v>567</v>
      </c>
      <c r="D429" s="88"/>
      <c r="E429" s="214"/>
      <c r="F429" s="148"/>
      <c r="G429" s="148"/>
      <c r="H429" s="215"/>
      <c r="I429" s="87"/>
      <c r="J429" s="214"/>
      <c r="K429" s="148"/>
      <c r="L429" s="148"/>
      <c r="M429" s="215"/>
      <c r="N429" s="88"/>
      <c r="O429" s="214"/>
      <c r="P429" s="148"/>
      <c r="Q429" s="148"/>
      <c r="R429" s="215"/>
      <c r="S429" s="88"/>
      <c r="T429" s="106"/>
      <c r="U429" s="76"/>
      <c r="V429" s="76"/>
      <c r="W429" s="107"/>
      <c r="X429" s="93"/>
      <c r="Y429" s="106">
        <f t="shared" ref="Y429:AR429" si="734">Y427-Y428</f>
        <v>0</v>
      </c>
      <c r="Z429" s="76">
        <f t="shared" si="734"/>
        <v>0</v>
      </c>
      <c r="AA429" s="76">
        <f t="shared" si="734"/>
        <v>1.2935389077065098</v>
      </c>
      <c r="AB429" s="107">
        <f t="shared" si="734"/>
        <v>0</v>
      </c>
      <c r="AC429" s="93">
        <f t="shared" si="734"/>
        <v>1.2935389077065098</v>
      </c>
      <c r="AD429" s="106">
        <f t="shared" si="734"/>
        <v>0</v>
      </c>
      <c r="AE429" s="76">
        <f t="shared" si="734"/>
        <v>1.3668218532142467</v>
      </c>
      <c r="AF429" s="76">
        <f t="shared" si="734"/>
        <v>2.1576396442100139</v>
      </c>
      <c r="AG429" s="107">
        <f t="shared" si="734"/>
        <v>1.517475935416992</v>
      </c>
      <c r="AH429" s="93">
        <f t="shared" si="734"/>
        <v>5.0419374328412552</v>
      </c>
      <c r="AI429" s="106">
        <f t="shared" si="734"/>
        <v>0</v>
      </c>
      <c r="AJ429" s="76">
        <f t="shared" si="734"/>
        <v>3.593450197395641</v>
      </c>
      <c r="AK429" s="76">
        <f t="shared" si="734"/>
        <v>4.1534812775923253</v>
      </c>
      <c r="AL429" s="107">
        <f t="shared" si="734"/>
        <v>2.9938001755408892</v>
      </c>
      <c r="AM429" s="93">
        <f t="shared" si="734"/>
        <v>10.740731650528858</v>
      </c>
      <c r="AN429" s="106">
        <f t="shared" si="734"/>
        <v>1.5815635186340491</v>
      </c>
      <c r="AO429" s="76">
        <f t="shared" si="734"/>
        <v>2.5439225164696744</v>
      </c>
      <c r="AP429" s="76">
        <f t="shared" ref="AP429" si="735">AP427-AP428</f>
        <v>4.1113158534916696</v>
      </c>
      <c r="AQ429" s="107">
        <f t="shared" si="734"/>
        <v>1.3307663273409167</v>
      </c>
      <c r="AR429" s="93">
        <f t="shared" si="734"/>
        <v>9.5675682159363085</v>
      </c>
      <c r="AS429" s="106">
        <f t="shared" ref="AS429" si="736">AS427-AS428</f>
        <v>0.68165081758632962</v>
      </c>
      <c r="AT429" s="76">
        <f t="shared" ref="AT429:BB429" si="737">AT427-AT428</f>
        <v>0.68165081758632962</v>
      </c>
      <c r="AU429" s="76">
        <f t="shared" ref="AU429" si="738">AU427-AU428</f>
        <v>2.7095487052757967</v>
      </c>
      <c r="AV429" s="107">
        <f t="shared" si="737"/>
        <v>0.62714170222568244</v>
      </c>
      <c r="AW429" s="93">
        <f t="shared" si="737"/>
        <v>4.6999920426741397</v>
      </c>
      <c r="AX429" s="106">
        <f t="shared" si="737"/>
        <v>0</v>
      </c>
      <c r="AY429" s="76">
        <f t="shared" si="737"/>
        <v>0.39692567400000067</v>
      </c>
      <c r="AZ429" s="76">
        <f t="shared" si="737"/>
        <v>0.48782906999999875</v>
      </c>
      <c r="BA429" s="107">
        <f t="shared" si="737"/>
        <v>0.14159882999999907</v>
      </c>
      <c r="BB429" s="93">
        <f t="shared" si="737"/>
        <v>1.026353573999998</v>
      </c>
      <c r="BC429" s="106">
        <f t="shared" ref="BC429:BL429" si="739">BC427-BC428</f>
        <v>0.76720325946846168</v>
      </c>
      <c r="BD429" s="76">
        <f t="shared" si="739"/>
        <v>4.5301132584064874E-2</v>
      </c>
      <c r="BE429" s="76">
        <f t="shared" si="739"/>
        <v>0.26463124564079754</v>
      </c>
      <c r="BF429" s="107">
        <f t="shared" si="739"/>
        <v>0.46865308629231395</v>
      </c>
      <c r="BG429" s="93">
        <f t="shared" si="739"/>
        <v>1.5457887239856394</v>
      </c>
      <c r="BH429" s="106">
        <f t="shared" si="739"/>
        <v>0.70314202998097608</v>
      </c>
      <c r="BI429" s="76">
        <f t="shared" si="739"/>
        <v>0</v>
      </c>
      <c r="BJ429" s="76">
        <f t="shared" si="739"/>
        <v>0.20872364670982302</v>
      </c>
      <c r="BK429" s="107">
        <f t="shared" si="739"/>
        <v>0.40292339537347255</v>
      </c>
      <c r="BL429" s="93">
        <f t="shared" si="739"/>
        <v>1.3147890720642703</v>
      </c>
      <c r="BM429" s="106">
        <f t="shared" ref="BM429:BQ429" si="740">BM427-BM428</f>
        <v>1.8928340973834503</v>
      </c>
      <c r="BN429" s="76">
        <f t="shared" si="740"/>
        <v>0</v>
      </c>
      <c r="BO429" s="76">
        <f t="shared" si="740"/>
        <v>0</v>
      </c>
      <c r="BP429" s="107">
        <f t="shared" si="740"/>
        <v>2.0087270256183638</v>
      </c>
      <c r="BQ429" s="93">
        <f t="shared" si="740"/>
        <v>3.9015611230018141</v>
      </c>
      <c r="BR429" s="87"/>
      <c r="BS429" s="87"/>
      <c r="BZ429" s="91"/>
      <c r="CA429" s="91"/>
      <c r="CB429" s="91"/>
      <c r="CC429" s="91"/>
      <c r="CD429" s="91"/>
      <c r="CE429" s="91"/>
      <c r="CF429" s="91"/>
      <c r="CG429" s="91"/>
      <c r="CH429" s="91"/>
      <c r="CI429" s="91"/>
      <c r="CJ429" s="91"/>
      <c r="CK429" s="91"/>
      <c r="CL429" s="91"/>
      <c r="CM429" s="91"/>
      <c r="CN429" s="91"/>
      <c r="CO429" s="91"/>
      <c r="CP429" s="91"/>
      <c r="CQ429" s="91"/>
      <c r="CR429" s="1018"/>
      <c r="CS429" s="1018"/>
      <c r="CT429" s="821"/>
      <c r="CU429" s="12"/>
      <c r="CV429" s="12"/>
      <c r="CW429" s="12"/>
      <c r="CX429" s="12"/>
      <c r="CY429" s="12"/>
      <c r="CZ429" s="91"/>
      <c r="DA429" s="91"/>
      <c r="DB429" s="91"/>
      <c r="DC429" s="91"/>
      <c r="DD429" s="91"/>
      <c r="DE429" s="91"/>
      <c r="DF429" s="12"/>
      <c r="DG429" s="12"/>
      <c r="DH429" s="12"/>
      <c r="DI429" s="12"/>
      <c r="DJ429" s="12"/>
      <c r="DK429" s="12"/>
      <c r="DL429" s="12"/>
      <c r="DM429" s="12"/>
      <c r="DN429" s="12"/>
    </row>
    <row r="430" spans="1:118">
      <c r="A430" s="91"/>
      <c r="B430" s="88"/>
      <c r="C430" s="1186"/>
      <c r="D430" s="88"/>
      <c r="E430" s="214"/>
      <c r="F430" s="148"/>
      <c r="G430" s="148"/>
      <c r="H430" s="215"/>
      <c r="I430" s="87"/>
      <c r="J430" s="214"/>
      <c r="K430" s="148"/>
      <c r="L430" s="148"/>
      <c r="M430" s="215"/>
      <c r="N430" s="88"/>
      <c r="O430" s="214"/>
      <c r="P430" s="148"/>
      <c r="Q430" s="148"/>
      <c r="R430" s="215"/>
      <c r="S430" s="88"/>
      <c r="T430" s="106"/>
      <c r="U430" s="76"/>
      <c r="V430" s="76"/>
      <c r="W430" s="107"/>
      <c r="X430" s="93"/>
      <c r="Y430" s="106"/>
      <c r="Z430" s="76"/>
      <c r="AA430" s="76"/>
      <c r="AB430" s="107"/>
      <c r="AC430" s="93"/>
      <c r="AD430" s="106"/>
      <c r="AE430" s="76"/>
      <c r="AF430" s="76"/>
      <c r="AG430" s="107"/>
      <c r="AH430" s="93"/>
      <c r="AI430" s="106"/>
      <c r="AJ430" s="76"/>
      <c r="AK430" s="76"/>
      <c r="AL430" s="107"/>
      <c r="AM430" s="93"/>
      <c r="AN430" s="106"/>
      <c r="AO430" s="76"/>
      <c r="AP430" s="76"/>
      <c r="AQ430" s="107"/>
      <c r="AR430" s="93"/>
      <c r="AS430" s="106"/>
      <c r="AT430" s="76"/>
      <c r="AU430" s="76"/>
      <c r="AV430" s="107"/>
      <c r="AW430" s="93"/>
      <c r="AX430" s="106"/>
      <c r="AY430" s="76"/>
      <c r="AZ430" s="76"/>
      <c r="BA430" s="107"/>
      <c r="BB430" s="93"/>
      <c r="BC430" s="106"/>
      <c r="BD430" s="76"/>
      <c r="BE430" s="76"/>
      <c r="BF430" s="107"/>
      <c r="BG430" s="93"/>
      <c r="BH430" s="106"/>
      <c r="BI430" s="76"/>
      <c r="BJ430" s="76"/>
      <c r="BK430" s="107"/>
      <c r="BL430" s="93"/>
      <c r="BM430" s="106"/>
      <c r="BN430" s="76"/>
      <c r="BO430" s="76"/>
      <c r="BP430" s="107"/>
      <c r="BQ430" s="93"/>
      <c r="BR430" s="87"/>
      <c r="BS430" s="87"/>
      <c r="BZ430" s="91"/>
      <c r="CA430" s="91"/>
      <c r="CB430" s="91"/>
      <c r="CC430" s="91"/>
      <c r="CD430" s="91"/>
      <c r="CE430" s="91"/>
      <c r="CF430" s="91"/>
      <c r="CG430" s="91"/>
      <c r="CH430" s="91"/>
      <c r="CI430" s="91"/>
      <c r="CJ430" s="91"/>
      <c r="CK430" s="91"/>
      <c r="CL430" s="91"/>
      <c r="CM430" s="91"/>
      <c r="CN430" s="91"/>
      <c r="CO430" s="91"/>
      <c r="CP430" s="91"/>
      <c r="CQ430" s="91"/>
      <c r="CR430" s="1018"/>
      <c r="CS430" s="1018"/>
      <c r="CT430" s="821"/>
      <c r="CU430" s="12"/>
      <c r="CV430" s="12"/>
      <c r="CW430" s="12"/>
      <c r="CX430" s="12"/>
      <c r="CY430" s="12"/>
      <c r="CZ430" s="91"/>
      <c r="DA430" s="91"/>
      <c r="DB430" s="91"/>
      <c r="DC430" s="91"/>
      <c r="DD430" s="91"/>
      <c r="DE430" s="91"/>
      <c r="DF430" s="12"/>
      <c r="DG430" s="12"/>
      <c r="DH430" s="12"/>
      <c r="DI430" s="12"/>
      <c r="DJ430" s="12"/>
      <c r="DK430" s="12"/>
      <c r="DL430" s="12"/>
      <c r="DM430" s="12"/>
      <c r="DN430" s="12"/>
    </row>
    <row r="431" spans="1:118">
      <c r="A431" s="91"/>
      <c r="B431" s="88"/>
      <c r="C431" s="1255" t="s">
        <v>583</v>
      </c>
      <c r="D431" s="89"/>
      <c r="E431" s="145"/>
      <c r="F431" s="146"/>
      <c r="G431" s="146"/>
      <c r="H431" s="147"/>
      <c r="I431" s="1021"/>
      <c r="J431" s="145"/>
      <c r="K431" s="146"/>
      <c r="L431" s="146"/>
      <c r="M431" s="147"/>
      <c r="N431" s="89"/>
      <c r="O431" s="145"/>
      <c r="P431" s="146"/>
      <c r="Q431" s="146"/>
      <c r="R431" s="147"/>
      <c r="S431" s="89"/>
      <c r="T431" s="145"/>
      <c r="U431" s="146"/>
      <c r="V431" s="146"/>
      <c r="W431" s="147"/>
      <c r="X431" s="89"/>
      <c r="Y431" s="145"/>
      <c r="Z431" s="146"/>
      <c r="AA431" s="146"/>
      <c r="AB431" s="147"/>
      <c r="AC431" s="89"/>
      <c r="AD431" s="145"/>
      <c r="AE431" s="146"/>
      <c r="AF431" s="146"/>
      <c r="AG431" s="147"/>
      <c r="AH431" s="89"/>
      <c r="AI431" s="145"/>
      <c r="AJ431" s="146"/>
      <c r="AK431" s="146"/>
      <c r="AL431" s="147"/>
      <c r="AM431" s="89"/>
      <c r="AN431" s="145"/>
      <c r="AO431" s="146"/>
      <c r="AP431" s="146"/>
      <c r="AQ431" s="147"/>
      <c r="AR431" s="89"/>
      <c r="AS431" s="145"/>
      <c r="AT431" s="146"/>
      <c r="AU431" s="146"/>
      <c r="AV431" s="147"/>
      <c r="AW431" s="89"/>
      <c r="AX431" s="145"/>
      <c r="AY431" s="146"/>
      <c r="AZ431" s="146"/>
      <c r="BA431" s="147"/>
      <c r="BB431" s="89"/>
      <c r="BC431" s="145"/>
      <c r="BD431" s="146"/>
      <c r="BE431" s="146"/>
      <c r="BF431" s="147"/>
      <c r="BG431" s="89"/>
      <c r="BH431" s="145"/>
      <c r="BI431" s="146"/>
      <c r="BJ431" s="146"/>
      <c r="BK431" s="147"/>
      <c r="BL431" s="89"/>
      <c r="BM431" s="145"/>
      <c r="BN431" s="146"/>
      <c r="BO431" s="146"/>
      <c r="BP431" s="147"/>
      <c r="BQ431" s="89"/>
      <c r="BR431" s="87"/>
      <c r="BS431" s="87"/>
      <c r="BZ431" s="91"/>
      <c r="CA431" s="91"/>
      <c r="CB431" s="91"/>
      <c r="CC431" s="91"/>
      <c r="CD431" s="91"/>
      <c r="CE431" s="91"/>
      <c r="CF431" s="91"/>
      <c r="CG431" s="91"/>
      <c r="CH431" s="91"/>
      <c r="CI431" s="91"/>
      <c r="CJ431" s="91"/>
      <c r="CK431" s="91"/>
      <c r="CL431" s="91"/>
      <c r="CM431" s="91"/>
      <c r="CN431" s="91"/>
      <c r="CO431" s="91"/>
      <c r="CP431" s="91"/>
      <c r="CQ431" s="91"/>
      <c r="CR431" s="1018"/>
      <c r="CS431" s="1018"/>
      <c r="CT431" s="821"/>
      <c r="CU431" s="12"/>
      <c r="CV431" s="12"/>
      <c r="CW431" s="12"/>
      <c r="CX431" s="12"/>
      <c r="CY431" s="12"/>
      <c r="CZ431" s="91"/>
      <c r="DA431" s="91"/>
      <c r="DB431" s="91"/>
      <c r="DC431" s="91"/>
      <c r="DD431" s="91"/>
      <c r="DE431" s="91"/>
      <c r="DF431" s="12"/>
      <c r="DG431" s="12"/>
      <c r="DH431" s="12"/>
      <c r="DI431" s="12"/>
      <c r="DJ431" s="12"/>
      <c r="DK431" s="12"/>
      <c r="DL431" s="12"/>
      <c r="DM431" s="12"/>
      <c r="DN431" s="12"/>
    </row>
    <row r="432" spans="1:118">
      <c r="A432" s="91"/>
      <c r="B432" s="88"/>
      <c r="C432" s="1179" t="s">
        <v>579</v>
      </c>
      <c r="D432" s="89"/>
      <c r="E432" s="145"/>
      <c r="F432" s="146"/>
      <c r="G432" s="146"/>
      <c r="H432" s="147"/>
      <c r="I432" s="87"/>
      <c r="J432" s="145"/>
      <c r="K432" s="146"/>
      <c r="L432" s="146"/>
      <c r="M432" s="147"/>
      <c r="N432" s="89"/>
      <c r="O432" s="145"/>
      <c r="P432" s="146"/>
      <c r="Q432" s="146"/>
      <c r="R432" s="147"/>
      <c r="S432" s="89"/>
      <c r="T432" s="342"/>
      <c r="U432" s="150"/>
      <c r="V432" s="150"/>
      <c r="W432" s="343"/>
      <c r="X432" s="327"/>
      <c r="Y432" s="342">
        <f t="shared" ref="Y432:BQ432" si="741">+Y$67</f>
        <v>41.997815863095234</v>
      </c>
      <c r="Z432" s="150">
        <f t="shared" si="741"/>
        <v>45.53030431640623</v>
      </c>
      <c r="AA432" s="150">
        <f t="shared" si="741"/>
        <v>48.136464199218771</v>
      </c>
      <c r="AB432" s="343">
        <f t="shared" si="741"/>
        <v>40.193486718750009</v>
      </c>
      <c r="AC432" s="327">
        <f t="shared" si="741"/>
        <v>43.964517774367565</v>
      </c>
      <c r="AD432" s="342">
        <f t="shared" si="741"/>
        <v>113.57858770833332</v>
      </c>
      <c r="AE432" s="150">
        <f t="shared" si="741"/>
        <v>50.488559589843781</v>
      </c>
      <c r="AF432" s="150">
        <f t="shared" si="741"/>
        <v>41.389708935546885</v>
      </c>
      <c r="AG432" s="343">
        <f t="shared" si="741"/>
        <v>40.371172851562484</v>
      </c>
      <c r="AH432" s="327">
        <f t="shared" si="741"/>
        <v>61.457007271321615</v>
      </c>
      <c r="AI432" s="342">
        <f t="shared" si="741"/>
        <v>56.866776517857161</v>
      </c>
      <c r="AJ432" s="150">
        <f t="shared" si="741"/>
        <v>39.147263818359377</v>
      </c>
      <c r="AK432" s="150">
        <f t="shared" si="741"/>
        <v>39.464831807692292</v>
      </c>
      <c r="AL432" s="343">
        <f t="shared" si="741"/>
        <v>31.895178447265621</v>
      </c>
      <c r="AM432" s="327">
        <f t="shared" si="741"/>
        <v>41.843512647793617</v>
      </c>
      <c r="AN432" s="342">
        <f t="shared" si="741"/>
        <v>30.103148642578116</v>
      </c>
      <c r="AO432" s="150">
        <f t="shared" si="741"/>
        <v>32.701806339843749</v>
      </c>
      <c r="AP432" s="150">
        <f t="shared" si="741"/>
        <v>38.936782353515625</v>
      </c>
      <c r="AQ432" s="343">
        <f t="shared" si="741"/>
        <v>33.269796091269853</v>
      </c>
      <c r="AR432" s="327">
        <f t="shared" si="741"/>
        <v>33.752883356801831</v>
      </c>
      <c r="AS432" s="342">
        <f t="shared" si="741"/>
        <v>32.803312458984372</v>
      </c>
      <c r="AT432" s="150">
        <f t="shared" si="741"/>
        <v>32.803312458984372</v>
      </c>
      <c r="AU432" s="150">
        <f t="shared" si="741"/>
        <v>35.491018034722231</v>
      </c>
      <c r="AV432" s="343">
        <f t="shared" si="741"/>
        <v>37.44785995039684</v>
      </c>
      <c r="AW432" s="327">
        <f t="shared" si="741"/>
        <v>34.636375725771956</v>
      </c>
      <c r="AX432" s="342">
        <f t="shared" si="741"/>
        <v>48.149713212890617</v>
      </c>
      <c r="AY432" s="150">
        <f t="shared" si="741"/>
        <v>34.5</v>
      </c>
      <c r="AZ432" s="150">
        <f t="shared" si="741"/>
        <v>36.9</v>
      </c>
      <c r="BA432" s="343">
        <f t="shared" si="741"/>
        <v>34.68333333333333</v>
      </c>
      <c r="BB432" s="327">
        <f t="shared" si="741"/>
        <v>38.55826163655599</v>
      </c>
      <c r="BC432" s="342">
        <f t="shared" si="741"/>
        <v>40.501333218824755</v>
      </c>
      <c r="BD432" s="150">
        <f t="shared" si="741"/>
        <v>29.678493986239484</v>
      </c>
      <c r="BE432" s="150">
        <f t="shared" si="741"/>
        <v>32.100602483050345</v>
      </c>
      <c r="BF432" s="343">
        <f t="shared" si="741"/>
        <v>39.002903645085446</v>
      </c>
      <c r="BG432" s="327">
        <f t="shared" si="741"/>
        <v>35.320833333300008</v>
      </c>
      <c r="BH432" s="342">
        <f t="shared" si="741"/>
        <v>40.405777401430242</v>
      </c>
      <c r="BI432" s="150">
        <f t="shared" si="741"/>
        <v>29.608472766528742</v>
      </c>
      <c r="BJ432" s="150">
        <f t="shared" si="741"/>
        <v>32.024866721648337</v>
      </c>
      <c r="BK432" s="343">
        <f t="shared" si="741"/>
        <v>38.910883110392703</v>
      </c>
      <c r="BL432" s="327">
        <f t="shared" si="741"/>
        <v>35.237500000000004</v>
      </c>
      <c r="BM432" s="342">
        <f t="shared" si="741"/>
        <v>46.317231850089563</v>
      </c>
      <c r="BN432" s="150">
        <f t="shared" si="741"/>
        <v>24.886928307166592</v>
      </c>
      <c r="BO432" s="150">
        <f t="shared" si="741"/>
        <v>24.603015608248842</v>
      </c>
      <c r="BP432" s="343">
        <f t="shared" si="741"/>
        <v>47.392824234494974</v>
      </c>
      <c r="BQ432" s="327">
        <f t="shared" si="741"/>
        <v>35.79999999999999</v>
      </c>
      <c r="BR432" s="87"/>
      <c r="BS432" s="87"/>
      <c r="BZ432" s="91"/>
      <c r="CA432" s="91"/>
      <c r="CB432" s="91"/>
      <c r="CC432" s="91"/>
      <c r="CD432" s="91"/>
      <c r="CE432" s="91"/>
      <c r="CF432" s="91"/>
      <c r="CG432" s="91"/>
      <c r="CH432" s="91"/>
      <c r="CI432" s="91"/>
      <c r="CJ432" s="91"/>
      <c r="CK432" s="91"/>
      <c r="CL432" s="91"/>
      <c r="CM432" s="91"/>
      <c r="CN432" s="91"/>
      <c r="CO432" s="91"/>
      <c r="CP432" s="91"/>
      <c r="CQ432" s="91"/>
      <c r="CR432" s="1018"/>
      <c r="CS432" s="1018"/>
      <c r="CT432" s="821"/>
      <c r="CU432" s="12"/>
      <c r="CV432" s="12"/>
      <c r="CW432" s="12"/>
      <c r="CX432" s="12"/>
      <c r="CY432" s="12"/>
      <c r="CZ432" s="91"/>
      <c r="DA432" s="91"/>
      <c r="DB432" s="91"/>
      <c r="DC432" s="91"/>
      <c r="DD432" s="91"/>
      <c r="DE432" s="91"/>
      <c r="DF432" s="12"/>
      <c r="DG432" s="12"/>
      <c r="DH432" s="12"/>
      <c r="DI432" s="12"/>
      <c r="DJ432" s="12"/>
      <c r="DK432" s="12"/>
      <c r="DL432" s="12"/>
      <c r="DM432" s="12"/>
      <c r="DN432" s="12"/>
    </row>
    <row r="433" spans="1:118">
      <c r="A433" s="91"/>
      <c r="B433" s="88"/>
      <c r="C433" s="1179" t="s">
        <v>573</v>
      </c>
      <c r="D433" s="89"/>
      <c r="E433" s="145"/>
      <c r="F433" s="146"/>
      <c r="G433" s="146"/>
      <c r="H433" s="147"/>
      <c r="I433" s="1072">
        <f>(80/6*12)</f>
        <v>160</v>
      </c>
      <c r="J433" s="145"/>
      <c r="K433" s="146"/>
      <c r="L433" s="146"/>
      <c r="M433" s="147"/>
      <c r="N433" s="89"/>
      <c r="O433" s="145"/>
      <c r="P433" s="146"/>
      <c r="Q433" s="146"/>
      <c r="R433" s="147"/>
      <c r="S433" s="89"/>
      <c r="T433" s="342"/>
      <c r="U433" s="150"/>
      <c r="V433" s="150"/>
      <c r="W433" s="343"/>
      <c r="X433" s="327"/>
      <c r="Y433" s="342">
        <f t="shared" ref="Y433:BQ433" si="742">+$I433</f>
        <v>160</v>
      </c>
      <c r="Z433" s="150">
        <f t="shared" si="742"/>
        <v>160</v>
      </c>
      <c r="AA433" s="150">
        <f t="shared" si="742"/>
        <v>160</v>
      </c>
      <c r="AB433" s="343">
        <f t="shared" si="742"/>
        <v>160</v>
      </c>
      <c r="AC433" s="327">
        <f t="shared" si="742"/>
        <v>160</v>
      </c>
      <c r="AD433" s="342">
        <f t="shared" si="742"/>
        <v>160</v>
      </c>
      <c r="AE433" s="150">
        <f t="shared" si="742"/>
        <v>160</v>
      </c>
      <c r="AF433" s="150">
        <f t="shared" si="742"/>
        <v>160</v>
      </c>
      <c r="AG433" s="343">
        <f t="shared" si="742"/>
        <v>160</v>
      </c>
      <c r="AH433" s="327">
        <f t="shared" si="742"/>
        <v>160</v>
      </c>
      <c r="AI433" s="342">
        <f t="shared" si="742"/>
        <v>160</v>
      </c>
      <c r="AJ433" s="150">
        <f t="shared" si="742"/>
        <v>160</v>
      </c>
      <c r="AK433" s="150">
        <f t="shared" si="742"/>
        <v>160</v>
      </c>
      <c r="AL433" s="343">
        <f t="shared" si="742"/>
        <v>160</v>
      </c>
      <c r="AM433" s="327">
        <f t="shared" si="742"/>
        <v>160</v>
      </c>
      <c r="AN433" s="342">
        <f t="shared" si="742"/>
        <v>160</v>
      </c>
      <c r="AO433" s="150">
        <f t="shared" si="742"/>
        <v>160</v>
      </c>
      <c r="AP433" s="150">
        <f t="shared" si="742"/>
        <v>160</v>
      </c>
      <c r="AQ433" s="343">
        <f t="shared" si="742"/>
        <v>160</v>
      </c>
      <c r="AR433" s="327">
        <f t="shared" si="742"/>
        <v>160</v>
      </c>
      <c r="AS433" s="342">
        <f t="shared" si="742"/>
        <v>160</v>
      </c>
      <c r="AT433" s="150">
        <f t="shared" si="742"/>
        <v>160</v>
      </c>
      <c r="AU433" s="150">
        <f t="shared" si="742"/>
        <v>160</v>
      </c>
      <c r="AV433" s="343">
        <f t="shared" si="742"/>
        <v>160</v>
      </c>
      <c r="AW433" s="327">
        <f t="shared" si="742"/>
        <v>160</v>
      </c>
      <c r="AX433" s="342">
        <f t="shared" si="742"/>
        <v>160</v>
      </c>
      <c r="AY433" s="150">
        <f t="shared" si="742"/>
        <v>160</v>
      </c>
      <c r="AZ433" s="150">
        <f t="shared" si="742"/>
        <v>160</v>
      </c>
      <c r="BA433" s="343">
        <f t="shared" si="742"/>
        <v>160</v>
      </c>
      <c r="BB433" s="327">
        <f t="shared" si="742"/>
        <v>160</v>
      </c>
      <c r="BC433" s="342">
        <f t="shared" si="742"/>
        <v>160</v>
      </c>
      <c r="BD433" s="150">
        <f t="shared" si="742"/>
        <v>160</v>
      </c>
      <c r="BE433" s="150">
        <f t="shared" si="742"/>
        <v>160</v>
      </c>
      <c r="BF433" s="343">
        <f t="shared" si="742"/>
        <v>160</v>
      </c>
      <c r="BG433" s="327">
        <f t="shared" si="742"/>
        <v>160</v>
      </c>
      <c r="BH433" s="342">
        <f t="shared" si="742"/>
        <v>160</v>
      </c>
      <c r="BI433" s="150">
        <f t="shared" si="742"/>
        <v>160</v>
      </c>
      <c r="BJ433" s="150">
        <f t="shared" si="742"/>
        <v>160</v>
      </c>
      <c r="BK433" s="343">
        <f t="shared" si="742"/>
        <v>160</v>
      </c>
      <c r="BL433" s="327">
        <f t="shared" si="742"/>
        <v>160</v>
      </c>
      <c r="BM433" s="342">
        <f t="shared" si="742"/>
        <v>160</v>
      </c>
      <c r="BN433" s="150">
        <f t="shared" si="742"/>
        <v>160</v>
      </c>
      <c r="BO433" s="150">
        <f t="shared" si="742"/>
        <v>160</v>
      </c>
      <c r="BP433" s="343">
        <f t="shared" si="742"/>
        <v>160</v>
      </c>
      <c r="BQ433" s="327">
        <f t="shared" si="742"/>
        <v>160</v>
      </c>
      <c r="BR433" s="87"/>
      <c r="BS433" s="87"/>
      <c r="BZ433" s="91"/>
      <c r="CA433" s="91"/>
      <c r="CB433" s="91"/>
      <c r="CC433" s="91"/>
      <c r="CD433" s="91"/>
      <c r="CE433" s="91"/>
      <c r="CF433" s="91"/>
      <c r="CG433" s="91"/>
      <c r="CH433" s="91"/>
      <c r="CI433" s="91"/>
      <c r="CJ433" s="91"/>
      <c r="CK433" s="91"/>
      <c r="CL433" s="91"/>
      <c r="CM433" s="91"/>
      <c r="CN433" s="91"/>
      <c r="CO433" s="91"/>
      <c r="CP433" s="91"/>
      <c r="CQ433" s="91"/>
      <c r="CR433" s="1018"/>
      <c r="CS433" s="1018"/>
      <c r="CT433" s="821"/>
      <c r="CU433" s="12"/>
      <c r="CV433" s="12"/>
      <c r="CW433" s="12"/>
      <c r="CX433" s="12"/>
      <c r="CY433" s="12"/>
      <c r="CZ433" s="91"/>
      <c r="DA433" s="91"/>
      <c r="DB433" s="91"/>
      <c r="DC433" s="91"/>
      <c r="DD433" s="91"/>
      <c r="DE433" s="91"/>
      <c r="DF433" s="12"/>
      <c r="DG433" s="12"/>
      <c r="DH433" s="12"/>
      <c r="DI433" s="12"/>
      <c r="DJ433" s="12"/>
      <c r="DK433" s="12"/>
      <c r="DL433" s="12"/>
      <c r="DM433" s="12"/>
      <c r="DN433" s="12"/>
    </row>
    <row r="434" spans="1:118">
      <c r="A434" s="91"/>
      <c r="B434" s="88"/>
      <c r="C434" s="1179"/>
      <c r="D434" s="89"/>
      <c r="E434" s="145"/>
      <c r="F434" s="146"/>
      <c r="G434" s="146"/>
      <c r="H434" s="147"/>
      <c r="I434" s="891"/>
      <c r="J434" s="145"/>
      <c r="K434" s="146"/>
      <c r="L434" s="146"/>
      <c r="M434" s="147"/>
      <c r="N434" s="89"/>
      <c r="O434" s="145"/>
      <c r="P434" s="146"/>
      <c r="Q434" s="146"/>
      <c r="R434" s="147"/>
      <c r="S434" s="89"/>
      <c r="T434" s="342"/>
      <c r="U434" s="150"/>
      <c r="V434" s="150"/>
      <c r="W434" s="343"/>
      <c r="X434" s="327"/>
      <c r="Y434" s="342"/>
      <c r="Z434" s="150"/>
      <c r="AA434" s="150"/>
      <c r="AB434" s="343"/>
      <c r="AC434" s="327"/>
      <c r="AD434" s="342"/>
      <c r="AE434" s="150"/>
      <c r="AF434" s="150"/>
      <c r="AG434" s="343"/>
      <c r="AH434" s="327"/>
      <c r="AI434" s="342"/>
      <c r="AJ434" s="150"/>
      <c r="AK434" s="150"/>
      <c r="AL434" s="343"/>
      <c r="AM434" s="327"/>
      <c r="AN434" s="342"/>
      <c r="AO434" s="150"/>
      <c r="AP434" s="150"/>
      <c r="AQ434" s="343"/>
      <c r="AR434" s="327"/>
      <c r="AS434" s="342"/>
      <c r="AT434" s="150"/>
      <c r="AU434" s="150"/>
      <c r="AV434" s="343"/>
      <c r="AW434" s="327"/>
      <c r="AX434" s="342"/>
      <c r="AY434" s="150"/>
      <c r="AZ434" s="150"/>
      <c r="BA434" s="343"/>
      <c r="BB434" s="327"/>
      <c r="BC434" s="342"/>
      <c r="BD434" s="150"/>
      <c r="BE434" s="150"/>
      <c r="BF434" s="343"/>
      <c r="BG434" s="327"/>
      <c r="BH434" s="342"/>
      <c r="BI434" s="150"/>
      <c r="BJ434" s="150"/>
      <c r="BK434" s="343"/>
      <c r="BL434" s="327"/>
      <c r="BM434" s="342"/>
      <c r="BN434" s="150"/>
      <c r="BO434" s="150"/>
      <c r="BP434" s="343"/>
      <c r="BQ434" s="327"/>
      <c r="BR434" s="87"/>
      <c r="BS434" s="87"/>
      <c r="BZ434" s="91"/>
      <c r="CA434" s="91"/>
      <c r="CB434" s="91"/>
      <c r="CC434" s="91"/>
      <c r="CD434" s="91"/>
      <c r="CE434" s="91"/>
      <c r="CF434" s="91"/>
      <c r="CG434" s="91"/>
      <c r="CH434" s="91"/>
      <c r="CI434" s="91"/>
      <c r="CJ434" s="91"/>
      <c r="CK434" s="91"/>
      <c r="CL434" s="91"/>
      <c r="CM434" s="91"/>
      <c r="CN434" s="91"/>
      <c r="CO434" s="91"/>
      <c r="CP434" s="91"/>
      <c r="CQ434" s="91"/>
      <c r="CR434" s="1018"/>
      <c r="CS434" s="1018"/>
      <c r="CT434" s="821"/>
      <c r="CU434" s="12"/>
      <c r="CV434" s="12"/>
      <c r="CW434" s="12"/>
      <c r="CX434" s="12"/>
      <c r="CY434" s="12"/>
      <c r="CZ434" s="91"/>
      <c r="DA434" s="91"/>
      <c r="DB434" s="91"/>
      <c r="DC434" s="91"/>
      <c r="DD434" s="91"/>
      <c r="DE434" s="91"/>
      <c r="DF434" s="12"/>
      <c r="DG434" s="12"/>
      <c r="DH434" s="12"/>
      <c r="DI434" s="12"/>
      <c r="DJ434" s="12"/>
      <c r="DK434" s="12"/>
      <c r="DL434" s="12"/>
      <c r="DM434" s="12"/>
      <c r="DN434" s="12"/>
    </row>
    <row r="435" spans="1:118">
      <c r="A435" s="91"/>
      <c r="B435" s="88"/>
      <c r="C435" s="1186" t="s">
        <v>574</v>
      </c>
      <c r="D435" s="88"/>
      <c r="E435" s="106"/>
      <c r="F435" s="76"/>
      <c r="G435" s="76"/>
      <c r="H435" s="107"/>
      <c r="I435" s="93"/>
      <c r="J435" s="106"/>
      <c r="K435" s="76"/>
      <c r="L435" s="76"/>
      <c r="M435" s="107"/>
      <c r="N435" s="93"/>
      <c r="O435" s="106"/>
      <c r="P435" s="76"/>
      <c r="Q435" s="76"/>
      <c r="R435" s="107"/>
      <c r="S435" s="93"/>
      <c r="T435" s="106"/>
      <c r="U435" s="76"/>
      <c r="V435" s="76"/>
      <c r="W435" s="107"/>
      <c r="X435" s="93"/>
      <c r="Y435" s="106">
        <f t="shared" ref="Y435:AR435" si="743">+Y533</f>
        <v>248</v>
      </c>
      <c r="Z435" s="76">
        <f t="shared" si="743"/>
        <v>248</v>
      </c>
      <c r="AA435" s="76">
        <f t="shared" si="743"/>
        <v>248</v>
      </c>
      <c r="AB435" s="107">
        <f t="shared" si="743"/>
        <v>248</v>
      </c>
      <c r="AC435" s="93">
        <f t="shared" si="743"/>
        <v>248</v>
      </c>
      <c r="AD435" s="106">
        <f t="shared" si="743"/>
        <v>248</v>
      </c>
      <c r="AE435" s="76">
        <f t="shared" si="743"/>
        <v>248</v>
      </c>
      <c r="AF435" s="76">
        <f t="shared" si="743"/>
        <v>248</v>
      </c>
      <c r="AG435" s="107">
        <f t="shared" si="743"/>
        <v>248</v>
      </c>
      <c r="AH435" s="93">
        <f t="shared" si="743"/>
        <v>248</v>
      </c>
      <c r="AI435" s="106">
        <f t="shared" si="743"/>
        <v>248</v>
      </c>
      <c r="AJ435" s="76">
        <f t="shared" si="743"/>
        <v>248</v>
      </c>
      <c r="AK435" s="76">
        <f t="shared" si="743"/>
        <v>248</v>
      </c>
      <c r="AL435" s="107">
        <f t="shared" si="743"/>
        <v>248</v>
      </c>
      <c r="AM435" s="93">
        <f t="shared" si="743"/>
        <v>248</v>
      </c>
      <c r="AN435" s="106">
        <f t="shared" si="743"/>
        <v>248</v>
      </c>
      <c r="AO435" s="76">
        <f t="shared" si="743"/>
        <v>248</v>
      </c>
      <c r="AP435" s="76">
        <f t="shared" ref="AP435" si="744">+AP533</f>
        <v>248</v>
      </c>
      <c r="AQ435" s="107">
        <f t="shared" si="743"/>
        <v>248</v>
      </c>
      <c r="AR435" s="93">
        <f t="shared" si="743"/>
        <v>248</v>
      </c>
      <c r="AS435" s="106">
        <f t="shared" ref="AS435" si="745">+AS533</f>
        <v>248</v>
      </c>
      <c r="AT435" s="76">
        <f t="shared" ref="AT435:BB435" si="746">+AT533</f>
        <v>248</v>
      </c>
      <c r="AU435" s="76">
        <f t="shared" ref="AU435" si="747">+AU533</f>
        <v>248</v>
      </c>
      <c r="AV435" s="107">
        <f t="shared" si="746"/>
        <v>248</v>
      </c>
      <c r="AW435" s="93">
        <f t="shared" si="746"/>
        <v>248</v>
      </c>
      <c r="AX435" s="106">
        <f t="shared" si="746"/>
        <v>248</v>
      </c>
      <c r="AY435" s="76">
        <f t="shared" si="746"/>
        <v>248</v>
      </c>
      <c r="AZ435" s="76">
        <f t="shared" si="746"/>
        <v>248</v>
      </c>
      <c r="BA435" s="107">
        <f t="shared" si="746"/>
        <v>248</v>
      </c>
      <c r="BB435" s="93">
        <f t="shared" si="746"/>
        <v>248</v>
      </c>
      <c r="BC435" s="106">
        <f t="shared" ref="BC435:BL435" si="748">+BC533</f>
        <v>248</v>
      </c>
      <c r="BD435" s="76">
        <f t="shared" si="748"/>
        <v>248</v>
      </c>
      <c r="BE435" s="76">
        <f t="shared" si="748"/>
        <v>248</v>
      </c>
      <c r="BF435" s="107">
        <f t="shared" si="748"/>
        <v>248</v>
      </c>
      <c r="BG435" s="93">
        <f t="shared" si="748"/>
        <v>248</v>
      </c>
      <c r="BH435" s="106">
        <f t="shared" si="748"/>
        <v>248</v>
      </c>
      <c r="BI435" s="76">
        <f t="shared" si="748"/>
        <v>248</v>
      </c>
      <c r="BJ435" s="76">
        <f t="shared" si="748"/>
        <v>248</v>
      </c>
      <c r="BK435" s="107">
        <f t="shared" si="748"/>
        <v>248</v>
      </c>
      <c r="BL435" s="93">
        <f t="shared" si="748"/>
        <v>248</v>
      </c>
      <c r="BM435" s="106">
        <f t="shared" ref="BM435:BQ435" si="749">+BM533</f>
        <v>248</v>
      </c>
      <c r="BN435" s="76">
        <f t="shared" si="749"/>
        <v>248</v>
      </c>
      <c r="BO435" s="76">
        <f t="shared" si="749"/>
        <v>248</v>
      </c>
      <c r="BP435" s="107">
        <f t="shared" si="749"/>
        <v>248</v>
      </c>
      <c r="BQ435" s="93">
        <f t="shared" si="749"/>
        <v>248</v>
      </c>
      <c r="BR435" s="87"/>
      <c r="BS435" s="87"/>
      <c r="BZ435" s="91"/>
      <c r="CA435" s="91"/>
      <c r="CB435" s="91"/>
      <c r="CC435" s="91"/>
      <c r="CD435" s="91"/>
      <c r="CE435" s="91"/>
      <c r="CF435" s="91"/>
      <c r="CG435" s="91"/>
      <c r="CH435" s="91"/>
      <c r="CI435" s="91"/>
      <c r="CJ435" s="91"/>
      <c r="CK435" s="91"/>
      <c r="CL435" s="91"/>
      <c r="CM435" s="91"/>
      <c r="CN435" s="91"/>
      <c r="CO435" s="91"/>
      <c r="CP435" s="91"/>
      <c r="CQ435" s="91"/>
      <c r="CR435" s="1018"/>
      <c r="CS435" s="1018"/>
      <c r="CT435" s="821"/>
      <c r="CU435" s="12"/>
      <c r="CV435" s="12"/>
      <c r="CW435" s="12"/>
      <c r="CX435" s="12"/>
      <c r="CY435" s="12"/>
      <c r="CZ435" s="91"/>
      <c r="DA435" s="91"/>
      <c r="DB435" s="91"/>
      <c r="DC435" s="91"/>
      <c r="DD435" s="91"/>
      <c r="DE435" s="91"/>
      <c r="DF435" s="12"/>
      <c r="DG435" s="12"/>
      <c r="DH435" s="12"/>
      <c r="DI435" s="12"/>
      <c r="DJ435" s="12"/>
      <c r="DK435" s="12"/>
      <c r="DL435" s="12"/>
      <c r="DM435" s="12"/>
      <c r="DN435" s="12"/>
    </row>
    <row r="436" spans="1:118">
      <c r="A436" s="91"/>
      <c r="B436" s="88"/>
      <c r="C436" s="1184"/>
      <c r="D436" s="89"/>
      <c r="E436" s="145"/>
      <c r="F436" s="146"/>
      <c r="G436" s="146"/>
      <c r="H436" s="147"/>
      <c r="I436" s="87"/>
      <c r="J436" s="145"/>
      <c r="K436" s="146"/>
      <c r="L436" s="146"/>
      <c r="M436" s="147"/>
      <c r="N436" s="89"/>
      <c r="O436" s="145"/>
      <c r="P436" s="146"/>
      <c r="Q436" s="146"/>
      <c r="R436" s="147"/>
      <c r="S436" s="89"/>
      <c r="T436" s="145"/>
      <c r="U436" s="146"/>
      <c r="V436" s="146"/>
      <c r="W436" s="147"/>
      <c r="X436" s="89"/>
      <c r="Y436" s="145"/>
      <c r="Z436" s="146"/>
      <c r="AA436" s="146"/>
      <c r="AB436" s="147"/>
      <c r="AC436" s="89"/>
      <c r="AD436" s="145"/>
      <c r="AE436" s="146"/>
      <c r="AF436" s="146"/>
      <c r="AG436" s="147"/>
      <c r="AH436" s="89"/>
      <c r="AI436" s="145"/>
      <c r="AJ436" s="146"/>
      <c r="AK436" s="146"/>
      <c r="AL436" s="147"/>
      <c r="AM436" s="89"/>
      <c r="AN436" s="145"/>
      <c r="AO436" s="146"/>
      <c r="AP436" s="146"/>
      <c r="AQ436" s="147"/>
      <c r="AR436" s="89"/>
      <c r="AS436" s="145"/>
      <c r="AT436" s="146"/>
      <c r="AU436" s="146"/>
      <c r="AV436" s="147"/>
      <c r="AW436" s="89"/>
      <c r="AX436" s="145"/>
      <c r="AY436" s="146"/>
      <c r="AZ436" s="146"/>
      <c r="BA436" s="147"/>
      <c r="BB436" s="89"/>
      <c r="BC436" s="145"/>
      <c r="BD436" s="146"/>
      <c r="BE436" s="146"/>
      <c r="BF436" s="147"/>
      <c r="BG436" s="89"/>
      <c r="BH436" s="145"/>
      <c r="BI436" s="146"/>
      <c r="BJ436" s="146"/>
      <c r="BK436" s="147"/>
      <c r="BL436" s="89"/>
      <c r="BM436" s="145"/>
      <c r="BN436" s="146"/>
      <c r="BO436" s="146"/>
      <c r="BP436" s="147"/>
      <c r="BQ436" s="89"/>
      <c r="BR436" s="87"/>
      <c r="BS436" s="87"/>
      <c r="BZ436" s="91"/>
      <c r="CA436" s="91"/>
      <c r="CB436" s="91"/>
      <c r="CC436" s="91"/>
      <c r="CD436" s="91"/>
      <c r="CE436" s="91"/>
      <c r="CF436" s="91"/>
      <c r="CG436" s="91"/>
      <c r="CH436" s="91"/>
      <c r="CI436" s="91"/>
      <c r="CJ436" s="91"/>
      <c r="CK436" s="91"/>
      <c r="CL436" s="91"/>
      <c r="CM436" s="91"/>
      <c r="CN436" s="91"/>
      <c r="CO436" s="91"/>
      <c r="CP436" s="91"/>
      <c r="CQ436" s="91"/>
      <c r="CR436" s="1018"/>
      <c r="CS436" s="1018"/>
      <c r="CT436" s="821"/>
      <c r="CU436" s="12"/>
      <c r="CV436" s="12"/>
      <c r="CW436" s="12"/>
      <c r="CX436" s="12"/>
      <c r="CY436" s="12"/>
      <c r="CZ436" s="91"/>
      <c r="DA436" s="91"/>
      <c r="DB436" s="91"/>
      <c r="DC436" s="91"/>
      <c r="DD436" s="91"/>
      <c r="DE436" s="91"/>
      <c r="DF436" s="12"/>
      <c r="DG436" s="12"/>
      <c r="DH436" s="12"/>
      <c r="DI436" s="12"/>
      <c r="DJ436" s="12"/>
      <c r="DK436" s="12"/>
      <c r="DL436" s="12"/>
      <c r="DM436" s="12"/>
      <c r="DN436" s="12"/>
    </row>
    <row r="437" spans="1:118">
      <c r="A437" s="91"/>
      <c r="B437" s="88"/>
      <c r="C437" s="1179" t="s">
        <v>581</v>
      </c>
      <c r="D437" s="89"/>
      <c r="E437" s="145"/>
      <c r="F437" s="146"/>
      <c r="G437" s="146"/>
      <c r="H437" s="147"/>
      <c r="I437" s="1057">
        <v>0</v>
      </c>
      <c r="J437" s="145"/>
      <c r="K437" s="146"/>
      <c r="L437" s="146"/>
      <c r="M437" s="147"/>
      <c r="N437" s="89"/>
      <c r="O437" s="145"/>
      <c r="P437" s="146"/>
      <c r="Q437" s="146"/>
      <c r="R437" s="147"/>
      <c r="S437" s="89"/>
      <c r="T437" s="833"/>
      <c r="U437" s="834"/>
      <c r="V437" s="834"/>
      <c r="W437" s="835"/>
      <c r="X437" s="826"/>
      <c r="Y437" s="833">
        <f>+I437</f>
        <v>0</v>
      </c>
      <c r="Z437" s="834">
        <f>Y437</f>
        <v>0</v>
      </c>
      <c r="AA437" s="834">
        <f>Z437</f>
        <v>0</v>
      </c>
      <c r="AB437" s="835">
        <f>AA437</f>
        <v>0</v>
      </c>
      <c r="AC437" s="826">
        <f>AVERAGE(Y437:AB437)</f>
        <v>0</v>
      </c>
      <c r="AD437" s="833">
        <f>AC437</f>
        <v>0</v>
      </c>
      <c r="AE437" s="834">
        <f>AD437</f>
        <v>0</v>
      </c>
      <c r="AF437" s="834">
        <f>AE437</f>
        <v>0</v>
      </c>
      <c r="AG437" s="835">
        <f>AF437</f>
        <v>0</v>
      </c>
      <c r="AH437" s="826">
        <f>AVERAGE(AD437:AG437)</f>
        <v>0</v>
      </c>
      <c r="AI437" s="833">
        <f>AH437</f>
        <v>0</v>
      </c>
      <c r="AJ437" s="834">
        <f>AI437</f>
        <v>0</v>
      </c>
      <c r="AK437" s="834">
        <f>AJ437</f>
        <v>0</v>
      </c>
      <c r="AL437" s="835">
        <f>AK437</f>
        <v>0</v>
      </c>
      <c r="AM437" s="826">
        <f>AVERAGE(AI437:AL437)</f>
        <v>0</v>
      </c>
      <c r="AN437" s="833">
        <f>AM437</f>
        <v>0</v>
      </c>
      <c r="AO437" s="834">
        <f>AN437</f>
        <v>0</v>
      </c>
      <c r="AP437" s="834">
        <f>AO437</f>
        <v>0</v>
      </c>
      <c r="AQ437" s="835">
        <f>AP437</f>
        <v>0</v>
      </c>
      <c r="AR437" s="826">
        <f>AVERAGE(AN437:AQ437)</f>
        <v>0</v>
      </c>
      <c r="AS437" s="833">
        <f>AR437</f>
        <v>0</v>
      </c>
      <c r="AT437" s="834">
        <f>AS437</f>
        <v>0</v>
      </c>
      <c r="AU437" s="834">
        <f>AT437</f>
        <v>0</v>
      </c>
      <c r="AV437" s="835">
        <f>AU437</f>
        <v>0</v>
      </c>
      <c r="AW437" s="826">
        <f>AVERAGE(AS437:AV437)</f>
        <v>0</v>
      </c>
      <c r="AX437" s="833">
        <f>AW437</f>
        <v>0</v>
      </c>
      <c r="AY437" s="834">
        <f>AX437</f>
        <v>0</v>
      </c>
      <c r="AZ437" s="834">
        <f>AY437</f>
        <v>0</v>
      </c>
      <c r="BA437" s="835">
        <f>AZ437</f>
        <v>0</v>
      </c>
      <c r="BB437" s="826">
        <f>AVERAGE(AX437:BA437)</f>
        <v>0</v>
      </c>
      <c r="BC437" s="833">
        <f>BB437</f>
        <v>0</v>
      </c>
      <c r="BD437" s="834">
        <f>BC437</f>
        <v>0</v>
      </c>
      <c r="BE437" s="834">
        <f>BD437</f>
        <v>0</v>
      </c>
      <c r="BF437" s="835">
        <f>BE437</f>
        <v>0</v>
      </c>
      <c r="BG437" s="826">
        <f>AVERAGE(BC437:BF437)</f>
        <v>0</v>
      </c>
      <c r="BH437" s="833">
        <f>BG437</f>
        <v>0</v>
      </c>
      <c r="BI437" s="834">
        <f>BH437</f>
        <v>0</v>
      </c>
      <c r="BJ437" s="834">
        <f>BI437</f>
        <v>0</v>
      </c>
      <c r="BK437" s="835">
        <f>BJ437</f>
        <v>0</v>
      </c>
      <c r="BL437" s="826">
        <f>AVERAGE(BH437:BK437)</f>
        <v>0</v>
      </c>
      <c r="BM437" s="833">
        <f>BL437</f>
        <v>0</v>
      </c>
      <c r="BN437" s="834">
        <f>BM437</f>
        <v>0</v>
      </c>
      <c r="BO437" s="834">
        <f>BN437</f>
        <v>0</v>
      </c>
      <c r="BP437" s="835">
        <f>BO437</f>
        <v>0</v>
      </c>
      <c r="BQ437" s="826">
        <f>AVERAGE(BM437:BP437)</f>
        <v>0</v>
      </c>
      <c r="BR437" s="87"/>
      <c r="BS437" s="87"/>
      <c r="BZ437" s="91"/>
      <c r="CA437" s="91"/>
      <c r="CB437" s="91"/>
      <c r="CC437" s="91"/>
      <c r="CD437" s="91"/>
      <c r="CE437" s="91"/>
      <c r="CF437" s="91"/>
      <c r="CG437" s="91"/>
      <c r="CH437" s="91"/>
      <c r="CI437" s="91"/>
      <c r="CJ437" s="91"/>
      <c r="CK437" s="91"/>
      <c r="CL437" s="91"/>
      <c r="CM437" s="91"/>
      <c r="CN437" s="91"/>
      <c r="CO437" s="91"/>
      <c r="CP437" s="91"/>
      <c r="CQ437" s="91"/>
      <c r="CR437" s="1018"/>
      <c r="CS437" s="1018"/>
      <c r="CT437" s="821"/>
      <c r="CU437" s="12"/>
      <c r="CV437" s="12"/>
      <c r="CW437" s="12"/>
      <c r="CX437" s="12"/>
      <c r="CY437" s="12"/>
      <c r="CZ437" s="91"/>
      <c r="DA437" s="91"/>
      <c r="DB437" s="91"/>
      <c r="DC437" s="91"/>
      <c r="DD437" s="91"/>
      <c r="DE437" s="91"/>
      <c r="DF437" s="12"/>
      <c r="DG437" s="12"/>
      <c r="DH437" s="12"/>
      <c r="DI437" s="12"/>
      <c r="DJ437" s="12"/>
      <c r="DK437" s="12"/>
      <c r="DL437" s="12"/>
      <c r="DM437" s="12"/>
      <c r="DN437" s="12"/>
    </row>
    <row r="438" spans="1:118">
      <c r="A438" s="91"/>
      <c r="B438" s="88"/>
      <c r="C438" s="1186" t="s">
        <v>569</v>
      </c>
      <c r="D438" s="88"/>
      <c r="E438" s="214"/>
      <c r="F438" s="148"/>
      <c r="G438" s="148"/>
      <c r="H438" s="215"/>
      <c r="I438" s="88"/>
      <c r="J438" s="214"/>
      <c r="K438" s="148"/>
      <c r="L438" s="148"/>
      <c r="M438" s="215"/>
      <c r="N438" s="88"/>
      <c r="O438" s="214"/>
      <c r="P438" s="148"/>
      <c r="Q438" s="148"/>
      <c r="R438" s="215"/>
      <c r="S438" s="88"/>
      <c r="T438" s="240"/>
      <c r="U438" s="241"/>
      <c r="V438" s="241"/>
      <c r="W438" s="1059"/>
      <c r="X438" s="242"/>
      <c r="Y438" s="240">
        <f>(Y435*Y437*(8760/1000))/4</f>
        <v>0</v>
      </c>
      <c r="Z438" s="241">
        <f>(Z435*Z437*(8760/1000))/4</f>
        <v>0</v>
      </c>
      <c r="AA438" s="241">
        <f>(AA435*AA437*(8760/1000))/4</f>
        <v>0</v>
      </c>
      <c r="AB438" s="1059">
        <f>(AB435*AB437*(8760/1000))/4</f>
        <v>0</v>
      </c>
      <c r="AC438" s="242">
        <f>SUM(Y438:AB438)</f>
        <v>0</v>
      </c>
      <c r="AD438" s="240">
        <f>(AD435*AD437*(8760/1000))/4</f>
        <v>0</v>
      </c>
      <c r="AE438" s="241">
        <f>(AE435*AE437*(8760/1000))/4</f>
        <v>0</v>
      </c>
      <c r="AF438" s="241">
        <f>(AF435*AF437*(8760/1000))/4</f>
        <v>0</v>
      </c>
      <c r="AG438" s="1059">
        <f>(AG435*AG437*(8760/1000))/4</f>
        <v>0</v>
      </c>
      <c r="AH438" s="242">
        <f>SUM(AD438:AG438)</f>
        <v>0</v>
      </c>
      <c r="AI438" s="240">
        <f>(AI435*AI437*(8760/1000))/4</f>
        <v>0</v>
      </c>
      <c r="AJ438" s="241">
        <f>(AJ435*AJ437*(8760/1000))/4</f>
        <v>0</v>
      </c>
      <c r="AK438" s="241">
        <f>(AK435*AK437*(8760/1000))/4</f>
        <v>0</v>
      </c>
      <c r="AL438" s="1059">
        <f>(AL435*AL437*(8760/1000))/4</f>
        <v>0</v>
      </c>
      <c r="AM438" s="242">
        <f>SUM(AI438:AL438)</f>
        <v>0</v>
      </c>
      <c r="AN438" s="240">
        <f>(AN435*AN437*(8760/1000))/4</f>
        <v>0</v>
      </c>
      <c r="AO438" s="241">
        <f>(AO435*AO437*(8760/1000))/4</f>
        <v>0</v>
      </c>
      <c r="AP438" s="241">
        <f>(AP435*AP437*(8760/1000))/4</f>
        <v>0</v>
      </c>
      <c r="AQ438" s="1059">
        <f>(AQ435*AQ437*(8760/1000))/4</f>
        <v>0</v>
      </c>
      <c r="AR438" s="242">
        <f>SUM(AN438:AQ438)</f>
        <v>0</v>
      </c>
      <c r="AS438" s="240">
        <f>(AS435*AS437*(8760/1000))/4</f>
        <v>0</v>
      </c>
      <c r="AT438" s="241">
        <f>(AT435*AT437*(8760/1000))/4</f>
        <v>0</v>
      </c>
      <c r="AU438" s="241">
        <f>(AU435*AU437*(8760/1000))/4</f>
        <v>0</v>
      </c>
      <c r="AV438" s="1059">
        <f>(AV435*AV437*(8760/1000))/4</f>
        <v>0</v>
      </c>
      <c r="AW438" s="242">
        <f>SUM(AS438:AV438)</f>
        <v>0</v>
      </c>
      <c r="AX438" s="240">
        <f>(AX435*AX437*(8760/1000))/4</f>
        <v>0</v>
      </c>
      <c r="AY438" s="241">
        <f>(AY435*AY437*(8760/1000))/4</f>
        <v>0</v>
      </c>
      <c r="AZ438" s="241">
        <f>(AZ435*AZ437*(8760/1000))/4</f>
        <v>0</v>
      </c>
      <c r="BA438" s="1059">
        <f>(BA435*BA437*(8760/1000))/4</f>
        <v>0</v>
      </c>
      <c r="BB438" s="242">
        <f>SUM(AX438:BA438)</f>
        <v>0</v>
      </c>
      <c r="BC438" s="240">
        <f>(BC435*BC437*(8760/1000))/4</f>
        <v>0</v>
      </c>
      <c r="BD438" s="241">
        <f>(BD435*BD437*(8760/1000))/4</f>
        <v>0</v>
      </c>
      <c r="BE438" s="241">
        <f>(BE435*BE437*(8760/1000))/4</f>
        <v>0</v>
      </c>
      <c r="BF438" s="1059">
        <f>(BF435*BF437*(8760/1000))/4</f>
        <v>0</v>
      </c>
      <c r="BG438" s="242">
        <f>SUM(BC438:BF438)</f>
        <v>0</v>
      </c>
      <c r="BH438" s="240">
        <f>(BH435*BH437*(8760/1000))/4</f>
        <v>0</v>
      </c>
      <c r="BI438" s="241">
        <f>(BI435*BI437*(8760/1000))/4</f>
        <v>0</v>
      </c>
      <c r="BJ438" s="241">
        <f>(BJ435*BJ437*(8760/1000))/4</f>
        <v>0</v>
      </c>
      <c r="BK438" s="1059">
        <f>(BK435*BK437*(8760/1000))/4</f>
        <v>0</v>
      </c>
      <c r="BL438" s="242">
        <f>SUM(BH438:BK438)</f>
        <v>0</v>
      </c>
      <c r="BM438" s="240">
        <f>(BM435*BM437*(8760/1000))/4</f>
        <v>0</v>
      </c>
      <c r="BN438" s="241">
        <f>(BN435*BN437*(8760/1000))/4</f>
        <v>0</v>
      </c>
      <c r="BO438" s="241">
        <f>(BO435*BO437*(8760/1000))/4</f>
        <v>0</v>
      </c>
      <c r="BP438" s="1059">
        <f>(BP435*BP437*(8760/1000))/4</f>
        <v>0</v>
      </c>
      <c r="BQ438" s="242">
        <f>SUM(BM438:BP438)</f>
        <v>0</v>
      </c>
      <c r="BR438" s="87"/>
      <c r="BS438" s="87"/>
      <c r="BZ438" s="91"/>
      <c r="CA438" s="91"/>
      <c r="CB438" s="91"/>
      <c r="CC438" s="91"/>
      <c r="CD438" s="91"/>
      <c r="CE438" s="91"/>
      <c r="CF438" s="91"/>
      <c r="CG438" s="91"/>
      <c r="CH438" s="91"/>
      <c r="CI438" s="91"/>
      <c r="CJ438" s="91"/>
      <c r="CK438" s="91"/>
      <c r="CL438" s="91"/>
      <c r="CM438" s="91"/>
      <c r="CN438" s="91"/>
      <c r="CO438" s="91"/>
      <c r="CP438" s="91"/>
      <c r="CQ438" s="91"/>
      <c r="CR438" s="1018"/>
      <c r="CS438" s="1018"/>
      <c r="CT438" s="821"/>
      <c r="CU438" s="12"/>
      <c r="CV438" s="12"/>
      <c r="CW438" s="12"/>
      <c r="CX438" s="12"/>
      <c r="CY438" s="12"/>
      <c r="CZ438" s="91"/>
      <c r="DA438" s="91"/>
      <c r="DB438" s="91"/>
      <c r="DC438" s="91"/>
      <c r="DD438" s="91"/>
      <c r="DE438" s="91"/>
      <c r="DF438" s="12"/>
      <c r="DG438" s="12"/>
      <c r="DH438" s="12"/>
      <c r="DI438" s="12"/>
      <c r="DJ438" s="12"/>
      <c r="DK438" s="12"/>
      <c r="DL438" s="12"/>
      <c r="DM438" s="12"/>
      <c r="DN438" s="12"/>
    </row>
    <row r="439" spans="1:118">
      <c r="A439" s="91"/>
      <c r="B439" s="88"/>
      <c r="C439" s="1179"/>
      <c r="D439" s="89"/>
      <c r="E439" s="145"/>
      <c r="F439" s="146"/>
      <c r="G439" s="146"/>
      <c r="H439" s="147"/>
      <c r="I439" s="87"/>
      <c r="J439" s="145"/>
      <c r="K439" s="146"/>
      <c r="L439" s="146"/>
      <c r="M439" s="147"/>
      <c r="N439" s="89"/>
      <c r="O439" s="145"/>
      <c r="P439" s="146"/>
      <c r="Q439" s="146"/>
      <c r="R439" s="147"/>
      <c r="S439" s="89"/>
      <c r="T439" s="145"/>
      <c r="U439" s="146"/>
      <c r="V439" s="146"/>
      <c r="W439" s="147"/>
      <c r="X439" s="89"/>
      <c r="Y439" s="145"/>
      <c r="Z439" s="146"/>
      <c r="AA439" s="146"/>
      <c r="AB439" s="147"/>
      <c r="AC439" s="89"/>
      <c r="AD439" s="145"/>
      <c r="AE439" s="146"/>
      <c r="AF439" s="146"/>
      <c r="AG439" s="147"/>
      <c r="AH439" s="89"/>
      <c r="AI439" s="145"/>
      <c r="AJ439" s="146"/>
      <c r="AK439" s="146"/>
      <c r="AL439" s="147"/>
      <c r="AM439" s="89"/>
      <c r="AN439" s="145"/>
      <c r="AO439" s="146"/>
      <c r="AP439" s="146"/>
      <c r="AQ439" s="147"/>
      <c r="AR439" s="89"/>
      <c r="AS439" s="145"/>
      <c r="AT439" s="146"/>
      <c r="AU439" s="146"/>
      <c r="AV439" s="147"/>
      <c r="AW439" s="89"/>
      <c r="AX439" s="145"/>
      <c r="AY439" s="146"/>
      <c r="AZ439" s="146"/>
      <c r="BA439" s="147"/>
      <c r="BB439" s="89"/>
      <c r="BC439" s="145"/>
      <c r="BD439" s="146"/>
      <c r="BE439" s="146"/>
      <c r="BF439" s="147"/>
      <c r="BG439" s="89"/>
      <c r="BH439" s="145"/>
      <c r="BI439" s="146"/>
      <c r="BJ439" s="146"/>
      <c r="BK439" s="147"/>
      <c r="BL439" s="89"/>
      <c r="BM439" s="145"/>
      <c r="BN439" s="146"/>
      <c r="BO439" s="146"/>
      <c r="BP439" s="147"/>
      <c r="BQ439" s="89"/>
      <c r="BR439" s="87"/>
      <c r="BS439" s="87"/>
      <c r="BZ439" s="91"/>
      <c r="CA439" s="91"/>
      <c r="CB439" s="91"/>
      <c r="CC439" s="91"/>
      <c r="CD439" s="91"/>
      <c r="CE439" s="91"/>
      <c r="CF439" s="91"/>
      <c r="CG439" s="91"/>
      <c r="CH439" s="91"/>
      <c r="CI439" s="91"/>
      <c r="CJ439" s="91"/>
      <c r="CK439" s="91"/>
      <c r="CL439" s="91"/>
      <c r="CM439" s="91"/>
      <c r="CN439" s="91"/>
      <c r="CO439" s="91"/>
      <c r="CP439" s="91"/>
      <c r="CQ439" s="91"/>
      <c r="CR439" s="1018"/>
      <c r="CS439" s="1018"/>
      <c r="CT439" s="821"/>
      <c r="CU439" s="12"/>
      <c r="CV439" s="12"/>
      <c r="CW439" s="12"/>
      <c r="CX439" s="12"/>
      <c r="CY439" s="12"/>
      <c r="CZ439" s="91"/>
      <c r="DA439" s="91"/>
      <c r="DB439" s="91"/>
      <c r="DC439" s="91"/>
      <c r="DD439" s="91"/>
      <c r="DE439" s="91"/>
      <c r="DF439" s="12"/>
      <c r="DG439" s="12"/>
      <c r="DH439" s="12"/>
      <c r="DI439" s="12"/>
      <c r="DJ439" s="12"/>
      <c r="DK439" s="12"/>
      <c r="DL439" s="12"/>
      <c r="DM439" s="12"/>
      <c r="DN439" s="12"/>
    </row>
    <row r="440" spans="1:118">
      <c r="A440" s="91"/>
      <c r="B440" s="88"/>
      <c r="C440" s="1179" t="s">
        <v>582</v>
      </c>
      <c r="D440" s="89"/>
      <c r="E440" s="145"/>
      <c r="F440" s="146"/>
      <c r="G440" s="146"/>
      <c r="H440" s="147"/>
      <c r="I440" s="87"/>
      <c r="J440" s="145"/>
      <c r="K440" s="146"/>
      <c r="L440" s="146"/>
      <c r="M440" s="147"/>
      <c r="N440" s="89"/>
      <c r="O440" s="145"/>
      <c r="P440" s="146"/>
      <c r="Q440" s="146"/>
      <c r="R440" s="147"/>
      <c r="S440" s="89"/>
      <c r="T440" s="114"/>
      <c r="U440" s="115"/>
      <c r="V440" s="115"/>
      <c r="W440" s="105"/>
      <c r="X440" s="113"/>
      <c r="Y440" s="114">
        <f>(Y432/1000*Y438)</f>
        <v>0</v>
      </c>
      <c r="Z440" s="115">
        <f>(Z432/1000*Z438)</f>
        <v>0</v>
      </c>
      <c r="AA440" s="115">
        <f>(AA432/1000*AA438)</f>
        <v>0</v>
      </c>
      <c r="AB440" s="105">
        <f>(AB432/1000*AB438)</f>
        <v>0</v>
      </c>
      <c r="AC440" s="113">
        <f>SUM(Y440:AB440)</f>
        <v>0</v>
      </c>
      <c r="AD440" s="114">
        <f>(AD432/1000*AD438)</f>
        <v>0</v>
      </c>
      <c r="AE440" s="115">
        <f>(AE432/1000*AE438)</f>
        <v>0</v>
      </c>
      <c r="AF440" s="115">
        <f>(AF432/1000*AF438)</f>
        <v>0</v>
      </c>
      <c r="AG440" s="105">
        <f>(AG432/1000*AG438)</f>
        <v>0</v>
      </c>
      <c r="AH440" s="113">
        <f>SUM(AD440:AG440)</f>
        <v>0</v>
      </c>
      <c r="AI440" s="114">
        <f>(AI432/1000*AI438)</f>
        <v>0</v>
      </c>
      <c r="AJ440" s="115">
        <f>(AJ432/1000*AJ438)</f>
        <v>0</v>
      </c>
      <c r="AK440" s="115">
        <f>(AK432/1000*AK438)</f>
        <v>0</v>
      </c>
      <c r="AL440" s="105">
        <f>(AL432/1000*AL438)</f>
        <v>0</v>
      </c>
      <c r="AM440" s="113">
        <f>SUM(AI440:AL440)</f>
        <v>0</v>
      </c>
      <c r="AN440" s="114">
        <f>(AN432/1000*AN438)</f>
        <v>0</v>
      </c>
      <c r="AO440" s="115">
        <f>(AO432/1000*AO438)</f>
        <v>0</v>
      </c>
      <c r="AP440" s="115">
        <f>(AP432/1000*AP438)</f>
        <v>0</v>
      </c>
      <c r="AQ440" s="105">
        <f>(AQ432/1000*AQ438)</f>
        <v>0</v>
      </c>
      <c r="AR440" s="113">
        <f>SUM(AN440:AQ440)</f>
        <v>0</v>
      </c>
      <c r="AS440" s="114">
        <f>(AS432/1000*AS438)</f>
        <v>0</v>
      </c>
      <c r="AT440" s="115">
        <f>(AT432/1000*AT438)</f>
        <v>0</v>
      </c>
      <c r="AU440" s="115">
        <f>(AU432/1000*AU438)</f>
        <v>0</v>
      </c>
      <c r="AV440" s="105">
        <f>(AV432/1000*AV438)</f>
        <v>0</v>
      </c>
      <c r="AW440" s="113">
        <f>SUM(AS440:AV440)</f>
        <v>0</v>
      </c>
      <c r="AX440" s="114">
        <f>(AX432/1000*AX438)</f>
        <v>0</v>
      </c>
      <c r="AY440" s="115">
        <f>(AY432/1000*AY438)</f>
        <v>0</v>
      </c>
      <c r="AZ440" s="115">
        <f>(AZ432/1000*AZ438)</f>
        <v>0</v>
      </c>
      <c r="BA440" s="105">
        <f>(BA432/1000*BA438)</f>
        <v>0</v>
      </c>
      <c r="BB440" s="113">
        <f>SUM(AX440:BA440)</f>
        <v>0</v>
      </c>
      <c r="BC440" s="114">
        <f>(BC432/1000*BC438)</f>
        <v>0</v>
      </c>
      <c r="BD440" s="115">
        <f>(BD432/1000*BD438)</f>
        <v>0</v>
      </c>
      <c r="BE440" s="115">
        <f>(BE432/1000*BE438)</f>
        <v>0</v>
      </c>
      <c r="BF440" s="105">
        <f>(BF432/1000*BF438)</f>
        <v>0</v>
      </c>
      <c r="BG440" s="113">
        <f>SUM(BC440:BF440)</f>
        <v>0</v>
      </c>
      <c r="BH440" s="114">
        <f>(BH432/1000*BH438)</f>
        <v>0</v>
      </c>
      <c r="BI440" s="115">
        <f>(BI432/1000*BI438)</f>
        <v>0</v>
      </c>
      <c r="BJ440" s="115">
        <f>(BJ432/1000*BJ438)</f>
        <v>0</v>
      </c>
      <c r="BK440" s="105">
        <f>(BK432/1000*BK438)</f>
        <v>0</v>
      </c>
      <c r="BL440" s="113">
        <f>SUM(BH440:BK440)</f>
        <v>0</v>
      </c>
      <c r="BM440" s="114">
        <f>(BM432/1000*BM438)</f>
        <v>0</v>
      </c>
      <c r="BN440" s="115">
        <f>(BN432/1000*BN438)</f>
        <v>0</v>
      </c>
      <c r="BO440" s="115">
        <f>(BO432/1000*BO438)</f>
        <v>0</v>
      </c>
      <c r="BP440" s="105">
        <f>(BP432/1000*BP438)</f>
        <v>0</v>
      </c>
      <c r="BQ440" s="113">
        <f>SUM(BM440:BP440)</f>
        <v>0</v>
      </c>
      <c r="BR440" s="87"/>
      <c r="BS440" s="87"/>
      <c r="BZ440" s="91"/>
      <c r="CA440" s="91"/>
      <c r="CB440" s="91"/>
      <c r="CC440" s="91"/>
      <c r="CD440" s="91"/>
      <c r="CE440" s="91"/>
      <c r="CF440" s="91"/>
      <c r="CG440" s="91"/>
      <c r="CH440" s="91"/>
      <c r="CI440" s="91"/>
      <c r="CJ440" s="91"/>
      <c r="CK440" s="91"/>
      <c r="CL440" s="91"/>
      <c r="CM440" s="91"/>
      <c r="CN440" s="91"/>
      <c r="CO440" s="91"/>
      <c r="CP440" s="91"/>
      <c r="CQ440" s="91"/>
      <c r="CR440" s="1018"/>
      <c r="CS440" s="1018"/>
      <c r="CT440" s="821"/>
      <c r="CU440" s="12"/>
      <c r="CV440" s="12"/>
      <c r="CW440" s="12"/>
      <c r="CX440" s="12"/>
      <c r="CY440" s="12"/>
      <c r="CZ440" s="91"/>
      <c r="DA440" s="91"/>
      <c r="DB440" s="91"/>
      <c r="DC440" s="91"/>
      <c r="DD440" s="91"/>
      <c r="DE440" s="91"/>
      <c r="DF440" s="12"/>
      <c r="DG440" s="12"/>
      <c r="DH440" s="12"/>
      <c r="DI440" s="12"/>
      <c r="DJ440" s="12"/>
      <c r="DK440" s="12"/>
      <c r="DL440" s="12"/>
      <c r="DM440" s="12"/>
      <c r="DN440" s="12"/>
    </row>
    <row r="441" spans="1:118">
      <c r="A441" s="91"/>
      <c r="B441" s="88"/>
      <c r="C441" s="1179" t="s">
        <v>683</v>
      </c>
      <c r="D441" s="89"/>
      <c r="E441" s="145"/>
      <c r="F441" s="146"/>
      <c r="G441" s="146"/>
      <c r="H441" s="147"/>
      <c r="I441" s="87"/>
      <c r="J441" s="145"/>
      <c r="K441" s="146"/>
      <c r="L441" s="146"/>
      <c r="M441" s="147"/>
      <c r="N441" s="89"/>
      <c r="O441" s="145"/>
      <c r="P441" s="146"/>
      <c r="Q441" s="146"/>
      <c r="R441" s="147"/>
      <c r="S441" s="89"/>
      <c r="T441" s="114"/>
      <c r="U441" s="115"/>
      <c r="V441" s="115"/>
      <c r="W441" s="105"/>
      <c r="X441" s="113"/>
      <c r="Y441" s="114">
        <f>Y433/1000*Y438</f>
        <v>0</v>
      </c>
      <c r="Z441" s="115">
        <f>Z433/1000*Z438</f>
        <v>0</v>
      </c>
      <c r="AA441" s="115">
        <f>AA433/1000*AA438</f>
        <v>0</v>
      </c>
      <c r="AB441" s="105">
        <f>AB433/1000*AB438</f>
        <v>0</v>
      </c>
      <c r="AC441" s="113">
        <f>SUM(Y441:AB441)</f>
        <v>0</v>
      </c>
      <c r="AD441" s="114">
        <f>AD433/1000*AD438</f>
        <v>0</v>
      </c>
      <c r="AE441" s="115">
        <f>AE433/1000*AE438</f>
        <v>0</v>
      </c>
      <c r="AF441" s="115">
        <f>AF433/1000*AF438</f>
        <v>0</v>
      </c>
      <c r="AG441" s="105">
        <f>AG433/1000*AG438</f>
        <v>0</v>
      </c>
      <c r="AH441" s="113">
        <f>SUM(AD441:AG441)</f>
        <v>0</v>
      </c>
      <c r="AI441" s="114">
        <f>AI433/1000*AI438</f>
        <v>0</v>
      </c>
      <c r="AJ441" s="115">
        <f>AJ433/1000*AJ438</f>
        <v>0</v>
      </c>
      <c r="AK441" s="115">
        <f>AK433/1000*AK438</f>
        <v>0</v>
      </c>
      <c r="AL441" s="105">
        <f>AL433/1000*AL438</f>
        <v>0</v>
      </c>
      <c r="AM441" s="113">
        <f>SUM(AI441:AL441)</f>
        <v>0</v>
      </c>
      <c r="AN441" s="114">
        <f>AN433/1000*AN438</f>
        <v>0</v>
      </c>
      <c r="AO441" s="115">
        <f>AO433/1000*AO438</f>
        <v>0</v>
      </c>
      <c r="AP441" s="115">
        <f>AP433/1000*AP438</f>
        <v>0</v>
      </c>
      <c r="AQ441" s="105">
        <f>AQ433/1000*AQ438</f>
        <v>0</v>
      </c>
      <c r="AR441" s="113">
        <f>SUM(AN441:AQ441)</f>
        <v>0</v>
      </c>
      <c r="AS441" s="114">
        <f>AS433/1000*AS438</f>
        <v>0</v>
      </c>
      <c r="AT441" s="115">
        <f>AT433/1000*AT438</f>
        <v>0</v>
      </c>
      <c r="AU441" s="115">
        <f>AU433/1000*AU438</f>
        <v>0</v>
      </c>
      <c r="AV441" s="105">
        <f>AV433/1000*AV438</f>
        <v>0</v>
      </c>
      <c r="AW441" s="113">
        <f>SUM(AS441:AV441)</f>
        <v>0</v>
      </c>
      <c r="AX441" s="114">
        <f>AX433/1000*AX438</f>
        <v>0</v>
      </c>
      <c r="AY441" s="115">
        <f>AY433/1000*AY438</f>
        <v>0</v>
      </c>
      <c r="AZ441" s="115">
        <f>AZ433/1000*AZ438</f>
        <v>0</v>
      </c>
      <c r="BA441" s="105">
        <f>BA433/1000*BA438</f>
        <v>0</v>
      </c>
      <c r="BB441" s="113">
        <f>SUM(AX441:BA441)</f>
        <v>0</v>
      </c>
      <c r="BC441" s="114">
        <f>BC433/1000*BC438</f>
        <v>0</v>
      </c>
      <c r="BD441" s="115">
        <f>BD433/1000*BD438</f>
        <v>0</v>
      </c>
      <c r="BE441" s="115">
        <f>BE433/1000*BE438</f>
        <v>0</v>
      </c>
      <c r="BF441" s="105">
        <f>BF433/1000*BF438</f>
        <v>0</v>
      </c>
      <c r="BG441" s="113">
        <f>SUM(BC441:BF441)</f>
        <v>0</v>
      </c>
      <c r="BH441" s="114">
        <f>BH433/1000*BH438</f>
        <v>0</v>
      </c>
      <c r="BI441" s="115">
        <f>BI433/1000*BI438</f>
        <v>0</v>
      </c>
      <c r="BJ441" s="115">
        <f>BJ433/1000*BJ438</f>
        <v>0</v>
      </c>
      <c r="BK441" s="105">
        <f>BK433/1000*BK438</f>
        <v>0</v>
      </c>
      <c r="BL441" s="113">
        <f>SUM(BH441:BK441)</f>
        <v>0</v>
      </c>
      <c r="BM441" s="114">
        <f>BM433/1000*BM438</f>
        <v>0</v>
      </c>
      <c r="BN441" s="115">
        <f>BN433/1000*BN438</f>
        <v>0</v>
      </c>
      <c r="BO441" s="115">
        <f>BO433/1000*BO438</f>
        <v>0</v>
      </c>
      <c r="BP441" s="105">
        <f>BP433/1000*BP438</f>
        <v>0</v>
      </c>
      <c r="BQ441" s="113">
        <f>SUM(BM441:BP441)</f>
        <v>0</v>
      </c>
      <c r="BR441" s="87"/>
      <c r="BS441" s="87"/>
      <c r="BZ441" s="91"/>
      <c r="CA441" s="91"/>
      <c r="CB441" s="91"/>
      <c r="CC441" s="91"/>
      <c r="CE441" s="91"/>
      <c r="CF441" s="91"/>
      <c r="CG441" s="91"/>
      <c r="CH441" s="91"/>
      <c r="CI441" s="91"/>
      <c r="CJ441" s="91"/>
      <c r="CK441" s="91"/>
      <c r="CL441" s="91"/>
      <c r="CM441" s="91"/>
      <c r="CN441" s="91"/>
      <c r="CO441" s="91"/>
      <c r="CP441" s="91"/>
      <c r="CQ441" s="91"/>
      <c r="CR441" s="1018"/>
      <c r="CS441" s="1018"/>
      <c r="CT441" s="821"/>
      <c r="CU441" s="12"/>
      <c r="CV441" s="12"/>
      <c r="CW441" s="12"/>
      <c r="CX441" s="12"/>
      <c r="CY441" s="12"/>
      <c r="CZ441" s="91"/>
      <c r="DA441" s="91"/>
      <c r="DB441" s="91"/>
      <c r="DC441" s="91"/>
      <c r="DD441" s="91"/>
      <c r="DE441" s="91"/>
      <c r="DF441" s="12"/>
      <c r="DG441" s="12"/>
      <c r="DH441" s="12"/>
      <c r="DI441" s="12"/>
      <c r="DJ441" s="12"/>
      <c r="DK441" s="12"/>
      <c r="DL441" s="12"/>
      <c r="DM441" s="12"/>
      <c r="DN441" s="12"/>
    </row>
    <row r="442" spans="1:118">
      <c r="A442" s="91"/>
      <c r="B442" s="88"/>
      <c r="C442" s="1186" t="s">
        <v>567</v>
      </c>
      <c r="D442" s="88"/>
      <c r="E442" s="214"/>
      <c r="F442" s="148"/>
      <c r="G442" s="148"/>
      <c r="H442" s="215"/>
      <c r="I442" s="87"/>
      <c r="J442" s="214"/>
      <c r="K442" s="148"/>
      <c r="L442" s="148"/>
      <c r="M442" s="215"/>
      <c r="N442" s="88"/>
      <c r="O442" s="214"/>
      <c r="P442" s="148"/>
      <c r="Q442" s="148"/>
      <c r="R442" s="215"/>
      <c r="S442" s="88"/>
      <c r="T442" s="106"/>
      <c r="U442" s="76"/>
      <c r="V442" s="76"/>
      <c r="W442" s="107"/>
      <c r="X442" s="93"/>
      <c r="Y442" s="106">
        <f t="shared" ref="Y442:AR442" si="750">Y440-Y441</f>
        <v>0</v>
      </c>
      <c r="Z442" s="76">
        <f t="shared" si="750"/>
        <v>0</v>
      </c>
      <c r="AA442" s="76">
        <f t="shared" si="750"/>
        <v>0</v>
      </c>
      <c r="AB442" s="107">
        <f t="shared" si="750"/>
        <v>0</v>
      </c>
      <c r="AC442" s="93">
        <f t="shared" si="750"/>
        <v>0</v>
      </c>
      <c r="AD442" s="106">
        <f t="shared" si="750"/>
        <v>0</v>
      </c>
      <c r="AE442" s="76">
        <f t="shared" si="750"/>
        <v>0</v>
      </c>
      <c r="AF442" s="76">
        <f t="shared" si="750"/>
        <v>0</v>
      </c>
      <c r="AG442" s="107">
        <f t="shared" si="750"/>
        <v>0</v>
      </c>
      <c r="AH442" s="93">
        <f t="shared" si="750"/>
        <v>0</v>
      </c>
      <c r="AI442" s="106">
        <f t="shared" si="750"/>
        <v>0</v>
      </c>
      <c r="AJ442" s="76">
        <f t="shared" si="750"/>
        <v>0</v>
      </c>
      <c r="AK442" s="76">
        <f t="shared" si="750"/>
        <v>0</v>
      </c>
      <c r="AL442" s="107">
        <f t="shared" si="750"/>
        <v>0</v>
      </c>
      <c r="AM442" s="93">
        <f t="shared" si="750"/>
        <v>0</v>
      </c>
      <c r="AN442" s="106">
        <f t="shared" si="750"/>
        <v>0</v>
      </c>
      <c r="AO442" s="76">
        <f t="shared" si="750"/>
        <v>0</v>
      </c>
      <c r="AP442" s="76">
        <f t="shared" ref="AP442" si="751">AP440-AP441</f>
        <v>0</v>
      </c>
      <c r="AQ442" s="107">
        <f t="shared" si="750"/>
        <v>0</v>
      </c>
      <c r="AR442" s="93">
        <f t="shared" si="750"/>
        <v>0</v>
      </c>
      <c r="AS442" s="106">
        <f t="shared" ref="AS442" si="752">AS440-AS441</f>
        <v>0</v>
      </c>
      <c r="AT442" s="76">
        <f t="shared" ref="AT442:BB442" si="753">AT440-AT441</f>
        <v>0</v>
      </c>
      <c r="AU442" s="76">
        <f t="shared" ref="AU442" si="754">AU440-AU441</f>
        <v>0</v>
      </c>
      <c r="AV442" s="107">
        <f t="shared" si="753"/>
        <v>0</v>
      </c>
      <c r="AW442" s="93">
        <f t="shared" si="753"/>
        <v>0</v>
      </c>
      <c r="AX442" s="106">
        <f t="shared" si="753"/>
        <v>0</v>
      </c>
      <c r="AY442" s="76">
        <f t="shared" si="753"/>
        <v>0</v>
      </c>
      <c r="AZ442" s="76">
        <f t="shared" si="753"/>
        <v>0</v>
      </c>
      <c r="BA442" s="107">
        <f t="shared" si="753"/>
        <v>0</v>
      </c>
      <c r="BB442" s="93">
        <f t="shared" si="753"/>
        <v>0</v>
      </c>
      <c r="BC442" s="106">
        <f t="shared" ref="BC442:BL442" si="755">BC440-BC441</f>
        <v>0</v>
      </c>
      <c r="BD442" s="76">
        <f t="shared" si="755"/>
        <v>0</v>
      </c>
      <c r="BE442" s="76">
        <f t="shared" si="755"/>
        <v>0</v>
      </c>
      <c r="BF442" s="107">
        <f t="shared" si="755"/>
        <v>0</v>
      </c>
      <c r="BG442" s="93">
        <f t="shared" si="755"/>
        <v>0</v>
      </c>
      <c r="BH442" s="106">
        <f t="shared" si="755"/>
        <v>0</v>
      </c>
      <c r="BI442" s="76">
        <f t="shared" si="755"/>
        <v>0</v>
      </c>
      <c r="BJ442" s="76">
        <f t="shared" si="755"/>
        <v>0</v>
      </c>
      <c r="BK442" s="107">
        <f t="shared" si="755"/>
        <v>0</v>
      </c>
      <c r="BL442" s="93">
        <f t="shared" si="755"/>
        <v>0</v>
      </c>
      <c r="BM442" s="106">
        <f t="shared" ref="BM442:BQ442" si="756">BM440-BM441</f>
        <v>0</v>
      </c>
      <c r="BN442" s="76">
        <f t="shared" si="756"/>
        <v>0</v>
      </c>
      <c r="BO442" s="76">
        <f t="shared" si="756"/>
        <v>0</v>
      </c>
      <c r="BP442" s="107">
        <f t="shared" si="756"/>
        <v>0</v>
      </c>
      <c r="BQ442" s="93">
        <f t="shared" si="756"/>
        <v>0</v>
      </c>
      <c r="BR442" s="87"/>
      <c r="BS442" s="87"/>
      <c r="BZ442" s="91"/>
      <c r="CA442" s="91"/>
      <c r="CB442" s="91"/>
      <c r="CC442" s="91"/>
      <c r="CD442" s="91"/>
      <c r="CF442" s="91"/>
      <c r="CG442" s="91"/>
      <c r="CH442" s="91"/>
      <c r="CI442" s="91"/>
      <c r="CJ442" s="91"/>
      <c r="CK442" s="91"/>
      <c r="CL442" s="91"/>
      <c r="CM442" s="91"/>
      <c r="CN442" s="91"/>
      <c r="CO442" s="91"/>
      <c r="CP442" s="91"/>
      <c r="CQ442" s="91"/>
      <c r="CR442" s="1018"/>
      <c r="CS442" s="1018"/>
      <c r="CT442" s="821"/>
      <c r="CU442" s="12"/>
      <c r="CV442" s="12"/>
      <c r="CW442" s="12"/>
      <c r="CX442" s="12"/>
      <c r="CY442" s="12"/>
      <c r="CZ442" s="91"/>
      <c r="DA442" s="91"/>
      <c r="DB442" s="91"/>
      <c r="DC442" s="91"/>
      <c r="DD442" s="91"/>
      <c r="DE442" s="91"/>
      <c r="DF442" s="12"/>
      <c r="DG442" s="12"/>
      <c r="DH442" s="12"/>
      <c r="DI442" s="12"/>
      <c r="DJ442" s="12"/>
      <c r="DK442" s="12"/>
      <c r="DL442" s="12"/>
      <c r="DM442" s="12"/>
      <c r="DN442" s="12"/>
    </row>
    <row r="443" spans="1:118">
      <c r="A443" s="91"/>
      <c r="B443" s="88"/>
      <c r="C443" s="1186"/>
      <c r="D443" s="88"/>
      <c r="E443" s="214"/>
      <c r="F443" s="148"/>
      <c r="G443" s="148"/>
      <c r="H443" s="215"/>
      <c r="I443" s="87"/>
      <c r="J443" s="214"/>
      <c r="K443" s="148"/>
      <c r="L443" s="148"/>
      <c r="M443" s="215"/>
      <c r="N443" s="88"/>
      <c r="O443" s="214"/>
      <c r="P443" s="148"/>
      <c r="Q443" s="148"/>
      <c r="R443" s="215"/>
      <c r="S443" s="88"/>
      <c r="T443" s="106"/>
      <c r="U443" s="76"/>
      <c r="V443" s="76"/>
      <c r="W443" s="107"/>
      <c r="X443" s="93"/>
      <c r="Y443" s="106"/>
      <c r="Z443" s="76"/>
      <c r="AA443" s="76"/>
      <c r="AB443" s="107"/>
      <c r="AC443" s="93"/>
      <c r="AD443" s="106"/>
      <c r="AE443" s="76"/>
      <c r="AF443" s="76"/>
      <c r="AG443" s="107"/>
      <c r="AH443" s="93"/>
      <c r="AI443" s="106"/>
      <c r="AJ443" s="76"/>
      <c r="AK443" s="76"/>
      <c r="AL443" s="107"/>
      <c r="AM443" s="93"/>
      <c r="AN443" s="106"/>
      <c r="AO443" s="76"/>
      <c r="AP443" s="76"/>
      <c r="AQ443" s="107"/>
      <c r="AR443" s="93"/>
      <c r="AS443" s="106"/>
      <c r="AT443" s="76"/>
      <c r="AU443" s="76"/>
      <c r="AV443" s="107"/>
      <c r="AW443" s="93"/>
      <c r="AX443" s="106"/>
      <c r="AY443" s="76"/>
      <c r="AZ443" s="76"/>
      <c r="BA443" s="107"/>
      <c r="BB443" s="93"/>
      <c r="BC443" s="106"/>
      <c r="BD443" s="76"/>
      <c r="BE443" s="76"/>
      <c r="BF443" s="107"/>
      <c r="BG443" s="93"/>
      <c r="BH443" s="106"/>
      <c r="BI443" s="76"/>
      <c r="BJ443" s="76"/>
      <c r="BK443" s="107"/>
      <c r="BL443" s="93"/>
      <c r="BM443" s="106"/>
      <c r="BN443" s="76"/>
      <c r="BO443" s="76"/>
      <c r="BP443" s="107"/>
      <c r="BQ443" s="93"/>
      <c r="BR443" s="87"/>
      <c r="BS443" s="87"/>
      <c r="BZ443" s="91"/>
      <c r="CA443" s="91"/>
      <c r="CB443" s="91"/>
      <c r="CC443" s="91"/>
      <c r="CD443" s="91"/>
      <c r="CE443" s="91"/>
      <c r="CF443" s="91"/>
      <c r="CG443" s="91"/>
      <c r="CH443" s="91"/>
      <c r="CI443" s="91"/>
      <c r="CJ443" s="91"/>
      <c r="CK443" s="91"/>
      <c r="CL443" s="91"/>
      <c r="CM443" s="91"/>
      <c r="CN443" s="91"/>
      <c r="CO443" s="91"/>
      <c r="CP443" s="91"/>
      <c r="CQ443" s="91"/>
      <c r="CR443" s="1018"/>
      <c r="CS443" s="1018"/>
      <c r="CT443" s="821"/>
      <c r="CU443" s="12"/>
      <c r="CV443" s="12"/>
      <c r="CW443" s="12"/>
      <c r="CX443" s="12"/>
      <c r="CY443" s="12"/>
      <c r="CZ443" s="91"/>
      <c r="DA443" s="91"/>
      <c r="DB443" s="91"/>
      <c r="DC443" s="91"/>
      <c r="DD443" s="91"/>
      <c r="DE443" s="91"/>
      <c r="DF443" s="12"/>
      <c r="DG443" s="12"/>
      <c r="DH443" s="12"/>
      <c r="DI443" s="12"/>
      <c r="DJ443" s="12"/>
      <c r="DK443" s="12"/>
      <c r="DL443" s="12"/>
      <c r="DM443" s="12"/>
      <c r="DN443" s="12"/>
    </row>
    <row r="444" spans="1:118">
      <c r="A444" s="91"/>
      <c r="B444" s="88"/>
      <c r="C444" s="1186"/>
      <c r="D444" s="88"/>
      <c r="E444" s="214"/>
      <c r="F444" s="148"/>
      <c r="G444" s="148"/>
      <c r="H444" s="215"/>
      <c r="I444" s="87"/>
      <c r="J444" s="214"/>
      <c r="K444" s="148"/>
      <c r="L444" s="148"/>
      <c r="M444" s="215"/>
      <c r="N444" s="88"/>
      <c r="O444" s="214"/>
      <c r="P444" s="148"/>
      <c r="Q444" s="148"/>
      <c r="R444" s="215"/>
      <c r="S444" s="88"/>
      <c r="T444" s="106"/>
      <c r="U444" s="76"/>
      <c r="V444" s="76"/>
      <c r="W444" s="107"/>
      <c r="X444" s="93"/>
      <c r="Y444" s="106"/>
      <c r="Z444" s="76"/>
      <c r="AA444" s="76"/>
      <c r="AB444" s="107"/>
      <c r="AC444" s="93"/>
      <c r="AD444" s="106"/>
      <c r="AE444" s="76"/>
      <c r="AF444" s="76"/>
      <c r="AG444" s="107"/>
      <c r="AH444" s="93"/>
      <c r="AI444" s="106"/>
      <c r="AJ444" s="76"/>
      <c r="AK444" s="76"/>
      <c r="AL444" s="107"/>
      <c r="AM444" s="93"/>
      <c r="AN444" s="106"/>
      <c r="AO444" s="76"/>
      <c r="AP444" s="76"/>
      <c r="AQ444" s="107"/>
      <c r="AR444" s="93"/>
      <c r="AS444" s="106"/>
      <c r="AT444" s="76"/>
      <c r="AU444" s="76"/>
      <c r="AV444" s="107"/>
      <c r="AW444" s="93"/>
      <c r="AX444" s="106"/>
      <c r="AY444" s="76"/>
      <c r="AZ444" s="76"/>
      <c r="BA444" s="107"/>
      <c r="BB444" s="93"/>
      <c r="BC444" s="106"/>
      <c r="BD444" s="76"/>
      <c r="BE444" s="76"/>
      <c r="BF444" s="107"/>
      <c r="BG444" s="93"/>
      <c r="BH444" s="106"/>
      <c r="BI444" s="76"/>
      <c r="BJ444" s="76"/>
      <c r="BK444" s="107"/>
      <c r="BL444" s="93"/>
      <c r="BM444" s="106"/>
      <c r="BN444" s="76"/>
      <c r="BO444" s="76"/>
      <c r="BP444" s="107"/>
      <c r="BQ444" s="93"/>
      <c r="BR444" s="87"/>
      <c r="BS444" s="87"/>
      <c r="BZ444" s="91"/>
      <c r="CA444" s="91"/>
      <c r="CB444" s="91"/>
      <c r="CC444" s="91"/>
      <c r="CD444" s="91"/>
      <c r="CE444" s="91"/>
      <c r="CF444" s="91"/>
      <c r="CG444" s="91"/>
      <c r="CH444" s="91"/>
      <c r="CI444" s="91"/>
      <c r="CJ444" s="91"/>
      <c r="CK444" s="91"/>
      <c r="CL444" s="91"/>
      <c r="CM444" s="91"/>
      <c r="CN444" s="91"/>
      <c r="CO444" s="91"/>
      <c r="CP444" s="91"/>
      <c r="CQ444" s="91"/>
      <c r="CR444" s="1018"/>
      <c r="CS444" s="1018"/>
      <c r="CT444" s="821"/>
      <c r="CU444" s="12"/>
      <c r="CV444" s="12"/>
      <c r="CW444" s="12"/>
      <c r="CX444" s="12"/>
      <c r="CY444" s="12"/>
      <c r="CZ444" s="91"/>
      <c r="DA444" s="91"/>
      <c r="DB444" s="91"/>
      <c r="DC444" s="91"/>
      <c r="DD444" s="91"/>
      <c r="DE444" s="91"/>
      <c r="DF444" s="12"/>
      <c r="DG444" s="12"/>
      <c r="DH444" s="12"/>
      <c r="DI444" s="12"/>
      <c r="DJ444" s="12"/>
      <c r="DK444" s="12"/>
      <c r="DL444" s="12"/>
      <c r="DM444" s="12"/>
      <c r="DN444" s="12"/>
    </row>
    <row r="445" spans="1:118">
      <c r="A445" s="91"/>
      <c r="B445" s="807" t="s">
        <v>455</v>
      </c>
      <c r="C445" s="1247"/>
      <c r="D445" s="1017"/>
      <c r="E445" s="145"/>
      <c r="F445" s="146"/>
      <c r="G445" s="146"/>
      <c r="H445" s="147"/>
      <c r="I445" s="87"/>
      <c r="J445" s="145"/>
      <c r="K445" s="146"/>
      <c r="L445" s="146"/>
      <c r="M445" s="147"/>
      <c r="N445" s="89"/>
      <c r="O445" s="145"/>
      <c r="P445" s="146"/>
      <c r="Q445" s="146"/>
      <c r="R445" s="147"/>
      <c r="S445" s="89"/>
      <c r="T445" s="145"/>
      <c r="U445" s="146"/>
      <c r="V445" s="146"/>
      <c r="W445" s="147"/>
      <c r="X445" s="89"/>
      <c r="Y445" s="145"/>
      <c r="Z445" s="146"/>
      <c r="AA445" s="146"/>
      <c r="AB445" s="147"/>
      <c r="AC445" s="89"/>
      <c r="AD445" s="145"/>
      <c r="AE445" s="146"/>
      <c r="AF445" s="146"/>
      <c r="AG445" s="147"/>
      <c r="AH445" s="89"/>
      <c r="AI445" s="145"/>
      <c r="AJ445" s="146"/>
      <c r="AK445" s="146"/>
      <c r="AL445" s="147"/>
      <c r="AM445" s="89"/>
      <c r="AN445" s="145"/>
      <c r="AO445" s="146"/>
      <c r="AP445" s="146"/>
      <c r="AQ445" s="147"/>
      <c r="AR445" s="89"/>
      <c r="AS445" s="145"/>
      <c r="AT445" s="146"/>
      <c r="AU445" s="146"/>
      <c r="AV445" s="147"/>
      <c r="AW445" s="89"/>
      <c r="AX445" s="145"/>
      <c r="AY445" s="146"/>
      <c r="AZ445" s="146"/>
      <c r="BA445" s="147"/>
      <c r="BB445" s="89"/>
      <c r="BC445" s="145"/>
      <c r="BD445" s="146"/>
      <c r="BE445" s="146"/>
      <c r="BF445" s="147"/>
      <c r="BG445" s="89"/>
      <c r="BH445" s="145"/>
      <c r="BI445" s="146"/>
      <c r="BJ445" s="146"/>
      <c r="BK445" s="147"/>
      <c r="BL445" s="89"/>
      <c r="BM445" s="145"/>
      <c r="BN445" s="146"/>
      <c r="BO445" s="146"/>
      <c r="BP445" s="147"/>
      <c r="BQ445" s="89"/>
      <c r="BR445" s="87"/>
      <c r="BS445" s="87"/>
      <c r="BZ445" s="91"/>
      <c r="CA445" s="91"/>
      <c r="CB445" s="91"/>
      <c r="CC445" s="91"/>
      <c r="CD445" s="91"/>
      <c r="CE445" s="91"/>
      <c r="CF445" s="91"/>
      <c r="CG445" s="91"/>
      <c r="CH445" s="91"/>
      <c r="CI445" s="91"/>
      <c r="CJ445" s="91"/>
      <c r="CK445" s="91"/>
      <c r="CL445" s="91"/>
      <c r="CM445" s="91"/>
      <c r="CN445" s="91"/>
      <c r="CO445" s="91"/>
      <c r="CP445" s="91"/>
      <c r="CQ445" s="91"/>
      <c r="CR445" s="1018"/>
      <c r="CS445" s="1018"/>
      <c r="CT445" s="821"/>
      <c r="CU445" s="12"/>
      <c r="CV445" s="12"/>
      <c r="CW445" s="12"/>
      <c r="CX445" s="12"/>
      <c r="CY445" s="12"/>
      <c r="CZ445" s="91"/>
      <c r="DA445" s="91"/>
      <c r="DB445" s="91"/>
      <c r="DC445" s="91"/>
      <c r="DD445" s="91"/>
      <c r="DE445" s="91"/>
      <c r="DF445" s="12"/>
      <c r="DG445" s="12"/>
      <c r="DH445" s="12"/>
      <c r="DI445" s="12"/>
      <c r="DJ445" s="12"/>
      <c r="DK445" s="12"/>
      <c r="DL445" s="12"/>
      <c r="DM445" s="12"/>
      <c r="DN445" s="12"/>
    </row>
    <row r="446" spans="1:118">
      <c r="A446" s="91"/>
      <c r="B446" s="88"/>
      <c r="C446" s="1186"/>
      <c r="D446" s="88"/>
      <c r="E446" s="214"/>
      <c r="F446" s="148"/>
      <c r="G446" s="148"/>
      <c r="H446" s="215"/>
      <c r="I446" s="87"/>
      <c r="J446" s="214"/>
      <c r="K446" s="148"/>
      <c r="L446" s="148"/>
      <c r="M446" s="215"/>
      <c r="N446" s="88"/>
      <c r="O446" s="214"/>
      <c r="P446" s="148"/>
      <c r="Q446" s="148"/>
      <c r="R446" s="215"/>
      <c r="S446" s="88"/>
      <c r="T446" s="106"/>
      <c r="U446" s="76"/>
      <c r="V446" s="76"/>
      <c r="W446" s="107"/>
      <c r="X446" s="93"/>
      <c r="Y446" s="106"/>
      <c r="Z446" s="76"/>
      <c r="AA446" s="76"/>
      <c r="AB446" s="107"/>
      <c r="AC446" s="93"/>
      <c r="AD446" s="106"/>
      <c r="AE446" s="76"/>
      <c r="AF446" s="76"/>
      <c r="AG446" s="107"/>
      <c r="AH446" s="93"/>
      <c r="AI446" s="106"/>
      <c r="AJ446" s="76"/>
      <c r="AK446" s="76"/>
      <c r="AL446" s="107"/>
      <c r="AM446" s="93"/>
      <c r="AN446" s="106"/>
      <c r="AO446" s="76"/>
      <c r="AP446" s="76"/>
      <c r="AQ446" s="107"/>
      <c r="AR446" s="93"/>
      <c r="AS446" s="106"/>
      <c r="AT446" s="76"/>
      <c r="AU446" s="76"/>
      <c r="AV446" s="107"/>
      <c r="AW446" s="93"/>
      <c r="AX446" s="106"/>
      <c r="AY446" s="76"/>
      <c r="AZ446" s="76"/>
      <c r="BA446" s="107"/>
      <c r="BB446" s="93"/>
      <c r="BC446" s="106"/>
      <c r="BD446" s="76"/>
      <c r="BE446" s="76"/>
      <c r="BF446" s="107"/>
      <c r="BG446" s="93"/>
      <c r="BH446" s="106"/>
      <c r="BI446" s="76"/>
      <c r="BJ446" s="76"/>
      <c r="BK446" s="107"/>
      <c r="BL446" s="93"/>
      <c r="BM446" s="106"/>
      <c r="BN446" s="76"/>
      <c r="BO446" s="76"/>
      <c r="BP446" s="107"/>
      <c r="BQ446" s="93"/>
      <c r="BR446" s="87"/>
      <c r="BS446" s="87"/>
      <c r="BZ446" s="91"/>
      <c r="CA446" s="91"/>
      <c r="CB446" s="91"/>
      <c r="CC446" s="91"/>
      <c r="CD446" s="91"/>
      <c r="CE446" s="91"/>
      <c r="CF446" s="91"/>
      <c r="CG446" s="91"/>
      <c r="CH446" s="91"/>
      <c r="CI446" s="91"/>
      <c r="CJ446" s="91"/>
      <c r="CK446" s="91"/>
      <c r="CL446" s="91"/>
      <c r="CM446" s="91"/>
      <c r="CN446" s="91"/>
      <c r="CO446" s="91"/>
      <c r="CP446" s="91"/>
      <c r="CQ446" s="91"/>
      <c r="CR446" s="1018"/>
      <c r="CS446" s="1018"/>
      <c r="CT446" s="821"/>
      <c r="CU446" s="12"/>
      <c r="CV446" s="12"/>
      <c r="CW446" s="12"/>
      <c r="CX446" s="12"/>
      <c r="CY446" s="12"/>
      <c r="CZ446" s="91"/>
      <c r="DA446" s="91"/>
      <c r="DB446" s="91"/>
      <c r="DC446" s="91"/>
      <c r="DD446" s="91"/>
      <c r="DE446" s="91"/>
      <c r="DF446" s="12"/>
      <c r="DG446" s="12"/>
      <c r="DH446" s="12"/>
      <c r="DI446" s="12"/>
      <c r="DJ446" s="12"/>
      <c r="DK446" s="12"/>
      <c r="DL446" s="12"/>
      <c r="DM446" s="12"/>
      <c r="DN446" s="12"/>
    </row>
    <row r="447" spans="1:118">
      <c r="A447" s="91"/>
      <c r="B447" s="89"/>
      <c r="C447" s="1254" t="s">
        <v>997</v>
      </c>
      <c r="D447" s="89"/>
      <c r="E447" s="145"/>
      <c r="F447" s="146"/>
      <c r="G447" s="146"/>
      <c r="H447" s="147"/>
      <c r="I447" s="87"/>
      <c r="J447" s="145"/>
      <c r="K447" s="146"/>
      <c r="L447" s="146"/>
      <c r="M447" s="147"/>
      <c r="N447" s="89"/>
      <c r="O447" s="145"/>
      <c r="P447" s="146"/>
      <c r="Q447" s="146"/>
      <c r="R447" s="147"/>
      <c r="S447" s="89"/>
      <c r="T447" s="145"/>
      <c r="U447" s="146"/>
      <c r="V447" s="146"/>
      <c r="W447" s="147"/>
      <c r="X447" s="89"/>
      <c r="Y447" s="145"/>
      <c r="Z447" s="146"/>
      <c r="AA447" s="146"/>
      <c r="AB447" s="147"/>
      <c r="AC447" s="89"/>
      <c r="AD447" s="145"/>
      <c r="AE447" s="146"/>
      <c r="AF447" s="146"/>
      <c r="AG447" s="147"/>
      <c r="AH447" s="89"/>
      <c r="AI447" s="145"/>
      <c r="AJ447" s="146"/>
      <c r="AK447" s="146"/>
      <c r="AL447" s="147"/>
      <c r="AM447" s="89"/>
      <c r="AN447" s="145"/>
      <c r="AO447" s="146"/>
      <c r="AP447" s="146"/>
      <c r="AQ447" s="147"/>
      <c r="AR447" s="89"/>
      <c r="AS447" s="145"/>
      <c r="AT447" s="146"/>
      <c r="AU447" s="146"/>
      <c r="AV447" s="147"/>
      <c r="AW447" s="89"/>
      <c r="AX447" s="145"/>
      <c r="AY447" s="146"/>
      <c r="AZ447" s="146"/>
      <c r="BA447" s="147"/>
      <c r="BB447" s="89"/>
      <c r="BC447" s="145"/>
      <c r="BD447" s="146"/>
      <c r="BE447" s="146"/>
      <c r="BF447" s="147"/>
      <c r="BG447" s="89"/>
      <c r="BH447" s="145"/>
      <c r="BI447" s="146"/>
      <c r="BJ447" s="146"/>
      <c r="BK447" s="147"/>
      <c r="BL447" s="89"/>
      <c r="BM447" s="145"/>
      <c r="BN447" s="146"/>
      <c r="BO447" s="146"/>
      <c r="BP447" s="147"/>
      <c r="BQ447" s="89"/>
      <c r="BR447" s="87"/>
      <c r="BS447" s="87"/>
      <c r="BZ447" s="91"/>
      <c r="CA447" s="91"/>
      <c r="CB447" s="91"/>
      <c r="CC447" s="91"/>
      <c r="CD447" s="91"/>
      <c r="CE447" s="91"/>
      <c r="CF447" s="91"/>
      <c r="CG447" s="91"/>
      <c r="CH447" s="91"/>
      <c r="CI447" s="91"/>
      <c r="CJ447" s="91"/>
      <c r="CK447" s="91"/>
      <c r="CL447" s="91"/>
      <c r="CM447" s="91"/>
      <c r="CN447" s="91"/>
      <c r="CO447" s="91"/>
      <c r="CP447" s="91"/>
      <c r="CQ447" s="91"/>
      <c r="CR447" s="1018"/>
      <c r="CS447" s="1018"/>
      <c r="CT447" s="821"/>
      <c r="CU447" s="12"/>
      <c r="CV447" s="12"/>
      <c r="CW447" s="12"/>
      <c r="CX447" s="12"/>
      <c r="CY447" s="12"/>
      <c r="CZ447" s="91"/>
      <c r="DA447" s="91"/>
      <c r="DB447" s="91"/>
      <c r="DC447" s="91"/>
      <c r="DD447" s="91"/>
      <c r="DE447" s="91"/>
      <c r="DF447" s="12"/>
      <c r="DG447" s="12"/>
      <c r="DH447" s="12"/>
      <c r="DI447" s="12"/>
      <c r="DJ447" s="12"/>
      <c r="DK447" s="12"/>
      <c r="DL447" s="12"/>
      <c r="DM447" s="12"/>
      <c r="DN447" s="12"/>
    </row>
    <row r="448" spans="1:118">
      <c r="A448" s="91"/>
      <c r="B448" s="89"/>
      <c r="C448" s="1179" t="s">
        <v>566</v>
      </c>
      <c r="D448" s="89"/>
      <c r="E448" s="145"/>
      <c r="F448" s="146"/>
      <c r="G448" s="146"/>
      <c r="H448" s="147"/>
      <c r="I448" s="87"/>
      <c r="J448" s="145"/>
      <c r="K448" s="146"/>
      <c r="L448" s="146"/>
      <c r="M448" s="147"/>
      <c r="N448" s="89"/>
      <c r="O448" s="145"/>
      <c r="P448" s="146"/>
      <c r="Q448" s="146"/>
      <c r="R448" s="147"/>
      <c r="S448" s="89"/>
      <c r="T448" s="114"/>
      <c r="U448" s="115"/>
      <c r="V448" s="115"/>
      <c r="W448" s="105"/>
      <c r="X448" s="113"/>
      <c r="Y448" s="114">
        <f t="shared" ref="Y448:AA449" si="757">+Y464+Y476</f>
        <v>3.4777199999999997</v>
      </c>
      <c r="Z448" s="115">
        <f t="shared" si="757"/>
        <v>3.4777199999999997</v>
      </c>
      <c r="AA448" s="115">
        <f t="shared" si="757"/>
        <v>3.4777199999999997</v>
      </c>
      <c r="AB448" s="105">
        <f t="shared" ref="AB448:AW448" si="758">+AB464+AB476</f>
        <v>3.4777199999999997</v>
      </c>
      <c r="AC448" s="113">
        <f t="shared" si="758"/>
        <v>13.910879999999999</v>
      </c>
      <c r="AD448" s="114">
        <f t="shared" si="758"/>
        <v>3.4777199999999997</v>
      </c>
      <c r="AE448" s="115">
        <f t="shared" si="758"/>
        <v>3.4777199999999997</v>
      </c>
      <c r="AF448" s="115">
        <f t="shared" si="758"/>
        <v>3.4777199999999997</v>
      </c>
      <c r="AG448" s="105">
        <f t="shared" si="758"/>
        <v>3.4777199999999997</v>
      </c>
      <c r="AH448" s="113">
        <f t="shared" si="758"/>
        <v>13.910879999999999</v>
      </c>
      <c r="AI448" s="114">
        <f t="shared" si="758"/>
        <v>3.4777199999999997</v>
      </c>
      <c r="AJ448" s="115">
        <f t="shared" si="758"/>
        <v>3.4777199999999997</v>
      </c>
      <c r="AK448" s="115">
        <f t="shared" si="758"/>
        <v>3.4777199999999997</v>
      </c>
      <c r="AL448" s="105">
        <f t="shared" si="758"/>
        <v>3.4777199999999997</v>
      </c>
      <c r="AM448" s="113">
        <f t="shared" si="758"/>
        <v>13.910879999999999</v>
      </c>
      <c r="AN448" s="114">
        <f t="shared" si="758"/>
        <v>3.4777199999999997</v>
      </c>
      <c r="AO448" s="115">
        <f t="shared" si="758"/>
        <v>3.4777199999999997</v>
      </c>
      <c r="AP448" s="115">
        <f t="shared" ref="AP448" si="759">+AP464+AP476</f>
        <v>3.4777199999999997</v>
      </c>
      <c r="AQ448" s="105">
        <f t="shared" si="758"/>
        <v>3.4777199999999997</v>
      </c>
      <c r="AR448" s="113">
        <f t="shared" si="758"/>
        <v>13.910879999999999</v>
      </c>
      <c r="AS448" s="114">
        <f t="shared" ref="AS448" si="760">+AS464+AS476</f>
        <v>3.4777199999999997</v>
      </c>
      <c r="AT448" s="115">
        <f t="shared" si="758"/>
        <v>3.4777199999999997</v>
      </c>
      <c r="AU448" s="115">
        <f t="shared" ref="AU448" si="761">+AU464+AU476</f>
        <v>3.4777199999999997</v>
      </c>
      <c r="AV448" s="105">
        <f t="shared" si="758"/>
        <v>3.4777199999999997</v>
      </c>
      <c r="AW448" s="113">
        <f t="shared" si="758"/>
        <v>13.910879999999999</v>
      </c>
      <c r="AX448" s="114">
        <f t="shared" ref="AX448:BB449" si="762">+AX464+AX476</f>
        <v>3.4777199999999997</v>
      </c>
      <c r="AY448" s="115">
        <f t="shared" si="762"/>
        <v>3.4777199999999997</v>
      </c>
      <c r="AZ448" s="115">
        <f t="shared" si="762"/>
        <v>3.4777199999999997</v>
      </c>
      <c r="BA448" s="105">
        <f t="shared" si="762"/>
        <v>3.4777199999999997</v>
      </c>
      <c r="BB448" s="113">
        <f t="shared" si="762"/>
        <v>13.910879999999999</v>
      </c>
      <c r="BC448" s="114">
        <f t="shared" ref="BC448:BL448" si="763">+BC464+BC476</f>
        <v>3.4777199999999997</v>
      </c>
      <c r="BD448" s="115">
        <f t="shared" si="763"/>
        <v>3.4777199999999997</v>
      </c>
      <c r="BE448" s="115">
        <f t="shared" si="763"/>
        <v>3.4777199999999997</v>
      </c>
      <c r="BF448" s="105">
        <f t="shared" si="763"/>
        <v>3.4777199999999997</v>
      </c>
      <c r="BG448" s="113">
        <f t="shared" si="763"/>
        <v>13.910879999999999</v>
      </c>
      <c r="BH448" s="114">
        <f t="shared" si="763"/>
        <v>3.4777199999999997</v>
      </c>
      <c r="BI448" s="115">
        <f t="shared" si="763"/>
        <v>3.4777199999999997</v>
      </c>
      <c r="BJ448" s="115">
        <f t="shared" si="763"/>
        <v>3.4777199999999997</v>
      </c>
      <c r="BK448" s="105">
        <f t="shared" si="763"/>
        <v>3.4777199999999997</v>
      </c>
      <c r="BL448" s="113">
        <f t="shared" si="763"/>
        <v>13.910879999999999</v>
      </c>
      <c r="BM448" s="114">
        <f t="shared" ref="BM448:BQ448" si="764">+BM464+BM476</f>
        <v>3.4777199999999997</v>
      </c>
      <c r="BN448" s="115">
        <f t="shared" si="764"/>
        <v>3.4777199999999997</v>
      </c>
      <c r="BO448" s="115">
        <f t="shared" si="764"/>
        <v>3.4777199999999997</v>
      </c>
      <c r="BP448" s="105">
        <f t="shared" si="764"/>
        <v>3.4777199999999997</v>
      </c>
      <c r="BQ448" s="113">
        <f t="shared" si="764"/>
        <v>13.910879999999999</v>
      </c>
      <c r="BR448" s="87"/>
      <c r="BS448" s="87"/>
      <c r="BZ448" s="91"/>
      <c r="CA448" s="91"/>
      <c r="CB448" s="91"/>
      <c r="CC448" s="91"/>
      <c r="CD448" s="91"/>
      <c r="CE448" s="91"/>
      <c r="CF448" s="91"/>
      <c r="CG448" s="91"/>
      <c r="CH448" s="91"/>
      <c r="CI448" s="91"/>
      <c r="CJ448" s="91"/>
      <c r="CK448" s="91"/>
      <c r="CL448" s="91"/>
      <c r="CM448" s="91"/>
      <c r="CN448" s="91"/>
      <c r="CO448" s="91"/>
      <c r="CP448" s="91"/>
      <c r="CQ448" s="91"/>
      <c r="CR448" s="1018"/>
      <c r="CS448" s="1018"/>
      <c r="CT448" s="821"/>
      <c r="CU448" s="12"/>
      <c r="CV448" s="12"/>
      <c r="CW448" s="12"/>
      <c r="CX448" s="12"/>
      <c r="CY448" s="12"/>
      <c r="CZ448" s="91"/>
      <c r="DA448" s="91"/>
      <c r="DB448" s="91"/>
      <c r="DC448" s="91"/>
      <c r="DD448" s="91"/>
      <c r="DE448" s="91"/>
      <c r="DF448" s="12"/>
      <c r="DG448" s="12"/>
      <c r="DH448" s="12"/>
      <c r="DI448" s="12"/>
      <c r="DJ448" s="12"/>
      <c r="DK448" s="12"/>
      <c r="DL448" s="12"/>
      <c r="DM448" s="12"/>
      <c r="DN448" s="12"/>
    </row>
    <row r="449" spans="1:118">
      <c r="A449" s="91"/>
      <c r="B449" s="89"/>
      <c r="C449" s="1179" t="s">
        <v>683</v>
      </c>
      <c r="D449" s="89"/>
      <c r="E449" s="145"/>
      <c r="F449" s="146"/>
      <c r="G449" s="146"/>
      <c r="H449" s="147"/>
      <c r="I449" s="87"/>
      <c r="J449" s="145"/>
      <c r="K449" s="146"/>
      <c r="L449" s="146"/>
      <c r="M449" s="147"/>
      <c r="N449" s="89"/>
      <c r="O449" s="145"/>
      <c r="P449" s="146"/>
      <c r="Q449" s="146"/>
      <c r="R449" s="147"/>
      <c r="S449" s="89"/>
      <c r="T449" s="114"/>
      <c r="U449" s="115"/>
      <c r="V449" s="115"/>
      <c r="W449" s="105"/>
      <c r="X449" s="113"/>
      <c r="Y449" s="114">
        <f t="shared" si="757"/>
        <v>0</v>
      </c>
      <c r="Z449" s="115">
        <f t="shared" si="757"/>
        <v>0</v>
      </c>
      <c r="AA449" s="115">
        <f t="shared" si="757"/>
        <v>0</v>
      </c>
      <c r="AB449" s="105">
        <f t="shared" ref="AB449:AW449" si="765">+AB465+AB477</f>
        <v>0</v>
      </c>
      <c r="AC449" s="113">
        <f t="shared" si="765"/>
        <v>0</v>
      </c>
      <c r="AD449" s="114">
        <f t="shared" si="765"/>
        <v>0</v>
      </c>
      <c r="AE449" s="115">
        <f t="shared" si="765"/>
        <v>0</v>
      </c>
      <c r="AF449" s="115">
        <f t="shared" si="765"/>
        <v>0</v>
      </c>
      <c r="AG449" s="105">
        <f t="shared" si="765"/>
        <v>0</v>
      </c>
      <c r="AH449" s="113">
        <f t="shared" si="765"/>
        <v>0</v>
      </c>
      <c r="AI449" s="114">
        <f t="shared" si="765"/>
        <v>0</v>
      </c>
      <c r="AJ449" s="115">
        <f t="shared" si="765"/>
        <v>0</v>
      </c>
      <c r="AK449" s="115">
        <f t="shared" si="765"/>
        <v>0</v>
      </c>
      <c r="AL449" s="105">
        <f t="shared" si="765"/>
        <v>0</v>
      </c>
      <c r="AM449" s="113">
        <f t="shared" si="765"/>
        <v>0</v>
      </c>
      <c r="AN449" s="114">
        <f t="shared" si="765"/>
        <v>0</v>
      </c>
      <c r="AO449" s="115">
        <f t="shared" si="765"/>
        <v>0</v>
      </c>
      <c r="AP449" s="115">
        <f t="shared" ref="AP449" si="766">+AP465+AP477</f>
        <v>0</v>
      </c>
      <c r="AQ449" s="105">
        <f t="shared" si="765"/>
        <v>0</v>
      </c>
      <c r="AR449" s="113">
        <f t="shared" si="765"/>
        <v>0</v>
      </c>
      <c r="AS449" s="114">
        <f t="shared" ref="AS449" si="767">+AS465+AS477</f>
        <v>0</v>
      </c>
      <c r="AT449" s="115">
        <f t="shared" si="765"/>
        <v>0</v>
      </c>
      <c r="AU449" s="115">
        <f t="shared" ref="AU449" si="768">+AU465+AU477</f>
        <v>0</v>
      </c>
      <c r="AV449" s="105">
        <f t="shared" si="765"/>
        <v>0</v>
      </c>
      <c r="AW449" s="113">
        <f t="shared" si="765"/>
        <v>0</v>
      </c>
      <c r="AX449" s="114">
        <f t="shared" si="762"/>
        <v>0</v>
      </c>
      <c r="AY449" s="115">
        <f t="shared" si="762"/>
        <v>0</v>
      </c>
      <c r="AZ449" s="115">
        <f t="shared" si="762"/>
        <v>0</v>
      </c>
      <c r="BA449" s="105">
        <f t="shared" si="762"/>
        <v>0</v>
      </c>
      <c r="BB449" s="113">
        <f t="shared" si="762"/>
        <v>0</v>
      </c>
      <c r="BC449" s="114">
        <f t="shared" ref="BC449:BL449" si="769">+BC465+BC477</f>
        <v>0</v>
      </c>
      <c r="BD449" s="115">
        <f t="shared" si="769"/>
        <v>0</v>
      </c>
      <c r="BE449" s="115">
        <f t="shared" si="769"/>
        <v>0</v>
      </c>
      <c r="BF449" s="105">
        <f t="shared" si="769"/>
        <v>0</v>
      </c>
      <c r="BG449" s="113">
        <f t="shared" si="769"/>
        <v>0</v>
      </c>
      <c r="BH449" s="114">
        <f t="shared" si="769"/>
        <v>0</v>
      </c>
      <c r="BI449" s="115">
        <f t="shared" si="769"/>
        <v>0</v>
      </c>
      <c r="BJ449" s="115">
        <f t="shared" si="769"/>
        <v>0</v>
      </c>
      <c r="BK449" s="105">
        <f t="shared" si="769"/>
        <v>0</v>
      </c>
      <c r="BL449" s="113">
        <f t="shared" si="769"/>
        <v>0</v>
      </c>
      <c r="BM449" s="114">
        <f t="shared" ref="BM449:BQ449" si="770">+BM465+BM477</f>
        <v>0</v>
      </c>
      <c r="BN449" s="115">
        <f t="shared" si="770"/>
        <v>0</v>
      </c>
      <c r="BO449" s="115">
        <f t="shared" si="770"/>
        <v>0</v>
      </c>
      <c r="BP449" s="105">
        <f t="shared" si="770"/>
        <v>0</v>
      </c>
      <c r="BQ449" s="113">
        <f t="shared" si="770"/>
        <v>0</v>
      </c>
      <c r="BR449" s="87"/>
      <c r="BS449" s="87"/>
      <c r="BZ449" s="91"/>
      <c r="CA449" s="91"/>
      <c r="CB449" s="91"/>
      <c r="CC449" s="91"/>
      <c r="CD449" s="91"/>
      <c r="CE449" s="91"/>
      <c r="CF449" s="91"/>
      <c r="CG449" s="91"/>
      <c r="CH449" s="91"/>
      <c r="CI449" s="91"/>
      <c r="CJ449" s="91"/>
      <c r="CK449" s="91"/>
      <c r="CL449" s="91"/>
      <c r="CM449" s="91"/>
      <c r="CN449" s="91"/>
      <c r="CO449" s="91"/>
      <c r="CP449" s="91"/>
      <c r="CQ449" s="91"/>
      <c r="CR449" s="1018"/>
      <c r="CS449" s="1018"/>
      <c r="CT449" s="821"/>
      <c r="CU449" s="12"/>
      <c r="CV449" s="12"/>
      <c r="CW449" s="12"/>
      <c r="CX449" s="12"/>
      <c r="CY449" s="12"/>
      <c r="CZ449" s="91"/>
      <c r="DA449" s="91"/>
      <c r="DB449" s="91"/>
      <c r="DC449" s="91"/>
      <c r="DD449" s="91"/>
      <c r="DE449" s="91"/>
      <c r="DF449" s="12"/>
      <c r="DG449" s="12"/>
      <c r="DH449" s="12"/>
      <c r="DI449" s="12"/>
      <c r="DJ449" s="12"/>
      <c r="DK449" s="12"/>
      <c r="DL449" s="12"/>
      <c r="DM449" s="12"/>
      <c r="DN449" s="12"/>
    </row>
    <row r="450" spans="1:118">
      <c r="A450" s="91"/>
      <c r="B450" s="89"/>
      <c r="C450" s="1186" t="s">
        <v>567</v>
      </c>
      <c r="D450" s="88"/>
      <c r="E450" s="214"/>
      <c r="F450" s="148"/>
      <c r="G450" s="148"/>
      <c r="H450" s="215"/>
      <c r="I450" s="87"/>
      <c r="J450" s="214"/>
      <c r="K450" s="148"/>
      <c r="L450" s="148"/>
      <c r="M450" s="215"/>
      <c r="N450" s="88"/>
      <c r="O450" s="214"/>
      <c r="P450" s="148"/>
      <c r="Q450" s="148"/>
      <c r="R450" s="215"/>
      <c r="S450" s="88"/>
      <c r="T450" s="106"/>
      <c r="U450" s="76"/>
      <c r="V450" s="76"/>
      <c r="W450" s="107"/>
      <c r="X450" s="93"/>
      <c r="Y450" s="106">
        <f t="shared" ref="Y450:AW450" si="771">Y448-Y449</f>
        <v>3.4777199999999997</v>
      </c>
      <c r="Z450" s="76">
        <f t="shared" si="771"/>
        <v>3.4777199999999997</v>
      </c>
      <c r="AA450" s="76">
        <f t="shared" si="771"/>
        <v>3.4777199999999997</v>
      </c>
      <c r="AB450" s="107">
        <f t="shared" si="771"/>
        <v>3.4777199999999997</v>
      </c>
      <c r="AC450" s="93">
        <f t="shared" si="771"/>
        <v>13.910879999999999</v>
      </c>
      <c r="AD450" s="106">
        <f t="shared" si="771"/>
        <v>3.4777199999999997</v>
      </c>
      <c r="AE450" s="76">
        <f t="shared" si="771"/>
        <v>3.4777199999999997</v>
      </c>
      <c r="AF450" s="76">
        <f t="shared" si="771"/>
        <v>3.4777199999999997</v>
      </c>
      <c r="AG450" s="107">
        <f t="shared" si="771"/>
        <v>3.4777199999999997</v>
      </c>
      <c r="AH450" s="93">
        <f t="shared" si="771"/>
        <v>13.910879999999999</v>
      </c>
      <c r="AI450" s="106">
        <f t="shared" si="771"/>
        <v>3.4777199999999997</v>
      </c>
      <c r="AJ450" s="76">
        <f t="shared" si="771"/>
        <v>3.4777199999999997</v>
      </c>
      <c r="AK450" s="76">
        <f t="shared" si="771"/>
        <v>3.4777199999999997</v>
      </c>
      <c r="AL450" s="107">
        <f t="shared" si="771"/>
        <v>3.4777199999999997</v>
      </c>
      <c r="AM450" s="93">
        <f t="shared" si="771"/>
        <v>13.910879999999999</v>
      </c>
      <c r="AN450" s="106">
        <f t="shared" si="771"/>
        <v>3.4777199999999997</v>
      </c>
      <c r="AO450" s="76">
        <f t="shared" si="771"/>
        <v>3.4777199999999997</v>
      </c>
      <c r="AP450" s="76">
        <f t="shared" ref="AP450" si="772">AP448-AP449</f>
        <v>3.4777199999999997</v>
      </c>
      <c r="AQ450" s="107">
        <f t="shared" si="771"/>
        <v>3.4777199999999997</v>
      </c>
      <c r="AR450" s="93">
        <f t="shared" si="771"/>
        <v>13.910879999999999</v>
      </c>
      <c r="AS450" s="106">
        <f t="shared" ref="AS450" si="773">AS448-AS449</f>
        <v>3.4777199999999997</v>
      </c>
      <c r="AT450" s="76">
        <f t="shared" si="771"/>
        <v>3.4777199999999997</v>
      </c>
      <c r="AU450" s="76">
        <f t="shared" ref="AU450" si="774">AU448-AU449</f>
        <v>3.4777199999999997</v>
      </c>
      <c r="AV450" s="107">
        <f t="shared" si="771"/>
        <v>3.4777199999999997</v>
      </c>
      <c r="AW450" s="93">
        <f t="shared" si="771"/>
        <v>13.910879999999999</v>
      </c>
      <c r="AX450" s="106">
        <f>AX448-AX449</f>
        <v>3.4777199999999997</v>
      </c>
      <c r="AY450" s="76">
        <f>AY448-AY449</f>
        <v>3.4777199999999997</v>
      </c>
      <c r="AZ450" s="76">
        <f>AZ448-AZ449</f>
        <v>3.4777199999999997</v>
      </c>
      <c r="BA450" s="107">
        <f>BA448-BA449</f>
        <v>3.4777199999999997</v>
      </c>
      <c r="BB450" s="93">
        <f>BB448-BB449</f>
        <v>13.910879999999999</v>
      </c>
      <c r="BC450" s="106">
        <f t="shared" ref="BC450:BL450" si="775">BC448-BC449</f>
        <v>3.4777199999999997</v>
      </c>
      <c r="BD450" s="76">
        <f t="shared" si="775"/>
        <v>3.4777199999999997</v>
      </c>
      <c r="BE450" s="76">
        <f t="shared" si="775"/>
        <v>3.4777199999999997</v>
      </c>
      <c r="BF450" s="107">
        <f t="shared" si="775"/>
        <v>3.4777199999999997</v>
      </c>
      <c r="BG450" s="93">
        <f t="shared" si="775"/>
        <v>13.910879999999999</v>
      </c>
      <c r="BH450" s="106">
        <f t="shared" si="775"/>
        <v>3.4777199999999997</v>
      </c>
      <c r="BI450" s="76">
        <f t="shared" si="775"/>
        <v>3.4777199999999997</v>
      </c>
      <c r="BJ450" s="76">
        <f t="shared" si="775"/>
        <v>3.4777199999999997</v>
      </c>
      <c r="BK450" s="107">
        <f t="shared" si="775"/>
        <v>3.4777199999999997</v>
      </c>
      <c r="BL450" s="93">
        <f t="shared" si="775"/>
        <v>13.910879999999999</v>
      </c>
      <c r="BM450" s="106">
        <f t="shared" ref="BM450:BQ450" si="776">BM448-BM449</f>
        <v>3.4777199999999997</v>
      </c>
      <c r="BN450" s="76">
        <f t="shared" si="776"/>
        <v>3.4777199999999997</v>
      </c>
      <c r="BO450" s="76">
        <f t="shared" si="776"/>
        <v>3.4777199999999997</v>
      </c>
      <c r="BP450" s="107">
        <f t="shared" si="776"/>
        <v>3.4777199999999997</v>
      </c>
      <c r="BQ450" s="93">
        <f t="shared" si="776"/>
        <v>13.910879999999999</v>
      </c>
      <c r="BR450" s="87"/>
      <c r="BS450" s="87"/>
      <c r="BZ450" s="91"/>
      <c r="CA450" s="91"/>
      <c r="CB450" s="91"/>
      <c r="CC450" s="91"/>
      <c r="CD450" s="91"/>
      <c r="CE450" s="91"/>
      <c r="CF450" s="91"/>
      <c r="CG450" s="91"/>
      <c r="CH450" s="91"/>
      <c r="CI450" s="91"/>
      <c r="CJ450" s="91"/>
      <c r="CK450" s="91"/>
      <c r="CL450" s="91"/>
      <c r="CM450" s="91"/>
      <c r="CN450" s="91"/>
      <c r="CO450" s="91"/>
      <c r="CP450" s="91"/>
      <c r="CQ450" s="91"/>
      <c r="CR450" s="1018"/>
      <c r="CS450" s="1018"/>
      <c r="CT450" s="821"/>
      <c r="CU450" s="12"/>
      <c r="CV450" s="12"/>
      <c r="CW450" s="12"/>
      <c r="CX450" s="12"/>
      <c r="CY450" s="12"/>
      <c r="CZ450" s="91"/>
      <c r="DA450" s="91"/>
      <c r="DB450" s="91"/>
      <c r="DC450" s="91"/>
      <c r="DD450" s="91"/>
      <c r="DE450" s="91"/>
      <c r="DF450" s="12"/>
      <c r="DG450" s="12"/>
      <c r="DH450" s="12"/>
      <c r="DI450" s="12"/>
      <c r="DJ450" s="12"/>
      <c r="DK450" s="12"/>
      <c r="DL450" s="12"/>
      <c r="DM450" s="12"/>
      <c r="DN450" s="12"/>
    </row>
    <row r="451" spans="1:118">
      <c r="A451" s="91"/>
      <c r="B451" s="89"/>
      <c r="C451" s="1184"/>
      <c r="D451" s="89"/>
      <c r="E451" s="145"/>
      <c r="F451" s="146"/>
      <c r="G451" s="146"/>
      <c r="H451" s="147"/>
      <c r="I451" s="87"/>
      <c r="J451" s="145"/>
      <c r="K451" s="146"/>
      <c r="L451" s="146"/>
      <c r="M451" s="147"/>
      <c r="N451" s="89"/>
      <c r="O451" s="145"/>
      <c r="P451" s="146"/>
      <c r="Q451" s="146"/>
      <c r="R451" s="147"/>
      <c r="S451" s="89"/>
      <c r="T451" s="145"/>
      <c r="U451" s="146"/>
      <c r="V451" s="146"/>
      <c r="W451" s="147"/>
      <c r="X451" s="89"/>
      <c r="Y451" s="145"/>
      <c r="Z451" s="146"/>
      <c r="AA451" s="146"/>
      <c r="AB451" s="147"/>
      <c r="AC451" s="89"/>
      <c r="AD451" s="145"/>
      <c r="AE451" s="146"/>
      <c r="AF451" s="146"/>
      <c r="AG451" s="147"/>
      <c r="AH451" s="89"/>
      <c r="AI451" s="145"/>
      <c r="AJ451" s="146"/>
      <c r="AK451" s="146"/>
      <c r="AL451" s="147"/>
      <c r="AM451" s="89"/>
      <c r="AN451" s="145"/>
      <c r="AO451" s="146"/>
      <c r="AP451" s="146"/>
      <c r="AQ451" s="147"/>
      <c r="AR451" s="89"/>
      <c r="AS451" s="145"/>
      <c r="AT451" s="146"/>
      <c r="AU451" s="146"/>
      <c r="AV451" s="147"/>
      <c r="AW451" s="89"/>
      <c r="AX451" s="145"/>
      <c r="AY451" s="146"/>
      <c r="AZ451" s="146"/>
      <c r="BA451" s="147"/>
      <c r="BB451" s="89"/>
      <c r="BC451" s="145"/>
      <c r="BD451" s="146"/>
      <c r="BE451" s="146"/>
      <c r="BF451" s="147"/>
      <c r="BG451" s="89"/>
      <c r="BH451" s="145"/>
      <c r="BI451" s="146"/>
      <c r="BJ451" s="146"/>
      <c r="BK451" s="147"/>
      <c r="BL451" s="89"/>
      <c r="BM451" s="145"/>
      <c r="BN451" s="146"/>
      <c r="BO451" s="146"/>
      <c r="BP451" s="147"/>
      <c r="BQ451" s="89"/>
      <c r="BR451" s="87"/>
      <c r="BS451" s="87"/>
      <c r="BT451" s="12"/>
      <c r="BZ451" s="91"/>
      <c r="CA451" s="91"/>
      <c r="CB451" s="91"/>
      <c r="CC451" s="91"/>
      <c r="CD451" s="91"/>
      <c r="CE451" s="91"/>
      <c r="CF451" s="91"/>
      <c r="CG451" s="91"/>
      <c r="CH451" s="91"/>
      <c r="CI451" s="91"/>
      <c r="CJ451" s="91"/>
      <c r="CK451" s="91"/>
      <c r="CL451" s="91"/>
      <c r="CM451" s="91"/>
      <c r="CN451" s="91"/>
      <c r="CO451" s="91"/>
      <c r="CP451" s="91"/>
      <c r="CQ451" s="91"/>
      <c r="CR451" s="1018"/>
      <c r="CS451" s="1018"/>
      <c r="CT451" s="821"/>
      <c r="CU451" s="12"/>
      <c r="CV451" s="12"/>
      <c r="CW451" s="12"/>
      <c r="CX451" s="12"/>
      <c r="CY451" s="12"/>
      <c r="CZ451" s="91"/>
      <c r="DA451" s="91"/>
      <c r="DB451" s="91"/>
      <c r="DC451" s="91"/>
      <c r="DD451" s="91"/>
      <c r="DE451" s="91"/>
      <c r="DF451" s="12"/>
      <c r="DG451" s="12"/>
      <c r="DH451" s="12"/>
      <c r="DI451" s="12"/>
      <c r="DJ451" s="12"/>
      <c r="DK451" s="12"/>
      <c r="DL451" s="12"/>
      <c r="DM451" s="12"/>
      <c r="DN451" s="12"/>
    </row>
    <row r="452" spans="1:118" s="12" customFormat="1">
      <c r="A452" s="91"/>
      <c r="B452" s="87"/>
      <c r="C452" s="1179" t="s">
        <v>568</v>
      </c>
      <c r="D452" s="87"/>
      <c r="E452" s="104"/>
      <c r="F452" s="77"/>
      <c r="G452" s="77"/>
      <c r="H452" s="102"/>
      <c r="I452" s="87"/>
      <c r="J452" s="104"/>
      <c r="K452" s="77"/>
      <c r="L452" s="77"/>
      <c r="M452" s="102"/>
      <c r="N452" s="96"/>
      <c r="O452" s="104"/>
      <c r="P452" s="77"/>
      <c r="Q452" s="77"/>
      <c r="R452" s="102"/>
      <c r="S452" s="96"/>
      <c r="T452" s="114"/>
      <c r="U452" s="77"/>
      <c r="V452" s="77"/>
      <c r="W452" s="102"/>
      <c r="X452" s="96"/>
      <c r="Y452" s="104">
        <f>+Y459+Y471</f>
        <v>496</v>
      </c>
      <c r="Z452" s="77">
        <f>+Z459+Z471</f>
        <v>496</v>
      </c>
      <c r="AA452" s="77">
        <f>+AA459+AA471</f>
        <v>496</v>
      </c>
      <c r="AB452" s="102">
        <f t="shared" ref="AB452:AW452" si="777">+AB459+AB471</f>
        <v>496</v>
      </c>
      <c r="AC452" s="96">
        <f t="shared" si="777"/>
        <v>496</v>
      </c>
      <c r="AD452" s="104">
        <f t="shared" si="777"/>
        <v>496</v>
      </c>
      <c r="AE452" s="77">
        <f t="shared" si="777"/>
        <v>496</v>
      </c>
      <c r="AF452" s="77">
        <f t="shared" si="777"/>
        <v>496</v>
      </c>
      <c r="AG452" s="102">
        <f t="shared" si="777"/>
        <v>496</v>
      </c>
      <c r="AH452" s="96">
        <f t="shared" si="777"/>
        <v>496</v>
      </c>
      <c r="AI452" s="104">
        <f t="shared" si="777"/>
        <v>496</v>
      </c>
      <c r="AJ452" s="77">
        <f t="shared" si="777"/>
        <v>496</v>
      </c>
      <c r="AK452" s="77">
        <f t="shared" si="777"/>
        <v>496</v>
      </c>
      <c r="AL452" s="102">
        <f t="shared" si="777"/>
        <v>496</v>
      </c>
      <c r="AM452" s="96">
        <f t="shared" si="777"/>
        <v>496</v>
      </c>
      <c r="AN452" s="104">
        <f t="shared" si="777"/>
        <v>496</v>
      </c>
      <c r="AO452" s="77">
        <f t="shared" si="777"/>
        <v>496</v>
      </c>
      <c r="AP452" s="77">
        <f t="shared" ref="AP452" si="778">+AP459+AP471</f>
        <v>496</v>
      </c>
      <c r="AQ452" s="102">
        <f t="shared" si="777"/>
        <v>496</v>
      </c>
      <c r="AR452" s="96">
        <f t="shared" si="777"/>
        <v>496</v>
      </c>
      <c r="AS452" s="104">
        <f t="shared" ref="AS452" si="779">+AS459+AS471</f>
        <v>496</v>
      </c>
      <c r="AT452" s="77">
        <f t="shared" si="777"/>
        <v>496</v>
      </c>
      <c r="AU452" s="77">
        <f t="shared" ref="AU452" si="780">+AU459+AU471</f>
        <v>496</v>
      </c>
      <c r="AV452" s="102">
        <f t="shared" si="777"/>
        <v>496</v>
      </c>
      <c r="AW452" s="96">
        <f t="shared" si="777"/>
        <v>496</v>
      </c>
      <c r="AX452" s="104">
        <f>+AX459+AX471</f>
        <v>496</v>
      </c>
      <c r="AY452" s="77">
        <f>+AY459+AY471</f>
        <v>496</v>
      </c>
      <c r="AZ452" s="77">
        <f>+AZ459+AZ471</f>
        <v>496</v>
      </c>
      <c r="BA452" s="102">
        <f>+BA459+BA471</f>
        <v>496</v>
      </c>
      <c r="BB452" s="96">
        <f>+BB459+BB471</f>
        <v>496</v>
      </c>
      <c r="BC452" s="104">
        <f t="shared" ref="BC452:BL452" si="781">+BC459+BC471</f>
        <v>496</v>
      </c>
      <c r="BD452" s="77">
        <f t="shared" si="781"/>
        <v>496</v>
      </c>
      <c r="BE452" s="77">
        <f t="shared" si="781"/>
        <v>496</v>
      </c>
      <c r="BF452" s="102">
        <f t="shared" si="781"/>
        <v>496</v>
      </c>
      <c r="BG452" s="96">
        <f t="shared" si="781"/>
        <v>496</v>
      </c>
      <c r="BH452" s="104">
        <f t="shared" si="781"/>
        <v>496</v>
      </c>
      <c r="BI452" s="77">
        <f t="shared" si="781"/>
        <v>496</v>
      </c>
      <c r="BJ452" s="77">
        <f t="shared" si="781"/>
        <v>496</v>
      </c>
      <c r="BK452" s="102">
        <f t="shared" si="781"/>
        <v>496</v>
      </c>
      <c r="BL452" s="96">
        <f t="shared" si="781"/>
        <v>496</v>
      </c>
      <c r="BM452" s="104">
        <f t="shared" ref="BM452:BQ452" si="782">+BM459+BM471</f>
        <v>496</v>
      </c>
      <c r="BN452" s="77">
        <f t="shared" si="782"/>
        <v>496</v>
      </c>
      <c r="BO452" s="77">
        <f t="shared" si="782"/>
        <v>496</v>
      </c>
      <c r="BP452" s="102">
        <f t="shared" si="782"/>
        <v>496</v>
      </c>
      <c r="BQ452" s="96">
        <f t="shared" si="782"/>
        <v>496</v>
      </c>
      <c r="BR452" s="87"/>
      <c r="BS452" s="87"/>
      <c r="BU452"/>
      <c r="BV452"/>
      <c r="BW452"/>
      <c r="BX452"/>
      <c r="BY452"/>
      <c r="BZ452" s="91"/>
      <c r="CA452" s="91"/>
      <c r="CB452" s="91"/>
      <c r="CC452" s="91"/>
      <c r="CD452" s="91"/>
      <c r="CE452" s="91"/>
      <c r="CF452" s="91"/>
      <c r="CG452" s="91"/>
      <c r="CH452" s="91"/>
      <c r="CI452" s="91"/>
      <c r="CJ452" s="91"/>
      <c r="CK452" s="91"/>
      <c r="CL452" s="91"/>
      <c r="CM452" s="91"/>
      <c r="CN452" s="91"/>
      <c r="CO452" s="91"/>
      <c r="CP452" s="91"/>
      <c r="CQ452" s="91"/>
      <c r="CR452" s="1049"/>
      <c r="CS452" s="1049"/>
      <c r="CT452" s="1050"/>
      <c r="CZ452" s="91"/>
      <c r="DA452" s="91"/>
      <c r="DB452" s="91"/>
      <c r="DC452" s="91"/>
      <c r="DD452" s="91"/>
      <c r="DE452" s="91"/>
    </row>
    <row r="453" spans="1:118" s="12" customFormat="1">
      <c r="A453" s="91"/>
      <c r="B453" s="87"/>
      <c r="C453" s="1179" t="s">
        <v>569</v>
      </c>
      <c r="D453" s="87"/>
      <c r="E453" s="872"/>
      <c r="F453" s="800"/>
      <c r="G453" s="800"/>
      <c r="H453" s="1051"/>
      <c r="I453" s="87"/>
      <c r="J453" s="872"/>
      <c r="K453" s="800"/>
      <c r="L453" s="800"/>
      <c r="M453" s="1051"/>
      <c r="N453" s="1052"/>
      <c r="O453" s="872"/>
      <c r="P453" s="800"/>
      <c r="Q453" s="800"/>
      <c r="R453" s="1051"/>
      <c r="S453" s="87"/>
      <c r="T453" s="114"/>
      <c r="U453" s="246"/>
      <c r="V453" s="246"/>
      <c r="W453" s="1053"/>
      <c r="X453" s="256"/>
      <c r="Y453" s="245">
        <f>+Y462+Y474</f>
        <v>321.49199999999996</v>
      </c>
      <c r="Z453" s="246">
        <f>+Z462+Z474</f>
        <v>321.49199999999996</v>
      </c>
      <c r="AA453" s="246">
        <f>+AA462+AA474</f>
        <v>321.49199999999996</v>
      </c>
      <c r="AB453" s="1053">
        <f t="shared" ref="AB453:AW453" si="783">+AB462+AB474</f>
        <v>321.49199999999996</v>
      </c>
      <c r="AC453" s="256">
        <f t="shared" si="783"/>
        <v>1285.9679999999998</v>
      </c>
      <c r="AD453" s="245">
        <f t="shared" si="783"/>
        <v>321.49199999999996</v>
      </c>
      <c r="AE453" s="246">
        <f t="shared" si="783"/>
        <v>321.49199999999996</v>
      </c>
      <c r="AF453" s="246">
        <f t="shared" si="783"/>
        <v>321.49199999999996</v>
      </c>
      <c r="AG453" s="1053">
        <f t="shared" si="783"/>
        <v>321.49199999999996</v>
      </c>
      <c r="AH453" s="256">
        <f t="shared" si="783"/>
        <v>1285.9679999999998</v>
      </c>
      <c r="AI453" s="245">
        <f t="shared" si="783"/>
        <v>321.49199999999996</v>
      </c>
      <c r="AJ453" s="246">
        <f t="shared" si="783"/>
        <v>321.49199999999996</v>
      </c>
      <c r="AK453" s="246">
        <f t="shared" si="783"/>
        <v>321.49199999999996</v>
      </c>
      <c r="AL453" s="1053">
        <f t="shared" si="783"/>
        <v>321.49199999999996</v>
      </c>
      <c r="AM453" s="256">
        <f t="shared" si="783"/>
        <v>1285.9679999999998</v>
      </c>
      <c r="AN453" s="245">
        <f t="shared" si="783"/>
        <v>321.49199999999996</v>
      </c>
      <c r="AO453" s="246">
        <f t="shared" si="783"/>
        <v>321.49199999999996</v>
      </c>
      <c r="AP453" s="246">
        <f t="shared" ref="AP453" si="784">+AP462+AP474</f>
        <v>321.49199999999996</v>
      </c>
      <c r="AQ453" s="1053">
        <f t="shared" si="783"/>
        <v>321.49199999999996</v>
      </c>
      <c r="AR453" s="256">
        <f t="shared" si="783"/>
        <v>1285.9679999999998</v>
      </c>
      <c r="AS453" s="245">
        <f t="shared" ref="AS453" si="785">+AS462+AS474</f>
        <v>321.49199999999996</v>
      </c>
      <c r="AT453" s="246">
        <f t="shared" si="783"/>
        <v>321.49199999999996</v>
      </c>
      <c r="AU453" s="246">
        <f t="shared" ref="AU453" si="786">+AU462+AU474</f>
        <v>321.49199999999996</v>
      </c>
      <c r="AV453" s="1053">
        <f t="shared" si="783"/>
        <v>321.49199999999996</v>
      </c>
      <c r="AW453" s="256">
        <f t="shared" si="783"/>
        <v>1285.9679999999998</v>
      </c>
      <c r="AX453" s="245">
        <f>+AX462+AX474</f>
        <v>321.49199999999996</v>
      </c>
      <c r="AY453" s="246">
        <f>+AY462+AY474</f>
        <v>321.49199999999996</v>
      </c>
      <c r="AZ453" s="246">
        <f>+AZ462+AZ474</f>
        <v>321.49199999999996</v>
      </c>
      <c r="BA453" s="1053">
        <f>+BA462+BA474</f>
        <v>321.49199999999996</v>
      </c>
      <c r="BB453" s="256">
        <f>+BB462+BB474</f>
        <v>1285.9679999999998</v>
      </c>
      <c r="BC453" s="245">
        <f t="shared" ref="BC453:BL453" si="787">+BC462+BC474</f>
        <v>321.49199999999996</v>
      </c>
      <c r="BD453" s="246">
        <f t="shared" si="787"/>
        <v>321.49199999999996</v>
      </c>
      <c r="BE453" s="246">
        <f t="shared" si="787"/>
        <v>321.49199999999996</v>
      </c>
      <c r="BF453" s="1053">
        <f t="shared" si="787"/>
        <v>321.49199999999996</v>
      </c>
      <c r="BG453" s="256">
        <f t="shared" si="787"/>
        <v>1285.9679999999998</v>
      </c>
      <c r="BH453" s="245">
        <f t="shared" si="787"/>
        <v>321.49199999999996</v>
      </c>
      <c r="BI453" s="246">
        <f t="shared" si="787"/>
        <v>321.49199999999996</v>
      </c>
      <c r="BJ453" s="246">
        <f t="shared" si="787"/>
        <v>321.49199999999996</v>
      </c>
      <c r="BK453" s="1053">
        <f t="shared" si="787"/>
        <v>321.49199999999996</v>
      </c>
      <c r="BL453" s="256">
        <f t="shared" si="787"/>
        <v>1285.9679999999998</v>
      </c>
      <c r="BM453" s="245">
        <f t="shared" ref="BM453:BQ453" si="788">+BM462+BM474</f>
        <v>321.49199999999996</v>
      </c>
      <c r="BN453" s="246">
        <f t="shared" si="788"/>
        <v>321.49199999999996</v>
      </c>
      <c r="BO453" s="246">
        <f t="shared" si="788"/>
        <v>321.49199999999996</v>
      </c>
      <c r="BP453" s="1053">
        <f t="shared" si="788"/>
        <v>321.49199999999996</v>
      </c>
      <c r="BQ453" s="256">
        <f t="shared" si="788"/>
        <v>1285.9679999999998</v>
      </c>
      <c r="BR453" s="87"/>
      <c r="BS453" s="87"/>
      <c r="BT453"/>
      <c r="BU453"/>
      <c r="BV453"/>
      <c r="BW453"/>
      <c r="BX453"/>
      <c r="BY453"/>
      <c r="BZ453" s="91"/>
      <c r="CA453" s="91"/>
      <c r="CB453" s="91"/>
      <c r="CC453" s="91"/>
      <c r="CD453" s="91"/>
      <c r="CE453" s="91"/>
      <c r="CF453" s="91"/>
      <c r="CG453" s="91"/>
      <c r="CH453" s="91"/>
      <c r="CI453" s="91"/>
      <c r="CJ453" s="91"/>
      <c r="CK453" s="91"/>
      <c r="CL453" s="91"/>
      <c r="CM453" s="91"/>
      <c r="CN453" s="91"/>
      <c r="CO453" s="91"/>
      <c r="CP453" s="91"/>
      <c r="CQ453" s="91"/>
      <c r="CR453" s="1049"/>
      <c r="CS453" s="1049"/>
      <c r="CT453" s="1050"/>
      <c r="CZ453" s="91"/>
      <c r="DA453" s="91"/>
      <c r="DB453" s="91"/>
      <c r="DC453" s="91"/>
      <c r="DD453" s="91"/>
      <c r="DE453" s="91"/>
    </row>
    <row r="454" spans="1:118">
      <c r="A454" s="91"/>
      <c r="B454" s="89"/>
      <c r="C454" s="1179" t="s">
        <v>570</v>
      </c>
      <c r="D454" s="89"/>
      <c r="E454" s="145"/>
      <c r="F454" s="146"/>
      <c r="G454" s="146"/>
      <c r="H454" s="147"/>
      <c r="I454" s="87"/>
      <c r="J454" s="145"/>
      <c r="K454" s="146"/>
      <c r="L454" s="146"/>
      <c r="M454" s="147"/>
      <c r="N454" s="89"/>
      <c r="O454" s="145"/>
      <c r="P454" s="146"/>
      <c r="Q454" s="146"/>
      <c r="R454" s="147"/>
      <c r="S454" s="89"/>
      <c r="T454" s="833"/>
      <c r="U454" s="834"/>
      <c r="V454" s="834"/>
      <c r="W454" s="835"/>
      <c r="X454" s="1054"/>
      <c r="Y454" s="833">
        <f>Y453/(Y452*8.76/4)</f>
        <v>0.29596774193548381</v>
      </c>
      <c r="Z454" s="834">
        <f>Z453/(Z452*8.76/4)</f>
        <v>0.29596774193548381</v>
      </c>
      <c r="AA454" s="834">
        <f>AA453/(AA452*8.76/4)</f>
        <v>0.29596774193548381</v>
      </c>
      <c r="AB454" s="835">
        <f>AB453/(AB452*8.76/4)</f>
        <v>0.29596774193548381</v>
      </c>
      <c r="AC454" s="1054">
        <f>AC453/(AC452*8.76)</f>
        <v>0.29596774193548381</v>
      </c>
      <c r="AD454" s="833">
        <f>AD453/(AD452*8.76/4)</f>
        <v>0.29596774193548381</v>
      </c>
      <c r="AE454" s="834">
        <f>AE453/(AE452*8.76/4)</f>
        <v>0.29596774193548381</v>
      </c>
      <c r="AF454" s="834">
        <f>AF453/(AF452*8.76/4)</f>
        <v>0.29596774193548381</v>
      </c>
      <c r="AG454" s="835">
        <f>AG453/(AG452*8.76/4)</f>
        <v>0.29596774193548381</v>
      </c>
      <c r="AH454" s="1054">
        <f>AH453/(AH452*8.76)</f>
        <v>0.29596774193548381</v>
      </c>
      <c r="AI454" s="833">
        <f>AI453/(AI452*8.76/4)</f>
        <v>0.29596774193548381</v>
      </c>
      <c r="AJ454" s="834">
        <f>AJ453/(AJ452*8.76/4)</f>
        <v>0.29596774193548381</v>
      </c>
      <c r="AK454" s="834">
        <f>AK453/(AK452*8.76/4)</f>
        <v>0.29596774193548381</v>
      </c>
      <c r="AL454" s="835">
        <f>AL453/(AL452*8.76/4)</f>
        <v>0.29596774193548381</v>
      </c>
      <c r="AM454" s="1054">
        <f>AM453/(AM452*8.76)</f>
        <v>0.29596774193548381</v>
      </c>
      <c r="AN454" s="833">
        <f>AN453/(AN452*8.76/4)</f>
        <v>0.29596774193548381</v>
      </c>
      <c r="AO454" s="834">
        <f>AO453/(AO452*8.76/4)</f>
        <v>0.29596774193548381</v>
      </c>
      <c r="AP454" s="834">
        <f>AP453/(AP452*8.76/4)</f>
        <v>0.29596774193548381</v>
      </c>
      <c r="AQ454" s="835">
        <f>AQ453/(AQ452*8.76/4)</f>
        <v>0.29596774193548381</v>
      </c>
      <c r="AR454" s="1054">
        <f>AR453/(AR452*8.76)</f>
        <v>0.29596774193548381</v>
      </c>
      <c r="AS454" s="833">
        <f>AS453/(AS452*8.76/4)</f>
        <v>0.29596774193548381</v>
      </c>
      <c r="AT454" s="834">
        <f>AT453/(AT452*8.76/4)</f>
        <v>0.29596774193548381</v>
      </c>
      <c r="AU454" s="834">
        <f>AU453/(AU452*8.76/4)</f>
        <v>0.29596774193548381</v>
      </c>
      <c r="AV454" s="835">
        <f>AV453/(AV452*8.76/4)</f>
        <v>0.29596774193548381</v>
      </c>
      <c r="AW454" s="1054">
        <f>AW453/(AW452*8.76)</f>
        <v>0.29596774193548381</v>
      </c>
      <c r="AX454" s="833">
        <f>AX453/(AX452*8.76/4)</f>
        <v>0.29596774193548381</v>
      </c>
      <c r="AY454" s="834">
        <f>AY453/(AY452*8.76/4)</f>
        <v>0.29596774193548381</v>
      </c>
      <c r="AZ454" s="834">
        <f>AZ453/(AZ452*8.76/4)</f>
        <v>0.29596774193548381</v>
      </c>
      <c r="BA454" s="835">
        <f>BA453/(BA452*8.76/4)</f>
        <v>0.29596774193548381</v>
      </c>
      <c r="BB454" s="1054">
        <f>BB453/(BB452*8.76)</f>
        <v>0.29596774193548381</v>
      </c>
      <c r="BC454" s="833">
        <f>BC453/(BC452*8.76/4)</f>
        <v>0.29596774193548381</v>
      </c>
      <c r="BD454" s="834">
        <f>BD453/(BD452*8.76/4)</f>
        <v>0.29596774193548381</v>
      </c>
      <c r="BE454" s="834">
        <f>BE453/(BE452*8.76/4)</f>
        <v>0.29596774193548381</v>
      </c>
      <c r="BF454" s="835">
        <f>BF453/(BF452*8.76/4)</f>
        <v>0.29596774193548381</v>
      </c>
      <c r="BG454" s="1054">
        <f>BG453/(BG452*8.76)</f>
        <v>0.29596774193548381</v>
      </c>
      <c r="BH454" s="833">
        <f>BH453/(BH452*8.76/4)</f>
        <v>0.29596774193548381</v>
      </c>
      <c r="BI454" s="834">
        <f>BI453/(BI452*8.76/4)</f>
        <v>0.29596774193548381</v>
      </c>
      <c r="BJ454" s="834">
        <f>BJ453/(BJ452*8.76/4)</f>
        <v>0.29596774193548381</v>
      </c>
      <c r="BK454" s="835">
        <f>BK453/(BK452*8.76/4)</f>
        <v>0.29596774193548381</v>
      </c>
      <c r="BL454" s="1054">
        <f>BL453/(BL452*8.76)</f>
        <v>0.29596774193548381</v>
      </c>
      <c r="BM454" s="833">
        <f>BM453/(BM452*8.76/4)</f>
        <v>0.29596774193548381</v>
      </c>
      <c r="BN454" s="834">
        <f>BN453/(BN452*8.76/4)</f>
        <v>0.29596774193548381</v>
      </c>
      <c r="BO454" s="834">
        <f>BO453/(BO452*8.76/4)</f>
        <v>0.29596774193548381</v>
      </c>
      <c r="BP454" s="835">
        <f>BP453/(BP452*8.76/4)</f>
        <v>0.29596774193548381</v>
      </c>
      <c r="BQ454" s="1054">
        <f>BQ453/(BQ452*8.76)</f>
        <v>0.29596774193548381</v>
      </c>
      <c r="BR454" s="87"/>
      <c r="BS454" s="87"/>
      <c r="BZ454" s="1328"/>
      <c r="CA454" s="91"/>
      <c r="CB454" s="91"/>
      <c r="CC454" s="91"/>
      <c r="CD454" s="91"/>
      <c r="CE454" s="91"/>
      <c r="CF454" s="91"/>
      <c r="CG454" s="91"/>
      <c r="CH454" s="91"/>
      <c r="CI454" s="91"/>
      <c r="CJ454" s="91"/>
      <c r="CK454" s="91"/>
      <c r="CL454" s="91"/>
      <c r="CM454" s="91"/>
      <c r="CN454" s="91"/>
      <c r="CO454" s="91"/>
      <c r="CP454" s="91"/>
      <c r="CQ454" s="91"/>
      <c r="CR454" s="1018"/>
      <c r="CS454" s="1018"/>
      <c r="CT454" s="821"/>
      <c r="CU454" s="12"/>
      <c r="CV454" s="12"/>
      <c r="CW454" s="12"/>
      <c r="CX454" s="12"/>
      <c r="CY454" s="12"/>
      <c r="CZ454" s="91"/>
      <c r="DA454" s="91"/>
      <c r="DB454" s="91"/>
      <c r="DC454" s="91"/>
      <c r="DD454" s="91"/>
      <c r="DE454" s="91"/>
      <c r="DF454" s="12"/>
      <c r="DG454" s="12"/>
      <c r="DH454" s="12"/>
      <c r="DI454" s="12"/>
      <c r="DJ454" s="12"/>
      <c r="DK454" s="12"/>
      <c r="DL454" s="12"/>
      <c r="DM454" s="12"/>
      <c r="DN454" s="12"/>
    </row>
    <row r="455" spans="1:118">
      <c r="A455" s="91"/>
      <c r="B455" s="89"/>
      <c r="C455" s="1184"/>
      <c r="D455" s="89"/>
      <c r="E455" s="145"/>
      <c r="F455" s="146"/>
      <c r="G455" s="146"/>
      <c r="H455" s="147"/>
      <c r="I455" s="87"/>
      <c r="J455" s="145"/>
      <c r="K455" s="146"/>
      <c r="L455" s="146"/>
      <c r="M455" s="147"/>
      <c r="N455" s="89"/>
      <c r="O455" s="145"/>
      <c r="P455" s="146"/>
      <c r="Q455" s="146"/>
      <c r="R455" s="147"/>
      <c r="S455" s="89"/>
      <c r="T455" s="145"/>
      <c r="U455" s="146"/>
      <c r="V455" s="146"/>
      <c r="W455" s="147"/>
      <c r="X455" s="89"/>
      <c r="Y455" s="145"/>
      <c r="Z455" s="146"/>
      <c r="AA455" s="146"/>
      <c r="AB455" s="147"/>
      <c r="AC455" s="89"/>
      <c r="AD455" s="145"/>
      <c r="AE455" s="146"/>
      <c r="AF455" s="146"/>
      <c r="AG455" s="147"/>
      <c r="AH455" s="89"/>
      <c r="AI455" s="145"/>
      <c r="AJ455" s="146"/>
      <c r="AK455" s="146"/>
      <c r="AL455" s="147"/>
      <c r="AM455" s="89"/>
      <c r="AN455" s="145"/>
      <c r="AO455" s="146"/>
      <c r="AP455" s="146"/>
      <c r="AQ455" s="147"/>
      <c r="AR455" s="89"/>
      <c r="AS455" s="145"/>
      <c r="AT455" s="146"/>
      <c r="AU455" s="146"/>
      <c r="AV455" s="147"/>
      <c r="AW455" s="89"/>
      <c r="AX455" s="145"/>
      <c r="AY455" s="146"/>
      <c r="AZ455" s="146"/>
      <c r="BA455" s="147"/>
      <c r="BB455" s="89"/>
      <c r="BC455" s="145"/>
      <c r="BD455" s="146"/>
      <c r="BE455" s="146"/>
      <c r="BF455" s="147"/>
      <c r="BG455" s="89"/>
      <c r="BH455" s="145"/>
      <c r="BI455" s="146"/>
      <c r="BJ455" s="146"/>
      <c r="BK455" s="147"/>
      <c r="BL455" s="89"/>
      <c r="BM455" s="145"/>
      <c r="BN455" s="146"/>
      <c r="BO455" s="146"/>
      <c r="BP455" s="147"/>
      <c r="BQ455" s="89"/>
      <c r="BR455" s="87"/>
      <c r="BS455" s="87"/>
      <c r="BZ455" s="91"/>
      <c r="CA455" s="91"/>
      <c r="CB455" s="91"/>
      <c r="CC455" s="91"/>
      <c r="CD455" s="91"/>
      <c r="CE455" s="91"/>
      <c r="CF455" s="91"/>
      <c r="CG455" s="91"/>
      <c r="CH455" s="91"/>
      <c r="CI455" s="91"/>
      <c r="CJ455" s="91"/>
      <c r="CK455" s="91"/>
      <c r="CL455" s="91"/>
      <c r="CM455" s="91"/>
      <c r="CN455" s="91"/>
      <c r="CO455" s="91"/>
      <c r="CP455" s="91"/>
      <c r="CQ455" s="91"/>
      <c r="CR455" s="1018"/>
      <c r="CS455" s="1018"/>
      <c r="CT455" s="821"/>
      <c r="CU455" s="12"/>
      <c r="CV455" s="12"/>
      <c r="CW455" s="12"/>
      <c r="CX455" s="12"/>
      <c r="CY455" s="12"/>
      <c r="CZ455" s="91"/>
      <c r="DA455" s="91"/>
      <c r="DB455" s="91"/>
      <c r="DC455" s="91"/>
      <c r="DD455" s="91"/>
      <c r="DE455" s="91"/>
      <c r="DF455" s="12"/>
      <c r="DG455" s="12"/>
      <c r="DH455" s="12"/>
      <c r="DI455" s="12"/>
      <c r="DJ455" s="12"/>
      <c r="DK455" s="12"/>
      <c r="DL455" s="12"/>
      <c r="DM455" s="12"/>
      <c r="DN455" s="12"/>
    </row>
    <row r="456" spans="1:118">
      <c r="A456" s="91"/>
      <c r="B456" s="89"/>
      <c r="C456" s="1255" t="s">
        <v>456</v>
      </c>
      <c r="D456" s="89"/>
      <c r="E456" s="145"/>
      <c r="F456" s="146"/>
      <c r="G456" s="146"/>
      <c r="H456" s="147"/>
      <c r="I456" s="1021"/>
      <c r="J456" s="145"/>
      <c r="K456" s="146"/>
      <c r="L456" s="146"/>
      <c r="M456" s="147"/>
      <c r="N456" s="89"/>
      <c r="O456" s="145"/>
      <c r="P456" s="146"/>
      <c r="Q456" s="146"/>
      <c r="R456" s="147"/>
      <c r="S456" s="89"/>
      <c r="T456" s="145"/>
      <c r="U456" s="146"/>
      <c r="V456" s="146"/>
      <c r="W456" s="147"/>
      <c r="X456" s="89"/>
      <c r="Y456" s="145"/>
      <c r="Z456" s="146"/>
      <c r="AA456" s="146"/>
      <c r="AB456" s="147"/>
      <c r="AC456" s="89"/>
      <c r="AD456" s="145"/>
      <c r="AE456" s="146"/>
      <c r="AF456" s="146"/>
      <c r="AG456" s="147"/>
      <c r="AH456" s="89"/>
      <c r="AI456" s="145"/>
      <c r="AJ456" s="146"/>
      <c r="AK456" s="146"/>
      <c r="AL456" s="147"/>
      <c r="AM456" s="89"/>
      <c r="AN456" s="145"/>
      <c r="AO456" s="146"/>
      <c r="AP456" s="146"/>
      <c r="AQ456" s="147"/>
      <c r="AR456" s="89"/>
      <c r="AS456" s="145"/>
      <c r="AT456" s="146"/>
      <c r="AU456" s="146"/>
      <c r="AV456" s="147"/>
      <c r="AW456" s="89"/>
      <c r="AX456" s="145"/>
      <c r="AY456" s="146"/>
      <c r="AZ456" s="146"/>
      <c r="BA456" s="147"/>
      <c r="BB456" s="89"/>
      <c r="BC456" s="145"/>
      <c r="BD456" s="146"/>
      <c r="BE456" s="146"/>
      <c r="BF456" s="147"/>
      <c r="BG456" s="89"/>
      <c r="BH456" s="145"/>
      <c r="BI456" s="146"/>
      <c r="BJ456" s="146"/>
      <c r="BK456" s="147"/>
      <c r="BL456" s="89"/>
      <c r="BM456" s="145"/>
      <c r="BN456" s="146"/>
      <c r="BO456" s="146"/>
      <c r="BP456" s="147"/>
      <c r="BQ456" s="89"/>
      <c r="BR456" s="87"/>
      <c r="BS456" s="87"/>
      <c r="BZ456" s="91"/>
      <c r="CA456" s="91"/>
      <c r="CB456" s="91"/>
      <c r="CC456" s="91"/>
      <c r="CD456" s="91"/>
      <c r="CE456" s="91"/>
      <c r="CF456" s="91"/>
      <c r="CG456" s="91"/>
      <c r="CH456" s="91"/>
      <c r="CI456" s="91"/>
      <c r="CJ456" s="91"/>
      <c r="CK456" s="91"/>
      <c r="CL456" s="91"/>
      <c r="CM456" s="91"/>
      <c r="CN456" s="91"/>
      <c r="CO456" s="91"/>
      <c r="CP456" s="91"/>
      <c r="CQ456" s="91"/>
      <c r="CR456" s="1018"/>
      <c r="CS456" s="1018"/>
      <c r="CT456" s="821"/>
      <c r="CU456" s="12"/>
      <c r="CV456" s="12"/>
      <c r="CW456" s="12"/>
      <c r="CX456" s="12"/>
      <c r="CY456" s="12"/>
      <c r="CZ456" s="91"/>
      <c r="DA456" s="91"/>
      <c r="DB456" s="91"/>
      <c r="DC456" s="91"/>
      <c r="DD456" s="91"/>
      <c r="DE456" s="91"/>
      <c r="DF456" s="12"/>
      <c r="DG456" s="12"/>
      <c r="DH456" s="12"/>
      <c r="DI456" s="12"/>
      <c r="DJ456" s="12"/>
      <c r="DK456" s="12"/>
      <c r="DL456" s="12"/>
      <c r="DM456" s="12"/>
      <c r="DN456" s="12"/>
    </row>
    <row r="457" spans="1:118">
      <c r="A457" s="91"/>
      <c r="B457" s="89"/>
      <c r="C457" s="1184" t="s">
        <v>458</v>
      </c>
      <c r="D457" s="89"/>
      <c r="E457" s="145"/>
      <c r="F457" s="146"/>
      <c r="G457" s="146"/>
      <c r="H457" s="147"/>
      <c r="I457" s="1072">
        <v>40</v>
      </c>
      <c r="J457" s="145"/>
      <c r="K457" s="146"/>
      <c r="L457" s="146"/>
      <c r="M457" s="147"/>
      <c r="N457" s="89"/>
      <c r="O457" s="145"/>
      <c r="P457" s="146"/>
      <c r="Q457" s="146"/>
      <c r="R457" s="147"/>
      <c r="S457" s="89"/>
      <c r="T457" s="342"/>
      <c r="U457" s="150"/>
      <c r="V457" s="150"/>
      <c r="W457" s="343"/>
      <c r="X457" s="327"/>
      <c r="Y457" s="342">
        <f>$I$457</f>
        <v>40</v>
      </c>
      <c r="Z457" s="150">
        <f t="shared" ref="Z457:BQ457" si="789">$I$457</f>
        <v>40</v>
      </c>
      <c r="AA457" s="150">
        <f t="shared" si="789"/>
        <v>40</v>
      </c>
      <c r="AB457" s="343">
        <f t="shared" si="789"/>
        <v>40</v>
      </c>
      <c r="AC457" s="327">
        <f t="shared" si="789"/>
        <v>40</v>
      </c>
      <c r="AD457" s="342">
        <f t="shared" si="789"/>
        <v>40</v>
      </c>
      <c r="AE457" s="150">
        <f t="shared" si="789"/>
        <v>40</v>
      </c>
      <c r="AF457" s="150">
        <f t="shared" si="789"/>
        <v>40</v>
      </c>
      <c r="AG457" s="343">
        <f t="shared" si="789"/>
        <v>40</v>
      </c>
      <c r="AH457" s="327">
        <f t="shared" si="789"/>
        <v>40</v>
      </c>
      <c r="AI457" s="342">
        <f t="shared" si="789"/>
        <v>40</v>
      </c>
      <c r="AJ457" s="150">
        <f t="shared" si="789"/>
        <v>40</v>
      </c>
      <c r="AK457" s="150">
        <f t="shared" si="789"/>
        <v>40</v>
      </c>
      <c r="AL457" s="343">
        <f t="shared" si="789"/>
        <v>40</v>
      </c>
      <c r="AM457" s="327">
        <f t="shared" si="789"/>
        <v>40</v>
      </c>
      <c r="AN457" s="342">
        <f t="shared" si="789"/>
        <v>40</v>
      </c>
      <c r="AO457" s="150">
        <f t="shared" si="789"/>
        <v>40</v>
      </c>
      <c r="AP457" s="150">
        <f t="shared" si="789"/>
        <v>40</v>
      </c>
      <c r="AQ457" s="343">
        <f t="shared" si="789"/>
        <v>40</v>
      </c>
      <c r="AR457" s="327">
        <f t="shared" si="789"/>
        <v>40</v>
      </c>
      <c r="AS457" s="342">
        <f t="shared" si="789"/>
        <v>40</v>
      </c>
      <c r="AT457" s="150">
        <f t="shared" si="789"/>
        <v>40</v>
      </c>
      <c r="AU457" s="150">
        <f t="shared" si="789"/>
        <v>40</v>
      </c>
      <c r="AV457" s="343">
        <f t="shared" si="789"/>
        <v>40</v>
      </c>
      <c r="AW457" s="327">
        <f t="shared" si="789"/>
        <v>40</v>
      </c>
      <c r="AX457" s="342">
        <f t="shared" si="789"/>
        <v>40</v>
      </c>
      <c r="AY457" s="150">
        <f t="shared" si="789"/>
        <v>40</v>
      </c>
      <c r="AZ457" s="150">
        <f t="shared" si="789"/>
        <v>40</v>
      </c>
      <c r="BA457" s="343">
        <f t="shared" si="789"/>
        <v>40</v>
      </c>
      <c r="BB457" s="327">
        <f t="shared" si="789"/>
        <v>40</v>
      </c>
      <c r="BC457" s="342">
        <f t="shared" si="789"/>
        <v>40</v>
      </c>
      <c r="BD457" s="150">
        <f t="shared" si="789"/>
        <v>40</v>
      </c>
      <c r="BE457" s="150">
        <f t="shared" si="789"/>
        <v>40</v>
      </c>
      <c r="BF457" s="343">
        <f t="shared" si="789"/>
        <v>40</v>
      </c>
      <c r="BG457" s="327">
        <f t="shared" si="789"/>
        <v>40</v>
      </c>
      <c r="BH457" s="342">
        <f t="shared" si="789"/>
        <v>40</v>
      </c>
      <c r="BI457" s="150">
        <f t="shared" si="789"/>
        <v>40</v>
      </c>
      <c r="BJ457" s="150">
        <f t="shared" si="789"/>
        <v>40</v>
      </c>
      <c r="BK457" s="343">
        <f t="shared" si="789"/>
        <v>40</v>
      </c>
      <c r="BL457" s="327">
        <f t="shared" si="789"/>
        <v>40</v>
      </c>
      <c r="BM457" s="342">
        <f t="shared" si="789"/>
        <v>40</v>
      </c>
      <c r="BN457" s="150">
        <f t="shared" si="789"/>
        <v>40</v>
      </c>
      <c r="BO457" s="150">
        <f t="shared" si="789"/>
        <v>40</v>
      </c>
      <c r="BP457" s="343">
        <f t="shared" si="789"/>
        <v>40</v>
      </c>
      <c r="BQ457" s="327">
        <f t="shared" si="789"/>
        <v>40</v>
      </c>
      <c r="BR457" s="87"/>
      <c r="BS457" s="87"/>
      <c r="BZ457" s="91"/>
      <c r="CA457" s="91"/>
      <c r="CB457" s="91"/>
      <c r="CC457" s="91"/>
      <c r="CD457" s="91"/>
      <c r="CE457" s="91"/>
      <c r="CF457" s="91"/>
      <c r="CG457" s="91"/>
      <c r="CH457" s="91"/>
      <c r="CI457" s="91"/>
      <c r="CJ457" s="91"/>
      <c r="CK457" s="91"/>
      <c r="CL457" s="91"/>
      <c r="CM457" s="91"/>
      <c r="CN457" s="91"/>
      <c r="CO457" s="91"/>
      <c r="CP457" s="91"/>
      <c r="CQ457" s="91"/>
      <c r="CR457" s="1018"/>
      <c r="CS457" s="1018"/>
      <c r="CT457" s="821"/>
      <c r="CU457" s="12"/>
      <c r="CV457" s="12"/>
      <c r="CW457" s="12"/>
      <c r="CX457" s="12"/>
      <c r="CY457" s="12"/>
      <c r="CZ457" s="91"/>
      <c r="DA457" s="91"/>
      <c r="DB457" s="91"/>
      <c r="DC457" s="91"/>
      <c r="DD457" s="91"/>
      <c r="DE457" s="91"/>
      <c r="DF457" s="12"/>
      <c r="DG457" s="12"/>
      <c r="DH457" s="12"/>
      <c r="DI457" s="12"/>
      <c r="DJ457" s="12"/>
      <c r="DK457" s="12"/>
      <c r="DL457" s="12"/>
      <c r="DM457" s="12"/>
      <c r="DN457" s="12"/>
    </row>
    <row r="458" spans="1:118">
      <c r="A458" s="91"/>
      <c r="B458" s="89"/>
      <c r="C458" s="1179"/>
      <c r="D458" s="89"/>
      <c r="E458" s="145"/>
      <c r="F458" s="146"/>
      <c r="G458" s="146"/>
      <c r="H458" s="147"/>
      <c r="I458" s="891"/>
      <c r="J458" s="145"/>
      <c r="K458" s="146"/>
      <c r="L458" s="146"/>
      <c r="M458" s="147"/>
      <c r="N458" s="89"/>
      <c r="O458" s="145"/>
      <c r="P458" s="146"/>
      <c r="Q458" s="146"/>
      <c r="R458" s="147"/>
      <c r="S458" s="89"/>
      <c r="T458" s="342"/>
      <c r="U458" s="150"/>
      <c r="V458" s="150"/>
      <c r="W458" s="343"/>
      <c r="X458" s="327"/>
      <c r="Y458" s="342"/>
      <c r="Z458" s="150"/>
      <c r="AA458" s="150"/>
      <c r="AB458" s="343"/>
      <c r="AC458" s="327"/>
      <c r="AD458" s="342"/>
      <c r="AE458" s="150"/>
      <c r="AF458" s="150"/>
      <c r="AG458" s="343"/>
      <c r="AH458" s="327"/>
      <c r="AI458" s="342"/>
      <c r="AJ458" s="150"/>
      <c r="AK458" s="150"/>
      <c r="AL458" s="343"/>
      <c r="AM458" s="327"/>
      <c r="AN458" s="342"/>
      <c r="AO458" s="150"/>
      <c r="AP458" s="150"/>
      <c r="AQ458" s="343"/>
      <c r="AR458" s="327"/>
      <c r="AS458" s="342"/>
      <c r="AT458" s="150"/>
      <c r="AU458" s="150"/>
      <c r="AV458" s="343"/>
      <c r="AW458" s="327"/>
      <c r="AX458" s="342"/>
      <c r="AY458" s="150"/>
      <c r="AZ458" s="150"/>
      <c r="BA458" s="343"/>
      <c r="BB458" s="327"/>
      <c r="BC458" s="342"/>
      <c r="BD458" s="150"/>
      <c r="BE458" s="150"/>
      <c r="BF458" s="343"/>
      <c r="BG458" s="327"/>
      <c r="BH458" s="342"/>
      <c r="BI458" s="150"/>
      <c r="BJ458" s="150"/>
      <c r="BK458" s="343"/>
      <c r="BL458" s="327"/>
      <c r="BM458" s="342"/>
      <c r="BN458" s="150"/>
      <c r="BO458" s="150"/>
      <c r="BP458" s="343"/>
      <c r="BQ458" s="327"/>
      <c r="BR458" s="87"/>
      <c r="BS458" s="87"/>
      <c r="BZ458" s="91"/>
      <c r="CA458" s="91"/>
      <c r="CB458" s="91"/>
      <c r="CC458" s="91"/>
      <c r="CD458" s="91"/>
      <c r="CE458" s="91"/>
      <c r="CF458" s="91"/>
      <c r="CG458" s="91"/>
      <c r="CH458" s="91"/>
      <c r="CI458" s="91"/>
      <c r="CJ458" s="91"/>
      <c r="CK458" s="91"/>
      <c r="CL458" s="91"/>
      <c r="CM458" s="91"/>
      <c r="CN458" s="91"/>
      <c r="CO458" s="91"/>
      <c r="CP458" s="91"/>
      <c r="CQ458" s="91"/>
      <c r="CR458" s="1018"/>
      <c r="CS458" s="1018"/>
      <c r="CT458" s="821"/>
      <c r="CU458" s="12"/>
      <c r="CV458" s="12"/>
      <c r="CW458" s="12"/>
      <c r="CX458" s="12"/>
      <c r="CY458" s="12"/>
      <c r="CZ458" s="91"/>
      <c r="DA458" s="91"/>
      <c r="DB458" s="91"/>
      <c r="DC458" s="91"/>
      <c r="DD458" s="91"/>
      <c r="DE458" s="91"/>
      <c r="DF458" s="12"/>
      <c r="DG458" s="12"/>
      <c r="DH458" s="12"/>
      <c r="DI458" s="12"/>
      <c r="DJ458" s="12"/>
      <c r="DK458" s="12"/>
      <c r="DL458" s="12"/>
      <c r="DM458" s="12"/>
      <c r="DN458" s="12"/>
    </row>
    <row r="459" spans="1:118">
      <c r="A459" s="91"/>
      <c r="B459" s="88"/>
      <c r="C459" s="1186" t="s">
        <v>574</v>
      </c>
      <c r="D459" s="88"/>
      <c r="E459" s="106"/>
      <c r="F459" s="76"/>
      <c r="G459" s="76"/>
      <c r="H459" s="107"/>
      <c r="I459" s="93"/>
      <c r="J459" s="106"/>
      <c r="K459" s="76"/>
      <c r="L459" s="76"/>
      <c r="M459" s="107"/>
      <c r="N459" s="93"/>
      <c r="O459" s="106"/>
      <c r="P459" s="76"/>
      <c r="Q459" s="76"/>
      <c r="R459" s="107"/>
      <c r="S459" s="93"/>
      <c r="T459" s="106"/>
      <c r="U459" s="76"/>
      <c r="V459" s="76"/>
      <c r="W459" s="107"/>
      <c r="X459" s="93"/>
      <c r="Y459" s="106">
        <f>Y536</f>
        <v>20</v>
      </c>
      <c r="Z459" s="76">
        <f t="shared" ref="Z459:AW459" si="790">Z536</f>
        <v>20</v>
      </c>
      <c r="AA459" s="76">
        <f t="shared" si="790"/>
        <v>20</v>
      </c>
      <c r="AB459" s="107">
        <f t="shared" si="790"/>
        <v>20</v>
      </c>
      <c r="AC459" s="93">
        <f t="shared" si="790"/>
        <v>20</v>
      </c>
      <c r="AD459" s="106">
        <f t="shared" si="790"/>
        <v>20</v>
      </c>
      <c r="AE459" s="76">
        <f t="shared" si="790"/>
        <v>20</v>
      </c>
      <c r="AF459" s="76">
        <f t="shared" si="790"/>
        <v>20</v>
      </c>
      <c r="AG459" s="107">
        <f t="shared" si="790"/>
        <v>20</v>
      </c>
      <c r="AH459" s="93">
        <f t="shared" si="790"/>
        <v>20</v>
      </c>
      <c r="AI459" s="106">
        <f t="shared" si="790"/>
        <v>20</v>
      </c>
      <c r="AJ459" s="76">
        <f t="shared" si="790"/>
        <v>20</v>
      </c>
      <c r="AK459" s="76">
        <f t="shared" si="790"/>
        <v>20</v>
      </c>
      <c r="AL459" s="107">
        <f t="shared" si="790"/>
        <v>20</v>
      </c>
      <c r="AM459" s="93">
        <f t="shared" si="790"/>
        <v>20</v>
      </c>
      <c r="AN459" s="106">
        <f t="shared" si="790"/>
        <v>20</v>
      </c>
      <c r="AO459" s="76">
        <f t="shared" si="790"/>
        <v>20</v>
      </c>
      <c r="AP459" s="76">
        <f t="shared" ref="AP459" si="791">AP536</f>
        <v>20</v>
      </c>
      <c r="AQ459" s="107">
        <f t="shared" si="790"/>
        <v>20</v>
      </c>
      <c r="AR459" s="93">
        <f t="shared" si="790"/>
        <v>20</v>
      </c>
      <c r="AS459" s="106">
        <f t="shared" ref="AS459" si="792">AS536</f>
        <v>20</v>
      </c>
      <c r="AT459" s="76">
        <f t="shared" si="790"/>
        <v>20</v>
      </c>
      <c r="AU459" s="76">
        <f t="shared" ref="AU459" si="793">AU536</f>
        <v>20</v>
      </c>
      <c r="AV459" s="107">
        <f t="shared" si="790"/>
        <v>20</v>
      </c>
      <c r="AW459" s="93">
        <f t="shared" si="790"/>
        <v>20</v>
      </c>
      <c r="AX459" s="106">
        <f>AX536</f>
        <v>20</v>
      </c>
      <c r="AY459" s="76">
        <f>AY536</f>
        <v>20</v>
      </c>
      <c r="AZ459" s="76">
        <f>AZ536</f>
        <v>20</v>
      </c>
      <c r="BA459" s="107">
        <f>BA536</f>
        <v>20</v>
      </c>
      <c r="BB459" s="93">
        <f>BB536</f>
        <v>20</v>
      </c>
      <c r="BC459" s="106">
        <f t="shared" ref="BC459:BL459" si="794">BC536</f>
        <v>20</v>
      </c>
      <c r="BD459" s="76">
        <f t="shared" si="794"/>
        <v>20</v>
      </c>
      <c r="BE459" s="76">
        <f t="shared" si="794"/>
        <v>20</v>
      </c>
      <c r="BF459" s="107">
        <f t="shared" si="794"/>
        <v>20</v>
      </c>
      <c r="BG459" s="93">
        <f t="shared" si="794"/>
        <v>20</v>
      </c>
      <c r="BH459" s="106">
        <f t="shared" si="794"/>
        <v>20</v>
      </c>
      <c r="BI459" s="76">
        <f t="shared" si="794"/>
        <v>20</v>
      </c>
      <c r="BJ459" s="76">
        <f t="shared" si="794"/>
        <v>20</v>
      </c>
      <c r="BK459" s="107">
        <f t="shared" si="794"/>
        <v>20</v>
      </c>
      <c r="BL459" s="93">
        <f t="shared" si="794"/>
        <v>20</v>
      </c>
      <c r="BM459" s="106">
        <f t="shared" ref="BM459:BQ459" si="795">BM536</f>
        <v>20</v>
      </c>
      <c r="BN459" s="76">
        <f t="shared" si="795"/>
        <v>20</v>
      </c>
      <c r="BO459" s="76">
        <f t="shared" si="795"/>
        <v>20</v>
      </c>
      <c r="BP459" s="107">
        <f t="shared" si="795"/>
        <v>20</v>
      </c>
      <c r="BQ459" s="93">
        <f t="shared" si="795"/>
        <v>20</v>
      </c>
      <c r="BR459" s="87"/>
      <c r="BS459" s="87"/>
      <c r="BZ459" s="91"/>
      <c r="CA459" s="91"/>
      <c r="CB459" s="91"/>
      <c r="CC459" s="91"/>
      <c r="CD459" s="91"/>
      <c r="CE459" s="91"/>
      <c r="CF459" s="91"/>
      <c r="CG459" s="91"/>
      <c r="CH459" s="91"/>
      <c r="CI459" s="91"/>
      <c r="CJ459" s="91"/>
      <c r="CK459" s="91"/>
      <c r="CL459" s="91"/>
      <c r="CM459" s="91"/>
      <c r="CN459" s="91"/>
      <c r="CO459" s="91"/>
      <c r="CP459" s="91"/>
      <c r="CQ459" s="91"/>
      <c r="CR459" s="1018"/>
      <c r="CS459" s="1018"/>
      <c r="CT459" s="821"/>
      <c r="CU459" s="12"/>
      <c r="CV459" s="12"/>
      <c r="CW459" s="12"/>
      <c r="CX459" s="12"/>
      <c r="CY459" s="12"/>
      <c r="CZ459" s="91"/>
      <c r="DA459" s="91"/>
      <c r="DB459" s="91"/>
      <c r="DC459" s="91"/>
      <c r="DD459" s="91"/>
      <c r="DE459" s="91"/>
      <c r="DF459" s="12"/>
      <c r="DG459" s="12"/>
      <c r="DH459" s="12"/>
      <c r="DI459" s="12"/>
      <c r="DJ459" s="12"/>
      <c r="DK459" s="12"/>
      <c r="DL459" s="12"/>
      <c r="DM459" s="12"/>
      <c r="DN459" s="12"/>
    </row>
    <row r="460" spans="1:118">
      <c r="A460" s="91"/>
      <c r="B460" s="89"/>
      <c r="C460" s="1184"/>
      <c r="D460" s="89"/>
      <c r="E460" s="145"/>
      <c r="F460" s="146"/>
      <c r="G460" s="146"/>
      <c r="H460" s="147"/>
      <c r="I460" s="87"/>
      <c r="J460" s="145"/>
      <c r="K460" s="146"/>
      <c r="L460" s="146"/>
      <c r="M460" s="147"/>
      <c r="N460" s="89"/>
      <c r="O460" s="145"/>
      <c r="P460" s="146"/>
      <c r="Q460" s="146"/>
      <c r="R460" s="147"/>
      <c r="S460" s="89"/>
      <c r="T460" s="145"/>
      <c r="U460" s="146"/>
      <c r="V460" s="146"/>
      <c r="W460" s="147"/>
      <c r="X460" s="89"/>
      <c r="Y460" s="145"/>
      <c r="Z460" s="146"/>
      <c r="AA460" s="146"/>
      <c r="AB460" s="147"/>
      <c r="AC460" s="89"/>
      <c r="AD460" s="145"/>
      <c r="AE460" s="146"/>
      <c r="AF460" s="146"/>
      <c r="AG460" s="147"/>
      <c r="AH460" s="89"/>
      <c r="AI460" s="145"/>
      <c r="AJ460" s="146"/>
      <c r="AK460" s="146"/>
      <c r="AL460" s="147"/>
      <c r="AM460" s="89"/>
      <c r="AN460" s="145"/>
      <c r="AO460" s="146"/>
      <c r="AP460" s="146"/>
      <c r="AQ460" s="147"/>
      <c r="AR460" s="89"/>
      <c r="AS460" s="145"/>
      <c r="AT460" s="146"/>
      <c r="AU460" s="146"/>
      <c r="AV460" s="147"/>
      <c r="AW460" s="89"/>
      <c r="AX460" s="145"/>
      <c r="AY460" s="146"/>
      <c r="AZ460" s="146"/>
      <c r="BA460" s="147"/>
      <c r="BB460" s="89"/>
      <c r="BC460" s="145"/>
      <c r="BD460" s="146"/>
      <c r="BE460" s="146"/>
      <c r="BF460" s="147"/>
      <c r="BG460" s="89"/>
      <c r="BH460" s="145"/>
      <c r="BI460" s="146"/>
      <c r="BJ460" s="146"/>
      <c r="BK460" s="147"/>
      <c r="BL460" s="89"/>
      <c r="BM460" s="145"/>
      <c r="BN460" s="146"/>
      <c r="BO460" s="146"/>
      <c r="BP460" s="147"/>
      <c r="BQ460" s="89"/>
      <c r="BR460" s="87"/>
      <c r="BS460" s="87"/>
      <c r="BZ460" s="91"/>
      <c r="CA460" s="91"/>
      <c r="CB460" s="91"/>
      <c r="CC460" s="91"/>
      <c r="CD460" s="1327"/>
      <c r="CE460" s="91"/>
      <c r="CF460" s="91"/>
      <c r="CG460" s="91"/>
      <c r="CH460" s="91"/>
      <c r="CI460" s="91"/>
      <c r="CJ460" s="91"/>
      <c r="CK460" s="91"/>
      <c r="CL460" s="91"/>
      <c r="CM460" s="91"/>
      <c r="CN460" s="91"/>
      <c r="CO460" s="91"/>
      <c r="CP460" s="91"/>
      <c r="CQ460" s="91"/>
      <c r="CR460" s="1018"/>
      <c r="CS460" s="1018"/>
      <c r="CT460" s="821"/>
      <c r="CU460" s="12"/>
      <c r="CV460" s="12"/>
      <c r="CW460" s="12"/>
      <c r="CX460" s="12"/>
      <c r="CY460" s="12"/>
      <c r="CZ460" s="91"/>
      <c r="DA460" s="91"/>
      <c r="DB460" s="91"/>
      <c r="DC460" s="91"/>
      <c r="DD460" s="91"/>
      <c r="DE460" s="91"/>
      <c r="DF460" s="12"/>
      <c r="DG460" s="12"/>
      <c r="DH460" s="12"/>
      <c r="DI460" s="12"/>
      <c r="DJ460" s="12"/>
      <c r="DK460" s="12"/>
      <c r="DL460" s="12"/>
      <c r="DM460" s="12"/>
      <c r="DN460" s="12"/>
    </row>
    <row r="461" spans="1:118">
      <c r="A461" s="91"/>
      <c r="B461" s="89"/>
      <c r="C461" s="1179" t="s">
        <v>581</v>
      </c>
      <c r="D461" s="89"/>
      <c r="E461" s="145"/>
      <c r="F461" s="146"/>
      <c r="G461" s="146"/>
      <c r="H461" s="147"/>
      <c r="I461" s="1057">
        <v>0.2</v>
      </c>
      <c r="J461" s="145"/>
      <c r="K461" s="146"/>
      <c r="L461" s="146"/>
      <c r="M461" s="147"/>
      <c r="N461" s="89"/>
      <c r="O461" s="145"/>
      <c r="P461" s="146"/>
      <c r="Q461" s="146"/>
      <c r="R461" s="147"/>
      <c r="S461" s="89"/>
      <c r="T461" s="833"/>
      <c r="U461" s="834"/>
      <c r="V461" s="834"/>
      <c r="W461" s="835"/>
      <c r="X461" s="826"/>
      <c r="Y461" s="833">
        <f>I461</f>
        <v>0.2</v>
      </c>
      <c r="Z461" s="834">
        <f>Y461</f>
        <v>0.2</v>
      </c>
      <c r="AA461" s="834">
        <f>Z461</f>
        <v>0.2</v>
      </c>
      <c r="AB461" s="835">
        <f>AA461</f>
        <v>0.2</v>
      </c>
      <c r="AC461" s="826">
        <f>AB461</f>
        <v>0.2</v>
      </c>
      <c r="AD461" s="833">
        <f t="shared" ref="AD461:AW461" si="796">AC461</f>
        <v>0.2</v>
      </c>
      <c r="AE461" s="834">
        <f t="shared" si="796"/>
        <v>0.2</v>
      </c>
      <c r="AF461" s="834">
        <f t="shared" si="796"/>
        <v>0.2</v>
      </c>
      <c r="AG461" s="835">
        <f t="shared" si="796"/>
        <v>0.2</v>
      </c>
      <c r="AH461" s="826">
        <f>AG461</f>
        <v>0.2</v>
      </c>
      <c r="AI461" s="833">
        <f t="shared" si="796"/>
        <v>0.2</v>
      </c>
      <c r="AJ461" s="834">
        <f t="shared" si="796"/>
        <v>0.2</v>
      </c>
      <c r="AK461" s="834">
        <f t="shared" si="796"/>
        <v>0.2</v>
      </c>
      <c r="AL461" s="835">
        <f t="shared" si="796"/>
        <v>0.2</v>
      </c>
      <c r="AM461" s="826">
        <f t="shared" si="796"/>
        <v>0.2</v>
      </c>
      <c r="AN461" s="833">
        <f t="shared" si="796"/>
        <v>0.2</v>
      </c>
      <c r="AO461" s="834">
        <f t="shared" si="796"/>
        <v>0.2</v>
      </c>
      <c r="AP461" s="834">
        <f t="shared" si="796"/>
        <v>0.2</v>
      </c>
      <c r="AQ461" s="835">
        <f t="shared" si="796"/>
        <v>0.2</v>
      </c>
      <c r="AR461" s="826">
        <f t="shared" si="796"/>
        <v>0.2</v>
      </c>
      <c r="AS461" s="833">
        <f t="shared" si="796"/>
        <v>0.2</v>
      </c>
      <c r="AT461" s="834">
        <f t="shared" si="796"/>
        <v>0.2</v>
      </c>
      <c r="AU461" s="834">
        <f t="shared" si="796"/>
        <v>0.2</v>
      </c>
      <c r="AV461" s="835">
        <f t="shared" si="796"/>
        <v>0.2</v>
      </c>
      <c r="AW461" s="826">
        <f t="shared" si="796"/>
        <v>0.2</v>
      </c>
      <c r="AX461" s="833">
        <f t="shared" ref="AX461:BL461" si="797">AW461</f>
        <v>0.2</v>
      </c>
      <c r="AY461" s="834">
        <f t="shared" si="797"/>
        <v>0.2</v>
      </c>
      <c r="AZ461" s="834">
        <f t="shared" si="797"/>
        <v>0.2</v>
      </c>
      <c r="BA461" s="835">
        <f t="shared" si="797"/>
        <v>0.2</v>
      </c>
      <c r="BB461" s="826">
        <f t="shared" si="797"/>
        <v>0.2</v>
      </c>
      <c r="BC461" s="833">
        <f t="shared" si="797"/>
        <v>0.2</v>
      </c>
      <c r="BD461" s="834">
        <f t="shared" si="797"/>
        <v>0.2</v>
      </c>
      <c r="BE461" s="834">
        <f t="shared" si="797"/>
        <v>0.2</v>
      </c>
      <c r="BF461" s="835">
        <f t="shared" si="797"/>
        <v>0.2</v>
      </c>
      <c r="BG461" s="826">
        <f t="shared" si="797"/>
        <v>0.2</v>
      </c>
      <c r="BH461" s="833">
        <f t="shared" si="797"/>
        <v>0.2</v>
      </c>
      <c r="BI461" s="834">
        <f t="shared" si="797"/>
        <v>0.2</v>
      </c>
      <c r="BJ461" s="834">
        <f t="shared" si="797"/>
        <v>0.2</v>
      </c>
      <c r="BK461" s="835">
        <f t="shared" si="797"/>
        <v>0.2</v>
      </c>
      <c r="BL461" s="826">
        <f t="shared" si="797"/>
        <v>0.2</v>
      </c>
      <c r="BM461" s="833">
        <f t="shared" ref="BM461" si="798">BL461</f>
        <v>0.2</v>
      </c>
      <c r="BN461" s="834">
        <f t="shared" ref="BN461" si="799">BM461</f>
        <v>0.2</v>
      </c>
      <c r="BO461" s="834">
        <f t="shared" ref="BO461" si="800">BN461</f>
        <v>0.2</v>
      </c>
      <c r="BP461" s="835">
        <f t="shared" ref="BP461" si="801">BO461</f>
        <v>0.2</v>
      </c>
      <c r="BQ461" s="826">
        <f t="shared" ref="BQ461" si="802">BP461</f>
        <v>0.2</v>
      </c>
      <c r="BR461" s="87"/>
      <c r="BS461" s="87"/>
      <c r="BZ461" s="91"/>
      <c r="CA461" s="91"/>
      <c r="CB461" s="91"/>
      <c r="CC461" s="91"/>
      <c r="CE461" s="91"/>
      <c r="CF461" s="91"/>
      <c r="CG461" s="91"/>
      <c r="CH461" s="91"/>
      <c r="CI461" s="91"/>
      <c r="CJ461" s="91"/>
      <c r="CK461" s="91"/>
      <c r="CL461" s="91"/>
      <c r="CM461" s="91"/>
      <c r="CN461" s="91"/>
      <c r="CO461" s="91"/>
      <c r="CP461" s="91"/>
      <c r="CQ461" s="91"/>
      <c r="CR461" s="1018"/>
      <c r="CS461" s="1018"/>
      <c r="CT461" s="821"/>
      <c r="CU461" s="12"/>
      <c r="CV461" s="12"/>
      <c r="CW461" s="12"/>
      <c r="CX461" s="12"/>
      <c r="CY461" s="12"/>
      <c r="CZ461" s="91"/>
      <c r="DA461" s="91"/>
      <c r="DB461" s="91"/>
      <c r="DC461" s="91"/>
      <c r="DD461" s="91"/>
      <c r="DE461" s="91"/>
      <c r="DF461" s="12"/>
      <c r="DG461" s="12"/>
      <c r="DH461" s="12"/>
      <c r="DI461" s="12"/>
      <c r="DJ461" s="12"/>
      <c r="DK461" s="12"/>
      <c r="DL461" s="12"/>
      <c r="DM461" s="12"/>
      <c r="DN461" s="12"/>
    </row>
    <row r="462" spans="1:118">
      <c r="A462" s="91"/>
      <c r="B462" s="88"/>
      <c r="C462" s="1186" t="s">
        <v>569</v>
      </c>
      <c r="D462" s="88"/>
      <c r="E462" s="214"/>
      <c r="F462" s="148"/>
      <c r="G462" s="148"/>
      <c r="H462" s="215"/>
      <c r="I462" s="88"/>
      <c r="J462" s="214"/>
      <c r="K462" s="148"/>
      <c r="L462" s="148"/>
      <c r="M462" s="215"/>
      <c r="N462" s="88"/>
      <c r="O462" s="214"/>
      <c r="P462" s="148"/>
      <c r="Q462" s="148"/>
      <c r="R462" s="215"/>
      <c r="S462" s="88"/>
      <c r="T462" s="240"/>
      <c r="U462" s="241"/>
      <c r="V462" s="241"/>
      <c r="W462" s="1059"/>
      <c r="X462" s="242"/>
      <c r="Y462" s="240">
        <f>(Y459*Y461*(8760/1000))/4</f>
        <v>8.76</v>
      </c>
      <c r="Z462" s="241">
        <f>(Z459*Z461*(8760/1000))/4</f>
        <v>8.76</v>
      </c>
      <c r="AA462" s="241">
        <f>(AA459*AA461*(8760/1000))/4</f>
        <v>8.76</v>
      </c>
      <c r="AB462" s="1059">
        <f>(AB459*AB461*(8760/1000))/4</f>
        <v>8.76</v>
      </c>
      <c r="AC462" s="242">
        <f>SUM(Y462:AB462)</f>
        <v>35.04</v>
      </c>
      <c r="AD462" s="240">
        <f>(AD459*AD461*(8760/1000))/4</f>
        <v>8.76</v>
      </c>
      <c r="AE462" s="241">
        <f>(AE459*AE461*(8760/1000))/4</f>
        <v>8.76</v>
      </c>
      <c r="AF462" s="241">
        <f>(AF459*AF461*(8760/1000))/4</f>
        <v>8.76</v>
      </c>
      <c r="AG462" s="1059">
        <f>(AG459*AG461*(8760/1000))/4</f>
        <v>8.76</v>
      </c>
      <c r="AH462" s="242">
        <f>SUM(AD462:AG462)</f>
        <v>35.04</v>
      </c>
      <c r="AI462" s="240">
        <f>(AI459*AI461*(8760/1000))/4</f>
        <v>8.76</v>
      </c>
      <c r="AJ462" s="241">
        <f>(AJ459*AJ461*(8760/1000))/4</f>
        <v>8.76</v>
      </c>
      <c r="AK462" s="241">
        <f>(AK459*AK461*(8760/1000))/4</f>
        <v>8.76</v>
      </c>
      <c r="AL462" s="1059">
        <f>(AL459*AL461*(8760/1000))/4</f>
        <v>8.76</v>
      </c>
      <c r="AM462" s="242">
        <f>SUM(AI462:AL462)</f>
        <v>35.04</v>
      </c>
      <c r="AN462" s="240">
        <f>(AN459*AN461*(8760/1000))/4</f>
        <v>8.76</v>
      </c>
      <c r="AO462" s="241">
        <f>(AO459*AO461*(8760/1000))/4</f>
        <v>8.76</v>
      </c>
      <c r="AP462" s="241">
        <f>(AP459*AP461*(8760/1000))/4</f>
        <v>8.76</v>
      </c>
      <c r="AQ462" s="1059">
        <f>(AQ459*AQ461*(8760/1000))/4</f>
        <v>8.76</v>
      </c>
      <c r="AR462" s="242">
        <f>SUM(AN462:AQ462)</f>
        <v>35.04</v>
      </c>
      <c r="AS462" s="240">
        <f>(AS459*AS461*(8760/1000))/4</f>
        <v>8.76</v>
      </c>
      <c r="AT462" s="241">
        <f>(AT459*AT461*(8760/1000))/4</f>
        <v>8.76</v>
      </c>
      <c r="AU462" s="241">
        <f>(AU459*AU461*(8760/1000))/4</f>
        <v>8.76</v>
      </c>
      <c r="AV462" s="1059">
        <f>(AV459*AV461*(8760/1000))/4</f>
        <v>8.76</v>
      </c>
      <c r="AW462" s="242">
        <f>SUM(AS462:AV462)</f>
        <v>35.04</v>
      </c>
      <c r="AX462" s="240">
        <f>(AX459*AX461*(8760/1000))/4</f>
        <v>8.76</v>
      </c>
      <c r="AY462" s="241">
        <f>(AY459*AY461*(8760/1000))/4</f>
        <v>8.76</v>
      </c>
      <c r="AZ462" s="241">
        <f>(AZ459*AZ461*(8760/1000))/4</f>
        <v>8.76</v>
      </c>
      <c r="BA462" s="1059">
        <f>(BA459*BA461*(8760/1000))/4</f>
        <v>8.76</v>
      </c>
      <c r="BB462" s="242">
        <f>SUM(AX462:BA462)</f>
        <v>35.04</v>
      </c>
      <c r="BC462" s="240">
        <f>(BC459*BC461*(8760/1000))/4</f>
        <v>8.76</v>
      </c>
      <c r="BD462" s="241">
        <f>(BD459*BD461*(8760/1000))/4</f>
        <v>8.76</v>
      </c>
      <c r="BE462" s="241">
        <f>(BE459*BE461*(8760/1000))/4</f>
        <v>8.76</v>
      </c>
      <c r="BF462" s="1059">
        <f>(BF459*BF461*(8760/1000))/4</f>
        <v>8.76</v>
      </c>
      <c r="BG462" s="242">
        <f>SUM(BC462:BF462)</f>
        <v>35.04</v>
      </c>
      <c r="BH462" s="240">
        <f>(BH459*BH461*(8760/1000))/4</f>
        <v>8.76</v>
      </c>
      <c r="BI462" s="241">
        <f>(BI459*BI461*(8760/1000))/4</f>
        <v>8.76</v>
      </c>
      <c r="BJ462" s="241">
        <f>(BJ459*BJ461*(8760/1000))/4</f>
        <v>8.76</v>
      </c>
      <c r="BK462" s="1059">
        <f>(BK459*BK461*(8760/1000))/4</f>
        <v>8.76</v>
      </c>
      <c r="BL462" s="242">
        <f>SUM(BH462:BK462)</f>
        <v>35.04</v>
      </c>
      <c r="BM462" s="240">
        <f>(BM459*BM461*(8760/1000))/4</f>
        <v>8.76</v>
      </c>
      <c r="BN462" s="241">
        <f>(BN459*BN461*(8760/1000))/4</f>
        <v>8.76</v>
      </c>
      <c r="BO462" s="241">
        <f>(BO459*BO461*(8760/1000))/4</f>
        <v>8.76</v>
      </c>
      <c r="BP462" s="1059">
        <f>(BP459*BP461*(8760/1000))/4</f>
        <v>8.76</v>
      </c>
      <c r="BQ462" s="242">
        <f>SUM(BM462:BP462)</f>
        <v>35.04</v>
      </c>
      <c r="BR462" s="87"/>
      <c r="BS462" s="87"/>
      <c r="BZ462" s="91"/>
      <c r="CA462" s="91"/>
      <c r="CB462" s="91"/>
      <c r="CC462" s="91"/>
      <c r="CD462" s="1327"/>
      <c r="CF462" s="91"/>
      <c r="CG462" s="91"/>
      <c r="CH462" s="91"/>
      <c r="CI462" s="91"/>
      <c r="CJ462" s="91"/>
      <c r="CK462" s="91"/>
      <c r="CL462" s="91"/>
      <c r="CM462" s="91"/>
      <c r="CN462" s="91"/>
      <c r="CO462" s="91"/>
      <c r="CP462" s="91"/>
      <c r="CQ462" s="91"/>
      <c r="CR462" s="1018"/>
      <c r="CS462" s="1018"/>
      <c r="CT462" s="821"/>
      <c r="CU462" s="12"/>
      <c r="CV462" s="12"/>
      <c r="CW462" s="12"/>
      <c r="CX462" s="12"/>
      <c r="CY462" s="12"/>
      <c r="CZ462" s="91"/>
      <c r="DA462" s="91"/>
      <c r="DB462" s="91"/>
      <c r="DC462" s="91"/>
      <c r="DD462" s="91"/>
      <c r="DE462" s="91"/>
      <c r="DF462" s="12"/>
      <c r="DG462" s="12"/>
      <c r="DH462" s="12"/>
      <c r="DI462" s="12"/>
      <c r="DJ462" s="12"/>
      <c r="DK462" s="12"/>
      <c r="DL462" s="12"/>
      <c r="DM462" s="12"/>
      <c r="DN462" s="12"/>
    </row>
    <row r="463" spans="1:118">
      <c r="A463" s="91"/>
      <c r="B463" s="89"/>
      <c r="C463" s="1179"/>
      <c r="D463" s="89"/>
      <c r="E463" s="145"/>
      <c r="F463" s="146"/>
      <c r="G463" s="146"/>
      <c r="H463" s="147"/>
      <c r="I463" s="87"/>
      <c r="J463" s="145"/>
      <c r="K463" s="146"/>
      <c r="L463" s="146"/>
      <c r="M463" s="147"/>
      <c r="N463" s="89"/>
      <c r="O463" s="145"/>
      <c r="P463" s="146"/>
      <c r="Q463" s="146"/>
      <c r="R463" s="147"/>
      <c r="S463" s="89"/>
      <c r="T463" s="145"/>
      <c r="U463" s="146"/>
      <c r="V463" s="146"/>
      <c r="W463" s="147"/>
      <c r="X463" s="89"/>
      <c r="Y463" s="145"/>
      <c r="Z463" s="146"/>
      <c r="AA463" s="146"/>
      <c r="AB463" s="147"/>
      <c r="AC463" s="89"/>
      <c r="AD463" s="145"/>
      <c r="AE463" s="146"/>
      <c r="AF463" s="146"/>
      <c r="AG463" s="147"/>
      <c r="AH463" s="89"/>
      <c r="AI463" s="145"/>
      <c r="AJ463" s="146"/>
      <c r="AK463" s="146"/>
      <c r="AL463" s="147"/>
      <c r="AM463" s="89"/>
      <c r="AN463" s="145"/>
      <c r="AO463" s="146"/>
      <c r="AP463" s="146"/>
      <c r="AQ463" s="147"/>
      <c r="AR463" s="89"/>
      <c r="AS463" s="145"/>
      <c r="AT463" s="146"/>
      <c r="AU463" s="146"/>
      <c r="AV463" s="147"/>
      <c r="AW463" s="89"/>
      <c r="AX463" s="145"/>
      <c r="AY463" s="146"/>
      <c r="AZ463" s="146"/>
      <c r="BA463" s="147"/>
      <c r="BB463" s="89"/>
      <c r="BC463" s="145"/>
      <c r="BD463" s="146"/>
      <c r="BE463" s="146"/>
      <c r="BF463" s="147"/>
      <c r="BG463" s="89"/>
      <c r="BH463" s="145"/>
      <c r="BI463" s="146"/>
      <c r="BJ463" s="146"/>
      <c r="BK463" s="147"/>
      <c r="BL463" s="89"/>
      <c r="BM463" s="145"/>
      <c r="BN463" s="146"/>
      <c r="BO463" s="146"/>
      <c r="BP463" s="147"/>
      <c r="BQ463" s="89"/>
      <c r="BR463" s="87"/>
      <c r="BS463" s="87"/>
      <c r="BZ463" s="91"/>
      <c r="CA463" s="91"/>
      <c r="CB463" s="91"/>
      <c r="CC463" s="91"/>
      <c r="CD463" s="91"/>
      <c r="CE463" s="1327"/>
      <c r="CF463" s="91"/>
      <c r="CG463" s="91"/>
      <c r="CH463" s="91"/>
      <c r="CI463" s="91"/>
      <c r="CJ463" s="91"/>
      <c r="CK463" s="91"/>
      <c r="CL463" s="91"/>
      <c r="CM463" s="91"/>
      <c r="CN463" s="91"/>
      <c r="CO463" s="91"/>
      <c r="CP463" s="91"/>
      <c r="CQ463" s="91"/>
      <c r="CR463" s="1018"/>
      <c r="CS463" s="1018"/>
      <c r="CT463" s="821"/>
      <c r="CU463" s="12"/>
      <c r="CV463" s="12"/>
      <c r="CW463" s="12"/>
      <c r="CX463" s="12"/>
      <c r="CY463" s="12"/>
      <c r="CZ463" s="91"/>
      <c r="DA463" s="91"/>
      <c r="DB463" s="91"/>
      <c r="DC463" s="91"/>
      <c r="DD463" s="91"/>
      <c r="DE463" s="91"/>
      <c r="DF463" s="12"/>
      <c r="DG463" s="12"/>
      <c r="DH463" s="12"/>
      <c r="DI463" s="12"/>
      <c r="DJ463" s="12"/>
      <c r="DK463" s="12"/>
      <c r="DL463" s="12"/>
      <c r="DM463" s="12"/>
      <c r="DN463" s="12"/>
    </row>
    <row r="464" spans="1:118">
      <c r="A464" s="91"/>
      <c r="B464" s="89"/>
      <c r="C464" s="1179" t="s">
        <v>582</v>
      </c>
      <c r="D464" s="89"/>
      <c r="E464" s="145"/>
      <c r="F464" s="146"/>
      <c r="G464" s="146"/>
      <c r="H464" s="147"/>
      <c r="I464" s="87"/>
      <c r="J464" s="145"/>
      <c r="K464" s="146"/>
      <c r="L464" s="146"/>
      <c r="M464" s="147"/>
      <c r="N464" s="89"/>
      <c r="O464" s="145"/>
      <c r="P464" s="146"/>
      <c r="Q464" s="146"/>
      <c r="R464" s="147"/>
      <c r="S464" s="89"/>
      <c r="T464" s="114"/>
      <c r="U464" s="115"/>
      <c r="V464" s="115"/>
      <c r="W464" s="105"/>
      <c r="X464" s="113"/>
      <c r="Y464" s="114">
        <f>(Y457/1000*Y462)</f>
        <v>0.35039999999999999</v>
      </c>
      <c r="Z464" s="115">
        <f>(Z457/1000*Z462)</f>
        <v>0.35039999999999999</v>
      </c>
      <c r="AA464" s="115">
        <f>(AA457/1000*AA462)</f>
        <v>0.35039999999999999</v>
      </c>
      <c r="AB464" s="105">
        <f>(AB457/1000*AB462)</f>
        <v>0.35039999999999999</v>
      </c>
      <c r="AC464" s="113">
        <f t="shared" ref="AC464:AW464" si="803">(AC457/1000*AC462)</f>
        <v>1.4016</v>
      </c>
      <c r="AD464" s="114">
        <f t="shared" si="803"/>
        <v>0.35039999999999999</v>
      </c>
      <c r="AE464" s="115">
        <f t="shared" si="803"/>
        <v>0.35039999999999999</v>
      </c>
      <c r="AF464" s="115">
        <f t="shared" si="803"/>
        <v>0.35039999999999999</v>
      </c>
      <c r="AG464" s="105">
        <f t="shared" si="803"/>
        <v>0.35039999999999999</v>
      </c>
      <c r="AH464" s="113">
        <f t="shared" si="803"/>
        <v>1.4016</v>
      </c>
      <c r="AI464" s="114">
        <f t="shared" si="803"/>
        <v>0.35039999999999999</v>
      </c>
      <c r="AJ464" s="115">
        <f t="shared" si="803"/>
        <v>0.35039999999999999</v>
      </c>
      <c r="AK464" s="115">
        <f t="shared" si="803"/>
        <v>0.35039999999999999</v>
      </c>
      <c r="AL464" s="105">
        <f t="shared" si="803"/>
        <v>0.35039999999999999</v>
      </c>
      <c r="AM464" s="113">
        <f t="shared" si="803"/>
        <v>1.4016</v>
      </c>
      <c r="AN464" s="114">
        <f t="shared" si="803"/>
        <v>0.35039999999999999</v>
      </c>
      <c r="AO464" s="115">
        <f t="shared" si="803"/>
        <v>0.35039999999999999</v>
      </c>
      <c r="AP464" s="115">
        <f t="shared" ref="AP464" si="804">(AP457/1000*AP462)</f>
        <v>0.35039999999999999</v>
      </c>
      <c r="AQ464" s="105">
        <f t="shared" si="803"/>
        <v>0.35039999999999999</v>
      </c>
      <c r="AR464" s="113">
        <f t="shared" si="803"/>
        <v>1.4016</v>
      </c>
      <c r="AS464" s="114">
        <f t="shared" ref="AS464" si="805">(AS457/1000*AS462)</f>
        <v>0.35039999999999999</v>
      </c>
      <c r="AT464" s="115">
        <f t="shared" si="803"/>
        <v>0.35039999999999999</v>
      </c>
      <c r="AU464" s="115">
        <f t="shared" ref="AU464" si="806">(AU457/1000*AU462)</f>
        <v>0.35039999999999999</v>
      </c>
      <c r="AV464" s="105">
        <f t="shared" si="803"/>
        <v>0.35039999999999999</v>
      </c>
      <c r="AW464" s="113">
        <f t="shared" si="803"/>
        <v>1.4016</v>
      </c>
      <c r="AX464" s="114">
        <f>(AX457/1000*AX462)</f>
        <v>0.35039999999999999</v>
      </c>
      <c r="AY464" s="115">
        <f>(AY457/1000*AY462)</f>
        <v>0.35039999999999999</v>
      </c>
      <c r="AZ464" s="115">
        <f>(AZ457/1000*AZ462)</f>
        <v>0.35039999999999999</v>
      </c>
      <c r="BA464" s="105">
        <f>(BA457/1000*BA462)</f>
        <v>0.35039999999999999</v>
      </c>
      <c r="BB464" s="113">
        <f>(BB457/1000*BB462)</f>
        <v>1.4016</v>
      </c>
      <c r="BC464" s="114">
        <f t="shared" ref="BC464:BL464" si="807">(BC457/1000*BC462)</f>
        <v>0.35039999999999999</v>
      </c>
      <c r="BD464" s="115">
        <f t="shared" si="807"/>
        <v>0.35039999999999999</v>
      </c>
      <c r="BE464" s="115">
        <f t="shared" si="807"/>
        <v>0.35039999999999999</v>
      </c>
      <c r="BF464" s="105">
        <f t="shared" si="807"/>
        <v>0.35039999999999999</v>
      </c>
      <c r="BG464" s="113">
        <f t="shared" si="807"/>
        <v>1.4016</v>
      </c>
      <c r="BH464" s="114">
        <f t="shared" si="807"/>
        <v>0.35039999999999999</v>
      </c>
      <c r="BI464" s="115">
        <f t="shared" si="807"/>
        <v>0.35039999999999999</v>
      </c>
      <c r="BJ464" s="115">
        <f t="shared" si="807"/>
        <v>0.35039999999999999</v>
      </c>
      <c r="BK464" s="105">
        <f t="shared" si="807"/>
        <v>0.35039999999999999</v>
      </c>
      <c r="BL464" s="113">
        <f t="shared" si="807"/>
        <v>1.4016</v>
      </c>
      <c r="BM464" s="114">
        <f t="shared" ref="BM464:BQ464" si="808">(BM457/1000*BM462)</f>
        <v>0.35039999999999999</v>
      </c>
      <c r="BN464" s="115">
        <f t="shared" si="808"/>
        <v>0.35039999999999999</v>
      </c>
      <c r="BO464" s="115">
        <f t="shared" si="808"/>
        <v>0.35039999999999999</v>
      </c>
      <c r="BP464" s="105">
        <f t="shared" si="808"/>
        <v>0.35039999999999999</v>
      </c>
      <c r="BQ464" s="113">
        <f t="shared" si="808"/>
        <v>1.4016</v>
      </c>
      <c r="BR464" s="87"/>
      <c r="BS464" s="87"/>
      <c r="BZ464" s="91"/>
      <c r="CA464" s="1327"/>
      <c r="CB464" s="1327"/>
      <c r="CC464" s="1327"/>
      <c r="CD464" s="91"/>
      <c r="CE464" s="91"/>
      <c r="CF464" s="91"/>
      <c r="CG464" s="91"/>
      <c r="CH464" s="91"/>
      <c r="CI464" s="91"/>
      <c r="CJ464" s="91"/>
      <c r="CK464" s="91"/>
      <c r="CL464" s="91"/>
      <c r="CM464" s="91"/>
      <c r="CN464" s="91"/>
      <c r="CO464" s="91"/>
      <c r="CP464" s="91"/>
      <c r="CQ464" s="91"/>
      <c r="CR464" s="1018"/>
      <c r="CS464" s="1018"/>
      <c r="CT464" s="821"/>
      <c r="CU464" s="12"/>
      <c r="CV464" s="12"/>
      <c r="CW464" s="12"/>
      <c r="CX464" s="12"/>
      <c r="CY464" s="12"/>
      <c r="CZ464" s="91"/>
      <c r="DA464" s="91"/>
      <c r="DB464" s="91"/>
      <c r="DC464" s="91"/>
      <c r="DD464" s="91"/>
      <c r="DE464" s="91"/>
      <c r="DF464" s="12"/>
      <c r="DG464" s="12"/>
      <c r="DH464" s="12"/>
      <c r="DI464" s="12"/>
      <c r="DJ464" s="12"/>
      <c r="DK464" s="12"/>
      <c r="DL464" s="12"/>
      <c r="DM464" s="12"/>
      <c r="DN464" s="12"/>
    </row>
    <row r="465" spans="1:118">
      <c r="A465" s="91"/>
      <c r="B465" s="89"/>
      <c r="C465" s="1179" t="s">
        <v>683</v>
      </c>
      <c r="D465" s="89"/>
      <c r="E465" s="145"/>
      <c r="F465" s="146"/>
      <c r="G465" s="146"/>
      <c r="H465" s="147"/>
      <c r="I465" s="87"/>
      <c r="J465" s="145"/>
      <c r="K465" s="146"/>
      <c r="L465" s="146"/>
      <c r="M465" s="147"/>
      <c r="N465" s="89"/>
      <c r="O465" s="145"/>
      <c r="P465" s="146"/>
      <c r="Q465" s="146"/>
      <c r="R465" s="147"/>
      <c r="S465" s="89"/>
      <c r="T465" s="114"/>
      <c r="U465" s="115"/>
      <c r="V465" s="115"/>
      <c r="W465" s="105"/>
      <c r="X465" s="113"/>
      <c r="Y465" s="114">
        <v>0</v>
      </c>
      <c r="Z465" s="115">
        <v>0</v>
      </c>
      <c r="AA465" s="115">
        <v>0</v>
      </c>
      <c r="AB465" s="105">
        <v>0</v>
      </c>
      <c r="AC465" s="113">
        <v>0</v>
      </c>
      <c r="AD465" s="114">
        <v>0</v>
      </c>
      <c r="AE465" s="115">
        <v>0</v>
      </c>
      <c r="AF465" s="115">
        <v>0</v>
      </c>
      <c r="AG465" s="105">
        <v>0</v>
      </c>
      <c r="AH465" s="113">
        <v>0</v>
      </c>
      <c r="AI465" s="114">
        <v>0</v>
      </c>
      <c r="AJ465" s="115">
        <v>0</v>
      </c>
      <c r="AK465" s="115">
        <v>0</v>
      </c>
      <c r="AL465" s="105">
        <v>0</v>
      </c>
      <c r="AM465" s="113">
        <v>0</v>
      </c>
      <c r="AN465" s="114">
        <v>0</v>
      </c>
      <c r="AO465" s="115">
        <v>0</v>
      </c>
      <c r="AP465" s="115">
        <v>0</v>
      </c>
      <c r="AQ465" s="105">
        <v>0</v>
      </c>
      <c r="AR465" s="113">
        <v>0</v>
      </c>
      <c r="AS465" s="114">
        <v>0</v>
      </c>
      <c r="AT465" s="115">
        <v>0</v>
      </c>
      <c r="AU465" s="115">
        <v>0</v>
      </c>
      <c r="AV465" s="105">
        <v>0</v>
      </c>
      <c r="AW465" s="113">
        <v>0</v>
      </c>
      <c r="AX465" s="114">
        <v>0</v>
      </c>
      <c r="AY465" s="115">
        <v>0</v>
      </c>
      <c r="AZ465" s="115">
        <v>0</v>
      </c>
      <c r="BA465" s="105">
        <v>0</v>
      </c>
      <c r="BB465" s="113">
        <v>0</v>
      </c>
      <c r="BC465" s="114">
        <v>0</v>
      </c>
      <c r="BD465" s="115">
        <v>0</v>
      </c>
      <c r="BE465" s="115">
        <v>0</v>
      </c>
      <c r="BF465" s="105">
        <v>0</v>
      </c>
      <c r="BG465" s="113">
        <v>0</v>
      </c>
      <c r="BH465" s="114">
        <v>0</v>
      </c>
      <c r="BI465" s="115">
        <v>0</v>
      </c>
      <c r="BJ465" s="115">
        <v>0</v>
      </c>
      <c r="BK465" s="105">
        <v>0</v>
      </c>
      <c r="BL465" s="113">
        <v>0</v>
      </c>
      <c r="BM465" s="114">
        <v>0</v>
      </c>
      <c r="BN465" s="115">
        <v>0</v>
      </c>
      <c r="BO465" s="115">
        <v>0</v>
      </c>
      <c r="BP465" s="105">
        <v>0</v>
      </c>
      <c r="BQ465" s="113">
        <v>0</v>
      </c>
      <c r="BR465" s="87"/>
      <c r="BS465" s="87"/>
      <c r="BZ465" s="91"/>
      <c r="CA465" s="91"/>
      <c r="CB465" s="91"/>
      <c r="CC465" s="91"/>
      <c r="CD465" s="91"/>
      <c r="CE465" s="91"/>
      <c r="CF465" s="91"/>
      <c r="CG465" s="91"/>
      <c r="CH465" s="91"/>
      <c r="CI465" s="91"/>
      <c r="CJ465" s="91"/>
      <c r="CK465" s="91"/>
      <c r="CL465" s="91"/>
      <c r="CM465" s="91"/>
      <c r="CN465" s="91"/>
      <c r="CO465" s="91"/>
      <c r="CP465" s="91"/>
      <c r="CQ465" s="91"/>
      <c r="CR465" s="1018"/>
      <c r="CS465" s="1018"/>
      <c r="CT465" s="821"/>
      <c r="CU465" s="12"/>
      <c r="CV465" s="12"/>
      <c r="CW465" s="12"/>
      <c r="CX465" s="12"/>
      <c r="CY465" s="12"/>
      <c r="CZ465" s="91"/>
      <c r="DA465" s="91"/>
      <c r="DB465" s="91"/>
      <c r="DC465" s="91"/>
      <c r="DD465" s="91"/>
      <c r="DE465" s="91"/>
      <c r="DF465" s="12"/>
      <c r="DG465" s="12"/>
      <c r="DH465" s="12"/>
      <c r="DI465" s="12"/>
      <c r="DJ465" s="12"/>
      <c r="DK465" s="12"/>
      <c r="DL465" s="12"/>
      <c r="DM465" s="12"/>
      <c r="DN465" s="12"/>
    </row>
    <row r="466" spans="1:118">
      <c r="A466" s="91"/>
      <c r="B466" s="88"/>
      <c r="C466" s="1186" t="s">
        <v>567</v>
      </c>
      <c r="D466" s="88"/>
      <c r="E466" s="214"/>
      <c r="F466" s="148"/>
      <c r="G466" s="148"/>
      <c r="H466" s="215"/>
      <c r="I466" s="87"/>
      <c r="J466" s="214"/>
      <c r="K466" s="148"/>
      <c r="L466" s="148"/>
      <c r="M466" s="215"/>
      <c r="N466" s="88"/>
      <c r="O466" s="214"/>
      <c r="P466" s="148"/>
      <c r="Q466" s="148"/>
      <c r="R466" s="215"/>
      <c r="S466" s="88"/>
      <c r="T466" s="106"/>
      <c r="U466" s="76"/>
      <c r="V466" s="76"/>
      <c r="W466" s="107"/>
      <c r="X466" s="93"/>
      <c r="Y466" s="106">
        <f t="shared" ref="Y466:AW466" si="809">Y464-Y465</f>
        <v>0.35039999999999999</v>
      </c>
      <c r="Z466" s="76">
        <f t="shared" si="809"/>
        <v>0.35039999999999999</v>
      </c>
      <c r="AA466" s="76">
        <f t="shared" si="809"/>
        <v>0.35039999999999999</v>
      </c>
      <c r="AB466" s="107">
        <f t="shared" si="809"/>
        <v>0.35039999999999999</v>
      </c>
      <c r="AC466" s="93">
        <f t="shared" si="809"/>
        <v>1.4016</v>
      </c>
      <c r="AD466" s="106">
        <f t="shared" si="809"/>
        <v>0.35039999999999999</v>
      </c>
      <c r="AE466" s="76">
        <f t="shared" si="809"/>
        <v>0.35039999999999999</v>
      </c>
      <c r="AF466" s="76">
        <f t="shared" si="809"/>
        <v>0.35039999999999999</v>
      </c>
      <c r="AG466" s="107">
        <f t="shared" si="809"/>
        <v>0.35039999999999999</v>
      </c>
      <c r="AH466" s="93">
        <f t="shared" si="809"/>
        <v>1.4016</v>
      </c>
      <c r="AI466" s="106">
        <f t="shared" si="809"/>
        <v>0.35039999999999999</v>
      </c>
      <c r="AJ466" s="76">
        <f t="shared" si="809"/>
        <v>0.35039999999999999</v>
      </c>
      <c r="AK466" s="76">
        <f t="shared" si="809"/>
        <v>0.35039999999999999</v>
      </c>
      <c r="AL466" s="107">
        <f t="shared" si="809"/>
        <v>0.35039999999999999</v>
      </c>
      <c r="AM466" s="93">
        <f t="shared" si="809"/>
        <v>1.4016</v>
      </c>
      <c r="AN466" s="106">
        <f t="shared" si="809"/>
        <v>0.35039999999999999</v>
      </c>
      <c r="AO466" s="76">
        <f t="shared" si="809"/>
        <v>0.35039999999999999</v>
      </c>
      <c r="AP466" s="76">
        <f t="shared" ref="AP466" si="810">AP464-AP465</f>
        <v>0.35039999999999999</v>
      </c>
      <c r="AQ466" s="107">
        <f t="shared" si="809"/>
        <v>0.35039999999999999</v>
      </c>
      <c r="AR466" s="93">
        <f t="shared" si="809"/>
        <v>1.4016</v>
      </c>
      <c r="AS466" s="106">
        <f t="shared" ref="AS466" si="811">AS464-AS465</f>
        <v>0.35039999999999999</v>
      </c>
      <c r="AT466" s="76">
        <f t="shared" si="809"/>
        <v>0.35039999999999999</v>
      </c>
      <c r="AU466" s="76">
        <f t="shared" ref="AU466" si="812">AU464-AU465</f>
        <v>0.35039999999999999</v>
      </c>
      <c r="AV466" s="107">
        <f t="shared" si="809"/>
        <v>0.35039999999999999</v>
      </c>
      <c r="AW466" s="93">
        <f t="shared" si="809"/>
        <v>1.4016</v>
      </c>
      <c r="AX466" s="106">
        <f>AX464-AX465</f>
        <v>0.35039999999999999</v>
      </c>
      <c r="AY466" s="76">
        <f>AY464-AY465</f>
        <v>0.35039999999999999</v>
      </c>
      <c r="AZ466" s="76">
        <f>AZ464-AZ465</f>
        <v>0.35039999999999999</v>
      </c>
      <c r="BA466" s="107">
        <f>BA464-BA465</f>
        <v>0.35039999999999999</v>
      </c>
      <c r="BB466" s="93">
        <f>BB464-BB465</f>
        <v>1.4016</v>
      </c>
      <c r="BC466" s="106">
        <f t="shared" ref="BC466:BL466" si="813">BC464-BC465</f>
        <v>0.35039999999999999</v>
      </c>
      <c r="BD466" s="76">
        <f t="shared" si="813"/>
        <v>0.35039999999999999</v>
      </c>
      <c r="BE466" s="76">
        <f t="shared" si="813"/>
        <v>0.35039999999999999</v>
      </c>
      <c r="BF466" s="107">
        <f t="shared" si="813"/>
        <v>0.35039999999999999</v>
      </c>
      <c r="BG466" s="93">
        <f t="shared" si="813"/>
        <v>1.4016</v>
      </c>
      <c r="BH466" s="106">
        <f t="shared" si="813"/>
        <v>0.35039999999999999</v>
      </c>
      <c r="BI466" s="76">
        <f t="shared" si="813"/>
        <v>0.35039999999999999</v>
      </c>
      <c r="BJ466" s="76">
        <f t="shared" si="813"/>
        <v>0.35039999999999999</v>
      </c>
      <c r="BK466" s="107">
        <f t="shared" si="813"/>
        <v>0.35039999999999999</v>
      </c>
      <c r="BL466" s="93">
        <f t="shared" si="813"/>
        <v>1.4016</v>
      </c>
      <c r="BM466" s="106">
        <f t="shared" ref="BM466:BQ466" si="814">BM464-BM465</f>
        <v>0.35039999999999999</v>
      </c>
      <c r="BN466" s="76">
        <f t="shared" si="814"/>
        <v>0.35039999999999999</v>
      </c>
      <c r="BO466" s="76">
        <f t="shared" si="814"/>
        <v>0.35039999999999999</v>
      </c>
      <c r="BP466" s="107">
        <f t="shared" si="814"/>
        <v>0.35039999999999999</v>
      </c>
      <c r="BQ466" s="93">
        <f t="shared" si="814"/>
        <v>1.4016</v>
      </c>
      <c r="BR466" s="87"/>
      <c r="BS466" s="87"/>
      <c r="BZ466" s="91"/>
      <c r="CA466" s="91"/>
      <c r="CB466" s="91"/>
      <c r="CC466" s="91"/>
      <c r="CD466" s="91"/>
      <c r="CE466" s="91"/>
      <c r="CF466" s="91"/>
      <c r="CG466" s="91"/>
      <c r="CH466" s="91"/>
      <c r="CI466" s="91"/>
      <c r="CJ466" s="91"/>
      <c r="CK466" s="91"/>
      <c r="CL466" s="91"/>
      <c r="CM466" s="91"/>
      <c r="CN466" s="91"/>
      <c r="CO466" s="91"/>
      <c r="CP466" s="91"/>
      <c r="CQ466" s="91"/>
      <c r="CR466" s="1018"/>
      <c r="CS466" s="1018"/>
      <c r="CT466" s="821"/>
      <c r="CU466" s="12"/>
      <c r="CV466" s="12"/>
      <c r="CW466" s="12"/>
      <c r="CX466" s="12"/>
      <c r="CY466" s="12"/>
      <c r="CZ466" s="91"/>
      <c r="DA466" s="91"/>
      <c r="DB466" s="91"/>
      <c r="DC466" s="91"/>
      <c r="DD466" s="91"/>
      <c r="DE466" s="91"/>
      <c r="DF466" s="12"/>
      <c r="DG466" s="12"/>
      <c r="DH466" s="12"/>
      <c r="DI466" s="12"/>
      <c r="DJ466" s="12"/>
      <c r="DK466" s="12"/>
      <c r="DL466" s="12"/>
      <c r="DM466" s="12"/>
      <c r="DN466" s="12"/>
    </row>
    <row r="467" spans="1:118">
      <c r="A467" s="91"/>
      <c r="B467" s="88"/>
      <c r="C467" s="1186"/>
      <c r="D467" s="88"/>
      <c r="E467" s="214"/>
      <c r="F467" s="148"/>
      <c r="G467" s="148"/>
      <c r="H467" s="215"/>
      <c r="I467" s="87"/>
      <c r="J467" s="214"/>
      <c r="K467" s="148"/>
      <c r="L467" s="148"/>
      <c r="M467" s="215"/>
      <c r="N467" s="88"/>
      <c r="O467" s="214"/>
      <c r="P467" s="148"/>
      <c r="Q467" s="148"/>
      <c r="R467" s="215"/>
      <c r="S467" s="88"/>
      <c r="T467" s="106"/>
      <c r="U467" s="76"/>
      <c r="V467" s="76"/>
      <c r="W467" s="107"/>
      <c r="X467" s="93"/>
      <c r="Y467" s="106"/>
      <c r="Z467" s="76"/>
      <c r="AA467" s="76"/>
      <c r="AB467" s="107"/>
      <c r="AC467" s="93"/>
      <c r="AD467" s="106"/>
      <c r="AE467" s="76"/>
      <c r="AF467" s="76"/>
      <c r="AG467" s="107"/>
      <c r="AH467" s="93"/>
      <c r="AI467" s="106"/>
      <c r="AJ467" s="76"/>
      <c r="AK467" s="76"/>
      <c r="AL467" s="107"/>
      <c r="AM467" s="93"/>
      <c r="AN467" s="106"/>
      <c r="AO467" s="76"/>
      <c r="AP467" s="76"/>
      <c r="AQ467" s="107"/>
      <c r="AR467" s="93"/>
      <c r="AS467" s="106"/>
      <c r="AT467" s="76"/>
      <c r="AU467" s="76"/>
      <c r="AV467" s="107"/>
      <c r="AW467" s="93"/>
      <c r="AX467" s="106"/>
      <c r="AY467" s="76"/>
      <c r="AZ467" s="76"/>
      <c r="BA467" s="107"/>
      <c r="BB467" s="93"/>
      <c r="BC467" s="106"/>
      <c r="BD467" s="76"/>
      <c r="BE467" s="76"/>
      <c r="BF467" s="107"/>
      <c r="BG467" s="93"/>
      <c r="BH467" s="106"/>
      <c r="BI467" s="76"/>
      <c r="BJ467" s="76"/>
      <c r="BK467" s="107"/>
      <c r="BL467" s="93"/>
      <c r="BM467" s="106"/>
      <c r="BN467" s="76"/>
      <c r="BO467" s="76"/>
      <c r="BP467" s="107"/>
      <c r="BQ467" s="93"/>
      <c r="BR467" s="87"/>
      <c r="BS467" s="87"/>
      <c r="BZ467" s="91"/>
      <c r="CA467" s="91"/>
      <c r="CB467" s="91"/>
      <c r="CC467" s="91"/>
      <c r="CD467" s="91"/>
      <c r="CE467" s="91"/>
      <c r="CF467" s="91"/>
      <c r="CG467" s="91"/>
      <c r="CH467" s="91"/>
      <c r="CI467" s="91"/>
      <c r="CJ467" s="91"/>
      <c r="CK467" s="91"/>
      <c r="CL467" s="91"/>
      <c r="CM467" s="91"/>
      <c r="CN467" s="91"/>
      <c r="CO467" s="91"/>
      <c r="CP467" s="91"/>
      <c r="CQ467" s="91"/>
      <c r="CR467" s="1018"/>
      <c r="CS467" s="1018"/>
      <c r="CT467" s="821"/>
      <c r="CU467" s="12"/>
      <c r="CV467" s="12"/>
      <c r="CW467" s="12"/>
      <c r="CX467" s="12"/>
      <c r="CY467" s="12"/>
      <c r="CZ467" s="91"/>
      <c r="DA467" s="91"/>
      <c r="DB467" s="91"/>
      <c r="DC467" s="91"/>
      <c r="DD467" s="91"/>
      <c r="DE467" s="91"/>
      <c r="DF467" s="12"/>
      <c r="DG467" s="12"/>
      <c r="DH467" s="12"/>
      <c r="DI467" s="12"/>
      <c r="DJ467" s="12"/>
      <c r="DK467" s="12"/>
      <c r="DL467" s="12"/>
      <c r="DM467" s="12"/>
      <c r="DN467" s="12"/>
    </row>
    <row r="468" spans="1:118">
      <c r="A468" s="91"/>
      <c r="B468" s="88"/>
      <c r="C468" s="1255" t="s">
        <v>457</v>
      </c>
      <c r="D468" s="89"/>
      <c r="E468" s="145"/>
      <c r="F468" s="146"/>
      <c r="G468" s="146"/>
      <c r="H468" s="147"/>
      <c r="I468" s="1021"/>
      <c r="J468" s="145"/>
      <c r="K468" s="146"/>
      <c r="L468" s="146"/>
      <c r="M468" s="147"/>
      <c r="N468" s="89"/>
      <c r="O468" s="145"/>
      <c r="P468" s="146"/>
      <c r="Q468" s="146"/>
      <c r="R468" s="147"/>
      <c r="S468" s="89"/>
      <c r="T468" s="145"/>
      <c r="U468" s="146"/>
      <c r="V468" s="146"/>
      <c r="W468" s="147"/>
      <c r="X468" s="89"/>
      <c r="Y468" s="145"/>
      <c r="Z468" s="146"/>
      <c r="AA468" s="146"/>
      <c r="AB468" s="147"/>
      <c r="AC468" s="89"/>
      <c r="AD468" s="145"/>
      <c r="AE468" s="146"/>
      <c r="AF468" s="146"/>
      <c r="AG468" s="147"/>
      <c r="AH468" s="89"/>
      <c r="AI468" s="145"/>
      <c r="AJ468" s="146"/>
      <c r="AK468" s="146"/>
      <c r="AL468" s="147"/>
      <c r="AM468" s="89"/>
      <c r="AN468" s="145"/>
      <c r="AO468" s="146"/>
      <c r="AP468" s="146"/>
      <c r="AQ468" s="147"/>
      <c r="AR468" s="89"/>
      <c r="AS468" s="145"/>
      <c r="AT468" s="146"/>
      <c r="AU468" s="146"/>
      <c r="AV468" s="147"/>
      <c r="AW468" s="89"/>
      <c r="AX468" s="145"/>
      <c r="AY468" s="146"/>
      <c r="AZ468" s="146"/>
      <c r="BA468" s="147"/>
      <c r="BB468" s="89"/>
      <c r="BC468" s="145"/>
      <c r="BD468" s="146"/>
      <c r="BE468" s="146"/>
      <c r="BF468" s="147"/>
      <c r="BG468" s="89"/>
      <c r="BH468" s="145"/>
      <c r="BI468" s="146"/>
      <c r="BJ468" s="146"/>
      <c r="BK468" s="147"/>
      <c r="BL468" s="89"/>
      <c r="BM468" s="145"/>
      <c r="BN468" s="146"/>
      <c r="BO468" s="146"/>
      <c r="BP468" s="147"/>
      <c r="BQ468" s="89"/>
      <c r="BR468" s="87"/>
      <c r="BS468" s="87"/>
      <c r="BZ468" s="91"/>
      <c r="CA468" s="91"/>
      <c r="CB468" s="91"/>
      <c r="CC468" s="91"/>
      <c r="CD468" s="91"/>
      <c r="CE468" s="91"/>
      <c r="CF468" s="91"/>
      <c r="CG468" s="91"/>
      <c r="CH468" s="91"/>
      <c r="CI468" s="91"/>
      <c r="CJ468" s="91"/>
      <c r="CK468" s="91"/>
      <c r="CL468" s="91"/>
      <c r="CM468" s="91"/>
      <c r="CN468" s="91"/>
      <c r="CO468" s="91"/>
      <c r="CP468" s="91"/>
      <c r="CQ468" s="91"/>
      <c r="CR468" s="1018"/>
      <c r="CS468" s="1018"/>
      <c r="CT468" s="821"/>
      <c r="CU468" s="12"/>
      <c r="CV468" s="12"/>
      <c r="CW468" s="12"/>
      <c r="CX468" s="12"/>
      <c r="CY468" s="12"/>
      <c r="CZ468" s="91"/>
      <c r="DA468" s="91"/>
      <c r="DB468" s="91"/>
      <c r="DC468" s="91"/>
      <c r="DD468" s="91"/>
      <c r="DE468" s="91"/>
      <c r="DF468" s="12"/>
      <c r="DG468" s="12"/>
      <c r="DH468" s="12"/>
      <c r="DI468" s="12"/>
      <c r="DJ468" s="12"/>
      <c r="DK468" s="12"/>
      <c r="DL468" s="12"/>
      <c r="DM468" s="12"/>
      <c r="DN468" s="12"/>
    </row>
    <row r="469" spans="1:118">
      <c r="A469" s="91"/>
      <c r="B469" s="88"/>
      <c r="C469" s="1184" t="s">
        <v>458</v>
      </c>
      <c r="D469" s="89"/>
      <c r="E469" s="145"/>
      <c r="F469" s="146"/>
      <c r="G469" s="146"/>
      <c r="H469" s="147"/>
      <c r="I469" s="1072">
        <v>10</v>
      </c>
      <c r="J469" s="145"/>
      <c r="K469" s="146"/>
      <c r="L469" s="146"/>
      <c r="M469" s="147"/>
      <c r="N469" s="89"/>
      <c r="O469" s="145"/>
      <c r="P469" s="146"/>
      <c r="Q469" s="146"/>
      <c r="R469" s="147"/>
      <c r="S469" s="89"/>
      <c r="T469" s="342"/>
      <c r="U469" s="150"/>
      <c r="V469" s="150"/>
      <c r="W469" s="343"/>
      <c r="X469" s="327"/>
      <c r="Y469" s="342">
        <f>+$I469</f>
        <v>10</v>
      </c>
      <c r="Z469" s="150">
        <f>+$I469</f>
        <v>10</v>
      </c>
      <c r="AA469" s="150">
        <f>+$I469</f>
        <v>10</v>
      </c>
      <c r="AB469" s="343">
        <f>+$I469</f>
        <v>10</v>
      </c>
      <c r="AC469" s="327">
        <f t="shared" ref="AC469:BQ469" si="815">+$I469</f>
        <v>10</v>
      </c>
      <c r="AD469" s="342">
        <f t="shared" si="815"/>
        <v>10</v>
      </c>
      <c r="AE469" s="150">
        <f t="shared" si="815"/>
        <v>10</v>
      </c>
      <c r="AF469" s="150">
        <f t="shared" si="815"/>
        <v>10</v>
      </c>
      <c r="AG469" s="343">
        <f t="shared" si="815"/>
        <v>10</v>
      </c>
      <c r="AH469" s="327">
        <f t="shared" si="815"/>
        <v>10</v>
      </c>
      <c r="AI469" s="342">
        <f t="shared" si="815"/>
        <v>10</v>
      </c>
      <c r="AJ469" s="150">
        <f t="shared" si="815"/>
        <v>10</v>
      </c>
      <c r="AK469" s="150">
        <f t="shared" si="815"/>
        <v>10</v>
      </c>
      <c r="AL469" s="343">
        <f t="shared" si="815"/>
        <v>10</v>
      </c>
      <c r="AM469" s="327">
        <f t="shared" si="815"/>
        <v>10</v>
      </c>
      <c r="AN469" s="342">
        <f t="shared" si="815"/>
        <v>10</v>
      </c>
      <c r="AO469" s="150">
        <f t="shared" si="815"/>
        <v>10</v>
      </c>
      <c r="AP469" s="150">
        <f t="shared" si="815"/>
        <v>10</v>
      </c>
      <c r="AQ469" s="343">
        <f t="shared" si="815"/>
        <v>10</v>
      </c>
      <c r="AR469" s="327">
        <f t="shared" si="815"/>
        <v>10</v>
      </c>
      <c r="AS469" s="342">
        <f t="shared" si="815"/>
        <v>10</v>
      </c>
      <c r="AT469" s="150">
        <f t="shared" si="815"/>
        <v>10</v>
      </c>
      <c r="AU469" s="150">
        <f t="shared" si="815"/>
        <v>10</v>
      </c>
      <c r="AV469" s="343">
        <f t="shared" si="815"/>
        <v>10</v>
      </c>
      <c r="AW469" s="327">
        <f t="shared" si="815"/>
        <v>10</v>
      </c>
      <c r="AX469" s="342">
        <f t="shared" si="815"/>
        <v>10</v>
      </c>
      <c r="AY469" s="150">
        <f t="shared" si="815"/>
        <v>10</v>
      </c>
      <c r="AZ469" s="150">
        <f t="shared" si="815"/>
        <v>10</v>
      </c>
      <c r="BA469" s="343">
        <f t="shared" si="815"/>
        <v>10</v>
      </c>
      <c r="BB469" s="327">
        <f t="shared" si="815"/>
        <v>10</v>
      </c>
      <c r="BC469" s="342">
        <f t="shared" si="815"/>
        <v>10</v>
      </c>
      <c r="BD469" s="150">
        <f t="shared" si="815"/>
        <v>10</v>
      </c>
      <c r="BE469" s="150">
        <f t="shared" si="815"/>
        <v>10</v>
      </c>
      <c r="BF469" s="343">
        <f t="shared" si="815"/>
        <v>10</v>
      </c>
      <c r="BG469" s="327">
        <f t="shared" si="815"/>
        <v>10</v>
      </c>
      <c r="BH469" s="342">
        <f t="shared" si="815"/>
        <v>10</v>
      </c>
      <c r="BI469" s="150">
        <f t="shared" si="815"/>
        <v>10</v>
      </c>
      <c r="BJ469" s="150">
        <f t="shared" si="815"/>
        <v>10</v>
      </c>
      <c r="BK469" s="343">
        <f t="shared" si="815"/>
        <v>10</v>
      </c>
      <c r="BL469" s="327">
        <f t="shared" si="815"/>
        <v>10</v>
      </c>
      <c r="BM469" s="342">
        <f t="shared" si="815"/>
        <v>10</v>
      </c>
      <c r="BN469" s="150">
        <f t="shared" si="815"/>
        <v>10</v>
      </c>
      <c r="BO469" s="150">
        <f t="shared" si="815"/>
        <v>10</v>
      </c>
      <c r="BP469" s="343">
        <f t="shared" si="815"/>
        <v>10</v>
      </c>
      <c r="BQ469" s="327">
        <f t="shared" si="815"/>
        <v>10</v>
      </c>
      <c r="BR469" s="87"/>
      <c r="BS469" s="87"/>
      <c r="BZ469" s="91"/>
      <c r="CA469" s="91"/>
      <c r="CB469" s="91"/>
      <c r="CC469" s="91"/>
      <c r="CD469" s="91"/>
      <c r="CE469" s="91"/>
      <c r="CF469" s="91"/>
      <c r="CG469" s="91"/>
      <c r="CH469" s="91"/>
      <c r="CI469" s="91"/>
      <c r="CJ469" s="91"/>
      <c r="CK469" s="91"/>
      <c r="CL469" s="91"/>
      <c r="CM469" s="91"/>
      <c r="CN469" s="91"/>
      <c r="CO469" s="91"/>
      <c r="CP469" s="91"/>
      <c r="CQ469" s="91"/>
      <c r="CR469" s="1018"/>
      <c r="CS469" s="1018"/>
      <c r="CT469" s="821"/>
      <c r="CU469" s="12"/>
      <c r="CV469" s="12"/>
      <c r="CW469" s="12"/>
      <c r="CX469" s="12"/>
      <c r="CY469" s="12"/>
      <c r="CZ469" s="91"/>
      <c r="DA469" s="91"/>
      <c r="DB469" s="91"/>
      <c r="DC469" s="91"/>
      <c r="DD469" s="91"/>
      <c r="DE469" s="91"/>
      <c r="DF469" s="12"/>
      <c r="DG469" s="12"/>
      <c r="DH469" s="12"/>
      <c r="DI469" s="12"/>
      <c r="DJ469" s="12"/>
      <c r="DK469" s="12"/>
      <c r="DL469" s="12"/>
      <c r="DM469" s="12"/>
      <c r="DN469" s="12"/>
    </row>
    <row r="470" spans="1:118">
      <c r="A470" s="91"/>
      <c r="B470" s="88"/>
      <c r="C470" s="1179"/>
      <c r="D470" s="89"/>
      <c r="E470" s="145"/>
      <c r="F470" s="146"/>
      <c r="G470" s="146"/>
      <c r="H470" s="147"/>
      <c r="I470" s="891"/>
      <c r="J470" s="145"/>
      <c r="K470" s="146"/>
      <c r="L470" s="146"/>
      <c r="M470" s="147"/>
      <c r="N470" s="89"/>
      <c r="O470" s="145"/>
      <c r="P470" s="146"/>
      <c r="Q470" s="146"/>
      <c r="R470" s="147"/>
      <c r="S470" s="89"/>
      <c r="T470" s="342"/>
      <c r="U470" s="150"/>
      <c r="V470" s="150"/>
      <c r="W470" s="343"/>
      <c r="X470" s="327"/>
      <c r="Y470" s="342"/>
      <c r="Z470" s="150"/>
      <c r="AA470" s="150"/>
      <c r="AB470" s="343"/>
      <c r="AC470" s="327"/>
      <c r="AD470" s="342"/>
      <c r="AE470" s="150"/>
      <c r="AF470" s="150"/>
      <c r="AG470" s="343"/>
      <c r="AH470" s="327"/>
      <c r="AI470" s="342"/>
      <c r="AJ470" s="150"/>
      <c r="AK470" s="150"/>
      <c r="AL470" s="343"/>
      <c r="AM470" s="327"/>
      <c r="AN470" s="342"/>
      <c r="AO470" s="150"/>
      <c r="AP470" s="150"/>
      <c r="AQ470" s="343"/>
      <c r="AR470" s="327"/>
      <c r="AS470" s="342"/>
      <c r="AT470" s="150"/>
      <c r="AU470" s="150"/>
      <c r="AV470" s="343"/>
      <c r="AW470" s="327"/>
      <c r="AX470" s="342"/>
      <c r="AY470" s="150"/>
      <c r="AZ470" s="150"/>
      <c r="BA470" s="343"/>
      <c r="BB470" s="327"/>
      <c r="BC470" s="342"/>
      <c r="BD470" s="150"/>
      <c r="BE470" s="150"/>
      <c r="BF470" s="343"/>
      <c r="BG470" s="327"/>
      <c r="BH470" s="342"/>
      <c r="BI470" s="150"/>
      <c r="BJ470" s="150"/>
      <c r="BK470" s="343"/>
      <c r="BL470" s="327"/>
      <c r="BM470" s="342"/>
      <c r="BN470" s="150"/>
      <c r="BO470" s="150"/>
      <c r="BP470" s="343"/>
      <c r="BQ470" s="327"/>
      <c r="BR470" s="87"/>
      <c r="BS470" s="87"/>
      <c r="BZ470" s="91"/>
      <c r="CA470" s="91"/>
      <c r="CB470" s="91"/>
      <c r="CC470" s="91"/>
      <c r="CD470" s="91"/>
      <c r="CE470" s="91"/>
      <c r="CF470" s="91"/>
      <c r="CG470" s="91"/>
      <c r="CH470" s="91"/>
      <c r="CI470" s="91"/>
      <c r="CJ470" s="91"/>
      <c r="CK470" s="91"/>
      <c r="CL470" s="91"/>
      <c r="CM470" s="91"/>
      <c r="CN470" s="91"/>
      <c r="CO470" s="91"/>
      <c r="CP470" s="91"/>
      <c r="CQ470" s="91"/>
      <c r="CR470" s="1018"/>
      <c r="CS470" s="1018"/>
      <c r="CT470" s="821"/>
      <c r="CU470" s="12"/>
      <c r="CV470" s="12"/>
      <c r="CW470" s="12"/>
      <c r="CX470" s="12"/>
      <c r="CY470" s="12"/>
      <c r="CZ470" s="91"/>
      <c r="DA470" s="91"/>
      <c r="DB470" s="91"/>
      <c r="DC470" s="91"/>
      <c r="DD470" s="91"/>
      <c r="DE470" s="91"/>
      <c r="DF470" s="12"/>
      <c r="DG470" s="12"/>
      <c r="DH470" s="12"/>
      <c r="DI470" s="12"/>
      <c r="DJ470" s="12"/>
      <c r="DK470" s="12"/>
      <c r="DL470" s="12"/>
      <c r="DM470" s="12"/>
      <c r="DN470" s="12"/>
    </row>
    <row r="471" spans="1:118">
      <c r="A471" s="91"/>
      <c r="B471" s="88"/>
      <c r="C471" s="1186" t="s">
        <v>574</v>
      </c>
      <c r="D471" s="88"/>
      <c r="E471" s="106"/>
      <c r="F471" s="76"/>
      <c r="G471" s="76"/>
      <c r="H471" s="107"/>
      <c r="I471" s="93"/>
      <c r="J471" s="106"/>
      <c r="K471" s="76"/>
      <c r="L471" s="76"/>
      <c r="M471" s="107"/>
      <c r="N471" s="93"/>
      <c r="O471" s="106"/>
      <c r="P471" s="76"/>
      <c r="Q471" s="76"/>
      <c r="R471" s="107"/>
      <c r="S471" s="93"/>
      <c r="T471" s="106"/>
      <c r="U471" s="76"/>
      <c r="V471" s="76"/>
      <c r="W471" s="107"/>
      <c r="X471" s="93"/>
      <c r="Y471" s="106">
        <f>Y535</f>
        <v>476</v>
      </c>
      <c r="Z471" s="76">
        <f t="shared" ref="Z471:AW471" si="816">Z535</f>
        <v>476</v>
      </c>
      <c r="AA471" s="76">
        <f t="shared" si="816"/>
        <v>476</v>
      </c>
      <c r="AB471" s="107">
        <f t="shared" si="816"/>
        <v>476</v>
      </c>
      <c r="AC471" s="93">
        <f t="shared" si="816"/>
        <v>476</v>
      </c>
      <c r="AD471" s="106">
        <f t="shared" si="816"/>
        <v>476</v>
      </c>
      <c r="AE471" s="76">
        <f t="shared" si="816"/>
        <v>476</v>
      </c>
      <c r="AF471" s="76">
        <f t="shared" si="816"/>
        <v>476</v>
      </c>
      <c r="AG471" s="107">
        <f t="shared" si="816"/>
        <v>476</v>
      </c>
      <c r="AH471" s="93">
        <f t="shared" si="816"/>
        <v>476</v>
      </c>
      <c r="AI471" s="106">
        <f t="shared" si="816"/>
        <v>476</v>
      </c>
      <c r="AJ471" s="76">
        <f t="shared" si="816"/>
        <v>476</v>
      </c>
      <c r="AK471" s="76">
        <f t="shared" si="816"/>
        <v>476</v>
      </c>
      <c r="AL471" s="107">
        <f t="shared" si="816"/>
        <v>476</v>
      </c>
      <c r="AM471" s="93">
        <f t="shared" si="816"/>
        <v>476</v>
      </c>
      <c r="AN471" s="106">
        <f t="shared" si="816"/>
        <v>476</v>
      </c>
      <c r="AO471" s="76">
        <f t="shared" si="816"/>
        <v>476</v>
      </c>
      <c r="AP471" s="76">
        <f t="shared" ref="AP471" si="817">AP535</f>
        <v>476</v>
      </c>
      <c r="AQ471" s="107">
        <f t="shared" si="816"/>
        <v>476</v>
      </c>
      <c r="AR471" s="93">
        <f t="shared" si="816"/>
        <v>476</v>
      </c>
      <c r="AS471" s="106">
        <f t="shared" ref="AS471" si="818">AS535</f>
        <v>476</v>
      </c>
      <c r="AT471" s="76">
        <f t="shared" si="816"/>
        <v>476</v>
      </c>
      <c r="AU471" s="76">
        <f t="shared" ref="AU471" si="819">AU535</f>
        <v>476</v>
      </c>
      <c r="AV471" s="107">
        <f t="shared" si="816"/>
        <v>476</v>
      </c>
      <c r="AW471" s="93">
        <f t="shared" si="816"/>
        <v>476</v>
      </c>
      <c r="AX471" s="106">
        <f>AX535</f>
        <v>476</v>
      </c>
      <c r="AY471" s="76">
        <f>AY535</f>
        <v>476</v>
      </c>
      <c r="AZ471" s="76">
        <f>AZ535</f>
        <v>476</v>
      </c>
      <c r="BA471" s="107">
        <f>BA535</f>
        <v>476</v>
      </c>
      <c r="BB471" s="93">
        <f>BB535</f>
        <v>476</v>
      </c>
      <c r="BC471" s="106">
        <f t="shared" ref="BC471:BL471" si="820">BC535</f>
        <v>476</v>
      </c>
      <c r="BD471" s="76">
        <f t="shared" si="820"/>
        <v>476</v>
      </c>
      <c r="BE471" s="76">
        <f t="shared" si="820"/>
        <v>476</v>
      </c>
      <c r="BF471" s="107">
        <f t="shared" si="820"/>
        <v>476</v>
      </c>
      <c r="BG471" s="93">
        <f t="shared" si="820"/>
        <v>476</v>
      </c>
      <c r="BH471" s="106">
        <f t="shared" si="820"/>
        <v>476</v>
      </c>
      <c r="BI471" s="76">
        <f t="shared" si="820"/>
        <v>476</v>
      </c>
      <c r="BJ471" s="76">
        <f t="shared" si="820"/>
        <v>476</v>
      </c>
      <c r="BK471" s="107">
        <f t="shared" si="820"/>
        <v>476</v>
      </c>
      <c r="BL471" s="93">
        <f t="shared" si="820"/>
        <v>476</v>
      </c>
      <c r="BM471" s="106">
        <f t="shared" ref="BM471:BQ471" si="821">BM535</f>
        <v>476</v>
      </c>
      <c r="BN471" s="76">
        <f t="shared" si="821"/>
        <v>476</v>
      </c>
      <c r="BO471" s="76">
        <f t="shared" si="821"/>
        <v>476</v>
      </c>
      <c r="BP471" s="107">
        <f t="shared" si="821"/>
        <v>476</v>
      </c>
      <c r="BQ471" s="93">
        <f t="shared" si="821"/>
        <v>476</v>
      </c>
      <c r="BR471" s="87"/>
      <c r="BS471" s="87"/>
      <c r="BZ471" s="91"/>
      <c r="CA471" s="91"/>
      <c r="CB471" s="91"/>
      <c r="CC471" s="91"/>
      <c r="CD471" s="91"/>
      <c r="CE471" s="91"/>
      <c r="CF471" s="91"/>
      <c r="CG471" s="91"/>
      <c r="CH471" s="91"/>
      <c r="CI471" s="91"/>
      <c r="CJ471" s="91"/>
      <c r="CK471" s="91"/>
      <c r="CL471" s="91"/>
      <c r="CM471" s="91"/>
      <c r="CN471" s="91"/>
      <c r="CO471" s="91"/>
      <c r="CP471" s="91"/>
      <c r="CQ471" s="91"/>
      <c r="CR471" s="1018"/>
      <c r="CS471" s="1018"/>
      <c r="CT471" s="821"/>
      <c r="CU471" s="12"/>
      <c r="CV471" s="12"/>
      <c r="CW471" s="12"/>
      <c r="CX471" s="12"/>
      <c r="CY471" s="12"/>
      <c r="CZ471" s="91"/>
      <c r="DA471" s="91"/>
      <c r="DB471" s="91"/>
      <c r="DC471" s="91"/>
      <c r="DD471" s="91"/>
      <c r="DE471" s="91"/>
      <c r="DF471" s="12"/>
      <c r="DG471" s="12"/>
      <c r="DH471" s="12"/>
      <c r="DI471" s="12"/>
      <c r="DJ471" s="12"/>
      <c r="DK471" s="12"/>
      <c r="DL471" s="12"/>
      <c r="DM471" s="12"/>
      <c r="DN471" s="12"/>
    </row>
    <row r="472" spans="1:118">
      <c r="A472" s="91"/>
      <c r="B472" s="88"/>
      <c r="C472" s="1184"/>
      <c r="D472" s="89"/>
      <c r="E472" s="145"/>
      <c r="F472" s="146"/>
      <c r="G472" s="146"/>
      <c r="H472" s="147"/>
      <c r="I472" s="87"/>
      <c r="J472" s="145"/>
      <c r="K472" s="146"/>
      <c r="L472" s="146"/>
      <c r="M472" s="147"/>
      <c r="N472" s="89"/>
      <c r="O472" s="145"/>
      <c r="P472" s="146"/>
      <c r="Q472" s="146"/>
      <c r="R472" s="147"/>
      <c r="S472" s="89"/>
      <c r="T472" s="145"/>
      <c r="U472" s="146"/>
      <c r="V472" s="146"/>
      <c r="W472" s="147"/>
      <c r="X472" s="89"/>
      <c r="Y472" s="145"/>
      <c r="Z472" s="146"/>
      <c r="AA472" s="146"/>
      <c r="AB472" s="147"/>
      <c r="AC472" s="89"/>
      <c r="AD472" s="145"/>
      <c r="AE472" s="146"/>
      <c r="AF472" s="146"/>
      <c r="AG472" s="147"/>
      <c r="AH472" s="89"/>
      <c r="AI472" s="145"/>
      <c r="AJ472" s="146"/>
      <c r="AK472" s="146"/>
      <c r="AL472" s="147"/>
      <c r="AM472" s="89"/>
      <c r="AN472" s="145"/>
      <c r="AO472" s="146"/>
      <c r="AP472" s="146"/>
      <c r="AQ472" s="147"/>
      <c r="AR472" s="89"/>
      <c r="AS472" s="145"/>
      <c r="AT472" s="146"/>
      <c r="AU472" s="146"/>
      <c r="AV472" s="147"/>
      <c r="AW472" s="89"/>
      <c r="AX472" s="145"/>
      <c r="AY472" s="146"/>
      <c r="AZ472" s="146"/>
      <c r="BA472" s="147"/>
      <c r="BB472" s="89"/>
      <c r="BC472" s="145"/>
      <c r="BD472" s="146"/>
      <c r="BE472" s="146"/>
      <c r="BF472" s="147"/>
      <c r="BG472" s="89"/>
      <c r="BH472" s="145"/>
      <c r="BI472" s="146"/>
      <c r="BJ472" s="146"/>
      <c r="BK472" s="147"/>
      <c r="BL472" s="89"/>
      <c r="BM472" s="145"/>
      <c r="BN472" s="146"/>
      <c r="BO472" s="146"/>
      <c r="BP472" s="147"/>
      <c r="BQ472" s="89"/>
      <c r="BR472" s="87"/>
      <c r="BS472" s="87"/>
      <c r="BZ472" s="91"/>
      <c r="CA472" s="91"/>
      <c r="CB472" s="91"/>
      <c r="CC472" s="91"/>
      <c r="CD472" s="91"/>
      <c r="CE472" s="91"/>
      <c r="CF472" s="91"/>
      <c r="CG472" s="91"/>
      <c r="CH472" s="91"/>
      <c r="CI472" s="91"/>
      <c r="CJ472" s="91"/>
      <c r="CK472" s="91"/>
      <c r="CL472" s="91"/>
      <c r="CM472" s="91"/>
      <c r="CN472" s="91"/>
      <c r="CO472" s="91"/>
      <c r="CP472" s="91"/>
      <c r="CQ472" s="91"/>
      <c r="CR472" s="1018"/>
      <c r="CS472" s="1018"/>
      <c r="CT472" s="821"/>
      <c r="CU472" s="12"/>
      <c r="CV472" s="12"/>
      <c r="CW472" s="12"/>
      <c r="CX472" s="12"/>
      <c r="CY472" s="12"/>
      <c r="CZ472" s="91"/>
      <c r="DA472" s="91"/>
      <c r="DB472" s="91"/>
      <c r="DC472" s="91"/>
      <c r="DD472" s="91"/>
      <c r="DE472" s="91"/>
      <c r="DF472" s="12"/>
      <c r="DG472" s="12"/>
      <c r="DH472" s="12"/>
      <c r="DI472" s="12"/>
      <c r="DJ472" s="12"/>
      <c r="DK472" s="12"/>
      <c r="DL472" s="12"/>
      <c r="DM472" s="12"/>
      <c r="DN472" s="12"/>
    </row>
    <row r="473" spans="1:118">
      <c r="A473" s="91"/>
      <c r="B473" s="88"/>
      <c r="C473" s="1179" t="s">
        <v>581</v>
      </c>
      <c r="D473" s="89"/>
      <c r="E473" s="145"/>
      <c r="F473" s="146"/>
      <c r="G473" s="146"/>
      <c r="H473" s="147"/>
      <c r="I473" s="1057">
        <v>0.3</v>
      </c>
      <c r="J473" s="145"/>
      <c r="K473" s="146"/>
      <c r="L473" s="146"/>
      <c r="M473" s="147"/>
      <c r="N473" s="89"/>
      <c r="O473" s="145"/>
      <c r="P473" s="146"/>
      <c r="Q473" s="146"/>
      <c r="R473" s="147"/>
      <c r="S473" s="89"/>
      <c r="T473" s="833"/>
      <c r="U473" s="834"/>
      <c r="V473" s="834"/>
      <c r="W473" s="835"/>
      <c r="X473" s="826"/>
      <c r="Y473" s="833">
        <f>+I473</f>
        <v>0.3</v>
      </c>
      <c r="Z473" s="834">
        <f>Y473</f>
        <v>0.3</v>
      </c>
      <c r="AA473" s="834">
        <f>Z473</f>
        <v>0.3</v>
      </c>
      <c r="AB473" s="835">
        <f>AA473</f>
        <v>0.3</v>
      </c>
      <c r="AC473" s="826">
        <f>AVERAGE(Y473:AB473)</f>
        <v>0.3</v>
      </c>
      <c r="AD473" s="833">
        <f>AC473</f>
        <v>0.3</v>
      </c>
      <c r="AE473" s="834">
        <f>AD473</f>
        <v>0.3</v>
      </c>
      <c r="AF473" s="834">
        <f>AE473</f>
        <v>0.3</v>
      </c>
      <c r="AG473" s="835">
        <f>AF473</f>
        <v>0.3</v>
      </c>
      <c r="AH473" s="826">
        <f>AVERAGE(AD473:AG473)</f>
        <v>0.3</v>
      </c>
      <c r="AI473" s="833">
        <f>AH473</f>
        <v>0.3</v>
      </c>
      <c r="AJ473" s="834">
        <f>AI473</f>
        <v>0.3</v>
      </c>
      <c r="AK473" s="834">
        <f>AJ473</f>
        <v>0.3</v>
      </c>
      <c r="AL473" s="835">
        <f>AK473</f>
        <v>0.3</v>
      </c>
      <c r="AM473" s="826">
        <f>AVERAGE(AI473:AL473)</f>
        <v>0.3</v>
      </c>
      <c r="AN473" s="833">
        <f>AM473</f>
        <v>0.3</v>
      </c>
      <c r="AO473" s="834">
        <f>AN473</f>
        <v>0.3</v>
      </c>
      <c r="AP473" s="834">
        <f>AO473</f>
        <v>0.3</v>
      </c>
      <c r="AQ473" s="835">
        <f>AP473</f>
        <v>0.3</v>
      </c>
      <c r="AR473" s="826">
        <f>AVERAGE(AN473:AQ473)</f>
        <v>0.3</v>
      </c>
      <c r="AS473" s="833">
        <f>AR473</f>
        <v>0.3</v>
      </c>
      <c r="AT473" s="834">
        <f>AS473</f>
        <v>0.3</v>
      </c>
      <c r="AU473" s="834">
        <f>AT473</f>
        <v>0.3</v>
      </c>
      <c r="AV473" s="835">
        <f>AU473</f>
        <v>0.3</v>
      </c>
      <c r="AW473" s="826">
        <f>AVERAGE(AS473:AV473)</f>
        <v>0.3</v>
      </c>
      <c r="AX473" s="833">
        <f>AW473</f>
        <v>0.3</v>
      </c>
      <c r="AY473" s="834">
        <f>AX473</f>
        <v>0.3</v>
      </c>
      <c r="AZ473" s="834">
        <f>AY473</f>
        <v>0.3</v>
      </c>
      <c r="BA473" s="835">
        <f>AZ473</f>
        <v>0.3</v>
      </c>
      <c r="BB473" s="826">
        <f>AVERAGE(AX473:BA473)</f>
        <v>0.3</v>
      </c>
      <c r="BC473" s="833">
        <f>BB473</f>
        <v>0.3</v>
      </c>
      <c r="BD473" s="834">
        <f>BC473</f>
        <v>0.3</v>
      </c>
      <c r="BE473" s="834">
        <f>BD473</f>
        <v>0.3</v>
      </c>
      <c r="BF473" s="835">
        <f>BE473</f>
        <v>0.3</v>
      </c>
      <c r="BG473" s="826">
        <f>AVERAGE(BC473:BF473)</f>
        <v>0.3</v>
      </c>
      <c r="BH473" s="833">
        <f>BG473</f>
        <v>0.3</v>
      </c>
      <c r="BI473" s="834">
        <f>BH473</f>
        <v>0.3</v>
      </c>
      <c r="BJ473" s="834">
        <f>BI473</f>
        <v>0.3</v>
      </c>
      <c r="BK473" s="835">
        <f>BJ473</f>
        <v>0.3</v>
      </c>
      <c r="BL473" s="826">
        <f>AVERAGE(BH473:BK473)</f>
        <v>0.3</v>
      </c>
      <c r="BM473" s="833">
        <f>BL473</f>
        <v>0.3</v>
      </c>
      <c r="BN473" s="834">
        <f>BM473</f>
        <v>0.3</v>
      </c>
      <c r="BO473" s="834">
        <f>BN473</f>
        <v>0.3</v>
      </c>
      <c r="BP473" s="835">
        <f>BO473</f>
        <v>0.3</v>
      </c>
      <c r="BQ473" s="826">
        <f>AVERAGE(BM473:BP473)</f>
        <v>0.3</v>
      </c>
      <c r="BR473" s="87"/>
      <c r="BS473" s="87"/>
      <c r="BZ473" s="91"/>
      <c r="CA473" s="91"/>
      <c r="CB473" s="91"/>
      <c r="CC473" s="91"/>
      <c r="CD473" s="91"/>
      <c r="CE473" s="91"/>
      <c r="CF473" s="91"/>
      <c r="CG473" s="91"/>
      <c r="CH473" s="91"/>
      <c r="CI473" s="91"/>
      <c r="CJ473" s="91"/>
      <c r="CK473" s="91"/>
      <c r="CL473" s="91"/>
      <c r="CM473" s="91"/>
      <c r="CN473" s="91"/>
      <c r="CO473" s="91"/>
      <c r="CP473" s="91"/>
      <c r="CQ473" s="91"/>
      <c r="CR473" s="1018"/>
      <c r="CS473" s="1018"/>
      <c r="CT473" s="821"/>
      <c r="CU473" s="12"/>
      <c r="CV473" s="12"/>
      <c r="CW473" s="12"/>
      <c r="CX473" s="12"/>
      <c r="CY473" s="12"/>
      <c r="CZ473" s="91"/>
      <c r="DA473" s="91"/>
      <c r="DB473" s="91"/>
      <c r="DC473" s="91"/>
      <c r="DD473" s="91"/>
      <c r="DE473" s="91"/>
      <c r="DF473" s="12"/>
      <c r="DG473" s="12"/>
      <c r="DH473" s="12"/>
      <c r="DI473" s="12"/>
      <c r="DJ473" s="12"/>
      <c r="DK473" s="12"/>
      <c r="DL473" s="12"/>
      <c r="DM473" s="12"/>
      <c r="DN473" s="12"/>
    </row>
    <row r="474" spans="1:118">
      <c r="A474" s="91"/>
      <c r="B474" s="88"/>
      <c r="C474" s="1186" t="s">
        <v>569</v>
      </c>
      <c r="D474" s="88"/>
      <c r="E474" s="214"/>
      <c r="F474" s="148"/>
      <c r="G474" s="148"/>
      <c r="H474" s="215"/>
      <c r="I474" s="88"/>
      <c r="J474" s="214"/>
      <c r="K474" s="148"/>
      <c r="L474" s="148"/>
      <c r="M474" s="215"/>
      <c r="N474" s="88"/>
      <c r="O474" s="214"/>
      <c r="P474" s="148"/>
      <c r="Q474" s="148"/>
      <c r="R474" s="215"/>
      <c r="S474" s="88"/>
      <c r="T474" s="240"/>
      <c r="U474" s="241"/>
      <c r="V474" s="241"/>
      <c r="W474" s="1059"/>
      <c r="X474" s="242"/>
      <c r="Y474" s="240">
        <f>(Y471*Y473*(8760/1000))/4</f>
        <v>312.73199999999997</v>
      </c>
      <c r="Z474" s="241">
        <f>(Z471*Z473*(8760/1000))/4</f>
        <v>312.73199999999997</v>
      </c>
      <c r="AA474" s="241">
        <f>(AA471*AA473*(8760/1000))/4</f>
        <v>312.73199999999997</v>
      </c>
      <c r="AB474" s="1059">
        <f>(AB471*AB473*(8760/1000))/4</f>
        <v>312.73199999999997</v>
      </c>
      <c r="AC474" s="242">
        <f>SUM(Y474:AB474)</f>
        <v>1250.9279999999999</v>
      </c>
      <c r="AD474" s="240">
        <f>(AD471*AD473*(8760/1000))/4</f>
        <v>312.73199999999997</v>
      </c>
      <c r="AE474" s="241">
        <f>(AE471*AE473*(8760/1000))/4</f>
        <v>312.73199999999997</v>
      </c>
      <c r="AF474" s="241">
        <f>(AF471*AF473*(8760/1000))/4</f>
        <v>312.73199999999997</v>
      </c>
      <c r="AG474" s="1059">
        <f>(AG471*AG473*(8760/1000))/4</f>
        <v>312.73199999999997</v>
      </c>
      <c r="AH474" s="242">
        <f>SUM(AD474:AG474)</f>
        <v>1250.9279999999999</v>
      </c>
      <c r="AI474" s="240">
        <f>(AI471*AI473*(8760/1000))/4</f>
        <v>312.73199999999997</v>
      </c>
      <c r="AJ474" s="241">
        <f>(AJ471*AJ473*(8760/1000))/4</f>
        <v>312.73199999999997</v>
      </c>
      <c r="AK474" s="241">
        <f>(AK471*AK473*(8760/1000))/4</f>
        <v>312.73199999999997</v>
      </c>
      <c r="AL474" s="1059">
        <f>(AL471*AL473*(8760/1000))/4</f>
        <v>312.73199999999997</v>
      </c>
      <c r="AM474" s="242">
        <f>SUM(AI474:AL474)</f>
        <v>1250.9279999999999</v>
      </c>
      <c r="AN474" s="240">
        <f>(AN471*AN473*(8760/1000))/4</f>
        <v>312.73199999999997</v>
      </c>
      <c r="AO474" s="241">
        <f>(AO471*AO473*(8760/1000))/4</f>
        <v>312.73199999999997</v>
      </c>
      <c r="AP474" s="241">
        <f>(AP471*AP473*(8760/1000))/4</f>
        <v>312.73199999999997</v>
      </c>
      <c r="AQ474" s="1059">
        <f>(AQ471*AQ473*(8760/1000))/4</f>
        <v>312.73199999999997</v>
      </c>
      <c r="AR474" s="242">
        <f>SUM(AN474:AQ474)</f>
        <v>1250.9279999999999</v>
      </c>
      <c r="AS474" s="240">
        <f>(AS471*AS473*(8760/1000))/4</f>
        <v>312.73199999999997</v>
      </c>
      <c r="AT474" s="241">
        <f>(AT471*AT473*(8760/1000))/4</f>
        <v>312.73199999999997</v>
      </c>
      <c r="AU474" s="241">
        <f>(AU471*AU473*(8760/1000))/4</f>
        <v>312.73199999999997</v>
      </c>
      <c r="AV474" s="1059">
        <f>(AV471*AV473*(8760/1000))/4</f>
        <v>312.73199999999997</v>
      </c>
      <c r="AW474" s="242">
        <f>SUM(AS474:AV474)</f>
        <v>1250.9279999999999</v>
      </c>
      <c r="AX474" s="240">
        <f>(AX471*AX473*(8760/1000))/4</f>
        <v>312.73199999999997</v>
      </c>
      <c r="AY474" s="241">
        <f>(AY471*AY473*(8760/1000))/4</f>
        <v>312.73199999999997</v>
      </c>
      <c r="AZ474" s="241">
        <f>(AZ471*AZ473*(8760/1000))/4</f>
        <v>312.73199999999997</v>
      </c>
      <c r="BA474" s="1059">
        <f>(BA471*BA473*(8760/1000))/4</f>
        <v>312.73199999999997</v>
      </c>
      <c r="BB474" s="242">
        <f>SUM(AX474:BA474)</f>
        <v>1250.9279999999999</v>
      </c>
      <c r="BC474" s="240">
        <f>(BC471*BC473*(8760/1000))/4</f>
        <v>312.73199999999997</v>
      </c>
      <c r="BD474" s="241">
        <f>(BD471*BD473*(8760/1000))/4</f>
        <v>312.73199999999997</v>
      </c>
      <c r="BE474" s="241">
        <f>(BE471*BE473*(8760/1000))/4</f>
        <v>312.73199999999997</v>
      </c>
      <c r="BF474" s="1059">
        <f>(BF471*BF473*(8760/1000))/4</f>
        <v>312.73199999999997</v>
      </c>
      <c r="BG474" s="242">
        <f>SUM(BC474:BF474)</f>
        <v>1250.9279999999999</v>
      </c>
      <c r="BH474" s="240">
        <f>(BH471*BH473*(8760/1000))/4</f>
        <v>312.73199999999997</v>
      </c>
      <c r="BI474" s="241">
        <f>(BI471*BI473*(8760/1000))/4</f>
        <v>312.73199999999997</v>
      </c>
      <c r="BJ474" s="241">
        <f>(BJ471*BJ473*(8760/1000))/4</f>
        <v>312.73199999999997</v>
      </c>
      <c r="BK474" s="1059">
        <f>(BK471*BK473*(8760/1000))/4</f>
        <v>312.73199999999997</v>
      </c>
      <c r="BL474" s="242">
        <f>SUM(BH474:BK474)</f>
        <v>1250.9279999999999</v>
      </c>
      <c r="BM474" s="240">
        <f>(BM471*BM473*(8760/1000))/4</f>
        <v>312.73199999999997</v>
      </c>
      <c r="BN474" s="241">
        <f>(BN471*BN473*(8760/1000))/4</f>
        <v>312.73199999999997</v>
      </c>
      <c r="BO474" s="241">
        <f>(BO471*BO473*(8760/1000))/4</f>
        <v>312.73199999999997</v>
      </c>
      <c r="BP474" s="1059">
        <f>(BP471*BP473*(8760/1000))/4</f>
        <v>312.73199999999997</v>
      </c>
      <c r="BQ474" s="242">
        <f>SUM(BM474:BP474)</f>
        <v>1250.9279999999999</v>
      </c>
      <c r="BR474" s="87"/>
      <c r="BS474" s="87"/>
      <c r="BZ474" s="91"/>
      <c r="CA474" s="91"/>
      <c r="CB474" s="91"/>
      <c r="CC474" s="91"/>
      <c r="CD474" s="91"/>
      <c r="CE474" s="91"/>
      <c r="CF474" s="91"/>
      <c r="CG474" s="91"/>
      <c r="CH474" s="91"/>
      <c r="CI474" s="91"/>
      <c r="CJ474" s="91"/>
      <c r="CK474" s="91"/>
      <c r="CL474" s="91"/>
      <c r="CM474" s="91"/>
      <c r="CN474" s="91"/>
      <c r="CO474" s="91"/>
      <c r="CP474" s="91"/>
      <c r="CQ474" s="91"/>
      <c r="CR474" s="1018"/>
      <c r="CS474" s="1018"/>
      <c r="CT474" s="821"/>
      <c r="CU474" s="12"/>
      <c r="CV474" s="12"/>
      <c r="CW474" s="12"/>
      <c r="CX474" s="12"/>
      <c r="CY474" s="12"/>
      <c r="CZ474" s="91"/>
      <c r="DA474" s="91"/>
      <c r="DB474" s="91"/>
      <c r="DC474" s="91"/>
      <c r="DD474" s="91"/>
      <c r="DE474" s="91"/>
      <c r="DF474" s="12"/>
      <c r="DG474" s="12"/>
      <c r="DH474" s="12"/>
      <c r="DI474" s="12"/>
      <c r="DJ474" s="12"/>
      <c r="DK474" s="12"/>
      <c r="DL474" s="12"/>
      <c r="DM474" s="12"/>
      <c r="DN474" s="12"/>
    </row>
    <row r="475" spans="1:118">
      <c r="A475" s="91"/>
      <c r="B475" s="88"/>
      <c r="C475" s="1179"/>
      <c r="D475" s="89"/>
      <c r="E475" s="145"/>
      <c r="F475" s="146"/>
      <c r="G475" s="146"/>
      <c r="H475" s="147"/>
      <c r="I475" s="87"/>
      <c r="J475" s="145"/>
      <c r="K475" s="146"/>
      <c r="L475" s="146"/>
      <c r="M475" s="147"/>
      <c r="N475" s="89"/>
      <c r="O475" s="145"/>
      <c r="P475" s="146"/>
      <c r="Q475" s="146"/>
      <c r="R475" s="147"/>
      <c r="S475" s="89"/>
      <c r="T475" s="145"/>
      <c r="U475" s="146"/>
      <c r="V475" s="146"/>
      <c r="W475" s="147"/>
      <c r="X475" s="89"/>
      <c r="Y475" s="145"/>
      <c r="Z475" s="146"/>
      <c r="AA475" s="146"/>
      <c r="AB475" s="147"/>
      <c r="AC475" s="89"/>
      <c r="AD475" s="145"/>
      <c r="AE475" s="146"/>
      <c r="AF475" s="146"/>
      <c r="AG475" s="147"/>
      <c r="AH475" s="89"/>
      <c r="AI475" s="145"/>
      <c r="AJ475" s="146"/>
      <c r="AK475" s="146"/>
      <c r="AL475" s="147"/>
      <c r="AM475" s="89"/>
      <c r="AN475" s="145"/>
      <c r="AO475" s="146"/>
      <c r="AP475" s="146"/>
      <c r="AQ475" s="147"/>
      <c r="AR475" s="89"/>
      <c r="AS475" s="145"/>
      <c r="AT475" s="146"/>
      <c r="AU475" s="146"/>
      <c r="AV475" s="147"/>
      <c r="AW475" s="89"/>
      <c r="AX475" s="145"/>
      <c r="AY475" s="146"/>
      <c r="AZ475" s="146"/>
      <c r="BA475" s="147"/>
      <c r="BB475" s="89"/>
      <c r="BC475" s="145"/>
      <c r="BD475" s="146"/>
      <c r="BE475" s="146"/>
      <c r="BF475" s="147"/>
      <c r="BG475" s="89"/>
      <c r="BH475" s="145"/>
      <c r="BI475" s="146"/>
      <c r="BJ475" s="146"/>
      <c r="BK475" s="147"/>
      <c r="BL475" s="89"/>
      <c r="BM475" s="145"/>
      <c r="BN475" s="146"/>
      <c r="BO475" s="146"/>
      <c r="BP475" s="147"/>
      <c r="BQ475" s="89"/>
      <c r="BR475" s="87"/>
      <c r="BS475" s="87"/>
      <c r="BZ475" s="91"/>
      <c r="CA475" s="91"/>
      <c r="CB475" s="91"/>
      <c r="CC475" s="91"/>
      <c r="CD475" s="91"/>
      <c r="CE475" s="91"/>
      <c r="CF475" s="91"/>
      <c r="CG475" s="91"/>
      <c r="CH475" s="91"/>
      <c r="CI475" s="91"/>
      <c r="CJ475" s="91"/>
      <c r="CK475" s="91"/>
      <c r="CL475" s="91"/>
      <c r="CM475" s="91"/>
      <c r="CN475" s="91"/>
      <c r="CO475" s="91"/>
      <c r="CP475" s="91"/>
      <c r="CQ475" s="91"/>
      <c r="CR475" s="1018"/>
      <c r="CS475" s="1018"/>
      <c r="CT475" s="821"/>
      <c r="CU475" s="12"/>
      <c r="CV475" s="12"/>
      <c r="CW475" s="12"/>
      <c r="CX475" s="12"/>
      <c r="CY475" s="12"/>
      <c r="CZ475" s="91"/>
      <c r="DA475" s="91"/>
      <c r="DB475" s="91"/>
      <c r="DC475" s="91"/>
      <c r="DD475" s="91"/>
      <c r="DE475" s="91"/>
      <c r="DF475" s="12"/>
      <c r="DG475" s="12"/>
      <c r="DH475" s="12"/>
      <c r="DI475" s="12"/>
      <c r="DJ475" s="12"/>
      <c r="DK475" s="12"/>
      <c r="DL475" s="12"/>
      <c r="DM475" s="12"/>
      <c r="DN475" s="12"/>
    </row>
    <row r="476" spans="1:118">
      <c r="A476" s="91"/>
      <c r="B476" s="88"/>
      <c r="C476" s="1179" t="s">
        <v>582</v>
      </c>
      <c r="D476" s="89"/>
      <c r="E476" s="145"/>
      <c r="F476" s="146"/>
      <c r="G476" s="146"/>
      <c r="H476" s="147"/>
      <c r="I476" s="87"/>
      <c r="J476" s="145"/>
      <c r="K476" s="146"/>
      <c r="L476" s="146"/>
      <c r="M476" s="147"/>
      <c r="N476" s="89"/>
      <c r="O476" s="145"/>
      <c r="P476" s="146"/>
      <c r="Q476" s="146"/>
      <c r="R476" s="147"/>
      <c r="S476" s="89"/>
      <c r="T476" s="114"/>
      <c r="U476" s="115"/>
      <c r="V476" s="115"/>
      <c r="W476" s="105"/>
      <c r="X476" s="113"/>
      <c r="Y476" s="114">
        <f>(Y469/1000*Y474)</f>
        <v>3.1273199999999997</v>
      </c>
      <c r="Z476" s="115">
        <f t="shared" ref="Z476:AW476" si="822">(Z469/1000*Z474)</f>
        <v>3.1273199999999997</v>
      </c>
      <c r="AA476" s="115">
        <f t="shared" si="822"/>
        <v>3.1273199999999997</v>
      </c>
      <c r="AB476" s="105">
        <f t="shared" si="822"/>
        <v>3.1273199999999997</v>
      </c>
      <c r="AC476" s="113">
        <f t="shared" si="822"/>
        <v>12.509279999999999</v>
      </c>
      <c r="AD476" s="114">
        <f t="shared" si="822"/>
        <v>3.1273199999999997</v>
      </c>
      <c r="AE476" s="115">
        <f t="shared" si="822"/>
        <v>3.1273199999999997</v>
      </c>
      <c r="AF476" s="115">
        <f t="shared" si="822"/>
        <v>3.1273199999999997</v>
      </c>
      <c r="AG476" s="105">
        <f t="shared" si="822"/>
        <v>3.1273199999999997</v>
      </c>
      <c r="AH476" s="113">
        <f t="shared" si="822"/>
        <v>12.509279999999999</v>
      </c>
      <c r="AI476" s="114">
        <f t="shared" si="822"/>
        <v>3.1273199999999997</v>
      </c>
      <c r="AJ476" s="115">
        <f t="shared" si="822"/>
        <v>3.1273199999999997</v>
      </c>
      <c r="AK476" s="115">
        <f t="shared" si="822"/>
        <v>3.1273199999999997</v>
      </c>
      <c r="AL476" s="105">
        <f t="shared" si="822"/>
        <v>3.1273199999999997</v>
      </c>
      <c r="AM476" s="113">
        <f t="shared" si="822"/>
        <v>12.509279999999999</v>
      </c>
      <c r="AN476" s="114">
        <f t="shared" si="822"/>
        <v>3.1273199999999997</v>
      </c>
      <c r="AO476" s="115">
        <f t="shared" si="822"/>
        <v>3.1273199999999997</v>
      </c>
      <c r="AP476" s="115">
        <f t="shared" ref="AP476" si="823">(AP469/1000*AP474)</f>
        <v>3.1273199999999997</v>
      </c>
      <c r="AQ476" s="105">
        <f t="shared" si="822"/>
        <v>3.1273199999999997</v>
      </c>
      <c r="AR476" s="113">
        <f t="shared" si="822"/>
        <v>12.509279999999999</v>
      </c>
      <c r="AS476" s="114">
        <f t="shared" ref="AS476" si="824">(AS469/1000*AS474)</f>
        <v>3.1273199999999997</v>
      </c>
      <c r="AT476" s="115">
        <f t="shared" si="822"/>
        <v>3.1273199999999997</v>
      </c>
      <c r="AU476" s="115">
        <f t="shared" ref="AU476" si="825">(AU469/1000*AU474)</f>
        <v>3.1273199999999997</v>
      </c>
      <c r="AV476" s="105">
        <f t="shared" si="822"/>
        <v>3.1273199999999997</v>
      </c>
      <c r="AW476" s="113">
        <f t="shared" si="822"/>
        <v>12.509279999999999</v>
      </c>
      <c r="AX476" s="114">
        <f>(AX469/1000*AX474)</f>
        <v>3.1273199999999997</v>
      </c>
      <c r="AY476" s="115">
        <f>(AY469/1000*AY474)</f>
        <v>3.1273199999999997</v>
      </c>
      <c r="AZ476" s="115">
        <f>(AZ469/1000*AZ474)</f>
        <v>3.1273199999999997</v>
      </c>
      <c r="BA476" s="105">
        <f>(BA469/1000*BA474)</f>
        <v>3.1273199999999997</v>
      </c>
      <c r="BB476" s="113">
        <f>(BB469/1000*BB474)</f>
        <v>12.509279999999999</v>
      </c>
      <c r="BC476" s="114">
        <f t="shared" ref="BC476:BL476" si="826">(BC469/1000*BC474)</f>
        <v>3.1273199999999997</v>
      </c>
      <c r="BD476" s="115">
        <f t="shared" si="826"/>
        <v>3.1273199999999997</v>
      </c>
      <c r="BE476" s="115">
        <f t="shared" si="826"/>
        <v>3.1273199999999997</v>
      </c>
      <c r="BF476" s="105">
        <f t="shared" si="826"/>
        <v>3.1273199999999997</v>
      </c>
      <c r="BG476" s="113">
        <f t="shared" si="826"/>
        <v>12.509279999999999</v>
      </c>
      <c r="BH476" s="114">
        <f t="shared" si="826"/>
        <v>3.1273199999999997</v>
      </c>
      <c r="BI476" s="115">
        <f t="shared" si="826"/>
        <v>3.1273199999999997</v>
      </c>
      <c r="BJ476" s="115">
        <f t="shared" si="826"/>
        <v>3.1273199999999997</v>
      </c>
      <c r="BK476" s="105">
        <f t="shared" si="826"/>
        <v>3.1273199999999997</v>
      </c>
      <c r="BL476" s="113">
        <f t="shared" si="826"/>
        <v>12.509279999999999</v>
      </c>
      <c r="BM476" s="114">
        <f t="shared" ref="BM476:BQ476" si="827">(BM469/1000*BM474)</f>
        <v>3.1273199999999997</v>
      </c>
      <c r="BN476" s="115">
        <f t="shared" si="827"/>
        <v>3.1273199999999997</v>
      </c>
      <c r="BO476" s="115">
        <f t="shared" si="827"/>
        <v>3.1273199999999997</v>
      </c>
      <c r="BP476" s="105">
        <f t="shared" si="827"/>
        <v>3.1273199999999997</v>
      </c>
      <c r="BQ476" s="113">
        <f t="shared" si="827"/>
        <v>12.509279999999999</v>
      </c>
      <c r="BR476" s="87"/>
      <c r="BS476" s="87"/>
      <c r="BZ476" s="91"/>
      <c r="CA476" s="91"/>
      <c r="CB476" s="91"/>
      <c r="CC476" s="91"/>
      <c r="CD476" s="91"/>
      <c r="CE476" s="91"/>
      <c r="CF476" s="91"/>
      <c r="CG476" s="91"/>
      <c r="CH476" s="91"/>
      <c r="CI476" s="91"/>
      <c r="CJ476" s="91"/>
      <c r="CK476" s="91"/>
      <c r="CL476" s="91"/>
      <c r="CM476" s="91"/>
      <c r="CN476" s="91"/>
      <c r="CO476" s="91"/>
      <c r="CP476" s="91"/>
      <c r="CQ476" s="91"/>
      <c r="CR476" s="1018"/>
      <c r="CS476" s="1018"/>
      <c r="CT476" s="821"/>
      <c r="CU476" s="12"/>
      <c r="CV476" s="12"/>
      <c r="CW476" s="12"/>
      <c r="CX476" s="12"/>
      <c r="CY476" s="12"/>
      <c r="CZ476" s="91"/>
      <c r="DA476" s="91"/>
      <c r="DB476" s="91"/>
      <c r="DC476" s="91"/>
      <c r="DD476" s="91"/>
      <c r="DE476" s="91"/>
      <c r="DF476" s="12"/>
      <c r="DG476" s="12"/>
      <c r="DH476" s="12"/>
      <c r="DI476" s="12"/>
      <c r="DJ476" s="12"/>
      <c r="DK476" s="12"/>
      <c r="DL476" s="12"/>
      <c r="DM476" s="12"/>
      <c r="DN476" s="12"/>
    </row>
    <row r="477" spans="1:118">
      <c r="A477" s="91"/>
      <c r="B477" s="88"/>
      <c r="C477" s="1179" t="s">
        <v>683</v>
      </c>
      <c r="D477" s="89"/>
      <c r="E477" s="145"/>
      <c r="F477" s="146"/>
      <c r="G477" s="146"/>
      <c r="H477" s="147"/>
      <c r="I477" s="87"/>
      <c r="J477" s="145"/>
      <c r="K477" s="146"/>
      <c r="L477" s="146"/>
      <c r="M477" s="147"/>
      <c r="N477" s="89"/>
      <c r="O477" s="145"/>
      <c r="P477" s="146"/>
      <c r="Q477" s="146"/>
      <c r="R477" s="147"/>
      <c r="S477" s="89"/>
      <c r="T477" s="114"/>
      <c r="U477" s="115"/>
      <c r="V477" s="115"/>
      <c r="W477" s="105"/>
      <c r="X477" s="113"/>
      <c r="Y477" s="114">
        <v>0</v>
      </c>
      <c r="Z477" s="115">
        <v>0</v>
      </c>
      <c r="AA477" s="115">
        <v>0</v>
      </c>
      <c r="AB477" s="105">
        <v>0</v>
      </c>
      <c r="AC477" s="113">
        <v>0</v>
      </c>
      <c r="AD477" s="114">
        <v>0</v>
      </c>
      <c r="AE477" s="115">
        <v>0</v>
      </c>
      <c r="AF477" s="115">
        <v>0</v>
      </c>
      <c r="AG477" s="105">
        <v>0</v>
      </c>
      <c r="AH477" s="113">
        <v>0</v>
      </c>
      <c r="AI477" s="114">
        <v>0</v>
      </c>
      <c r="AJ477" s="115">
        <v>0</v>
      </c>
      <c r="AK477" s="115">
        <v>0</v>
      </c>
      <c r="AL477" s="105">
        <v>0</v>
      </c>
      <c r="AM477" s="113">
        <v>0</v>
      </c>
      <c r="AN477" s="114">
        <v>0</v>
      </c>
      <c r="AO477" s="115">
        <v>0</v>
      </c>
      <c r="AP477" s="115">
        <v>0</v>
      </c>
      <c r="AQ477" s="105">
        <v>0</v>
      </c>
      <c r="AR477" s="113">
        <v>0</v>
      </c>
      <c r="AS477" s="114">
        <v>0</v>
      </c>
      <c r="AT477" s="115">
        <v>0</v>
      </c>
      <c r="AU477" s="115">
        <v>0</v>
      </c>
      <c r="AV477" s="105">
        <v>0</v>
      </c>
      <c r="AW477" s="113">
        <v>0</v>
      </c>
      <c r="AX477" s="114">
        <v>0</v>
      </c>
      <c r="AY477" s="115">
        <v>0</v>
      </c>
      <c r="AZ477" s="115">
        <v>0</v>
      </c>
      <c r="BA477" s="105">
        <v>0</v>
      </c>
      <c r="BB477" s="113">
        <v>0</v>
      </c>
      <c r="BC477" s="114">
        <v>0</v>
      </c>
      <c r="BD477" s="115">
        <v>0</v>
      </c>
      <c r="BE477" s="115">
        <v>0</v>
      </c>
      <c r="BF477" s="105">
        <v>0</v>
      </c>
      <c r="BG477" s="113">
        <v>0</v>
      </c>
      <c r="BH477" s="114">
        <v>0</v>
      </c>
      <c r="BI477" s="115">
        <v>0</v>
      </c>
      <c r="BJ477" s="115">
        <v>0</v>
      </c>
      <c r="BK477" s="105">
        <v>0</v>
      </c>
      <c r="BL477" s="113">
        <v>0</v>
      </c>
      <c r="BM477" s="114">
        <v>0</v>
      </c>
      <c r="BN477" s="115">
        <v>0</v>
      </c>
      <c r="BO477" s="115">
        <v>0</v>
      </c>
      <c r="BP477" s="105">
        <v>0</v>
      </c>
      <c r="BQ477" s="113">
        <v>0</v>
      </c>
      <c r="BR477" s="87"/>
      <c r="BS477" s="87"/>
      <c r="BZ477" s="91"/>
      <c r="CA477" s="91"/>
      <c r="CB477" s="91"/>
      <c r="CC477" s="91"/>
      <c r="CE477" s="91"/>
      <c r="CF477" s="91"/>
      <c r="CG477" s="91"/>
      <c r="CH477" s="91"/>
      <c r="CI477" s="91"/>
      <c r="CJ477" s="91"/>
      <c r="CK477" s="91"/>
      <c r="CL477" s="91"/>
      <c r="CM477" s="91"/>
      <c r="CN477" s="91"/>
      <c r="CO477" s="91"/>
      <c r="CP477" s="91"/>
      <c r="CQ477" s="91"/>
      <c r="CR477" s="1018"/>
      <c r="CS477" s="1018"/>
      <c r="CT477" s="821"/>
      <c r="CU477" s="12"/>
      <c r="CV477" s="12"/>
      <c r="CW477" s="12"/>
      <c r="CX477" s="12"/>
      <c r="CY477" s="12"/>
      <c r="CZ477" s="91"/>
      <c r="DA477" s="91"/>
      <c r="DB477" s="91"/>
      <c r="DC477" s="91"/>
      <c r="DD477" s="91"/>
      <c r="DE477" s="91"/>
      <c r="DF477" s="12"/>
      <c r="DG477" s="12"/>
      <c r="DH477" s="12"/>
      <c r="DI477" s="12"/>
      <c r="DJ477" s="12"/>
      <c r="DK477" s="12"/>
      <c r="DL477" s="12"/>
      <c r="DM477" s="12"/>
      <c r="DN477" s="12"/>
    </row>
    <row r="478" spans="1:118">
      <c r="A478" s="91"/>
      <c r="B478" s="88"/>
      <c r="C478" s="1186" t="s">
        <v>567</v>
      </c>
      <c r="D478" s="88"/>
      <c r="E478" s="214"/>
      <c r="F478" s="148"/>
      <c r="G478" s="148"/>
      <c r="H478" s="215"/>
      <c r="I478" s="87"/>
      <c r="J478" s="214"/>
      <c r="K478" s="148"/>
      <c r="L478" s="148"/>
      <c r="M478" s="215"/>
      <c r="N478" s="88"/>
      <c r="O478" s="214"/>
      <c r="P478" s="148"/>
      <c r="Q478" s="148"/>
      <c r="R478" s="215"/>
      <c r="S478" s="88"/>
      <c r="T478" s="106"/>
      <c r="U478" s="76"/>
      <c r="V478" s="76"/>
      <c r="W478" s="107"/>
      <c r="X478" s="93"/>
      <c r="Y478" s="106">
        <f t="shared" ref="Y478:AW478" si="828">Y476-Y477</f>
        <v>3.1273199999999997</v>
      </c>
      <c r="Z478" s="76">
        <f t="shared" si="828"/>
        <v>3.1273199999999997</v>
      </c>
      <c r="AA478" s="76">
        <f t="shared" si="828"/>
        <v>3.1273199999999997</v>
      </c>
      <c r="AB478" s="107">
        <f t="shared" si="828"/>
        <v>3.1273199999999997</v>
      </c>
      <c r="AC478" s="93">
        <f t="shared" si="828"/>
        <v>12.509279999999999</v>
      </c>
      <c r="AD478" s="106">
        <f t="shared" si="828"/>
        <v>3.1273199999999997</v>
      </c>
      <c r="AE478" s="76">
        <f t="shared" si="828"/>
        <v>3.1273199999999997</v>
      </c>
      <c r="AF478" s="76">
        <f t="shared" si="828"/>
        <v>3.1273199999999997</v>
      </c>
      <c r="AG478" s="107">
        <f t="shared" si="828"/>
        <v>3.1273199999999997</v>
      </c>
      <c r="AH478" s="93">
        <f t="shared" si="828"/>
        <v>12.509279999999999</v>
      </c>
      <c r="AI478" s="106">
        <f t="shared" si="828"/>
        <v>3.1273199999999997</v>
      </c>
      <c r="AJ478" s="76">
        <f t="shared" si="828"/>
        <v>3.1273199999999997</v>
      </c>
      <c r="AK478" s="76">
        <f t="shared" si="828"/>
        <v>3.1273199999999997</v>
      </c>
      <c r="AL478" s="107">
        <f t="shared" si="828"/>
        <v>3.1273199999999997</v>
      </c>
      <c r="AM478" s="93">
        <f t="shared" si="828"/>
        <v>12.509279999999999</v>
      </c>
      <c r="AN478" s="106">
        <f t="shared" si="828"/>
        <v>3.1273199999999997</v>
      </c>
      <c r="AO478" s="76">
        <f t="shared" si="828"/>
        <v>3.1273199999999997</v>
      </c>
      <c r="AP478" s="76">
        <f t="shared" ref="AP478" si="829">AP476-AP477</f>
        <v>3.1273199999999997</v>
      </c>
      <c r="AQ478" s="107">
        <f t="shared" si="828"/>
        <v>3.1273199999999997</v>
      </c>
      <c r="AR478" s="93">
        <f t="shared" si="828"/>
        <v>12.509279999999999</v>
      </c>
      <c r="AS478" s="106">
        <f t="shared" ref="AS478" si="830">AS476-AS477</f>
        <v>3.1273199999999997</v>
      </c>
      <c r="AT478" s="76">
        <f t="shared" si="828"/>
        <v>3.1273199999999997</v>
      </c>
      <c r="AU478" s="76">
        <f t="shared" ref="AU478" si="831">AU476-AU477</f>
        <v>3.1273199999999997</v>
      </c>
      <c r="AV478" s="107">
        <f t="shared" si="828"/>
        <v>3.1273199999999997</v>
      </c>
      <c r="AW478" s="93">
        <f t="shared" si="828"/>
        <v>12.509279999999999</v>
      </c>
      <c r="AX478" s="106">
        <f>AX476-AX477</f>
        <v>3.1273199999999997</v>
      </c>
      <c r="AY478" s="76">
        <f>AY476-AY477</f>
        <v>3.1273199999999997</v>
      </c>
      <c r="AZ478" s="76">
        <f>AZ476-AZ477</f>
        <v>3.1273199999999997</v>
      </c>
      <c r="BA478" s="107">
        <f>BA476-BA477</f>
        <v>3.1273199999999997</v>
      </c>
      <c r="BB478" s="93">
        <f>BB476-BB477</f>
        <v>12.509279999999999</v>
      </c>
      <c r="BC478" s="106">
        <f t="shared" ref="BC478:BL478" si="832">BC476-BC477</f>
        <v>3.1273199999999997</v>
      </c>
      <c r="BD478" s="76">
        <f t="shared" si="832"/>
        <v>3.1273199999999997</v>
      </c>
      <c r="BE478" s="76">
        <f t="shared" si="832"/>
        <v>3.1273199999999997</v>
      </c>
      <c r="BF478" s="107">
        <f t="shared" si="832"/>
        <v>3.1273199999999997</v>
      </c>
      <c r="BG478" s="93">
        <f t="shared" si="832"/>
        <v>12.509279999999999</v>
      </c>
      <c r="BH478" s="106">
        <f t="shared" si="832"/>
        <v>3.1273199999999997</v>
      </c>
      <c r="BI478" s="76">
        <f t="shared" si="832"/>
        <v>3.1273199999999997</v>
      </c>
      <c r="BJ478" s="76">
        <f t="shared" si="832"/>
        <v>3.1273199999999997</v>
      </c>
      <c r="BK478" s="107">
        <f t="shared" si="832"/>
        <v>3.1273199999999997</v>
      </c>
      <c r="BL478" s="93">
        <f t="shared" si="832"/>
        <v>12.509279999999999</v>
      </c>
      <c r="BM478" s="106">
        <f t="shared" ref="BM478:BQ478" si="833">BM476-BM477</f>
        <v>3.1273199999999997</v>
      </c>
      <c r="BN478" s="76">
        <f t="shared" si="833"/>
        <v>3.1273199999999997</v>
      </c>
      <c r="BO478" s="76">
        <f t="shared" si="833"/>
        <v>3.1273199999999997</v>
      </c>
      <c r="BP478" s="107">
        <f t="shared" si="833"/>
        <v>3.1273199999999997</v>
      </c>
      <c r="BQ478" s="93">
        <f t="shared" si="833"/>
        <v>12.509279999999999</v>
      </c>
      <c r="BR478" s="87"/>
      <c r="BS478" s="87"/>
      <c r="BZ478" s="91"/>
      <c r="CA478" s="91"/>
      <c r="CB478" s="91"/>
      <c r="CC478" s="91"/>
      <c r="CD478" s="91"/>
      <c r="CF478" s="91"/>
      <c r="CG478" s="91"/>
      <c r="CH478" s="91"/>
      <c r="CI478" s="91"/>
      <c r="CJ478" s="91"/>
      <c r="CK478" s="91"/>
      <c r="CL478" s="91"/>
      <c r="CM478" s="91"/>
      <c r="CN478" s="91"/>
      <c r="CO478" s="91"/>
      <c r="CP478" s="91"/>
      <c r="CQ478" s="91"/>
      <c r="CR478" s="1018"/>
      <c r="CS478" s="1018"/>
      <c r="CT478" s="821"/>
      <c r="CU478" s="12"/>
      <c r="CV478" s="12"/>
      <c r="CW478" s="12"/>
      <c r="CX478" s="12"/>
      <c r="CY478" s="12"/>
      <c r="CZ478" s="91"/>
      <c r="DA478" s="91"/>
      <c r="DB478" s="91"/>
      <c r="DC478" s="91"/>
      <c r="DD478" s="91"/>
      <c r="DE478" s="91"/>
      <c r="DF478" s="12"/>
      <c r="DG478" s="12"/>
      <c r="DH478" s="12"/>
      <c r="DI478" s="12"/>
      <c r="DJ478" s="12"/>
      <c r="DK478" s="12"/>
      <c r="DL478" s="12"/>
      <c r="DM478" s="12"/>
      <c r="DN478" s="12"/>
    </row>
    <row r="479" spans="1:118">
      <c r="A479" s="91"/>
      <c r="B479" s="88"/>
      <c r="C479" s="1186"/>
      <c r="D479" s="88"/>
      <c r="E479" s="214"/>
      <c r="F479" s="148"/>
      <c r="G479" s="148"/>
      <c r="H479" s="215"/>
      <c r="I479" s="87"/>
      <c r="J479" s="214"/>
      <c r="K479" s="148"/>
      <c r="L479" s="148"/>
      <c r="M479" s="215"/>
      <c r="N479" s="88"/>
      <c r="O479" s="214"/>
      <c r="P479" s="148"/>
      <c r="Q479" s="148"/>
      <c r="R479" s="215"/>
      <c r="S479" s="88"/>
      <c r="T479" s="106"/>
      <c r="U479" s="76"/>
      <c r="V479" s="76"/>
      <c r="W479" s="107"/>
      <c r="X479" s="93"/>
      <c r="Y479" s="106"/>
      <c r="Z479" s="76"/>
      <c r="AA479" s="76"/>
      <c r="AB479" s="107"/>
      <c r="AC479" s="93"/>
      <c r="AD479" s="106"/>
      <c r="AE479" s="76"/>
      <c r="AF479" s="76"/>
      <c r="AG479" s="107"/>
      <c r="AH479" s="93"/>
      <c r="AI479" s="106"/>
      <c r="AJ479" s="76"/>
      <c r="AK479" s="76"/>
      <c r="AL479" s="107"/>
      <c r="AM479" s="93"/>
      <c r="AN479" s="106"/>
      <c r="AO479" s="76"/>
      <c r="AP479" s="76"/>
      <c r="AQ479" s="107"/>
      <c r="AR479" s="93"/>
      <c r="AS479" s="106"/>
      <c r="AT479" s="76"/>
      <c r="AU479" s="76"/>
      <c r="AV479" s="107"/>
      <c r="AW479" s="93"/>
      <c r="AX479" s="106"/>
      <c r="AY479" s="76"/>
      <c r="AZ479" s="76"/>
      <c r="BA479" s="107"/>
      <c r="BB479" s="93"/>
      <c r="BC479" s="106"/>
      <c r="BD479" s="76"/>
      <c r="BE479" s="76"/>
      <c r="BF479" s="107"/>
      <c r="BG479" s="93"/>
      <c r="BH479" s="106"/>
      <c r="BI479" s="76"/>
      <c r="BJ479" s="76"/>
      <c r="BK479" s="107"/>
      <c r="BL479" s="93"/>
      <c r="BM479" s="106"/>
      <c r="BN479" s="76"/>
      <c r="BO479" s="76"/>
      <c r="BP479" s="107"/>
      <c r="BQ479" s="93"/>
      <c r="BR479" s="87"/>
      <c r="BS479" s="87"/>
      <c r="BZ479" s="91"/>
      <c r="CA479" s="91"/>
      <c r="CB479" s="91"/>
      <c r="CC479" s="91"/>
      <c r="CD479" s="91"/>
      <c r="CE479" s="91"/>
      <c r="CF479" s="91"/>
      <c r="CG479" s="91"/>
      <c r="CH479" s="91"/>
      <c r="CI479" s="91"/>
      <c r="CJ479" s="91"/>
      <c r="CK479" s="91"/>
      <c r="CL479" s="91"/>
      <c r="CM479" s="91"/>
      <c r="CN479" s="91"/>
      <c r="CO479" s="91"/>
      <c r="CP479" s="91"/>
      <c r="CQ479" s="91"/>
      <c r="CR479" s="1018"/>
      <c r="CS479" s="1018"/>
      <c r="CT479" s="821"/>
      <c r="CU479" s="12"/>
      <c r="CV479" s="12"/>
      <c r="CW479" s="12"/>
      <c r="CX479" s="12"/>
      <c r="CY479" s="12"/>
      <c r="CZ479" s="91"/>
      <c r="DA479" s="91"/>
      <c r="DB479" s="91"/>
      <c r="DC479" s="91"/>
      <c r="DD479" s="91"/>
      <c r="DE479" s="91"/>
      <c r="DF479" s="12"/>
      <c r="DG479" s="12"/>
      <c r="DH479" s="12"/>
      <c r="DI479" s="12"/>
      <c r="DJ479" s="12"/>
      <c r="DK479" s="12"/>
      <c r="DL479" s="12"/>
      <c r="DM479" s="12"/>
      <c r="DN479" s="12"/>
    </row>
    <row r="480" spans="1:118">
      <c r="A480" s="91"/>
      <c r="B480" s="88"/>
      <c r="C480" s="1186"/>
      <c r="D480" s="88"/>
      <c r="E480" s="214"/>
      <c r="F480" s="148"/>
      <c r="G480" s="148"/>
      <c r="H480" s="215"/>
      <c r="I480" s="87"/>
      <c r="J480" s="214"/>
      <c r="K480" s="148"/>
      <c r="L480" s="148"/>
      <c r="M480" s="215"/>
      <c r="N480" s="88"/>
      <c r="O480" s="214"/>
      <c r="P480" s="148"/>
      <c r="Q480" s="148"/>
      <c r="R480" s="215"/>
      <c r="S480" s="88"/>
      <c r="T480" s="106"/>
      <c r="U480" s="76"/>
      <c r="V480" s="76"/>
      <c r="W480" s="107"/>
      <c r="X480" s="93"/>
      <c r="Y480" s="106"/>
      <c r="Z480" s="76"/>
      <c r="AA480" s="76"/>
      <c r="AB480" s="107"/>
      <c r="AC480" s="93"/>
      <c r="AD480" s="106"/>
      <c r="AE480" s="76"/>
      <c r="AF480" s="76"/>
      <c r="AG480" s="107"/>
      <c r="AH480" s="93"/>
      <c r="AI480" s="106"/>
      <c r="AJ480" s="76"/>
      <c r="AK480" s="76"/>
      <c r="AL480" s="107"/>
      <c r="AM480" s="93"/>
      <c r="AN480" s="106"/>
      <c r="AO480" s="76"/>
      <c r="AP480" s="76"/>
      <c r="AQ480" s="107"/>
      <c r="AR480" s="93"/>
      <c r="AS480" s="106"/>
      <c r="AT480" s="76"/>
      <c r="AU480" s="76"/>
      <c r="AV480" s="107"/>
      <c r="AW480" s="93"/>
      <c r="AX480" s="106"/>
      <c r="AY480" s="76"/>
      <c r="AZ480" s="76"/>
      <c r="BA480" s="107"/>
      <c r="BB480" s="93"/>
      <c r="BC480" s="106"/>
      <c r="BD480" s="76"/>
      <c r="BE480" s="76"/>
      <c r="BF480" s="107"/>
      <c r="BG480" s="93"/>
      <c r="BH480" s="106"/>
      <c r="BI480" s="76"/>
      <c r="BJ480" s="76"/>
      <c r="BK480" s="107"/>
      <c r="BL480" s="93"/>
      <c r="BM480" s="106"/>
      <c r="BN480" s="76"/>
      <c r="BO480" s="76"/>
      <c r="BP480" s="107"/>
      <c r="BQ480" s="93"/>
      <c r="BR480" s="87"/>
      <c r="BS480" s="87"/>
      <c r="BZ480" s="91"/>
      <c r="CA480" s="91"/>
      <c r="CB480" s="91"/>
      <c r="CC480" s="91"/>
      <c r="CE480" s="91"/>
      <c r="CF480" s="91"/>
      <c r="CG480" s="91"/>
      <c r="CH480" s="91"/>
      <c r="CI480" s="91"/>
      <c r="CJ480" s="91"/>
      <c r="CK480" s="91"/>
      <c r="CL480" s="91"/>
      <c r="CM480" s="91"/>
      <c r="CN480" s="91"/>
      <c r="CO480" s="91"/>
      <c r="CP480" s="91"/>
      <c r="CQ480" s="91"/>
      <c r="CR480" s="1018"/>
      <c r="CS480" s="1018"/>
      <c r="CT480" s="821"/>
      <c r="CU480" s="12"/>
      <c r="CV480" s="12"/>
      <c r="CW480" s="12"/>
      <c r="CX480" s="12"/>
      <c r="CY480" s="12"/>
      <c r="CZ480" s="91"/>
      <c r="DA480" s="91"/>
      <c r="DB480" s="91"/>
      <c r="DC480" s="91"/>
      <c r="DD480" s="91"/>
      <c r="DE480" s="91"/>
      <c r="DF480" s="12"/>
      <c r="DG480" s="12"/>
      <c r="DH480" s="12"/>
      <c r="DI480" s="12"/>
      <c r="DJ480" s="12"/>
      <c r="DK480" s="12"/>
      <c r="DL480" s="12"/>
      <c r="DM480" s="12"/>
      <c r="DN480" s="12"/>
    </row>
    <row r="481" spans="1:82">
      <c r="A481" s="139"/>
      <c r="B481" s="126" t="s">
        <v>610</v>
      </c>
      <c r="C481" s="1250"/>
      <c r="D481" s="278"/>
      <c r="E481" s="288"/>
      <c r="F481" s="289"/>
      <c r="G481" s="289"/>
      <c r="H481" s="299"/>
      <c r="I481" s="890"/>
      <c r="J481" s="288"/>
      <c r="K481" s="289"/>
      <c r="L481" s="289"/>
      <c r="M481" s="299"/>
      <c r="N481" s="315"/>
      <c r="O481" s="288"/>
      <c r="P481" s="289"/>
      <c r="Q481" s="289"/>
      <c r="R481" s="299"/>
      <c r="S481" s="315"/>
      <c r="T481" s="133"/>
      <c r="U481" s="134"/>
      <c r="V481" s="134"/>
      <c r="W481" s="135"/>
      <c r="X481" s="178"/>
      <c r="Y481" s="133"/>
      <c r="Z481" s="134"/>
      <c r="AA481" s="134"/>
      <c r="AB481" s="135"/>
      <c r="AC481" s="178"/>
      <c r="AD481" s="133"/>
      <c r="AE481" s="134"/>
      <c r="AF481" s="134"/>
      <c r="AG481" s="135"/>
      <c r="AH481" s="178"/>
      <c r="AI481" s="133"/>
      <c r="AJ481" s="134"/>
      <c r="AK481" s="134"/>
      <c r="AL481" s="135"/>
      <c r="AM481" s="178"/>
      <c r="AN481" s="133"/>
      <c r="AO481" s="134"/>
      <c r="AP481" s="134"/>
      <c r="AQ481" s="135"/>
      <c r="AR481" s="178"/>
      <c r="AS481" s="133"/>
      <c r="AT481" s="134"/>
      <c r="AU481" s="134"/>
      <c r="AV481" s="135"/>
      <c r="AW481" s="178"/>
      <c r="AX481" s="133"/>
      <c r="AY481" s="134"/>
      <c r="AZ481" s="134"/>
      <c r="BA481" s="135"/>
      <c r="BB481" s="178"/>
      <c r="BC481" s="133"/>
      <c r="BD481" s="134"/>
      <c r="BE481" s="134"/>
      <c r="BF481" s="135"/>
      <c r="BG481" s="178"/>
      <c r="BH481" s="133"/>
      <c r="BI481" s="134"/>
      <c r="BJ481" s="134"/>
      <c r="BK481" s="135"/>
      <c r="BL481" s="178"/>
      <c r="BM481" s="133"/>
      <c r="BN481" s="134"/>
      <c r="BO481" s="134"/>
      <c r="BP481" s="135"/>
      <c r="BQ481" s="178"/>
      <c r="BZ481" s="91"/>
      <c r="CA481" s="91"/>
      <c r="CB481" s="91"/>
      <c r="CC481" s="91"/>
    </row>
    <row r="482" spans="1:82">
      <c r="A482" s="139"/>
      <c r="B482" s="139"/>
      <c r="C482" s="1187" t="s">
        <v>535</v>
      </c>
      <c r="E482" s="288"/>
      <c r="F482" s="289"/>
      <c r="G482" s="289"/>
      <c r="H482" s="299"/>
      <c r="I482" s="730"/>
      <c r="J482" s="288"/>
      <c r="K482" s="289"/>
      <c r="L482" s="289"/>
      <c r="M482" s="299"/>
      <c r="N482" s="315"/>
      <c r="O482" s="288"/>
      <c r="P482" s="289"/>
      <c r="Q482" s="750"/>
      <c r="R482" s="791"/>
      <c r="S482" s="792"/>
      <c r="T482" s="790"/>
      <c r="U482" s="750"/>
      <c r="V482" s="750"/>
      <c r="W482" s="791"/>
      <c r="X482" s="792">
        <v>908</v>
      </c>
      <c r="Y482" s="790">
        <v>908</v>
      </c>
      <c r="Z482" s="750">
        <v>908</v>
      </c>
      <c r="AA482" s="750">
        <v>908</v>
      </c>
      <c r="AB482" s="791">
        <v>908</v>
      </c>
      <c r="AC482" s="792">
        <v>908</v>
      </c>
      <c r="AD482" s="790">
        <v>908</v>
      </c>
      <c r="AE482" s="750">
        <v>908</v>
      </c>
      <c r="AF482" s="750">
        <v>908</v>
      </c>
      <c r="AG482" s="791">
        <v>908</v>
      </c>
      <c r="AH482" s="792">
        <v>908</v>
      </c>
      <c r="AI482" s="790">
        <v>908</v>
      </c>
      <c r="AJ482" s="750">
        <v>908</v>
      </c>
      <c r="AK482" s="750">
        <v>908</v>
      </c>
      <c r="AL482" s="791">
        <v>908</v>
      </c>
      <c r="AM482" s="792">
        <v>908</v>
      </c>
      <c r="AN482" s="790">
        <v>908</v>
      </c>
      <c r="AO482" s="750">
        <v>908</v>
      </c>
      <c r="AP482" s="750">
        <v>908</v>
      </c>
      <c r="AQ482" s="791">
        <v>908</v>
      </c>
      <c r="AR482" s="792">
        <v>908</v>
      </c>
      <c r="AS482" s="790">
        <v>908</v>
      </c>
      <c r="AT482" s="750">
        <v>908</v>
      </c>
      <c r="AU482" s="750">
        <v>908</v>
      </c>
      <c r="AV482" s="791">
        <v>908</v>
      </c>
      <c r="AW482" s="792">
        <v>908</v>
      </c>
      <c r="AX482" s="790">
        <v>908</v>
      </c>
      <c r="AY482" s="750">
        <v>908</v>
      </c>
      <c r="AZ482" s="750">
        <v>908</v>
      </c>
      <c r="BA482" s="791">
        <v>908</v>
      </c>
      <c r="BB482" s="792">
        <v>908</v>
      </c>
      <c r="BC482" s="790">
        <v>908</v>
      </c>
      <c r="BD482" s="750">
        <v>908</v>
      </c>
      <c r="BE482" s="750">
        <v>908</v>
      </c>
      <c r="BF482" s="791">
        <v>908</v>
      </c>
      <c r="BG482" s="792">
        <v>908</v>
      </c>
      <c r="BH482" s="790">
        <v>908</v>
      </c>
      <c r="BI482" s="750">
        <v>908</v>
      </c>
      <c r="BJ482" s="750">
        <v>908</v>
      </c>
      <c r="BK482" s="791">
        <v>908</v>
      </c>
      <c r="BL482" s="792">
        <v>908</v>
      </c>
      <c r="BM482" s="790">
        <v>908</v>
      </c>
      <c r="BN482" s="750">
        <v>908</v>
      </c>
      <c r="BO482" s="750">
        <v>908</v>
      </c>
      <c r="BP482" s="791">
        <v>908</v>
      </c>
      <c r="BQ482" s="792">
        <v>908</v>
      </c>
      <c r="BZ482" s="91"/>
    </row>
    <row r="483" spans="1:82">
      <c r="A483" s="139"/>
      <c r="B483" s="139"/>
      <c r="C483" s="1187" t="s">
        <v>536</v>
      </c>
      <c r="E483" s="288"/>
      <c r="F483" s="289"/>
      <c r="G483" s="289"/>
      <c r="H483" s="299"/>
      <c r="I483" s="730"/>
      <c r="J483" s="288"/>
      <c r="K483" s="289"/>
      <c r="L483" s="289"/>
      <c r="M483" s="299"/>
      <c r="N483" s="315"/>
      <c r="O483" s="288"/>
      <c r="P483" s="289"/>
      <c r="Q483" s="750"/>
      <c r="R483" s="791"/>
      <c r="S483" s="792"/>
      <c r="T483" s="790"/>
      <c r="U483" s="750"/>
      <c r="V483" s="750"/>
      <c r="W483" s="791"/>
      <c r="X483" s="792">
        <v>1268</v>
      </c>
      <c r="Y483" s="790">
        <v>1268</v>
      </c>
      <c r="Z483" s="750">
        <v>1268</v>
      </c>
      <c r="AA483" s="750">
        <v>1268</v>
      </c>
      <c r="AB483" s="791">
        <v>1268</v>
      </c>
      <c r="AC483" s="792">
        <v>1268</v>
      </c>
      <c r="AD483" s="790">
        <v>1268</v>
      </c>
      <c r="AE483" s="750">
        <v>1268</v>
      </c>
      <c r="AF483" s="750">
        <v>1268</v>
      </c>
      <c r="AG483" s="791">
        <v>1268</v>
      </c>
      <c r="AH483" s="792">
        <v>1268</v>
      </c>
      <c r="AI483" s="790">
        <v>1268</v>
      </c>
      <c r="AJ483" s="750">
        <v>1268</v>
      </c>
      <c r="AK483" s="750">
        <v>1268</v>
      </c>
      <c r="AL483" s="791">
        <v>1268</v>
      </c>
      <c r="AM483" s="792">
        <v>1268</v>
      </c>
      <c r="AN483" s="790">
        <v>1268</v>
      </c>
      <c r="AO483" s="750">
        <v>1268</v>
      </c>
      <c r="AP483" s="750">
        <v>1268</v>
      </c>
      <c r="AQ483" s="791">
        <v>1268</v>
      </c>
      <c r="AR483" s="792">
        <v>1268</v>
      </c>
      <c r="AS483" s="790">
        <v>1268</v>
      </c>
      <c r="AT483" s="750">
        <v>1268</v>
      </c>
      <c r="AU483" s="750">
        <v>1268</v>
      </c>
      <c r="AV483" s="791">
        <v>1268</v>
      </c>
      <c r="AW483" s="792">
        <v>1268</v>
      </c>
      <c r="AX483" s="790">
        <v>1268</v>
      </c>
      <c r="AY483" s="750">
        <v>1268</v>
      </c>
      <c r="AZ483" s="750">
        <v>1268</v>
      </c>
      <c r="BA483" s="791">
        <v>1268</v>
      </c>
      <c r="BB483" s="792">
        <v>1268</v>
      </c>
      <c r="BC483" s="790">
        <v>1268</v>
      </c>
      <c r="BD483" s="750">
        <v>1268</v>
      </c>
      <c r="BE483" s="750">
        <v>1268</v>
      </c>
      <c r="BF483" s="791">
        <v>1268</v>
      </c>
      <c r="BG483" s="792">
        <v>1268</v>
      </c>
      <c r="BH483" s="790">
        <v>1268</v>
      </c>
      <c r="BI483" s="750">
        <v>1268</v>
      </c>
      <c r="BJ483" s="750">
        <v>1268</v>
      </c>
      <c r="BK483" s="791">
        <v>1268</v>
      </c>
      <c r="BL483" s="792">
        <v>1268</v>
      </c>
      <c r="BM483" s="790">
        <v>1268</v>
      </c>
      <c r="BN483" s="750">
        <v>1268</v>
      </c>
      <c r="BO483" s="750">
        <v>1268</v>
      </c>
      <c r="BP483" s="791">
        <v>1268</v>
      </c>
      <c r="BQ483" s="792">
        <v>1268</v>
      </c>
      <c r="BT483" s="13"/>
      <c r="CD483" s="13"/>
    </row>
    <row r="484" spans="1:82" s="13" customFormat="1">
      <c r="A484" s="136"/>
      <c r="B484" s="136"/>
      <c r="C484" s="1186" t="s">
        <v>559</v>
      </c>
      <c r="E484" s="478"/>
      <c r="F484" s="479"/>
      <c r="G484" s="479"/>
      <c r="H484" s="480"/>
      <c r="I484" s="739"/>
      <c r="J484" s="478"/>
      <c r="K484" s="479"/>
      <c r="L484" s="479"/>
      <c r="M484" s="480"/>
      <c r="N484" s="308"/>
      <c r="O484" s="478"/>
      <c r="P484" s="479"/>
      <c r="Q484" s="875"/>
      <c r="R484" s="881"/>
      <c r="S484" s="93"/>
      <c r="T484" s="106"/>
      <c r="U484" s="76"/>
      <c r="V484" s="76"/>
      <c r="W484" s="107"/>
      <c r="X484" s="93">
        <f t="shared" ref="X484:AR484" si="834">SUM(X482:X483)</f>
        <v>2176</v>
      </c>
      <c r="Y484" s="106">
        <f t="shared" si="834"/>
        <v>2176</v>
      </c>
      <c r="Z484" s="76">
        <f t="shared" si="834"/>
        <v>2176</v>
      </c>
      <c r="AA484" s="76">
        <f t="shared" si="834"/>
        <v>2176</v>
      </c>
      <c r="AB484" s="107">
        <f t="shared" si="834"/>
        <v>2176</v>
      </c>
      <c r="AC484" s="93">
        <f t="shared" si="834"/>
        <v>2176</v>
      </c>
      <c r="AD484" s="106">
        <f t="shared" si="834"/>
        <v>2176</v>
      </c>
      <c r="AE484" s="76">
        <f t="shared" si="834"/>
        <v>2176</v>
      </c>
      <c r="AF484" s="76">
        <f t="shared" si="834"/>
        <v>2176</v>
      </c>
      <c r="AG484" s="107">
        <f t="shared" si="834"/>
        <v>2176</v>
      </c>
      <c r="AH484" s="93">
        <f t="shared" si="834"/>
        <v>2176</v>
      </c>
      <c r="AI484" s="106">
        <f t="shared" si="834"/>
        <v>2176</v>
      </c>
      <c r="AJ484" s="76">
        <f t="shared" si="834"/>
        <v>2176</v>
      </c>
      <c r="AK484" s="76">
        <f t="shared" si="834"/>
        <v>2176</v>
      </c>
      <c r="AL484" s="107">
        <f t="shared" si="834"/>
        <v>2176</v>
      </c>
      <c r="AM484" s="93">
        <f t="shared" si="834"/>
        <v>2176</v>
      </c>
      <c r="AN484" s="106">
        <f t="shared" si="834"/>
        <v>2176</v>
      </c>
      <c r="AO484" s="76">
        <f t="shared" si="834"/>
        <v>2176</v>
      </c>
      <c r="AP484" s="76">
        <f t="shared" si="834"/>
        <v>2176</v>
      </c>
      <c r="AQ484" s="107">
        <f t="shared" si="834"/>
        <v>2176</v>
      </c>
      <c r="AR484" s="93">
        <f t="shared" si="834"/>
        <v>2176</v>
      </c>
      <c r="AS484" s="106">
        <f t="shared" ref="AS484:BB484" si="835">SUM(AS482:AS483)</f>
        <v>2176</v>
      </c>
      <c r="AT484" s="76">
        <f t="shared" si="835"/>
        <v>2176</v>
      </c>
      <c r="AU484" s="76">
        <f t="shared" si="835"/>
        <v>2176</v>
      </c>
      <c r="AV484" s="107">
        <f t="shared" si="835"/>
        <v>2176</v>
      </c>
      <c r="AW484" s="93">
        <f t="shared" si="835"/>
        <v>2176</v>
      </c>
      <c r="AX484" s="106">
        <f t="shared" si="835"/>
        <v>2176</v>
      </c>
      <c r="AY484" s="76">
        <f t="shared" si="835"/>
        <v>2176</v>
      </c>
      <c r="AZ484" s="76">
        <f t="shared" si="835"/>
        <v>2176</v>
      </c>
      <c r="BA484" s="107">
        <f t="shared" si="835"/>
        <v>2176</v>
      </c>
      <c r="BB484" s="93">
        <f t="shared" si="835"/>
        <v>2176</v>
      </c>
      <c r="BC484" s="106">
        <f t="shared" ref="BC484:BL484" si="836">SUM(BC482:BC483)</f>
        <v>2176</v>
      </c>
      <c r="BD484" s="76">
        <f t="shared" si="836"/>
        <v>2176</v>
      </c>
      <c r="BE484" s="76">
        <f t="shared" si="836"/>
        <v>2176</v>
      </c>
      <c r="BF484" s="107">
        <f t="shared" si="836"/>
        <v>2176</v>
      </c>
      <c r="BG484" s="93">
        <f t="shared" si="836"/>
        <v>2176</v>
      </c>
      <c r="BH484" s="106">
        <f t="shared" si="836"/>
        <v>2176</v>
      </c>
      <c r="BI484" s="76">
        <f t="shared" si="836"/>
        <v>2176</v>
      </c>
      <c r="BJ484" s="76">
        <f t="shared" si="836"/>
        <v>2176</v>
      </c>
      <c r="BK484" s="107">
        <f t="shared" si="836"/>
        <v>2176</v>
      </c>
      <c r="BL484" s="93">
        <f t="shared" si="836"/>
        <v>2176</v>
      </c>
      <c r="BM484" s="106">
        <f t="shared" ref="BM484:BQ484" si="837">SUM(BM482:BM483)</f>
        <v>2176</v>
      </c>
      <c r="BN484" s="76">
        <f t="shared" si="837"/>
        <v>2176</v>
      </c>
      <c r="BO484" s="76">
        <f t="shared" si="837"/>
        <v>2176</v>
      </c>
      <c r="BP484" s="107">
        <f t="shared" si="837"/>
        <v>2176</v>
      </c>
      <c r="BQ484" s="93">
        <f t="shared" si="837"/>
        <v>2176</v>
      </c>
      <c r="BR484" s="136"/>
      <c r="BS484" s="136"/>
      <c r="BT484"/>
      <c r="BU484"/>
      <c r="BV484"/>
      <c r="BW484"/>
      <c r="BX484"/>
      <c r="BY484"/>
      <c r="BZ484"/>
      <c r="CA484"/>
      <c r="CB484"/>
      <c r="CC484"/>
      <c r="CD484"/>
    </row>
    <row r="485" spans="1:82">
      <c r="A485" s="139"/>
      <c r="B485" s="139"/>
      <c r="C485" s="1187"/>
      <c r="E485" s="288"/>
      <c r="F485" s="289"/>
      <c r="G485" s="289"/>
      <c r="H485" s="299"/>
      <c r="I485" s="730"/>
      <c r="J485" s="288"/>
      <c r="K485" s="289"/>
      <c r="L485" s="289"/>
      <c r="M485" s="299"/>
      <c r="N485" s="315"/>
      <c r="O485" s="288"/>
      <c r="P485" s="289"/>
      <c r="Q485" s="750"/>
      <c r="R485" s="791"/>
      <c r="S485" s="792"/>
      <c r="T485" s="790"/>
      <c r="U485" s="750"/>
      <c r="V485" s="750"/>
      <c r="W485" s="791"/>
      <c r="X485" s="792"/>
      <c r="Y485" s="790"/>
      <c r="Z485" s="750"/>
      <c r="AA485" s="750"/>
      <c r="AB485" s="791"/>
      <c r="AC485" s="792"/>
      <c r="AD485" s="790"/>
      <c r="AE485" s="750"/>
      <c r="AF485" s="750"/>
      <c r="AG485" s="791"/>
      <c r="AH485" s="792"/>
      <c r="AI485" s="790"/>
      <c r="AJ485" s="750"/>
      <c r="AK485" s="750"/>
      <c r="AL485" s="791"/>
      <c r="AM485" s="792"/>
      <c r="AN485" s="790"/>
      <c r="AO485" s="750"/>
      <c r="AP485" s="750"/>
      <c r="AQ485" s="791"/>
      <c r="AR485" s="792"/>
      <c r="AS485" s="790"/>
      <c r="AT485" s="750"/>
      <c r="AU485" s="750"/>
      <c r="AV485" s="791"/>
      <c r="AW485" s="792"/>
      <c r="AX485" s="790"/>
      <c r="AY485" s="750"/>
      <c r="AZ485" s="750"/>
      <c r="BA485" s="791"/>
      <c r="BB485" s="792"/>
      <c r="BC485" s="790"/>
      <c r="BD485" s="750"/>
      <c r="BE485" s="750"/>
      <c r="BF485" s="791"/>
      <c r="BG485" s="792"/>
      <c r="BH485" s="790"/>
      <c r="BI485" s="750"/>
      <c r="BJ485" s="750"/>
      <c r="BK485" s="791"/>
      <c r="BL485" s="792"/>
      <c r="BM485" s="790"/>
      <c r="BN485" s="750"/>
      <c r="BO485" s="750"/>
      <c r="BP485" s="791"/>
      <c r="BQ485" s="792"/>
      <c r="CA485" s="13"/>
      <c r="CB485" s="13"/>
      <c r="CC485" s="13"/>
    </row>
    <row r="486" spans="1:82">
      <c r="A486" s="139"/>
      <c r="B486" s="139"/>
      <c r="C486" s="1187" t="s">
        <v>537</v>
      </c>
      <c r="E486" s="288"/>
      <c r="F486" s="289"/>
      <c r="G486" s="289"/>
      <c r="H486" s="299"/>
      <c r="I486" s="730"/>
      <c r="J486" s="288"/>
      <c r="K486" s="289"/>
      <c r="L486" s="289"/>
      <c r="M486" s="299"/>
      <c r="N486" s="315"/>
      <c r="O486" s="288"/>
      <c r="P486" s="289"/>
      <c r="Q486" s="750"/>
      <c r="R486" s="791"/>
      <c r="S486" s="792"/>
      <c r="T486" s="790"/>
      <c r="U486" s="750"/>
      <c r="V486" s="750"/>
      <c r="W486" s="791"/>
      <c r="X486" s="792">
        <v>1872</v>
      </c>
      <c r="Y486" s="790">
        <v>1872</v>
      </c>
      <c r="Z486" s="750">
        <v>1872</v>
      </c>
      <c r="AA486" s="750">
        <v>1872</v>
      </c>
      <c r="AB486" s="791">
        <v>1872</v>
      </c>
      <c r="AC486" s="792">
        <v>1872</v>
      </c>
      <c r="AD486" s="790">
        <v>1872</v>
      </c>
      <c r="AE486" s="750">
        <v>1872</v>
      </c>
      <c r="AF486" s="750">
        <v>1872</v>
      </c>
      <c r="AG486" s="791">
        <v>1872</v>
      </c>
      <c r="AH486" s="792">
        <v>1872</v>
      </c>
      <c r="AI486" s="790">
        <v>1872</v>
      </c>
      <c r="AJ486" s="750">
        <v>1872</v>
      </c>
      <c r="AK486" s="750">
        <v>1872</v>
      </c>
      <c r="AL486" s="791">
        <v>1872</v>
      </c>
      <c r="AM486" s="792">
        <v>1872</v>
      </c>
      <c r="AN486" s="790">
        <v>1872</v>
      </c>
      <c r="AO486" s="750">
        <v>1872</v>
      </c>
      <c r="AP486" s="750">
        <v>1872</v>
      </c>
      <c r="AQ486" s="791">
        <v>1872</v>
      </c>
      <c r="AR486" s="792">
        <v>1872</v>
      </c>
      <c r="AS486" s="790">
        <v>1872</v>
      </c>
      <c r="AT486" s="750">
        <v>1872</v>
      </c>
      <c r="AU486" s="750">
        <v>1872</v>
      </c>
      <c r="AV486" s="791">
        <v>1872</v>
      </c>
      <c r="AW486" s="792">
        <v>1872</v>
      </c>
      <c r="AX486" s="790">
        <v>1872</v>
      </c>
      <c r="AY486" s="750">
        <v>1872</v>
      </c>
      <c r="AZ486" s="750">
        <v>1872</v>
      </c>
      <c r="BA486" s="791">
        <v>1872</v>
      </c>
      <c r="BB486" s="792">
        <v>1872</v>
      </c>
      <c r="BC486" s="790">
        <v>1872</v>
      </c>
      <c r="BD486" s="750">
        <v>1872</v>
      </c>
      <c r="BE486" s="750">
        <v>1872</v>
      </c>
      <c r="BF486" s="791">
        <v>1872</v>
      </c>
      <c r="BG486" s="792">
        <v>1872</v>
      </c>
      <c r="BH486" s="790">
        <v>1872</v>
      </c>
      <c r="BI486" s="750">
        <v>1872</v>
      </c>
      <c r="BJ486" s="750">
        <v>1872</v>
      </c>
      <c r="BK486" s="791">
        <v>1872</v>
      </c>
      <c r="BL486" s="792">
        <v>1872</v>
      </c>
      <c r="BM486" s="790">
        <v>1872</v>
      </c>
      <c r="BN486" s="750">
        <v>1872</v>
      </c>
      <c r="BO486" s="750">
        <v>1872</v>
      </c>
      <c r="BP486" s="791">
        <v>1872</v>
      </c>
      <c r="BQ486" s="792">
        <v>1872</v>
      </c>
      <c r="BZ486" s="13"/>
    </row>
    <row r="487" spans="1:82">
      <c r="A487" s="139"/>
      <c r="B487" s="139"/>
      <c r="C487" s="1187"/>
      <c r="E487" s="288"/>
      <c r="F487" s="289"/>
      <c r="G487" s="289"/>
      <c r="H487" s="299"/>
      <c r="I487" s="730"/>
      <c r="J487" s="288"/>
      <c r="K487" s="289"/>
      <c r="L487" s="289"/>
      <c r="M487" s="299"/>
      <c r="N487" s="315"/>
      <c r="O487" s="288"/>
      <c r="P487" s="289"/>
      <c r="Q487" s="750"/>
      <c r="R487" s="791"/>
      <c r="S487" s="792"/>
      <c r="T487" s="790"/>
      <c r="U487" s="750"/>
      <c r="V487" s="750"/>
      <c r="W487" s="791"/>
      <c r="X487" s="792"/>
      <c r="Y487" s="790"/>
      <c r="Z487" s="750"/>
      <c r="AA487" s="750"/>
      <c r="AB487" s="791"/>
      <c r="AC487" s="792"/>
      <c r="AD487" s="790"/>
      <c r="AE487" s="750"/>
      <c r="AF487" s="750"/>
      <c r="AG487" s="791"/>
      <c r="AH487" s="792"/>
      <c r="AI487" s="790"/>
      <c r="AJ487" s="750"/>
      <c r="AK487" s="750"/>
      <c r="AL487" s="791"/>
      <c r="AM487" s="792"/>
      <c r="AN487" s="790"/>
      <c r="AO487" s="750"/>
      <c r="AP487" s="750"/>
      <c r="AQ487" s="791"/>
      <c r="AR487" s="792"/>
      <c r="AS487" s="790"/>
      <c r="AT487" s="750"/>
      <c r="AU487" s="750"/>
      <c r="AV487" s="791"/>
      <c r="AW487" s="792"/>
      <c r="AX487" s="790"/>
      <c r="AY487" s="750"/>
      <c r="AZ487" s="750"/>
      <c r="BA487" s="791"/>
      <c r="BB487" s="792"/>
      <c r="BC487" s="790"/>
      <c r="BD487" s="750"/>
      <c r="BE487" s="750"/>
      <c r="BF487" s="791"/>
      <c r="BG487" s="792"/>
      <c r="BH487" s="790"/>
      <c r="BI487" s="750"/>
      <c r="BJ487" s="750"/>
      <c r="BK487" s="791"/>
      <c r="BL487" s="792"/>
      <c r="BM487" s="790"/>
      <c r="BN487" s="750"/>
      <c r="BO487" s="750"/>
      <c r="BP487" s="791"/>
      <c r="BQ487" s="792"/>
    </row>
    <row r="488" spans="1:82">
      <c r="A488" s="139"/>
      <c r="B488" s="139"/>
      <c r="C488" s="1187" t="s">
        <v>531</v>
      </c>
      <c r="E488" s="288"/>
      <c r="F488" s="289"/>
      <c r="G488" s="289"/>
      <c r="H488" s="299"/>
      <c r="I488" s="730"/>
      <c r="J488" s="288"/>
      <c r="K488" s="289"/>
      <c r="L488" s="289"/>
      <c r="M488" s="299"/>
      <c r="N488" s="315"/>
      <c r="O488" s="288"/>
      <c r="P488" s="289"/>
      <c r="Q488" s="750"/>
      <c r="R488" s="791"/>
      <c r="S488" s="792"/>
      <c r="T488" s="790"/>
      <c r="U488" s="750"/>
      <c r="V488" s="750"/>
      <c r="W488" s="791"/>
      <c r="X488" s="792">
        <v>451</v>
      </c>
      <c r="Y488" s="790">
        <v>451</v>
      </c>
      <c r="Z488" s="750">
        <v>451</v>
      </c>
      <c r="AA488" s="750">
        <v>451</v>
      </c>
      <c r="AB488" s="791">
        <v>451</v>
      </c>
      <c r="AC488" s="792">
        <v>451</v>
      </c>
      <c r="AD488" s="790">
        <v>0</v>
      </c>
      <c r="AE488" s="750">
        <v>0</v>
      </c>
      <c r="AF488" s="750">
        <v>0</v>
      </c>
      <c r="AG488" s="791">
        <v>0</v>
      </c>
      <c r="AH488" s="792">
        <v>0</v>
      </c>
      <c r="AI488" s="790">
        <v>0</v>
      </c>
      <c r="AJ488" s="750">
        <v>0</v>
      </c>
      <c r="AK488" s="750">
        <v>0</v>
      </c>
      <c r="AL488" s="791">
        <v>0</v>
      </c>
      <c r="AM488" s="792">
        <v>0</v>
      </c>
      <c r="AN488" s="790">
        <v>0</v>
      </c>
      <c r="AO488" s="750">
        <v>0</v>
      </c>
      <c r="AP488" s="750">
        <v>0</v>
      </c>
      <c r="AQ488" s="791">
        <v>0</v>
      </c>
      <c r="AR488" s="792">
        <v>0</v>
      </c>
      <c r="AS488" s="790">
        <v>0</v>
      </c>
      <c r="AT488" s="750">
        <v>0</v>
      </c>
      <c r="AU488" s="750">
        <v>0</v>
      </c>
      <c r="AV488" s="791">
        <v>0</v>
      </c>
      <c r="AW488" s="792">
        <v>0</v>
      </c>
      <c r="AX488" s="790">
        <v>0</v>
      </c>
      <c r="AY488" s="750">
        <v>0</v>
      </c>
      <c r="AZ488" s="750">
        <v>0</v>
      </c>
      <c r="BA488" s="791">
        <v>0</v>
      </c>
      <c r="BB488" s="792">
        <v>0</v>
      </c>
      <c r="BC488" s="790">
        <v>0</v>
      </c>
      <c r="BD488" s="750">
        <v>0</v>
      </c>
      <c r="BE488" s="750">
        <v>0</v>
      </c>
      <c r="BF488" s="791">
        <v>0</v>
      </c>
      <c r="BG488" s="792">
        <v>0</v>
      </c>
      <c r="BH488" s="790">
        <v>0</v>
      </c>
      <c r="BI488" s="750">
        <v>0</v>
      </c>
      <c r="BJ488" s="750">
        <v>0</v>
      </c>
      <c r="BK488" s="791">
        <v>0</v>
      </c>
      <c r="BL488" s="792">
        <v>0</v>
      </c>
      <c r="BM488" s="790">
        <v>0</v>
      </c>
      <c r="BN488" s="750">
        <v>0</v>
      </c>
      <c r="BO488" s="750">
        <v>0</v>
      </c>
      <c r="BP488" s="791">
        <v>0</v>
      </c>
      <c r="BQ488" s="792">
        <v>0</v>
      </c>
    </row>
    <row r="489" spans="1:82">
      <c r="A489" s="139"/>
      <c r="B489" s="139"/>
      <c r="C489" s="1187" t="s">
        <v>532</v>
      </c>
      <c r="E489" s="288"/>
      <c r="F489" s="289"/>
      <c r="G489" s="289"/>
      <c r="H489" s="299"/>
      <c r="I489" s="730"/>
      <c r="J489" s="288"/>
      <c r="K489" s="289"/>
      <c r="L489" s="289"/>
      <c r="M489" s="299"/>
      <c r="N489" s="315"/>
      <c r="O489" s="288"/>
      <c r="P489" s="289"/>
      <c r="Q489" s="750"/>
      <c r="R489" s="791"/>
      <c r="S489" s="792"/>
      <c r="T489" s="790"/>
      <c r="U489" s="750"/>
      <c r="V489" s="750"/>
      <c r="W489" s="791"/>
      <c r="X489" s="792">
        <v>713</v>
      </c>
      <c r="Y489" s="790">
        <v>713</v>
      </c>
      <c r="Z489" s="750">
        <v>713</v>
      </c>
      <c r="AA489" s="750">
        <v>713</v>
      </c>
      <c r="AB489" s="791">
        <v>713</v>
      </c>
      <c r="AC489" s="792">
        <v>713</v>
      </c>
      <c r="AD489" s="790">
        <v>713</v>
      </c>
      <c r="AE489" s="750">
        <v>713</v>
      </c>
      <c r="AF489" s="750">
        <v>713</v>
      </c>
      <c r="AG489" s="791">
        <v>713</v>
      </c>
      <c r="AH489" s="792">
        <v>713</v>
      </c>
      <c r="AI489" s="790">
        <v>713</v>
      </c>
      <c r="AJ489" s="750">
        <v>713</v>
      </c>
      <c r="AK489" s="750">
        <v>713</v>
      </c>
      <c r="AL489" s="791">
        <v>713</v>
      </c>
      <c r="AM489" s="792">
        <v>713</v>
      </c>
      <c r="AN489" s="790">
        <v>713</v>
      </c>
      <c r="AO489" s="750">
        <v>713</v>
      </c>
      <c r="AP489" s="750">
        <v>713</v>
      </c>
      <c r="AQ489" s="791">
        <v>713</v>
      </c>
      <c r="AR489" s="792">
        <v>713</v>
      </c>
      <c r="AS489" s="790">
        <v>713</v>
      </c>
      <c r="AT489" s="750">
        <v>713</v>
      </c>
      <c r="AU489" s="750">
        <v>713</v>
      </c>
      <c r="AV489" s="791">
        <v>0</v>
      </c>
      <c r="AW489" s="792">
        <v>0</v>
      </c>
      <c r="AX489" s="790">
        <v>0</v>
      </c>
      <c r="AY489" s="750">
        <v>0</v>
      </c>
      <c r="AZ489" s="750">
        <v>0</v>
      </c>
      <c r="BA489" s="791">
        <v>0</v>
      </c>
      <c r="BB489" s="792">
        <v>0</v>
      </c>
      <c r="BC489" s="790">
        <v>0</v>
      </c>
      <c r="BD489" s="750">
        <v>0</v>
      </c>
      <c r="BE489" s="750">
        <v>0</v>
      </c>
      <c r="BF489" s="791">
        <v>0</v>
      </c>
      <c r="BG489" s="792">
        <v>0</v>
      </c>
      <c r="BH489" s="790">
        <v>0</v>
      </c>
      <c r="BI489" s="750">
        <v>0</v>
      </c>
      <c r="BJ489" s="750">
        <v>0</v>
      </c>
      <c r="BK489" s="791">
        <v>0</v>
      </c>
      <c r="BL489" s="792">
        <v>0</v>
      </c>
      <c r="BM489" s="790">
        <v>0</v>
      </c>
      <c r="BN489" s="750">
        <v>0</v>
      </c>
      <c r="BO489" s="750">
        <v>0</v>
      </c>
      <c r="BP489" s="791">
        <v>0</v>
      </c>
      <c r="BQ489" s="792">
        <v>0</v>
      </c>
      <c r="CD489" s="13"/>
    </row>
    <row r="490" spans="1:82" s="13" customFormat="1">
      <c r="A490" s="136"/>
      <c r="B490" s="136"/>
      <c r="C490" s="1186" t="s">
        <v>193</v>
      </c>
      <c r="E490" s="478"/>
      <c r="F490" s="479"/>
      <c r="G490" s="479"/>
      <c r="H490" s="480"/>
      <c r="I490" s="739"/>
      <c r="J490" s="478"/>
      <c r="K490" s="479"/>
      <c r="L490" s="479"/>
      <c r="M490" s="480"/>
      <c r="N490" s="308"/>
      <c r="O490" s="478"/>
      <c r="P490" s="479"/>
      <c r="Q490" s="875"/>
      <c r="R490" s="881"/>
      <c r="S490" s="93"/>
      <c r="T490" s="106"/>
      <c r="U490" s="76"/>
      <c r="V490" s="76"/>
      <c r="W490" s="107"/>
      <c r="X490" s="93">
        <f t="shared" ref="X490:AR490" si="838">SUM(X488:X489)</f>
        <v>1164</v>
      </c>
      <c r="Y490" s="106">
        <f t="shared" si="838"/>
        <v>1164</v>
      </c>
      <c r="Z490" s="76">
        <f t="shared" si="838"/>
        <v>1164</v>
      </c>
      <c r="AA490" s="76">
        <f t="shared" si="838"/>
        <v>1164</v>
      </c>
      <c r="AB490" s="107">
        <f t="shared" si="838"/>
        <v>1164</v>
      </c>
      <c r="AC490" s="93">
        <f t="shared" si="838"/>
        <v>1164</v>
      </c>
      <c r="AD490" s="106">
        <f t="shared" si="838"/>
        <v>713</v>
      </c>
      <c r="AE490" s="76">
        <f t="shared" si="838"/>
        <v>713</v>
      </c>
      <c r="AF490" s="76">
        <f t="shared" si="838"/>
        <v>713</v>
      </c>
      <c r="AG490" s="107">
        <f t="shared" si="838"/>
        <v>713</v>
      </c>
      <c r="AH490" s="93">
        <f t="shared" si="838"/>
        <v>713</v>
      </c>
      <c r="AI490" s="106">
        <f t="shared" si="838"/>
        <v>713</v>
      </c>
      <c r="AJ490" s="76">
        <f t="shared" si="838"/>
        <v>713</v>
      </c>
      <c r="AK490" s="76">
        <f t="shared" si="838"/>
        <v>713</v>
      </c>
      <c r="AL490" s="107">
        <f t="shared" si="838"/>
        <v>713</v>
      </c>
      <c r="AM490" s="93">
        <f t="shared" si="838"/>
        <v>713</v>
      </c>
      <c r="AN490" s="106">
        <f t="shared" si="838"/>
        <v>713</v>
      </c>
      <c r="AO490" s="76">
        <f t="shared" si="838"/>
        <v>713</v>
      </c>
      <c r="AP490" s="76">
        <f t="shared" si="838"/>
        <v>713</v>
      </c>
      <c r="AQ490" s="107">
        <f t="shared" si="838"/>
        <v>713</v>
      </c>
      <c r="AR490" s="93">
        <f t="shared" si="838"/>
        <v>713</v>
      </c>
      <c r="AS490" s="106">
        <f t="shared" ref="AS490:BB490" si="839">SUM(AS488:AS489)</f>
        <v>713</v>
      </c>
      <c r="AT490" s="76">
        <f t="shared" si="839"/>
        <v>713</v>
      </c>
      <c r="AU490" s="76">
        <f t="shared" si="839"/>
        <v>713</v>
      </c>
      <c r="AV490" s="107">
        <f t="shared" si="839"/>
        <v>0</v>
      </c>
      <c r="AW490" s="93">
        <f t="shared" si="839"/>
        <v>0</v>
      </c>
      <c r="AX490" s="106">
        <f t="shared" si="839"/>
        <v>0</v>
      </c>
      <c r="AY490" s="76">
        <f t="shared" si="839"/>
        <v>0</v>
      </c>
      <c r="AZ490" s="76">
        <f t="shared" si="839"/>
        <v>0</v>
      </c>
      <c r="BA490" s="107">
        <f t="shared" si="839"/>
        <v>0</v>
      </c>
      <c r="BB490" s="93">
        <f t="shared" si="839"/>
        <v>0</v>
      </c>
      <c r="BC490" s="106">
        <f t="shared" ref="BC490:BL490" si="840">SUM(BC488:BC489)</f>
        <v>0</v>
      </c>
      <c r="BD490" s="76">
        <f t="shared" si="840"/>
        <v>0</v>
      </c>
      <c r="BE490" s="76">
        <f t="shared" si="840"/>
        <v>0</v>
      </c>
      <c r="BF490" s="107">
        <f t="shared" si="840"/>
        <v>0</v>
      </c>
      <c r="BG490" s="93">
        <f t="shared" si="840"/>
        <v>0</v>
      </c>
      <c r="BH490" s="106">
        <f t="shared" si="840"/>
        <v>0</v>
      </c>
      <c r="BI490" s="76">
        <f t="shared" si="840"/>
        <v>0</v>
      </c>
      <c r="BJ490" s="76">
        <f t="shared" si="840"/>
        <v>0</v>
      </c>
      <c r="BK490" s="107">
        <f t="shared" si="840"/>
        <v>0</v>
      </c>
      <c r="BL490" s="93">
        <f t="shared" si="840"/>
        <v>0</v>
      </c>
      <c r="BM490" s="106">
        <f t="shared" ref="BM490:BQ490" si="841">SUM(BM488:BM489)</f>
        <v>0</v>
      </c>
      <c r="BN490" s="76">
        <f t="shared" si="841"/>
        <v>0</v>
      </c>
      <c r="BO490" s="76">
        <f t="shared" si="841"/>
        <v>0</v>
      </c>
      <c r="BP490" s="107">
        <f t="shared" si="841"/>
        <v>0</v>
      </c>
      <c r="BQ490" s="93">
        <f t="shared" si="841"/>
        <v>0</v>
      </c>
      <c r="BR490" s="136"/>
      <c r="BS490" s="136"/>
      <c r="BT490"/>
      <c r="BU490"/>
      <c r="BV490"/>
      <c r="BW490"/>
      <c r="BX490"/>
      <c r="BY490"/>
      <c r="BZ490"/>
      <c r="CA490"/>
      <c r="CB490"/>
      <c r="CC490"/>
      <c r="CD490"/>
    </row>
    <row r="491" spans="1:82">
      <c r="A491" s="139"/>
      <c r="B491" s="139"/>
      <c r="C491" s="1187"/>
      <c r="E491" s="288"/>
      <c r="F491" s="289"/>
      <c r="G491" s="289"/>
      <c r="H491" s="299"/>
      <c r="I491" s="730"/>
      <c r="J491" s="288"/>
      <c r="K491" s="289"/>
      <c r="L491" s="289"/>
      <c r="M491" s="299"/>
      <c r="N491" s="315"/>
      <c r="O491" s="288"/>
      <c r="P491" s="289"/>
      <c r="Q491" s="750"/>
      <c r="R491" s="791"/>
      <c r="S491" s="792"/>
      <c r="T491" s="790"/>
      <c r="U491" s="750"/>
      <c r="V491" s="750"/>
      <c r="W491" s="791"/>
      <c r="X491" s="792"/>
      <c r="Y491" s="790"/>
      <c r="Z491" s="750"/>
      <c r="AA491" s="750"/>
      <c r="AB491" s="791"/>
      <c r="AC491" s="792"/>
      <c r="AD491" s="790"/>
      <c r="AE491" s="750"/>
      <c r="AF491" s="750"/>
      <c r="AG491" s="791"/>
      <c r="AH491" s="792"/>
      <c r="AI491" s="790"/>
      <c r="AJ491" s="750"/>
      <c r="AK491" s="750"/>
      <c r="AL491" s="791"/>
      <c r="AM491" s="792"/>
      <c r="AN491" s="790"/>
      <c r="AO491" s="750"/>
      <c r="AP491" s="750"/>
      <c r="AQ491" s="791"/>
      <c r="AR491" s="792"/>
      <c r="AS491" s="790"/>
      <c r="AT491" s="750"/>
      <c r="AU491" s="750"/>
      <c r="AV491" s="791"/>
      <c r="AW491" s="792"/>
      <c r="AX491" s="790"/>
      <c r="AY491" s="750"/>
      <c r="AZ491" s="750"/>
      <c r="BA491" s="791"/>
      <c r="BB491" s="792"/>
      <c r="BC491" s="790"/>
      <c r="BD491" s="750"/>
      <c r="BE491" s="750"/>
      <c r="BF491" s="791"/>
      <c r="BG491" s="792"/>
      <c r="BH491" s="790"/>
      <c r="BI491" s="750"/>
      <c r="BJ491" s="750"/>
      <c r="BK491" s="791"/>
      <c r="BL491" s="792"/>
      <c r="BM491" s="790"/>
      <c r="BN491" s="750"/>
      <c r="BO491" s="750"/>
      <c r="BP491" s="791"/>
      <c r="BQ491" s="792"/>
      <c r="CA491" s="13"/>
      <c r="CB491" s="13"/>
      <c r="CC491" s="13"/>
    </row>
    <row r="492" spans="1:82">
      <c r="A492" s="139"/>
      <c r="B492" s="139"/>
      <c r="C492" s="1187" t="s">
        <v>533</v>
      </c>
      <c r="E492" s="288"/>
      <c r="F492" s="289"/>
      <c r="G492" s="289"/>
      <c r="H492" s="299"/>
      <c r="I492" s="730"/>
      <c r="J492" s="288"/>
      <c r="K492" s="289"/>
      <c r="L492" s="289"/>
      <c r="M492" s="299"/>
      <c r="N492" s="315"/>
      <c r="O492" s="288"/>
      <c r="P492" s="289"/>
      <c r="Q492" s="750"/>
      <c r="R492" s="791"/>
      <c r="S492" s="792"/>
      <c r="T492" s="790"/>
      <c r="U492" s="750"/>
      <c r="V492" s="750"/>
      <c r="W492" s="791"/>
      <c r="X492" s="792">
        <v>52</v>
      </c>
      <c r="Y492" s="790">
        <v>52</v>
      </c>
      <c r="Z492" s="750">
        <v>52</v>
      </c>
      <c r="AA492" s="750">
        <v>52</v>
      </c>
      <c r="AB492" s="791">
        <v>52</v>
      </c>
      <c r="AC492" s="792">
        <v>52</v>
      </c>
      <c r="AD492" s="790">
        <v>0</v>
      </c>
      <c r="AE492" s="750">
        <v>0</v>
      </c>
      <c r="AF492" s="750">
        <v>0</v>
      </c>
      <c r="AG492" s="791">
        <v>0</v>
      </c>
      <c r="AH492" s="792">
        <v>0</v>
      </c>
      <c r="AI492" s="790">
        <v>0</v>
      </c>
      <c r="AJ492" s="750">
        <v>0</v>
      </c>
      <c r="AK492" s="750">
        <v>0</v>
      </c>
      <c r="AL492" s="791">
        <v>0</v>
      </c>
      <c r="AM492" s="792">
        <v>0</v>
      </c>
      <c r="AN492" s="790">
        <v>0</v>
      </c>
      <c r="AO492" s="750">
        <v>0</v>
      </c>
      <c r="AP492" s="750">
        <v>0</v>
      </c>
      <c r="AQ492" s="791">
        <v>0</v>
      </c>
      <c r="AR492" s="792">
        <v>0</v>
      </c>
      <c r="AS492" s="790">
        <v>0</v>
      </c>
      <c r="AT492" s="750">
        <v>0</v>
      </c>
      <c r="AU492" s="750">
        <v>0</v>
      </c>
      <c r="AV492" s="791">
        <v>0</v>
      </c>
      <c r="AW492" s="792">
        <v>0</v>
      </c>
      <c r="AX492" s="790">
        <v>0</v>
      </c>
      <c r="AY492" s="750">
        <v>0</v>
      </c>
      <c r="AZ492" s="750">
        <v>0</v>
      </c>
      <c r="BA492" s="791">
        <v>0</v>
      </c>
      <c r="BB492" s="792">
        <v>0</v>
      </c>
      <c r="BC492" s="790">
        <v>0</v>
      </c>
      <c r="BD492" s="750">
        <v>0</v>
      </c>
      <c r="BE492" s="750">
        <v>0</v>
      </c>
      <c r="BF492" s="791">
        <v>0</v>
      </c>
      <c r="BG492" s="792">
        <v>0</v>
      </c>
      <c r="BH492" s="790">
        <v>0</v>
      </c>
      <c r="BI492" s="750">
        <v>0</v>
      </c>
      <c r="BJ492" s="750">
        <v>0</v>
      </c>
      <c r="BK492" s="791">
        <v>0</v>
      </c>
      <c r="BL492" s="792">
        <v>0</v>
      </c>
      <c r="BM492" s="790">
        <v>0</v>
      </c>
      <c r="BN492" s="750">
        <v>0</v>
      </c>
      <c r="BO492" s="750">
        <v>0</v>
      </c>
      <c r="BP492" s="791">
        <v>0</v>
      </c>
      <c r="BQ492" s="792">
        <v>0</v>
      </c>
      <c r="BZ492" s="13"/>
    </row>
    <row r="493" spans="1:82">
      <c r="A493" s="139"/>
      <c r="B493" s="139"/>
      <c r="C493" s="1187" t="s">
        <v>534</v>
      </c>
      <c r="E493" s="288"/>
      <c r="F493" s="289"/>
      <c r="G493" s="289"/>
      <c r="H493" s="299"/>
      <c r="I493" s="730"/>
      <c r="J493" s="288"/>
      <c r="K493" s="289"/>
      <c r="L493" s="289"/>
      <c r="M493" s="299"/>
      <c r="N493" s="315"/>
      <c r="O493" s="288"/>
      <c r="P493" s="289"/>
      <c r="Q493" s="750"/>
      <c r="R493" s="791"/>
      <c r="S493" s="792"/>
      <c r="T493" s="790"/>
      <c r="U493" s="750"/>
      <c r="V493" s="750"/>
      <c r="W493" s="791"/>
      <c r="X493" s="792">
        <v>19</v>
      </c>
      <c r="Y493" s="790">
        <v>19</v>
      </c>
      <c r="Z493" s="750">
        <v>19</v>
      </c>
      <c r="AA493" s="750">
        <v>19</v>
      </c>
      <c r="AB493" s="791">
        <v>19</v>
      </c>
      <c r="AC493" s="792">
        <v>19</v>
      </c>
      <c r="AD493" s="790">
        <v>0</v>
      </c>
      <c r="AE493" s="750">
        <v>0</v>
      </c>
      <c r="AF493" s="750">
        <v>0</v>
      </c>
      <c r="AG493" s="791">
        <v>0</v>
      </c>
      <c r="AH493" s="792">
        <v>0</v>
      </c>
      <c r="AI493" s="790">
        <v>0</v>
      </c>
      <c r="AJ493" s="750">
        <v>0</v>
      </c>
      <c r="AK493" s="750">
        <v>0</v>
      </c>
      <c r="AL493" s="791">
        <v>0</v>
      </c>
      <c r="AM493" s="792">
        <v>0</v>
      </c>
      <c r="AN493" s="790">
        <v>0</v>
      </c>
      <c r="AO493" s="750">
        <v>0</v>
      </c>
      <c r="AP493" s="750">
        <v>0</v>
      </c>
      <c r="AQ493" s="791">
        <v>0</v>
      </c>
      <c r="AR493" s="792">
        <v>0</v>
      </c>
      <c r="AS493" s="790">
        <v>0</v>
      </c>
      <c r="AT493" s="750">
        <v>0</v>
      </c>
      <c r="AU493" s="750">
        <v>0</v>
      </c>
      <c r="AV493" s="791">
        <v>0</v>
      </c>
      <c r="AW493" s="792">
        <v>0</v>
      </c>
      <c r="AX493" s="790">
        <v>0</v>
      </c>
      <c r="AY493" s="750">
        <v>0</v>
      </c>
      <c r="AZ493" s="750">
        <v>0</v>
      </c>
      <c r="BA493" s="791">
        <v>0</v>
      </c>
      <c r="BB493" s="792">
        <v>0</v>
      </c>
      <c r="BC493" s="790">
        <v>0</v>
      </c>
      <c r="BD493" s="750">
        <v>0</v>
      </c>
      <c r="BE493" s="750">
        <v>0</v>
      </c>
      <c r="BF493" s="791">
        <v>0</v>
      </c>
      <c r="BG493" s="792">
        <v>0</v>
      </c>
      <c r="BH493" s="790">
        <v>0</v>
      </c>
      <c r="BI493" s="750">
        <v>0</v>
      </c>
      <c r="BJ493" s="750">
        <v>0</v>
      </c>
      <c r="BK493" s="791">
        <v>0</v>
      </c>
      <c r="BL493" s="792">
        <v>0</v>
      </c>
      <c r="BM493" s="790">
        <v>0</v>
      </c>
      <c r="BN493" s="750">
        <v>0</v>
      </c>
      <c r="BO493" s="750">
        <v>0</v>
      </c>
      <c r="BP493" s="791">
        <v>0</v>
      </c>
      <c r="BQ493" s="792">
        <v>0</v>
      </c>
      <c r="BT493" s="13"/>
      <c r="CD493" s="13"/>
    </row>
    <row r="494" spans="1:82" s="13" customFormat="1">
      <c r="A494" s="136"/>
      <c r="B494" s="136"/>
      <c r="C494" s="1186" t="s">
        <v>558</v>
      </c>
      <c r="E494" s="478"/>
      <c r="F494" s="479"/>
      <c r="G494" s="479"/>
      <c r="H494" s="480"/>
      <c r="I494" s="739"/>
      <c r="J494" s="478"/>
      <c r="K494" s="479"/>
      <c r="L494" s="479"/>
      <c r="M494" s="480"/>
      <c r="N494" s="308"/>
      <c r="O494" s="478"/>
      <c r="P494" s="479"/>
      <c r="Q494" s="875"/>
      <c r="R494" s="881"/>
      <c r="S494" s="93"/>
      <c r="T494" s="106"/>
      <c r="U494" s="76"/>
      <c r="V494" s="76"/>
      <c r="W494" s="107"/>
      <c r="X494" s="93">
        <f t="shared" ref="X494:AR494" si="842">SUM(X492:X493)</f>
        <v>71</v>
      </c>
      <c r="Y494" s="106">
        <f t="shared" si="842"/>
        <v>71</v>
      </c>
      <c r="Z494" s="76">
        <f t="shared" si="842"/>
        <v>71</v>
      </c>
      <c r="AA494" s="76">
        <f t="shared" si="842"/>
        <v>71</v>
      </c>
      <c r="AB494" s="107">
        <f t="shared" si="842"/>
        <v>71</v>
      </c>
      <c r="AC494" s="93">
        <f t="shared" si="842"/>
        <v>71</v>
      </c>
      <c r="AD494" s="106">
        <f t="shared" si="842"/>
        <v>0</v>
      </c>
      <c r="AE494" s="76">
        <f t="shared" si="842"/>
        <v>0</v>
      </c>
      <c r="AF494" s="76">
        <f t="shared" si="842"/>
        <v>0</v>
      </c>
      <c r="AG494" s="107">
        <f t="shared" si="842"/>
        <v>0</v>
      </c>
      <c r="AH494" s="93">
        <f t="shared" si="842"/>
        <v>0</v>
      </c>
      <c r="AI494" s="106">
        <f t="shared" si="842"/>
        <v>0</v>
      </c>
      <c r="AJ494" s="76">
        <f t="shared" si="842"/>
        <v>0</v>
      </c>
      <c r="AK494" s="76">
        <f t="shared" si="842"/>
        <v>0</v>
      </c>
      <c r="AL494" s="107">
        <f t="shared" si="842"/>
        <v>0</v>
      </c>
      <c r="AM494" s="93">
        <f t="shared" si="842"/>
        <v>0</v>
      </c>
      <c r="AN494" s="106">
        <f t="shared" si="842"/>
        <v>0</v>
      </c>
      <c r="AO494" s="76">
        <f t="shared" si="842"/>
        <v>0</v>
      </c>
      <c r="AP494" s="76">
        <f t="shared" si="842"/>
        <v>0</v>
      </c>
      <c r="AQ494" s="107">
        <f t="shared" si="842"/>
        <v>0</v>
      </c>
      <c r="AR494" s="93">
        <f t="shared" si="842"/>
        <v>0</v>
      </c>
      <c r="AS494" s="106">
        <f t="shared" ref="AS494:BB494" si="843">SUM(AS492:AS493)</f>
        <v>0</v>
      </c>
      <c r="AT494" s="76">
        <f t="shared" si="843"/>
        <v>0</v>
      </c>
      <c r="AU494" s="76">
        <f t="shared" si="843"/>
        <v>0</v>
      </c>
      <c r="AV494" s="107">
        <f t="shared" si="843"/>
        <v>0</v>
      </c>
      <c r="AW494" s="93">
        <f t="shared" si="843"/>
        <v>0</v>
      </c>
      <c r="AX494" s="106">
        <f t="shared" si="843"/>
        <v>0</v>
      </c>
      <c r="AY494" s="76">
        <f t="shared" si="843"/>
        <v>0</v>
      </c>
      <c r="AZ494" s="76">
        <f t="shared" si="843"/>
        <v>0</v>
      </c>
      <c r="BA494" s="107">
        <f t="shared" si="843"/>
        <v>0</v>
      </c>
      <c r="BB494" s="93">
        <f t="shared" si="843"/>
        <v>0</v>
      </c>
      <c r="BC494" s="106">
        <f t="shared" ref="BC494:BL494" si="844">SUM(BC492:BC493)</f>
        <v>0</v>
      </c>
      <c r="BD494" s="76">
        <f t="shared" si="844"/>
        <v>0</v>
      </c>
      <c r="BE494" s="76">
        <f t="shared" si="844"/>
        <v>0</v>
      </c>
      <c r="BF494" s="107">
        <f t="shared" si="844"/>
        <v>0</v>
      </c>
      <c r="BG494" s="93">
        <f t="shared" si="844"/>
        <v>0</v>
      </c>
      <c r="BH494" s="106">
        <f t="shared" si="844"/>
        <v>0</v>
      </c>
      <c r="BI494" s="76">
        <f t="shared" si="844"/>
        <v>0</v>
      </c>
      <c r="BJ494" s="76">
        <f t="shared" si="844"/>
        <v>0</v>
      </c>
      <c r="BK494" s="107">
        <f t="shared" si="844"/>
        <v>0</v>
      </c>
      <c r="BL494" s="93">
        <f t="shared" si="844"/>
        <v>0</v>
      </c>
      <c r="BM494" s="106">
        <f t="shared" ref="BM494:BQ494" si="845">SUM(BM492:BM493)</f>
        <v>0</v>
      </c>
      <c r="BN494" s="76">
        <f t="shared" si="845"/>
        <v>0</v>
      </c>
      <c r="BO494" s="76">
        <f t="shared" si="845"/>
        <v>0</v>
      </c>
      <c r="BP494" s="107">
        <f t="shared" si="845"/>
        <v>0</v>
      </c>
      <c r="BQ494" s="93">
        <f t="shared" si="845"/>
        <v>0</v>
      </c>
      <c r="BR494" s="136"/>
      <c r="BS494" s="136"/>
      <c r="BT494"/>
      <c r="BU494"/>
      <c r="BV494"/>
      <c r="BW494"/>
      <c r="BX494"/>
      <c r="BY494"/>
      <c r="BZ494"/>
      <c r="CA494"/>
      <c r="CB494"/>
      <c r="CC494"/>
      <c r="CD494"/>
    </row>
    <row r="495" spans="1:82">
      <c r="A495" s="139"/>
      <c r="B495" s="139"/>
      <c r="C495" s="1187"/>
      <c r="E495" s="288"/>
      <c r="F495" s="289"/>
      <c r="G495" s="289"/>
      <c r="H495" s="299"/>
      <c r="I495" s="730"/>
      <c r="J495" s="288"/>
      <c r="K495" s="289"/>
      <c r="L495" s="289"/>
      <c r="M495" s="299"/>
      <c r="N495" s="315"/>
      <c r="O495" s="288"/>
      <c r="P495" s="289"/>
      <c r="Q495" s="750"/>
      <c r="R495" s="791"/>
      <c r="S495" s="792"/>
      <c r="T495" s="790"/>
      <c r="U495" s="750"/>
      <c r="V495" s="750"/>
      <c r="W495" s="791"/>
      <c r="X495" s="792"/>
      <c r="Y495" s="790"/>
      <c r="Z495" s="750"/>
      <c r="AA495" s="750"/>
      <c r="AB495" s="791"/>
      <c r="AC495" s="792"/>
      <c r="AD495" s="790"/>
      <c r="AE495" s="750"/>
      <c r="AF495" s="750"/>
      <c r="AG495" s="791"/>
      <c r="AH495" s="792"/>
      <c r="AI495" s="790"/>
      <c r="AJ495" s="750"/>
      <c r="AK495" s="750"/>
      <c r="AL495" s="791"/>
      <c r="AM495" s="792"/>
      <c r="AN495" s="790"/>
      <c r="AO495" s="750"/>
      <c r="AP495" s="750"/>
      <c r="AQ495" s="791"/>
      <c r="AR495" s="792"/>
      <c r="AS495" s="790"/>
      <c r="AT495" s="750"/>
      <c r="AU495" s="750"/>
      <c r="AV495" s="791"/>
      <c r="AW495" s="792"/>
      <c r="AX495" s="790"/>
      <c r="AY495" s="750"/>
      <c r="AZ495" s="750"/>
      <c r="BA495" s="791"/>
      <c r="BB495" s="792"/>
      <c r="BC495" s="790"/>
      <c r="BD495" s="750"/>
      <c r="BE495" s="750"/>
      <c r="BF495" s="791"/>
      <c r="BG495" s="792"/>
      <c r="BH495" s="790"/>
      <c r="BI495" s="750"/>
      <c r="BJ495" s="750"/>
      <c r="BK495" s="791"/>
      <c r="BL495" s="792"/>
      <c r="BM495" s="790"/>
      <c r="BN495" s="750"/>
      <c r="BO495" s="750"/>
      <c r="BP495" s="791"/>
      <c r="BQ495" s="792"/>
      <c r="CA495" s="13"/>
      <c r="CB495" s="13"/>
      <c r="CC495" s="13"/>
    </row>
    <row r="496" spans="1:82">
      <c r="A496" s="139"/>
      <c r="B496" s="139"/>
      <c r="C496" s="1187" t="s">
        <v>538</v>
      </c>
      <c r="E496" s="288"/>
      <c r="F496" s="289"/>
      <c r="G496" s="289"/>
      <c r="H496" s="299"/>
      <c r="I496" s="730"/>
      <c r="J496" s="288"/>
      <c r="K496" s="289"/>
      <c r="L496" s="289"/>
      <c r="M496" s="299"/>
      <c r="N496" s="315"/>
      <c r="O496" s="288"/>
      <c r="P496" s="289"/>
      <c r="Q496" s="750"/>
      <c r="R496" s="791"/>
      <c r="S496" s="792"/>
      <c r="T496" s="790"/>
      <c r="U496" s="750"/>
      <c r="V496" s="750"/>
      <c r="W496" s="791"/>
      <c r="X496" s="792">
        <v>136</v>
      </c>
      <c r="Y496" s="790">
        <v>136</v>
      </c>
      <c r="Z496" s="750">
        <v>136</v>
      </c>
      <c r="AA496" s="750">
        <v>136</v>
      </c>
      <c r="AB496" s="791">
        <v>136</v>
      </c>
      <c r="AC496" s="792">
        <v>136</v>
      </c>
      <c r="AD496" s="790">
        <v>136</v>
      </c>
      <c r="AE496" s="750">
        <v>136</v>
      </c>
      <c r="AF496" s="750">
        <v>136</v>
      </c>
      <c r="AG496" s="791">
        <v>136</v>
      </c>
      <c r="AH496" s="792">
        <v>136</v>
      </c>
      <c r="AI496" s="790">
        <v>136</v>
      </c>
      <c r="AJ496" s="750">
        <v>136</v>
      </c>
      <c r="AK496" s="750">
        <v>136</v>
      </c>
      <c r="AL496" s="791">
        <v>136</v>
      </c>
      <c r="AM496" s="792">
        <v>136</v>
      </c>
      <c r="AN496" s="790">
        <v>136</v>
      </c>
      <c r="AO496" s="750">
        <v>136</v>
      </c>
      <c r="AP496" s="750">
        <v>136</v>
      </c>
      <c r="AQ496" s="791">
        <v>136</v>
      </c>
      <c r="AR496" s="792">
        <v>136</v>
      </c>
      <c r="AS496" s="790">
        <v>136</v>
      </c>
      <c r="AT496" s="750">
        <v>136</v>
      </c>
      <c r="AU496" s="750">
        <v>136</v>
      </c>
      <c r="AV496" s="791">
        <v>136</v>
      </c>
      <c r="AW496" s="792">
        <v>136</v>
      </c>
      <c r="AX496" s="790">
        <v>136</v>
      </c>
      <c r="AY496" s="750">
        <v>136</v>
      </c>
      <c r="AZ496" s="750">
        <v>136</v>
      </c>
      <c r="BA496" s="791">
        <v>136</v>
      </c>
      <c r="BB496" s="792">
        <v>136</v>
      </c>
      <c r="BC496" s="790">
        <v>136</v>
      </c>
      <c r="BD496" s="750">
        <v>136</v>
      </c>
      <c r="BE496" s="750">
        <v>136</v>
      </c>
      <c r="BF496" s="791">
        <v>136</v>
      </c>
      <c r="BG496" s="792">
        <v>136</v>
      </c>
      <c r="BH496" s="790">
        <v>136</v>
      </c>
      <c r="BI496" s="750">
        <v>136</v>
      </c>
      <c r="BJ496" s="750">
        <v>136</v>
      </c>
      <c r="BK496" s="791">
        <v>136</v>
      </c>
      <c r="BL496" s="792">
        <v>136</v>
      </c>
      <c r="BM496" s="790">
        <v>136</v>
      </c>
      <c r="BN496" s="750">
        <v>136</v>
      </c>
      <c r="BO496" s="750">
        <v>136</v>
      </c>
      <c r="BP496" s="791">
        <v>136</v>
      </c>
      <c r="BQ496" s="792">
        <v>136</v>
      </c>
      <c r="BZ496" s="13"/>
    </row>
    <row r="497" spans="1:82">
      <c r="A497" s="139"/>
      <c r="B497" s="139"/>
      <c r="C497" s="1187" t="s">
        <v>539</v>
      </c>
      <c r="E497" s="288"/>
      <c r="F497" s="289"/>
      <c r="G497" s="289"/>
      <c r="H497" s="299"/>
      <c r="I497" s="730"/>
      <c r="J497" s="288"/>
      <c r="K497" s="289"/>
      <c r="L497" s="289"/>
      <c r="M497" s="299"/>
      <c r="N497" s="315"/>
      <c r="O497" s="288"/>
      <c r="P497" s="289"/>
      <c r="Q497" s="750"/>
      <c r="R497" s="791"/>
      <c r="S497" s="792"/>
      <c r="T497" s="790"/>
      <c r="U497" s="750"/>
      <c r="V497" s="750"/>
      <c r="W497" s="791"/>
      <c r="X497" s="792">
        <v>0</v>
      </c>
      <c r="Y497" s="790">
        <v>0</v>
      </c>
      <c r="Z497" s="750">
        <v>0</v>
      </c>
      <c r="AA497" s="750">
        <v>0</v>
      </c>
      <c r="AB497" s="791">
        <v>0</v>
      </c>
      <c r="AC497" s="792">
        <v>0</v>
      </c>
      <c r="AD497" s="790">
        <v>0</v>
      </c>
      <c r="AE497" s="750">
        <v>0</v>
      </c>
      <c r="AF497" s="750">
        <v>0</v>
      </c>
      <c r="AG497" s="791">
        <v>0</v>
      </c>
      <c r="AH497" s="792">
        <v>0</v>
      </c>
      <c r="AI497" s="790">
        <v>0</v>
      </c>
      <c r="AJ497" s="750">
        <v>0</v>
      </c>
      <c r="AK497" s="750">
        <v>0</v>
      </c>
      <c r="AL497" s="791">
        <v>0</v>
      </c>
      <c r="AM497" s="792">
        <v>0</v>
      </c>
      <c r="AN497" s="790">
        <v>0</v>
      </c>
      <c r="AO497" s="750">
        <v>0</v>
      </c>
      <c r="AP497" s="750">
        <v>0</v>
      </c>
      <c r="AQ497" s="791">
        <v>0</v>
      </c>
      <c r="AR497" s="792">
        <v>0</v>
      </c>
      <c r="AS497" s="790">
        <v>0</v>
      </c>
      <c r="AT497" s="750">
        <v>0</v>
      </c>
      <c r="AU497" s="750">
        <v>0</v>
      </c>
      <c r="AV497" s="791">
        <v>0</v>
      </c>
      <c r="AW497" s="792">
        <v>0</v>
      </c>
      <c r="AX497" s="790">
        <v>0</v>
      </c>
      <c r="AY497" s="750">
        <v>0</v>
      </c>
      <c r="AZ497" s="750">
        <v>0</v>
      </c>
      <c r="BA497" s="791">
        <v>0</v>
      </c>
      <c r="BB497" s="792">
        <v>0</v>
      </c>
      <c r="BC497" s="790">
        <v>0</v>
      </c>
      <c r="BD497" s="750">
        <v>0</v>
      </c>
      <c r="BE497" s="750">
        <v>0</v>
      </c>
      <c r="BF497" s="791">
        <v>0</v>
      </c>
      <c r="BG497" s="792">
        <v>0</v>
      </c>
      <c r="BH497" s="790">
        <v>0</v>
      </c>
      <c r="BI497" s="750">
        <v>0</v>
      </c>
      <c r="BJ497" s="750">
        <v>0</v>
      </c>
      <c r="BK497" s="791">
        <v>0</v>
      </c>
      <c r="BL497" s="792">
        <v>0</v>
      </c>
      <c r="BM497" s="790">
        <v>0</v>
      </c>
      <c r="BN497" s="750">
        <v>0</v>
      </c>
      <c r="BO497" s="750">
        <v>0</v>
      </c>
      <c r="BP497" s="791">
        <v>0</v>
      </c>
      <c r="BQ497" s="792">
        <v>0</v>
      </c>
    </row>
    <row r="498" spans="1:82">
      <c r="A498" s="139"/>
      <c r="B498" s="139"/>
      <c r="C498" s="1187" t="s">
        <v>540</v>
      </c>
      <c r="E498" s="288"/>
      <c r="F498" s="289"/>
      <c r="G498" s="289"/>
      <c r="H498" s="299"/>
      <c r="I498" s="730"/>
      <c r="J498" s="288"/>
      <c r="K498" s="289"/>
      <c r="L498" s="289"/>
      <c r="M498" s="299"/>
      <c r="N498" s="315"/>
      <c r="O498" s="288"/>
      <c r="P498" s="289"/>
      <c r="Q498" s="750"/>
      <c r="R498" s="791"/>
      <c r="S498" s="792"/>
      <c r="T498" s="790"/>
      <c r="U498" s="750"/>
      <c r="V498" s="750"/>
      <c r="W498" s="791"/>
      <c r="X498" s="792">
        <v>244</v>
      </c>
      <c r="Y498" s="790">
        <v>244</v>
      </c>
      <c r="Z498" s="750">
        <v>244</v>
      </c>
      <c r="AA498" s="750">
        <v>244</v>
      </c>
      <c r="AB498" s="791">
        <v>244</v>
      </c>
      <c r="AC498" s="792">
        <v>244</v>
      </c>
      <c r="AD498" s="790">
        <v>0</v>
      </c>
      <c r="AE498" s="750">
        <v>0</v>
      </c>
      <c r="AF498" s="750">
        <v>0</v>
      </c>
      <c r="AG498" s="791">
        <v>0</v>
      </c>
      <c r="AH498" s="792">
        <v>0</v>
      </c>
      <c r="AI498" s="790">
        <v>0</v>
      </c>
      <c r="AJ498" s="750">
        <v>0</v>
      </c>
      <c r="AK498" s="750">
        <v>0</v>
      </c>
      <c r="AL498" s="791">
        <v>0</v>
      </c>
      <c r="AM498" s="792">
        <v>0</v>
      </c>
      <c r="AN498" s="790">
        <v>0</v>
      </c>
      <c r="AO498" s="750">
        <v>0</v>
      </c>
      <c r="AP498" s="750">
        <v>0</v>
      </c>
      <c r="AQ498" s="791">
        <v>0</v>
      </c>
      <c r="AR498" s="792">
        <v>0</v>
      </c>
      <c r="AS498" s="790">
        <v>0</v>
      </c>
      <c r="AT498" s="750">
        <v>0</v>
      </c>
      <c r="AU498" s="750">
        <v>0</v>
      </c>
      <c r="AV498" s="791">
        <v>0</v>
      </c>
      <c r="AW498" s="792">
        <v>0</v>
      </c>
      <c r="AX498" s="790">
        <v>0</v>
      </c>
      <c r="AY498" s="750">
        <v>0</v>
      </c>
      <c r="AZ498" s="750">
        <v>0</v>
      </c>
      <c r="BA498" s="791">
        <v>0</v>
      </c>
      <c r="BB498" s="792">
        <v>0</v>
      </c>
      <c r="BC498" s="790">
        <v>0</v>
      </c>
      <c r="BD498" s="750">
        <v>0</v>
      </c>
      <c r="BE498" s="750">
        <v>0</v>
      </c>
      <c r="BF498" s="791">
        <v>0</v>
      </c>
      <c r="BG498" s="792">
        <v>0</v>
      </c>
      <c r="BH498" s="790">
        <v>0</v>
      </c>
      <c r="BI498" s="750">
        <v>0</v>
      </c>
      <c r="BJ498" s="750">
        <v>0</v>
      </c>
      <c r="BK498" s="791">
        <v>0</v>
      </c>
      <c r="BL498" s="792">
        <v>0</v>
      </c>
      <c r="BM498" s="790">
        <v>0</v>
      </c>
      <c r="BN498" s="750">
        <v>0</v>
      </c>
      <c r="BO498" s="750">
        <v>0</v>
      </c>
      <c r="BP498" s="791">
        <v>0</v>
      </c>
      <c r="BQ498" s="792">
        <v>0</v>
      </c>
    </row>
    <row r="499" spans="1:82">
      <c r="A499" s="139"/>
      <c r="B499" s="139"/>
      <c r="C499" s="1187" t="s">
        <v>541</v>
      </c>
      <c r="E499" s="288"/>
      <c r="F499" s="289"/>
      <c r="G499" s="289"/>
      <c r="H499" s="299"/>
      <c r="I499" s="730"/>
      <c r="J499" s="288"/>
      <c r="K499" s="289"/>
      <c r="L499" s="289"/>
      <c r="M499" s="299"/>
      <c r="N499" s="315"/>
      <c r="O499" s="288"/>
      <c r="P499" s="289"/>
      <c r="Q499" s="750"/>
      <c r="R499" s="791"/>
      <c r="S499" s="792"/>
      <c r="T499" s="790"/>
      <c r="U499" s="750"/>
      <c r="V499" s="750"/>
      <c r="W499" s="791"/>
      <c r="X499" s="792">
        <v>245</v>
      </c>
      <c r="Y499" s="790">
        <v>245</v>
      </c>
      <c r="Z499" s="750">
        <v>245</v>
      </c>
      <c r="AA499" s="750">
        <v>245</v>
      </c>
      <c r="AB499" s="791">
        <v>245</v>
      </c>
      <c r="AC499" s="792">
        <v>245</v>
      </c>
      <c r="AD499" s="790">
        <v>0</v>
      </c>
      <c r="AE499" s="750">
        <v>0</v>
      </c>
      <c r="AF499" s="750">
        <v>0</v>
      </c>
      <c r="AG499" s="791">
        <v>0</v>
      </c>
      <c r="AH499" s="792">
        <v>0</v>
      </c>
      <c r="AI499" s="790">
        <v>0</v>
      </c>
      <c r="AJ499" s="750">
        <v>0</v>
      </c>
      <c r="AK499" s="750">
        <v>0</v>
      </c>
      <c r="AL499" s="791">
        <v>0</v>
      </c>
      <c r="AM499" s="792">
        <v>0</v>
      </c>
      <c r="AN499" s="790">
        <v>0</v>
      </c>
      <c r="AO499" s="750">
        <v>0</v>
      </c>
      <c r="AP499" s="750">
        <v>0</v>
      </c>
      <c r="AQ499" s="791">
        <v>0</v>
      </c>
      <c r="AR499" s="792">
        <v>0</v>
      </c>
      <c r="AS499" s="790">
        <v>0</v>
      </c>
      <c r="AT499" s="750">
        <v>0</v>
      </c>
      <c r="AU499" s="750">
        <v>0</v>
      </c>
      <c r="AV499" s="791">
        <v>0</v>
      </c>
      <c r="AW499" s="792">
        <v>0</v>
      </c>
      <c r="AX499" s="790">
        <v>0</v>
      </c>
      <c r="AY499" s="750">
        <v>0</v>
      </c>
      <c r="AZ499" s="750">
        <v>0</v>
      </c>
      <c r="BA499" s="791">
        <v>0</v>
      </c>
      <c r="BB499" s="792">
        <v>0</v>
      </c>
      <c r="BC499" s="790">
        <v>0</v>
      </c>
      <c r="BD499" s="750">
        <v>0</v>
      </c>
      <c r="BE499" s="750">
        <v>0</v>
      </c>
      <c r="BF499" s="791">
        <v>0</v>
      </c>
      <c r="BG499" s="792">
        <v>0</v>
      </c>
      <c r="BH499" s="790">
        <v>0</v>
      </c>
      <c r="BI499" s="750">
        <v>0</v>
      </c>
      <c r="BJ499" s="750">
        <v>0</v>
      </c>
      <c r="BK499" s="791">
        <v>0</v>
      </c>
      <c r="BL499" s="792">
        <v>0</v>
      </c>
      <c r="BM499" s="790">
        <v>0</v>
      </c>
      <c r="BN499" s="750">
        <v>0</v>
      </c>
      <c r="BO499" s="750">
        <v>0</v>
      </c>
      <c r="BP499" s="791">
        <v>0</v>
      </c>
      <c r="BQ499" s="792">
        <v>0</v>
      </c>
    </row>
    <row r="500" spans="1:82">
      <c r="A500" s="139"/>
      <c r="B500" s="139"/>
      <c r="C500" s="1187" t="s">
        <v>542</v>
      </c>
      <c r="E500" s="288"/>
      <c r="F500" s="289"/>
      <c r="G500" s="289"/>
      <c r="H500" s="299"/>
      <c r="I500" s="730"/>
      <c r="J500" s="288"/>
      <c r="K500" s="289"/>
      <c r="L500" s="289"/>
      <c r="M500" s="299"/>
      <c r="N500" s="315"/>
      <c r="O500" s="288"/>
      <c r="P500" s="289"/>
      <c r="Q500" s="750"/>
      <c r="R500" s="791"/>
      <c r="S500" s="792"/>
      <c r="T500" s="790"/>
      <c r="U500" s="750"/>
      <c r="V500" s="750"/>
      <c r="W500" s="791"/>
      <c r="X500" s="792">
        <v>2490</v>
      </c>
      <c r="Y500" s="790">
        <v>2490</v>
      </c>
      <c r="Z500" s="750">
        <v>2490</v>
      </c>
      <c r="AA500" s="750">
        <v>2490</v>
      </c>
      <c r="AB500" s="791">
        <v>2490</v>
      </c>
      <c r="AC500" s="792">
        <v>2490</v>
      </c>
      <c r="AD500" s="790">
        <v>2490</v>
      </c>
      <c r="AE500" s="750">
        <v>2490</v>
      </c>
      <c r="AF500" s="750">
        <v>2490</v>
      </c>
      <c r="AG500" s="791">
        <v>2490</v>
      </c>
      <c r="AH500" s="792">
        <v>2490</v>
      </c>
      <c r="AI500" s="790">
        <v>2490</v>
      </c>
      <c r="AJ500" s="750">
        <v>2490</v>
      </c>
      <c r="AK500" s="750">
        <v>2490</v>
      </c>
      <c r="AL500" s="791">
        <v>2490</v>
      </c>
      <c r="AM500" s="792">
        <v>2490</v>
      </c>
      <c r="AN500" s="790">
        <v>2490</v>
      </c>
      <c r="AO500" s="750">
        <v>2490</v>
      </c>
      <c r="AP500" s="750">
        <v>2490</v>
      </c>
      <c r="AQ500" s="791">
        <v>2490</v>
      </c>
      <c r="AR500" s="792">
        <v>2490</v>
      </c>
      <c r="AS500" s="790">
        <v>2490</v>
      </c>
      <c r="AT500" s="750">
        <v>2490</v>
      </c>
      <c r="AU500" s="750">
        <v>2490</v>
      </c>
      <c r="AV500" s="791">
        <v>2490</v>
      </c>
      <c r="AW500" s="792">
        <v>2490</v>
      </c>
      <c r="AX500" s="790">
        <v>2490</v>
      </c>
      <c r="AY500" s="750">
        <v>2490</v>
      </c>
      <c r="AZ500" s="750">
        <v>2490</v>
      </c>
      <c r="BA500" s="791">
        <v>2490</v>
      </c>
      <c r="BB500" s="792">
        <v>2490</v>
      </c>
      <c r="BC500" s="790">
        <v>2490</v>
      </c>
      <c r="BD500" s="750">
        <v>2490</v>
      </c>
      <c r="BE500" s="750">
        <v>2490</v>
      </c>
      <c r="BF500" s="791">
        <v>2490</v>
      </c>
      <c r="BG500" s="792">
        <v>2490</v>
      </c>
      <c r="BH500" s="790">
        <v>2490</v>
      </c>
      <c r="BI500" s="750">
        <v>2490</v>
      </c>
      <c r="BJ500" s="750">
        <v>2490</v>
      </c>
      <c r="BK500" s="791">
        <v>2490</v>
      </c>
      <c r="BL500" s="792">
        <v>2490</v>
      </c>
      <c r="BM500" s="790">
        <v>2490</v>
      </c>
      <c r="BN500" s="750">
        <v>2490</v>
      </c>
      <c r="BO500" s="750">
        <v>2490</v>
      </c>
      <c r="BP500" s="791">
        <v>2490</v>
      </c>
      <c r="BQ500" s="792">
        <v>2490</v>
      </c>
    </row>
    <row r="501" spans="1:82">
      <c r="A501" s="139"/>
      <c r="B501" s="139"/>
      <c r="C501" s="1187" t="s">
        <v>543</v>
      </c>
      <c r="E501" s="288"/>
      <c r="F501" s="289"/>
      <c r="G501" s="289"/>
      <c r="H501" s="299"/>
      <c r="I501" s="730"/>
      <c r="J501" s="288"/>
      <c r="K501" s="289"/>
      <c r="L501" s="289"/>
      <c r="M501" s="299"/>
      <c r="N501" s="315"/>
      <c r="O501" s="288"/>
      <c r="P501" s="289"/>
      <c r="Q501" s="750"/>
      <c r="R501" s="791"/>
      <c r="S501" s="792"/>
      <c r="T501" s="790"/>
      <c r="U501" s="750"/>
      <c r="V501" s="750"/>
      <c r="W501" s="791"/>
      <c r="X501" s="792">
        <v>0</v>
      </c>
      <c r="Y501" s="790">
        <v>0</v>
      </c>
      <c r="Z501" s="750">
        <v>0</v>
      </c>
      <c r="AA501" s="750">
        <v>0</v>
      </c>
      <c r="AB501" s="791">
        <v>0</v>
      </c>
      <c r="AC501" s="792">
        <v>0</v>
      </c>
      <c r="AD501" s="790">
        <v>0</v>
      </c>
      <c r="AE501" s="750">
        <v>0</v>
      </c>
      <c r="AF501" s="750">
        <v>0</v>
      </c>
      <c r="AG501" s="791">
        <v>0</v>
      </c>
      <c r="AH501" s="792">
        <v>0</v>
      </c>
      <c r="AI501" s="790">
        <v>0</v>
      </c>
      <c r="AJ501" s="750">
        <v>0</v>
      </c>
      <c r="AK501" s="750">
        <v>0</v>
      </c>
      <c r="AL501" s="791">
        <v>0</v>
      </c>
      <c r="AM501" s="792">
        <v>0</v>
      </c>
      <c r="AN501" s="790">
        <v>0</v>
      </c>
      <c r="AO501" s="750">
        <v>0</v>
      </c>
      <c r="AP501" s="750">
        <v>0</v>
      </c>
      <c r="AQ501" s="791">
        <v>0</v>
      </c>
      <c r="AR501" s="792">
        <v>0</v>
      </c>
      <c r="AS501" s="790">
        <v>0</v>
      </c>
      <c r="AT501" s="750">
        <v>0</v>
      </c>
      <c r="AU501" s="750">
        <v>0</v>
      </c>
      <c r="AV501" s="791">
        <v>0</v>
      </c>
      <c r="AW501" s="792">
        <v>0</v>
      </c>
      <c r="AX501" s="790">
        <v>0</v>
      </c>
      <c r="AY501" s="750">
        <v>0</v>
      </c>
      <c r="AZ501" s="750">
        <v>0</v>
      </c>
      <c r="BA501" s="791">
        <v>0</v>
      </c>
      <c r="BB501" s="792">
        <v>0</v>
      </c>
      <c r="BC501" s="790">
        <v>0</v>
      </c>
      <c r="BD501" s="750">
        <v>0</v>
      </c>
      <c r="BE501" s="750">
        <v>0</v>
      </c>
      <c r="BF501" s="791">
        <v>0</v>
      </c>
      <c r="BG501" s="792">
        <v>0</v>
      </c>
      <c r="BH501" s="790">
        <v>0</v>
      </c>
      <c r="BI501" s="750">
        <v>0</v>
      </c>
      <c r="BJ501" s="750">
        <v>0</v>
      </c>
      <c r="BK501" s="791">
        <v>0</v>
      </c>
      <c r="BL501" s="792">
        <v>0</v>
      </c>
      <c r="BM501" s="790">
        <v>0</v>
      </c>
      <c r="BN501" s="750">
        <v>0</v>
      </c>
      <c r="BO501" s="750">
        <v>0</v>
      </c>
      <c r="BP501" s="791">
        <v>0</v>
      </c>
      <c r="BQ501" s="792">
        <v>0</v>
      </c>
    </row>
    <row r="502" spans="1:82">
      <c r="A502" s="139"/>
      <c r="B502" s="139"/>
      <c r="C502" s="1187" t="s">
        <v>544</v>
      </c>
      <c r="E502" s="288"/>
      <c r="F502" s="289"/>
      <c r="G502" s="289"/>
      <c r="H502" s="299"/>
      <c r="I502" s="730"/>
      <c r="J502" s="288"/>
      <c r="K502" s="289"/>
      <c r="L502" s="289"/>
      <c r="M502" s="299"/>
      <c r="N502" s="315"/>
      <c r="O502" s="288"/>
      <c r="P502" s="289"/>
      <c r="Q502" s="750"/>
      <c r="R502" s="791"/>
      <c r="S502" s="792"/>
      <c r="T502" s="790"/>
      <c r="U502" s="750"/>
      <c r="V502" s="750"/>
      <c r="W502" s="791"/>
      <c r="X502" s="792">
        <v>396</v>
      </c>
      <c r="Y502" s="790">
        <v>396</v>
      </c>
      <c r="Z502" s="750">
        <v>396</v>
      </c>
      <c r="AA502" s="750">
        <v>396</v>
      </c>
      <c r="AB502" s="791">
        <v>396</v>
      </c>
      <c r="AC502" s="792">
        <v>396</v>
      </c>
      <c r="AD502" s="790">
        <v>0</v>
      </c>
      <c r="AE502" s="750">
        <v>0</v>
      </c>
      <c r="AF502" s="750">
        <v>0</v>
      </c>
      <c r="AG502" s="791">
        <v>0</v>
      </c>
      <c r="AH502" s="792">
        <v>0</v>
      </c>
      <c r="AI502" s="790">
        <v>0</v>
      </c>
      <c r="AJ502" s="750">
        <v>0</v>
      </c>
      <c r="AK502" s="750">
        <v>0</v>
      </c>
      <c r="AL502" s="791">
        <v>0</v>
      </c>
      <c r="AM502" s="792">
        <v>0</v>
      </c>
      <c r="AN502" s="790">
        <v>0</v>
      </c>
      <c r="AO502" s="750">
        <v>0</v>
      </c>
      <c r="AP502" s="750">
        <v>0</v>
      </c>
      <c r="AQ502" s="791">
        <v>0</v>
      </c>
      <c r="AR502" s="792">
        <v>0</v>
      </c>
      <c r="AS502" s="790">
        <v>0</v>
      </c>
      <c r="AT502" s="750">
        <v>0</v>
      </c>
      <c r="AU502" s="750">
        <v>0</v>
      </c>
      <c r="AV502" s="791">
        <v>0</v>
      </c>
      <c r="AW502" s="792">
        <v>0</v>
      </c>
      <c r="AX502" s="790">
        <v>0</v>
      </c>
      <c r="AY502" s="750">
        <v>0</v>
      </c>
      <c r="AZ502" s="750">
        <v>0</v>
      </c>
      <c r="BA502" s="791">
        <v>0</v>
      </c>
      <c r="BB502" s="792">
        <v>0</v>
      </c>
      <c r="BC502" s="790">
        <v>0</v>
      </c>
      <c r="BD502" s="750">
        <v>0</v>
      </c>
      <c r="BE502" s="750">
        <v>0</v>
      </c>
      <c r="BF502" s="791">
        <v>0</v>
      </c>
      <c r="BG502" s="792">
        <v>0</v>
      </c>
      <c r="BH502" s="790">
        <v>0</v>
      </c>
      <c r="BI502" s="750">
        <v>0</v>
      </c>
      <c r="BJ502" s="750">
        <v>0</v>
      </c>
      <c r="BK502" s="791">
        <v>0</v>
      </c>
      <c r="BL502" s="792">
        <v>0</v>
      </c>
      <c r="BM502" s="790">
        <v>0</v>
      </c>
      <c r="BN502" s="750">
        <v>0</v>
      </c>
      <c r="BO502" s="750">
        <v>0</v>
      </c>
      <c r="BP502" s="791">
        <v>0</v>
      </c>
      <c r="BQ502" s="792">
        <v>0</v>
      </c>
    </row>
    <row r="503" spans="1:82">
      <c r="A503" s="139"/>
      <c r="B503" s="139"/>
      <c r="C503" s="1187" t="s">
        <v>545</v>
      </c>
      <c r="E503" s="288"/>
      <c r="F503" s="289"/>
      <c r="G503" s="289"/>
      <c r="H503" s="299"/>
      <c r="I503" s="730"/>
      <c r="J503" s="288"/>
      <c r="K503" s="289"/>
      <c r="L503" s="289"/>
      <c r="M503" s="299"/>
      <c r="N503" s="315"/>
      <c r="O503" s="288"/>
      <c r="P503" s="289"/>
      <c r="Q503" s="750"/>
      <c r="R503" s="791"/>
      <c r="S503" s="792"/>
      <c r="T503" s="790"/>
      <c r="U503" s="750"/>
      <c r="V503" s="750"/>
      <c r="W503" s="791"/>
      <c r="X503" s="792">
        <v>0</v>
      </c>
      <c r="Y503" s="790">
        <v>0</v>
      </c>
      <c r="Z503" s="750">
        <v>0</v>
      </c>
      <c r="AA503" s="750">
        <v>0</v>
      </c>
      <c r="AB503" s="791">
        <v>0</v>
      </c>
      <c r="AC503" s="792">
        <v>0</v>
      </c>
      <c r="AD503" s="790">
        <v>0</v>
      </c>
      <c r="AE503" s="750">
        <v>0</v>
      </c>
      <c r="AF503" s="750">
        <v>0</v>
      </c>
      <c r="AG503" s="791">
        <v>0</v>
      </c>
      <c r="AH503" s="792">
        <v>0</v>
      </c>
      <c r="AI503" s="790">
        <v>0</v>
      </c>
      <c r="AJ503" s="750">
        <v>0</v>
      </c>
      <c r="AK503" s="750">
        <v>0</v>
      </c>
      <c r="AL503" s="791">
        <v>0</v>
      </c>
      <c r="AM503" s="792">
        <v>0</v>
      </c>
      <c r="AN503" s="790">
        <v>0</v>
      </c>
      <c r="AO503" s="750">
        <v>0</v>
      </c>
      <c r="AP503" s="750">
        <v>0</v>
      </c>
      <c r="AQ503" s="791">
        <v>0</v>
      </c>
      <c r="AR503" s="792">
        <v>0</v>
      </c>
      <c r="AS503" s="790">
        <v>0</v>
      </c>
      <c r="AT503" s="750">
        <v>0</v>
      </c>
      <c r="AU503" s="750">
        <v>0</v>
      </c>
      <c r="AV503" s="791">
        <v>0</v>
      </c>
      <c r="AW503" s="792">
        <v>0</v>
      </c>
      <c r="AX503" s="790">
        <v>0</v>
      </c>
      <c r="AY503" s="750">
        <v>0</v>
      </c>
      <c r="AZ503" s="750">
        <v>0</v>
      </c>
      <c r="BA503" s="791">
        <v>0</v>
      </c>
      <c r="BB503" s="792">
        <v>0</v>
      </c>
      <c r="BC503" s="790">
        <v>0</v>
      </c>
      <c r="BD503" s="750">
        <v>0</v>
      </c>
      <c r="BE503" s="750">
        <v>0</v>
      </c>
      <c r="BF503" s="791">
        <v>0</v>
      </c>
      <c r="BG503" s="792">
        <v>0</v>
      </c>
      <c r="BH503" s="790">
        <v>0</v>
      </c>
      <c r="BI503" s="750">
        <v>0</v>
      </c>
      <c r="BJ503" s="750">
        <v>0</v>
      </c>
      <c r="BK503" s="791">
        <v>0</v>
      </c>
      <c r="BL503" s="792">
        <v>0</v>
      </c>
      <c r="BM503" s="790">
        <v>0</v>
      </c>
      <c r="BN503" s="750">
        <v>0</v>
      </c>
      <c r="BO503" s="750">
        <v>0</v>
      </c>
      <c r="BP503" s="791">
        <v>0</v>
      </c>
      <c r="BQ503" s="792">
        <v>0</v>
      </c>
    </row>
    <row r="504" spans="1:82">
      <c r="A504" s="139"/>
      <c r="B504" s="139"/>
      <c r="C504" s="1204" t="s">
        <v>546</v>
      </c>
      <c r="E504" s="288"/>
      <c r="F504" s="289"/>
      <c r="G504" s="289"/>
      <c r="H504" s="299"/>
      <c r="I504" s="730"/>
      <c r="J504" s="288"/>
      <c r="K504" s="289"/>
      <c r="L504" s="289"/>
      <c r="M504" s="299"/>
      <c r="N504" s="315"/>
      <c r="O504" s="288"/>
      <c r="P504" s="289"/>
      <c r="Q504" s="750"/>
      <c r="R504" s="791"/>
      <c r="S504" s="792"/>
      <c r="T504" s="790"/>
      <c r="U504" s="750"/>
      <c r="V504" s="750"/>
      <c r="W504" s="791"/>
      <c r="X504" s="792">
        <v>1200</v>
      </c>
      <c r="Y504" s="790">
        <v>1200</v>
      </c>
      <c r="Z504" s="750">
        <v>1200</v>
      </c>
      <c r="AA504" s="750">
        <v>1200</v>
      </c>
      <c r="AB504" s="791">
        <v>1200</v>
      </c>
      <c r="AC504" s="792">
        <v>1200</v>
      </c>
      <c r="AD504" s="790">
        <v>1200</v>
      </c>
      <c r="AE504" s="750">
        <v>1200</v>
      </c>
      <c r="AF504" s="750">
        <v>1200</v>
      </c>
      <c r="AG504" s="791">
        <v>1200</v>
      </c>
      <c r="AH504" s="792">
        <v>1200</v>
      </c>
      <c r="AI504" s="790">
        <v>1200</v>
      </c>
      <c r="AJ504" s="750">
        <v>1200</v>
      </c>
      <c r="AK504" s="750">
        <v>1200</v>
      </c>
      <c r="AL504" s="791">
        <v>1200</v>
      </c>
      <c r="AM504" s="792">
        <v>1200</v>
      </c>
      <c r="AN504" s="790">
        <v>1200</v>
      </c>
      <c r="AO504" s="750">
        <v>1200</v>
      </c>
      <c r="AP504" s="750">
        <v>1200</v>
      </c>
      <c r="AQ504" s="791">
        <v>1200</v>
      </c>
      <c r="AR504" s="792">
        <v>1200</v>
      </c>
      <c r="AS504" s="790">
        <v>1200</v>
      </c>
      <c r="AT504" s="750">
        <v>1200</v>
      </c>
      <c r="AU504" s="750">
        <v>1200</v>
      </c>
      <c r="AV504" s="791">
        <v>1200</v>
      </c>
      <c r="AW504" s="792">
        <v>1200</v>
      </c>
      <c r="AX504" s="790">
        <v>1200</v>
      </c>
      <c r="AY504" s="750">
        <v>1200</v>
      </c>
      <c r="AZ504" s="750">
        <v>1200</v>
      </c>
      <c r="BA504" s="791">
        <v>1200</v>
      </c>
      <c r="BB504" s="792">
        <v>1200</v>
      </c>
      <c r="BC504" s="790">
        <v>1200</v>
      </c>
      <c r="BD504" s="750">
        <v>1200</v>
      </c>
      <c r="BE504" s="750">
        <v>1200</v>
      </c>
      <c r="BF504" s="791">
        <v>1200</v>
      </c>
      <c r="BG504" s="792">
        <v>1200</v>
      </c>
      <c r="BH504" s="790">
        <v>1200</v>
      </c>
      <c r="BI504" s="750">
        <v>1200</v>
      </c>
      <c r="BJ504" s="750">
        <v>1200</v>
      </c>
      <c r="BK504" s="791">
        <v>1200</v>
      </c>
      <c r="BL504" s="792">
        <v>1200</v>
      </c>
      <c r="BM504" s="790">
        <v>1200</v>
      </c>
      <c r="BN504" s="750">
        <v>1200</v>
      </c>
      <c r="BO504" s="750">
        <v>1200</v>
      </c>
      <c r="BP504" s="791">
        <v>1200</v>
      </c>
      <c r="BQ504" s="792">
        <v>1200</v>
      </c>
      <c r="CD504" s="13"/>
    </row>
    <row r="505" spans="1:82">
      <c r="A505" s="139"/>
      <c r="B505" s="139"/>
      <c r="C505" s="1204" t="s">
        <v>547</v>
      </c>
      <c r="E505" s="288"/>
      <c r="F505" s="289"/>
      <c r="G505" s="289"/>
      <c r="H505" s="299"/>
      <c r="I505" s="730"/>
      <c r="J505" s="288"/>
      <c r="K505" s="289"/>
      <c r="L505" s="289"/>
      <c r="M505" s="299"/>
      <c r="N505" s="315"/>
      <c r="O505" s="288"/>
      <c r="P505" s="289"/>
      <c r="Q505" s="750"/>
      <c r="R505" s="791"/>
      <c r="S505" s="792"/>
      <c r="T505" s="790"/>
      <c r="U505" s="750"/>
      <c r="V505" s="750"/>
      <c r="W505" s="791"/>
      <c r="X505" s="792">
        <v>1020</v>
      </c>
      <c r="Y505" s="790">
        <v>1020</v>
      </c>
      <c r="Z505" s="750">
        <v>1020</v>
      </c>
      <c r="AA505" s="750">
        <v>1020</v>
      </c>
      <c r="AB505" s="791">
        <v>1020</v>
      </c>
      <c r="AC505" s="792">
        <v>1020</v>
      </c>
      <c r="AD505" s="790">
        <v>1020</v>
      </c>
      <c r="AE505" s="750">
        <v>1020</v>
      </c>
      <c r="AF505" s="750">
        <v>1020</v>
      </c>
      <c r="AG505" s="791">
        <v>1020</v>
      </c>
      <c r="AH505" s="792">
        <v>1020</v>
      </c>
      <c r="AI505" s="790">
        <v>1020</v>
      </c>
      <c r="AJ505" s="750">
        <v>1020</v>
      </c>
      <c r="AK505" s="750">
        <v>1020</v>
      </c>
      <c r="AL505" s="791">
        <v>1020</v>
      </c>
      <c r="AM505" s="792">
        <v>1020</v>
      </c>
      <c r="AN505" s="790">
        <v>1020</v>
      </c>
      <c r="AO505" s="750">
        <v>1020</v>
      </c>
      <c r="AP505" s="750">
        <v>1020</v>
      </c>
      <c r="AQ505" s="791">
        <v>1020</v>
      </c>
      <c r="AR505" s="792">
        <v>1020</v>
      </c>
      <c r="AS505" s="790">
        <v>1020</v>
      </c>
      <c r="AT505" s="750">
        <v>1020</v>
      </c>
      <c r="AU505" s="750">
        <v>1020</v>
      </c>
      <c r="AV505" s="791">
        <v>1020</v>
      </c>
      <c r="AW505" s="792">
        <v>1020</v>
      </c>
      <c r="AX505" s="790">
        <v>1020</v>
      </c>
      <c r="AY505" s="750">
        <v>1020</v>
      </c>
      <c r="AZ505" s="750">
        <v>1020</v>
      </c>
      <c r="BA505" s="791">
        <v>1020</v>
      </c>
      <c r="BB505" s="792">
        <v>1020</v>
      </c>
      <c r="BC505" s="790">
        <v>1020</v>
      </c>
      <c r="BD505" s="750">
        <v>1020</v>
      </c>
      <c r="BE505" s="750">
        <v>1020</v>
      </c>
      <c r="BF505" s="791">
        <v>1020</v>
      </c>
      <c r="BG505" s="792">
        <v>1020</v>
      </c>
      <c r="BH505" s="790">
        <v>1020</v>
      </c>
      <c r="BI505" s="750">
        <v>1020</v>
      </c>
      <c r="BJ505" s="750">
        <v>1020</v>
      </c>
      <c r="BK505" s="791">
        <v>1020</v>
      </c>
      <c r="BL505" s="792">
        <v>1020</v>
      </c>
      <c r="BM505" s="790">
        <v>1020</v>
      </c>
      <c r="BN505" s="750">
        <v>1020</v>
      </c>
      <c r="BO505" s="750">
        <v>1020</v>
      </c>
      <c r="BP505" s="791">
        <v>1020</v>
      </c>
      <c r="BQ505" s="792">
        <v>1020</v>
      </c>
      <c r="BT505" s="13"/>
    </row>
    <row r="506" spans="1:82" s="13" customFormat="1">
      <c r="A506" s="136"/>
      <c r="B506" s="136"/>
      <c r="C506" s="1186" t="s">
        <v>561</v>
      </c>
      <c r="E506" s="478"/>
      <c r="F506" s="479"/>
      <c r="G506" s="479"/>
      <c r="H506" s="480"/>
      <c r="I506" s="739"/>
      <c r="J506" s="478"/>
      <c r="K506" s="479"/>
      <c r="L506" s="479"/>
      <c r="M506" s="480"/>
      <c r="N506" s="308"/>
      <c r="O506" s="478"/>
      <c r="P506" s="479"/>
      <c r="Q506" s="875"/>
      <c r="R506" s="881"/>
      <c r="S506" s="93"/>
      <c r="T506" s="106"/>
      <c r="U506" s="76"/>
      <c r="V506" s="76"/>
      <c r="W506" s="107"/>
      <c r="X506" s="93">
        <f t="shared" ref="X506:AR506" si="846">SUM(X496:X505)</f>
        <v>5731</v>
      </c>
      <c r="Y506" s="106">
        <f t="shared" si="846"/>
        <v>5731</v>
      </c>
      <c r="Z506" s="76">
        <f t="shared" si="846"/>
        <v>5731</v>
      </c>
      <c r="AA506" s="76">
        <f t="shared" si="846"/>
        <v>5731</v>
      </c>
      <c r="AB506" s="107">
        <f t="shared" si="846"/>
        <v>5731</v>
      </c>
      <c r="AC506" s="93">
        <f t="shared" si="846"/>
        <v>5731</v>
      </c>
      <c r="AD506" s="106">
        <f t="shared" si="846"/>
        <v>4846</v>
      </c>
      <c r="AE506" s="76">
        <f t="shared" si="846"/>
        <v>4846</v>
      </c>
      <c r="AF506" s="76">
        <f t="shared" si="846"/>
        <v>4846</v>
      </c>
      <c r="AG506" s="107">
        <f t="shared" si="846"/>
        <v>4846</v>
      </c>
      <c r="AH506" s="93">
        <f t="shared" si="846"/>
        <v>4846</v>
      </c>
      <c r="AI506" s="106">
        <f t="shared" si="846"/>
        <v>4846</v>
      </c>
      <c r="AJ506" s="76">
        <f t="shared" si="846"/>
        <v>4846</v>
      </c>
      <c r="AK506" s="76">
        <f t="shared" si="846"/>
        <v>4846</v>
      </c>
      <c r="AL506" s="107">
        <f t="shared" si="846"/>
        <v>4846</v>
      </c>
      <c r="AM506" s="93">
        <f t="shared" si="846"/>
        <v>4846</v>
      </c>
      <c r="AN506" s="106">
        <f t="shared" si="846"/>
        <v>4846</v>
      </c>
      <c r="AO506" s="76">
        <f t="shared" si="846"/>
        <v>4846</v>
      </c>
      <c r="AP506" s="76">
        <f t="shared" si="846"/>
        <v>4846</v>
      </c>
      <c r="AQ506" s="107">
        <f t="shared" si="846"/>
        <v>4846</v>
      </c>
      <c r="AR506" s="93">
        <f t="shared" si="846"/>
        <v>4846</v>
      </c>
      <c r="AS506" s="106">
        <f t="shared" ref="AS506:BB506" si="847">SUM(AS496:AS505)</f>
        <v>4846</v>
      </c>
      <c r="AT506" s="76">
        <f t="shared" si="847"/>
        <v>4846</v>
      </c>
      <c r="AU506" s="76">
        <f t="shared" si="847"/>
        <v>4846</v>
      </c>
      <c r="AV506" s="107">
        <f t="shared" si="847"/>
        <v>4846</v>
      </c>
      <c r="AW506" s="93">
        <f t="shared" si="847"/>
        <v>4846</v>
      </c>
      <c r="AX506" s="106">
        <f t="shared" si="847"/>
        <v>4846</v>
      </c>
      <c r="AY506" s="76">
        <f t="shared" si="847"/>
        <v>4846</v>
      </c>
      <c r="AZ506" s="76">
        <f t="shared" si="847"/>
        <v>4846</v>
      </c>
      <c r="BA506" s="107">
        <f t="shared" si="847"/>
        <v>4846</v>
      </c>
      <c r="BB506" s="93">
        <f t="shared" si="847"/>
        <v>4846</v>
      </c>
      <c r="BC506" s="106">
        <f t="shared" ref="BC506:BL506" si="848">SUM(BC496:BC505)</f>
        <v>4846</v>
      </c>
      <c r="BD506" s="76">
        <f t="shared" si="848"/>
        <v>4846</v>
      </c>
      <c r="BE506" s="76">
        <f t="shared" si="848"/>
        <v>4846</v>
      </c>
      <c r="BF506" s="107">
        <f t="shared" si="848"/>
        <v>4846</v>
      </c>
      <c r="BG506" s="93">
        <f t="shared" si="848"/>
        <v>4846</v>
      </c>
      <c r="BH506" s="106">
        <f t="shared" si="848"/>
        <v>4846</v>
      </c>
      <c r="BI506" s="76">
        <f t="shared" si="848"/>
        <v>4846</v>
      </c>
      <c r="BJ506" s="76">
        <f t="shared" si="848"/>
        <v>4846</v>
      </c>
      <c r="BK506" s="107">
        <f t="shared" si="848"/>
        <v>4846</v>
      </c>
      <c r="BL506" s="93">
        <f t="shared" si="848"/>
        <v>4846</v>
      </c>
      <c r="BM506" s="106">
        <f t="shared" ref="BM506:BQ506" si="849">SUM(BM496:BM505)</f>
        <v>4846</v>
      </c>
      <c r="BN506" s="76">
        <f t="shared" si="849"/>
        <v>4846</v>
      </c>
      <c r="BO506" s="76">
        <f t="shared" si="849"/>
        <v>4846</v>
      </c>
      <c r="BP506" s="107">
        <f t="shared" si="849"/>
        <v>4846</v>
      </c>
      <c r="BQ506" s="93">
        <f t="shared" si="849"/>
        <v>4846</v>
      </c>
      <c r="BR506" s="136"/>
      <c r="BS506" s="136"/>
      <c r="BT506"/>
      <c r="BU506"/>
      <c r="BV506"/>
      <c r="BW506"/>
      <c r="BX506"/>
      <c r="BY506"/>
      <c r="BZ506"/>
      <c r="CD506"/>
    </row>
    <row r="507" spans="1:82">
      <c r="A507" s="139"/>
      <c r="B507" s="139"/>
      <c r="C507" s="1187"/>
      <c r="E507" s="288"/>
      <c r="F507" s="289"/>
      <c r="G507" s="289"/>
      <c r="H507" s="299"/>
      <c r="I507" s="730"/>
      <c r="J507" s="288"/>
      <c r="K507" s="289"/>
      <c r="L507" s="289"/>
      <c r="M507" s="299"/>
      <c r="N507" s="315"/>
      <c r="O507" s="288"/>
      <c r="P507" s="289"/>
      <c r="Q507" s="750"/>
      <c r="R507" s="791"/>
      <c r="S507" s="792"/>
      <c r="T507" s="790"/>
      <c r="U507" s="750"/>
      <c r="V507" s="750"/>
      <c r="W507" s="791"/>
      <c r="X507" s="792"/>
      <c r="Y507" s="790"/>
      <c r="Z507" s="750"/>
      <c r="AA507" s="750"/>
      <c r="AB507" s="791"/>
      <c r="AC507" s="792"/>
      <c r="AD507" s="790"/>
      <c r="AE507" s="750"/>
      <c r="AF507" s="750"/>
      <c r="AG507" s="791"/>
      <c r="AH507" s="792"/>
      <c r="AI507" s="790"/>
      <c r="AJ507" s="750"/>
      <c r="AK507" s="750"/>
      <c r="AL507" s="791"/>
      <c r="AM507" s="792"/>
      <c r="AN507" s="790"/>
      <c r="AO507" s="750"/>
      <c r="AP507" s="750"/>
      <c r="AQ507" s="791"/>
      <c r="AR507" s="792"/>
      <c r="AS507" s="790"/>
      <c r="AT507" s="750"/>
      <c r="AU507" s="750"/>
      <c r="AV507" s="791"/>
      <c r="AW507" s="792"/>
      <c r="AX507" s="790"/>
      <c r="AY507" s="750"/>
      <c r="AZ507" s="750"/>
      <c r="BA507" s="791"/>
      <c r="BB507" s="792"/>
      <c r="BC507" s="790"/>
      <c r="BD507" s="750"/>
      <c r="BE507" s="750"/>
      <c r="BF507" s="791"/>
      <c r="BG507" s="792"/>
      <c r="BH507" s="790"/>
      <c r="BI507" s="750"/>
      <c r="BJ507" s="750"/>
      <c r="BK507" s="791"/>
      <c r="BL507" s="792"/>
      <c r="BM507" s="790"/>
      <c r="BN507" s="750"/>
      <c r="BO507" s="750"/>
      <c r="BP507" s="791"/>
      <c r="BQ507" s="792"/>
      <c r="BZ507" s="13"/>
    </row>
    <row r="508" spans="1:82">
      <c r="A508" s="139"/>
      <c r="B508" s="139"/>
      <c r="C508" s="1187" t="s">
        <v>550</v>
      </c>
      <c r="E508" s="288"/>
      <c r="F508" s="289"/>
      <c r="G508" s="289"/>
      <c r="H508" s="299"/>
      <c r="I508" s="730"/>
      <c r="J508" s="288"/>
      <c r="K508" s="289"/>
      <c r="L508" s="289"/>
      <c r="M508" s="299"/>
      <c r="N508" s="315"/>
      <c r="O508" s="288"/>
      <c r="P508" s="289"/>
      <c r="Q508" s="750"/>
      <c r="R508" s="791"/>
      <c r="S508" s="792"/>
      <c r="T508" s="790"/>
      <c r="U508" s="750"/>
      <c r="V508" s="750"/>
      <c r="W508" s="791"/>
      <c r="X508" s="792">
        <v>0</v>
      </c>
      <c r="Y508" s="790">
        <v>0</v>
      </c>
      <c r="Z508" s="750">
        <v>0</v>
      </c>
      <c r="AA508" s="750">
        <v>0</v>
      </c>
      <c r="AB508" s="791">
        <v>0</v>
      </c>
      <c r="AC508" s="792">
        <v>0</v>
      </c>
      <c r="AD508" s="790">
        <v>0</v>
      </c>
      <c r="AE508" s="750">
        <v>0</v>
      </c>
      <c r="AF508" s="750">
        <v>0</v>
      </c>
      <c r="AG508" s="791">
        <v>0</v>
      </c>
      <c r="AH508" s="792">
        <v>0</v>
      </c>
      <c r="AI508" s="790">
        <v>0</v>
      </c>
      <c r="AJ508" s="750">
        <v>0</v>
      </c>
      <c r="AK508" s="750">
        <v>0</v>
      </c>
      <c r="AL508" s="791">
        <v>0</v>
      </c>
      <c r="AM508" s="792">
        <v>0</v>
      </c>
      <c r="AN508" s="790">
        <v>0</v>
      </c>
      <c r="AO508" s="750">
        <v>0</v>
      </c>
      <c r="AP508" s="750">
        <v>0</v>
      </c>
      <c r="AQ508" s="791">
        <v>0</v>
      </c>
      <c r="AR508" s="792">
        <v>0</v>
      </c>
      <c r="AS508" s="790">
        <v>0</v>
      </c>
      <c r="AT508" s="750">
        <v>0</v>
      </c>
      <c r="AU508" s="750">
        <v>0</v>
      </c>
      <c r="AV508" s="791">
        <v>0</v>
      </c>
      <c r="AW508" s="792">
        <v>0</v>
      </c>
      <c r="AX508" s="790">
        <v>0</v>
      </c>
      <c r="AY508" s="750">
        <v>0</v>
      </c>
      <c r="AZ508" s="750">
        <v>0</v>
      </c>
      <c r="BA508" s="791">
        <v>0</v>
      </c>
      <c r="BB508" s="792">
        <v>0</v>
      </c>
      <c r="BC508" s="790">
        <v>0</v>
      </c>
      <c r="BD508" s="750">
        <v>0</v>
      </c>
      <c r="BE508" s="750">
        <v>0</v>
      </c>
      <c r="BF508" s="791">
        <v>0</v>
      </c>
      <c r="BG508" s="792">
        <v>0</v>
      </c>
      <c r="BH508" s="790">
        <v>0</v>
      </c>
      <c r="BI508" s="750">
        <v>0</v>
      </c>
      <c r="BJ508" s="750">
        <v>0</v>
      </c>
      <c r="BK508" s="791">
        <v>0</v>
      </c>
      <c r="BL508" s="792">
        <v>0</v>
      </c>
      <c r="BM508" s="790">
        <v>0</v>
      </c>
      <c r="BN508" s="750">
        <v>0</v>
      </c>
      <c r="BO508" s="750">
        <v>0</v>
      </c>
      <c r="BP508" s="791">
        <v>0</v>
      </c>
      <c r="BQ508" s="792">
        <v>0</v>
      </c>
    </row>
    <row r="509" spans="1:82">
      <c r="A509" s="139"/>
      <c r="B509" s="139"/>
      <c r="C509" s="1187" t="s">
        <v>551</v>
      </c>
      <c r="E509" s="288"/>
      <c r="F509" s="289"/>
      <c r="G509" s="289"/>
      <c r="H509" s="299"/>
      <c r="I509" s="730"/>
      <c r="J509" s="288"/>
      <c r="K509" s="289"/>
      <c r="L509" s="289"/>
      <c r="M509" s="299"/>
      <c r="N509" s="315"/>
      <c r="O509" s="288"/>
      <c r="P509" s="289"/>
      <c r="Q509" s="750"/>
      <c r="R509" s="791"/>
      <c r="S509" s="792"/>
      <c r="T509" s="790"/>
      <c r="U509" s="750"/>
      <c r="V509" s="750"/>
      <c r="W509" s="791"/>
      <c r="X509" s="792">
        <v>1576</v>
      </c>
      <c r="Y509" s="790">
        <v>1576</v>
      </c>
      <c r="Z509" s="750">
        <v>1576</v>
      </c>
      <c r="AA509" s="750">
        <v>1576</v>
      </c>
      <c r="AB509" s="791">
        <v>0</v>
      </c>
      <c r="AC509" s="792">
        <v>0</v>
      </c>
      <c r="AD509" s="790">
        <v>0</v>
      </c>
      <c r="AE509" s="750">
        <v>0</v>
      </c>
      <c r="AF509" s="750">
        <v>0</v>
      </c>
      <c r="AG509" s="791">
        <v>0</v>
      </c>
      <c r="AH509" s="792">
        <v>0</v>
      </c>
      <c r="AI509" s="790">
        <v>0</v>
      </c>
      <c r="AJ509" s="750">
        <v>0</v>
      </c>
      <c r="AK509" s="750">
        <v>0</v>
      </c>
      <c r="AL509" s="791">
        <v>0</v>
      </c>
      <c r="AM509" s="792">
        <v>0</v>
      </c>
      <c r="AN509" s="790">
        <v>0</v>
      </c>
      <c r="AO509" s="750">
        <v>0</v>
      </c>
      <c r="AP509" s="750">
        <v>0</v>
      </c>
      <c r="AQ509" s="791">
        <v>0</v>
      </c>
      <c r="AR509" s="792">
        <v>0</v>
      </c>
      <c r="AS509" s="790">
        <v>0</v>
      </c>
      <c r="AT509" s="750">
        <v>0</v>
      </c>
      <c r="AU509" s="750">
        <v>0</v>
      </c>
      <c r="AV509" s="791">
        <v>0</v>
      </c>
      <c r="AW509" s="792">
        <v>0</v>
      </c>
      <c r="AX509" s="790">
        <v>0</v>
      </c>
      <c r="AY509" s="750">
        <v>0</v>
      </c>
      <c r="AZ509" s="750">
        <v>0</v>
      </c>
      <c r="BA509" s="791">
        <v>0</v>
      </c>
      <c r="BB509" s="792">
        <v>0</v>
      </c>
      <c r="BC509" s="790">
        <v>0</v>
      </c>
      <c r="BD509" s="750">
        <v>0</v>
      </c>
      <c r="BE509" s="750">
        <v>0</v>
      </c>
      <c r="BF509" s="791">
        <v>0</v>
      </c>
      <c r="BG509" s="792">
        <v>0</v>
      </c>
      <c r="BH509" s="790">
        <v>0</v>
      </c>
      <c r="BI509" s="750">
        <v>0</v>
      </c>
      <c r="BJ509" s="750">
        <v>0</v>
      </c>
      <c r="BK509" s="791">
        <v>0</v>
      </c>
      <c r="BL509" s="792">
        <v>0</v>
      </c>
      <c r="BM509" s="790">
        <v>0</v>
      </c>
      <c r="BN509" s="750">
        <v>0</v>
      </c>
      <c r="BO509" s="750">
        <v>0</v>
      </c>
      <c r="BP509" s="791">
        <v>0</v>
      </c>
      <c r="BQ509" s="792">
        <v>0</v>
      </c>
    </row>
    <row r="510" spans="1:82">
      <c r="A510" s="139"/>
      <c r="B510" s="139"/>
      <c r="C510" s="1187" t="s">
        <v>552</v>
      </c>
      <c r="E510" s="288"/>
      <c r="F510" s="289"/>
      <c r="G510" s="289"/>
      <c r="H510" s="299"/>
      <c r="I510" s="730"/>
      <c r="J510" s="288"/>
      <c r="K510" s="289"/>
      <c r="L510" s="289"/>
      <c r="M510" s="299"/>
      <c r="N510" s="315"/>
      <c r="O510" s="288"/>
      <c r="P510" s="289"/>
      <c r="Q510" s="750"/>
      <c r="R510" s="791"/>
      <c r="S510" s="792"/>
      <c r="T510" s="790"/>
      <c r="U510" s="750"/>
      <c r="V510" s="750"/>
      <c r="W510" s="791"/>
      <c r="X510" s="792">
        <v>1710</v>
      </c>
      <c r="Y510" s="790">
        <v>1710</v>
      </c>
      <c r="Z510" s="750">
        <v>1710</v>
      </c>
      <c r="AA510" s="750">
        <v>1710</v>
      </c>
      <c r="AB510" s="791">
        <v>0</v>
      </c>
      <c r="AC510" s="792">
        <v>0</v>
      </c>
      <c r="AD510" s="790">
        <v>0</v>
      </c>
      <c r="AE510" s="750">
        <v>0</v>
      </c>
      <c r="AF510" s="750">
        <v>0</v>
      </c>
      <c r="AG510" s="791">
        <v>0</v>
      </c>
      <c r="AH510" s="792">
        <v>0</v>
      </c>
      <c r="AI510" s="790">
        <v>0</v>
      </c>
      <c r="AJ510" s="750">
        <v>0</v>
      </c>
      <c r="AK510" s="750">
        <v>0</v>
      </c>
      <c r="AL510" s="791">
        <v>0</v>
      </c>
      <c r="AM510" s="792">
        <v>0</v>
      </c>
      <c r="AN510" s="790">
        <v>0</v>
      </c>
      <c r="AO510" s="750">
        <v>0</v>
      </c>
      <c r="AP510" s="750">
        <v>0</v>
      </c>
      <c r="AQ510" s="791">
        <v>0</v>
      </c>
      <c r="AR510" s="792">
        <v>0</v>
      </c>
      <c r="AS510" s="790">
        <v>0</v>
      </c>
      <c r="AT510" s="750">
        <v>0</v>
      </c>
      <c r="AU510" s="750">
        <v>0</v>
      </c>
      <c r="AV510" s="791">
        <v>0</v>
      </c>
      <c r="AW510" s="792">
        <v>0</v>
      </c>
      <c r="AX510" s="790">
        <v>0</v>
      </c>
      <c r="AY510" s="750">
        <v>0</v>
      </c>
      <c r="AZ510" s="750">
        <v>0</v>
      </c>
      <c r="BA510" s="791">
        <v>0</v>
      </c>
      <c r="BB510" s="792">
        <v>0</v>
      </c>
      <c r="BC510" s="790">
        <v>0</v>
      </c>
      <c r="BD510" s="750">
        <v>0</v>
      </c>
      <c r="BE510" s="750">
        <v>0</v>
      </c>
      <c r="BF510" s="791">
        <v>0</v>
      </c>
      <c r="BG510" s="792">
        <v>0</v>
      </c>
      <c r="BH510" s="790">
        <v>0</v>
      </c>
      <c r="BI510" s="750">
        <v>0</v>
      </c>
      <c r="BJ510" s="750">
        <v>0</v>
      </c>
      <c r="BK510" s="791">
        <v>0</v>
      </c>
      <c r="BL510" s="792">
        <v>0</v>
      </c>
      <c r="BM510" s="790">
        <v>0</v>
      </c>
      <c r="BN510" s="750">
        <v>0</v>
      </c>
      <c r="BO510" s="750">
        <v>0</v>
      </c>
      <c r="BP510" s="791">
        <v>0</v>
      </c>
      <c r="BQ510" s="792">
        <v>0</v>
      </c>
    </row>
    <row r="511" spans="1:82">
      <c r="A511" s="139"/>
      <c r="B511" s="139"/>
      <c r="C511" s="1187" t="s">
        <v>363</v>
      </c>
      <c r="E511" s="288"/>
      <c r="F511" s="289"/>
      <c r="G511" s="289"/>
      <c r="H511" s="299"/>
      <c r="I511" s="730"/>
      <c r="J511" s="288"/>
      <c r="K511" s="289"/>
      <c r="L511" s="289"/>
      <c r="M511" s="299"/>
      <c r="N511" s="315"/>
      <c r="O511" s="288"/>
      <c r="P511" s="289"/>
      <c r="Q511" s="750"/>
      <c r="R511" s="791"/>
      <c r="S511" s="792"/>
      <c r="T511" s="790"/>
      <c r="U511" s="750"/>
      <c r="V511" s="750"/>
      <c r="W511" s="791"/>
      <c r="X511" s="792">
        <v>1200</v>
      </c>
      <c r="Y511" s="790">
        <v>1200</v>
      </c>
      <c r="Z511" s="750">
        <v>1200</v>
      </c>
      <c r="AA511" s="750">
        <v>1200</v>
      </c>
      <c r="AB511" s="791">
        <f>+AA511+100</f>
        <v>1300</v>
      </c>
      <c r="AC511" s="792">
        <v>1300</v>
      </c>
      <c r="AD511" s="790">
        <v>1300</v>
      </c>
      <c r="AE511" s="750">
        <v>1300</v>
      </c>
      <c r="AF511" s="750">
        <v>1300</v>
      </c>
      <c r="AG511" s="791">
        <v>1300</v>
      </c>
      <c r="AH511" s="792">
        <v>1300</v>
      </c>
      <c r="AI511" s="790">
        <v>1300</v>
      </c>
      <c r="AJ511" s="750">
        <v>1300</v>
      </c>
      <c r="AK511" s="750">
        <v>1300</v>
      </c>
      <c r="AL511" s="791">
        <v>1300</v>
      </c>
      <c r="AM511" s="792">
        <v>1300</v>
      </c>
      <c r="AN511" s="790">
        <v>1300</v>
      </c>
      <c r="AO511" s="750">
        <v>1300</v>
      </c>
      <c r="AP511" s="750">
        <v>1300</v>
      </c>
      <c r="AQ511" s="791">
        <v>1300</v>
      </c>
      <c r="AR511" s="792">
        <v>1300</v>
      </c>
      <c r="AS511" s="790">
        <v>1300</v>
      </c>
      <c r="AT511" s="750">
        <v>1300</v>
      </c>
      <c r="AU511" s="750">
        <v>1300</v>
      </c>
      <c r="AV511" s="791">
        <v>1300</v>
      </c>
      <c r="AW511" s="792">
        <v>1300</v>
      </c>
      <c r="AX511" s="790">
        <v>1300</v>
      </c>
      <c r="AY511" s="750">
        <v>1300</v>
      </c>
      <c r="AZ511" s="750">
        <v>1300</v>
      </c>
      <c r="BA511" s="791">
        <v>1300</v>
      </c>
      <c r="BB511" s="792">
        <v>0</v>
      </c>
      <c r="BC511" s="790">
        <v>0</v>
      </c>
      <c r="BD511" s="750">
        <v>0</v>
      </c>
      <c r="BE511" s="750">
        <v>0</v>
      </c>
      <c r="BF511" s="791">
        <v>0</v>
      </c>
      <c r="BG511" s="792">
        <v>0</v>
      </c>
      <c r="BH511" s="790">
        <v>0</v>
      </c>
      <c r="BI511" s="750">
        <v>0</v>
      </c>
      <c r="BJ511" s="750">
        <v>0</v>
      </c>
      <c r="BK511" s="791">
        <v>0</v>
      </c>
      <c r="BL511" s="792">
        <v>0</v>
      </c>
      <c r="BM511" s="790">
        <v>0</v>
      </c>
      <c r="BN511" s="750">
        <v>0</v>
      </c>
      <c r="BO511" s="750">
        <v>0</v>
      </c>
      <c r="BP511" s="791">
        <v>0</v>
      </c>
      <c r="BQ511" s="792">
        <v>0</v>
      </c>
    </row>
    <row r="512" spans="1:82">
      <c r="A512" s="139"/>
      <c r="B512" s="139"/>
      <c r="C512" s="1187" t="s">
        <v>364</v>
      </c>
      <c r="E512" s="288"/>
      <c r="F512" s="289"/>
      <c r="G512" s="289"/>
      <c r="H512" s="299"/>
      <c r="I512" s="730"/>
      <c r="J512" s="288"/>
      <c r="K512" s="289"/>
      <c r="L512" s="289"/>
      <c r="M512" s="299"/>
      <c r="N512" s="315"/>
      <c r="O512" s="288"/>
      <c r="P512" s="289"/>
      <c r="Q512" s="750"/>
      <c r="R512" s="791"/>
      <c r="S512" s="792"/>
      <c r="T512" s="790"/>
      <c r="U512" s="750"/>
      <c r="V512" s="750"/>
      <c r="W512" s="791"/>
      <c r="X512" s="792">
        <v>0</v>
      </c>
      <c r="Y512" s="790">
        <v>0</v>
      </c>
      <c r="Z512" s="750">
        <v>0</v>
      </c>
      <c r="AA512" s="750">
        <v>0</v>
      </c>
      <c r="AB512" s="791">
        <v>0</v>
      </c>
      <c r="AC512" s="792">
        <v>0</v>
      </c>
      <c r="AD512" s="790">
        <v>0</v>
      </c>
      <c r="AE512" s="750">
        <v>0</v>
      </c>
      <c r="AF512" s="750">
        <v>0</v>
      </c>
      <c r="AG512" s="791">
        <v>0</v>
      </c>
      <c r="AH512" s="792">
        <v>0</v>
      </c>
      <c r="AI512" s="790">
        <v>0</v>
      </c>
      <c r="AJ512" s="750">
        <v>0</v>
      </c>
      <c r="AK512" s="750">
        <v>0</v>
      </c>
      <c r="AL512" s="791">
        <v>0</v>
      </c>
      <c r="AM512" s="792">
        <v>0</v>
      </c>
      <c r="AN512" s="790">
        <v>0</v>
      </c>
      <c r="AO512" s="750">
        <v>0</v>
      </c>
      <c r="AP512" s="750">
        <v>0</v>
      </c>
      <c r="AQ512" s="791">
        <v>0</v>
      </c>
      <c r="AR512" s="792">
        <v>0</v>
      </c>
      <c r="AS512" s="790">
        <v>0</v>
      </c>
      <c r="AT512" s="750">
        <v>0</v>
      </c>
      <c r="AU512" s="750">
        <v>0</v>
      </c>
      <c r="AV512" s="791">
        <v>0</v>
      </c>
      <c r="AW512" s="792">
        <v>0</v>
      </c>
      <c r="AX512" s="790">
        <v>0</v>
      </c>
      <c r="AY512" s="750">
        <v>0</v>
      </c>
      <c r="AZ512" s="750">
        <v>0</v>
      </c>
      <c r="BA512" s="791">
        <v>0</v>
      </c>
      <c r="BB512" s="792">
        <v>0</v>
      </c>
      <c r="BC512" s="790">
        <v>0</v>
      </c>
      <c r="BD512" s="750">
        <v>0</v>
      </c>
      <c r="BE512" s="750">
        <v>0</v>
      </c>
      <c r="BF512" s="791">
        <v>0</v>
      </c>
      <c r="BG512" s="792">
        <v>0</v>
      </c>
      <c r="BH512" s="790">
        <v>0</v>
      </c>
      <c r="BI512" s="750">
        <v>0</v>
      </c>
      <c r="BJ512" s="750">
        <v>0</v>
      </c>
      <c r="BK512" s="791">
        <v>0</v>
      </c>
      <c r="BL512" s="792">
        <v>0</v>
      </c>
      <c r="BM512" s="790">
        <v>0</v>
      </c>
      <c r="BN512" s="750">
        <v>0</v>
      </c>
      <c r="BO512" s="750">
        <v>0</v>
      </c>
      <c r="BP512" s="791">
        <v>0</v>
      </c>
      <c r="BQ512" s="792">
        <v>0</v>
      </c>
    </row>
    <row r="513" spans="1:82">
      <c r="A513" s="139"/>
      <c r="B513" s="139"/>
      <c r="C513" s="1187" t="s">
        <v>548</v>
      </c>
      <c r="E513" s="288"/>
      <c r="F513" s="289"/>
      <c r="G513" s="289"/>
      <c r="H513" s="299"/>
      <c r="I513" s="730"/>
      <c r="J513" s="288"/>
      <c r="K513" s="289"/>
      <c r="L513" s="289"/>
      <c r="M513" s="299"/>
      <c r="N513" s="315"/>
      <c r="O513" s="288"/>
      <c r="P513" s="289"/>
      <c r="Q513" s="750"/>
      <c r="R513" s="791"/>
      <c r="S513" s="792"/>
      <c r="T513" s="790"/>
      <c r="U513" s="750"/>
      <c r="V513" s="750"/>
      <c r="W513" s="791"/>
      <c r="X513" s="792">
        <v>177</v>
      </c>
      <c r="Y513" s="790">
        <v>177</v>
      </c>
      <c r="Z513" s="750">
        <v>177</v>
      </c>
      <c r="AA513" s="750">
        <v>177</v>
      </c>
      <c r="AB513" s="791">
        <v>177</v>
      </c>
      <c r="AC513" s="792">
        <v>177</v>
      </c>
      <c r="AD513" s="790">
        <v>177</v>
      </c>
      <c r="AE513" s="750">
        <v>177</v>
      </c>
      <c r="AF513" s="750">
        <v>177</v>
      </c>
      <c r="AG513" s="791">
        <v>177</v>
      </c>
      <c r="AH513" s="792">
        <v>177</v>
      </c>
      <c r="AI513" s="790">
        <v>177</v>
      </c>
      <c r="AJ513" s="750">
        <v>177</v>
      </c>
      <c r="AK513" s="750">
        <v>177</v>
      </c>
      <c r="AL513" s="791">
        <v>177</v>
      </c>
      <c r="AM513" s="792">
        <v>177</v>
      </c>
      <c r="AN513" s="790">
        <v>177</v>
      </c>
      <c r="AO513" s="750">
        <v>177</v>
      </c>
      <c r="AP513" s="750">
        <v>177</v>
      </c>
      <c r="AQ513" s="791">
        <v>177</v>
      </c>
      <c r="AR513" s="792">
        <v>177</v>
      </c>
      <c r="AS513" s="790">
        <v>177</v>
      </c>
      <c r="AT513" s="750">
        <v>177</v>
      </c>
      <c r="AU513" s="750">
        <v>177</v>
      </c>
      <c r="AV513" s="791">
        <v>177</v>
      </c>
      <c r="AW513" s="792">
        <v>177</v>
      </c>
      <c r="AX513" s="790">
        <v>177</v>
      </c>
      <c r="AY513" s="750">
        <v>177</v>
      </c>
      <c r="AZ513" s="750">
        <v>177</v>
      </c>
      <c r="BA513" s="791">
        <v>177</v>
      </c>
      <c r="BB513" s="792">
        <v>177</v>
      </c>
      <c r="BC513" s="790">
        <v>177</v>
      </c>
      <c r="BD513" s="750">
        <v>177</v>
      </c>
      <c r="BE513" s="750">
        <v>177</v>
      </c>
      <c r="BF513" s="791">
        <v>177</v>
      </c>
      <c r="BG513" s="792">
        <v>177</v>
      </c>
      <c r="BH513" s="790">
        <v>177</v>
      </c>
      <c r="BI513" s="750">
        <v>177</v>
      </c>
      <c r="BJ513" s="750">
        <v>177</v>
      </c>
      <c r="BK513" s="791">
        <v>177</v>
      </c>
      <c r="BL513" s="792">
        <v>177</v>
      </c>
      <c r="BM513" s="790">
        <v>177</v>
      </c>
      <c r="BN513" s="750">
        <v>177</v>
      </c>
      <c r="BO513" s="750">
        <v>177</v>
      </c>
      <c r="BP513" s="791">
        <v>177</v>
      </c>
      <c r="BQ513" s="792">
        <v>177</v>
      </c>
      <c r="CD513" s="13"/>
    </row>
    <row r="514" spans="1:82">
      <c r="A514" s="139"/>
      <c r="B514" s="139"/>
      <c r="C514" s="1187" t="s">
        <v>549</v>
      </c>
      <c r="E514" s="288"/>
      <c r="F514" s="289"/>
      <c r="G514" s="289"/>
      <c r="H514" s="299"/>
      <c r="I514" s="730"/>
      <c r="J514" s="288"/>
      <c r="K514" s="289"/>
      <c r="L514" s="289"/>
      <c r="M514" s="299"/>
      <c r="N514" s="315"/>
      <c r="O514" s="288"/>
      <c r="P514" s="289"/>
      <c r="Q514" s="750"/>
      <c r="R514" s="791"/>
      <c r="S514" s="792"/>
      <c r="T514" s="790"/>
      <c r="U514" s="750"/>
      <c r="V514" s="750"/>
      <c r="W514" s="791"/>
      <c r="X514" s="792">
        <v>288</v>
      </c>
      <c r="Y514" s="790">
        <v>288</v>
      </c>
      <c r="Z514" s="750">
        <v>288</v>
      </c>
      <c r="AA514" s="750">
        <v>288</v>
      </c>
      <c r="AB514" s="791">
        <v>0</v>
      </c>
      <c r="AC514" s="792">
        <v>0</v>
      </c>
      <c r="AD514" s="790">
        <v>0</v>
      </c>
      <c r="AE514" s="750">
        <v>0</v>
      </c>
      <c r="AF514" s="750">
        <v>0</v>
      </c>
      <c r="AG514" s="791">
        <v>0</v>
      </c>
      <c r="AH514" s="792">
        <v>0</v>
      </c>
      <c r="AI514" s="790">
        <v>0</v>
      </c>
      <c r="AJ514" s="750">
        <v>0</v>
      </c>
      <c r="AK514" s="750">
        <v>0</v>
      </c>
      <c r="AL514" s="791">
        <v>0</v>
      </c>
      <c r="AM514" s="792">
        <v>0</v>
      </c>
      <c r="AN514" s="790">
        <v>0</v>
      </c>
      <c r="AO514" s="750">
        <v>0</v>
      </c>
      <c r="AP514" s="750">
        <v>0</v>
      </c>
      <c r="AQ514" s="791">
        <v>0</v>
      </c>
      <c r="AR514" s="792">
        <v>0</v>
      </c>
      <c r="AS514" s="790">
        <v>0</v>
      </c>
      <c r="AT514" s="750">
        <v>0</v>
      </c>
      <c r="AU514" s="750">
        <v>0</v>
      </c>
      <c r="AV514" s="791">
        <v>0</v>
      </c>
      <c r="AW514" s="792">
        <v>0</v>
      </c>
      <c r="AX514" s="790">
        <v>0</v>
      </c>
      <c r="AY514" s="750">
        <v>0</v>
      </c>
      <c r="AZ514" s="750">
        <v>0</v>
      </c>
      <c r="BA514" s="791">
        <v>0</v>
      </c>
      <c r="BB514" s="792">
        <v>0</v>
      </c>
      <c r="BC514" s="790">
        <v>0</v>
      </c>
      <c r="BD514" s="750">
        <v>0</v>
      </c>
      <c r="BE514" s="750">
        <v>0</v>
      </c>
      <c r="BF514" s="791">
        <v>0</v>
      </c>
      <c r="BG514" s="792">
        <v>0</v>
      </c>
      <c r="BH514" s="790">
        <v>0</v>
      </c>
      <c r="BI514" s="750">
        <v>0</v>
      </c>
      <c r="BJ514" s="750">
        <v>0</v>
      </c>
      <c r="BK514" s="791">
        <v>0</v>
      </c>
      <c r="BL514" s="792">
        <v>0</v>
      </c>
      <c r="BM514" s="790">
        <v>0</v>
      </c>
      <c r="BN514" s="750">
        <v>0</v>
      </c>
      <c r="BO514" s="750">
        <v>0</v>
      </c>
      <c r="BP514" s="791">
        <v>0</v>
      </c>
      <c r="BQ514" s="792">
        <v>0</v>
      </c>
      <c r="BT514" s="13"/>
    </row>
    <row r="515" spans="1:82" s="13" customFormat="1">
      <c r="A515" s="136"/>
      <c r="B515" s="136"/>
      <c r="C515" s="1186" t="s">
        <v>560</v>
      </c>
      <c r="E515" s="478"/>
      <c r="F515" s="479"/>
      <c r="G515" s="479"/>
      <c r="H515" s="480"/>
      <c r="I515" s="739"/>
      <c r="J515" s="478"/>
      <c r="K515" s="479"/>
      <c r="L515" s="479"/>
      <c r="M515" s="480"/>
      <c r="N515" s="308"/>
      <c r="O515" s="478"/>
      <c r="P515" s="479"/>
      <c r="Q515" s="875"/>
      <c r="R515" s="881"/>
      <c r="S515" s="93"/>
      <c r="T515" s="106"/>
      <c r="U515" s="76"/>
      <c r="V515" s="76"/>
      <c r="W515" s="107"/>
      <c r="X515" s="93">
        <f t="shared" ref="X515:AQ515" si="850">SUM(X508:X514)</f>
        <v>4951</v>
      </c>
      <c r="Y515" s="106">
        <f t="shared" si="850"/>
        <v>4951</v>
      </c>
      <c r="Z515" s="76">
        <f t="shared" si="850"/>
        <v>4951</v>
      </c>
      <c r="AA515" s="76">
        <f t="shared" si="850"/>
        <v>4951</v>
      </c>
      <c r="AB515" s="107">
        <f t="shared" si="850"/>
        <v>1477</v>
      </c>
      <c r="AC515" s="93">
        <f>SUM(AC508:AC514)</f>
        <v>1477</v>
      </c>
      <c r="AD515" s="106">
        <f t="shared" si="850"/>
        <v>1477</v>
      </c>
      <c r="AE515" s="76">
        <f t="shared" si="850"/>
        <v>1477</v>
      </c>
      <c r="AF515" s="76">
        <f t="shared" si="850"/>
        <v>1477</v>
      </c>
      <c r="AG515" s="107">
        <f t="shared" si="850"/>
        <v>1477</v>
      </c>
      <c r="AH515" s="93">
        <f>SUM(AH508:AH514)</f>
        <v>1477</v>
      </c>
      <c r="AI515" s="106">
        <f t="shared" si="850"/>
        <v>1477</v>
      </c>
      <c r="AJ515" s="76">
        <f t="shared" si="850"/>
        <v>1477</v>
      </c>
      <c r="AK515" s="76">
        <f t="shared" si="850"/>
        <v>1477</v>
      </c>
      <c r="AL515" s="107">
        <f t="shared" si="850"/>
        <v>1477</v>
      </c>
      <c r="AM515" s="93">
        <f>SUM(AM508:AM514)</f>
        <v>1477</v>
      </c>
      <c r="AN515" s="106">
        <f t="shared" si="850"/>
        <v>1477</v>
      </c>
      <c r="AO515" s="76">
        <f t="shared" si="850"/>
        <v>1477</v>
      </c>
      <c r="AP515" s="76">
        <f t="shared" si="850"/>
        <v>1477</v>
      </c>
      <c r="AQ515" s="107">
        <f t="shared" si="850"/>
        <v>1477</v>
      </c>
      <c r="AR515" s="93">
        <f>SUM(AR508:AR514)</f>
        <v>1477</v>
      </c>
      <c r="AS515" s="106">
        <f t="shared" ref="AS515:BA515" si="851">SUM(AS508:AS514)</f>
        <v>1477</v>
      </c>
      <c r="AT515" s="76">
        <f t="shared" si="851"/>
        <v>1477</v>
      </c>
      <c r="AU515" s="76">
        <f t="shared" si="851"/>
        <v>1477</v>
      </c>
      <c r="AV515" s="107">
        <f t="shared" si="851"/>
        <v>1477</v>
      </c>
      <c r="AW515" s="93">
        <f>SUM(AW508:AW514)</f>
        <v>1477</v>
      </c>
      <c r="AX515" s="106">
        <f t="shared" si="851"/>
        <v>1477</v>
      </c>
      <c r="AY515" s="76">
        <f t="shared" si="851"/>
        <v>1477</v>
      </c>
      <c r="AZ515" s="76">
        <f t="shared" si="851"/>
        <v>1477</v>
      </c>
      <c r="BA515" s="107">
        <f t="shared" si="851"/>
        <v>1477</v>
      </c>
      <c r="BB515" s="93">
        <f>SUM(BB508:BB514)</f>
        <v>177</v>
      </c>
      <c r="BC515" s="106">
        <f t="shared" ref="BC515:BK515" si="852">SUM(BC508:BC514)</f>
        <v>177</v>
      </c>
      <c r="BD515" s="76">
        <f t="shared" si="852"/>
        <v>177</v>
      </c>
      <c r="BE515" s="76">
        <f t="shared" si="852"/>
        <v>177</v>
      </c>
      <c r="BF515" s="107">
        <f t="shared" si="852"/>
        <v>177</v>
      </c>
      <c r="BG515" s="93">
        <f>SUM(BG508:BG514)</f>
        <v>177</v>
      </c>
      <c r="BH515" s="106">
        <f t="shared" si="852"/>
        <v>177</v>
      </c>
      <c r="BI515" s="76">
        <f t="shared" si="852"/>
        <v>177</v>
      </c>
      <c r="BJ515" s="76">
        <f t="shared" si="852"/>
        <v>177</v>
      </c>
      <c r="BK515" s="107">
        <f t="shared" si="852"/>
        <v>177</v>
      </c>
      <c r="BL515" s="93">
        <f>SUM(BL508:BL514)</f>
        <v>177</v>
      </c>
      <c r="BM515" s="106">
        <f t="shared" ref="BM515:BP515" si="853">SUM(BM508:BM514)</f>
        <v>177</v>
      </c>
      <c r="BN515" s="76">
        <f t="shared" si="853"/>
        <v>177</v>
      </c>
      <c r="BO515" s="76">
        <f t="shared" si="853"/>
        <v>177</v>
      </c>
      <c r="BP515" s="107">
        <f t="shared" si="853"/>
        <v>177</v>
      </c>
      <c r="BQ515" s="93">
        <f>SUM(BQ508:BQ514)</f>
        <v>177</v>
      </c>
      <c r="BR515" s="136"/>
      <c r="BS515" s="136"/>
      <c r="BT515"/>
      <c r="BU515"/>
      <c r="BV515"/>
      <c r="BW515"/>
      <c r="BX515"/>
      <c r="BY515"/>
      <c r="BZ515"/>
      <c r="CD515"/>
    </row>
    <row r="516" spans="1:82">
      <c r="A516" s="139"/>
      <c r="B516" s="139"/>
      <c r="C516" s="1187"/>
      <c r="E516" s="288"/>
      <c r="F516" s="289"/>
      <c r="G516" s="289"/>
      <c r="H516" s="299"/>
      <c r="I516" s="730"/>
      <c r="J516" s="288"/>
      <c r="K516" s="289"/>
      <c r="L516" s="289"/>
      <c r="M516" s="299"/>
      <c r="N516" s="315"/>
      <c r="O516" s="288"/>
      <c r="P516" s="289"/>
      <c r="Q516" s="750"/>
      <c r="R516" s="791"/>
      <c r="S516" s="792"/>
      <c r="T516" s="790"/>
      <c r="U516" s="750"/>
      <c r="V516" s="750"/>
      <c r="W516" s="791"/>
      <c r="X516" s="792"/>
      <c r="Y516" s="790"/>
      <c r="Z516" s="750"/>
      <c r="AA516" s="750"/>
      <c r="AB516" s="791"/>
      <c r="AC516" s="792"/>
      <c r="AD516" s="790"/>
      <c r="AE516" s="750"/>
      <c r="AF516" s="750"/>
      <c r="AG516" s="791"/>
      <c r="AH516" s="792"/>
      <c r="AI516" s="790"/>
      <c r="AJ516" s="750"/>
      <c r="AK516" s="750"/>
      <c r="AL516" s="791"/>
      <c r="AM516" s="792"/>
      <c r="AN516" s="790"/>
      <c r="AO516" s="750"/>
      <c r="AP516" s="750"/>
      <c r="AQ516" s="791"/>
      <c r="AR516" s="792"/>
      <c r="AS516" s="790"/>
      <c r="AT516" s="750"/>
      <c r="AU516" s="750"/>
      <c r="AV516" s="791"/>
      <c r="AW516" s="792"/>
      <c r="AX516" s="790"/>
      <c r="AY516" s="750"/>
      <c r="AZ516" s="750"/>
      <c r="BA516" s="791"/>
      <c r="BB516" s="792"/>
      <c r="BC516" s="790"/>
      <c r="BD516" s="750"/>
      <c r="BE516" s="750"/>
      <c r="BF516" s="791"/>
      <c r="BG516" s="792"/>
      <c r="BH516" s="790"/>
      <c r="BI516" s="750"/>
      <c r="BJ516" s="750"/>
      <c r="BK516" s="791"/>
      <c r="BL516" s="792"/>
      <c r="BM516" s="790"/>
      <c r="BN516" s="750"/>
      <c r="BO516" s="750"/>
      <c r="BP516" s="791"/>
      <c r="BQ516" s="792"/>
      <c r="BZ516" s="13"/>
    </row>
    <row r="517" spans="1:82">
      <c r="A517" s="139"/>
      <c r="B517" s="139"/>
      <c r="C517" s="2260" t="s">
        <v>67</v>
      </c>
      <c r="E517" s="288"/>
      <c r="F517" s="289"/>
      <c r="G517" s="289"/>
      <c r="H517" s="299"/>
      <c r="I517" s="730"/>
      <c r="J517" s="288"/>
      <c r="K517" s="289"/>
      <c r="L517" s="289"/>
      <c r="M517" s="299"/>
      <c r="N517" s="315"/>
      <c r="O517" s="288"/>
      <c r="P517" s="289"/>
      <c r="Q517" s="750"/>
      <c r="R517" s="791"/>
      <c r="S517" s="792"/>
      <c r="T517" s="790"/>
      <c r="U517" s="750"/>
      <c r="V517" s="750"/>
      <c r="W517" s="791"/>
      <c r="X517" s="792">
        <v>550</v>
      </c>
      <c r="Y517" s="790">
        <v>550</v>
      </c>
      <c r="Z517" s="750">
        <v>550</v>
      </c>
      <c r="AA517" s="750">
        <v>550</v>
      </c>
      <c r="AB517" s="791">
        <v>550</v>
      </c>
      <c r="AC517" s="792">
        <v>550</v>
      </c>
      <c r="AD517" s="790">
        <v>550</v>
      </c>
      <c r="AE517" s="750">
        <v>550</v>
      </c>
      <c r="AF517" s="750">
        <v>550</v>
      </c>
      <c r="AG517" s="791">
        <v>550</v>
      </c>
      <c r="AH517" s="792">
        <v>550</v>
      </c>
      <c r="AI517" s="790">
        <v>550</v>
      </c>
      <c r="AJ517" s="750">
        <v>550</v>
      </c>
      <c r="AK517" s="750">
        <v>550</v>
      </c>
      <c r="AL517" s="791">
        <v>550</v>
      </c>
      <c r="AM517" s="792">
        <v>550</v>
      </c>
      <c r="AN517" s="790">
        <v>550</v>
      </c>
      <c r="AO517" s="750">
        <v>550</v>
      </c>
      <c r="AP517" s="750">
        <v>550</v>
      </c>
      <c r="AQ517" s="791">
        <v>550</v>
      </c>
      <c r="AR517" s="792">
        <v>550</v>
      </c>
      <c r="AS517" s="790">
        <v>550</v>
      </c>
      <c r="AT517" s="750">
        <v>550</v>
      </c>
      <c r="AU517" s="750">
        <v>550</v>
      </c>
      <c r="AV517" s="791">
        <v>0</v>
      </c>
      <c r="AW517" s="792">
        <v>0</v>
      </c>
      <c r="AX517" s="790">
        <v>0</v>
      </c>
      <c r="AY517" s="750">
        <v>0</v>
      </c>
      <c r="AZ517" s="750">
        <v>0</v>
      </c>
      <c r="BA517" s="791">
        <v>0</v>
      </c>
      <c r="BB517" s="792">
        <v>0</v>
      </c>
      <c r="BC517" s="790">
        <v>0</v>
      </c>
      <c r="BD517" s="750">
        <v>0</v>
      </c>
      <c r="BE517" s="750">
        <v>0</v>
      </c>
      <c r="BF517" s="791">
        <v>0</v>
      </c>
      <c r="BG517" s="792">
        <v>0</v>
      </c>
      <c r="BH517" s="790">
        <v>0</v>
      </c>
      <c r="BI517" s="750">
        <v>0</v>
      </c>
      <c r="BJ517" s="750">
        <v>0</v>
      </c>
      <c r="BK517" s="791">
        <v>0</v>
      </c>
      <c r="BL517" s="792">
        <v>0</v>
      </c>
      <c r="BM517" s="790">
        <v>0</v>
      </c>
      <c r="BN517" s="750">
        <v>0</v>
      </c>
      <c r="BO517" s="750">
        <v>0</v>
      </c>
      <c r="BP517" s="791">
        <v>0</v>
      </c>
      <c r="BQ517" s="792">
        <v>0</v>
      </c>
    </row>
    <row r="518" spans="1:82">
      <c r="A518" s="139"/>
      <c r="B518" s="139"/>
      <c r="C518" s="1187"/>
      <c r="E518" s="288"/>
      <c r="F518" s="289"/>
      <c r="G518" s="289"/>
      <c r="H518" s="299"/>
      <c r="I518" s="730"/>
      <c r="J518" s="288"/>
      <c r="K518" s="289"/>
      <c r="L518" s="289"/>
      <c r="M518" s="299"/>
      <c r="N518" s="315"/>
      <c r="O518" s="288"/>
      <c r="P518" s="289"/>
      <c r="Q518" s="750"/>
      <c r="R518" s="791"/>
      <c r="S518" s="792"/>
      <c r="T518" s="790"/>
      <c r="U518" s="750"/>
      <c r="V518" s="750"/>
      <c r="W518" s="791"/>
      <c r="X518" s="792"/>
      <c r="Y518" s="790"/>
      <c r="Z518" s="750"/>
      <c r="AA518" s="750"/>
      <c r="AB518" s="791"/>
      <c r="AC518" s="792"/>
      <c r="AD518" s="790"/>
      <c r="AE518" s="750"/>
      <c r="AF518" s="750"/>
      <c r="AG518" s="791"/>
      <c r="AH518" s="792"/>
      <c r="AI518" s="790"/>
      <c r="AJ518" s="750"/>
      <c r="AK518" s="750"/>
      <c r="AL518" s="791"/>
      <c r="AM518" s="792"/>
      <c r="AN518" s="790"/>
      <c r="AO518" s="750"/>
      <c r="AP518" s="750"/>
      <c r="AQ518" s="791"/>
      <c r="AR518" s="792"/>
      <c r="AS518" s="790"/>
      <c r="AT518" s="750"/>
      <c r="AU518" s="750"/>
      <c r="AV518" s="791"/>
      <c r="AW518" s="792"/>
      <c r="AX518" s="790"/>
      <c r="AY518" s="750"/>
      <c r="AZ518" s="750"/>
      <c r="BA518" s="791"/>
      <c r="BB518" s="792"/>
      <c r="BC518" s="790"/>
      <c r="BD518" s="750"/>
      <c r="BE518" s="750"/>
      <c r="BF518" s="791"/>
      <c r="BG518" s="792"/>
      <c r="BH518" s="790"/>
      <c r="BI518" s="750"/>
      <c r="BJ518" s="750"/>
      <c r="BK518" s="791"/>
      <c r="BL518" s="792"/>
      <c r="BM518" s="790"/>
      <c r="BN518" s="750"/>
      <c r="BO518" s="750"/>
      <c r="BP518" s="791"/>
      <c r="BQ518" s="792"/>
    </row>
    <row r="519" spans="1:82">
      <c r="A519" s="139"/>
      <c r="B519" s="139"/>
      <c r="C519" s="1187" t="s">
        <v>361</v>
      </c>
      <c r="E519" s="288"/>
      <c r="F519" s="289"/>
      <c r="G519" s="289"/>
      <c r="H519" s="299"/>
      <c r="I519" s="730"/>
      <c r="J519" s="288"/>
      <c r="K519" s="289"/>
      <c r="L519" s="289"/>
      <c r="M519" s="299"/>
      <c r="N519" s="315"/>
      <c r="O519" s="288"/>
      <c r="P519" s="289"/>
      <c r="Q519" s="750"/>
      <c r="R519" s="791"/>
      <c r="S519" s="792"/>
      <c r="T519" s="790"/>
      <c r="U519" s="750"/>
      <c r="V519" s="750"/>
      <c r="W519" s="791"/>
      <c r="X519" s="792">
        <v>425</v>
      </c>
      <c r="Y519" s="790">
        <v>425</v>
      </c>
      <c r="Z519" s="750">
        <v>425</v>
      </c>
      <c r="AA519" s="750">
        <v>425</v>
      </c>
      <c r="AB519" s="791">
        <v>425</v>
      </c>
      <c r="AC519" s="792">
        <v>425</v>
      </c>
      <c r="AD519" s="790">
        <v>425</v>
      </c>
      <c r="AE519" s="750">
        <v>425</v>
      </c>
      <c r="AF519" s="750">
        <v>425</v>
      </c>
      <c r="AG519" s="791">
        <v>425</v>
      </c>
      <c r="AH519" s="792">
        <v>425</v>
      </c>
      <c r="AI519" s="790">
        <v>425</v>
      </c>
      <c r="AJ519" s="750">
        <v>425</v>
      </c>
      <c r="AK519" s="750">
        <v>425</v>
      </c>
      <c r="AL519" s="791">
        <v>425</v>
      </c>
      <c r="AM519" s="792">
        <v>425</v>
      </c>
      <c r="AN519" s="790">
        <v>425</v>
      </c>
      <c r="AO519" s="750">
        <v>425</v>
      </c>
      <c r="AP519" s="750">
        <v>425</v>
      </c>
      <c r="AQ519" s="791">
        <v>425</v>
      </c>
      <c r="AR519" s="792">
        <v>425</v>
      </c>
      <c r="AS519" s="790">
        <v>425</v>
      </c>
      <c r="AT519" s="750">
        <v>425</v>
      </c>
      <c r="AU519" s="750">
        <v>425</v>
      </c>
      <c r="AV519" s="791">
        <v>425</v>
      </c>
      <c r="AW519" s="792">
        <v>425</v>
      </c>
      <c r="AX519" s="790">
        <v>425</v>
      </c>
      <c r="AY519" s="750">
        <v>425</v>
      </c>
      <c r="AZ519" s="750">
        <v>425</v>
      </c>
      <c r="BA519" s="791">
        <v>425</v>
      </c>
      <c r="BB519" s="792">
        <v>425</v>
      </c>
      <c r="BC519" s="790">
        <v>425</v>
      </c>
      <c r="BD519" s="750">
        <v>425</v>
      </c>
      <c r="BE519" s="750">
        <v>425</v>
      </c>
      <c r="BF519" s="791">
        <v>425</v>
      </c>
      <c r="BG519" s="792">
        <v>425</v>
      </c>
      <c r="BH519" s="790">
        <v>425</v>
      </c>
      <c r="BI519" s="750">
        <v>425</v>
      </c>
      <c r="BJ519" s="750">
        <v>425</v>
      </c>
      <c r="BK519" s="791">
        <v>425</v>
      </c>
      <c r="BL519" s="792">
        <v>425</v>
      </c>
      <c r="BM519" s="790">
        <v>425</v>
      </c>
      <c r="BN519" s="750">
        <v>425</v>
      </c>
      <c r="BO519" s="750">
        <v>425</v>
      </c>
      <c r="BP519" s="791">
        <v>425</v>
      </c>
      <c r="BQ519" s="792">
        <v>425</v>
      </c>
    </row>
    <row r="520" spans="1:82">
      <c r="A520" s="139"/>
      <c r="B520" s="139"/>
      <c r="C520" s="1187" t="s">
        <v>553</v>
      </c>
      <c r="E520" s="288"/>
      <c r="F520" s="289"/>
      <c r="G520" s="289"/>
      <c r="H520" s="299"/>
      <c r="I520" s="730"/>
      <c r="J520" s="288"/>
      <c r="K520" s="289"/>
      <c r="L520" s="289"/>
      <c r="M520" s="299"/>
      <c r="N520" s="315"/>
      <c r="O520" s="288"/>
      <c r="P520" s="289"/>
      <c r="Q520" s="750"/>
      <c r="R520" s="791"/>
      <c r="S520" s="792"/>
      <c r="T520" s="790"/>
      <c r="U520" s="750"/>
      <c r="V520" s="750"/>
      <c r="W520" s="791"/>
      <c r="X520" s="792">
        <v>43</v>
      </c>
      <c r="Y520" s="790">
        <v>43</v>
      </c>
      <c r="Z520" s="750">
        <v>43</v>
      </c>
      <c r="AA520" s="750">
        <v>43</v>
      </c>
      <c r="AB520" s="791">
        <v>43</v>
      </c>
      <c r="AC520" s="792">
        <v>43</v>
      </c>
      <c r="AD520" s="790">
        <v>43</v>
      </c>
      <c r="AE520" s="750">
        <v>43</v>
      </c>
      <c r="AF520" s="750">
        <v>43</v>
      </c>
      <c r="AG520" s="791">
        <v>43</v>
      </c>
      <c r="AH520" s="792">
        <v>43</v>
      </c>
      <c r="AI520" s="790">
        <v>43</v>
      </c>
      <c r="AJ520" s="750">
        <v>43</v>
      </c>
      <c r="AK520" s="750">
        <v>43</v>
      </c>
      <c r="AL520" s="791">
        <v>43</v>
      </c>
      <c r="AM520" s="792">
        <v>43</v>
      </c>
      <c r="AN520" s="790">
        <v>43</v>
      </c>
      <c r="AO520" s="750">
        <v>43</v>
      </c>
      <c r="AP520" s="750">
        <v>43</v>
      </c>
      <c r="AQ520" s="791">
        <v>43</v>
      </c>
      <c r="AR520" s="792">
        <v>43</v>
      </c>
      <c r="AS520" s="790">
        <v>43</v>
      </c>
      <c r="AT520" s="750">
        <v>43</v>
      </c>
      <c r="AU520" s="750">
        <v>43</v>
      </c>
      <c r="AV520" s="791">
        <v>43</v>
      </c>
      <c r="AW520" s="792">
        <v>43</v>
      </c>
      <c r="AX520" s="790">
        <v>43</v>
      </c>
      <c r="AY520" s="750">
        <v>43</v>
      </c>
      <c r="AZ520" s="750">
        <v>43</v>
      </c>
      <c r="BA520" s="791">
        <v>43</v>
      </c>
      <c r="BB520" s="792">
        <v>43</v>
      </c>
      <c r="BC520" s="790">
        <v>43</v>
      </c>
      <c r="BD520" s="750">
        <v>43</v>
      </c>
      <c r="BE520" s="750">
        <v>43</v>
      </c>
      <c r="BF520" s="791">
        <v>43</v>
      </c>
      <c r="BG520" s="792">
        <v>43</v>
      </c>
      <c r="BH520" s="790">
        <v>43</v>
      </c>
      <c r="BI520" s="750">
        <v>43</v>
      </c>
      <c r="BJ520" s="750">
        <v>43</v>
      </c>
      <c r="BK520" s="791">
        <v>43</v>
      </c>
      <c r="BL520" s="792">
        <v>43</v>
      </c>
      <c r="BM520" s="790">
        <v>43</v>
      </c>
      <c r="BN520" s="750">
        <v>43</v>
      </c>
      <c r="BO520" s="750">
        <v>43</v>
      </c>
      <c r="BP520" s="791">
        <v>43</v>
      </c>
      <c r="BQ520" s="792">
        <v>43</v>
      </c>
    </row>
    <row r="521" spans="1:82">
      <c r="A521" s="139"/>
      <c r="B521" s="139"/>
      <c r="C521" s="1187" t="s">
        <v>554</v>
      </c>
      <c r="E521" s="288"/>
      <c r="F521" s="289"/>
      <c r="G521" s="289"/>
      <c r="H521" s="299"/>
      <c r="I521" s="730"/>
      <c r="J521" s="288"/>
      <c r="K521" s="289"/>
      <c r="L521" s="289"/>
      <c r="M521" s="299"/>
      <c r="N521" s="315"/>
      <c r="O521" s="288"/>
      <c r="P521" s="289"/>
      <c r="Q521" s="750"/>
      <c r="R521" s="791"/>
      <c r="S521" s="792"/>
      <c r="T521" s="790"/>
      <c r="U521" s="750"/>
      <c r="V521" s="750"/>
      <c r="W521" s="791"/>
      <c r="X521" s="792">
        <v>24</v>
      </c>
      <c r="Y521" s="790">
        <v>24</v>
      </c>
      <c r="Z521" s="750">
        <v>24</v>
      </c>
      <c r="AA521" s="750">
        <v>24</v>
      </c>
      <c r="AB521" s="791">
        <v>24</v>
      </c>
      <c r="AC521" s="792">
        <v>24</v>
      </c>
      <c r="AD521" s="790">
        <v>24</v>
      </c>
      <c r="AE521" s="750">
        <v>24</v>
      </c>
      <c r="AF521" s="750">
        <v>24</v>
      </c>
      <c r="AG521" s="791">
        <v>24</v>
      </c>
      <c r="AH521" s="792">
        <v>24</v>
      </c>
      <c r="AI521" s="790">
        <v>24</v>
      </c>
      <c r="AJ521" s="750">
        <v>24</v>
      </c>
      <c r="AK521" s="750">
        <v>24</v>
      </c>
      <c r="AL521" s="791">
        <v>24</v>
      </c>
      <c r="AM521" s="792">
        <v>24</v>
      </c>
      <c r="AN521" s="790">
        <v>24</v>
      </c>
      <c r="AO521" s="750">
        <v>24</v>
      </c>
      <c r="AP521" s="750">
        <v>24</v>
      </c>
      <c r="AQ521" s="791">
        <v>24</v>
      </c>
      <c r="AR521" s="792">
        <v>24</v>
      </c>
      <c r="AS521" s="790">
        <v>24</v>
      </c>
      <c r="AT521" s="750">
        <v>24</v>
      </c>
      <c r="AU521" s="750">
        <v>24</v>
      </c>
      <c r="AV521" s="791">
        <v>24</v>
      </c>
      <c r="AW521" s="792">
        <v>24</v>
      </c>
      <c r="AX521" s="790">
        <v>24</v>
      </c>
      <c r="AY521" s="750">
        <v>24</v>
      </c>
      <c r="AZ521" s="750">
        <v>24</v>
      </c>
      <c r="BA521" s="791">
        <v>24</v>
      </c>
      <c r="BB521" s="792">
        <v>24</v>
      </c>
      <c r="BC521" s="790">
        <v>24</v>
      </c>
      <c r="BD521" s="750">
        <v>24</v>
      </c>
      <c r="BE521" s="750">
        <v>24</v>
      </c>
      <c r="BF521" s="791">
        <v>24</v>
      </c>
      <c r="BG521" s="792">
        <v>24</v>
      </c>
      <c r="BH521" s="790">
        <v>24</v>
      </c>
      <c r="BI521" s="750">
        <v>24</v>
      </c>
      <c r="BJ521" s="750">
        <v>24</v>
      </c>
      <c r="BK521" s="791">
        <v>24</v>
      </c>
      <c r="BL521" s="792">
        <v>24</v>
      </c>
      <c r="BM521" s="790">
        <v>24</v>
      </c>
      <c r="BN521" s="750">
        <v>24</v>
      </c>
      <c r="BO521" s="750">
        <v>24</v>
      </c>
      <c r="BP521" s="791">
        <v>24</v>
      </c>
      <c r="BQ521" s="792">
        <v>24</v>
      </c>
    </row>
    <row r="522" spans="1:82">
      <c r="A522" s="139"/>
      <c r="B522" s="139"/>
      <c r="C522" s="1187" t="s">
        <v>362</v>
      </c>
      <c r="E522" s="288"/>
      <c r="F522" s="289"/>
      <c r="G522" s="289"/>
      <c r="H522" s="299"/>
      <c r="I522" s="730"/>
      <c r="J522" s="288"/>
      <c r="K522" s="289"/>
      <c r="L522" s="289"/>
      <c r="M522" s="299"/>
      <c r="N522" s="315"/>
      <c r="O522" s="288"/>
      <c r="P522" s="289"/>
      <c r="Q522" s="750"/>
      <c r="R522" s="791"/>
      <c r="S522" s="792"/>
      <c r="T522" s="790"/>
      <c r="U522" s="750"/>
      <c r="V522" s="750"/>
      <c r="W522" s="791"/>
      <c r="X522" s="792">
        <v>88</v>
      </c>
      <c r="Y522" s="790">
        <v>88</v>
      </c>
      <c r="Z522" s="750">
        <v>88</v>
      </c>
      <c r="AA522" s="750">
        <v>88</v>
      </c>
      <c r="AB522" s="791">
        <v>88</v>
      </c>
      <c r="AC522" s="792">
        <v>88</v>
      </c>
      <c r="AD522" s="790">
        <v>88</v>
      </c>
      <c r="AE522" s="750">
        <v>88</v>
      </c>
      <c r="AF522" s="750">
        <v>88</v>
      </c>
      <c r="AG522" s="791">
        <v>88</v>
      </c>
      <c r="AH522" s="792">
        <v>88</v>
      </c>
      <c r="AI522" s="790">
        <v>88</v>
      </c>
      <c r="AJ522" s="750">
        <v>88</v>
      </c>
      <c r="AK522" s="750">
        <v>88</v>
      </c>
      <c r="AL522" s="791">
        <v>88</v>
      </c>
      <c r="AM522" s="792">
        <v>88</v>
      </c>
      <c r="AN522" s="790">
        <v>88</v>
      </c>
      <c r="AO522" s="750">
        <v>88</v>
      </c>
      <c r="AP522" s="750">
        <v>88</v>
      </c>
      <c r="AQ522" s="791">
        <v>88</v>
      </c>
      <c r="AR522" s="792">
        <v>88</v>
      </c>
      <c r="AS522" s="790">
        <v>88</v>
      </c>
      <c r="AT522" s="750">
        <v>88</v>
      </c>
      <c r="AU522" s="750">
        <v>88</v>
      </c>
      <c r="AV522" s="791">
        <v>0</v>
      </c>
      <c r="AW522" s="792">
        <v>0</v>
      </c>
      <c r="AX522" s="790">
        <v>0</v>
      </c>
      <c r="AY522" s="750">
        <v>0</v>
      </c>
      <c r="AZ522" s="750">
        <v>0</v>
      </c>
      <c r="BA522" s="791">
        <v>0</v>
      </c>
      <c r="BB522" s="792">
        <v>0</v>
      </c>
      <c r="BC522" s="790">
        <v>0</v>
      </c>
      <c r="BD522" s="750">
        <v>0</v>
      </c>
      <c r="BE522" s="750">
        <v>0</v>
      </c>
      <c r="BF522" s="791">
        <v>0</v>
      </c>
      <c r="BG522" s="792">
        <v>0</v>
      </c>
      <c r="BH522" s="790">
        <v>0</v>
      </c>
      <c r="BI522" s="750">
        <v>0</v>
      </c>
      <c r="BJ522" s="750">
        <v>0</v>
      </c>
      <c r="BK522" s="791">
        <v>0</v>
      </c>
      <c r="BL522" s="792">
        <v>0</v>
      </c>
      <c r="BM522" s="790">
        <v>0</v>
      </c>
      <c r="BN522" s="750">
        <v>0</v>
      </c>
      <c r="BO522" s="750">
        <v>0</v>
      </c>
      <c r="BP522" s="791">
        <v>0</v>
      </c>
      <c r="BQ522" s="792">
        <v>0</v>
      </c>
    </row>
    <row r="523" spans="1:82">
      <c r="A523" s="139"/>
      <c r="B523" s="139"/>
      <c r="C523" s="1187" t="s">
        <v>555</v>
      </c>
      <c r="E523" s="288"/>
      <c r="F523" s="289"/>
      <c r="G523" s="289"/>
      <c r="H523" s="299"/>
      <c r="I523" s="730"/>
      <c r="J523" s="288"/>
      <c r="K523" s="289"/>
      <c r="L523" s="289"/>
      <c r="M523" s="299"/>
      <c r="N523" s="315"/>
      <c r="O523" s="288"/>
      <c r="P523" s="289"/>
      <c r="Q523" s="750"/>
      <c r="R523" s="791"/>
      <c r="S523" s="792"/>
      <c r="T523" s="790"/>
      <c r="U523" s="750"/>
      <c r="V523" s="750"/>
      <c r="W523" s="791"/>
      <c r="X523" s="792">
        <v>88</v>
      </c>
      <c r="Y523" s="790">
        <v>88</v>
      </c>
      <c r="Z523" s="750">
        <v>88</v>
      </c>
      <c r="AA523" s="750">
        <v>88</v>
      </c>
      <c r="AB523" s="791">
        <v>88</v>
      </c>
      <c r="AC523" s="792">
        <v>88</v>
      </c>
      <c r="AD523" s="790">
        <v>88</v>
      </c>
      <c r="AE523" s="750">
        <v>88</v>
      </c>
      <c r="AF523" s="750">
        <v>88</v>
      </c>
      <c r="AG523" s="791">
        <v>88</v>
      </c>
      <c r="AH523" s="792">
        <v>88</v>
      </c>
      <c r="AI523" s="790">
        <v>88</v>
      </c>
      <c r="AJ523" s="750">
        <v>88</v>
      </c>
      <c r="AK523" s="750">
        <v>88</v>
      </c>
      <c r="AL523" s="791">
        <v>88</v>
      </c>
      <c r="AM523" s="792">
        <v>88</v>
      </c>
      <c r="AN523" s="790">
        <v>88</v>
      </c>
      <c r="AO523" s="750">
        <v>88</v>
      </c>
      <c r="AP523" s="750">
        <v>88</v>
      </c>
      <c r="AQ523" s="791">
        <v>88</v>
      </c>
      <c r="AR523" s="792">
        <v>88</v>
      </c>
      <c r="AS523" s="790">
        <v>88</v>
      </c>
      <c r="AT523" s="750">
        <v>88</v>
      </c>
      <c r="AU523" s="750">
        <v>88</v>
      </c>
      <c r="AV523" s="791">
        <v>0</v>
      </c>
      <c r="AW523" s="792">
        <v>0</v>
      </c>
      <c r="AX523" s="790">
        <v>0</v>
      </c>
      <c r="AY523" s="750">
        <v>0</v>
      </c>
      <c r="AZ523" s="750">
        <v>0</v>
      </c>
      <c r="BA523" s="791">
        <v>0</v>
      </c>
      <c r="BB523" s="792">
        <v>0</v>
      </c>
      <c r="BC523" s="790">
        <v>0</v>
      </c>
      <c r="BD523" s="750">
        <v>0</v>
      </c>
      <c r="BE523" s="750">
        <v>0</v>
      </c>
      <c r="BF523" s="791">
        <v>0</v>
      </c>
      <c r="BG523" s="792">
        <v>0</v>
      </c>
      <c r="BH523" s="790">
        <v>0</v>
      </c>
      <c r="BI523" s="750">
        <v>0</v>
      </c>
      <c r="BJ523" s="750">
        <v>0</v>
      </c>
      <c r="BK523" s="791">
        <v>0</v>
      </c>
      <c r="BL523" s="792">
        <v>0</v>
      </c>
      <c r="BM523" s="790">
        <v>0</v>
      </c>
      <c r="BN523" s="750">
        <v>0</v>
      </c>
      <c r="BO523" s="750">
        <v>0</v>
      </c>
      <c r="BP523" s="791">
        <v>0</v>
      </c>
      <c r="BQ523" s="792">
        <v>0</v>
      </c>
    </row>
    <row r="524" spans="1:82">
      <c r="A524" s="139"/>
      <c r="B524" s="139"/>
      <c r="C524" s="2260" t="s">
        <v>556</v>
      </c>
      <c r="E524" s="288"/>
      <c r="F524" s="289"/>
      <c r="G524" s="289"/>
      <c r="H524" s="299"/>
      <c r="I524" s="730"/>
      <c r="J524" s="288"/>
      <c r="K524" s="289"/>
      <c r="L524" s="289"/>
      <c r="M524" s="299"/>
      <c r="N524" s="315"/>
      <c r="O524" s="288"/>
      <c r="P524" s="289"/>
      <c r="Q524" s="750"/>
      <c r="R524" s="791"/>
      <c r="S524" s="792"/>
      <c r="T524" s="790"/>
      <c r="U524" s="750"/>
      <c r="V524" s="750"/>
      <c r="W524" s="791"/>
      <c r="X524" s="792">
        <v>88</v>
      </c>
      <c r="Y524" s="790">
        <v>88</v>
      </c>
      <c r="Z524" s="750">
        <v>88</v>
      </c>
      <c r="AA524" s="750">
        <v>88</v>
      </c>
      <c r="AB524" s="791">
        <v>88</v>
      </c>
      <c r="AC524" s="792">
        <v>88</v>
      </c>
      <c r="AD524" s="790">
        <v>88</v>
      </c>
      <c r="AE524" s="750">
        <v>88</v>
      </c>
      <c r="AF524" s="750">
        <v>88</v>
      </c>
      <c r="AG524" s="791">
        <v>88</v>
      </c>
      <c r="AH524" s="792">
        <v>88</v>
      </c>
      <c r="AI524" s="790">
        <v>88</v>
      </c>
      <c r="AJ524" s="750">
        <v>88</v>
      </c>
      <c r="AK524" s="750">
        <v>88</v>
      </c>
      <c r="AL524" s="791">
        <v>88</v>
      </c>
      <c r="AM524" s="792">
        <v>88</v>
      </c>
      <c r="AN524" s="790">
        <v>88</v>
      </c>
      <c r="AO524" s="750">
        <v>88</v>
      </c>
      <c r="AP524" s="750">
        <v>88</v>
      </c>
      <c r="AQ524" s="791">
        <v>88</v>
      </c>
      <c r="AR524" s="792">
        <v>88</v>
      </c>
      <c r="AS524" s="790">
        <v>88</v>
      </c>
      <c r="AT524" s="750">
        <v>88</v>
      </c>
      <c r="AU524" s="750">
        <v>88</v>
      </c>
      <c r="AV524" s="791">
        <v>0</v>
      </c>
      <c r="AW524" s="792">
        <v>0</v>
      </c>
      <c r="AX524" s="790">
        <v>0</v>
      </c>
      <c r="AY524" s="750">
        <v>0</v>
      </c>
      <c r="AZ524" s="750">
        <v>0</v>
      </c>
      <c r="BA524" s="791">
        <v>0</v>
      </c>
      <c r="BB524" s="792">
        <v>0</v>
      </c>
      <c r="BC524" s="790">
        <v>0</v>
      </c>
      <c r="BD524" s="750">
        <v>0</v>
      </c>
      <c r="BE524" s="750">
        <v>0</v>
      </c>
      <c r="BF524" s="791">
        <v>0</v>
      </c>
      <c r="BG524" s="792">
        <v>0</v>
      </c>
      <c r="BH524" s="790">
        <v>0</v>
      </c>
      <c r="BI524" s="750">
        <v>0</v>
      </c>
      <c r="BJ524" s="750">
        <v>0</v>
      </c>
      <c r="BK524" s="791">
        <v>0</v>
      </c>
      <c r="BL524" s="792">
        <v>0</v>
      </c>
      <c r="BM524" s="790">
        <v>0</v>
      </c>
      <c r="BN524" s="750">
        <v>0</v>
      </c>
      <c r="BO524" s="750">
        <v>0</v>
      </c>
      <c r="BP524" s="791">
        <v>0</v>
      </c>
      <c r="BQ524" s="792">
        <v>0</v>
      </c>
      <c r="CD524" s="13"/>
    </row>
    <row r="525" spans="1:82">
      <c r="A525" s="139"/>
      <c r="B525" s="139"/>
      <c r="C525" s="1187" t="s">
        <v>557</v>
      </c>
      <c r="E525" s="288"/>
      <c r="F525" s="289"/>
      <c r="G525" s="289"/>
      <c r="H525" s="299"/>
      <c r="I525" s="730"/>
      <c r="J525" s="288"/>
      <c r="K525" s="289"/>
      <c r="L525" s="289"/>
      <c r="M525" s="299"/>
      <c r="N525" s="315"/>
      <c r="O525" s="288"/>
      <c r="P525" s="289"/>
      <c r="Q525" s="750"/>
      <c r="R525" s="791"/>
      <c r="S525" s="792"/>
      <c r="T525" s="790"/>
      <c r="U525" s="750"/>
      <c r="V525" s="750"/>
      <c r="W525" s="791"/>
      <c r="X525" s="792">
        <v>45</v>
      </c>
      <c r="Y525" s="790">
        <v>45</v>
      </c>
      <c r="Z525" s="750">
        <v>45</v>
      </c>
      <c r="AA525" s="750">
        <v>45</v>
      </c>
      <c r="AB525" s="791">
        <v>45</v>
      </c>
      <c r="AC525" s="792">
        <v>45</v>
      </c>
      <c r="AD525" s="790">
        <v>45</v>
      </c>
      <c r="AE525" s="750">
        <v>45</v>
      </c>
      <c r="AF525" s="750">
        <v>45</v>
      </c>
      <c r="AG525" s="791">
        <v>45</v>
      </c>
      <c r="AH525" s="792">
        <v>45</v>
      </c>
      <c r="AI525" s="790">
        <v>45</v>
      </c>
      <c r="AJ525" s="750">
        <v>45</v>
      </c>
      <c r="AK525" s="750">
        <v>45</v>
      </c>
      <c r="AL525" s="791">
        <v>45</v>
      </c>
      <c r="AM525" s="792">
        <v>45</v>
      </c>
      <c r="AN525" s="790">
        <v>45</v>
      </c>
      <c r="AO525" s="750">
        <v>45</v>
      </c>
      <c r="AP525" s="750">
        <v>45</v>
      </c>
      <c r="AQ525" s="791">
        <v>45</v>
      </c>
      <c r="AR525" s="792">
        <v>45</v>
      </c>
      <c r="AS525" s="790">
        <v>45</v>
      </c>
      <c r="AT525" s="750">
        <v>45</v>
      </c>
      <c r="AU525" s="750">
        <v>45</v>
      </c>
      <c r="AV525" s="791">
        <v>0</v>
      </c>
      <c r="AW525" s="792">
        <v>0</v>
      </c>
      <c r="AX525" s="790">
        <v>0</v>
      </c>
      <c r="AY525" s="750">
        <v>0</v>
      </c>
      <c r="AZ525" s="750">
        <v>0</v>
      </c>
      <c r="BA525" s="791">
        <v>0</v>
      </c>
      <c r="BB525" s="792">
        <v>0</v>
      </c>
      <c r="BC525" s="790">
        <v>0</v>
      </c>
      <c r="BD525" s="750">
        <v>0</v>
      </c>
      <c r="BE525" s="750">
        <v>0</v>
      </c>
      <c r="BF525" s="791">
        <v>0</v>
      </c>
      <c r="BG525" s="792">
        <v>0</v>
      </c>
      <c r="BH525" s="790">
        <v>0</v>
      </c>
      <c r="BI525" s="750">
        <v>0</v>
      </c>
      <c r="BJ525" s="750">
        <v>0</v>
      </c>
      <c r="BK525" s="791">
        <v>0</v>
      </c>
      <c r="BL525" s="792">
        <v>0</v>
      </c>
      <c r="BM525" s="790">
        <v>0</v>
      </c>
      <c r="BN525" s="750">
        <v>0</v>
      </c>
      <c r="BO525" s="750">
        <v>0</v>
      </c>
      <c r="BP525" s="791">
        <v>0</v>
      </c>
      <c r="BQ525" s="792">
        <v>0</v>
      </c>
      <c r="BT525" s="13"/>
    </row>
    <row r="526" spans="1:82" s="13" customFormat="1">
      <c r="A526" s="136"/>
      <c r="B526" s="136"/>
      <c r="C526" s="1186" t="s">
        <v>562</v>
      </c>
      <c r="E526" s="478"/>
      <c r="F526" s="479"/>
      <c r="G526" s="479"/>
      <c r="H526" s="480"/>
      <c r="I526" s="739"/>
      <c r="J526" s="478"/>
      <c r="K526" s="479"/>
      <c r="L526" s="479"/>
      <c r="M526" s="480"/>
      <c r="N526" s="308"/>
      <c r="O526" s="478"/>
      <c r="P526" s="479"/>
      <c r="Q526" s="875"/>
      <c r="R526" s="881"/>
      <c r="S526" s="93"/>
      <c r="T526" s="106"/>
      <c r="U526" s="76"/>
      <c r="V526" s="76"/>
      <c r="W526" s="107"/>
      <c r="X526" s="93">
        <f>SUM(X519:X525)</f>
        <v>801</v>
      </c>
      <c r="Y526" s="106">
        <f t="shared" ref="Y526:AQ526" si="854">SUM(Y519:Y525)</f>
        <v>801</v>
      </c>
      <c r="Z526" s="76">
        <f t="shared" si="854"/>
        <v>801</v>
      </c>
      <c r="AA526" s="76">
        <f t="shared" si="854"/>
        <v>801</v>
      </c>
      <c r="AB526" s="107">
        <f t="shared" si="854"/>
        <v>801</v>
      </c>
      <c r="AC526" s="93">
        <f t="shared" si="854"/>
        <v>801</v>
      </c>
      <c r="AD526" s="106">
        <f t="shared" si="854"/>
        <v>801</v>
      </c>
      <c r="AE526" s="76">
        <f t="shared" si="854"/>
        <v>801</v>
      </c>
      <c r="AF526" s="76">
        <f t="shared" si="854"/>
        <v>801</v>
      </c>
      <c r="AG526" s="107">
        <f t="shared" si="854"/>
        <v>801</v>
      </c>
      <c r="AH526" s="93">
        <f t="shared" si="854"/>
        <v>801</v>
      </c>
      <c r="AI526" s="106">
        <f t="shared" si="854"/>
        <v>801</v>
      </c>
      <c r="AJ526" s="76">
        <f t="shared" si="854"/>
        <v>801</v>
      </c>
      <c r="AK526" s="76">
        <f t="shared" si="854"/>
        <v>801</v>
      </c>
      <c r="AL526" s="107">
        <f t="shared" si="854"/>
        <v>801</v>
      </c>
      <c r="AM526" s="93">
        <f>SUM(AM519:AM525)</f>
        <v>801</v>
      </c>
      <c r="AN526" s="106">
        <f t="shared" si="854"/>
        <v>801</v>
      </c>
      <c r="AO526" s="76">
        <f t="shared" si="854"/>
        <v>801</v>
      </c>
      <c r="AP526" s="76">
        <f t="shared" si="854"/>
        <v>801</v>
      </c>
      <c r="AQ526" s="107">
        <f t="shared" si="854"/>
        <v>801</v>
      </c>
      <c r="AR526" s="93">
        <f>SUM(AR519:AR525)</f>
        <v>801</v>
      </c>
      <c r="AS526" s="106">
        <f t="shared" ref="AS526:BA526" si="855">SUM(AS519:AS525)</f>
        <v>801</v>
      </c>
      <c r="AT526" s="76">
        <f t="shared" si="855"/>
        <v>801</v>
      </c>
      <c r="AU526" s="76">
        <f t="shared" si="855"/>
        <v>801</v>
      </c>
      <c r="AV526" s="107">
        <f t="shared" si="855"/>
        <v>492</v>
      </c>
      <c r="AW526" s="93">
        <f>SUM(AW519:AW525)</f>
        <v>492</v>
      </c>
      <c r="AX526" s="106">
        <f t="shared" si="855"/>
        <v>492</v>
      </c>
      <c r="AY526" s="76">
        <f t="shared" si="855"/>
        <v>492</v>
      </c>
      <c r="AZ526" s="76">
        <f t="shared" si="855"/>
        <v>492</v>
      </c>
      <c r="BA526" s="107">
        <f t="shared" si="855"/>
        <v>492</v>
      </c>
      <c r="BB526" s="93">
        <f>SUM(BB519:BB525)</f>
        <v>492</v>
      </c>
      <c r="BC526" s="106">
        <f t="shared" ref="BC526:BL526" si="856">SUM(BC519:BC525)</f>
        <v>492</v>
      </c>
      <c r="BD526" s="76">
        <f t="shared" si="856"/>
        <v>492</v>
      </c>
      <c r="BE526" s="76">
        <f t="shared" si="856"/>
        <v>492</v>
      </c>
      <c r="BF526" s="107">
        <f t="shared" si="856"/>
        <v>492</v>
      </c>
      <c r="BG526" s="93">
        <f t="shared" si="856"/>
        <v>492</v>
      </c>
      <c r="BH526" s="106">
        <f t="shared" si="856"/>
        <v>492</v>
      </c>
      <c r="BI526" s="76">
        <f t="shared" si="856"/>
        <v>492</v>
      </c>
      <c r="BJ526" s="76">
        <f t="shared" si="856"/>
        <v>492</v>
      </c>
      <c r="BK526" s="107">
        <f t="shared" si="856"/>
        <v>492</v>
      </c>
      <c r="BL526" s="93">
        <f t="shared" si="856"/>
        <v>492</v>
      </c>
      <c r="BM526" s="106">
        <f t="shared" ref="BM526:BQ526" si="857">SUM(BM519:BM525)</f>
        <v>492</v>
      </c>
      <c r="BN526" s="76">
        <f t="shared" si="857"/>
        <v>492</v>
      </c>
      <c r="BO526" s="76">
        <f t="shared" si="857"/>
        <v>492</v>
      </c>
      <c r="BP526" s="107">
        <f t="shared" si="857"/>
        <v>492</v>
      </c>
      <c r="BQ526" s="93">
        <f t="shared" si="857"/>
        <v>492</v>
      </c>
      <c r="BR526" s="136"/>
      <c r="BS526" s="136"/>
      <c r="BT526"/>
      <c r="BU526"/>
      <c r="BV526"/>
      <c r="BW526"/>
      <c r="BX526"/>
      <c r="BY526"/>
      <c r="BZ526"/>
      <c r="CD526"/>
    </row>
    <row r="527" spans="1:82">
      <c r="A527" s="139"/>
      <c r="B527" s="139"/>
      <c r="C527" s="1187"/>
      <c r="E527" s="288"/>
      <c r="F527" s="289"/>
      <c r="G527" s="289"/>
      <c r="H527" s="299"/>
      <c r="I527" s="730"/>
      <c r="J527" s="288"/>
      <c r="K527" s="289"/>
      <c r="L527" s="289"/>
      <c r="M527" s="299"/>
      <c r="N527" s="315"/>
      <c r="O527" s="288"/>
      <c r="P527" s="289"/>
      <c r="Q527" s="750"/>
      <c r="R527" s="791"/>
      <c r="S527" s="792"/>
      <c r="T527" s="790"/>
      <c r="U527" s="750"/>
      <c r="V527" s="750"/>
      <c r="W527" s="791"/>
      <c r="X527" s="792"/>
      <c r="Y527" s="790"/>
      <c r="Z527" s="750"/>
      <c r="AA527" s="750"/>
      <c r="AB527" s="791"/>
      <c r="AC527" s="792"/>
      <c r="AD527" s="790"/>
      <c r="AE527" s="750"/>
      <c r="AF527" s="750"/>
      <c r="AG527" s="791"/>
      <c r="AH527" s="792"/>
      <c r="AI527" s="790"/>
      <c r="AJ527" s="750"/>
      <c r="AK527" s="750"/>
      <c r="AL527" s="791"/>
      <c r="AM527" s="792"/>
      <c r="AN527" s="790"/>
      <c r="AO527" s="750"/>
      <c r="AP527" s="750"/>
      <c r="AQ527" s="791"/>
      <c r="AR527" s="792"/>
      <c r="AS527" s="790"/>
      <c r="AT527" s="750"/>
      <c r="AU527" s="750"/>
      <c r="AV527" s="791"/>
      <c r="AW527" s="792"/>
      <c r="AX527" s="790"/>
      <c r="AY527" s="750"/>
      <c r="AZ527" s="750"/>
      <c r="BA527" s="791"/>
      <c r="BB527" s="792"/>
      <c r="BC527" s="790"/>
      <c r="BD527" s="750"/>
      <c r="BE527" s="750"/>
      <c r="BF527" s="791"/>
      <c r="BG527" s="792"/>
      <c r="BH527" s="790"/>
      <c r="BI527" s="750"/>
      <c r="BJ527" s="750"/>
      <c r="BK527" s="791"/>
      <c r="BL527" s="792"/>
      <c r="BM527" s="790"/>
      <c r="BN527" s="750"/>
      <c r="BO527" s="750"/>
      <c r="BP527" s="791"/>
      <c r="BQ527" s="792"/>
      <c r="BZ527" s="13"/>
    </row>
    <row r="528" spans="1:82">
      <c r="A528" s="139"/>
      <c r="B528" s="139"/>
      <c r="C528" s="1187" t="s">
        <v>356</v>
      </c>
      <c r="E528" s="288"/>
      <c r="F528" s="289"/>
      <c r="G528" s="289"/>
      <c r="H528" s="299"/>
      <c r="I528" s="730"/>
      <c r="J528" s="288"/>
      <c r="K528" s="289"/>
      <c r="L528" s="289"/>
      <c r="M528" s="299"/>
      <c r="N528" s="315"/>
      <c r="O528" s="288"/>
      <c r="P528" s="289"/>
      <c r="Q528" s="750"/>
      <c r="R528" s="791"/>
      <c r="S528" s="792"/>
      <c r="T528" s="790"/>
      <c r="U528" s="750"/>
      <c r="V528" s="750"/>
      <c r="W528" s="791"/>
      <c r="X528" s="792">
        <v>120</v>
      </c>
      <c r="Y528" s="790">
        <v>120</v>
      </c>
      <c r="Z528" s="750">
        <v>120</v>
      </c>
      <c r="AA528" s="750">
        <v>120</v>
      </c>
      <c r="AB528" s="791">
        <v>120</v>
      </c>
      <c r="AC528" s="792">
        <v>120</v>
      </c>
      <c r="AD528" s="790">
        <v>120</v>
      </c>
      <c r="AE528" s="750">
        <v>120</v>
      </c>
      <c r="AF528" s="750">
        <v>120</v>
      </c>
      <c r="AG528" s="791">
        <v>120</v>
      </c>
      <c r="AH528" s="792">
        <v>120</v>
      </c>
      <c r="AI528" s="790">
        <v>120</v>
      </c>
      <c r="AJ528" s="750">
        <v>120</v>
      </c>
      <c r="AK528" s="750">
        <v>120</v>
      </c>
      <c r="AL528" s="791">
        <v>120</v>
      </c>
      <c r="AM528" s="792">
        <v>120</v>
      </c>
      <c r="AN528" s="790">
        <v>120</v>
      </c>
      <c r="AO528" s="750">
        <v>120</v>
      </c>
      <c r="AP528" s="750">
        <v>120</v>
      </c>
      <c r="AQ528" s="791">
        <v>120</v>
      </c>
      <c r="AR528" s="792">
        <v>120</v>
      </c>
      <c r="AS528" s="790">
        <v>120</v>
      </c>
      <c r="AT528" s="750">
        <v>120</v>
      </c>
      <c r="AU528" s="750">
        <v>120</v>
      </c>
      <c r="AV528" s="791">
        <v>120</v>
      </c>
      <c r="AW528" s="792">
        <v>120</v>
      </c>
      <c r="AX528" s="790">
        <v>120</v>
      </c>
      <c r="AY528" s="750">
        <v>120</v>
      </c>
      <c r="AZ528" s="750">
        <v>120</v>
      </c>
      <c r="BA528" s="791">
        <v>120</v>
      </c>
      <c r="BB528" s="792">
        <v>120</v>
      </c>
      <c r="BC528" s="790">
        <v>120</v>
      </c>
      <c r="BD528" s="750">
        <v>120</v>
      </c>
      <c r="BE528" s="750">
        <v>120</v>
      </c>
      <c r="BF528" s="791">
        <v>120</v>
      </c>
      <c r="BG528" s="792">
        <v>120</v>
      </c>
      <c r="BH528" s="790">
        <v>120</v>
      </c>
      <c r="BI528" s="750">
        <v>120</v>
      </c>
      <c r="BJ528" s="750">
        <v>120</v>
      </c>
      <c r="BK528" s="791">
        <v>120</v>
      </c>
      <c r="BL528" s="792">
        <v>120</v>
      </c>
      <c r="BM528" s="790">
        <v>120</v>
      </c>
      <c r="BN528" s="750">
        <v>120</v>
      </c>
      <c r="BO528" s="750">
        <v>120</v>
      </c>
      <c r="BP528" s="791">
        <v>120</v>
      </c>
      <c r="BQ528" s="792">
        <v>120</v>
      </c>
    </row>
    <row r="529" spans="1:117">
      <c r="A529" s="139"/>
      <c r="B529" s="139"/>
      <c r="C529" s="1187" t="s">
        <v>357</v>
      </c>
      <c r="E529" s="288"/>
      <c r="F529" s="289"/>
      <c r="G529" s="289"/>
      <c r="H529" s="299"/>
      <c r="I529" s="730"/>
      <c r="J529" s="288"/>
      <c r="K529" s="289"/>
      <c r="L529" s="289"/>
      <c r="M529" s="299"/>
      <c r="N529" s="315"/>
      <c r="O529" s="288"/>
      <c r="P529" s="289"/>
      <c r="Q529" s="750"/>
      <c r="R529" s="791"/>
      <c r="S529" s="792"/>
      <c r="T529" s="790"/>
      <c r="U529" s="750"/>
      <c r="V529" s="750"/>
      <c r="W529" s="791"/>
      <c r="X529" s="792">
        <v>60</v>
      </c>
      <c r="Y529" s="790">
        <v>0</v>
      </c>
      <c r="Z529" s="750">
        <v>0</v>
      </c>
      <c r="AA529" s="750">
        <v>0</v>
      </c>
      <c r="AB529" s="791">
        <v>0</v>
      </c>
      <c r="AC529" s="792">
        <v>0</v>
      </c>
      <c r="AD529" s="790">
        <v>0</v>
      </c>
      <c r="AE529" s="750">
        <v>0</v>
      </c>
      <c r="AF529" s="750">
        <v>0</v>
      </c>
      <c r="AG529" s="791">
        <v>0</v>
      </c>
      <c r="AH529" s="792">
        <v>0</v>
      </c>
      <c r="AI529" s="790">
        <v>0</v>
      </c>
      <c r="AJ529" s="750">
        <v>0</v>
      </c>
      <c r="AK529" s="750">
        <v>0</v>
      </c>
      <c r="AL529" s="791">
        <v>0</v>
      </c>
      <c r="AM529" s="792">
        <v>0</v>
      </c>
      <c r="AN529" s="790">
        <v>0</v>
      </c>
      <c r="AO529" s="750">
        <v>0</v>
      </c>
      <c r="AP529" s="750">
        <v>0</v>
      </c>
      <c r="AQ529" s="791">
        <v>0</v>
      </c>
      <c r="AR529" s="792">
        <v>0</v>
      </c>
      <c r="AS529" s="790">
        <v>0</v>
      </c>
      <c r="AT529" s="750">
        <v>0</v>
      </c>
      <c r="AU529" s="750">
        <v>0</v>
      </c>
      <c r="AV529" s="791">
        <v>0</v>
      </c>
      <c r="AW529" s="792">
        <v>0</v>
      </c>
      <c r="AX529" s="790">
        <v>0</v>
      </c>
      <c r="AY529" s="750">
        <v>0</v>
      </c>
      <c r="AZ529" s="750">
        <v>0</v>
      </c>
      <c r="BA529" s="791">
        <v>0</v>
      </c>
      <c r="BB529" s="792">
        <v>0</v>
      </c>
      <c r="BC529" s="790">
        <v>0</v>
      </c>
      <c r="BD529" s="750">
        <v>0</v>
      </c>
      <c r="BE529" s="750">
        <v>0</v>
      </c>
      <c r="BF529" s="791">
        <v>0</v>
      </c>
      <c r="BG529" s="792">
        <v>0</v>
      </c>
      <c r="BH529" s="790">
        <v>0</v>
      </c>
      <c r="BI529" s="750">
        <v>0</v>
      </c>
      <c r="BJ529" s="750">
        <v>0</v>
      </c>
      <c r="BK529" s="791">
        <v>0</v>
      </c>
      <c r="BL529" s="792">
        <v>0</v>
      </c>
      <c r="BM529" s="790">
        <v>0</v>
      </c>
      <c r="BN529" s="750">
        <v>0</v>
      </c>
      <c r="BO529" s="750">
        <v>0</v>
      </c>
      <c r="BP529" s="791">
        <v>0</v>
      </c>
      <c r="BQ529" s="792">
        <v>0</v>
      </c>
    </row>
    <row r="530" spans="1:117">
      <c r="A530" s="139"/>
      <c r="B530" s="139"/>
      <c r="C530" s="1187" t="s">
        <v>358</v>
      </c>
      <c r="E530" s="288"/>
      <c r="F530" s="289"/>
      <c r="G530" s="289"/>
      <c r="H530" s="299"/>
      <c r="I530" s="730"/>
      <c r="J530" s="288"/>
      <c r="K530" s="289"/>
      <c r="L530" s="289"/>
      <c r="M530" s="299"/>
      <c r="N530" s="315"/>
      <c r="O530" s="288"/>
      <c r="P530" s="289"/>
      <c r="Q530" s="750"/>
      <c r="R530" s="791"/>
      <c r="S530" s="792"/>
      <c r="T530" s="790"/>
      <c r="U530" s="750"/>
      <c r="V530" s="750"/>
      <c r="W530" s="791"/>
      <c r="X530" s="792">
        <v>29</v>
      </c>
      <c r="Y530" s="790">
        <v>29</v>
      </c>
      <c r="Z530" s="750">
        <v>29</v>
      </c>
      <c r="AA530" s="750">
        <v>29</v>
      </c>
      <c r="AB530" s="791">
        <v>29</v>
      </c>
      <c r="AC530" s="792">
        <v>29</v>
      </c>
      <c r="AD530" s="790">
        <v>29</v>
      </c>
      <c r="AE530" s="750">
        <v>29</v>
      </c>
      <c r="AF530" s="750">
        <v>29</v>
      </c>
      <c r="AG530" s="791">
        <v>29</v>
      </c>
      <c r="AH530" s="792">
        <v>29</v>
      </c>
      <c r="AI530" s="790">
        <v>29</v>
      </c>
      <c r="AJ530" s="750">
        <v>29</v>
      </c>
      <c r="AK530" s="750">
        <v>29</v>
      </c>
      <c r="AL530" s="791">
        <v>29</v>
      </c>
      <c r="AM530" s="792">
        <v>29</v>
      </c>
      <c r="AN530" s="790">
        <v>29</v>
      </c>
      <c r="AO530" s="750">
        <v>29</v>
      </c>
      <c r="AP530" s="750">
        <v>29</v>
      </c>
      <c r="AQ530" s="791">
        <v>29</v>
      </c>
      <c r="AR530" s="792">
        <v>29</v>
      </c>
      <c r="AS530" s="790">
        <v>29</v>
      </c>
      <c r="AT530" s="750">
        <v>29</v>
      </c>
      <c r="AU530" s="750">
        <v>29</v>
      </c>
      <c r="AV530" s="791">
        <v>29</v>
      </c>
      <c r="AW530" s="792">
        <v>29</v>
      </c>
      <c r="AX530" s="790">
        <v>29</v>
      </c>
      <c r="AY530" s="750">
        <v>29</v>
      </c>
      <c r="AZ530" s="750">
        <v>29</v>
      </c>
      <c r="BA530" s="791">
        <v>29</v>
      </c>
      <c r="BB530" s="792">
        <v>29</v>
      </c>
      <c r="BC530" s="790">
        <v>29</v>
      </c>
      <c r="BD530" s="750">
        <v>29</v>
      </c>
      <c r="BE530" s="750">
        <v>29</v>
      </c>
      <c r="BF530" s="791">
        <v>29</v>
      </c>
      <c r="BG530" s="792">
        <v>29</v>
      </c>
      <c r="BH530" s="790">
        <v>29</v>
      </c>
      <c r="BI530" s="750">
        <v>29</v>
      </c>
      <c r="BJ530" s="750">
        <v>29</v>
      </c>
      <c r="BK530" s="791">
        <v>29</v>
      </c>
      <c r="BL530" s="792">
        <v>29</v>
      </c>
      <c r="BM530" s="790">
        <v>29</v>
      </c>
      <c r="BN530" s="750">
        <v>29</v>
      </c>
      <c r="BO530" s="750">
        <v>29</v>
      </c>
      <c r="BP530" s="791">
        <v>29</v>
      </c>
      <c r="BQ530" s="792">
        <v>29</v>
      </c>
    </row>
    <row r="531" spans="1:117">
      <c r="A531" s="139"/>
      <c r="B531" s="139"/>
      <c r="C531" s="1187" t="s">
        <v>359</v>
      </c>
      <c r="E531" s="288"/>
      <c r="F531" s="289"/>
      <c r="G531" s="289"/>
      <c r="H531" s="299"/>
      <c r="I531" s="730"/>
      <c r="J531" s="288"/>
      <c r="K531" s="289"/>
      <c r="L531" s="289"/>
      <c r="M531" s="299"/>
      <c r="N531" s="315"/>
      <c r="O531" s="288"/>
      <c r="P531" s="289"/>
      <c r="Q531" s="750"/>
      <c r="R531" s="791"/>
      <c r="S531" s="792"/>
      <c r="T531" s="790"/>
      <c r="U531" s="750"/>
      <c r="V531" s="750"/>
      <c r="W531" s="791"/>
      <c r="X531" s="792">
        <v>17</v>
      </c>
      <c r="Y531" s="790">
        <v>17</v>
      </c>
      <c r="Z531" s="750">
        <v>17</v>
      </c>
      <c r="AA531" s="750">
        <v>17</v>
      </c>
      <c r="AB531" s="791">
        <v>17</v>
      </c>
      <c r="AC531" s="792">
        <v>17</v>
      </c>
      <c r="AD531" s="790">
        <v>17</v>
      </c>
      <c r="AE531" s="750">
        <v>17</v>
      </c>
      <c r="AF531" s="750">
        <v>17</v>
      </c>
      <c r="AG531" s="791">
        <v>17</v>
      </c>
      <c r="AH531" s="792">
        <v>17</v>
      </c>
      <c r="AI531" s="790">
        <v>17</v>
      </c>
      <c r="AJ531" s="750">
        <v>17</v>
      </c>
      <c r="AK531" s="750">
        <v>17</v>
      </c>
      <c r="AL531" s="791">
        <v>17</v>
      </c>
      <c r="AM531" s="792">
        <v>17</v>
      </c>
      <c r="AN531" s="790">
        <v>17</v>
      </c>
      <c r="AO531" s="750">
        <v>17</v>
      </c>
      <c r="AP531" s="750">
        <v>17</v>
      </c>
      <c r="AQ531" s="791">
        <v>17</v>
      </c>
      <c r="AR531" s="792">
        <v>17</v>
      </c>
      <c r="AS531" s="790">
        <v>17</v>
      </c>
      <c r="AT531" s="750">
        <v>17</v>
      </c>
      <c r="AU531" s="750">
        <v>17</v>
      </c>
      <c r="AV531" s="791">
        <v>17</v>
      </c>
      <c r="AW531" s="792">
        <v>17</v>
      </c>
      <c r="AX531" s="790">
        <v>17</v>
      </c>
      <c r="AY531" s="750">
        <v>17</v>
      </c>
      <c r="AZ531" s="750">
        <v>17</v>
      </c>
      <c r="BA531" s="791">
        <v>17</v>
      </c>
      <c r="BB531" s="792">
        <v>17</v>
      </c>
      <c r="BC531" s="790">
        <v>17</v>
      </c>
      <c r="BD531" s="750">
        <v>17</v>
      </c>
      <c r="BE531" s="750">
        <v>17</v>
      </c>
      <c r="BF531" s="791">
        <v>17</v>
      </c>
      <c r="BG531" s="792">
        <v>17</v>
      </c>
      <c r="BH531" s="790">
        <v>17</v>
      </c>
      <c r="BI531" s="750">
        <v>17</v>
      </c>
      <c r="BJ531" s="750">
        <v>17</v>
      </c>
      <c r="BK531" s="791">
        <v>17</v>
      </c>
      <c r="BL531" s="792">
        <v>17</v>
      </c>
      <c r="BM531" s="790">
        <v>17</v>
      </c>
      <c r="BN531" s="750">
        <v>17</v>
      </c>
      <c r="BO531" s="750">
        <v>17</v>
      </c>
      <c r="BP531" s="791">
        <v>17</v>
      </c>
      <c r="BQ531" s="792">
        <v>17</v>
      </c>
      <c r="CD531" s="13"/>
    </row>
    <row r="532" spans="1:117">
      <c r="A532" s="139"/>
      <c r="B532" s="139"/>
      <c r="C532" s="1187" t="s">
        <v>360</v>
      </c>
      <c r="E532" s="288"/>
      <c r="F532" s="289"/>
      <c r="G532" s="289"/>
      <c r="H532" s="299"/>
      <c r="I532" s="730"/>
      <c r="J532" s="288"/>
      <c r="K532" s="289"/>
      <c r="L532" s="289"/>
      <c r="M532" s="299"/>
      <c r="N532" s="315"/>
      <c r="O532" s="288"/>
      <c r="P532" s="289"/>
      <c r="Q532" s="750"/>
      <c r="R532" s="791"/>
      <c r="S532" s="792"/>
      <c r="T532" s="790"/>
      <c r="U532" s="750"/>
      <c r="V532" s="750"/>
      <c r="W532" s="791"/>
      <c r="X532" s="792">
        <v>82</v>
      </c>
      <c r="Y532" s="790">
        <v>82</v>
      </c>
      <c r="Z532" s="750">
        <v>82</v>
      </c>
      <c r="AA532" s="750">
        <v>82</v>
      </c>
      <c r="AB532" s="791">
        <v>82</v>
      </c>
      <c r="AC532" s="792">
        <v>82</v>
      </c>
      <c r="AD532" s="790">
        <v>82</v>
      </c>
      <c r="AE532" s="750">
        <v>82</v>
      </c>
      <c r="AF532" s="750">
        <v>82</v>
      </c>
      <c r="AG532" s="791">
        <v>82</v>
      </c>
      <c r="AH532" s="792">
        <v>82</v>
      </c>
      <c r="AI532" s="790">
        <v>82</v>
      </c>
      <c r="AJ532" s="750">
        <v>82</v>
      </c>
      <c r="AK532" s="750">
        <v>82</v>
      </c>
      <c r="AL532" s="791">
        <v>82</v>
      </c>
      <c r="AM532" s="792">
        <v>82</v>
      </c>
      <c r="AN532" s="790">
        <v>82</v>
      </c>
      <c r="AO532" s="750">
        <v>82</v>
      </c>
      <c r="AP532" s="750">
        <v>82</v>
      </c>
      <c r="AQ532" s="791">
        <v>82</v>
      </c>
      <c r="AR532" s="792">
        <v>82</v>
      </c>
      <c r="AS532" s="790">
        <v>82</v>
      </c>
      <c r="AT532" s="750">
        <v>82</v>
      </c>
      <c r="AU532" s="750">
        <v>82</v>
      </c>
      <c r="AV532" s="791">
        <v>82</v>
      </c>
      <c r="AW532" s="792">
        <v>82</v>
      </c>
      <c r="AX532" s="790">
        <v>82</v>
      </c>
      <c r="AY532" s="750">
        <v>82</v>
      </c>
      <c r="AZ532" s="750">
        <v>82</v>
      </c>
      <c r="BA532" s="791">
        <v>82</v>
      </c>
      <c r="BB532" s="792">
        <v>82</v>
      </c>
      <c r="BC532" s="790">
        <v>82</v>
      </c>
      <c r="BD532" s="750">
        <v>82</v>
      </c>
      <c r="BE532" s="750">
        <v>82</v>
      </c>
      <c r="BF532" s="791">
        <v>82</v>
      </c>
      <c r="BG532" s="792">
        <v>82</v>
      </c>
      <c r="BH532" s="790">
        <v>82</v>
      </c>
      <c r="BI532" s="750">
        <v>82</v>
      </c>
      <c r="BJ532" s="750">
        <v>82</v>
      </c>
      <c r="BK532" s="791">
        <v>82</v>
      </c>
      <c r="BL532" s="792">
        <v>82</v>
      </c>
      <c r="BM532" s="790">
        <v>82</v>
      </c>
      <c r="BN532" s="750">
        <v>82</v>
      </c>
      <c r="BO532" s="750">
        <v>82</v>
      </c>
      <c r="BP532" s="791">
        <v>82</v>
      </c>
      <c r="BQ532" s="792">
        <v>82</v>
      </c>
      <c r="BT532" s="13"/>
    </row>
    <row r="533" spans="1:117" s="13" customFormat="1">
      <c r="A533" s="136"/>
      <c r="B533" s="136"/>
      <c r="C533" s="1186" t="s">
        <v>563</v>
      </c>
      <c r="E533" s="478"/>
      <c r="F533" s="479"/>
      <c r="G533" s="479"/>
      <c r="H533" s="480"/>
      <c r="I533" s="739"/>
      <c r="J533" s="478"/>
      <c r="K533" s="479"/>
      <c r="L533" s="479"/>
      <c r="M533" s="480"/>
      <c r="N533" s="308"/>
      <c r="O533" s="478"/>
      <c r="P533" s="479"/>
      <c r="Q533" s="875"/>
      <c r="R533" s="881"/>
      <c r="S533" s="93"/>
      <c r="T533" s="106"/>
      <c r="U533" s="76"/>
      <c r="V533" s="76"/>
      <c r="W533" s="107"/>
      <c r="X533" s="93">
        <f>SUM(X528:X532)</f>
        <v>308</v>
      </c>
      <c r="Y533" s="106">
        <f>SUM(Y528:Y532)</f>
        <v>248</v>
      </c>
      <c r="Z533" s="76">
        <f>SUM(Z528:Z532)</f>
        <v>248</v>
      </c>
      <c r="AA533" s="76">
        <f>SUM(AA528:AA532)</f>
        <v>248</v>
      </c>
      <c r="AB533" s="107">
        <f t="shared" ref="AB533:AR533" si="858">SUM(AB528:AB532)</f>
        <v>248</v>
      </c>
      <c r="AC533" s="93">
        <f t="shared" si="858"/>
        <v>248</v>
      </c>
      <c r="AD533" s="106">
        <f t="shared" si="858"/>
        <v>248</v>
      </c>
      <c r="AE533" s="76">
        <f t="shared" si="858"/>
        <v>248</v>
      </c>
      <c r="AF533" s="76">
        <f t="shared" si="858"/>
        <v>248</v>
      </c>
      <c r="AG533" s="107">
        <f t="shared" si="858"/>
        <v>248</v>
      </c>
      <c r="AH533" s="93">
        <f t="shared" si="858"/>
        <v>248</v>
      </c>
      <c r="AI533" s="106">
        <f t="shared" si="858"/>
        <v>248</v>
      </c>
      <c r="AJ533" s="76">
        <f t="shared" si="858"/>
        <v>248</v>
      </c>
      <c r="AK533" s="76">
        <f t="shared" si="858"/>
        <v>248</v>
      </c>
      <c r="AL533" s="107">
        <f t="shared" si="858"/>
        <v>248</v>
      </c>
      <c r="AM533" s="93">
        <f t="shared" si="858"/>
        <v>248</v>
      </c>
      <c r="AN533" s="106">
        <f t="shared" si="858"/>
        <v>248</v>
      </c>
      <c r="AO533" s="76">
        <f t="shared" si="858"/>
        <v>248</v>
      </c>
      <c r="AP533" s="76">
        <f t="shared" si="858"/>
        <v>248</v>
      </c>
      <c r="AQ533" s="107">
        <f t="shared" si="858"/>
        <v>248</v>
      </c>
      <c r="AR533" s="93">
        <f t="shared" si="858"/>
        <v>248</v>
      </c>
      <c r="AS533" s="106">
        <f t="shared" ref="AS533:BB533" si="859">SUM(AS528:AS532)</f>
        <v>248</v>
      </c>
      <c r="AT533" s="76">
        <f t="shared" si="859"/>
        <v>248</v>
      </c>
      <c r="AU533" s="76">
        <f t="shared" si="859"/>
        <v>248</v>
      </c>
      <c r="AV533" s="107">
        <f t="shared" si="859"/>
        <v>248</v>
      </c>
      <c r="AW533" s="93">
        <f t="shared" si="859"/>
        <v>248</v>
      </c>
      <c r="AX533" s="106">
        <f t="shared" si="859"/>
        <v>248</v>
      </c>
      <c r="AY533" s="76">
        <f t="shared" si="859"/>
        <v>248</v>
      </c>
      <c r="AZ533" s="76">
        <f t="shared" si="859"/>
        <v>248</v>
      </c>
      <c r="BA533" s="107">
        <f t="shared" si="859"/>
        <v>248</v>
      </c>
      <c r="BB533" s="93">
        <f t="shared" si="859"/>
        <v>248</v>
      </c>
      <c r="BC533" s="106">
        <f t="shared" ref="BC533:BL533" si="860">SUM(BC528:BC532)</f>
        <v>248</v>
      </c>
      <c r="BD533" s="76">
        <f t="shared" si="860"/>
        <v>248</v>
      </c>
      <c r="BE533" s="76">
        <f t="shared" si="860"/>
        <v>248</v>
      </c>
      <c r="BF533" s="107">
        <f t="shared" si="860"/>
        <v>248</v>
      </c>
      <c r="BG533" s="93">
        <f t="shared" si="860"/>
        <v>248</v>
      </c>
      <c r="BH533" s="106">
        <f t="shared" si="860"/>
        <v>248</v>
      </c>
      <c r="BI533" s="76">
        <f t="shared" si="860"/>
        <v>248</v>
      </c>
      <c r="BJ533" s="76">
        <f t="shared" si="860"/>
        <v>248</v>
      </c>
      <c r="BK533" s="107">
        <f t="shared" si="860"/>
        <v>248</v>
      </c>
      <c r="BL533" s="93">
        <f t="shared" si="860"/>
        <v>248</v>
      </c>
      <c r="BM533" s="106">
        <f t="shared" ref="BM533:BQ533" si="861">SUM(BM528:BM532)</f>
        <v>248</v>
      </c>
      <c r="BN533" s="76">
        <f t="shared" si="861"/>
        <v>248</v>
      </c>
      <c r="BO533" s="76">
        <f t="shared" si="861"/>
        <v>248</v>
      </c>
      <c r="BP533" s="107">
        <f t="shared" si="861"/>
        <v>248</v>
      </c>
      <c r="BQ533" s="93">
        <f t="shared" si="861"/>
        <v>248</v>
      </c>
      <c r="BR533" s="136"/>
      <c r="BS533" s="136"/>
      <c r="BT533"/>
      <c r="BU533"/>
      <c r="BV533"/>
      <c r="BW533"/>
      <c r="BX533"/>
      <c r="BY533"/>
      <c r="BZ533"/>
      <c r="CD533"/>
    </row>
    <row r="534" spans="1:117">
      <c r="A534" s="139"/>
      <c r="B534" s="139"/>
      <c r="E534" s="288"/>
      <c r="F534" s="289"/>
      <c r="G534" s="289"/>
      <c r="H534" s="299"/>
      <c r="I534" s="291"/>
      <c r="J534" s="288"/>
      <c r="K534" s="289"/>
      <c r="L534" s="289"/>
      <c r="M534" s="299"/>
      <c r="N534" s="315"/>
      <c r="O534" s="288"/>
      <c r="P534" s="289"/>
      <c r="Q534" s="289"/>
      <c r="R534" s="299"/>
      <c r="S534" s="315"/>
      <c r="T534" s="133"/>
      <c r="U534" s="134"/>
      <c r="V534" s="834"/>
      <c r="W534" s="135"/>
      <c r="X534" s="826"/>
      <c r="Y534" s="133"/>
      <c r="Z534" s="134"/>
      <c r="AA534" s="134"/>
      <c r="AB534" s="135"/>
      <c r="AC534" s="178"/>
      <c r="AD534" s="133"/>
      <c r="AE534" s="134"/>
      <c r="AF534" s="134"/>
      <c r="AG534" s="135"/>
      <c r="AH534" s="178"/>
      <c r="AI534" s="133"/>
      <c r="AJ534" s="134"/>
      <c r="AK534" s="134"/>
      <c r="AL534" s="135"/>
      <c r="AM534" s="178"/>
      <c r="AN534" s="133"/>
      <c r="AO534" s="134"/>
      <c r="AP534" s="134"/>
      <c r="AQ534" s="135"/>
      <c r="AR534" s="178"/>
      <c r="AS534" s="133"/>
      <c r="AT534" s="134"/>
      <c r="AU534" s="134"/>
      <c r="AV534" s="135"/>
      <c r="AW534" s="178"/>
      <c r="AX534" s="133"/>
      <c r="AY534" s="134"/>
      <c r="AZ534" s="134"/>
      <c r="BA534" s="135"/>
      <c r="BB534" s="178"/>
      <c r="BC534" s="133"/>
      <c r="BD534" s="134"/>
      <c r="BE534" s="134"/>
      <c r="BF534" s="135"/>
      <c r="BG534" s="178"/>
      <c r="BH534" s="133"/>
      <c r="BI534" s="134"/>
      <c r="BJ534" s="134"/>
      <c r="BK534" s="135"/>
      <c r="BL534" s="178"/>
      <c r="BM534" s="133"/>
      <c r="BN534" s="134"/>
      <c r="BO534" s="134"/>
      <c r="BP534" s="135"/>
      <c r="BQ534" s="178"/>
      <c r="CA534" s="13"/>
      <c r="CB534" s="13"/>
      <c r="CC534" s="13"/>
    </row>
    <row r="535" spans="1:117">
      <c r="A535" s="139"/>
      <c r="B535" s="139"/>
      <c r="C535" s="1204" t="s">
        <v>687</v>
      </c>
      <c r="E535" s="288"/>
      <c r="F535" s="289"/>
      <c r="G535" s="289"/>
      <c r="H535" s="299"/>
      <c r="I535" s="291"/>
      <c r="J535" s="288"/>
      <c r="K535" s="289"/>
      <c r="L535" s="289"/>
      <c r="M535" s="299"/>
      <c r="N535" s="315"/>
      <c r="O535" s="288"/>
      <c r="P535" s="289"/>
      <c r="Q535" s="289"/>
      <c r="R535" s="299"/>
      <c r="S535" s="315"/>
      <c r="T535" s="133"/>
      <c r="U535" s="134"/>
      <c r="V535" s="834"/>
      <c r="W535" s="135"/>
      <c r="X535" s="826"/>
      <c r="Y535" s="790">
        <f>199+277</f>
        <v>476</v>
      </c>
      <c r="Z535" s="750">
        <f t="shared" ref="Z535:BQ535" si="862">199+277</f>
        <v>476</v>
      </c>
      <c r="AA535" s="750">
        <f t="shared" si="862"/>
        <v>476</v>
      </c>
      <c r="AB535" s="791">
        <f t="shared" si="862"/>
        <v>476</v>
      </c>
      <c r="AC535" s="792">
        <f t="shared" si="862"/>
        <v>476</v>
      </c>
      <c r="AD535" s="790">
        <f t="shared" si="862"/>
        <v>476</v>
      </c>
      <c r="AE535" s="750">
        <f t="shared" si="862"/>
        <v>476</v>
      </c>
      <c r="AF535" s="750">
        <f t="shared" si="862"/>
        <v>476</v>
      </c>
      <c r="AG535" s="791">
        <f t="shared" si="862"/>
        <v>476</v>
      </c>
      <c r="AH535" s="792">
        <f t="shared" si="862"/>
        <v>476</v>
      </c>
      <c r="AI535" s="790">
        <f t="shared" si="862"/>
        <v>476</v>
      </c>
      <c r="AJ535" s="750">
        <f t="shared" si="862"/>
        <v>476</v>
      </c>
      <c r="AK535" s="750">
        <f t="shared" si="862"/>
        <v>476</v>
      </c>
      <c r="AL535" s="791">
        <f t="shared" si="862"/>
        <v>476</v>
      </c>
      <c r="AM535" s="792">
        <f t="shared" si="862"/>
        <v>476</v>
      </c>
      <c r="AN535" s="790">
        <f t="shared" si="862"/>
        <v>476</v>
      </c>
      <c r="AO535" s="750">
        <f t="shared" si="862"/>
        <v>476</v>
      </c>
      <c r="AP535" s="750">
        <f t="shared" si="862"/>
        <v>476</v>
      </c>
      <c r="AQ535" s="791">
        <f t="shared" si="862"/>
        <v>476</v>
      </c>
      <c r="AR535" s="792">
        <f t="shared" si="862"/>
        <v>476</v>
      </c>
      <c r="AS535" s="790">
        <f t="shared" si="862"/>
        <v>476</v>
      </c>
      <c r="AT535" s="750">
        <f t="shared" si="862"/>
        <v>476</v>
      </c>
      <c r="AU535" s="750">
        <f t="shared" si="862"/>
        <v>476</v>
      </c>
      <c r="AV535" s="791">
        <f t="shared" si="862"/>
        <v>476</v>
      </c>
      <c r="AW535" s="792">
        <f t="shared" si="862"/>
        <v>476</v>
      </c>
      <c r="AX535" s="790">
        <f t="shared" si="862"/>
        <v>476</v>
      </c>
      <c r="AY535" s="750">
        <f t="shared" si="862"/>
        <v>476</v>
      </c>
      <c r="AZ535" s="750">
        <f t="shared" si="862"/>
        <v>476</v>
      </c>
      <c r="BA535" s="791">
        <f t="shared" si="862"/>
        <v>476</v>
      </c>
      <c r="BB535" s="792">
        <f t="shared" si="862"/>
        <v>476</v>
      </c>
      <c r="BC535" s="790">
        <f t="shared" si="862"/>
        <v>476</v>
      </c>
      <c r="BD535" s="750">
        <f t="shared" si="862"/>
        <v>476</v>
      </c>
      <c r="BE535" s="750">
        <f t="shared" si="862"/>
        <v>476</v>
      </c>
      <c r="BF535" s="791">
        <f t="shared" si="862"/>
        <v>476</v>
      </c>
      <c r="BG535" s="792">
        <f t="shared" si="862"/>
        <v>476</v>
      </c>
      <c r="BH535" s="790">
        <f t="shared" si="862"/>
        <v>476</v>
      </c>
      <c r="BI535" s="750">
        <f t="shared" si="862"/>
        <v>476</v>
      </c>
      <c r="BJ535" s="750">
        <f t="shared" si="862"/>
        <v>476</v>
      </c>
      <c r="BK535" s="791">
        <f t="shared" si="862"/>
        <v>476</v>
      </c>
      <c r="BL535" s="792">
        <f t="shared" si="862"/>
        <v>476</v>
      </c>
      <c r="BM535" s="790">
        <f t="shared" si="862"/>
        <v>476</v>
      </c>
      <c r="BN535" s="750">
        <f t="shared" si="862"/>
        <v>476</v>
      </c>
      <c r="BO535" s="750">
        <f t="shared" si="862"/>
        <v>476</v>
      </c>
      <c r="BP535" s="791">
        <f t="shared" si="862"/>
        <v>476</v>
      </c>
      <c r="BQ535" s="792">
        <f t="shared" si="862"/>
        <v>476</v>
      </c>
      <c r="CA535" s="13"/>
      <c r="CB535" s="13"/>
      <c r="CC535" s="13"/>
    </row>
    <row r="536" spans="1:117">
      <c r="A536" s="139"/>
      <c r="B536" s="139"/>
      <c r="C536" s="1204" t="s">
        <v>454</v>
      </c>
      <c r="E536" s="288"/>
      <c r="F536" s="289"/>
      <c r="G536" s="289"/>
      <c r="H536" s="299"/>
      <c r="I536" s="291"/>
      <c r="J536" s="288"/>
      <c r="K536" s="289"/>
      <c r="L536" s="289"/>
      <c r="M536" s="299"/>
      <c r="N536" s="315"/>
      <c r="O536" s="288"/>
      <c r="P536" s="289"/>
      <c r="Q536" s="289"/>
      <c r="R536" s="299"/>
      <c r="S536" s="315"/>
      <c r="T536" s="133"/>
      <c r="U536" s="134"/>
      <c r="V536" s="834"/>
      <c r="W536" s="135"/>
      <c r="X536" s="826"/>
      <c r="Y536" s="790">
        <v>20</v>
      </c>
      <c r="Z536" s="750">
        <v>20</v>
      </c>
      <c r="AA536" s="750">
        <v>20</v>
      </c>
      <c r="AB536" s="791">
        <v>20</v>
      </c>
      <c r="AC536" s="792">
        <v>20</v>
      </c>
      <c r="AD536" s="790">
        <v>20</v>
      </c>
      <c r="AE536" s="750">
        <v>20</v>
      </c>
      <c r="AF536" s="750">
        <v>20</v>
      </c>
      <c r="AG536" s="791">
        <v>20</v>
      </c>
      <c r="AH536" s="792">
        <v>20</v>
      </c>
      <c r="AI536" s="790">
        <v>20</v>
      </c>
      <c r="AJ536" s="750">
        <v>20</v>
      </c>
      <c r="AK536" s="750">
        <v>20</v>
      </c>
      <c r="AL536" s="791">
        <v>20</v>
      </c>
      <c r="AM536" s="792">
        <v>20</v>
      </c>
      <c r="AN536" s="790">
        <v>20</v>
      </c>
      <c r="AO536" s="750">
        <v>20</v>
      </c>
      <c r="AP536" s="750">
        <v>20</v>
      </c>
      <c r="AQ536" s="791">
        <v>20</v>
      </c>
      <c r="AR536" s="792">
        <v>20</v>
      </c>
      <c r="AS536" s="790">
        <v>20</v>
      </c>
      <c r="AT536" s="750">
        <v>20</v>
      </c>
      <c r="AU536" s="750">
        <v>20</v>
      </c>
      <c r="AV536" s="791">
        <v>20</v>
      </c>
      <c r="AW536" s="792">
        <v>20</v>
      </c>
      <c r="AX536" s="790">
        <v>20</v>
      </c>
      <c r="AY536" s="750">
        <v>20</v>
      </c>
      <c r="AZ536" s="750">
        <v>20</v>
      </c>
      <c r="BA536" s="791">
        <v>20</v>
      </c>
      <c r="BB536" s="792">
        <v>20</v>
      </c>
      <c r="BC536" s="790">
        <v>20</v>
      </c>
      <c r="BD536" s="750">
        <v>20</v>
      </c>
      <c r="BE536" s="750">
        <v>20</v>
      </c>
      <c r="BF536" s="791">
        <v>20</v>
      </c>
      <c r="BG536" s="792">
        <v>20</v>
      </c>
      <c r="BH536" s="790">
        <v>20</v>
      </c>
      <c r="BI536" s="750">
        <v>20</v>
      </c>
      <c r="BJ536" s="750">
        <v>20</v>
      </c>
      <c r="BK536" s="791">
        <v>20</v>
      </c>
      <c r="BL536" s="792">
        <v>20</v>
      </c>
      <c r="BM536" s="790">
        <v>20</v>
      </c>
      <c r="BN536" s="750">
        <v>20</v>
      </c>
      <c r="BO536" s="750">
        <v>20</v>
      </c>
      <c r="BP536" s="791">
        <v>20</v>
      </c>
      <c r="BQ536" s="792">
        <v>20</v>
      </c>
      <c r="CA536" s="13"/>
      <c r="CB536" s="13"/>
      <c r="CC536" s="13"/>
    </row>
    <row r="537" spans="1:117">
      <c r="A537" s="139"/>
      <c r="B537" s="139"/>
      <c r="E537" s="288"/>
      <c r="F537" s="289"/>
      <c r="G537" s="289"/>
      <c r="H537" s="299"/>
      <c r="I537" s="291"/>
      <c r="J537" s="288"/>
      <c r="K537" s="289"/>
      <c r="L537" s="289"/>
      <c r="M537" s="299"/>
      <c r="N537" s="315"/>
      <c r="O537" s="288"/>
      <c r="P537" s="289"/>
      <c r="Q537" s="289"/>
      <c r="R537" s="299"/>
      <c r="S537" s="315"/>
      <c r="T537" s="133"/>
      <c r="U537" s="134"/>
      <c r="V537" s="834"/>
      <c r="W537" s="135"/>
      <c r="X537" s="826"/>
      <c r="Y537" s="133"/>
      <c r="Z537" s="134"/>
      <c r="AA537" s="134"/>
      <c r="AB537" s="135"/>
      <c r="AC537" s="178"/>
      <c r="AD537" s="133"/>
      <c r="AE537" s="134"/>
      <c r="AF537" s="134"/>
      <c r="AG537" s="135"/>
      <c r="AH537" s="178"/>
      <c r="AI537" s="133"/>
      <c r="AJ537" s="134"/>
      <c r="AK537" s="134"/>
      <c r="AL537" s="135"/>
      <c r="AM537" s="178"/>
      <c r="AN537" s="133"/>
      <c r="AO537" s="134"/>
      <c r="AP537" s="134"/>
      <c r="AQ537" s="135"/>
      <c r="AR537" s="178"/>
      <c r="AS537" s="133"/>
      <c r="AT537" s="134"/>
      <c r="AU537" s="134"/>
      <c r="AV537" s="135"/>
      <c r="AW537" s="178"/>
      <c r="AX537" s="133"/>
      <c r="AY537" s="134"/>
      <c r="AZ537" s="134"/>
      <c r="BA537" s="135"/>
      <c r="BB537" s="178"/>
      <c r="BC537" s="133"/>
      <c r="BD537" s="134"/>
      <c r="BE537" s="134"/>
      <c r="BF537" s="135"/>
      <c r="BG537" s="178"/>
      <c r="BH537" s="133"/>
      <c r="BI537" s="134"/>
      <c r="BJ537" s="134"/>
      <c r="BK537" s="135"/>
      <c r="BL537" s="178"/>
      <c r="BM537" s="133"/>
      <c r="BN537" s="134"/>
      <c r="BO537" s="134"/>
      <c r="BP537" s="135"/>
      <c r="BQ537" s="178"/>
      <c r="BZ537" s="13"/>
      <c r="CD537" s="29"/>
    </row>
    <row r="538" spans="1:117">
      <c r="A538" s="139"/>
      <c r="B538" s="139"/>
      <c r="C538" s="1233" t="s">
        <v>215</v>
      </c>
      <c r="E538" s="288"/>
      <c r="F538" s="289"/>
      <c r="G538" s="289"/>
      <c r="H538" s="299"/>
      <c r="I538" s="291"/>
      <c r="J538" s="288"/>
      <c r="K538" s="289"/>
      <c r="L538" s="289"/>
      <c r="M538" s="299"/>
      <c r="N538" s="315"/>
      <c r="O538" s="288"/>
      <c r="P538" s="289"/>
      <c r="Q538" s="289"/>
      <c r="R538" s="299"/>
      <c r="S538" s="93"/>
      <c r="T538" s="106"/>
      <c r="U538" s="76"/>
      <c r="V538" s="76"/>
      <c r="W538" s="107"/>
      <c r="X538" s="93">
        <f>SUM(X484,X486,X490,X494,X506,X515,X526,X533,X517)</f>
        <v>17624</v>
      </c>
      <c r="Y538" s="106">
        <f>SUM(Y484,Y486,Y490,Y494,Y506,Y515,Y526,Y533,Y517)+Y535+Y536</f>
        <v>18060</v>
      </c>
      <c r="Z538" s="76">
        <f t="shared" ref="Z538:AW538" si="863">SUM(Z484,Z486,Z490,Z494,Z506,Z515,Z526,Z533,Z517)+Z535+Z536</f>
        <v>18060</v>
      </c>
      <c r="AA538" s="76">
        <f t="shared" si="863"/>
        <v>18060</v>
      </c>
      <c r="AB538" s="107">
        <f t="shared" si="863"/>
        <v>14586</v>
      </c>
      <c r="AC538" s="93">
        <f t="shared" si="863"/>
        <v>14586</v>
      </c>
      <c r="AD538" s="106">
        <f t="shared" si="863"/>
        <v>13179</v>
      </c>
      <c r="AE538" s="76">
        <f t="shared" si="863"/>
        <v>13179</v>
      </c>
      <c r="AF538" s="76">
        <f t="shared" si="863"/>
        <v>13179</v>
      </c>
      <c r="AG538" s="107">
        <f t="shared" si="863"/>
        <v>13179</v>
      </c>
      <c r="AH538" s="93">
        <f t="shared" si="863"/>
        <v>13179</v>
      </c>
      <c r="AI538" s="106">
        <f t="shared" si="863"/>
        <v>13179</v>
      </c>
      <c r="AJ538" s="76">
        <f t="shared" si="863"/>
        <v>13179</v>
      </c>
      <c r="AK538" s="76">
        <f t="shared" si="863"/>
        <v>13179</v>
      </c>
      <c r="AL538" s="107">
        <f t="shared" si="863"/>
        <v>13179</v>
      </c>
      <c r="AM538" s="93">
        <f t="shared" si="863"/>
        <v>13179</v>
      </c>
      <c r="AN538" s="106">
        <f t="shared" si="863"/>
        <v>13179</v>
      </c>
      <c r="AO538" s="76">
        <f t="shared" si="863"/>
        <v>13179</v>
      </c>
      <c r="AP538" s="76">
        <f t="shared" si="863"/>
        <v>13179</v>
      </c>
      <c r="AQ538" s="107">
        <f t="shared" si="863"/>
        <v>13179</v>
      </c>
      <c r="AR538" s="93">
        <f t="shared" si="863"/>
        <v>13179</v>
      </c>
      <c r="AS538" s="106">
        <f t="shared" si="863"/>
        <v>13179</v>
      </c>
      <c r="AT538" s="76">
        <f t="shared" si="863"/>
        <v>13179</v>
      </c>
      <c r="AU538" s="76">
        <f t="shared" si="863"/>
        <v>13179</v>
      </c>
      <c r="AV538" s="107">
        <f t="shared" si="863"/>
        <v>11607</v>
      </c>
      <c r="AW538" s="93">
        <f t="shared" si="863"/>
        <v>11607</v>
      </c>
      <c r="AX538" s="106">
        <f>SUM(AX484,AX486,AX490,AX494,AX506,AX515,AX526,AX533,AX517)+AX535+AX536</f>
        <v>11607</v>
      </c>
      <c r="AY538" s="76">
        <f>SUM(AY484,AY486,AY490,AY494,AY506,AY515,AY526,AY533,AY517)+AY535+AY536</f>
        <v>11607</v>
      </c>
      <c r="AZ538" s="76">
        <f>SUM(AZ484,AZ486,AZ490,AZ494,AZ506,AZ515,AZ526,AZ533,AZ517)+AZ535+AZ536</f>
        <v>11607</v>
      </c>
      <c r="BA538" s="107">
        <f>SUM(BA484,BA486,BA490,BA494,BA506,BA515,BA526,BA533,BA517)+BA535+BA536</f>
        <v>11607</v>
      </c>
      <c r="BB538" s="93">
        <f>SUM(BB484,BB486,BB490,BB494,BB506,BB515,BB526,BB533,BB517)+BB535+BB536</f>
        <v>10307</v>
      </c>
      <c r="BC538" s="106">
        <f t="shared" ref="BC538:BL538" si="864">SUM(BC484,BC486,BC490,BC494,BC506,BC515,BC526,BC533,BC517)+BC535+BC536</f>
        <v>10307</v>
      </c>
      <c r="BD538" s="76">
        <f t="shared" si="864"/>
        <v>10307</v>
      </c>
      <c r="BE538" s="76">
        <f t="shared" si="864"/>
        <v>10307</v>
      </c>
      <c r="BF538" s="107">
        <f t="shared" si="864"/>
        <v>10307</v>
      </c>
      <c r="BG538" s="93">
        <f t="shared" si="864"/>
        <v>10307</v>
      </c>
      <c r="BH538" s="106">
        <f t="shared" si="864"/>
        <v>10307</v>
      </c>
      <c r="BI538" s="76">
        <f t="shared" si="864"/>
        <v>10307</v>
      </c>
      <c r="BJ538" s="76">
        <f t="shared" si="864"/>
        <v>10307</v>
      </c>
      <c r="BK538" s="107">
        <f t="shared" si="864"/>
        <v>10307</v>
      </c>
      <c r="BL538" s="93">
        <f t="shared" si="864"/>
        <v>10307</v>
      </c>
      <c r="BM538" s="106">
        <f t="shared" ref="BM538:BQ538" si="865">SUM(BM484,BM486,BM490,BM494,BM506,BM515,BM526,BM533,BM517)+BM535+BM536</f>
        <v>10307</v>
      </c>
      <c r="BN538" s="76">
        <f t="shared" si="865"/>
        <v>10307</v>
      </c>
      <c r="BO538" s="76">
        <f t="shared" si="865"/>
        <v>10307</v>
      </c>
      <c r="BP538" s="107">
        <f t="shared" si="865"/>
        <v>10307</v>
      </c>
      <c r="BQ538" s="93">
        <f t="shared" si="865"/>
        <v>10307</v>
      </c>
      <c r="BT538" s="29"/>
      <c r="CD538" s="15"/>
    </row>
    <row r="539" spans="1:117" s="29" customFormat="1">
      <c r="A539" s="328"/>
      <c r="B539" s="328"/>
      <c r="C539" s="1179"/>
      <c r="D539" s="138"/>
      <c r="E539" s="104"/>
      <c r="F539" s="77"/>
      <c r="G539" s="77"/>
      <c r="H539" s="102"/>
      <c r="I539" s="96"/>
      <c r="J539" s="104"/>
      <c r="K539" s="77"/>
      <c r="L539" s="77"/>
      <c r="M539" s="102"/>
      <c r="N539" s="96"/>
      <c r="O539" s="104"/>
      <c r="P539" s="77"/>
      <c r="Q539" s="77"/>
      <c r="R539" s="102"/>
      <c r="S539" s="96"/>
      <c r="T539" s="104"/>
      <c r="U539" s="77"/>
      <c r="V539" s="77"/>
      <c r="W539" s="102"/>
      <c r="X539" s="96"/>
      <c r="Y539" s="104"/>
      <c r="Z539" s="77"/>
      <c r="AA539" s="77"/>
      <c r="AB539" s="102"/>
      <c r="AC539" s="96"/>
      <c r="AD539" s="104"/>
      <c r="AE539" s="77"/>
      <c r="AF539" s="77"/>
      <c r="AG539" s="102"/>
      <c r="AH539" s="96"/>
      <c r="AI539" s="104"/>
      <c r="AJ539" s="77"/>
      <c r="AK539" s="77"/>
      <c r="AL539" s="102"/>
      <c r="AM539" s="96"/>
      <c r="AN539" s="104"/>
      <c r="AO539" s="77"/>
      <c r="AP539" s="77"/>
      <c r="AQ539" s="102"/>
      <c r="AR539" s="96"/>
      <c r="AS539" s="104"/>
      <c r="AT539" s="77"/>
      <c r="AU539" s="77"/>
      <c r="AV539" s="102"/>
      <c r="AW539" s="96"/>
      <c r="AX539" s="104"/>
      <c r="AY539" s="77"/>
      <c r="AZ539" s="77"/>
      <c r="BA539" s="102"/>
      <c r="BB539" s="96"/>
      <c r="BC539" s="104"/>
      <c r="BD539" s="77"/>
      <c r="BE539" s="77"/>
      <c r="BF539" s="102"/>
      <c r="BG539" s="96"/>
      <c r="BH539" s="104"/>
      <c r="BI539" s="77"/>
      <c r="BJ539" s="77"/>
      <c r="BK539" s="102"/>
      <c r="BL539" s="96"/>
      <c r="BM539" s="104"/>
      <c r="BN539" s="77"/>
      <c r="BO539" s="77"/>
      <c r="BP539" s="102"/>
      <c r="BQ539" s="96"/>
      <c r="BR539" s="1077"/>
      <c r="BS539" s="1077"/>
      <c r="BT539" s="15"/>
      <c r="BU539"/>
      <c r="BV539"/>
      <c r="BW539"/>
      <c r="BX539"/>
      <c r="BY539"/>
      <c r="BZ539"/>
      <c r="CD539" s="15"/>
    </row>
    <row r="540" spans="1:117" ht="13.5" customHeight="1">
      <c r="A540" s="139"/>
      <c r="B540" s="139"/>
      <c r="C540" s="1179"/>
      <c r="D540" s="12"/>
      <c r="E540" s="104"/>
      <c r="F540" s="77"/>
      <c r="G540" s="77"/>
      <c r="H540" s="102"/>
      <c r="I540" s="96"/>
      <c r="J540" s="104"/>
      <c r="K540" s="77"/>
      <c r="L540" s="77"/>
      <c r="M540" s="102"/>
      <c r="N540" s="96"/>
      <c r="O540" s="104"/>
      <c r="P540" s="77"/>
      <c r="Q540" s="77"/>
      <c r="R540" s="102"/>
      <c r="S540" s="96"/>
      <c r="T540" s="104"/>
      <c r="U540" s="77"/>
      <c r="V540" s="77"/>
      <c r="W540" s="102"/>
      <c r="X540" s="96"/>
      <c r="Y540" s="104"/>
      <c r="Z540" s="77"/>
      <c r="AA540" s="77"/>
      <c r="AB540" s="102"/>
      <c r="AC540" s="96"/>
      <c r="AD540" s="104"/>
      <c r="AE540" s="77"/>
      <c r="AF540" s="77"/>
      <c r="AG540" s="102"/>
      <c r="AH540" s="96"/>
      <c r="AI540" s="104"/>
      <c r="AJ540" s="77"/>
      <c r="AK540" s="77"/>
      <c r="AL540" s="102"/>
      <c r="AM540" s="96"/>
      <c r="AN540" s="104"/>
      <c r="AO540" s="77"/>
      <c r="AP540" s="77"/>
      <c r="AQ540" s="102"/>
      <c r="AR540" s="2246"/>
      <c r="AS540" s="104"/>
      <c r="AT540" s="77"/>
      <c r="AU540" s="77"/>
      <c r="AV540" s="102"/>
      <c r="AW540" s="2246"/>
      <c r="AX540" s="104"/>
      <c r="AY540" s="77"/>
      <c r="AZ540" s="77"/>
      <c r="BA540" s="102"/>
      <c r="BB540" s="96"/>
      <c r="BC540" s="104"/>
      <c r="BD540" s="77"/>
      <c r="BE540" s="77"/>
      <c r="BF540" s="102"/>
      <c r="BG540" s="96"/>
      <c r="BH540" s="104"/>
      <c r="BI540" s="77"/>
      <c r="BJ540" s="77"/>
      <c r="BK540" s="102"/>
      <c r="BL540" s="96"/>
      <c r="BM540" s="104"/>
      <c r="BN540" s="77"/>
      <c r="BO540" s="77"/>
      <c r="BP540" s="102"/>
      <c r="BQ540" s="96"/>
      <c r="BR540" s="1077"/>
      <c r="BS540" s="1077"/>
      <c r="BT540" s="15"/>
      <c r="BZ540" s="29"/>
      <c r="CA540" s="15"/>
      <c r="CB540" s="15"/>
      <c r="CC540" s="15"/>
      <c r="CD540" s="81"/>
      <c r="CE540" s="15"/>
      <c r="CF540" s="15"/>
    </row>
    <row r="541" spans="1:117">
      <c r="A541" s="139"/>
      <c r="B541" s="126" t="s">
        <v>272</v>
      </c>
      <c r="C541" s="1185"/>
      <c r="D541" s="11"/>
      <c r="E541" s="133"/>
      <c r="F541" s="134"/>
      <c r="G541" s="134"/>
      <c r="H541" s="135"/>
      <c r="I541" s="233"/>
      <c r="J541" s="133"/>
      <c r="K541" s="134"/>
      <c r="L541" s="134"/>
      <c r="M541" s="135"/>
      <c r="N541" s="233"/>
      <c r="O541" s="133"/>
      <c r="P541" s="134"/>
      <c r="Q541" s="134"/>
      <c r="R541" s="135"/>
      <c r="S541" s="233"/>
      <c r="T541" s="133"/>
      <c r="U541" s="134"/>
      <c r="V541" s="134"/>
      <c r="W541" s="135"/>
      <c r="X541" s="233"/>
      <c r="Y541" s="133"/>
      <c r="Z541" s="134"/>
      <c r="AA541" s="134"/>
      <c r="AB541" s="135"/>
      <c r="AC541" s="233"/>
      <c r="AD541" s="133"/>
      <c r="AE541" s="134"/>
      <c r="AF541" s="134"/>
      <c r="AG541" s="135"/>
      <c r="AH541" s="233"/>
      <c r="AI541" s="133"/>
      <c r="AJ541" s="134"/>
      <c r="AK541" s="134"/>
      <c r="AL541" s="135"/>
      <c r="AM541" s="233"/>
      <c r="AN541" s="133"/>
      <c r="AO541" s="134"/>
      <c r="AP541" s="134"/>
      <c r="AQ541" s="135"/>
      <c r="AR541" s="233"/>
      <c r="AS541" s="133"/>
      <c r="AT541" s="134"/>
      <c r="AU541" s="134"/>
      <c r="AV541" s="135"/>
      <c r="AW541" s="233"/>
      <c r="AX541" s="133"/>
      <c r="AY541" s="134"/>
      <c r="AZ541" s="134"/>
      <c r="BA541" s="135"/>
      <c r="BB541" s="233"/>
      <c r="BC541" s="133"/>
      <c r="BD541" s="134"/>
      <c r="BE541" s="134"/>
      <c r="BF541" s="135"/>
      <c r="BG541" s="233"/>
      <c r="BH541" s="133"/>
      <c r="BI541" s="134"/>
      <c r="BJ541" s="134"/>
      <c r="BK541" s="135"/>
      <c r="BL541" s="233"/>
      <c r="BM541" s="133"/>
      <c r="BN541" s="134"/>
      <c r="BO541" s="134"/>
      <c r="BP541" s="135"/>
      <c r="BQ541" s="233"/>
      <c r="BR541" s="177"/>
      <c r="BS541" s="177"/>
      <c r="BT541" s="81"/>
      <c r="BZ541" s="15"/>
      <c r="CA541" s="15"/>
      <c r="CB541" s="15"/>
      <c r="CC541" s="15"/>
      <c r="CD541" s="81"/>
      <c r="CE541" s="15"/>
      <c r="CF541" s="15"/>
    </row>
    <row r="542" spans="1:117" s="81" customFormat="1">
      <c r="A542" s="202"/>
      <c r="B542" s="96"/>
      <c r="C542" s="1179" t="s">
        <v>914</v>
      </c>
      <c r="E542" s="309"/>
      <c r="F542" s="310"/>
      <c r="G542" s="310"/>
      <c r="H542" s="311"/>
      <c r="I542" s="285">
        <f t="shared" ref="I542:AP542" si="866">I12</f>
        <v>1332</v>
      </c>
      <c r="J542" s="309">
        <f t="shared" si="866"/>
        <v>352</v>
      </c>
      <c r="K542" s="310">
        <f t="shared" si="866"/>
        <v>340</v>
      </c>
      <c r="L542" s="310">
        <f t="shared" si="866"/>
        <v>345</v>
      </c>
      <c r="M542" s="311">
        <f t="shared" si="866"/>
        <v>356</v>
      </c>
      <c r="N542" s="285">
        <f t="shared" si="866"/>
        <v>1393</v>
      </c>
      <c r="O542" s="309">
        <f t="shared" si="866"/>
        <v>631</v>
      </c>
      <c r="P542" s="310">
        <f t="shared" si="866"/>
        <v>625</v>
      </c>
      <c r="Q542" s="310">
        <f t="shared" si="866"/>
        <v>533</v>
      </c>
      <c r="R542" s="311">
        <f t="shared" si="866"/>
        <v>467</v>
      </c>
      <c r="S542" s="285">
        <f t="shared" si="866"/>
        <v>2256</v>
      </c>
      <c r="T542" s="316">
        <f t="shared" si="866"/>
        <v>409</v>
      </c>
      <c r="U542" s="312">
        <f t="shared" si="866"/>
        <v>513</v>
      </c>
      <c r="V542" s="312">
        <f t="shared" si="866"/>
        <v>470</v>
      </c>
      <c r="W542" s="311">
        <f t="shared" si="866"/>
        <v>457</v>
      </c>
      <c r="X542" s="285">
        <f t="shared" si="866"/>
        <v>1849</v>
      </c>
      <c r="Y542" s="316">
        <f t="shared" si="866"/>
        <v>529</v>
      </c>
      <c r="Z542" s="312">
        <f t="shared" si="866"/>
        <v>534</v>
      </c>
      <c r="AA542" s="312">
        <f t="shared" si="866"/>
        <v>457</v>
      </c>
      <c r="AB542" s="311">
        <f t="shared" si="866"/>
        <v>487</v>
      </c>
      <c r="AC542" s="285">
        <f t="shared" si="866"/>
        <v>2007</v>
      </c>
      <c r="AD542" s="316">
        <f t="shared" si="866"/>
        <v>609</v>
      </c>
      <c r="AE542" s="312">
        <f t="shared" si="866"/>
        <v>584</v>
      </c>
      <c r="AF542" s="312">
        <f t="shared" si="866"/>
        <v>432</v>
      </c>
      <c r="AG542" s="311">
        <f t="shared" si="866"/>
        <v>450</v>
      </c>
      <c r="AH542" s="285">
        <f t="shared" si="866"/>
        <v>2075</v>
      </c>
      <c r="AI542" s="316">
        <f t="shared" si="866"/>
        <v>519</v>
      </c>
      <c r="AJ542" s="312">
        <f t="shared" si="866"/>
        <v>427</v>
      </c>
      <c r="AK542" s="312">
        <f t="shared" si="866"/>
        <v>336</v>
      </c>
      <c r="AL542" s="311">
        <f t="shared" si="866"/>
        <v>388</v>
      </c>
      <c r="AM542" s="285">
        <f t="shared" si="866"/>
        <v>1670</v>
      </c>
      <c r="AN542" s="316">
        <f t="shared" si="866"/>
        <v>321</v>
      </c>
      <c r="AO542" s="312">
        <f t="shared" si="866"/>
        <v>432</v>
      </c>
      <c r="AP542" s="312">
        <f t="shared" si="866"/>
        <v>367</v>
      </c>
      <c r="AQ542" s="311">
        <f t="shared" ref="AQ542:AU542" si="867">AQ12</f>
        <v>406</v>
      </c>
      <c r="AR542" s="285">
        <f t="shared" si="867"/>
        <v>1526</v>
      </c>
      <c r="AS542" s="316">
        <f t="shared" si="867"/>
        <v>564</v>
      </c>
      <c r="AT542" s="312">
        <f t="shared" si="867"/>
        <v>349</v>
      </c>
      <c r="AU542" s="312">
        <f t="shared" si="867"/>
        <v>324</v>
      </c>
      <c r="AV542" s="311">
        <f t="shared" ref="AV542:AW542" si="868">AV12</f>
        <v>540</v>
      </c>
      <c r="AW542" s="285">
        <f t="shared" si="868"/>
        <v>1777</v>
      </c>
      <c r="AX542" s="316">
        <f>+AX544+AX543</f>
        <v>313.495</v>
      </c>
      <c r="AY542" s="312">
        <f>+AY544+AY543</f>
        <v>313.495</v>
      </c>
      <c r="AZ542" s="312">
        <f>+AZ544+AZ543</f>
        <v>313.495</v>
      </c>
      <c r="BA542" s="317">
        <f>+BA544+BA543</f>
        <v>313.495</v>
      </c>
      <c r="BB542" s="285">
        <f>SUM(AX542:BA542)</f>
        <v>1253.98</v>
      </c>
      <c r="BC542" s="316">
        <f>+BC544+BC543</f>
        <v>302.245</v>
      </c>
      <c r="BD542" s="312">
        <f>+BD544+BD543</f>
        <v>302.245</v>
      </c>
      <c r="BE542" s="312">
        <f>+BE544+BE543</f>
        <v>302.245</v>
      </c>
      <c r="BF542" s="317">
        <f>+BF544+BF543</f>
        <v>302.245</v>
      </c>
      <c r="BG542" s="285">
        <f>SUM(BC542:BF542)</f>
        <v>1208.98</v>
      </c>
      <c r="BH542" s="316">
        <f>+BH544+BH543</f>
        <v>302.245</v>
      </c>
      <c r="BI542" s="312">
        <f>+BI544+BI543</f>
        <v>302.245</v>
      </c>
      <c r="BJ542" s="312">
        <f>+BJ544+BJ543</f>
        <v>302.245</v>
      </c>
      <c r="BK542" s="317">
        <f>+BK544+BK543</f>
        <v>302.245</v>
      </c>
      <c r="BL542" s="285">
        <f>SUM(BH542:BK542)</f>
        <v>1208.98</v>
      </c>
      <c r="BM542" s="316">
        <f>+BM544+BM543</f>
        <v>302.245</v>
      </c>
      <c r="BN542" s="312">
        <f>+BN544+BN543</f>
        <v>302.245</v>
      </c>
      <c r="BO542" s="312">
        <f>+BO544+BO543</f>
        <v>302.245</v>
      </c>
      <c r="BP542" s="317">
        <f>+BP544+BP543</f>
        <v>302.245</v>
      </c>
      <c r="BQ542" s="285">
        <f>SUM(BM542:BP542)</f>
        <v>1208.98</v>
      </c>
      <c r="BR542" s="221"/>
      <c r="BS542" s="221"/>
      <c r="BU542" s="15"/>
      <c r="BV542" s="15"/>
      <c r="BW542" s="15"/>
      <c r="BX542" s="15"/>
      <c r="BY542" s="15"/>
      <c r="BZ542" s="15"/>
      <c r="CD542" s="93"/>
    </row>
    <row r="543" spans="1:117" s="81" customFormat="1">
      <c r="A543" s="202"/>
      <c r="B543" s="96"/>
      <c r="C543" s="1179" t="s">
        <v>915</v>
      </c>
      <c r="D543" s="96"/>
      <c r="E543" s="112"/>
      <c r="F543" s="78"/>
      <c r="G543" s="1118"/>
      <c r="H543" s="111"/>
      <c r="I543" s="891">
        <v>0</v>
      </c>
      <c r="J543" s="101">
        <v>4</v>
      </c>
      <c r="K543" s="75">
        <f>2</f>
        <v>2</v>
      </c>
      <c r="L543" s="75">
        <v>4</v>
      </c>
      <c r="M543" s="102">
        <f>N543-SUM(J543:L543)</f>
        <v>9</v>
      </c>
      <c r="N543" s="103">
        <v>19</v>
      </c>
      <c r="O543" s="101">
        <f>77+14+12</f>
        <v>103</v>
      </c>
      <c r="P543" s="75">
        <f>8+7+20+14</f>
        <v>49</v>
      </c>
      <c r="Q543" s="302">
        <f>2+6+7</f>
        <v>15</v>
      </c>
      <c r="R543" s="102">
        <f>S543-SUM(O543:Q543)</f>
        <v>3</v>
      </c>
      <c r="S543" s="103">
        <f>94+2+14+60</f>
        <v>170</v>
      </c>
      <c r="T543" s="101">
        <f>1-39+40</f>
        <v>2</v>
      </c>
      <c r="U543" s="75">
        <v>1</v>
      </c>
      <c r="V543" s="75">
        <f>19-9</f>
        <v>10</v>
      </c>
      <c r="W543" s="102">
        <f>X543-SUM(T543:V543)</f>
        <v>2</v>
      </c>
      <c r="X543" s="300">
        <f>3-75+6+81</f>
        <v>15</v>
      </c>
      <c r="Y543" s="301">
        <f>16+4-1+2</f>
        <v>21</v>
      </c>
      <c r="Z543" s="75">
        <f>2-1+15</f>
        <v>16</v>
      </c>
      <c r="AA543" s="75">
        <f>-5-1-5</f>
        <v>-11</v>
      </c>
      <c r="AB543" s="102">
        <f>AC543-SUM(Y543:AA543)</f>
        <v>39</v>
      </c>
      <c r="AC543" s="300">
        <f>1+24+1+5+34</f>
        <v>65</v>
      </c>
      <c r="AD543" s="301">
        <v>-7</v>
      </c>
      <c r="AE543" s="75">
        <v>121</v>
      </c>
      <c r="AF543" s="75">
        <v>36</v>
      </c>
      <c r="AG543" s="102">
        <f>AH543-SUM(AD543:AF543)</f>
        <v>24</v>
      </c>
      <c r="AH543" s="300">
        <f>4+26+70+74</f>
        <v>174</v>
      </c>
      <c r="AI543" s="301">
        <v>11</v>
      </c>
      <c r="AJ543" s="75">
        <f>6-9+16+4</f>
        <v>17</v>
      </c>
      <c r="AK543" s="75">
        <f>4+4-57</f>
        <v>-49</v>
      </c>
      <c r="AL543" s="102">
        <f>AM543-SUM(AI543:AK543)</f>
        <v>-11</v>
      </c>
      <c r="AM543" s="300">
        <v>-32</v>
      </c>
      <c r="AN543" s="301">
        <v>-64</v>
      </c>
      <c r="AO543" s="75">
        <v>70</v>
      </c>
      <c r="AP543" s="75">
        <v>16</v>
      </c>
      <c r="AQ543" s="102">
        <f>AR543-SUM(AN543:AP543)</f>
        <v>-13</v>
      </c>
      <c r="AR543" s="300">
        <v>9</v>
      </c>
      <c r="AS543" s="301">
        <f>47+164</f>
        <v>211</v>
      </c>
      <c r="AT543" s="75">
        <v>6</v>
      </c>
      <c r="AU543" s="75">
        <v>10</v>
      </c>
      <c r="AV543" s="102">
        <f>AW543-SUM(AS543:AU543)</f>
        <v>172</v>
      </c>
      <c r="AW543" s="300">
        <v>399</v>
      </c>
      <c r="AX543" s="112">
        <v>0</v>
      </c>
      <c r="AY543" s="78">
        <v>0</v>
      </c>
      <c r="AZ543" s="78">
        <v>0</v>
      </c>
      <c r="BA543" s="111">
        <v>0</v>
      </c>
      <c r="BB543" s="96">
        <f>SUM(AX543:BA543)</f>
        <v>0</v>
      </c>
      <c r="BC543" s="112">
        <v>0</v>
      </c>
      <c r="BD543" s="78">
        <v>0</v>
      </c>
      <c r="BE543" s="78">
        <v>0</v>
      </c>
      <c r="BF543" s="111">
        <v>0</v>
      </c>
      <c r="BG543" s="96">
        <f>SUM(BC543:BF543)</f>
        <v>0</v>
      </c>
      <c r="BH543" s="112">
        <v>0</v>
      </c>
      <c r="BI543" s="78">
        <v>0</v>
      </c>
      <c r="BJ543" s="78">
        <v>0</v>
      </c>
      <c r="BK543" s="111">
        <v>0</v>
      </c>
      <c r="BL543" s="96">
        <f>SUM(BH543:BK543)</f>
        <v>0</v>
      </c>
      <c r="BM543" s="112">
        <v>0</v>
      </c>
      <c r="BN543" s="78">
        <v>0</v>
      </c>
      <c r="BO543" s="78">
        <v>0</v>
      </c>
      <c r="BP543" s="111">
        <v>0</v>
      </c>
      <c r="BQ543" s="96">
        <f>SUM(BM543:BP543)</f>
        <v>0</v>
      </c>
      <c r="BR543" s="221"/>
      <c r="BS543" s="221"/>
      <c r="BT543" s="93"/>
      <c r="CD543" s="746"/>
    </row>
    <row r="544" spans="1:117" s="13" customFormat="1">
      <c r="A544" s="93"/>
      <c r="B544" s="93"/>
      <c r="C544" s="1186" t="s">
        <v>922</v>
      </c>
      <c r="D544" s="93"/>
      <c r="E544" s="106"/>
      <c r="F544" s="76"/>
      <c r="G544" s="76"/>
      <c r="H544" s="107"/>
      <c r="I544" s="93">
        <f>+I542-I543</f>
        <v>1332</v>
      </c>
      <c r="J544" s="106">
        <f>+J542-J543</f>
        <v>348</v>
      </c>
      <c r="K544" s="76">
        <f>+K542-K543</f>
        <v>338</v>
      </c>
      <c r="L544" s="76">
        <f>+L542-L543</f>
        <v>341</v>
      </c>
      <c r="M544" s="107">
        <f>+M542-M543</f>
        <v>347</v>
      </c>
      <c r="N544" s="93">
        <f>+SUM(J544:M544)</f>
        <v>1374</v>
      </c>
      <c r="O544" s="106">
        <f t="shared" ref="O544:AA544" si="869">+O542-O543</f>
        <v>528</v>
      </c>
      <c r="P544" s="76">
        <f t="shared" si="869"/>
        <v>576</v>
      </c>
      <c r="Q544" s="76">
        <f t="shared" si="869"/>
        <v>518</v>
      </c>
      <c r="R544" s="107">
        <f t="shared" si="869"/>
        <v>464</v>
      </c>
      <c r="S544" s="93">
        <f t="shared" si="869"/>
        <v>2086</v>
      </c>
      <c r="T544" s="106">
        <f t="shared" si="869"/>
        <v>407</v>
      </c>
      <c r="U544" s="76">
        <f t="shared" si="869"/>
        <v>512</v>
      </c>
      <c r="V544" s="76">
        <f t="shared" si="869"/>
        <v>460</v>
      </c>
      <c r="W544" s="107">
        <f t="shared" si="869"/>
        <v>455</v>
      </c>
      <c r="X544" s="93">
        <f t="shared" si="869"/>
        <v>1834</v>
      </c>
      <c r="Y544" s="106">
        <f t="shared" si="869"/>
        <v>508</v>
      </c>
      <c r="Z544" s="76">
        <f t="shared" si="869"/>
        <v>518</v>
      </c>
      <c r="AA544" s="76">
        <f t="shared" si="869"/>
        <v>468</v>
      </c>
      <c r="AB544" s="107">
        <f t="shared" ref="AB544:AH544" si="870">+AB542-AB543</f>
        <v>448</v>
      </c>
      <c r="AC544" s="93">
        <f t="shared" si="870"/>
        <v>1942</v>
      </c>
      <c r="AD544" s="106">
        <f t="shared" si="870"/>
        <v>616</v>
      </c>
      <c r="AE544" s="76">
        <f t="shared" si="870"/>
        <v>463</v>
      </c>
      <c r="AF544" s="76">
        <f>+AF542-AF543</f>
        <v>396</v>
      </c>
      <c r="AG544" s="107">
        <f>+AG542-AG543</f>
        <v>426</v>
      </c>
      <c r="AH544" s="93">
        <f t="shared" si="870"/>
        <v>1901</v>
      </c>
      <c r="AI544" s="106">
        <f>+AI542-AI543</f>
        <v>508</v>
      </c>
      <c r="AJ544" s="76">
        <f>+AJ542-AJ543</f>
        <v>410</v>
      </c>
      <c r="AK544" s="76">
        <f>+AK542-AK543</f>
        <v>385</v>
      </c>
      <c r="AL544" s="107">
        <f>+AL542-AL543</f>
        <v>399</v>
      </c>
      <c r="AM544" s="93">
        <f t="shared" ref="AM544" si="871">+AM542-AM543</f>
        <v>1702</v>
      </c>
      <c r="AN544" s="106">
        <f>+AN542-AN543</f>
        <v>385</v>
      </c>
      <c r="AO544" s="76">
        <f>+AO542-AO543</f>
        <v>362</v>
      </c>
      <c r="AP544" s="76">
        <f>+AP542-AP543</f>
        <v>351</v>
      </c>
      <c r="AQ544" s="107">
        <f>+AQ542-AQ543</f>
        <v>419</v>
      </c>
      <c r="AR544" s="93">
        <f t="shared" ref="AR544" si="872">+AR542-AR543</f>
        <v>1517</v>
      </c>
      <c r="AS544" s="106">
        <f>+AS542-AS543</f>
        <v>353</v>
      </c>
      <c r="AT544" s="76">
        <f>+AT542-AT543</f>
        <v>343</v>
      </c>
      <c r="AU544" s="76">
        <f>+AU542-AU543</f>
        <v>314</v>
      </c>
      <c r="AV544" s="107">
        <f>+AV542-AV543</f>
        <v>368</v>
      </c>
      <c r="AW544" s="93">
        <f t="shared" ref="AW544" si="873">+AW542-AW543</f>
        <v>1378</v>
      </c>
      <c r="AX544" s="1897">
        <f>+BB544/4</f>
        <v>313.495</v>
      </c>
      <c r="AY544" s="1894">
        <f>+BB544/4</f>
        <v>313.495</v>
      </c>
      <c r="AZ544" s="1894">
        <f>+BB544/4</f>
        <v>313.495</v>
      </c>
      <c r="BA544" s="1895">
        <f>+BB544/4</f>
        <v>313.495</v>
      </c>
      <c r="BB544" s="308">
        <f>AW544*(1+BB545)+BB546</f>
        <v>1253.98</v>
      </c>
      <c r="BC544" s="1897">
        <f>+BG544/4</f>
        <v>302.245</v>
      </c>
      <c r="BD544" s="1894">
        <f>+BG544/4</f>
        <v>302.245</v>
      </c>
      <c r="BE544" s="1894">
        <f>+BG544/4</f>
        <v>302.245</v>
      </c>
      <c r="BF544" s="1895">
        <f>+BG544/4</f>
        <v>302.245</v>
      </c>
      <c r="BG544" s="308">
        <f>BB544*(1+BG545)+BG546</f>
        <v>1208.98</v>
      </c>
      <c r="BH544" s="106">
        <f>(BC544)*(1+BH545)</f>
        <v>302.245</v>
      </c>
      <c r="BI544" s="76">
        <f>(BD544)*(1+BI545)</f>
        <v>302.245</v>
      </c>
      <c r="BJ544" s="76">
        <f>(BE544)*(1+BJ545)</f>
        <v>302.245</v>
      </c>
      <c r="BK544" s="107">
        <f>(BF544)*(1+BK545)</f>
        <v>302.245</v>
      </c>
      <c r="BL544" s="308">
        <f>SUM(BH544:BK544)+BL546</f>
        <v>1208.98</v>
      </c>
      <c r="BM544" s="106">
        <f>(BH544)*(1+BM545)</f>
        <v>302.245</v>
      </c>
      <c r="BN544" s="76">
        <f>(BI544)*(1+BN545)</f>
        <v>302.245</v>
      </c>
      <c r="BO544" s="76">
        <f>(BJ544)*(1+BO545)</f>
        <v>302.245</v>
      </c>
      <c r="BP544" s="107">
        <f>(BK544)*(1+BP545)</f>
        <v>302.245</v>
      </c>
      <c r="BQ544" s="308">
        <f>SUM(BM544:BP544)+BQ546</f>
        <v>1208.98</v>
      </c>
      <c r="BR544" s="93"/>
      <c r="BS544" s="1288"/>
      <c r="BT544" s="746"/>
      <c r="BU544" s="81"/>
      <c r="BV544" s="81"/>
      <c r="BW544" s="81"/>
      <c r="BX544" s="81"/>
      <c r="BY544" s="81"/>
      <c r="BZ544" s="81"/>
      <c r="CA544" s="93"/>
      <c r="CB544" s="93"/>
      <c r="CC544" s="93"/>
      <c r="CD544" s="746"/>
      <c r="CE544" s="93"/>
      <c r="CF544" s="93"/>
      <c r="CG544" s="93"/>
      <c r="CH544" s="93"/>
      <c r="CI544" s="93"/>
      <c r="CJ544" s="93"/>
      <c r="CK544" s="93"/>
      <c r="CL544" s="93"/>
      <c r="CM544" s="93"/>
      <c r="CN544" s="93"/>
      <c r="CO544" s="93"/>
      <c r="CP544" s="93"/>
      <c r="CQ544" s="93"/>
      <c r="CR544" s="93"/>
      <c r="CS544" s="93"/>
      <c r="CT544" s="93"/>
      <c r="CU544" s="93"/>
      <c r="CV544" s="93"/>
      <c r="CW544" s="93"/>
      <c r="CX544" s="93"/>
      <c r="CY544" s="93"/>
      <c r="CZ544" s="93"/>
      <c r="DA544" s="93"/>
      <c r="DB544" s="93"/>
      <c r="DC544" s="93"/>
      <c r="DD544" s="93"/>
      <c r="DE544" s="93"/>
      <c r="DF544" s="93"/>
      <c r="DG544" s="93"/>
      <c r="DH544" s="93"/>
      <c r="DI544" s="93"/>
      <c r="DJ544" s="93"/>
      <c r="DK544" s="93"/>
      <c r="DL544" s="93"/>
      <c r="DM544" s="93"/>
    </row>
    <row r="545" spans="1:84" s="746" customFormat="1">
      <c r="A545" s="201"/>
      <c r="B545" s="672"/>
      <c r="C545" s="1194" t="s">
        <v>923</v>
      </c>
      <c r="E545" s="674"/>
      <c r="F545" s="675"/>
      <c r="G545" s="675"/>
      <c r="H545" s="676"/>
      <c r="I545" s="677"/>
      <c r="J545" s="674"/>
      <c r="K545" s="675"/>
      <c r="L545" s="675"/>
      <c r="M545" s="676"/>
      <c r="N545" s="677"/>
      <c r="O545" s="141">
        <f t="shared" ref="O545:V545" si="874">O544/J544-1</f>
        <v>0.51724137931034475</v>
      </c>
      <c r="P545" s="84">
        <f t="shared" si="874"/>
        <v>0.70414201183431957</v>
      </c>
      <c r="Q545" s="84">
        <f t="shared" si="874"/>
        <v>0.51906158357771259</v>
      </c>
      <c r="R545" s="142">
        <f t="shared" si="874"/>
        <v>0.33717579250720453</v>
      </c>
      <c r="S545" s="498">
        <f t="shared" si="874"/>
        <v>0.5181950509461426</v>
      </c>
      <c r="T545" s="141">
        <f t="shared" si="874"/>
        <v>-0.22916666666666663</v>
      </c>
      <c r="U545" s="84">
        <f t="shared" si="874"/>
        <v>-0.11111111111111116</v>
      </c>
      <c r="V545" s="84">
        <f t="shared" si="874"/>
        <v>-0.11196911196911197</v>
      </c>
      <c r="W545" s="142">
        <f t="shared" ref="W545:AB545" si="875">W544/R544-1</f>
        <v>-1.93965517241379E-2</v>
      </c>
      <c r="X545" s="498">
        <f t="shared" si="875"/>
        <v>-0.12080536912751683</v>
      </c>
      <c r="Y545" s="141">
        <f t="shared" si="875"/>
        <v>0.24815724815724827</v>
      </c>
      <c r="Z545" s="697">
        <f t="shared" si="875"/>
        <v>1.171875E-2</v>
      </c>
      <c r="AA545" s="697">
        <f t="shared" si="875"/>
        <v>1.7391304347825987E-2</v>
      </c>
      <c r="AB545" s="689">
        <f t="shared" si="875"/>
        <v>-1.538461538461533E-2</v>
      </c>
      <c r="AC545" s="808">
        <f t="shared" ref="AC545:AK545" si="876">AC544/X544-1</f>
        <v>5.8887677208287803E-2</v>
      </c>
      <c r="AD545" s="1747">
        <f t="shared" si="876"/>
        <v>0.21259842519685046</v>
      </c>
      <c r="AE545" s="1748">
        <f t="shared" si="876"/>
        <v>-0.10617760617760619</v>
      </c>
      <c r="AF545" s="1748">
        <f t="shared" si="876"/>
        <v>-0.15384615384615385</v>
      </c>
      <c r="AG545" s="689">
        <f t="shared" si="876"/>
        <v>-4.9107142857142905E-2</v>
      </c>
      <c r="AH545" s="808">
        <f t="shared" si="876"/>
        <v>-2.1112255406797065E-2</v>
      </c>
      <c r="AI545" s="1747">
        <f t="shared" si="876"/>
        <v>-0.17532467532467533</v>
      </c>
      <c r="AJ545" s="1748">
        <f t="shared" si="876"/>
        <v>-0.1144708423326134</v>
      </c>
      <c r="AK545" s="1748">
        <f t="shared" si="876"/>
        <v>-2.777777777777779E-2</v>
      </c>
      <c r="AL545" s="689">
        <f t="shared" ref="AL545" si="877">AL544/AG544-1</f>
        <v>-6.3380281690140872E-2</v>
      </c>
      <c r="AM545" s="808">
        <f t="shared" ref="AM545:AP545" si="878">AM544/AH544-1</f>
        <v>-0.10468174644923722</v>
      </c>
      <c r="AN545" s="1747">
        <f t="shared" si="878"/>
        <v>-0.24212598425196852</v>
      </c>
      <c r="AO545" s="1748">
        <f t="shared" si="878"/>
        <v>-0.11707317073170731</v>
      </c>
      <c r="AP545" s="1748">
        <f t="shared" si="878"/>
        <v>-8.8311688311688341E-2</v>
      </c>
      <c r="AQ545" s="689">
        <f t="shared" ref="AQ545" si="879">AQ544/AL544-1</f>
        <v>5.0125313283208017E-2</v>
      </c>
      <c r="AR545" s="808">
        <f t="shared" ref="AR545:AU545" si="880">AR544/AM544-1</f>
        <v>-0.10869565217391308</v>
      </c>
      <c r="AS545" s="1747">
        <f t="shared" si="880"/>
        <v>-8.3116883116883145E-2</v>
      </c>
      <c r="AT545" s="1748">
        <f t="shared" si="880"/>
        <v>-5.24861878453039E-2</v>
      </c>
      <c r="AU545" s="1748">
        <f t="shared" si="880"/>
        <v>-0.10541310541310545</v>
      </c>
      <c r="AV545" s="689">
        <f t="shared" ref="AV545" si="881">AV544/AQ544-1</f>
        <v>-0.12171837708830546</v>
      </c>
      <c r="AW545" s="808">
        <f t="shared" ref="AW545" si="882">AW544/AR544-1</f>
        <v>-9.1628213579433071E-2</v>
      </c>
      <c r="AX545" s="141">
        <f>AY545</f>
        <v>-0.09</v>
      </c>
      <c r="AY545" s="84">
        <f>AZ545</f>
        <v>-0.09</v>
      </c>
      <c r="AZ545" s="84">
        <f>BA545</f>
        <v>-0.09</v>
      </c>
      <c r="BA545" s="142">
        <f>BB545</f>
        <v>-0.09</v>
      </c>
      <c r="BB545" s="2244">
        <v>-0.09</v>
      </c>
      <c r="BC545" s="141">
        <f>BD545</f>
        <v>0</v>
      </c>
      <c r="BD545" s="84">
        <f>BE545</f>
        <v>0</v>
      </c>
      <c r="BE545" s="84">
        <f>BF545</f>
        <v>0</v>
      </c>
      <c r="BF545" s="142">
        <f>BG545</f>
        <v>0</v>
      </c>
      <c r="BG545" s="502">
        <v>0</v>
      </c>
      <c r="BH545" s="141">
        <f>BI545</f>
        <v>0</v>
      </c>
      <c r="BI545" s="84">
        <f>BJ545</f>
        <v>0</v>
      </c>
      <c r="BJ545" s="84">
        <f>BK545</f>
        <v>0</v>
      </c>
      <c r="BK545" s="142">
        <f>BL545</f>
        <v>0</v>
      </c>
      <c r="BL545" s="502">
        <v>0</v>
      </c>
      <c r="BM545" s="141">
        <f>BN545</f>
        <v>0</v>
      </c>
      <c r="BN545" s="84">
        <f>BO545</f>
        <v>0</v>
      </c>
      <c r="BO545" s="84">
        <f>BP545</f>
        <v>0</v>
      </c>
      <c r="BP545" s="142">
        <f>BQ545</f>
        <v>0</v>
      </c>
      <c r="BQ545" s="502">
        <v>0</v>
      </c>
      <c r="BR545" s="673"/>
      <c r="BS545" s="673"/>
      <c r="BU545" s="60"/>
      <c r="BV545" s="60"/>
      <c r="BW545" s="93"/>
      <c r="BX545" s="93"/>
      <c r="BY545" s="93"/>
      <c r="BZ545" s="93"/>
      <c r="CD545" s="81"/>
    </row>
    <row r="546" spans="1:84" s="746" customFormat="1">
      <c r="A546" s="201"/>
      <c r="B546" s="672"/>
      <c r="C546" s="1194" t="s">
        <v>1024</v>
      </c>
      <c r="E546" s="674"/>
      <c r="F546" s="675"/>
      <c r="G546" s="675"/>
      <c r="H546" s="676"/>
      <c r="I546" s="677"/>
      <c r="J546" s="674"/>
      <c r="K546" s="675"/>
      <c r="L546" s="675"/>
      <c r="M546" s="676"/>
      <c r="N546" s="677"/>
      <c r="O546" s="141"/>
      <c r="P546" s="84"/>
      <c r="Q546" s="84"/>
      <c r="R546" s="142"/>
      <c r="S546" s="498"/>
      <c r="T546" s="141"/>
      <c r="U546" s="84"/>
      <c r="V546" s="84"/>
      <c r="W546" s="142"/>
      <c r="X546" s="498"/>
      <c r="Y546" s="141"/>
      <c r="Z546" s="697"/>
      <c r="AA546" s="697"/>
      <c r="AB546" s="689"/>
      <c r="AC546" s="808"/>
      <c r="AD546" s="1747"/>
      <c r="AE546" s="1748"/>
      <c r="AF546" s="1748"/>
      <c r="AG546" s="689"/>
      <c r="AH546" s="808"/>
      <c r="AI546" s="1962">
        <f>AM546/4</f>
        <v>0</v>
      </c>
      <c r="AJ546" s="297">
        <f>(AM546-AI546)/3</f>
        <v>0</v>
      </c>
      <c r="AK546" s="297">
        <f>(AM546-SUM(AI546:AJ546))/2</f>
        <v>0</v>
      </c>
      <c r="AL546" s="290">
        <f>AM546-SUM(AI546:AK546)</f>
        <v>0</v>
      </c>
      <c r="AM546" s="1917">
        <v>0</v>
      </c>
      <c r="AN546" s="1962">
        <f>AR546/4</f>
        <v>0</v>
      </c>
      <c r="AO546" s="297">
        <f>(AR546-AN546)/3</f>
        <v>0</v>
      </c>
      <c r="AP546" s="297">
        <f>(AR546-SUM(AN546:AO546))/2</f>
        <v>0</v>
      </c>
      <c r="AQ546" s="290">
        <f>AR546-SUM(AN546:AP546)</f>
        <v>0</v>
      </c>
      <c r="AR546" s="1917">
        <v>0</v>
      </c>
      <c r="AS546" s="1962">
        <f>AW546/4</f>
        <v>0</v>
      </c>
      <c r="AT546" s="297">
        <f>(AW546-AS546)/3</f>
        <v>0</v>
      </c>
      <c r="AU546" s="297">
        <f>(AW546-SUM(AS546:AT546))/2</f>
        <v>0</v>
      </c>
      <c r="AV546" s="290">
        <f>AW546-SUM(AS546:AU546)</f>
        <v>0</v>
      </c>
      <c r="AW546" s="1917">
        <v>0</v>
      </c>
      <c r="AX546" s="1962">
        <f>BB546/4</f>
        <v>0</v>
      </c>
      <c r="AY546" s="297">
        <f>(BB546-AX546)/3</f>
        <v>0</v>
      </c>
      <c r="AZ546" s="297">
        <f>(BB546-SUM(AX546:AY546))/2</f>
        <v>0</v>
      </c>
      <c r="BA546" s="290">
        <f>BB546-SUM(AX546:AZ546)</f>
        <v>0</v>
      </c>
      <c r="BB546" s="1917">
        <v>0</v>
      </c>
      <c r="BC546" s="1962">
        <f>BG546/4</f>
        <v>-11.25</v>
      </c>
      <c r="BD546" s="297">
        <f>(BG546-BC546)/3</f>
        <v>-11.25</v>
      </c>
      <c r="BE546" s="297">
        <f>(BG546-SUM(BC546:BD546))/2</f>
        <v>-11.25</v>
      </c>
      <c r="BF546" s="290">
        <f>BG546-SUM(BC546:BE546)</f>
        <v>-11.25</v>
      </c>
      <c r="BG546" s="1917">
        <v>-45</v>
      </c>
      <c r="BH546" s="1962">
        <f>BL546/4</f>
        <v>0</v>
      </c>
      <c r="BI546" s="297">
        <f>(BL546-BH546)/3</f>
        <v>0</v>
      </c>
      <c r="BJ546" s="297">
        <f>(BL546-SUM(BH546:BI546))/2</f>
        <v>0</v>
      </c>
      <c r="BK546" s="290">
        <f>BL546-SUM(BH546:BJ546)</f>
        <v>0</v>
      </c>
      <c r="BL546" s="1917">
        <v>0</v>
      </c>
      <c r="BM546" s="1962">
        <f>BQ546/4</f>
        <v>0</v>
      </c>
      <c r="BN546" s="297">
        <f>(BQ546-BM546)/3</f>
        <v>0</v>
      </c>
      <c r="BO546" s="297">
        <f>(BQ546-SUM(BM546:BN546))/2</f>
        <v>0</v>
      </c>
      <c r="BP546" s="290">
        <f>BQ546-SUM(BM546:BO546)</f>
        <v>0</v>
      </c>
      <c r="BQ546" s="1917">
        <v>0</v>
      </c>
      <c r="BR546" s="673"/>
      <c r="BS546" s="673"/>
      <c r="BU546" s="60"/>
      <c r="BV546" s="60"/>
      <c r="BW546" s="93"/>
      <c r="BX546" s="93"/>
      <c r="BY546" s="93"/>
      <c r="BZ546" s="93"/>
      <c r="CD546" s="81"/>
    </row>
    <row r="547" spans="1:84" s="746" customFormat="1">
      <c r="A547" s="201"/>
      <c r="B547" s="672"/>
      <c r="C547" s="1194"/>
      <c r="E547" s="674"/>
      <c r="F547" s="675"/>
      <c r="G547" s="675"/>
      <c r="H547" s="676"/>
      <c r="I547" s="677"/>
      <c r="J547" s="674"/>
      <c r="K547" s="675"/>
      <c r="L547" s="675"/>
      <c r="M547" s="676"/>
      <c r="N547" s="677"/>
      <c r="O547" s="141"/>
      <c r="P547" s="84"/>
      <c r="Q547" s="84"/>
      <c r="R547" s="142"/>
      <c r="S547" s="498"/>
      <c r="T547" s="141"/>
      <c r="U547" s="84"/>
      <c r="V547" s="84"/>
      <c r="W547" s="142"/>
      <c r="X547" s="498"/>
      <c r="Y547" s="141"/>
      <c r="Z547" s="697"/>
      <c r="AA547" s="697"/>
      <c r="AB547" s="142"/>
      <c r="AC547" s="502"/>
      <c r="AD547" s="141"/>
      <c r="AE547" s="84"/>
      <c r="AF547" s="84"/>
      <c r="AG547" s="142"/>
      <c r="AH547" s="502"/>
      <c r="AI547" s="141"/>
      <c r="AJ547" s="84"/>
      <c r="AK547" s="84"/>
      <c r="AL547" s="142"/>
      <c r="AM547" s="502"/>
      <c r="AN547" s="141"/>
      <c r="AO547" s="84"/>
      <c r="AP547" s="84"/>
      <c r="AQ547" s="142"/>
      <c r="AR547" s="502"/>
      <c r="AS547" s="141"/>
      <c r="AT547" s="84"/>
      <c r="AU547" s="84"/>
      <c r="AV547" s="142"/>
      <c r="AW547" s="502"/>
      <c r="AX547" s="141"/>
      <c r="AY547" s="84"/>
      <c r="AZ547" s="84"/>
      <c r="BA547" s="142"/>
      <c r="BB547" s="502"/>
      <c r="BC547" s="141"/>
      <c r="BD547" s="84"/>
      <c r="BE547" s="84"/>
      <c r="BF547" s="142"/>
      <c r="BG547" s="502"/>
      <c r="BH547" s="141"/>
      <c r="BI547" s="84"/>
      <c r="BJ547" s="84"/>
      <c r="BK547" s="142"/>
      <c r="BL547" s="502"/>
      <c r="BM547" s="141"/>
      <c r="BN547" s="84"/>
      <c r="BO547" s="84"/>
      <c r="BP547" s="142"/>
      <c r="BQ547" s="502"/>
      <c r="BR547" s="673"/>
      <c r="BS547" s="673"/>
      <c r="BT547" s="81"/>
      <c r="BU547" s="81"/>
      <c r="BV547" s="81"/>
      <c r="BW547" s="81"/>
      <c r="BX547" s="81"/>
      <c r="BY547" s="81"/>
      <c r="BZ547" s="81"/>
      <c r="CA547" s="81"/>
      <c r="CB547" s="81"/>
      <c r="CC547" s="81"/>
      <c r="CD547" s="779"/>
    </row>
    <row r="548" spans="1:84" s="81" customFormat="1">
      <c r="A548" s="202"/>
      <c r="B548" s="721"/>
      <c r="C548" s="1179" t="s">
        <v>194</v>
      </c>
      <c r="E548" s="316"/>
      <c r="F548" s="312"/>
      <c r="G548" s="312"/>
      <c r="H548" s="317"/>
      <c r="I548" s="285">
        <f t="shared" ref="I548:AO548" si="883">I14</f>
        <v>112</v>
      </c>
      <c r="J548" s="316">
        <f t="shared" si="883"/>
        <v>37</v>
      </c>
      <c r="K548" s="312">
        <f t="shared" si="883"/>
        <v>27</v>
      </c>
      <c r="L548" s="312">
        <f t="shared" si="883"/>
        <v>28</v>
      </c>
      <c r="M548" s="311">
        <f t="shared" si="883"/>
        <v>32</v>
      </c>
      <c r="N548" s="285">
        <f t="shared" si="883"/>
        <v>124</v>
      </c>
      <c r="O548" s="309">
        <f t="shared" si="883"/>
        <v>44</v>
      </c>
      <c r="P548" s="310">
        <f t="shared" si="883"/>
        <v>51</v>
      </c>
      <c r="Q548" s="310">
        <f t="shared" si="883"/>
        <v>55</v>
      </c>
      <c r="R548" s="311">
        <f t="shared" si="883"/>
        <v>50</v>
      </c>
      <c r="S548" s="285">
        <f t="shared" si="883"/>
        <v>200</v>
      </c>
      <c r="T548" s="309">
        <f t="shared" si="883"/>
        <v>61</v>
      </c>
      <c r="U548" s="312">
        <f t="shared" si="883"/>
        <v>49</v>
      </c>
      <c r="V548" s="312">
        <f t="shared" si="883"/>
        <v>52</v>
      </c>
      <c r="W548" s="311">
        <f t="shared" si="883"/>
        <v>48</v>
      </c>
      <c r="X548" s="285">
        <f t="shared" si="883"/>
        <v>210</v>
      </c>
      <c r="Y548" s="309">
        <f t="shared" si="883"/>
        <v>60</v>
      </c>
      <c r="Z548" s="312">
        <f t="shared" si="883"/>
        <v>50</v>
      </c>
      <c r="AA548" s="312">
        <f t="shared" si="883"/>
        <v>49</v>
      </c>
      <c r="AB548" s="311">
        <f t="shared" si="883"/>
        <v>43</v>
      </c>
      <c r="AC548" s="285">
        <f t="shared" si="883"/>
        <v>202</v>
      </c>
      <c r="AD548" s="309">
        <f t="shared" si="883"/>
        <v>54</v>
      </c>
      <c r="AE548" s="312">
        <f t="shared" si="883"/>
        <v>39</v>
      </c>
      <c r="AF548" s="312">
        <f t="shared" si="883"/>
        <v>40</v>
      </c>
      <c r="AG548" s="311">
        <f t="shared" si="883"/>
        <v>38</v>
      </c>
      <c r="AH548" s="285">
        <f t="shared" si="883"/>
        <v>171</v>
      </c>
      <c r="AI548" s="309">
        <f t="shared" si="883"/>
        <v>41</v>
      </c>
      <c r="AJ548" s="312">
        <f t="shared" si="883"/>
        <v>36</v>
      </c>
      <c r="AK548" s="312">
        <f t="shared" si="883"/>
        <v>35</v>
      </c>
      <c r="AL548" s="311">
        <f t="shared" si="883"/>
        <v>28</v>
      </c>
      <c r="AM548" s="285">
        <f t="shared" si="883"/>
        <v>140</v>
      </c>
      <c r="AN548" s="309">
        <f t="shared" si="883"/>
        <v>39</v>
      </c>
      <c r="AO548" s="312">
        <f t="shared" si="883"/>
        <v>29</v>
      </c>
      <c r="AP548" s="312">
        <f t="shared" ref="AP548:AT548" si="884">AP14</f>
        <v>30</v>
      </c>
      <c r="AQ548" s="311">
        <f t="shared" si="884"/>
        <v>36</v>
      </c>
      <c r="AR548" s="285">
        <f t="shared" si="884"/>
        <v>134</v>
      </c>
      <c r="AS548" s="309">
        <f t="shared" si="884"/>
        <v>30</v>
      </c>
      <c r="AT548" s="312">
        <f t="shared" si="884"/>
        <v>27</v>
      </c>
      <c r="AU548" s="312">
        <f t="shared" ref="AU548:AW548" si="885">AU14</f>
        <v>14</v>
      </c>
      <c r="AV548" s="311">
        <f t="shared" si="885"/>
        <v>28</v>
      </c>
      <c r="AW548" s="285">
        <f t="shared" si="885"/>
        <v>99</v>
      </c>
      <c r="AX548" s="316">
        <f>AS548*(1+AX549)</f>
        <v>30.3</v>
      </c>
      <c r="AY548" s="312">
        <f>AT548*(1+AY549)</f>
        <v>27.27</v>
      </c>
      <c r="AZ548" s="312">
        <f>AU548*(1+AZ549)</f>
        <v>14.14</v>
      </c>
      <c r="BA548" s="317">
        <f>AV548*(1+BA549)</f>
        <v>28.28</v>
      </c>
      <c r="BB548" s="285">
        <f>SUM(AX548:BA548)</f>
        <v>99.990000000000009</v>
      </c>
      <c r="BC548" s="316">
        <f>AX548*(1+BC549)</f>
        <v>30.603000000000002</v>
      </c>
      <c r="BD548" s="312">
        <f>AY548*(1+BD549)</f>
        <v>27.5427</v>
      </c>
      <c r="BE548" s="312">
        <f>AZ548*(1+BE549)</f>
        <v>14.281400000000001</v>
      </c>
      <c r="BF548" s="317">
        <f>BA548*(1+BF549)</f>
        <v>28.562800000000003</v>
      </c>
      <c r="BG548" s="285">
        <f>SUM(BC548:BF548)</f>
        <v>100.98990000000001</v>
      </c>
      <c r="BH548" s="316">
        <f>BC548*(1+BH549)</f>
        <v>30.909030000000001</v>
      </c>
      <c r="BI548" s="312">
        <f>BD548*(1+BI549)</f>
        <v>27.818127</v>
      </c>
      <c r="BJ548" s="312">
        <f>BE548*(1+BJ549)</f>
        <v>14.424214000000001</v>
      </c>
      <c r="BK548" s="317">
        <f>BF548*(1+BK549)</f>
        <v>28.848428000000002</v>
      </c>
      <c r="BL548" s="285">
        <f>SUM(BH548:BK548)</f>
        <v>101.99979900000001</v>
      </c>
      <c r="BM548" s="316">
        <f>BH548*(1+BM549)</f>
        <v>31.218120300000002</v>
      </c>
      <c r="BN548" s="312">
        <f>BI548*(1+BN549)</f>
        <v>28.096308270000002</v>
      </c>
      <c r="BO548" s="312">
        <f>BJ548*(1+BO549)</f>
        <v>14.56845614</v>
      </c>
      <c r="BP548" s="317">
        <f>BK548*(1+BP549)</f>
        <v>29.136912280000001</v>
      </c>
      <c r="BQ548" s="285">
        <f>SUM(BM548:BP548)</f>
        <v>103.01979699</v>
      </c>
      <c r="BR548" s="221"/>
      <c r="BS548" s="221"/>
      <c r="BT548" s="779"/>
      <c r="CD548" s="15"/>
    </row>
    <row r="549" spans="1:84" s="22" customFormat="1">
      <c r="A549" s="287"/>
      <c r="B549" s="98"/>
      <c r="C549" s="1194" t="s">
        <v>923</v>
      </c>
      <c r="E549" s="774"/>
      <c r="F549" s="775"/>
      <c r="G549" s="775"/>
      <c r="H549" s="776"/>
      <c r="I549" s="777"/>
      <c r="J549" s="774"/>
      <c r="K549" s="775"/>
      <c r="L549" s="775"/>
      <c r="M549" s="776"/>
      <c r="N549" s="778"/>
      <c r="O549" s="723">
        <f t="shared" ref="O549:V549" si="886">O548/J548-1</f>
        <v>0.18918918918918926</v>
      </c>
      <c r="P549" s="724">
        <f t="shared" si="886"/>
        <v>0.88888888888888884</v>
      </c>
      <c r="Q549" s="724">
        <f t="shared" si="886"/>
        <v>0.96428571428571419</v>
      </c>
      <c r="R549" s="725">
        <f t="shared" si="886"/>
        <v>0.5625</v>
      </c>
      <c r="S549" s="672">
        <f t="shared" si="886"/>
        <v>0.61290322580645151</v>
      </c>
      <c r="T549" s="723">
        <f t="shared" si="886"/>
        <v>0.38636363636363646</v>
      </c>
      <c r="U549" s="84">
        <f t="shared" si="886"/>
        <v>-3.9215686274509776E-2</v>
      </c>
      <c r="V549" s="84">
        <f t="shared" si="886"/>
        <v>-5.4545454545454564E-2</v>
      </c>
      <c r="W549" s="725">
        <f t="shared" ref="W549:AC549" si="887">W548/R548-1</f>
        <v>-4.0000000000000036E-2</v>
      </c>
      <c r="X549" s="672">
        <f t="shared" si="887"/>
        <v>5.0000000000000044E-2</v>
      </c>
      <c r="Y549" s="723">
        <f t="shared" si="887"/>
        <v>-1.6393442622950838E-2</v>
      </c>
      <c r="Z549" s="697">
        <f t="shared" si="887"/>
        <v>2.0408163265306145E-2</v>
      </c>
      <c r="AA549" s="84">
        <f t="shared" si="887"/>
        <v>-5.7692307692307709E-2</v>
      </c>
      <c r="AB549" s="725">
        <f t="shared" si="887"/>
        <v>-0.10416666666666663</v>
      </c>
      <c r="AC549" s="672">
        <f t="shared" si="887"/>
        <v>-3.8095238095238071E-2</v>
      </c>
      <c r="AD549" s="723">
        <f t="shared" ref="AD549:AK549" si="888">AD548/Y548-1</f>
        <v>-9.9999999999999978E-2</v>
      </c>
      <c r="AE549" s="697">
        <f t="shared" si="888"/>
        <v>-0.21999999999999997</v>
      </c>
      <c r="AF549" s="84">
        <f t="shared" si="888"/>
        <v>-0.18367346938775508</v>
      </c>
      <c r="AG549" s="725">
        <f t="shared" si="888"/>
        <v>-0.11627906976744184</v>
      </c>
      <c r="AH549" s="672">
        <f t="shared" si="888"/>
        <v>-0.15346534653465349</v>
      </c>
      <c r="AI549" s="723">
        <f t="shared" si="888"/>
        <v>-0.2407407407407407</v>
      </c>
      <c r="AJ549" s="697">
        <f t="shared" si="888"/>
        <v>-7.6923076923076872E-2</v>
      </c>
      <c r="AK549" s="84">
        <f t="shared" si="888"/>
        <v>-0.125</v>
      </c>
      <c r="AL549" s="725">
        <f t="shared" ref="AL549" si="889">AL548/AG548-1</f>
        <v>-0.26315789473684215</v>
      </c>
      <c r="AM549" s="672">
        <f t="shared" ref="AM549:AP549" si="890">AM548/AH548-1</f>
        <v>-0.18128654970760238</v>
      </c>
      <c r="AN549" s="723">
        <f t="shared" si="890"/>
        <v>-4.8780487804878092E-2</v>
      </c>
      <c r="AO549" s="697">
        <f t="shared" si="890"/>
        <v>-0.19444444444444442</v>
      </c>
      <c r="AP549" s="697">
        <f t="shared" si="890"/>
        <v>-0.1428571428571429</v>
      </c>
      <c r="AQ549" s="725">
        <f t="shared" ref="AQ549" si="891">AQ548/AL548-1</f>
        <v>0.28571428571428581</v>
      </c>
      <c r="AR549" s="672">
        <f t="shared" ref="AR549:AU549" si="892">AR548/AM548-1</f>
        <v>-4.2857142857142816E-2</v>
      </c>
      <c r="AS549" s="723">
        <f t="shared" si="892"/>
        <v>-0.23076923076923073</v>
      </c>
      <c r="AT549" s="697">
        <f t="shared" si="892"/>
        <v>-6.8965517241379337E-2</v>
      </c>
      <c r="AU549" s="697">
        <f t="shared" si="892"/>
        <v>-0.53333333333333333</v>
      </c>
      <c r="AV549" s="725">
        <f t="shared" ref="AV549" si="893">AV548/AQ548-1</f>
        <v>-0.22222222222222221</v>
      </c>
      <c r="AW549" s="672">
        <f t="shared" ref="AW549" si="894">AW548/AR548-1</f>
        <v>-0.26119402985074625</v>
      </c>
      <c r="AX549" s="141">
        <f>AY549</f>
        <v>0.01</v>
      </c>
      <c r="AY549" s="84">
        <f>AZ549</f>
        <v>0.01</v>
      </c>
      <c r="AZ549" s="84">
        <f>BA549</f>
        <v>0.01</v>
      </c>
      <c r="BA549" s="142">
        <f>BB549</f>
        <v>0.01</v>
      </c>
      <c r="BB549" s="502">
        <v>0.01</v>
      </c>
      <c r="BC549" s="141">
        <f>BD549</f>
        <v>0.01</v>
      </c>
      <c r="BD549" s="84">
        <f>BE549</f>
        <v>0.01</v>
      </c>
      <c r="BE549" s="84">
        <f>BF549</f>
        <v>0.01</v>
      </c>
      <c r="BF549" s="142">
        <f>BG549</f>
        <v>0.01</v>
      </c>
      <c r="BG549" s="502">
        <v>0.01</v>
      </c>
      <c r="BH549" s="141">
        <f>BI549</f>
        <v>0.01</v>
      </c>
      <c r="BI549" s="84">
        <f>BJ549</f>
        <v>0.01</v>
      </c>
      <c r="BJ549" s="84">
        <f>BK549</f>
        <v>0.01</v>
      </c>
      <c r="BK549" s="142">
        <f>BL549</f>
        <v>0.01</v>
      </c>
      <c r="BL549" s="502">
        <v>0.01</v>
      </c>
      <c r="BM549" s="141">
        <f>BN549</f>
        <v>0.01</v>
      </c>
      <c r="BN549" s="84">
        <f>BO549</f>
        <v>0.01</v>
      </c>
      <c r="BO549" s="84">
        <f>BP549</f>
        <v>0.01</v>
      </c>
      <c r="BP549" s="142">
        <f>BQ549</f>
        <v>0.01</v>
      </c>
      <c r="BQ549" s="502">
        <v>0.01</v>
      </c>
      <c r="BR549" s="1078"/>
      <c r="BS549" s="1078"/>
      <c r="BT549" s="15"/>
      <c r="BU549" s="81"/>
      <c r="BV549" s="81"/>
      <c r="BW549" s="81"/>
      <c r="BX549" s="81"/>
      <c r="BY549" s="81"/>
      <c r="BZ549" s="81"/>
      <c r="CA549" s="779"/>
      <c r="CB549" s="779"/>
      <c r="CC549" s="779"/>
      <c r="CD549" s="15"/>
      <c r="CE549" s="779"/>
      <c r="CF549" s="779"/>
    </row>
    <row r="550" spans="1:84">
      <c r="A550" s="139"/>
      <c r="B550" s="87"/>
      <c r="C550" s="1179"/>
      <c r="E550" s="133"/>
      <c r="F550" s="134"/>
      <c r="G550" s="134"/>
      <c r="H550" s="135"/>
      <c r="I550" s="233"/>
      <c r="J550" s="133"/>
      <c r="K550" s="134"/>
      <c r="L550" s="134"/>
      <c r="M550" s="238"/>
      <c r="N550" s="237"/>
      <c r="O550" s="235"/>
      <c r="P550" s="236"/>
      <c r="Q550" s="236"/>
      <c r="R550" s="238"/>
      <c r="S550" s="237"/>
      <c r="T550" s="133"/>
      <c r="U550" s="134"/>
      <c r="V550" s="134"/>
      <c r="W550" s="135"/>
      <c r="X550" s="233"/>
      <c r="Y550" s="133"/>
      <c r="Z550" s="134"/>
      <c r="AA550" s="134"/>
      <c r="AB550" s="135"/>
      <c r="AC550" s="233"/>
      <c r="AD550" s="133"/>
      <c r="AE550" s="134"/>
      <c r="AF550" s="134"/>
      <c r="AG550" s="135"/>
      <c r="AH550" s="233"/>
      <c r="AI550" s="133"/>
      <c r="AJ550" s="134"/>
      <c r="AK550" s="134"/>
      <c r="AL550" s="135"/>
      <c r="AM550" s="233"/>
      <c r="AN550" s="133"/>
      <c r="AO550" s="134"/>
      <c r="AP550" s="134"/>
      <c r="AQ550" s="135"/>
      <c r="AR550" s="233"/>
      <c r="AS550" s="133"/>
      <c r="AT550" s="134"/>
      <c r="AU550" s="134"/>
      <c r="AV550" s="135"/>
      <c r="AW550" s="233"/>
      <c r="AX550" s="133"/>
      <c r="AY550" s="134"/>
      <c r="AZ550" s="134"/>
      <c r="BA550" s="135"/>
      <c r="BB550" s="233"/>
      <c r="BC550" s="133"/>
      <c r="BD550" s="134"/>
      <c r="BE550" s="134"/>
      <c r="BF550" s="135"/>
      <c r="BG550" s="233"/>
      <c r="BH550" s="133"/>
      <c r="BI550" s="134"/>
      <c r="BJ550" s="134"/>
      <c r="BK550" s="135"/>
      <c r="BL550" s="233"/>
      <c r="BM550" s="133"/>
      <c r="BN550" s="134"/>
      <c r="BO550" s="134"/>
      <c r="BP550" s="135"/>
      <c r="BQ550" s="233"/>
      <c r="BR550" s="177"/>
      <c r="BS550" s="177"/>
      <c r="BT550" s="15"/>
      <c r="BU550" s="779"/>
      <c r="BV550" s="779"/>
      <c r="BW550" s="779"/>
      <c r="BX550" s="779"/>
      <c r="BY550" s="779"/>
      <c r="BZ550" s="779"/>
      <c r="CA550" s="15"/>
      <c r="CB550" s="15"/>
      <c r="CC550" s="15"/>
      <c r="CD550" s="15"/>
      <c r="CE550" s="15"/>
      <c r="CF550" s="15"/>
    </row>
    <row r="551" spans="1:84">
      <c r="A551" s="139"/>
      <c r="B551" s="87"/>
      <c r="C551" s="1179"/>
      <c r="E551" s="133"/>
      <c r="F551" s="134"/>
      <c r="G551" s="134"/>
      <c r="H551" s="135"/>
      <c r="I551" s="233"/>
      <c r="J551" s="133"/>
      <c r="K551" s="134"/>
      <c r="L551" s="134"/>
      <c r="M551" s="135"/>
      <c r="N551" s="233"/>
      <c r="O551" s="133"/>
      <c r="P551" s="134"/>
      <c r="Q551" s="134"/>
      <c r="R551" s="135"/>
      <c r="S551" s="233"/>
      <c r="T551" s="133"/>
      <c r="U551" s="134"/>
      <c r="V551" s="134"/>
      <c r="W551" s="135"/>
      <c r="X551" s="233"/>
      <c r="Y551" s="133"/>
      <c r="Z551" s="134"/>
      <c r="AA551" s="134"/>
      <c r="AB551" s="135"/>
      <c r="AC551" s="233"/>
      <c r="AD551" s="133"/>
      <c r="AE551" s="134"/>
      <c r="AF551" s="134"/>
      <c r="AG551" s="135"/>
      <c r="AH551" s="233"/>
      <c r="AI551" s="133"/>
      <c r="AJ551" s="134"/>
      <c r="AK551" s="134"/>
      <c r="AL551" s="135"/>
      <c r="AM551" s="233"/>
      <c r="AN551" s="133"/>
      <c r="AO551" s="134"/>
      <c r="AP551" s="134"/>
      <c r="AQ551" s="135"/>
      <c r="AR551" s="233"/>
      <c r="AS551" s="133"/>
      <c r="AT551" s="134"/>
      <c r="AU551" s="134"/>
      <c r="AV551" s="135"/>
      <c r="AW551" s="233"/>
      <c r="AX551" s="133"/>
      <c r="AY551" s="134"/>
      <c r="AZ551" s="134"/>
      <c r="BA551" s="135"/>
      <c r="BB551" s="233"/>
      <c r="BC551" s="133"/>
      <c r="BD551" s="134"/>
      <c r="BE551" s="134"/>
      <c r="BF551" s="135"/>
      <c r="BG551" s="233"/>
      <c r="BH551" s="133"/>
      <c r="BI551" s="134"/>
      <c r="BJ551" s="134"/>
      <c r="BK551" s="135"/>
      <c r="BL551" s="233"/>
      <c r="BM551" s="133"/>
      <c r="BN551" s="134"/>
      <c r="BO551" s="134"/>
      <c r="BP551" s="135"/>
      <c r="BQ551" s="233"/>
      <c r="BR551" s="177"/>
      <c r="BS551" s="177"/>
      <c r="BT551" s="15"/>
      <c r="BU551" s="15"/>
      <c r="BV551" s="15"/>
      <c r="BW551" s="15"/>
      <c r="BX551" s="15"/>
      <c r="BY551" s="15"/>
      <c r="BZ551" s="15"/>
      <c r="CA551" s="15"/>
      <c r="CB551" s="15"/>
      <c r="CC551" s="15"/>
      <c r="CD551" s="173"/>
      <c r="CE551" s="15"/>
      <c r="CF551" s="15"/>
    </row>
    <row r="552" spans="1:84">
      <c r="A552" s="139"/>
      <c r="B552" s="126" t="s">
        <v>167</v>
      </c>
      <c r="C552" s="1185"/>
      <c r="D552" s="11"/>
      <c r="E552" s="133"/>
      <c r="F552" s="134"/>
      <c r="G552" s="134"/>
      <c r="H552" s="135"/>
      <c r="I552" s="233"/>
      <c r="J552" s="133"/>
      <c r="K552" s="134"/>
      <c r="L552" s="134"/>
      <c r="M552" s="135"/>
      <c r="N552" s="233"/>
      <c r="O552" s="133"/>
      <c r="P552" s="134"/>
      <c r="Q552" s="134"/>
      <c r="R552" s="135"/>
      <c r="S552" s="233"/>
      <c r="T552" s="133"/>
      <c r="U552" s="134"/>
      <c r="V552" s="134"/>
      <c r="W552" s="135"/>
      <c r="X552" s="233"/>
      <c r="Y552" s="133"/>
      <c r="Z552" s="134"/>
      <c r="AA552" s="134"/>
      <c r="AB552" s="135"/>
      <c r="AC552" s="233"/>
      <c r="AD552" s="133"/>
      <c r="AE552" s="134"/>
      <c r="AF552" s="134"/>
      <c r="AG552" s="135"/>
      <c r="AH552" s="233"/>
      <c r="AI552" s="133"/>
      <c r="AJ552" s="134"/>
      <c r="AK552" s="134"/>
      <c r="AL552" s="135"/>
      <c r="AM552" s="233"/>
      <c r="AN552" s="133"/>
      <c r="AO552" s="134"/>
      <c r="AP552" s="134"/>
      <c r="AQ552" s="135"/>
      <c r="AR552" s="233"/>
      <c r="AS552" s="133"/>
      <c r="AT552" s="134"/>
      <c r="AU552" s="134"/>
      <c r="AV552" s="135"/>
      <c r="AW552" s="233"/>
      <c r="AX552" s="133"/>
      <c r="AY552" s="134"/>
      <c r="AZ552" s="134"/>
      <c r="BA552" s="135"/>
      <c r="BB552" s="233"/>
      <c r="BC552" s="133"/>
      <c r="BD552" s="134"/>
      <c r="BE552" s="134"/>
      <c r="BF552" s="135"/>
      <c r="BG552" s="233"/>
      <c r="BH552" s="133"/>
      <c r="BI552" s="134"/>
      <c r="BJ552" s="134"/>
      <c r="BK552" s="135"/>
      <c r="BL552" s="233"/>
      <c r="BM552" s="133"/>
      <c r="BN552" s="134"/>
      <c r="BO552" s="134"/>
      <c r="BP552" s="135"/>
      <c r="BQ552" s="233"/>
      <c r="BR552" s="177"/>
      <c r="BS552" s="177"/>
      <c r="BT552" s="173"/>
      <c r="BU552" s="15"/>
      <c r="BV552" s="15"/>
      <c r="BW552" s="15"/>
      <c r="BX552" s="15"/>
      <c r="BY552" s="15"/>
      <c r="BZ552" s="15"/>
      <c r="CA552" s="15"/>
      <c r="CB552" s="15"/>
      <c r="CC552" s="15"/>
      <c r="CD552" s="173"/>
      <c r="CE552" s="15"/>
      <c r="CF552" s="15"/>
    </row>
    <row r="553" spans="1:84" s="173" customFormat="1">
      <c r="A553" s="491"/>
      <c r="B553" s="96"/>
      <c r="C553" s="1179" t="s">
        <v>452</v>
      </c>
      <c r="E553" s="309"/>
      <c r="F553" s="310"/>
      <c r="G553" s="310"/>
      <c r="H553" s="311"/>
      <c r="I553" s="285"/>
      <c r="J553" s="309"/>
      <c r="K553" s="310"/>
      <c r="L553" s="310"/>
      <c r="M553" s="311">
        <f>N553</f>
        <v>11427</v>
      </c>
      <c r="N553" s="300">
        <f>11427</f>
        <v>11427</v>
      </c>
      <c r="O553" s="301">
        <f>11239.565+3881.829</f>
        <v>15121.394</v>
      </c>
      <c r="P553" s="302">
        <f>11455+3926.498</f>
        <v>15381.498</v>
      </c>
      <c r="Q553" s="302">
        <f>11440+3929.47</f>
        <v>15369.47</v>
      </c>
      <c r="R553" s="311">
        <f>S553</f>
        <v>14951.637999999999</v>
      </c>
      <c r="S553" s="300">
        <f>10983+3968.638</f>
        <v>14951.637999999999</v>
      </c>
      <c r="T553" s="301">
        <f>11002+3997.025</f>
        <v>14999.025</v>
      </c>
      <c r="U553" s="302">
        <f>11375+3998.233</f>
        <v>15373.233</v>
      </c>
      <c r="V553" s="302">
        <f>11638+4002.308</f>
        <v>15640.308000000001</v>
      </c>
      <c r="W553" s="311">
        <f>X553</f>
        <v>16072.529</v>
      </c>
      <c r="X553" s="300">
        <f>11997+4075.529</f>
        <v>16072.529</v>
      </c>
      <c r="Y553" s="301">
        <f>12336+4109.191</f>
        <v>16445.190999999999</v>
      </c>
      <c r="Z553" s="302">
        <f>12563+3749.07</f>
        <v>16312.07</v>
      </c>
      <c r="AA553" s="302">
        <f>12508+3657.436</f>
        <v>16165.436</v>
      </c>
      <c r="AB553" s="311">
        <f>AC553</f>
        <v>14943.603999999999</v>
      </c>
      <c r="AC553" s="300">
        <f>12472+2471.604</f>
        <v>14943.603999999999</v>
      </c>
      <c r="AD553" s="301">
        <f>12796+2466.423</f>
        <v>15262.422999999999</v>
      </c>
      <c r="AE553" s="302">
        <f>13622+2488.508</f>
        <v>16110.508</v>
      </c>
      <c r="AF553" s="302">
        <f>13745+2499</f>
        <v>16244</v>
      </c>
      <c r="AG553" s="311">
        <f>AH553</f>
        <v>16131</v>
      </c>
      <c r="AH553" s="300">
        <f>13596+2535</f>
        <v>16131</v>
      </c>
      <c r="AI553" s="301">
        <f>13706+2527</f>
        <v>16233</v>
      </c>
      <c r="AJ553" s="302">
        <f>13978+2579</f>
        <v>16557</v>
      </c>
      <c r="AK553" s="302">
        <f>14003+2587</f>
        <v>16590</v>
      </c>
      <c r="AL553" s="311">
        <f>AM553</f>
        <v>16907</v>
      </c>
      <c r="AM553" s="300">
        <f>2596+14311</f>
        <v>16907</v>
      </c>
      <c r="AN553" s="301">
        <f>2604+14376</f>
        <v>16980</v>
      </c>
      <c r="AO553" s="302">
        <f>15464</f>
        <v>15464</v>
      </c>
      <c r="AP553" s="302">
        <f>2632+14100</f>
        <v>16732</v>
      </c>
      <c r="AQ553" s="311">
        <f>AR553</f>
        <v>8638</v>
      </c>
      <c r="AR553" s="300">
        <f>1581+7057</f>
        <v>8638</v>
      </c>
      <c r="AS553" s="301">
        <f>234+7108</f>
        <v>7342</v>
      </c>
      <c r="AT553" s="302">
        <f>238+7382</f>
        <v>7620</v>
      </c>
      <c r="AU553" s="302">
        <f>7443+235</f>
        <v>7678</v>
      </c>
      <c r="AV553" s="311">
        <f>AW553</f>
        <v>2887</v>
      </c>
      <c r="AW553" s="300">
        <f>2495+392</f>
        <v>2887</v>
      </c>
      <c r="AX553" s="309">
        <f>AW553+AX570-(AX557-AW557)</f>
        <v>2959.5</v>
      </c>
      <c r="AY553" s="310">
        <f>AX553+AY570-(AY557-AX557)</f>
        <v>3032</v>
      </c>
      <c r="AZ553" s="310">
        <f>AY553+AZ570-(AZ557-AY557)</f>
        <v>3104.5</v>
      </c>
      <c r="BA553" s="311">
        <f>AZ553+BA570-(BA557-AZ557)</f>
        <v>3177</v>
      </c>
      <c r="BB553" s="285">
        <f>BA553</f>
        <v>3177</v>
      </c>
      <c r="BC553" s="309">
        <f>BB553+BC570-(BC557-BB557)</f>
        <v>3249.5</v>
      </c>
      <c r="BD553" s="310">
        <f>BC553+BD570-(BD557-BC557)</f>
        <v>3322</v>
      </c>
      <c r="BE553" s="310">
        <f>BD553+BE570-(BE557-BD557)</f>
        <v>3394.5</v>
      </c>
      <c r="BF553" s="311">
        <f>BE553+BF570-(BF557-BE557)</f>
        <v>3467</v>
      </c>
      <c r="BG553" s="285">
        <f>BF553</f>
        <v>3467</v>
      </c>
      <c r="BH553" s="309">
        <f>BG553+BH570-(BH557-BG557)</f>
        <v>3539.5</v>
      </c>
      <c r="BI553" s="310">
        <f>BH553+BI570-(BI557-BH557)</f>
        <v>3612</v>
      </c>
      <c r="BJ553" s="310">
        <f>BI553+BJ570-(BJ557-BI557)</f>
        <v>3684.5</v>
      </c>
      <c r="BK553" s="311">
        <f>BJ553+BK570-(BK557-BJ557)</f>
        <v>3757</v>
      </c>
      <c r="BL553" s="285">
        <f>BK553</f>
        <v>3757</v>
      </c>
      <c r="BM553" s="309">
        <f>BL553+BM570-(BM557-BL557)</f>
        <v>3829.5</v>
      </c>
      <c r="BN553" s="310">
        <f>BM553+BN570-(BN557-BM557)</f>
        <v>3902</v>
      </c>
      <c r="BO553" s="310">
        <f>BN553+BO570-(BO557-BN557)</f>
        <v>3974.5</v>
      </c>
      <c r="BP553" s="311">
        <f>BO553+BP570-(BP557-BO557)</f>
        <v>4047</v>
      </c>
      <c r="BQ553" s="285">
        <f>BP553</f>
        <v>4047</v>
      </c>
      <c r="BR553" s="491"/>
      <c r="BS553" s="491"/>
      <c r="BU553" s="15"/>
      <c r="BV553" s="15"/>
      <c r="BW553" s="15"/>
      <c r="BX553" s="15"/>
      <c r="BY553" s="15"/>
      <c r="BZ553" s="15"/>
      <c r="CD553" s="60"/>
    </row>
    <row r="554" spans="1:84" s="173" customFormat="1">
      <c r="A554" s="491"/>
      <c r="B554" s="96"/>
      <c r="C554" s="1179" t="s">
        <v>238</v>
      </c>
      <c r="E554" s="309"/>
      <c r="F554" s="310"/>
      <c r="G554" s="310"/>
      <c r="H554" s="311"/>
      <c r="I554" s="285"/>
      <c r="J554" s="309"/>
      <c r="K554" s="310"/>
      <c r="L554" s="310"/>
      <c r="M554" s="311">
        <f>N554</f>
        <v>4038</v>
      </c>
      <c r="N554" s="300">
        <f>4038</f>
        <v>4038</v>
      </c>
      <c r="O554" s="301">
        <f>4107.542+10.622</f>
        <v>4118.1640000000007</v>
      </c>
      <c r="P554" s="302">
        <f>4206+39.478</f>
        <v>4245.4780000000001</v>
      </c>
      <c r="Q554" s="302">
        <f>4314+68.175</f>
        <v>4382.1750000000002</v>
      </c>
      <c r="R554" s="311">
        <f>S554</f>
        <v>4208.4979999999996</v>
      </c>
      <c r="S554" s="300">
        <f>4110+98.498</f>
        <v>4208.4979999999996</v>
      </c>
      <c r="T554" s="301">
        <f>4214+126.242</f>
        <v>4340.2420000000002</v>
      </c>
      <c r="U554" s="302">
        <f>4314+154.914</f>
        <v>4468.9139999999998</v>
      </c>
      <c r="V554" s="302">
        <f>4312+184.317</f>
        <v>4496.317</v>
      </c>
      <c r="W554" s="311">
        <f>X554</f>
        <v>4617.0860000000002</v>
      </c>
      <c r="X554" s="300">
        <f>4408+209.086</f>
        <v>4617.0860000000002</v>
      </c>
      <c r="Y554" s="301">
        <f>4508+236.857</f>
        <v>4744.857</v>
      </c>
      <c r="Z554" s="302">
        <f>4610+226.673</f>
        <v>4836.6729999999998</v>
      </c>
      <c r="AA554" s="302">
        <f>4649+249.94</f>
        <v>4898.9399999999996</v>
      </c>
      <c r="AB554" s="311">
        <f>AC554</f>
        <v>4954.2359999999999</v>
      </c>
      <c r="AC554" s="300">
        <f>4755+199.236</f>
        <v>4954.2359999999999</v>
      </c>
      <c r="AD554" s="301">
        <f>4857+214.164</f>
        <v>5071.1639999999998</v>
      </c>
      <c r="AE554" s="302">
        <f>4968+214.501</f>
        <v>5182.5010000000002</v>
      </c>
      <c r="AF554" s="302">
        <f>5087+229</f>
        <v>5316</v>
      </c>
      <c r="AG554" s="311">
        <f>AH554</f>
        <v>5459</v>
      </c>
      <c r="AH554" s="300">
        <f>5208+251</f>
        <v>5459</v>
      </c>
      <c r="AI554" s="301">
        <f>5331+265</f>
        <v>5596</v>
      </c>
      <c r="AJ554" s="302">
        <f>5431+262</f>
        <v>5693</v>
      </c>
      <c r="AK554" s="302">
        <f>5519+283</f>
        <v>5802</v>
      </c>
      <c r="AL554" s="311">
        <f>AM554</f>
        <v>6063</v>
      </c>
      <c r="AM554" s="300">
        <f>298+5765</f>
        <v>6063</v>
      </c>
      <c r="AN554" s="301">
        <f>313+5874</f>
        <v>6187</v>
      </c>
      <c r="AO554" s="297">
        <f>AN554+103</f>
        <v>6290</v>
      </c>
      <c r="AP554" s="302">
        <f>298+5822</f>
        <v>6120</v>
      </c>
      <c r="AQ554" s="311">
        <f>AR554</f>
        <v>6239</v>
      </c>
      <c r="AR554" s="300">
        <f>310+5929</f>
        <v>6239</v>
      </c>
      <c r="AS554" s="301">
        <f>39+5998</f>
        <v>6037</v>
      </c>
      <c r="AT554" s="302">
        <f>6055+41</f>
        <v>6096</v>
      </c>
      <c r="AU554" s="302">
        <f>6123+39</f>
        <v>6162</v>
      </c>
      <c r="AV554" s="311">
        <f>AW554</f>
        <v>1955</v>
      </c>
      <c r="AW554" s="300">
        <f>1823+132</f>
        <v>1955</v>
      </c>
      <c r="AX554" s="309">
        <f>AW554+AX559</f>
        <v>1977.8340000000001</v>
      </c>
      <c r="AY554" s="310">
        <f>AX554+AY559</f>
        <v>2001.8848170000001</v>
      </c>
      <c r="AZ554" s="310">
        <f>AY554+AZ559</f>
        <v>2027.1226389835001</v>
      </c>
      <c r="BA554" s="311">
        <f>AZ554+BA559</f>
        <v>2053.5183843284044</v>
      </c>
      <c r="BB554" s="285">
        <f>BA554</f>
        <v>2053.5183843284044</v>
      </c>
      <c r="BC554" s="309">
        <f>BB554+BC559</f>
        <v>2081.0436839123586</v>
      </c>
      <c r="BD554" s="310">
        <f>BC554+BD559</f>
        <v>2109.6708636565058</v>
      </c>
      <c r="BE554" s="310">
        <f>BD554+BE559</f>
        <v>2139.3729274969214</v>
      </c>
      <c r="BF554" s="311">
        <f>BE554+BF559</f>
        <v>2170.123540773247</v>
      </c>
      <c r="BG554" s="285">
        <f>BF554</f>
        <v>2170.123540773247</v>
      </c>
      <c r="BH554" s="309">
        <f>BG554+BH559</f>
        <v>2201.8970140243023</v>
      </c>
      <c r="BI554" s="310">
        <f>BH554+BI559</f>
        <v>2234.668287180707</v>
      </c>
      <c r="BJ554" s="310">
        <f>BI554+BJ559</f>
        <v>2268.4129141447797</v>
      </c>
      <c r="BK554" s="311">
        <f>BJ554+BK559</f>
        <v>2303.1070477482326</v>
      </c>
      <c r="BL554" s="285">
        <f>BK554</f>
        <v>2303.1070477482326</v>
      </c>
      <c r="BM554" s="309">
        <f>BL554+BM559</f>
        <v>2338.7274250784008</v>
      </c>
      <c r="BN554" s="310">
        <f>BM554+BN559</f>
        <v>2375.2513531639797</v>
      </c>
      <c r="BO554" s="310">
        <f>BN554+BO559</f>
        <v>2412.656695011462</v>
      </c>
      <c r="BP554" s="311">
        <f>BO554+BP559</f>
        <v>2450.9218559836813</v>
      </c>
      <c r="BQ554" s="285">
        <f>BP554</f>
        <v>2450.9218559836813</v>
      </c>
      <c r="BR554" s="491"/>
      <c r="BS554" s="491"/>
      <c r="BT554" s="60"/>
      <c r="CD554" s="81"/>
    </row>
    <row r="555" spans="1:84" s="60" customFormat="1">
      <c r="A555" s="490"/>
      <c r="B555" s="93"/>
      <c r="C555" s="1186" t="s">
        <v>271</v>
      </c>
      <c r="E555" s="305"/>
      <c r="F555" s="306"/>
      <c r="G555" s="306"/>
      <c r="H555" s="307"/>
      <c r="I555" s="308"/>
      <c r="J555" s="305"/>
      <c r="K555" s="306"/>
      <c r="L555" s="306"/>
      <c r="M555" s="307">
        <f t="shared" ref="M555:S555" si="895">M553-M554</f>
        <v>7389</v>
      </c>
      <c r="N555" s="308">
        <f t="shared" si="895"/>
        <v>7389</v>
      </c>
      <c r="O555" s="305">
        <f t="shared" si="895"/>
        <v>11003.23</v>
      </c>
      <c r="P555" s="306">
        <f t="shared" si="895"/>
        <v>11136.02</v>
      </c>
      <c r="Q555" s="306">
        <f t="shared" si="895"/>
        <v>10987.294999999998</v>
      </c>
      <c r="R555" s="307">
        <f t="shared" si="895"/>
        <v>10743.14</v>
      </c>
      <c r="S555" s="308">
        <f t="shared" si="895"/>
        <v>10743.14</v>
      </c>
      <c r="T555" s="305">
        <f t="shared" ref="T555:AF555" si="896">T553-T554</f>
        <v>10658.782999999999</v>
      </c>
      <c r="U555" s="306">
        <f t="shared" si="896"/>
        <v>10904.319</v>
      </c>
      <c r="V555" s="306">
        <f t="shared" si="896"/>
        <v>11143.991000000002</v>
      </c>
      <c r="W555" s="307">
        <f t="shared" si="896"/>
        <v>11455.442999999999</v>
      </c>
      <c r="X555" s="308">
        <f t="shared" si="896"/>
        <v>11455.442999999999</v>
      </c>
      <c r="Y555" s="305">
        <f t="shared" si="896"/>
        <v>11700.333999999999</v>
      </c>
      <c r="Z555" s="306">
        <f t="shared" si="896"/>
        <v>11475.397000000001</v>
      </c>
      <c r="AA555" s="306">
        <f t="shared" si="896"/>
        <v>11266.495999999999</v>
      </c>
      <c r="AB555" s="307">
        <f>AC555</f>
        <v>9989.3679999999986</v>
      </c>
      <c r="AC555" s="308">
        <f t="shared" si="896"/>
        <v>9989.3679999999986</v>
      </c>
      <c r="AD555" s="305">
        <f t="shared" si="896"/>
        <v>10191.258999999998</v>
      </c>
      <c r="AE555" s="306">
        <f t="shared" si="896"/>
        <v>10928.007</v>
      </c>
      <c r="AF555" s="306">
        <f t="shared" si="896"/>
        <v>10928</v>
      </c>
      <c r="AG555" s="307">
        <f>AH555</f>
        <v>10672</v>
      </c>
      <c r="AH555" s="308">
        <f>AH553-AH554</f>
        <v>10672</v>
      </c>
      <c r="AI555" s="305">
        <f>AI553-AI554</f>
        <v>10637</v>
      </c>
      <c r="AJ555" s="306">
        <f>AJ553-AJ554</f>
        <v>10864</v>
      </c>
      <c r="AK555" s="306">
        <f>AK553-AK554</f>
        <v>10788</v>
      </c>
      <c r="AL555" s="307">
        <f>AM555</f>
        <v>10844</v>
      </c>
      <c r="AM555" s="308">
        <f>AM553-AM554</f>
        <v>10844</v>
      </c>
      <c r="AN555" s="305">
        <f>AN553-AN554</f>
        <v>10793</v>
      </c>
      <c r="AO555" s="306">
        <f>AO553-AO554</f>
        <v>9174</v>
      </c>
      <c r="AP555" s="306">
        <f>AP553-AP554</f>
        <v>10612</v>
      </c>
      <c r="AQ555" s="307">
        <f>AR555</f>
        <v>2399</v>
      </c>
      <c r="AR555" s="308">
        <f>AR553-AR554</f>
        <v>2399</v>
      </c>
      <c r="AS555" s="2262">
        <f t="shared" ref="AS555" si="897">AS553-AS554</f>
        <v>1305</v>
      </c>
      <c r="AT555" s="306">
        <f t="shared" ref="AT555:BB555" si="898">AT553-AT554</f>
        <v>1524</v>
      </c>
      <c r="AU555" s="306">
        <f t="shared" si="898"/>
        <v>1516</v>
      </c>
      <c r="AV555" s="307">
        <f>AW555</f>
        <v>932</v>
      </c>
      <c r="AW555" s="308">
        <f>AW553-AW554</f>
        <v>932</v>
      </c>
      <c r="AX555" s="305">
        <f t="shared" si="898"/>
        <v>981.66599999999994</v>
      </c>
      <c r="AY555" s="306">
        <f t="shared" si="898"/>
        <v>1030.1151829999999</v>
      </c>
      <c r="AZ555" s="306">
        <f t="shared" si="898"/>
        <v>1077.3773610164999</v>
      </c>
      <c r="BA555" s="307">
        <f t="shared" si="898"/>
        <v>1123.4816156715956</v>
      </c>
      <c r="BB555" s="308">
        <f t="shared" si="898"/>
        <v>1123.4816156715956</v>
      </c>
      <c r="BC555" s="305">
        <f t="shared" ref="BC555:BL555" si="899">BC553-BC554</f>
        <v>1168.4563160876414</v>
      </c>
      <c r="BD555" s="306">
        <f t="shared" si="899"/>
        <v>1212.3291363434942</v>
      </c>
      <c r="BE555" s="306">
        <f t="shared" si="899"/>
        <v>1255.1270725030786</v>
      </c>
      <c r="BF555" s="307">
        <f t="shared" si="899"/>
        <v>1296.876459226753</v>
      </c>
      <c r="BG555" s="308">
        <f t="shared" si="899"/>
        <v>1296.876459226753</v>
      </c>
      <c r="BH555" s="305">
        <f t="shared" si="899"/>
        <v>1337.6029859756977</v>
      </c>
      <c r="BI555" s="306">
        <f t="shared" si="899"/>
        <v>1377.331712819293</v>
      </c>
      <c r="BJ555" s="306">
        <f t="shared" si="899"/>
        <v>1416.0870858552203</v>
      </c>
      <c r="BK555" s="307">
        <f t="shared" si="899"/>
        <v>1453.8929522517674</v>
      </c>
      <c r="BL555" s="308">
        <f t="shared" si="899"/>
        <v>1453.8929522517674</v>
      </c>
      <c r="BM555" s="305">
        <f t="shared" ref="BM555:BQ555" si="900">BM553-BM554</f>
        <v>1490.7725749215992</v>
      </c>
      <c r="BN555" s="306">
        <f t="shared" si="900"/>
        <v>1526.7486468360203</v>
      </c>
      <c r="BO555" s="306">
        <f t="shared" si="900"/>
        <v>1561.843304988538</v>
      </c>
      <c r="BP555" s="307">
        <f t="shared" si="900"/>
        <v>1596.0781440163187</v>
      </c>
      <c r="BQ555" s="308">
        <f t="shared" si="900"/>
        <v>1596.0781440163187</v>
      </c>
      <c r="BR555" s="490"/>
      <c r="BS555" s="490"/>
      <c r="BT555" s="81"/>
      <c r="BU555" s="173"/>
      <c r="BV555" s="173"/>
      <c r="BW555" s="173"/>
      <c r="BX555" s="173"/>
      <c r="BY555" s="173"/>
      <c r="BZ555" s="173"/>
    </row>
    <row r="556" spans="1:84" s="81" customFormat="1">
      <c r="A556" s="202"/>
      <c r="B556" s="96"/>
      <c r="C556" s="1179"/>
      <c r="E556" s="316"/>
      <c r="F556" s="312"/>
      <c r="G556" s="312"/>
      <c r="H556" s="317"/>
      <c r="I556" s="308"/>
      <c r="J556" s="316"/>
      <c r="K556" s="312"/>
      <c r="L556" s="312"/>
      <c r="M556" s="317"/>
      <c r="N556" s="285"/>
      <c r="O556" s="316"/>
      <c r="P556" s="312"/>
      <c r="Q556" s="312"/>
      <c r="R556" s="317"/>
      <c r="S556" s="285"/>
      <c r="T556" s="316"/>
      <c r="U556" s="312"/>
      <c r="V556" s="312"/>
      <c r="W556" s="317"/>
      <c r="X556" s="285"/>
      <c r="Y556" s="316"/>
      <c r="Z556" s="312"/>
      <c r="AA556" s="312"/>
      <c r="AB556" s="317"/>
      <c r="AC556" s="285"/>
      <c r="AD556" s="316"/>
      <c r="AE556" s="312"/>
      <c r="AF556" s="312"/>
      <c r="AG556" s="317"/>
      <c r="AH556" s="285"/>
      <c r="AI556" s="316"/>
      <c r="AJ556" s="312"/>
      <c r="AK556" s="312"/>
      <c r="AL556" s="317"/>
      <c r="AM556" s="285"/>
      <c r="AN556" s="316"/>
      <c r="AO556" s="312"/>
      <c r="AP556" s="312"/>
      <c r="AQ556" s="317"/>
      <c r="AR556" s="285"/>
      <c r="AS556" s="2184"/>
      <c r="AT556" s="312"/>
      <c r="AU556" s="312"/>
      <c r="AV556" s="317"/>
      <c r="AW556" s="285"/>
      <c r="AX556" s="316"/>
      <c r="AY556" s="312"/>
      <c r="AZ556" s="312"/>
      <c r="BA556" s="317"/>
      <c r="BB556" s="308"/>
      <c r="BC556" s="316"/>
      <c r="BD556" s="312"/>
      <c r="BE556" s="312"/>
      <c r="BF556" s="317"/>
      <c r="BG556" s="308"/>
      <c r="BH556" s="316"/>
      <c r="BI556" s="312"/>
      <c r="BJ556" s="312"/>
      <c r="BK556" s="317"/>
      <c r="BL556" s="308"/>
      <c r="BM556" s="316"/>
      <c r="BN556" s="312"/>
      <c r="BO556" s="312"/>
      <c r="BP556" s="317"/>
      <c r="BQ556" s="308"/>
      <c r="BR556" s="221"/>
      <c r="BS556" s="221"/>
      <c r="BT556" s="60"/>
      <c r="BU556" s="60"/>
      <c r="BV556" s="60"/>
      <c r="BW556" s="60"/>
      <c r="BX556" s="60"/>
      <c r="BY556" s="60"/>
      <c r="BZ556" s="60"/>
      <c r="CD556" s="15"/>
    </row>
    <row r="557" spans="1:84" s="60" customFormat="1">
      <c r="A557" s="490"/>
      <c r="B557" s="93"/>
      <c r="C557" s="1186" t="s">
        <v>239</v>
      </c>
      <c r="E557" s="305"/>
      <c r="F557" s="306"/>
      <c r="G557" s="306"/>
      <c r="H557" s="307"/>
      <c r="I557" s="308"/>
      <c r="J557" s="305"/>
      <c r="K557" s="306"/>
      <c r="L557" s="306"/>
      <c r="M557" s="307">
        <f>N557</f>
        <v>1063</v>
      </c>
      <c r="N557" s="477">
        <f>1063</f>
        <v>1063</v>
      </c>
      <c r="O557" s="478">
        <f>756.305+78.674</f>
        <v>834.97899999999993</v>
      </c>
      <c r="P557" s="479">
        <f>694+68.938</f>
        <v>762.93799999999999</v>
      </c>
      <c r="Q557" s="479">
        <f>818+91.976</f>
        <v>909.976</v>
      </c>
      <c r="R557" s="307">
        <f>S557</f>
        <v>1135.838</v>
      </c>
      <c r="S557" s="477">
        <f>1014+121.838</f>
        <v>1135.838</v>
      </c>
      <c r="T557" s="478">
        <f>1173+109.573</f>
        <v>1282.5730000000001</v>
      </c>
      <c r="U557" s="479">
        <f>919+138.874</f>
        <v>1057.874</v>
      </c>
      <c r="V557" s="479">
        <f>1055+164.223</f>
        <v>1219.223</v>
      </c>
      <c r="W557" s="307">
        <f>X557</f>
        <v>1271.6030000000001</v>
      </c>
      <c r="X557" s="477">
        <f>1141+130.603</f>
        <v>1271.6030000000001</v>
      </c>
      <c r="Y557" s="478">
        <f>1089+156.847</f>
        <v>1245.847</v>
      </c>
      <c r="Z557" s="479">
        <f>1141+65.193</f>
        <v>1206.193</v>
      </c>
      <c r="AA557" s="479">
        <f>1116+75.94</f>
        <v>1191.94</v>
      </c>
      <c r="AB557" s="307">
        <f>AC557</f>
        <v>1358.5039999999999</v>
      </c>
      <c r="AC557" s="477">
        <f>1308+50.504</f>
        <v>1358.5039999999999</v>
      </c>
      <c r="AD557" s="478">
        <f>1356+65.438</f>
        <v>1421.4380000000001</v>
      </c>
      <c r="AE557" s="479">
        <f>682+54.908</f>
        <v>736.90800000000002</v>
      </c>
      <c r="AF557" s="479">
        <f>688+54</f>
        <v>742</v>
      </c>
      <c r="AG557" s="307">
        <f>AH557</f>
        <v>1052</v>
      </c>
      <c r="AH557" s="477">
        <f>1010+42</f>
        <v>1052</v>
      </c>
      <c r="AI557" s="478">
        <f>1057+46</f>
        <v>1103</v>
      </c>
      <c r="AJ557" s="479">
        <f>917+20</f>
        <v>937</v>
      </c>
      <c r="AK557" s="479">
        <f>925+30</f>
        <v>955</v>
      </c>
      <c r="AL557" s="307">
        <f>AM557</f>
        <v>1201</v>
      </c>
      <c r="AM557" s="477">
        <f>44+1157</f>
        <v>1201</v>
      </c>
      <c r="AN557" s="478">
        <f>62+1273</f>
        <v>1335</v>
      </c>
      <c r="AO557" s="306">
        <v>1061</v>
      </c>
      <c r="AP557" s="479">
        <f>36+1048</f>
        <v>1084</v>
      </c>
      <c r="AQ557" s="307">
        <f>AR557</f>
        <v>453</v>
      </c>
      <c r="AR557" s="477">
        <f>26+427</f>
        <v>453</v>
      </c>
      <c r="AS557" s="478">
        <f>1+488</f>
        <v>489</v>
      </c>
      <c r="AT557" s="479">
        <f>2+299</f>
        <v>301</v>
      </c>
      <c r="AU557" s="479">
        <f>11+288</f>
        <v>299</v>
      </c>
      <c r="AV557" s="307">
        <f>AW557</f>
        <v>28</v>
      </c>
      <c r="AW557" s="477">
        <f>22+6</f>
        <v>28</v>
      </c>
      <c r="AX557" s="305">
        <f>AV557</f>
        <v>28</v>
      </c>
      <c r="AY557" s="306">
        <f>BB570*AY564</f>
        <v>28</v>
      </c>
      <c r="AZ557" s="306">
        <f>AZ564*BB570</f>
        <v>28</v>
      </c>
      <c r="BA557" s="307">
        <f>BB570*BA564</f>
        <v>28</v>
      </c>
      <c r="BB557" s="308">
        <f>BA557</f>
        <v>28</v>
      </c>
      <c r="BC557" s="305">
        <f>BC564*BG570</f>
        <v>28</v>
      </c>
      <c r="BD557" s="306">
        <f>BG570*BD564</f>
        <v>28</v>
      </c>
      <c r="BE557" s="306">
        <f>BE564*BG570</f>
        <v>28</v>
      </c>
      <c r="BF557" s="307">
        <f>BG570*BF564</f>
        <v>28</v>
      </c>
      <c r="BG557" s="308">
        <f>BF557</f>
        <v>28</v>
      </c>
      <c r="BH557" s="305">
        <f>BH564*BL570</f>
        <v>28</v>
      </c>
      <c r="BI557" s="306">
        <f>BL570*BI564</f>
        <v>28</v>
      </c>
      <c r="BJ557" s="306">
        <f>BJ564*BL570</f>
        <v>28</v>
      </c>
      <c r="BK557" s="307">
        <f>BL570*BK564</f>
        <v>28</v>
      </c>
      <c r="BL557" s="308">
        <f>BK557</f>
        <v>28</v>
      </c>
      <c r="BM557" s="305">
        <f>BM564*BQ570</f>
        <v>28</v>
      </c>
      <c r="BN557" s="306">
        <f>BQ570*BN564</f>
        <v>28</v>
      </c>
      <c r="BO557" s="306">
        <f>BO564*BQ570</f>
        <v>28</v>
      </c>
      <c r="BP557" s="307">
        <f>BQ570*BP564</f>
        <v>28</v>
      </c>
      <c r="BQ557" s="308">
        <f>BP557</f>
        <v>28</v>
      </c>
      <c r="BR557" s="490"/>
      <c r="BS557" s="490"/>
      <c r="BT557" s="15"/>
      <c r="BU557" s="81"/>
      <c r="BV557" s="81"/>
      <c r="BW557" s="81"/>
      <c r="BX557" s="81"/>
      <c r="BY557" s="81"/>
      <c r="BZ557" s="81"/>
      <c r="CD557" s="48"/>
    </row>
    <row r="558" spans="1:84">
      <c r="A558" s="139"/>
      <c r="B558" s="96"/>
      <c r="C558" s="1179"/>
      <c r="E558" s="133"/>
      <c r="F558" s="134"/>
      <c r="G558" s="134"/>
      <c r="H558" s="135"/>
      <c r="I558" s="233"/>
      <c r="J558" s="133"/>
      <c r="K558" s="134"/>
      <c r="L558" s="134"/>
      <c r="M558" s="135"/>
      <c r="N558" s="237"/>
      <c r="O558" s="316"/>
      <c r="P558" s="312"/>
      <c r="Q558" s="312"/>
      <c r="R558" s="317"/>
      <c r="S558" s="285"/>
      <c r="T558" s="133"/>
      <c r="U558" s="312"/>
      <c r="V558" s="312"/>
      <c r="W558" s="317"/>
      <c r="X558" s="285"/>
      <c r="Y558" s="133"/>
      <c r="Z558" s="312"/>
      <c r="AA558" s="312"/>
      <c r="AB558" s="135"/>
      <c r="AC558" s="285"/>
      <c r="AD558" s="133"/>
      <c r="AE558" s="134"/>
      <c r="AF558" s="134"/>
      <c r="AG558" s="135"/>
      <c r="AH558" s="285"/>
      <c r="AI558" s="133"/>
      <c r="AJ558" s="134"/>
      <c r="AK558" s="134"/>
      <c r="AL558" s="135"/>
      <c r="AM558" s="285"/>
      <c r="AN558" s="133"/>
      <c r="AO558" s="134"/>
      <c r="AP558" s="134"/>
      <c r="AQ558" s="135"/>
      <c r="AR558" s="285"/>
      <c r="AS558" s="2237"/>
      <c r="AT558" s="134"/>
      <c r="AU558" s="134"/>
      <c r="AV558" s="135"/>
      <c r="AW558" s="285"/>
      <c r="AX558" s="133"/>
      <c r="AY558" s="134"/>
      <c r="AZ558" s="134"/>
      <c r="BA558" s="135"/>
      <c r="BB558" s="233"/>
      <c r="BC558" s="133"/>
      <c r="BD558" s="134"/>
      <c r="BE558" s="134"/>
      <c r="BF558" s="135"/>
      <c r="BG558" s="233"/>
      <c r="BH558" s="133"/>
      <c r="BI558" s="134"/>
      <c r="BJ558" s="134"/>
      <c r="BK558" s="135"/>
      <c r="BL558" s="233"/>
      <c r="BM558" s="133"/>
      <c r="BN558" s="134"/>
      <c r="BO558" s="134"/>
      <c r="BP558" s="135"/>
      <c r="BQ558" s="233"/>
      <c r="BR558" s="177"/>
      <c r="BS558" s="177"/>
      <c r="BT558" s="48"/>
      <c r="BU558" s="60"/>
      <c r="BV558" s="60"/>
      <c r="BW558" s="60"/>
      <c r="BX558" s="60"/>
      <c r="BY558" s="60"/>
      <c r="BZ558" s="60"/>
      <c r="CA558" s="15"/>
      <c r="CB558" s="15"/>
      <c r="CC558" s="15"/>
      <c r="CD558" s="48"/>
      <c r="CE558" s="15"/>
      <c r="CF558" s="15"/>
    </row>
    <row r="559" spans="1:84" s="12" customFormat="1">
      <c r="A559" s="91"/>
      <c r="B559" s="96"/>
      <c r="C559" s="1184" t="s">
        <v>935</v>
      </c>
      <c r="E559" s="235"/>
      <c r="F559" s="236"/>
      <c r="G559" s="236"/>
      <c r="H559" s="238"/>
      <c r="I559" s="237"/>
      <c r="J559" s="235"/>
      <c r="K559" s="236"/>
      <c r="L559" s="236"/>
      <c r="M559" s="238"/>
      <c r="N559" s="96"/>
      <c r="O559" s="104">
        <f t="shared" ref="O559:W559" si="901">O13</f>
        <v>88</v>
      </c>
      <c r="P559" s="77">
        <f t="shared" si="901"/>
        <v>109</v>
      </c>
      <c r="Q559" s="77">
        <f t="shared" si="901"/>
        <v>110</v>
      </c>
      <c r="R559" s="102">
        <f t="shared" si="901"/>
        <v>108</v>
      </c>
      <c r="S559" s="96">
        <f t="shared" si="901"/>
        <v>415</v>
      </c>
      <c r="T559" s="104">
        <f t="shared" si="901"/>
        <v>100</v>
      </c>
      <c r="U559" s="77">
        <f t="shared" si="901"/>
        <v>103</v>
      </c>
      <c r="V559" s="77">
        <f t="shared" si="901"/>
        <v>105</v>
      </c>
      <c r="W559" s="102">
        <f t="shared" si="901"/>
        <v>106</v>
      </c>
      <c r="X559" s="96">
        <f>SUM(T559:W559)</f>
        <v>414</v>
      </c>
      <c r="Y559" s="104">
        <f t="shared" ref="Y559:AO559" si="902">Y13</f>
        <v>111</v>
      </c>
      <c r="Z559" s="115">
        <f t="shared" si="902"/>
        <v>114</v>
      </c>
      <c r="AA559" s="77">
        <f t="shared" si="902"/>
        <v>125</v>
      </c>
      <c r="AB559" s="102">
        <f t="shared" si="902"/>
        <v>89</v>
      </c>
      <c r="AC559" s="96">
        <f t="shared" si="902"/>
        <v>439</v>
      </c>
      <c r="AD559" s="104">
        <f t="shared" si="902"/>
        <v>91</v>
      </c>
      <c r="AE559" s="77">
        <f t="shared" si="902"/>
        <v>96</v>
      </c>
      <c r="AF559" s="77">
        <f t="shared" si="902"/>
        <v>100</v>
      </c>
      <c r="AG559" s="102">
        <f t="shared" si="902"/>
        <v>100</v>
      </c>
      <c r="AH559" s="96">
        <f t="shared" si="902"/>
        <v>387</v>
      </c>
      <c r="AI559" s="104">
        <f t="shared" si="902"/>
        <v>96</v>
      </c>
      <c r="AJ559" s="77">
        <f t="shared" si="902"/>
        <v>99</v>
      </c>
      <c r="AK559" s="77">
        <f t="shared" si="902"/>
        <v>98</v>
      </c>
      <c r="AL559" s="102">
        <f t="shared" si="902"/>
        <v>101</v>
      </c>
      <c r="AM559" s="96">
        <f t="shared" si="902"/>
        <v>394</v>
      </c>
      <c r="AN559" s="104">
        <f t="shared" si="902"/>
        <v>102</v>
      </c>
      <c r="AO559" s="77">
        <f t="shared" si="902"/>
        <v>103</v>
      </c>
      <c r="AP559" s="77">
        <f t="shared" ref="AP559:AU559" si="903">AP13</f>
        <v>79</v>
      </c>
      <c r="AQ559" s="102">
        <f t="shared" si="903"/>
        <v>103</v>
      </c>
      <c r="AR559" s="96">
        <f t="shared" si="903"/>
        <v>387</v>
      </c>
      <c r="AS559" s="104">
        <f t="shared" si="903"/>
        <v>28</v>
      </c>
      <c r="AT559" s="77">
        <f t="shared" si="903"/>
        <v>29</v>
      </c>
      <c r="AU559" s="77">
        <f t="shared" si="903"/>
        <v>30</v>
      </c>
      <c r="AV559" s="102">
        <f t="shared" ref="AV559:AW559" si="904">AV13</f>
        <v>31</v>
      </c>
      <c r="AW559" s="96">
        <f t="shared" si="904"/>
        <v>118</v>
      </c>
      <c r="AX559" s="104">
        <f>AX563*AW555/4</f>
        <v>22.834</v>
      </c>
      <c r="AY559" s="77">
        <f>AY563*AX555/4</f>
        <v>24.050816999999999</v>
      </c>
      <c r="AZ559" s="77">
        <f>AZ563*AY555/4</f>
        <v>25.237821983499998</v>
      </c>
      <c r="BA559" s="102">
        <f>BA563*AZ555/4</f>
        <v>26.395745344904249</v>
      </c>
      <c r="BB559" s="96">
        <f>SUM(AX559:BA559)</f>
        <v>98.518384328404238</v>
      </c>
      <c r="BC559" s="104">
        <f>BC563*BB555/4</f>
        <v>27.525299583954094</v>
      </c>
      <c r="BD559" s="77">
        <f>BD563*BC555/4</f>
        <v>28.627179744147217</v>
      </c>
      <c r="BE559" s="77">
        <f>BE563*BD555/4</f>
        <v>29.702063840415608</v>
      </c>
      <c r="BF559" s="102">
        <f>BF563*BE555/4</f>
        <v>30.750613276325428</v>
      </c>
      <c r="BG559" s="96">
        <f>SUM(BC559:BF559)</f>
        <v>116.60515644484234</v>
      </c>
      <c r="BH559" s="104">
        <f>BH563*BG555/4</f>
        <v>31.773473251055449</v>
      </c>
      <c r="BI559" s="77">
        <f>BI563*BH555/4</f>
        <v>32.771273156404597</v>
      </c>
      <c r="BJ559" s="77">
        <f>BJ563*BI555/4</f>
        <v>33.74462696407268</v>
      </c>
      <c r="BK559" s="102">
        <f>BK563*BJ555/4</f>
        <v>34.694133603452897</v>
      </c>
      <c r="BL559" s="96">
        <f>SUM(BH559:BK559)</f>
        <v>132.98350697498563</v>
      </c>
      <c r="BM559" s="104">
        <f>BM563*BL555/4</f>
        <v>35.620377330168303</v>
      </c>
      <c r="BN559" s="77">
        <f>BN563*BM555/4</f>
        <v>36.523928085579186</v>
      </c>
      <c r="BO559" s="77">
        <f>BO563*BN555/4</f>
        <v>37.405341847482497</v>
      </c>
      <c r="BP559" s="102">
        <f>BP563*BO555/4</f>
        <v>38.265160972219185</v>
      </c>
      <c r="BQ559" s="96">
        <f>SUM(BM559:BP559)</f>
        <v>147.81480823544916</v>
      </c>
      <c r="BR559" s="501"/>
      <c r="BS559" s="501"/>
      <c r="BT559" s="48"/>
      <c r="BU559" s="15"/>
      <c r="BV559" s="15"/>
      <c r="BW559" s="15"/>
      <c r="BX559" s="15"/>
      <c r="BY559" s="15"/>
      <c r="BZ559" s="15"/>
      <c r="CA559" s="48"/>
      <c r="CB559" s="48"/>
      <c r="CC559" s="48"/>
      <c r="CD559" s="762"/>
      <c r="CE559" s="48"/>
      <c r="CF559" s="48"/>
    </row>
    <row r="560" spans="1:84" s="12" customFormat="1">
      <c r="A560" s="91"/>
      <c r="B560" s="96"/>
      <c r="C560" s="1184" t="s">
        <v>936</v>
      </c>
      <c r="E560" s="235"/>
      <c r="F560" s="236"/>
      <c r="G560" s="236"/>
      <c r="H560" s="238"/>
      <c r="I560" s="237"/>
      <c r="J560" s="235"/>
      <c r="K560" s="236"/>
      <c r="L560" s="236"/>
      <c r="M560" s="238"/>
      <c r="N560" s="96"/>
      <c r="O560" s="104"/>
      <c r="P560" s="77"/>
      <c r="Q560" s="77"/>
      <c r="R560" s="102"/>
      <c r="S560" s="96"/>
      <c r="T560" s="104"/>
      <c r="U560" s="77"/>
      <c r="V560" s="77"/>
      <c r="W560" s="102"/>
      <c r="X560" s="96"/>
      <c r="Y560" s="104"/>
      <c r="Z560" s="115"/>
      <c r="AA560" s="77"/>
      <c r="AB560" s="102"/>
      <c r="AC560" s="96"/>
      <c r="AD560" s="104"/>
      <c r="AE560" s="77"/>
      <c r="AF560" s="77"/>
      <c r="AG560" s="102"/>
      <c r="AH560" s="96"/>
      <c r="AI560" s="104"/>
      <c r="AJ560" s="77"/>
      <c r="AK560" s="77"/>
      <c r="AL560" s="102"/>
      <c r="AM560" s="96"/>
      <c r="AN560" s="104"/>
      <c r="AO560" s="77"/>
      <c r="AP560" s="77"/>
      <c r="AQ560" s="102"/>
      <c r="AR560" s="96"/>
      <c r="AS560" s="104"/>
      <c r="AT560" s="77"/>
      <c r="AU560" s="77"/>
      <c r="AV560" s="102"/>
      <c r="AW560" s="96"/>
      <c r="AX560" s="104">
        <f>AS560</f>
        <v>0</v>
      </c>
      <c r="AY560" s="77">
        <f>AT560</f>
        <v>0</v>
      </c>
      <c r="AZ560" s="77">
        <f>AU560</f>
        <v>0</v>
      </c>
      <c r="BA560" s="102">
        <f>AV560</f>
        <v>0</v>
      </c>
      <c r="BB560" s="96">
        <f>SUM(AX560:BA560)</f>
        <v>0</v>
      </c>
      <c r="BC560" s="104">
        <f>AX560</f>
        <v>0</v>
      </c>
      <c r="BD560" s="77">
        <f>AY560</f>
        <v>0</v>
      </c>
      <c r="BE560" s="77">
        <f>AZ560</f>
        <v>0</v>
      </c>
      <c r="BF560" s="102">
        <f>BA560</f>
        <v>0</v>
      </c>
      <c r="BG560" s="96">
        <f>SUM(BC560:BF560)</f>
        <v>0</v>
      </c>
      <c r="BH560" s="104">
        <f>BC560</f>
        <v>0</v>
      </c>
      <c r="BI560" s="77">
        <f>BD560</f>
        <v>0</v>
      </c>
      <c r="BJ560" s="77">
        <f>BE560</f>
        <v>0</v>
      </c>
      <c r="BK560" s="102">
        <f>BF560</f>
        <v>0</v>
      </c>
      <c r="BL560" s="96">
        <f>SUM(BH560:BK560)</f>
        <v>0</v>
      </c>
      <c r="BM560" s="104">
        <f>BH560</f>
        <v>0</v>
      </c>
      <c r="BN560" s="77">
        <f>BI560</f>
        <v>0</v>
      </c>
      <c r="BO560" s="77">
        <f>BJ560</f>
        <v>0</v>
      </c>
      <c r="BP560" s="102">
        <f>BK560</f>
        <v>0</v>
      </c>
      <c r="BQ560" s="96">
        <f>SUM(BM560:BP560)</f>
        <v>0</v>
      </c>
      <c r="BR560" s="501"/>
      <c r="BS560" s="501"/>
      <c r="BT560" s="48"/>
      <c r="BU560" s="15"/>
      <c r="BV560" s="15"/>
      <c r="BW560" s="15"/>
      <c r="BX560" s="15"/>
      <c r="BY560" s="15"/>
      <c r="BZ560" s="15"/>
      <c r="CA560" s="48"/>
      <c r="CB560" s="48"/>
      <c r="CC560" s="48"/>
      <c r="CD560" s="762"/>
      <c r="CE560" s="48"/>
      <c r="CF560" s="48"/>
    </row>
    <row r="561" spans="1:84" s="12" customFormat="1">
      <c r="A561" s="91"/>
      <c r="B561" s="96"/>
      <c r="C561" s="1186" t="s">
        <v>937</v>
      </c>
      <c r="D561" s="13"/>
      <c r="E561" s="231"/>
      <c r="F561" s="232"/>
      <c r="G561" s="232"/>
      <c r="H561" s="234"/>
      <c r="I561" s="233"/>
      <c r="J561" s="231"/>
      <c r="K561" s="232"/>
      <c r="L561" s="232"/>
      <c r="M561" s="234"/>
      <c r="N561" s="93"/>
      <c r="O561" s="106"/>
      <c r="P561" s="76"/>
      <c r="Q561" s="76"/>
      <c r="R561" s="107"/>
      <c r="S561" s="93"/>
      <c r="T561" s="106"/>
      <c r="U561" s="76"/>
      <c r="V561" s="76"/>
      <c r="W561" s="107"/>
      <c r="X561" s="93"/>
      <c r="Y561" s="106"/>
      <c r="Z561" s="76"/>
      <c r="AA561" s="76"/>
      <c r="AB561" s="107"/>
      <c r="AC561" s="93"/>
      <c r="AD561" s="106"/>
      <c r="AE561" s="76"/>
      <c r="AF561" s="76"/>
      <c r="AG561" s="107"/>
      <c r="AH561" s="93"/>
      <c r="AI561" s="106"/>
      <c r="AJ561" s="76"/>
      <c r="AK561" s="76"/>
      <c r="AL561" s="107"/>
      <c r="AM561" s="93"/>
      <c r="AN561" s="106"/>
      <c r="AO561" s="76"/>
      <c r="AP561" s="76"/>
      <c r="AQ561" s="107"/>
      <c r="AR561" s="93"/>
      <c r="AS561" s="106"/>
      <c r="AT561" s="76"/>
      <c r="AU561" s="76"/>
      <c r="AV561" s="107"/>
      <c r="AW561" s="93"/>
      <c r="AX561" s="106">
        <f>AX559+AX560</f>
        <v>22.834</v>
      </c>
      <c r="AY561" s="76">
        <f>AY559+AY560</f>
        <v>24.050816999999999</v>
      </c>
      <c r="AZ561" s="76">
        <f>AZ559+AZ560</f>
        <v>25.237821983499998</v>
      </c>
      <c r="BA561" s="107">
        <f>BA559+BA560</f>
        <v>26.395745344904249</v>
      </c>
      <c r="BB561" s="93">
        <f>SUM(AX561:BA561)</f>
        <v>98.518384328404238</v>
      </c>
      <c r="BC561" s="106">
        <f>BC559+BC560</f>
        <v>27.525299583954094</v>
      </c>
      <c r="BD561" s="76">
        <f>BD559+BD560</f>
        <v>28.627179744147217</v>
      </c>
      <c r="BE561" s="76">
        <f>BE559+BE560</f>
        <v>29.702063840415608</v>
      </c>
      <c r="BF561" s="107">
        <f>BF559+BF560</f>
        <v>30.750613276325428</v>
      </c>
      <c r="BG561" s="93">
        <f>SUM(BC561:BF561)</f>
        <v>116.60515644484234</v>
      </c>
      <c r="BH561" s="106">
        <f>BH559+BH560</f>
        <v>31.773473251055449</v>
      </c>
      <c r="BI561" s="76">
        <f>BI559+BI560</f>
        <v>32.771273156404597</v>
      </c>
      <c r="BJ561" s="76">
        <f>BJ559+BJ560</f>
        <v>33.74462696407268</v>
      </c>
      <c r="BK561" s="107">
        <f>BK559+BK560</f>
        <v>34.694133603452897</v>
      </c>
      <c r="BL561" s="93">
        <f>SUM(BH561:BK561)</f>
        <v>132.98350697498563</v>
      </c>
      <c r="BM561" s="106">
        <f>BM559+BM560</f>
        <v>35.620377330168303</v>
      </c>
      <c r="BN561" s="76">
        <f>BN559+BN560</f>
        <v>36.523928085579186</v>
      </c>
      <c r="BO561" s="76">
        <f>BO559+BO560</f>
        <v>37.405341847482497</v>
      </c>
      <c r="BP561" s="107">
        <f>BP559+BP560</f>
        <v>38.265160972219185</v>
      </c>
      <c r="BQ561" s="93">
        <f>SUM(BM561:BP561)</f>
        <v>147.81480823544916</v>
      </c>
      <c r="BR561" s="501"/>
      <c r="BS561" s="501"/>
      <c r="BT561" s="48"/>
      <c r="BU561" s="15"/>
      <c r="BV561" s="15"/>
      <c r="BW561" s="15"/>
      <c r="BX561" s="15"/>
      <c r="BY561" s="15"/>
      <c r="BZ561" s="15"/>
      <c r="CA561" s="48"/>
      <c r="CB561" s="48"/>
      <c r="CC561" s="48"/>
      <c r="CD561" s="762"/>
      <c r="CE561" s="48"/>
      <c r="CF561" s="48"/>
    </row>
    <row r="562" spans="1:84" s="12" customFormat="1">
      <c r="A562" s="91"/>
      <c r="B562" s="96"/>
      <c r="C562" s="1179"/>
      <c r="E562" s="235"/>
      <c r="F562" s="236"/>
      <c r="G562" s="236"/>
      <c r="H562" s="238"/>
      <c r="I562" s="237"/>
      <c r="J562" s="235"/>
      <c r="K562" s="236"/>
      <c r="L562" s="236"/>
      <c r="M562" s="238"/>
      <c r="N562" s="237"/>
      <c r="O562" s="235"/>
      <c r="P562" s="236"/>
      <c r="Q562" s="236"/>
      <c r="R562" s="238"/>
      <c r="S562" s="237"/>
      <c r="T562" s="235"/>
      <c r="U562" s="236"/>
      <c r="V562" s="236"/>
      <c r="W562" s="238"/>
      <c r="X562" s="237"/>
      <c r="Y562" s="235"/>
      <c r="Z562" s="131"/>
      <c r="AA562" s="236"/>
      <c r="AB562" s="238"/>
      <c r="AC562" s="237"/>
      <c r="AD562" s="235"/>
      <c r="AE562" s="236"/>
      <c r="AF562" s="236"/>
      <c r="AG562" s="238"/>
      <c r="AH562" s="237"/>
      <c r="AI562" s="235"/>
      <c r="AJ562" s="236"/>
      <c r="AK562" s="236"/>
      <c r="AL562" s="238"/>
      <c r="AM562" s="237"/>
      <c r="AN562" s="235"/>
      <c r="AO562" s="236"/>
      <c r="AP562" s="236"/>
      <c r="AQ562" s="238"/>
      <c r="AR562" s="237"/>
      <c r="AS562" s="235"/>
      <c r="AT562" s="236"/>
      <c r="AU562" s="236"/>
      <c r="AV562" s="238"/>
      <c r="AW562" s="237"/>
      <c r="AX562" s="235"/>
      <c r="AY562" s="236"/>
      <c r="AZ562" s="236"/>
      <c r="BA562" s="238"/>
      <c r="BB562" s="237"/>
      <c r="BC562" s="235"/>
      <c r="BD562" s="236"/>
      <c r="BE562" s="236"/>
      <c r="BF562" s="238"/>
      <c r="BG562" s="237"/>
      <c r="BH562" s="235"/>
      <c r="BI562" s="236"/>
      <c r="BJ562" s="236"/>
      <c r="BK562" s="238"/>
      <c r="BL562" s="237"/>
      <c r="BM562" s="235"/>
      <c r="BN562" s="236"/>
      <c r="BO562" s="236"/>
      <c r="BP562" s="238"/>
      <c r="BQ562" s="237"/>
      <c r="BR562" s="501"/>
      <c r="BS562" s="501"/>
      <c r="BT562" s="762"/>
      <c r="BU562" s="48"/>
      <c r="BV562" s="48"/>
      <c r="BW562" s="48"/>
      <c r="BX562" s="48"/>
      <c r="BY562" s="48"/>
      <c r="BZ562" s="48"/>
      <c r="CA562" s="48"/>
      <c r="CB562" s="48"/>
      <c r="CC562" s="48"/>
      <c r="CD562" s="762"/>
      <c r="CE562" s="48"/>
      <c r="CF562" s="48"/>
    </row>
    <row r="563" spans="1:84" s="762" customFormat="1">
      <c r="A563" s="682"/>
      <c r="B563" s="679"/>
      <c r="C563" s="1179" t="s">
        <v>350</v>
      </c>
      <c r="E563" s="702"/>
      <c r="F563" s="703"/>
      <c r="G563" s="703"/>
      <c r="H563" s="704"/>
      <c r="I563" s="679"/>
      <c r="J563" s="702"/>
      <c r="K563" s="703"/>
      <c r="L563" s="703"/>
      <c r="M563" s="704"/>
      <c r="N563" s="679"/>
      <c r="O563" s="141">
        <f>O559/AVERAGE(N555:O555)*4</f>
        <v>3.8277033290688517E-2</v>
      </c>
      <c r="P563" s="84">
        <f>P559/AVERAGE(O555:P555)*4</f>
        <v>3.9387061440654042E-2</v>
      </c>
      <c r="Q563" s="84">
        <f>Q559/AVERAGE(P555:Q555)*4</f>
        <v>3.9777040646937406E-2</v>
      </c>
      <c r="R563" s="142">
        <f>R559/AVERAGE(Q555:R555)*4</f>
        <v>3.9759903563826499E-2</v>
      </c>
      <c r="S563" s="498">
        <f>S559/AVERAGE(N555,S555)</f>
        <v>4.5775071227113842E-2</v>
      </c>
      <c r="T563" s="141">
        <f>T559/AVERAGE(S555:T555)*4</f>
        <v>3.7379818626578555E-2</v>
      </c>
      <c r="U563" s="84">
        <f>U559/AVERAGE(T555:U555)*4</f>
        <v>3.821342587907807E-2</v>
      </c>
      <c r="V563" s="84">
        <f>V559/AVERAGE(U555:V555)*4</f>
        <v>3.8098158090121188E-2</v>
      </c>
      <c r="W563" s="142">
        <f>W559/AVERAGE(V555:W555)*4</f>
        <v>3.7523063630708627E-2</v>
      </c>
      <c r="X563" s="498">
        <f>X559/AVERAGE(S555,X555)</f>
        <v>3.7299678092065608E-2</v>
      </c>
      <c r="Y563" s="141">
        <f>Y559/AVERAGE(X555:Y555)*4</f>
        <v>3.8348961470824325E-2</v>
      </c>
      <c r="Z563" s="697">
        <f>Z559/AVERAGE(Y555:Z555)*4</f>
        <v>3.9351509559720034E-2</v>
      </c>
      <c r="AA563" s="84">
        <f>AA559/AVERAGE(Z555:AA555)*4</f>
        <v>4.3971713348576566E-2</v>
      </c>
      <c r="AB563" s="142">
        <f>AB559/AVERAGE(AA555:AB555)*4</f>
        <v>3.3496638856929085E-2</v>
      </c>
      <c r="AC563" s="498">
        <f>AC559/AVERAGE(X555,AC555)</f>
        <v>4.094230534370296E-2</v>
      </c>
      <c r="AD563" s="141">
        <f>AD559/AVERAGE(AC555:AD555)*4</f>
        <v>3.6074201262428572E-2</v>
      </c>
      <c r="AE563" s="697">
        <f>AE559/AVERAGE(AD555:AE555)*4</f>
        <v>3.6364900181663516E-2</v>
      </c>
      <c r="AF563" s="697">
        <f>AF559/AVERAGE(AE555:AF555)*4</f>
        <v>3.6603209360245907E-2</v>
      </c>
      <c r="AG563" s="142">
        <f>AG559/AVERAGE(AF555:AG555)*4</f>
        <v>3.7037037037037035E-2</v>
      </c>
      <c r="AH563" s="498">
        <f>AH559/AVERAGE(AC555,AH555)</f>
        <v>3.7461217476016113E-2</v>
      </c>
      <c r="AI563" s="141">
        <f>AI559/AVERAGE(AH555:AI555)*4</f>
        <v>3.6041109390398424E-2</v>
      </c>
      <c r="AJ563" s="697">
        <f>AJ559/AVERAGE(AI555:AJ555)*4</f>
        <v>3.6835496023440772E-2</v>
      </c>
      <c r="AK563" s="697">
        <f>AK559/AVERAGE(AJ555:AK555)*4</f>
        <v>3.6209126177720305E-2</v>
      </c>
      <c r="AL563" s="142">
        <f>AL559/AVERAGE(AK555:AL555)*4</f>
        <v>3.7352071005917163E-2</v>
      </c>
      <c r="AM563" s="498">
        <f>AM559/AVERAGE(AH555,AM555)</f>
        <v>3.6623907789551963E-2</v>
      </c>
      <c r="AN563" s="141">
        <f>AN559/AVERAGE(AM555:AN555)*4</f>
        <v>3.7713176503212091E-2</v>
      </c>
      <c r="AO563" s="697">
        <f>AO559/AVERAGE(AN555:AO555)*4</f>
        <v>4.1268092352381429E-2</v>
      </c>
      <c r="AP563" s="697">
        <f>AP559/AVERAGE(AO555:AP555)*4</f>
        <v>3.1941777014050342E-2</v>
      </c>
      <c r="AQ563" s="142">
        <f>AQ559/AVERAGE(AP555:AQ555)*4</f>
        <v>6.33310275920375E-2</v>
      </c>
      <c r="AR563" s="498">
        <f>AR559/AVERAGE(AM555,AR555)</f>
        <v>5.844597145661859E-2</v>
      </c>
      <c r="AS563" s="141">
        <f>AS559/AVERAGE(AR555:AS555)*4</f>
        <v>6.0475161987041039E-2</v>
      </c>
      <c r="AT563" s="697">
        <f>AT559/AVERAGE(AS555:AT555)*4</f>
        <v>8.2007776599505131E-2</v>
      </c>
      <c r="AU563" s="697">
        <f>AU559/AVERAGE(AT555:AU555)*4</f>
        <v>7.8947368421052627E-2</v>
      </c>
      <c r="AV563" s="142">
        <f>AV559/AVERAGE(AU555:AV555)*4</f>
        <v>0.10130718954248366</v>
      </c>
      <c r="AW563" s="498">
        <f>AW559/AVERAGE(AR555,AW555)</f>
        <v>7.0849594716301409E-2</v>
      </c>
      <c r="AX563" s="1887">
        <v>9.8000000000000004E-2</v>
      </c>
      <c r="AY563" s="84">
        <f t="shared" ref="AY563:BL563" si="905">AX563</f>
        <v>9.8000000000000004E-2</v>
      </c>
      <c r="AZ563" s="84">
        <f t="shared" si="905"/>
        <v>9.8000000000000004E-2</v>
      </c>
      <c r="BA563" s="142">
        <f t="shared" si="905"/>
        <v>9.8000000000000004E-2</v>
      </c>
      <c r="BB563" s="498">
        <f t="shared" si="905"/>
        <v>9.8000000000000004E-2</v>
      </c>
      <c r="BC563" s="141">
        <f t="shared" si="905"/>
        <v>9.8000000000000004E-2</v>
      </c>
      <c r="BD563" s="84">
        <f t="shared" si="905"/>
        <v>9.8000000000000004E-2</v>
      </c>
      <c r="BE563" s="84">
        <f t="shared" si="905"/>
        <v>9.8000000000000004E-2</v>
      </c>
      <c r="BF563" s="142">
        <f t="shared" si="905"/>
        <v>9.8000000000000004E-2</v>
      </c>
      <c r="BG563" s="498">
        <f t="shared" si="905"/>
        <v>9.8000000000000004E-2</v>
      </c>
      <c r="BH563" s="141">
        <f t="shared" si="905"/>
        <v>9.8000000000000004E-2</v>
      </c>
      <c r="BI563" s="84">
        <f t="shared" si="905"/>
        <v>9.8000000000000004E-2</v>
      </c>
      <c r="BJ563" s="84">
        <f t="shared" si="905"/>
        <v>9.8000000000000004E-2</v>
      </c>
      <c r="BK563" s="142">
        <f t="shared" si="905"/>
        <v>9.8000000000000004E-2</v>
      </c>
      <c r="BL563" s="498">
        <f t="shared" si="905"/>
        <v>9.8000000000000004E-2</v>
      </c>
      <c r="BM563" s="141">
        <f t="shared" ref="BM563" si="906">BL563</f>
        <v>9.8000000000000004E-2</v>
      </c>
      <c r="BN563" s="84">
        <f t="shared" ref="BN563" si="907">BM563</f>
        <v>9.8000000000000004E-2</v>
      </c>
      <c r="BO563" s="84">
        <f t="shared" ref="BO563" si="908">BN563</f>
        <v>9.8000000000000004E-2</v>
      </c>
      <c r="BP563" s="142">
        <f t="shared" ref="BP563" si="909">BO563</f>
        <v>9.8000000000000004E-2</v>
      </c>
      <c r="BQ563" s="498">
        <f t="shared" ref="BQ563" si="910">BP563</f>
        <v>9.8000000000000004E-2</v>
      </c>
      <c r="BR563" s="682"/>
      <c r="BS563" s="682"/>
      <c r="BU563" s="48"/>
      <c r="BV563" s="48"/>
      <c r="BW563" s="48"/>
      <c r="BX563" s="48"/>
      <c r="BY563" s="48"/>
      <c r="BZ563" s="48"/>
      <c r="CD563" s="15"/>
    </row>
    <row r="564" spans="1:84" s="762" customFormat="1">
      <c r="A564" s="682"/>
      <c r="C564" s="1179" t="s">
        <v>369</v>
      </c>
      <c r="E564" s="702"/>
      <c r="F564" s="703"/>
      <c r="G564" s="703"/>
      <c r="H564" s="704"/>
      <c r="I564" s="679"/>
      <c r="J564" s="702"/>
      <c r="K564" s="703"/>
      <c r="L564" s="703"/>
      <c r="M564" s="704"/>
      <c r="N564" s="679"/>
      <c r="O564" s="702">
        <f>O557/$S$570</f>
        <v>1.0732377892030847</v>
      </c>
      <c r="P564" s="703">
        <f>P557/$S$570</f>
        <v>0.98064010282776348</v>
      </c>
      <c r="Q564" s="703">
        <f>Q557/$S$570</f>
        <v>1.1696349614395887</v>
      </c>
      <c r="R564" s="704">
        <f>R557/$S$570</f>
        <v>1.4599460154241646</v>
      </c>
      <c r="S564" s="679">
        <f>S557/$S$570</f>
        <v>1.4599460154241646</v>
      </c>
      <c r="T564" s="702">
        <f>T557/$X$570</f>
        <v>1.2648648915187377</v>
      </c>
      <c r="U564" s="703">
        <f>U557/$X$570</f>
        <v>1.0432682445759369</v>
      </c>
      <c r="V564" s="703">
        <f>V557/$X$570</f>
        <v>1.2023895463510847</v>
      </c>
      <c r="W564" s="704">
        <f>W557/$X$570</f>
        <v>1.2540463510848128</v>
      </c>
      <c r="X564" s="679">
        <f>X557/$X$570</f>
        <v>1.2540463510848128</v>
      </c>
      <c r="Y564" s="702">
        <f>Y557/$AC$570</f>
        <v>1.50646553808948</v>
      </c>
      <c r="Z564" s="703">
        <f>Z557/$AC$570</f>
        <v>1.4585163240628778</v>
      </c>
      <c r="AA564" s="703">
        <f>AA557/$AC$570</f>
        <v>1.4412817412333736</v>
      </c>
      <c r="AB564" s="704">
        <f>AB557/$AC$570</f>
        <v>1.642689238210399</v>
      </c>
      <c r="AC564" s="679">
        <f>AC557/$AC$570</f>
        <v>1.642689238210399</v>
      </c>
      <c r="AD564" s="702">
        <f>AD557/AH570</f>
        <v>1.5137784877529288</v>
      </c>
      <c r="AE564" s="703">
        <f>AE557/AH570</f>
        <v>0.78477955271565492</v>
      </c>
      <c r="AF564" s="703">
        <f>AF557/AH570</f>
        <v>0.79020234291799785</v>
      </c>
      <c r="AG564" s="704">
        <f>AG557/AH570</f>
        <v>1.1203407880724174</v>
      </c>
      <c r="AH564" s="679">
        <f>AH557/AH570</f>
        <v>1.1203407880724174</v>
      </c>
      <c r="AI564" s="702">
        <f>AI557/AM570</f>
        <v>1.8758503401360545</v>
      </c>
      <c r="AJ564" s="703">
        <f>AJ557/AM570</f>
        <v>1.5935374149659864</v>
      </c>
      <c r="AK564" s="703">
        <f>AK557/AM570</f>
        <v>1.6241496598639455</v>
      </c>
      <c r="AL564" s="704">
        <f>AL557/AM570</f>
        <v>2.0425170068027212</v>
      </c>
      <c r="AM564" s="679">
        <f>AM557/AM570</f>
        <v>2.0425170068027212</v>
      </c>
      <c r="AN564" s="702">
        <f>AN557/AR570</f>
        <v>2.1567043618739903</v>
      </c>
      <c r="AO564" s="703">
        <f>AO557/AR570</f>
        <v>1.7140549273021002</v>
      </c>
      <c r="AP564" s="703">
        <f>AP557/AR570</f>
        <v>1.7512116316639741</v>
      </c>
      <c r="AQ564" s="704">
        <f>AQ557/AR570</f>
        <v>0.73182552504038767</v>
      </c>
      <c r="AR564" s="679">
        <f>AR557/AR570</f>
        <v>0.73182552504038767</v>
      </c>
      <c r="AS564" s="2263">
        <f>AVERAGE(AN564:AQ564)</f>
        <v>1.5884491114701131</v>
      </c>
      <c r="AT564" s="703">
        <f>AT557/AW570</f>
        <v>0.94952681388012616</v>
      </c>
      <c r="AU564" s="703">
        <f>AU557/AW570</f>
        <v>0.94321766561514198</v>
      </c>
      <c r="AV564" s="704">
        <f>AV557/AW570</f>
        <v>8.8328075709779186E-2</v>
      </c>
      <c r="AW564" s="679">
        <f>AW557/AW570</f>
        <v>8.8328075709779186E-2</v>
      </c>
      <c r="AX564" s="702">
        <f>AX557/BB570</f>
        <v>9.6551724137931033E-2</v>
      </c>
      <c r="AY564" s="703">
        <f>AX564</f>
        <v>9.6551724137931033E-2</v>
      </c>
      <c r="AZ564" s="703">
        <f>AY564</f>
        <v>9.6551724137931033E-2</v>
      </c>
      <c r="BA564" s="704">
        <f>AZ564</f>
        <v>9.6551724137931033E-2</v>
      </c>
      <c r="BB564" s="679">
        <f>BA564</f>
        <v>9.6551724137931033E-2</v>
      </c>
      <c r="BC564" s="702">
        <f>AVERAGE(AX564:BA564)</f>
        <v>9.6551724137931033E-2</v>
      </c>
      <c r="BD564" s="703">
        <f>BC564</f>
        <v>9.6551724137931033E-2</v>
      </c>
      <c r="BE564" s="703">
        <f>BD564</f>
        <v>9.6551724137931033E-2</v>
      </c>
      <c r="BF564" s="704">
        <f>BE564</f>
        <v>9.6551724137931033E-2</v>
      </c>
      <c r="BG564" s="679">
        <f>BF564</f>
        <v>9.6551724137931033E-2</v>
      </c>
      <c r="BH564" s="702">
        <f>AVERAGE(BC564:BF564)</f>
        <v>9.6551724137931033E-2</v>
      </c>
      <c r="BI564" s="703">
        <f>BH564</f>
        <v>9.6551724137931033E-2</v>
      </c>
      <c r="BJ564" s="703">
        <f>BI564</f>
        <v>9.6551724137931033E-2</v>
      </c>
      <c r="BK564" s="704">
        <f>BJ564</f>
        <v>9.6551724137931033E-2</v>
      </c>
      <c r="BL564" s="679">
        <f>BK564</f>
        <v>9.6551724137931033E-2</v>
      </c>
      <c r="BM564" s="702">
        <f>AVERAGE(BH564:BK564)</f>
        <v>9.6551724137931033E-2</v>
      </c>
      <c r="BN564" s="703">
        <f>BM564</f>
        <v>9.6551724137931033E-2</v>
      </c>
      <c r="BO564" s="703">
        <f>BN564</f>
        <v>9.6551724137931033E-2</v>
      </c>
      <c r="BP564" s="704">
        <f>BO564</f>
        <v>9.6551724137931033E-2</v>
      </c>
      <c r="BQ564" s="679">
        <f>BP564</f>
        <v>9.6551724137931033E-2</v>
      </c>
      <c r="BR564" s="682"/>
      <c r="BS564" s="682"/>
      <c r="BT564" s="15"/>
      <c r="CD564" s="15"/>
    </row>
    <row r="565" spans="1:84">
      <c r="A565" s="139"/>
      <c r="B565" s="87"/>
      <c r="C565" s="1179"/>
      <c r="E565" s="133"/>
      <c r="F565" s="134"/>
      <c r="G565" s="134"/>
      <c r="H565" s="135"/>
      <c r="I565" s="233"/>
      <c r="J565" s="133"/>
      <c r="K565" s="134"/>
      <c r="L565" s="134"/>
      <c r="M565" s="135"/>
      <c r="N565" s="237"/>
      <c r="O565" s="133"/>
      <c r="P565" s="134"/>
      <c r="Q565" s="134"/>
      <c r="R565" s="135"/>
      <c r="S565" s="237"/>
      <c r="T565" s="133"/>
      <c r="U565" s="134"/>
      <c r="V565" s="134"/>
      <c r="W565" s="135"/>
      <c r="X565" s="237"/>
      <c r="Y565" s="133"/>
      <c r="Z565" s="134"/>
      <c r="AA565" s="134"/>
      <c r="AB565" s="135"/>
      <c r="AC565" s="233"/>
      <c r="AD565" s="133"/>
      <c r="AE565" s="134"/>
      <c r="AF565" s="134"/>
      <c r="AG565" s="135"/>
      <c r="AH565" s="233"/>
      <c r="AI565" s="133"/>
      <c r="AJ565" s="134"/>
      <c r="AK565" s="134"/>
      <c r="AL565" s="135"/>
      <c r="AM565" s="233"/>
      <c r="AN565" s="133"/>
      <c r="AO565" s="134"/>
      <c r="AP565" s="134"/>
      <c r="AQ565" s="135"/>
      <c r="AR565" s="233"/>
      <c r="AS565" s="133"/>
      <c r="AT565" s="134"/>
      <c r="AU565" s="134"/>
      <c r="AV565" s="135"/>
      <c r="AW565" s="233"/>
      <c r="AX565" s="133"/>
      <c r="AY565" s="134"/>
      <c r="AZ565" s="134"/>
      <c r="BA565" s="135"/>
      <c r="BB565" s="233"/>
      <c r="BC565" s="133"/>
      <c r="BD565" s="134"/>
      <c r="BE565" s="134"/>
      <c r="BF565" s="135"/>
      <c r="BG565" s="233"/>
      <c r="BH565" s="133"/>
      <c r="BI565" s="134"/>
      <c r="BJ565" s="134"/>
      <c r="BK565" s="135"/>
      <c r="BL565" s="233"/>
      <c r="BM565" s="133"/>
      <c r="BN565" s="134"/>
      <c r="BO565" s="134"/>
      <c r="BP565" s="135"/>
      <c r="BQ565" s="233"/>
      <c r="BR565" s="177"/>
      <c r="BS565" s="177"/>
      <c r="BT565" s="15"/>
      <c r="BU565" s="15"/>
      <c r="BV565" s="15"/>
      <c r="BW565" s="15"/>
      <c r="BX565" s="15"/>
      <c r="BY565" s="15"/>
      <c r="BZ565" s="15"/>
      <c r="CA565" s="15"/>
      <c r="CB565" s="15"/>
      <c r="CC565" s="15"/>
      <c r="CD565" s="15"/>
      <c r="CE565" s="15"/>
      <c r="CF565" s="15"/>
    </row>
    <row r="566" spans="1:84">
      <c r="A566" s="139"/>
      <c r="B566" s="87"/>
      <c r="C566" s="1184" t="s">
        <v>889</v>
      </c>
      <c r="E566" s="133"/>
      <c r="F566" s="134"/>
      <c r="G566" s="134"/>
      <c r="H566" s="135"/>
      <c r="I566" s="233"/>
      <c r="J566" s="133"/>
      <c r="K566" s="134"/>
      <c r="L566" s="134"/>
      <c r="M566" s="135"/>
      <c r="N566" s="237"/>
      <c r="O566" s="133"/>
      <c r="P566" s="134"/>
      <c r="Q566" s="134"/>
      <c r="R566" s="135"/>
      <c r="S566" s="237"/>
      <c r="T566" s="133"/>
      <c r="U566" s="134"/>
      <c r="V566" s="134"/>
      <c r="W566" s="135"/>
      <c r="X566" s="237"/>
      <c r="Y566" s="133"/>
      <c r="Z566" s="78"/>
      <c r="AA566" s="78"/>
      <c r="AB566" s="111"/>
      <c r="AC566" s="891"/>
      <c r="AD566" s="169"/>
      <c r="AE566" s="167"/>
      <c r="AF566" s="167"/>
      <c r="AG566" s="168"/>
      <c r="AH566" s="891"/>
      <c r="AI566" s="104"/>
      <c r="AJ566" s="77"/>
      <c r="AK566" s="77"/>
      <c r="AL566" s="102"/>
      <c r="AM566" s="891"/>
      <c r="AN566" s="104"/>
      <c r="AO566" s="77"/>
      <c r="AP566" s="77"/>
      <c r="AQ566" s="102"/>
      <c r="AR566" s="891"/>
      <c r="AS566" s="104"/>
      <c r="AT566" s="77"/>
      <c r="AU566" s="77"/>
      <c r="AV566" s="102"/>
      <c r="AW566" s="891"/>
      <c r="AX566" s="114"/>
      <c r="AY566" s="115"/>
      <c r="AZ566" s="115"/>
      <c r="BA566" s="105"/>
      <c r="BB566" s="891">
        <f>175+90</f>
        <v>265</v>
      </c>
      <c r="BC566" s="114"/>
      <c r="BD566" s="115"/>
      <c r="BE566" s="115"/>
      <c r="BF566" s="105"/>
      <c r="BG566" s="891">
        <f>BB566</f>
        <v>265</v>
      </c>
      <c r="BH566" s="114"/>
      <c r="BI566" s="115"/>
      <c r="BJ566" s="115"/>
      <c r="BK566" s="105"/>
      <c r="BL566" s="891">
        <f>BG566</f>
        <v>265</v>
      </c>
      <c r="BM566" s="114"/>
      <c r="BN566" s="115"/>
      <c r="BO566" s="115"/>
      <c r="BP566" s="105"/>
      <c r="BQ566" s="891">
        <f>BL566</f>
        <v>265</v>
      </c>
      <c r="BR566" s="177"/>
      <c r="BS566" s="1078"/>
      <c r="BT566" s="15"/>
      <c r="BU566" s="15"/>
      <c r="BV566" s="15"/>
      <c r="BW566" s="15"/>
      <c r="BX566" s="15"/>
      <c r="BY566" s="15"/>
      <c r="BZ566" s="15"/>
      <c r="CA566" s="15"/>
      <c r="CB566" s="15"/>
      <c r="CC566" s="15"/>
      <c r="CD566" s="15"/>
      <c r="CE566" s="15"/>
      <c r="CF566" s="15"/>
    </row>
    <row r="567" spans="1:84">
      <c r="A567" s="139"/>
      <c r="B567" s="87"/>
      <c r="C567" s="1184" t="s">
        <v>383</v>
      </c>
      <c r="E567" s="133"/>
      <c r="F567" s="134"/>
      <c r="G567" s="134"/>
      <c r="H567" s="135"/>
      <c r="I567" s="233"/>
      <c r="J567" s="133"/>
      <c r="K567" s="134"/>
      <c r="L567" s="134"/>
      <c r="M567" s="135"/>
      <c r="N567" s="237"/>
      <c r="O567" s="133"/>
      <c r="P567" s="134"/>
      <c r="Q567" s="134"/>
      <c r="R567" s="135"/>
      <c r="S567" s="237"/>
      <c r="T567" s="133"/>
      <c r="U567" s="134"/>
      <c r="V567" s="134"/>
      <c r="W567" s="135"/>
      <c r="X567" s="237"/>
      <c r="Y567" s="133"/>
      <c r="Z567" s="167"/>
      <c r="AA567" s="167"/>
      <c r="AB567" s="135"/>
      <c r="AC567" s="237"/>
      <c r="AD567" s="169"/>
      <c r="AE567" s="167"/>
      <c r="AF567" s="167"/>
      <c r="AG567" s="168"/>
      <c r="AH567" s="891"/>
      <c r="AI567" s="104"/>
      <c r="AJ567" s="77"/>
      <c r="AK567" s="77"/>
      <c r="AL567" s="102"/>
      <c r="AM567" s="891"/>
      <c r="AN567" s="104"/>
      <c r="AO567" s="77"/>
      <c r="AP567" s="77"/>
      <c r="AQ567" s="102"/>
      <c r="AR567" s="891"/>
      <c r="AS567" s="104"/>
      <c r="AT567" s="77"/>
      <c r="AU567" s="77"/>
      <c r="AV567" s="102"/>
      <c r="AW567" s="891"/>
      <c r="AX567" s="104"/>
      <c r="AY567" s="77"/>
      <c r="AZ567" s="77"/>
      <c r="BA567" s="102"/>
      <c r="BB567" s="891">
        <v>25</v>
      </c>
      <c r="BC567" s="104"/>
      <c r="BD567" s="77"/>
      <c r="BE567" s="77"/>
      <c r="BF567" s="102"/>
      <c r="BG567" s="891">
        <v>25</v>
      </c>
      <c r="BH567" s="104"/>
      <c r="BI567" s="77"/>
      <c r="BJ567" s="77"/>
      <c r="BK567" s="102"/>
      <c r="BL567" s="891">
        <v>25</v>
      </c>
      <c r="BM567" s="104"/>
      <c r="BN567" s="77"/>
      <c r="BO567" s="77"/>
      <c r="BP567" s="102"/>
      <c r="BQ567" s="891">
        <v>25</v>
      </c>
      <c r="BR567" s="177"/>
      <c r="BS567" s="1078"/>
      <c r="BT567" s="880"/>
      <c r="BU567" s="15"/>
      <c r="BV567" s="15"/>
      <c r="BW567" s="15"/>
      <c r="BX567" s="15"/>
      <c r="BY567" s="15"/>
      <c r="BZ567" s="15"/>
      <c r="CA567" s="15"/>
      <c r="CB567" s="15"/>
      <c r="CC567" s="15"/>
      <c r="CD567" s="37"/>
      <c r="CE567" s="15"/>
      <c r="CF567" s="15"/>
    </row>
    <row r="568" spans="1:84">
      <c r="A568" s="139"/>
      <c r="B568" s="87"/>
      <c r="C568" s="1184" t="s">
        <v>382</v>
      </c>
      <c r="E568" s="133"/>
      <c r="F568" s="134"/>
      <c r="G568" s="134"/>
      <c r="H568" s="135"/>
      <c r="I568" s="233"/>
      <c r="J568" s="133"/>
      <c r="K568" s="134"/>
      <c r="L568" s="134"/>
      <c r="M568" s="135"/>
      <c r="N568" s="237"/>
      <c r="O568" s="133"/>
      <c r="P568" s="134"/>
      <c r="Q568" s="134"/>
      <c r="R568" s="135"/>
      <c r="S568" s="237"/>
      <c r="T568" s="133"/>
      <c r="U568" s="134"/>
      <c r="V568" s="134"/>
      <c r="W568" s="135"/>
      <c r="X568" s="237"/>
      <c r="Y568" s="133"/>
      <c r="Z568" s="167"/>
      <c r="AA568" s="167"/>
      <c r="AB568" s="135"/>
      <c r="AC568" s="237"/>
      <c r="AD568" s="114"/>
      <c r="AE568" s="115"/>
      <c r="AF568" s="115"/>
      <c r="AG568" s="105"/>
      <c r="AH568" s="891"/>
      <c r="AI568" s="114"/>
      <c r="AJ568" s="115"/>
      <c r="AK568" s="115"/>
      <c r="AL568" s="105"/>
      <c r="AM568" s="891"/>
      <c r="AN568" s="114"/>
      <c r="AO568" s="115"/>
      <c r="AP568" s="115"/>
      <c r="AQ568" s="105"/>
      <c r="AR568" s="891"/>
      <c r="AS568" s="114"/>
      <c r="AT568" s="115"/>
      <c r="AU568" s="115"/>
      <c r="AV568" s="105"/>
      <c r="AW568" s="891"/>
      <c r="AX568" s="114"/>
      <c r="AY568" s="115"/>
      <c r="AZ568" s="115"/>
      <c r="BA568" s="105"/>
      <c r="BB568" s="891">
        <v>0</v>
      </c>
      <c r="BC568" s="114"/>
      <c r="BD568" s="115"/>
      <c r="BE568" s="115"/>
      <c r="BF568" s="105"/>
      <c r="BG568" s="891">
        <v>0</v>
      </c>
      <c r="BH568" s="114"/>
      <c r="BI568" s="115"/>
      <c r="BJ568" s="115"/>
      <c r="BK568" s="105"/>
      <c r="BL568" s="891">
        <v>0</v>
      </c>
      <c r="BM568" s="114"/>
      <c r="BN568" s="115"/>
      <c r="BO568" s="115"/>
      <c r="BP568" s="105"/>
      <c r="BQ568" s="96">
        <v>0</v>
      </c>
      <c r="BR568" s="177"/>
      <c r="BS568" s="1078"/>
      <c r="BT568" s="13"/>
      <c r="BU568" s="15"/>
      <c r="BV568" s="15"/>
      <c r="BW568" s="15"/>
      <c r="BX568" s="15"/>
      <c r="BY568" s="15"/>
      <c r="BZ568" s="15"/>
      <c r="CA568" s="15"/>
      <c r="CB568" s="15"/>
      <c r="CC568" s="15"/>
      <c r="CD568" s="37"/>
      <c r="CE568" s="15"/>
      <c r="CF568" s="15"/>
    </row>
    <row r="569" spans="1:84">
      <c r="A569" s="139"/>
      <c r="B569" s="87"/>
      <c r="C569" s="1179" t="s">
        <v>705</v>
      </c>
      <c r="E569" s="133"/>
      <c r="F569" s="134"/>
      <c r="G569" s="134"/>
      <c r="H569" s="135"/>
      <c r="I569" s="233"/>
      <c r="J569" s="133"/>
      <c r="K569" s="134"/>
      <c r="L569" s="134"/>
      <c r="M569" s="135"/>
      <c r="N569" s="237"/>
      <c r="O569" s="133"/>
      <c r="P569" s="134"/>
      <c r="Q569" s="134"/>
      <c r="R569" s="135"/>
      <c r="S569" s="237"/>
      <c r="T569" s="133"/>
      <c r="U569" s="134"/>
      <c r="V569" s="134"/>
      <c r="W569" s="135"/>
      <c r="X569" s="237"/>
      <c r="Y569" s="133"/>
      <c r="Z569" s="167"/>
      <c r="AA569" s="167"/>
      <c r="AB569" s="135"/>
      <c r="AC569" s="237"/>
      <c r="AD569" s="114"/>
      <c r="AE569" s="115"/>
      <c r="AF569" s="115"/>
      <c r="AG569" s="105"/>
      <c r="AH569" s="113"/>
      <c r="AI569" s="114"/>
      <c r="AJ569" s="115"/>
      <c r="AK569" s="115"/>
      <c r="AL569" s="105"/>
      <c r="AM569" s="891"/>
      <c r="AN569" s="114"/>
      <c r="AO569" s="115"/>
      <c r="AP569" s="115"/>
      <c r="AQ569" s="105"/>
      <c r="AR569" s="891"/>
      <c r="AS569" s="114"/>
      <c r="AT569" s="115"/>
      <c r="AU569" s="115"/>
      <c r="AV569" s="105"/>
      <c r="AW569" s="891"/>
      <c r="AX569" s="114"/>
      <c r="AY569" s="115"/>
      <c r="AZ569" s="115"/>
      <c r="BA569" s="105"/>
      <c r="BB569" s="891">
        <v>0</v>
      </c>
      <c r="BC569" s="114"/>
      <c r="BD569" s="115"/>
      <c r="BE569" s="115"/>
      <c r="BF569" s="105"/>
      <c r="BG569" s="891">
        <v>0</v>
      </c>
      <c r="BH569" s="114"/>
      <c r="BI569" s="115"/>
      <c r="BJ569" s="115"/>
      <c r="BK569" s="105"/>
      <c r="BL569" s="891">
        <v>0</v>
      </c>
      <c r="BM569" s="114"/>
      <c r="BN569" s="115"/>
      <c r="BO569" s="115"/>
      <c r="BP569" s="105"/>
      <c r="BQ569" s="96">
        <v>0</v>
      </c>
      <c r="BR569" s="177"/>
      <c r="BS569" s="880"/>
      <c r="BT569" s="37"/>
      <c r="BU569" s="15"/>
      <c r="BV569" s="15"/>
      <c r="BW569" s="15"/>
      <c r="BX569" s="15"/>
      <c r="BY569" s="15"/>
      <c r="BZ569" s="15"/>
      <c r="CA569" s="15"/>
      <c r="CB569" s="15"/>
      <c r="CC569" s="15"/>
      <c r="CD569" s="15"/>
      <c r="CE569" s="15"/>
      <c r="CF569" s="15"/>
    </row>
    <row r="570" spans="1:84" s="13" customFormat="1">
      <c r="A570" s="136"/>
      <c r="B570" s="93"/>
      <c r="C570" s="1186" t="s">
        <v>351</v>
      </c>
      <c r="E570" s="231"/>
      <c r="F570" s="232"/>
      <c r="G570" s="232"/>
      <c r="H570" s="234"/>
      <c r="I570" s="802">
        <v>1412</v>
      </c>
      <c r="J570" s="828">
        <v>329</v>
      </c>
      <c r="K570" s="801">
        <v>290</v>
      </c>
      <c r="L570" s="801">
        <v>264</v>
      </c>
      <c r="M570" s="829">
        <v>276</v>
      </c>
      <c r="N570" s="802">
        <v>976</v>
      </c>
      <c r="O570" s="828">
        <v>214</v>
      </c>
      <c r="P570" s="801">
        <v>197</v>
      </c>
      <c r="Q570" s="801">
        <v>186</v>
      </c>
      <c r="R570" s="107">
        <f>S570-SUM(O570:Q570)</f>
        <v>181</v>
      </c>
      <c r="S570" s="802">
        <v>778</v>
      </c>
      <c r="T570" s="828">
        <v>171</v>
      </c>
      <c r="U570" s="801">
        <v>150</v>
      </c>
      <c r="V570" s="801">
        <v>412</v>
      </c>
      <c r="W570" s="107">
        <f>X570-SUM(T570:V570)</f>
        <v>281</v>
      </c>
      <c r="X570" s="802">
        <v>1014</v>
      </c>
      <c r="Y570" s="828">
        <v>283</v>
      </c>
      <c r="Z570" s="801">
        <v>185</v>
      </c>
      <c r="AA570" s="801">
        <v>162</v>
      </c>
      <c r="AB570" s="107">
        <f>AC570-SUM(Y570:AA570)</f>
        <v>197</v>
      </c>
      <c r="AC570" s="802">
        <v>827</v>
      </c>
      <c r="AD570" s="828">
        <v>318</v>
      </c>
      <c r="AE570" s="801">
        <v>240</v>
      </c>
      <c r="AF570" s="801">
        <v>97</v>
      </c>
      <c r="AG570" s="107">
        <f>AH570-SUM(AD570:AF570)</f>
        <v>284</v>
      </c>
      <c r="AH570" s="802">
        <v>939</v>
      </c>
      <c r="AI570" s="828">
        <v>126</v>
      </c>
      <c r="AJ570" s="801">
        <v>191</v>
      </c>
      <c r="AK570" s="801">
        <v>83</v>
      </c>
      <c r="AL570" s="107">
        <f>AM570-SUM(AI570:AK570)</f>
        <v>188</v>
      </c>
      <c r="AM570" s="802">
        <v>588</v>
      </c>
      <c r="AN570" s="828">
        <v>169</v>
      </c>
      <c r="AO570" s="801">
        <v>213</v>
      </c>
      <c r="AP570" s="801">
        <v>110</v>
      </c>
      <c r="AQ570" s="307">
        <f>AR570-SUM(AN570:AP570)</f>
        <v>127</v>
      </c>
      <c r="AR570" s="802">
        <v>619</v>
      </c>
      <c r="AS570" s="828">
        <v>169</v>
      </c>
      <c r="AT570" s="801">
        <v>213</v>
      </c>
      <c r="AU570" s="801">
        <v>110</v>
      </c>
      <c r="AV570" s="307">
        <f>AW570-SUM(AS570:AU570)</f>
        <v>-175</v>
      </c>
      <c r="AW570" s="802">
        <v>317</v>
      </c>
      <c r="AX570" s="106">
        <f>BB570/4</f>
        <v>72.5</v>
      </c>
      <c r="AY570" s="306">
        <f>(BB570-AX570)/3</f>
        <v>72.5</v>
      </c>
      <c r="AZ570" s="306">
        <f>(BB570-SUM(AX570:AY570))/2</f>
        <v>72.5</v>
      </c>
      <c r="BA570" s="307">
        <f>BB570-SUM(AX570:AZ570)</f>
        <v>72.5</v>
      </c>
      <c r="BB570" s="93">
        <f>SUM(BB566:BB569)</f>
        <v>290</v>
      </c>
      <c r="BC570" s="106">
        <f>BG570/4</f>
        <v>72.5</v>
      </c>
      <c r="BD570" s="306">
        <f>(BG570-BC570)/3</f>
        <v>72.5</v>
      </c>
      <c r="BE570" s="306">
        <f>(BG570-SUM(BC570:BD570))/2</f>
        <v>72.5</v>
      </c>
      <c r="BF570" s="307">
        <f>BG570-SUM(BC570:BE570)</f>
        <v>72.5</v>
      </c>
      <c r="BG570" s="93">
        <f>SUM(BG566:BG569)</f>
        <v>290</v>
      </c>
      <c r="BH570" s="106">
        <f>BL570/4</f>
        <v>72.5</v>
      </c>
      <c r="BI570" s="306">
        <f>(BL570-BH570)/3</f>
        <v>72.5</v>
      </c>
      <c r="BJ570" s="306">
        <f>(BL570-SUM(BH570:BI570))/2</f>
        <v>72.5</v>
      </c>
      <c r="BK570" s="307">
        <f>BL570-SUM(BH570:BJ570)</f>
        <v>72.5</v>
      </c>
      <c r="BL570" s="93">
        <f>SUM(BL566:BL569)</f>
        <v>290</v>
      </c>
      <c r="BM570" s="106">
        <f>BQ570/4</f>
        <v>72.5</v>
      </c>
      <c r="BN570" s="306">
        <f>(BQ570-BM570)/3</f>
        <v>72.5</v>
      </c>
      <c r="BO570" s="306">
        <f>(BQ570-SUM(BM570:BN570))/2</f>
        <v>72.5</v>
      </c>
      <c r="BP570" s="307">
        <f>BQ570-SUM(BM570:BO570)</f>
        <v>72.5</v>
      </c>
      <c r="BQ570" s="93">
        <f>SUM(BQ566:BQ569)</f>
        <v>290</v>
      </c>
      <c r="BR570" s="763"/>
      <c r="BS570" s="763"/>
      <c r="BT570" s="15"/>
      <c r="BU570" s="15"/>
      <c r="BV570" s="15"/>
      <c r="BW570" s="15"/>
      <c r="BX570" s="15"/>
      <c r="BY570" s="15"/>
      <c r="BZ570" s="15"/>
      <c r="CA570" s="37"/>
      <c r="CB570" s="37"/>
      <c r="CC570" s="37"/>
      <c r="CD570"/>
      <c r="CE570" s="37"/>
      <c r="CF570" s="37"/>
    </row>
    <row r="571" spans="1:84">
      <c r="A571" s="139"/>
      <c r="B571" s="100"/>
      <c r="C571" s="1229"/>
      <c r="E571" s="133"/>
      <c r="F571" s="134"/>
      <c r="G571" s="134"/>
      <c r="H571" s="135"/>
      <c r="I571" s="233"/>
      <c r="J571" s="133"/>
      <c r="K571" s="134"/>
      <c r="L571" s="134"/>
      <c r="M571" s="135"/>
      <c r="N571" s="237"/>
      <c r="O571" s="133"/>
      <c r="P571" s="134"/>
      <c r="Q571" s="134"/>
      <c r="R571" s="135"/>
      <c r="S571" s="237"/>
      <c r="T571" s="133"/>
      <c r="U571" s="134"/>
      <c r="V571" s="134"/>
      <c r="W571" s="135"/>
      <c r="X571" s="233"/>
      <c r="Y571" s="133"/>
      <c r="Z571" s="134"/>
      <c r="AA571" s="134"/>
      <c r="AB571" s="135"/>
      <c r="AC571" s="233"/>
      <c r="AD571" s="133"/>
      <c r="AE571" s="134"/>
      <c r="AF571" s="134"/>
      <c r="AG571" s="135"/>
      <c r="AH571" s="233"/>
      <c r="AI571" s="133"/>
      <c r="AJ571" s="134"/>
      <c r="AK571" s="134"/>
      <c r="AL571" s="135"/>
      <c r="AM571" s="233"/>
      <c r="AN571" s="133"/>
      <c r="AO571" s="134"/>
      <c r="AP571" s="134"/>
      <c r="AQ571" s="135"/>
      <c r="AR571" s="233"/>
      <c r="AS571" s="133"/>
      <c r="AT571" s="134"/>
      <c r="AU571" s="134"/>
      <c r="AV571" s="135"/>
      <c r="AW571" s="233"/>
      <c r="AX571" s="133"/>
      <c r="AY571" s="134"/>
      <c r="AZ571" s="134"/>
      <c r="BA571" s="135"/>
      <c r="BB571" s="233"/>
      <c r="BC571" s="133"/>
      <c r="BD571" s="134"/>
      <c r="BE571" s="134"/>
      <c r="BF571" s="135"/>
      <c r="BG571" s="233"/>
      <c r="BH571" s="133"/>
      <c r="BI571" s="134"/>
      <c r="BJ571" s="134"/>
      <c r="BK571" s="135"/>
      <c r="BL571" s="233"/>
      <c r="BM571" s="133"/>
      <c r="BN571" s="134"/>
      <c r="BO571" s="134"/>
      <c r="BP571" s="135"/>
      <c r="BQ571" s="233"/>
      <c r="BR571" s="177"/>
      <c r="BS571" s="177"/>
      <c r="BU571" s="37"/>
      <c r="BV571" s="37"/>
      <c r="BW571" s="37"/>
      <c r="BX571" s="37"/>
      <c r="BY571" s="37"/>
      <c r="BZ571" s="37"/>
      <c r="CA571" s="15"/>
      <c r="CB571" s="15"/>
      <c r="CC571" s="15"/>
      <c r="CD571" s="15"/>
      <c r="CE571" s="15"/>
      <c r="CF571" s="15"/>
    </row>
    <row r="572" spans="1:84">
      <c r="A572" s="139"/>
      <c r="B572" s="139"/>
      <c r="C572" s="1187"/>
      <c r="E572" s="288"/>
      <c r="F572" s="289"/>
      <c r="G572" s="289"/>
      <c r="H572" s="299"/>
      <c r="I572" s="291"/>
      <c r="J572" s="288"/>
      <c r="K572" s="289"/>
      <c r="L572" s="289"/>
      <c r="M572" s="299"/>
      <c r="N572" s="315"/>
      <c r="O572" s="288"/>
      <c r="P572" s="289"/>
      <c r="Q572" s="289"/>
      <c r="R572" s="299"/>
      <c r="S572" s="315"/>
      <c r="T572" s="316"/>
      <c r="U572" s="312"/>
      <c r="V572" s="312"/>
      <c r="W572" s="317"/>
      <c r="X572" s="315"/>
      <c r="Y572" s="316"/>
      <c r="Z572" s="312"/>
      <c r="AA572" s="312"/>
      <c r="AB572" s="317"/>
      <c r="AC572" s="315"/>
      <c r="AD572" s="316"/>
      <c r="AE572" s="312"/>
      <c r="AF572" s="312"/>
      <c r="AG572" s="317"/>
      <c r="AH572" s="315"/>
      <c r="AI572" s="316"/>
      <c r="AJ572" s="312"/>
      <c r="AK572" s="312"/>
      <c r="AL572" s="317"/>
      <c r="AM572" s="315"/>
      <c r="AN572" s="316"/>
      <c r="AO572" s="312"/>
      <c r="AP572" s="312"/>
      <c r="AQ572" s="317"/>
      <c r="AR572" s="315"/>
      <c r="AS572" s="316"/>
      <c r="AT572" s="312"/>
      <c r="AU572" s="312"/>
      <c r="AV572" s="317"/>
      <c r="AW572" s="315"/>
      <c r="AX572" s="316"/>
      <c r="AY572" s="312"/>
      <c r="AZ572" s="312"/>
      <c r="BA572" s="317"/>
      <c r="BB572" s="315"/>
      <c r="BC572" s="316"/>
      <c r="BD572" s="312"/>
      <c r="BE572" s="312"/>
      <c r="BF572" s="317"/>
      <c r="BG572" s="315"/>
      <c r="BH572" s="316"/>
      <c r="BI572" s="312"/>
      <c r="BJ572" s="312"/>
      <c r="BK572" s="317"/>
      <c r="BL572" s="315"/>
      <c r="BM572" s="316"/>
      <c r="BN572" s="312"/>
      <c r="BO572" s="312"/>
      <c r="BP572" s="317"/>
      <c r="BQ572" s="315"/>
      <c r="BS572" s="1164"/>
      <c r="BT572" s="15"/>
      <c r="BU572" s="15"/>
      <c r="BV572" s="15"/>
      <c r="BW572" s="15"/>
      <c r="BX572" s="15"/>
      <c r="BY572" s="15"/>
      <c r="BZ572" s="15"/>
      <c r="CD572" s="720"/>
    </row>
    <row r="573" spans="1:84">
      <c r="A573" s="139"/>
      <c r="B573" s="126" t="s">
        <v>422</v>
      </c>
      <c r="C573" s="1185"/>
      <c r="D573" s="128"/>
      <c r="E573" s="133"/>
      <c r="F573" s="134"/>
      <c r="G573" s="134"/>
      <c r="H573" s="135"/>
      <c r="I573" s="233"/>
      <c r="J573" s="133"/>
      <c r="K573" s="134"/>
      <c r="L573" s="134"/>
      <c r="M573" s="135"/>
      <c r="N573" s="237"/>
      <c r="O573" s="133"/>
      <c r="P573" s="134"/>
      <c r="Q573" s="134"/>
      <c r="R573" s="135"/>
      <c r="S573" s="237"/>
      <c r="T573" s="133"/>
      <c r="U573" s="134"/>
      <c r="V573" s="134"/>
      <c r="W573" s="135"/>
      <c r="X573" s="233"/>
      <c r="Y573" s="133"/>
      <c r="Z573" s="134"/>
      <c r="AA573" s="134"/>
      <c r="AB573" s="135"/>
      <c r="AC573" s="233"/>
      <c r="AD573" s="133"/>
      <c r="AE573" s="134"/>
      <c r="AF573" s="134"/>
      <c r="AG573" s="135"/>
      <c r="AH573" s="233"/>
      <c r="AI573" s="133"/>
      <c r="AJ573" s="134"/>
      <c r="AK573" s="134"/>
      <c r="AL573" s="135"/>
      <c r="AM573" s="233"/>
      <c r="AN573" s="133"/>
      <c r="AO573" s="134"/>
      <c r="AP573" s="134"/>
      <c r="AQ573" s="135"/>
      <c r="AR573" s="233"/>
      <c r="AS573" s="133"/>
      <c r="AT573" s="134"/>
      <c r="AU573" s="134"/>
      <c r="AV573" s="135"/>
      <c r="AW573" s="233"/>
      <c r="AX573" s="133"/>
      <c r="AY573" s="134"/>
      <c r="AZ573" s="134"/>
      <c r="BA573" s="135"/>
      <c r="BB573" s="233"/>
      <c r="BC573" s="133"/>
      <c r="BD573" s="134"/>
      <c r="BE573" s="134"/>
      <c r="BF573" s="135"/>
      <c r="BG573" s="233"/>
      <c r="BH573" s="133"/>
      <c r="BI573" s="134"/>
      <c r="BJ573" s="134"/>
      <c r="BK573" s="135"/>
      <c r="BL573" s="233"/>
      <c r="BM573" s="133"/>
      <c r="BN573" s="134"/>
      <c r="BO573" s="134"/>
      <c r="BP573" s="135"/>
      <c r="BQ573" s="233"/>
      <c r="BR573" s="177"/>
      <c r="BS573" s="1164"/>
      <c r="BT573" s="720"/>
      <c r="CA573" s="15"/>
      <c r="CB573" s="15"/>
      <c r="CC573" s="15"/>
      <c r="CD573" s="720"/>
      <c r="CE573" s="15"/>
      <c r="CF573" s="15"/>
    </row>
    <row r="574" spans="1:84" s="720" customFormat="1">
      <c r="A574" s="683"/>
      <c r="B574" s="719"/>
      <c r="C574" s="1192" t="s">
        <v>423</v>
      </c>
      <c r="D574" s="719"/>
      <c r="E574" s="685"/>
      <c r="F574" s="686"/>
      <c r="G574" s="686"/>
      <c r="H574" s="687"/>
      <c r="I574" s="688"/>
      <c r="J574" s="685">
        <f t="shared" ref="J574:AO574" si="911">J30/J28</f>
        <v>0.3783783783783784</v>
      </c>
      <c r="K574" s="686">
        <f t="shared" si="911"/>
        <v>0.38265306122448978</v>
      </c>
      <c r="L574" s="686">
        <f t="shared" si="911"/>
        <v>0.38095238095238093</v>
      </c>
      <c r="M574" s="687">
        <f t="shared" si="911"/>
        <v>0.36986301369863012</v>
      </c>
      <c r="N574" s="498">
        <f t="shared" si="911"/>
        <v>0.378698224852071</v>
      </c>
      <c r="O574" s="685">
        <f t="shared" si="911"/>
        <v>0.375</v>
      </c>
      <c r="P574" s="686">
        <f t="shared" si="911"/>
        <v>0.36363636363636365</v>
      </c>
      <c r="Q574" s="686">
        <f t="shared" si="911"/>
        <v>0.36979166666666669</v>
      </c>
      <c r="R574" s="687">
        <f t="shared" si="911"/>
        <v>0.37341772151898733</v>
      </c>
      <c r="S574" s="498">
        <f t="shared" si="911"/>
        <v>0.37061769616026713</v>
      </c>
      <c r="T574" s="685">
        <f t="shared" si="911"/>
        <v>0.3705357142857143</v>
      </c>
      <c r="U574" s="686">
        <f t="shared" si="911"/>
        <v>0.35897435897435898</v>
      </c>
      <c r="V574" s="686">
        <f t="shared" si="911"/>
        <v>0.37073170731707317</v>
      </c>
      <c r="W574" s="687">
        <f t="shared" si="911"/>
        <v>0.50617283950617287</v>
      </c>
      <c r="X574" s="498">
        <f t="shared" si="911"/>
        <v>0.29738562091503268</v>
      </c>
      <c r="Y574" s="685">
        <f t="shared" si="911"/>
        <v>0.37704918032786883</v>
      </c>
      <c r="Z574" s="697">
        <f t="shared" si="911"/>
        <v>0.37912087912087911</v>
      </c>
      <c r="AA574" s="686">
        <f t="shared" si="911"/>
        <v>0.40869565217391307</v>
      </c>
      <c r="AB574" s="687">
        <f t="shared" si="911"/>
        <v>0.36842105263157893</v>
      </c>
      <c r="AC574" s="498">
        <f t="shared" si="911"/>
        <v>0.37301587301587302</v>
      </c>
      <c r="AD574" s="696">
        <f t="shared" si="911"/>
        <v>0.37055837563451777</v>
      </c>
      <c r="AE574" s="697">
        <f t="shared" si="911"/>
        <v>0.35326086956521741</v>
      </c>
      <c r="AF574" s="697">
        <f t="shared" si="911"/>
        <v>0.35294117647058826</v>
      </c>
      <c r="AG574" s="698">
        <f t="shared" si="911"/>
        <v>0.33513513513513515</v>
      </c>
      <c r="AH574" s="853">
        <f t="shared" si="911"/>
        <v>0.34822804314329736</v>
      </c>
      <c r="AI574" s="696">
        <f t="shared" si="911"/>
        <v>0.30769230769230771</v>
      </c>
      <c r="AJ574" s="697">
        <f t="shared" si="911"/>
        <v>0.36842105263157893</v>
      </c>
      <c r="AK574" s="697">
        <f t="shared" si="911"/>
        <v>0.36651583710407237</v>
      </c>
      <c r="AL574" s="698">
        <f t="shared" si="911"/>
        <v>0.4</v>
      </c>
      <c r="AM574" s="853">
        <f t="shared" si="911"/>
        <v>0.35971223021582732</v>
      </c>
      <c r="AN574" s="696">
        <f t="shared" si="911"/>
        <v>0.37117903930131002</v>
      </c>
      <c r="AO574" s="697">
        <f t="shared" si="911"/>
        <v>0.1544660846205507</v>
      </c>
      <c r="AP574" s="697">
        <f t="shared" ref="AP574:AT574" si="912">AP30/AP28</f>
        <v>0.36296296296296299</v>
      </c>
      <c r="AQ574" s="698">
        <f t="shared" si="912"/>
        <v>0.36612139474817046</v>
      </c>
      <c r="AR574" s="853">
        <f t="shared" si="912"/>
        <v>0.33579725448785641</v>
      </c>
      <c r="AS574" s="696">
        <f t="shared" si="912"/>
        <v>0.34313725490196079</v>
      </c>
      <c r="AT574" s="697">
        <f t="shared" si="912"/>
        <v>0.34883720930232559</v>
      </c>
      <c r="AU574" s="697">
        <f t="shared" ref="AU574:AW574" si="913">AU30/AU28</f>
        <v>0.37735849056603776</v>
      </c>
      <c r="AV574" s="698">
        <f t="shared" si="913"/>
        <v>-7.4875207986688855E-2</v>
      </c>
      <c r="AW574" s="853">
        <f t="shared" si="913"/>
        <v>-6.2349155269509252E-2</v>
      </c>
      <c r="AX574" s="696">
        <f>+AY574</f>
        <v>0.37</v>
      </c>
      <c r="AY574" s="697">
        <f>+AZ574</f>
        <v>0.37</v>
      </c>
      <c r="AZ574" s="697">
        <f>+BA574</f>
        <v>0.37</v>
      </c>
      <c r="BA574" s="698">
        <f>+BB574</f>
        <v>0.37</v>
      </c>
      <c r="BB574" s="502">
        <v>0.37</v>
      </c>
      <c r="BC574" s="696">
        <f>+BD574</f>
        <v>0.37</v>
      </c>
      <c r="BD574" s="697">
        <f>+BE574</f>
        <v>0.37</v>
      </c>
      <c r="BE574" s="697">
        <f>+BF574</f>
        <v>0.37</v>
      </c>
      <c r="BF574" s="698">
        <f>+BG574</f>
        <v>0.37</v>
      </c>
      <c r="BG574" s="502">
        <v>0.37</v>
      </c>
      <c r="BH574" s="696">
        <f>+BI574</f>
        <v>0.37</v>
      </c>
      <c r="BI574" s="697">
        <f>+BJ574</f>
        <v>0.37</v>
      </c>
      <c r="BJ574" s="697">
        <f>+BK574</f>
        <v>0.37</v>
      </c>
      <c r="BK574" s="698">
        <f>+BL574</f>
        <v>0.37</v>
      </c>
      <c r="BL574" s="502">
        <v>0.37</v>
      </c>
      <c r="BM574" s="696">
        <f>+BN574</f>
        <v>0.37</v>
      </c>
      <c r="BN574" s="697">
        <f>+BO574</f>
        <v>0.37</v>
      </c>
      <c r="BO574" s="697">
        <f>+BP574</f>
        <v>0.37</v>
      </c>
      <c r="BP574" s="698">
        <f>+BQ574</f>
        <v>0.37</v>
      </c>
      <c r="BQ574" s="502">
        <v>0.37</v>
      </c>
      <c r="BR574" s="684"/>
      <c r="BS574" s="684"/>
      <c r="BU574" s="15"/>
      <c r="BV574" s="15"/>
      <c r="BW574" s="15"/>
      <c r="BX574" s="15"/>
      <c r="BY574" s="15"/>
      <c r="BZ574" s="15"/>
      <c r="CD574" s="15"/>
    </row>
    <row r="575" spans="1:84" s="720" customFormat="1">
      <c r="A575" s="683"/>
      <c r="B575" s="719"/>
      <c r="C575" s="1192" t="s">
        <v>398</v>
      </c>
      <c r="D575" s="719"/>
      <c r="E575" s="685"/>
      <c r="F575" s="686"/>
      <c r="G575" s="686"/>
      <c r="H575" s="687"/>
      <c r="I575" s="688"/>
      <c r="J575" s="141">
        <f t="shared" ref="J575:AO575" si="914">J30/J28</f>
        <v>0.3783783783783784</v>
      </c>
      <c r="K575" s="84">
        <f t="shared" si="914"/>
        <v>0.38265306122448978</v>
      </c>
      <c r="L575" s="84">
        <f t="shared" si="914"/>
        <v>0.38095238095238093</v>
      </c>
      <c r="M575" s="142">
        <f t="shared" si="914"/>
        <v>0.36986301369863012</v>
      </c>
      <c r="N575" s="498">
        <f t="shared" si="914"/>
        <v>0.378698224852071</v>
      </c>
      <c r="O575" s="141">
        <f t="shared" si="914"/>
        <v>0.375</v>
      </c>
      <c r="P575" s="84">
        <f t="shared" si="914"/>
        <v>0.36363636363636365</v>
      </c>
      <c r="Q575" s="84">
        <f t="shared" si="914"/>
        <v>0.36979166666666669</v>
      </c>
      <c r="R575" s="142">
        <f t="shared" si="914"/>
        <v>0.37341772151898733</v>
      </c>
      <c r="S575" s="498">
        <f t="shared" si="914"/>
        <v>0.37061769616026713</v>
      </c>
      <c r="T575" s="141">
        <f t="shared" si="914"/>
        <v>0.3705357142857143</v>
      </c>
      <c r="U575" s="84">
        <f t="shared" si="914"/>
        <v>0.35897435897435898</v>
      </c>
      <c r="V575" s="84">
        <f t="shared" si="914"/>
        <v>0.37073170731707317</v>
      </c>
      <c r="W575" s="142">
        <f t="shared" si="914"/>
        <v>0.50617283950617287</v>
      </c>
      <c r="X575" s="498">
        <f t="shared" si="914"/>
        <v>0.29738562091503268</v>
      </c>
      <c r="Y575" s="141">
        <f t="shared" si="914"/>
        <v>0.37704918032786883</v>
      </c>
      <c r="Z575" s="84">
        <f t="shared" si="914"/>
        <v>0.37912087912087911</v>
      </c>
      <c r="AA575" s="84">
        <f t="shared" si="914"/>
        <v>0.40869565217391307</v>
      </c>
      <c r="AB575" s="142">
        <f t="shared" si="914"/>
        <v>0.36842105263157893</v>
      </c>
      <c r="AC575" s="498">
        <f t="shared" si="914"/>
        <v>0.37301587301587302</v>
      </c>
      <c r="AD575" s="696">
        <f t="shared" si="914"/>
        <v>0.37055837563451777</v>
      </c>
      <c r="AE575" s="697">
        <f t="shared" si="914"/>
        <v>0.35326086956521741</v>
      </c>
      <c r="AF575" s="697">
        <f t="shared" si="914"/>
        <v>0.35294117647058826</v>
      </c>
      <c r="AG575" s="698">
        <f t="shared" si="914"/>
        <v>0.33513513513513515</v>
      </c>
      <c r="AH575" s="853">
        <f t="shared" si="914"/>
        <v>0.34822804314329736</v>
      </c>
      <c r="AI575" s="696">
        <f t="shared" si="914"/>
        <v>0.30769230769230771</v>
      </c>
      <c r="AJ575" s="697">
        <f t="shared" si="914"/>
        <v>0.36842105263157893</v>
      </c>
      <c r="AK575" s="697">
        <f t="shared" si="914"/>
        <v>0.36651583710407237</v>
      </c>
      <c r="AL575" s="698">
        <f t="shared" si="914"/>
        <v>0.4</v>
      </c>
      <c r="AM575" s="853">
        <f t="shared" si="914"/>
        <v>0.35971223021582732</v>
      </c>
      <c r="AN575" s="696">
        <f t="shared" si="914"/>
        <v>0.37117903930131002</v>
      </c>
      <c r="AO575" s="697">
        <f t="shared" si="914"/>
        <v>0.1544660846205507</v>
      </c>
      <c r="AP575" s="697">
        <f t="shared" ref="AP575:AT575" si="915">AP30/AP28</f>
        <v>0.36296296296296299</v>
      </c>
      <c r="AQ575" s="698">
        <f t="shared" si="915"/>
        <v>0.36612139474817046</v>
      </c>
      <c r="AR575" s="853">
        <f t="shared" si="915"/>
        <v>0.33579725448785641</v>
      </c>
      <c r="AS575" s="696">
        <f t="shared" si="915"/>
        <v>0.34313725490196079</v>
      </c>
      <c r="AT575" s="697">
        <f t="shared" si="915"/>
        <v>0.34883720930232559</v>
      </c>
      <c r="AU575" s="697">
        <f t="shared" ref="AU575:AW575" si="916">AU30/AU28</f>
        <v>0.37735849056603776</v>
      </c>
      <c r="AV575" s="698">
        <f t="shared" si="916"/>
        <v>-7.4875207986688855E-2</v>
      </c>
      <c r="AW575" s="853">
        <f t="shared" si="916"/>
        <v>-6.2349155269509252E-2</v>
      </c>
      <c r="AX575" s="141">
        <f t="shared" ref="AX575:BL575" si="917">AX30/AX28</f>
        <v>0.37</v>
      </c>
      <c r="AY575" s="84">
        <f t="shared" si="917"/>
        <v>0.37</v>
      </c>
      <c r="AZ575" s="84">
        <f t="shared" si="917"/>
        <v>0.37</v>
      </c>
      <c r="BA575" s="142">
        <f t="shared" si="917"/>
        <v>0.37</v>
      </c>
      <c r="BB575" s="498">
        <f t="shared" si="917"/>
        <v>0.36999999999999694</v>
      </c>
      <c r="BC575" s="141">
        <f t="shared" si="917"/>
        <v>0.37000000000000005</v>
      </c>
      <c r="BD575" s="84">
        <f t="shared" si="917"/>
        <v>0.37</v>
      </c>
      <c r="BE575" s="84">
        <f t="shared" si="917"/>
        <v>0.37</v>
      </c>
      <c r="BF575" s="142">
        <f t="shared" si="917"/>
        <v>0.37</v>
      </c>
      <c r="BG575" s="498">
        <f t="shared" si="917"/>
        <v>0.37000000000000044</v>
      </c>
      <c r="BH575" s="141">
        <f t="shared" si="917"/>
        <v>0.37</v>
      </c>
      <c r="BI575" s="84">
        <f t="shared" si="917"/>
        <v>0.37</v>
      </c>
      <c r="BJ575" s="84">
        <f t="shared" si="917"/>
        <v>0.37000000000000005</v>
      </c>
      <c r="BK575" s="142">
        <f t="shared" si="917"/>
        <v>0.37</v>
      </c>
      <c r="BL575" s="498">
        <f t="shared" si="917"/>
        <v>0.37</v>
      </c>
      <c r="BM575" s="141">
        <f t="shared" ref="BM575:BQ575" si="918">BM30/BM28</f>
        <v>0.37</v>
      </c>
      <c r="BN575" s="84">
        <f t="shared" si="918"/>
        <v>0.37</v>
      </c>
      <c r="BO575" s="84">
        <f t="shared" si="918"/>
        <v>0.37</v>
      </c>
      <c r="BP575" s="142">
        <f t="shared" si="918"/>
        <v>0.37</v>
      </c>
      <c r="BQ575" s="498">
        <f t="shared" si="918"/>
        <v>0.37000000000000027</v>
      </c>
      <c r="BR575" s="684"/>
      <c r="BS575" s="684"/>
      <c r="BT575" s="15"/>
      <c r="CD575" s="15"/>
    </row>
    <row r="576" spans="1:84">
      <c r="A576" s="139"/>
      <c r="B576" s="100"/>
      <c r="C576" s="1179"/>
      <c r="D576" s="100"/>
      <c r="E576" s="133"/>
      <c r="F576" s="134"/>
      <c r="G576" s="134"/>
      <c r="H576" s="135"/>
      <c r="I576" s="233"/>
      <c r="J576" s="133"/>
      <c r="K576" s="134"/>
      <c r="L576" s="134"/>
      <c r="M576" s="135"/>
      <c r="N576" s="237"/>
      <c r="O576" s="133"/>
      <c r="P576" s="134"/>
      <c r="Q576" s="134"/>
      <c r="R576" s="135"/>
      <c r="S576" s="237"/>
      <c r="T576" s="133"/>
      <c r="U576" s="134"/>
      <c r="V576" s="134"/>
      <c r="W576" s="135"/>
      <c r="X576" s="233"/>
      <c r="Y576" s="133"/>
      <c r="Z576" s="134"/>
      <c r="AA576" s="134"/>
      <c r="AB576" s="135"/>
      <c r="AC576" s="233"/>
      <c r="AD576" s="133"/>
      <c r="AE576" s="134"/>
      <c r="AF576" s="134"/>
      <c r="AG576" s="135"/>
      <c r="AH576" s="233"/>
      <c r="AI576" s="133"/>
      <c r="AJ576" s="134"/>
      <c r="AK576" s="134"/>
      <c r="AL576" s="135"/>
      <c r="AM576" s="233"/>
      <c r="AN576" s="133"/>
      <c r="AO576" s="134"/>
      <c r="AP576" s="134"/>
      <c r="AQ576" s="135"/>
      <c r="AR576" s="233"/>
      <c r="AS576" s="133"/>
      <c r="AT576" s="134"/>
      <c r="AU576" s="134"/>
      <c r="AV576" s="135"/>
      <c r="AW576" s="233"/>
      <c r="AX576" s="133"/>
      <c r="AY576" s="134"/>
      <c r="AZ576" s="134"/>
      <c r="BA576" s="135"/>
      <c r="BB576" s="233"/>
      <c r="BC576" s="133"/>
      <c r="BD576" s="134"/>
      <c r="BE576" s="134"/>
      <c r="BF576" s="135"/>
      <c r="BG576" s="233"/>
      <c r="BH576" s="133"/>
      <c r="BI576" s="134"/>
      <c r="BJ576" s="134"/>
      <c r="BK576" s="135"/>
      <c r="BL576" s="233"/>
      <c r="BM576" s="133"/>
      <c r="BN576" s="134"/>
      <c r="BO576" s="134"/>
      <c r="BP576" s="135"/>
      <c r="BQ576" s="233"/>
      <c r="BR576" s="177"/>
      <c r="BS576" s="177"/>
      <c r="BT576" s="15"/>
      <c r="BU576" s="720"/>
      <c r="BV576" s="720"/>
      <c r="BW576" s="720"/>
      <c r="BX576" s="720"/>
      <c r="BY576" s="720"/>
      <c r="BZ576" s="720"/>
      <c r="CA576" s="15"/>
      <c r="CB576" s="15"/>
      <c r="CC576" s="15"/>
      <c r="CD576" s="15"/>
      <c r="CE576" s="15"/>
      <c r="CF576" s="15"/>
    </row>
    <row r="577" spans="1:86">
      <c r="A577" s="139"/>
      <c r="B577" s="100"/>
      <c r="C577" s="1179"/>
      <c r="D577" s="100"/>
      <c r="E577" s="133"/>
      <c r="F577" s="134"/>
      <c r="G577" s="134"/>
      <c r="H577" s="135"/>
      <c r="I577" s="308"/>
      <c r="J577" s="316"/>
      <c r="K577" s="312"/>
      <c r="L577" s="312"/>
      <c r="M577" s="317"/>
      <c r="N577" s="285"/>
      <c r="O577" s="316"/>
      <c r="P577" s="312"/>
      <c r="Q577" s="312"/>
      <c r="R577" s="317"/>
      <c r="S577" s="285"/>
      <c r="T577" s="316"/>
      <c r="U577" s="312"/>
      <c r="V577" s="312"/>
      <c r="W577" s="317"/>
      <c r="X577" s="308"/>
      <c r="Y577" s="316"/>
      <c r="Z577" s="312"/>
      <c r="AA577" s="312"/>
      <c r="AB577" s="317"/>
      <c r="AC577" s="308"/>
      <c r="AD577" s="316"/>
      <c r="AE577" s="312"/>
      <c r="AF577" s="312"/>
      <c r="AG577" s="317"/>
      <c r="AH577" s="308"/>
      <c r="AI577" s="316"/>
      <c r="AJ577" s="312"/>
      <c r="AK577" s="312"/>
      <c r="AL577" s="317"/>
      <c r="AM577" s="308"/>
      <c r="AN577" s="316"/>
      <c r="AO577" s="312"/>
      <c r="AP577" s="312"/>
      <c r="AQ577" s="317"/>
      <c r="AR577" s="308"/>
      <c r="AS577" s="316"/>
      <c r="AT577" s="312"/>
      <c r="AU577" s="312"/>
      <c r="AV577" s="317"/>
      <c r="AW577" s="308"/>
      <c r="AX577" s="316"/>
      <c r="AY577" s="312"/>
      <c r="AZ577" s="312"/>
      <c r="BA577" s="317"/>
      <c r="BB577" s="308"/>
      <c r="BC577" s="316"/>
      <c r="BD577" s="312"/>
      <c r="BE577" s="312"/>
      <c r="BF577" s="317"/>
      <c r="BG577" s="308"/>
      <c r="BH577" s="316"/>
      <c r="BI577" s="312"/>
      <c r="BJ577" s="312"/>
      <c r="BK577" s="317"/>
      <c r="BL577" s="308"/>
      <c r="BM577" s="316"/>
      <c r="BN577" s="312"/>
      <c r="BO577" s="312"/>
      <c r="BP577" s="317"/>
      <c r="BQ577" s="308"/>
      <c r="BR577" s="177"/>
      <c r="BS577" s="177"/>
      <c r="BT577" s="15"/>
      <c r="BU577" s="15"/>
      <c r="BV577" s="15"/>
      <c r="BW577" s="15"/>
      <c r="BX577" s="15"/>
      <c r="BY577" s="15"/>
      <c r="BZ577" s="15"/>
      <c r="CA577" s="15"/>
      <c r="CB577" s="15"/>
      <c r="CC577" s="15"/>
      <c r="CD577" s="15"/>
      <c r="CE577" s="15"/>
      <c r="CF577" s="15"/>
    </row>
    <row r="578" spans="1:86">
      <c r="A578" s="139"/>
      <c r="B578" s="668" t="s">
        <v>168</v>
      </c>
      <c r="C578" s="1185"/>
      <c r="D578" s="743"/>
      <c r="E578" s="133"/>
      <c r="F578" s="134"/>
      <c r="G578" s="134"/>
      <c r="H578" s="135"/>
      <c r="I578" s="308"/>
      <c r="J578" s="316"/>
      <c r="K578" s="312"/>
      <c r="L578" s="312"/>
      <c r="M578" s="317"/>
      <c r="N578" s="285"/>
      <c r="O578" s="316"/>
      <c r="P578" s="312"/>
      <c r="Q578" s="312"/>
      <c r="R578" s="317"/>
      <c r="S578" s="285"/>
      <c r="T578" s="316"/>
      <c r="U578" s="312"/>
      <c r="V578" s="312"/>
      <c r="W578" s="317"/>
      <c r="X578" s="308"/>
      <c r="Y578" s="316"/>
      <c r="Z578" s="312"/>
      <c r="AA578" s="312"/>
      <c r="AB578" s="317"/>
      <c r="AC578" s="308"/>
      <c r="AD578" s="316"/>
      <c r="AE578" s="312"/>
      <c r="AF578" s="312"/>
      <c r="AG578" s="317"/>
      <c r="AH578" s="308"/>
      <c r="AI578" s="316"/>
      <c r="AJ578" s="312"/>
      <c r="AK578" s="312"/>
      <c r="AL578" s="317"/>
      <c r="AM578" s="308"/>
      <c r="AN578" s="316"/>
      <c r="AO578" s="312"/>
      <c r="AP578" s="312"/>
      <c r="AQ578" s="317"/>
      <c r="AR578" s="308"/>
      <c r="AS578" s="316"/>
      <c r="AT578" s="312"/>
      <c r="AU578" s="312"/>
      <c r="AV578" s="317"/>
      <c r="AW578" s="308"/>
      <c r="AX578" s="316"/>
      <c r="AY578" s="312"/>
      <c r="AZ578" s="312"/>
      <c r="BA578" s="317"/>
      <c r="BB578" s="308"/>
      <c r="BC578" s="316"/>
      <c r="BD578" s="312"/>
      <c r="BE578" s="312"/>
      <c r="BF578" s="317"/>
      <c r="BG578" s="308"/>
      <c r="BH578" s="316"/>
      <c r="BI578" s="312"/>
      <c r="BJ578" s="312"/>
      <c r="BK578" s="317"/>
      <c r="BL578" s="308"/>
      <c r="BM578" s="316"/>
      <c r="BN578" s="312"/>
      <c r="BO578" s="312"/>
      <c r="BP578" s="317"/>
      <c r="BQ578" s="308"/>
      <c r="BR578" s="177"/>
      <c r="BS578" s="177"/>
      <c r="BT578" s="15"/>
      <c r="BU578" s="15"/>
      <c r="BV578" s="15"/>
      <c r="BW578" s="15"/>
      <c r="BX578" s="15"/>
      <c r="BY578" s="15"/>
      <c r="BZ578" s="15"/>
      <c r="CA578" s="15"/>
      <c r="CB578" s="15"/>
      <c r="CC578" s="15"/>
      <c r="CD578" s="15"/>
      <c r="CE578" s="15"/>
      <c r="CF578" s="15"/>
    </row>
    <row r="579" spans="1:86">
      <c r="A579" s="139"/>
      <c r="B579" s="100"/>
      <c r="C579" s="1197" t="s">
        <v>207</v>
      </c>
      <c r="D579" s="100"/>
      <c r="E579" s="133"/>
      <c r="F579" s="134"/>
      <c r="G579" s="134"/>
      <c r="H579" s="135"/>
      <c r="I579" s="308"/>
      <c r="J579" s="316"/>
      <c r="K579" s="312"/>
      <c r="L579" s="312"/>
      <c r="M579" s="317"/>
      <c r="N579" s="285"/>
      <c r="O579" s="316"/>
      <c r="P579" s="312"/>
      <c r="Q579" s="312"/>
      <c r="R579" s="317"/>
      <c r="S579" s="285"/>
      <c r="T579" s="316"/>
      <c r="U579" s="312"/>
      <c r="V579" s="312"/>
      <c r="W579" s="317"/>
      <c r="X579" s="308"/>
      <c r="Y579" s="316"/>
      <c r="Z579" s="312"/>
      <c r="AA579" s="312"/>
      <c r="AB579" s="317"/>
      <c r="AC579" s="308"/>
      <c r="AD579" s="316"/>
      <c r="AE579" s="312"/>
      <c r="AF579" s="312"/>
      <c r="AG579" s="317"/>
      <c r="AH579" s="308"/>
      <c r="AI579" s="316"/>
      <c r="AJ579" s="312"/>
      <c r="AK579" s="312"/>
      <c r="AL579" s="317"/>
      <c r="AM579" s="308"/>
      <c r="AN579" s="316"/>
      <c r="AO579" s="312"/>
      <c r="AP579" s="312"/>
      <c r="AQ579" s="317"/>
      <c r="AR579" s="308"/>
      <c r="AS579" s="316"/>
      <c r="AT579" s="312"/>
      <c r="AU579" s="312"/>
      <c r="AV579" s="317"/>
      <c r="AW579" s="308"/>
      <c r="AX579" s="316"/>
      <c r="AY579" s="312"/>
      <c r="AZ579" s="312"/>
      <c r="BA579" s="317"/>
      <c r="BB579" s="308"/>
      <c r="BC579" s="316"/>
      <c r="BD579" s="312"/>
      <c r="BE579" s="312"/>
      <c r="BF579" s="317"/>
      <c r="BG579" s="308"/>
      <c r="BH579" s="316"/>
      <c r="BI579" s="312"/>
      <c r="BJ579" s="312"/>
      <c r="BK579" s="317"/>
      <c r="BL579" s="308"/>
      <c r="BM579" s="316"/>
      <c r="BN579" s="312"/>
      <c r="BO579" s="312"/>
      <c r="BP579" s="317"/>
      <c r="BQ579" s="308"/>
      <c r="BR579" s="177"/>
      <c r="BS579" s="177"/>
      <c r="BT579" s="15"/>
      <c r="BU579" s="15"/>
      <c r="BV579" s="15"/>
      <c r="BW579" s="15"/>
      <c r="BX579" s="15"/>
      <c r="BY579" s="15"/>
      <c r="BZ579" s="15"/>
      <c r="CA579" s="15"/>
      <c r="CB579" s="15"/>
      <c r="CC579" s="15"/>
      <c r="CD579" s="15"/>
      <c r="CE579" s="15"/>
      <c r="CF579" s="15"/>
    </row>
    <row r="580" spans="1:86">
      <c r="A580" s="139"/>
      <c r="B580" s="96"/>
      <c r="C580" s="1198" t="s">
        <v>208</v>
      </c>
      <c r="D580" s="96"/>
      <c r="E580" s="133"/>
      <c r="F580" s="134"/>
      <c r="G580" s="134"/>
      <c r="H580" s="135"/>
      <c r="I580" s="308"/>
      <c r="J580" s="316"/>
      <c r="K580" s="312"/>
      <c r="L580" s="312"/>
      <c r="M580" s="317"/>
      <c r="N580" s="285"/>
      <c r="O580" s="316"/>
      <c r="P580" s="312"/>
      <c r="Q580" s="312"/>
      <c r="R580" s="317"/>
      <c r="S580" s="285"/>
      <c r="T580" s="316"/>
      <c r="U580" s="312"/>
      <c r="V580" s="312"/>
      <c r="W580" s="317"/>
      <c r="X580" s="782"/>
      <c r="Y580" s="316">
        <f>Debt!V116</f>
        <v>0</v>
      </c>
      <c r="Z580" s="312">
        <f>Debt!W116</f>
        <v>0</v>
      </c>
      <c r="AA580" s="312">
        <f>Debt!X116</f>
        <v>0</v>
      </c>
      <c r="AB580" s="317">
        <f>Debt!Y116</f>
        <v>0</v>
      </c>
      <c r="AC580" s="298">
        <f>Debt!Z116</f>
        <v>0</v>
      </c>
      <c r="AD580" s="316">
        <f>Debt!AA116</f>
        <v>0</v>
      </c>
      <c r="AE580" s="297">
        <f>Debt!AB116</f>
        <v>0</v>
      </c>
      <c r="AF580" s="297">
        <f>Debt!AC116</f>
        <v>0</v>
      </c>
      <c r="AG580" s="290">
        <f>Debt!AD116</f>
        <v>0</v>
      </c>
      <c r="AH580" s="298">
        <f>Debt!AE116</f>
        <v>0</v>
      </c>
      <c r="AI580" s="296">
        <f>Debt!AF116</f>
        <v>0</v>
      </c>
      <c r="AJ580" s="297">
        <f>Debt!AG116</f>
        <v>0</v>
      </c>
      <c r="AK580" s="297">
        <f>Debt!AH116</f>
        <v>0</v>
      </c>
      <c r="AL580" s="290">
        <f>Debt!AI116</f>
        <v>0</v>
      </c>
      <c r="AM580" s="298">
        <f>Debt!AJ116</f>
        <v>0</v>
      </c>
      <c r="AN580" s="296">
        <f>Debt!AK116</f>
        <v>0</v>
      </c>
      <c r="AO580" s="297">
        <f>Debt!AL116</f>
        <v>0</v>
      </c>
      <c r="AP580" s="297">
        <f>Debt!AM116</f>
        <v>0</v>
      </c>
      <c r="AQ580" s="290">
        <f>Debt!AN116</f>
        <v>0</v>
      </c>
      <c r="AR580" s="298">
        <f>Debt!AO116</f>
        <v>0</v>
      </c>
      <c r="AS580" s="296">
        <f>Debt!AP116</f>
        <v>0</v>
      </c>
      <c r="AT580" s="297">
        <f>Debt!AQ116</f>
        <v>0</v>
      </c>
      <c r="AU580" s="297">
        <f>Debt!AR116</f>
        <v>0</v>
      </c>
      <c r="AV580" s="290">
        <f>Debt!AS116</f>
        <v>0</v>
      </c>
      <c r="AW580" s="298">
        <f>Debt!AT116</f>
        <v>0</v>
      </c>
      <c r="AX580" s="316">
        <f>Debt!AU116</f>
        <v>0</v>
      </c>
      <c r="AY580" s="312">
        <f>Debt!AV116</f>
        <v>0</v>
      </c>
      <c r="AZ580" s="312">
        <f>Debt!AW116</f>
        <v>0</v>
      </c>
      <c r="BA580" s="317">
        <f>Debt!AX116</f>
        <v>0</v>
      </c>
      <c r="BB580" s="782">
        <v>0</v>
      </c>
      <c r="BC580" s="316">
        <f>Debt!AZ116</f>
        <v>0</v>
      </c>
      <c r="BD580" s="312">
        <f>Debt!BA116</f>
        <v>0</v>
      </c>
      <c r="BE580" s="312">
        <f>Debt!BB116</f>
        <v>0</v>
      </c>
      <c r="BF580" s="317">
        <f>Debt!BC116</f>
        <v>0</v>
      </c>
      <c r="BG580" s="782">
        <v>0</v>
      </c>
      <c r="BH580" s="316">
        <f>Debt!BE116</f>
        <v>0</v>
      </c>
      <c r="BI580" s="312">
        <f>Debt!BF116</f>
        <v>0</v>
      </c>
      <c r="BJ580" s="312">
        <f>Debt!BG116</f>
        <v>250</v>
      </c>
      <c r="BK580" s="317">
        <f>Debt!BH116</f>
        <v>0</v>
      </c>
      <c r="BL580" s="782">
        <v>250</v>
      </c>
      <c r="BM580" s="316">
        <f>Debt!BJ116</f>
        <v>0</v>
      </c>
      <c r="BN580" s="312">
        <f>Debt!BK116</f>
        <v>0</v>
      </c>
      <c r="BO580" s="312">
        <f>Debt!BL116</f>
        <v>500</v>
      </c>
      <c r="BP580" s="317">
        <f>Debt!BM116</f>
        <v>0</v>
      </c>
      <c r="BQ580" s="782">
        <v>500</v>
      </c>
      <c r="BR580" s="177"/>
      <c r="BS580" s="177"/>
      <c r="BT580" s="15"/>
      <c r="BU580" s="15"/>
      <c r="BV580" s="15"/>
      <c r="BW580" s="15"/>
      <c r="BX580" s="15"/>
      <c r="BY580" s="15"/>
      <c r="BZ580" s="15"/>
      <c r="CA580" s="15"/>
      <c r="CB580" s="15"/>
      <c r="CC580" s="15"/>
      <c r="CD580" s="15"/>
      <c r="CE580" s="15"/>
      <c r="CF580" s="15"/>
    </row>
    <row r="581" spans="1:86">
      <c r="A581" s="139"/>
      <c r="B581" s="96"/>
      <c r="C581" s="1198" t="s">
        <v>210</v>
      </c>
      <c r="D581" s="96"/>
      <c r="E581" s="133"/>
      <c r="F581" s="134"/>
      <c r="G581" s="134"/>
      <c r="H581" s="135"/>
      <c r="I581" s="308"/>
      <c r="J581" s="316"/>
      <c r="K581" s="312"/>
      <c r="L581" s="312"/>
      <c r="M581" s="317"/>
      <c r="N581" s="285"/>
      <c r="O581" s="316"/>
      <c r="P581" s="312"/>
      <c r="Q581" s="312"/>
      <c r="R581" s="317"/>
      <c r="S581" s="285"/>
      <c r="T581" s="316"/>
      <c r="U581" s="312"/>
      <c r="V581" s="312"/>
      <c r="W581" s="317"/>
      <c r="X581" s="285"/>
      <c r="Y581" s="316">
        <f>Debt!V108</f>
        <v>0</v>
      </c>
      <c r="Z581" s="312">
        <f>Debt!W108</f>
        <v>0</v>
      </c>
      <c r="AA581" s="312">
        <f>Debt!X108</f>
        <v>0</v>
      </c>
      <c r="AB581" s="317">
        <f>Debt!Y108</f>
        <v>0</v>
      </c>
      <c r="AC581" s="1595">
        <f>SUM(Y581:AB581)</f>
        <v>0</v>
      </c>
      <c r="AD581" s="316">
        <f>Debt!AA108</f>
        <v>0</v>
      </c>
      <c r="AE581" s="297">
        <f>Debt!AB108</f>
        <v>0</v>
      </c>
      <c r="AF581" s="297">
        <f>Debt!AC108</f>
        <v>0</v>
      </c>
      <c r="AG581" s="290">
        <f>Debt!AD108</f>
        <v>0</v>
      </c>
      <c r="AH581" s="298">
        <f>Debt!AE108</f>
        <v>0</v>
      </c>
      <c r="AI581" s="296">
        <f>Debt!AF108</f>
        <v>0</v>
      </c>
      <c r="AJ581" s="297">
        <f>Debt!AG108</f>
        <v>0</v>
      </c>
      <c r="AK581" s="297">
        <f>Debt!AH108</f>
        <v>0</v>
      </c>
      <c r="AL581" s="290">
        <f>Debt!AI108</f>
        <v>0</v>
      </c>
      <c r="AM581" s="298">
        <f>Debt!AJ108</f>
        <v>0</v>
      </c>
      <c r="AN581" s="296">
        <f>Debt!AK108</f>
        <v>0</v>
      </c>
      <c r="AO581" s="297">
        <f>Debt!AL108</f>
        <v>0</v>
      </c>
      <c r="AP581" s="297">
        <f>Debt!AM108</f>
        <v>0</v>
      </c>
      <c r="AQ581" s="290">
        <f>Debt!AN108</f>
        <v>0</v>
      </c>
      <c r="AR581" s="298">
        <f>Debt!AO108</f>
        <v>0</v>
      </c>
      <c r="AS581" s="296">
        <f>Debt!AP108</f>
        <v>-28.524999999999999</v>
      </c>
      <c r="AT581" s="297">
        <f>Debt!AQ108</f>
        <v>-5.0956039999999998</v>
      </c>
      <c r="AU581" s="297">
        <f>Debt!AR108</f>
        <v>-129.61000000000001</v>
      </c>
      <c r="AV581" s="290">
        <f>Debt!AS108</f>
        <v>0</v>
      </c>
      <c r="AW581" s="298">
        <f>Debt!AT108</f>
        <v>-163.23060400000003</v>
      </c>
      <c r="AX581" s="316">
        <f>Debt!AU108</f>
        <v>0</v>
      </c>
      <c r="AY581" s="312">
        <f>Debt!AV108</f>
        <v>-141.26</v>
      </c>
      <c r="AZ581" s="312">
        <f>Debt!AW108</f>
        <v>-43</v>
      </c>
      <c r="BA581" s="317">
        <f>Debt!AX108</f>
        <v>0</v>
      </c>
      <c r="BB581" s="285">
        <f>Debt!AY108</f>
        <v>-184.26</v>
      </c>
      <c r="BC581" s="316">
        <f>Debt!AZ108</f>
        <v>0</v>
      </c>
      <c r="BD581" s="312">
        <f>Debt!BA108</f>
        <v>-90.14</v>
      </c>
      <c r="BE581" s="312">
        <f>Debt!BB108</f>
        <v>0</v>
      </c>
      <c r="BF581" s="317">
        <f>Debt!BC108</f>
        <v>-155.53200000000001</v>
      </c>
      <c r="BG581" s="285">
        <f>Debt!BD108</f>
        <v>-245.67200000000003</v>
      </c>
      <c r="BH581" s="316">
        <f>Debt!BE108</f>
        <v>0</v>
      </c>
      <c r="BI581" s="312">
        <f>Debt!BF108</f>
        <v>0</v>
      </c>
      <c r="BJ581" s="312">
        <f>Debt!BG108</f>
        <v>-177</v>
      </c>
      <c r="BK581" s="317">
        <f>Debt!BH108</f>
        <v>0</v>
      </c>
      <c r="BL581" s="285">
        <f>Debt!BI108</f>
        <v>-177</v>
      </c>
      <c r="BM581" s="316">
        <f>Debt!BJ108</f>
        <v>0</v>
      </c>
      <c r="BN581" s="312">
        <f>Debt!BK108</f>
        <v>0</v>
      </c>
      <c r="BO581" s="312">
        <f>Debt!BL108</f>
        <v>-332.30500000000001</v>
      </c>
      <c r="BP581" s="317">
        <f>Debt!BM108</f>
        <v>0</v>
      </c>
      <c r="BQ581" s="285">
        <f>Debt!BN108</f>
        <v>-332.30500000000001</v>
      </c>
      <c r="BR581" s="177"/>
      <c r="BS581" s="177"/>
      <c r="BT581" s="15"/>
      <c r="BU581" s="15"/>
      <c r="BV581" s="15"/>
      <c r="BW581" s="15"/>
      <c r="BX581" s="15"/>
      <c r="BY581" s="15"/>
      <c r="BZ581" s="15"/>
      <c r="CA581" s="15"/>
      <c r="CB581" s="15"/>
      <c r="CC581" s="15"/>
      <c r="CD581" s="15"/>
      <c r="CE581" s="15"/>
      <c r="CF581" s="15"/>
    </row>
    <row r="582" spans="1:86">
      <c r="A582" s="139"/>
      <c r="B582" s="100"/>
      <c r="C582" s="1198"/>
      <c r="D582" s="100"/>
      <c r="E582" s="133"/>
      <c r="F582" s="134"/>
      <c r="G582" s="134"/>
      <c r="H582" s="135"/>
      <c r="I582" s="308"/>
      <c r="J582" s="316"/>
      <c r="K582" s="312"/>
      <c r="L582" s="312"/>
      <c r="M582" s="317"/>
      <c r="N582" s="285"/>
      <c r="O582" s="316"/>
      <c r="P582" s="312"/>
      <c r="Q582" s="312"/>
      <c r="R582" s="317"/>
      <c r="S582" s="285"/>
      <c r="T582" s="316"/>
      <c r="U582" s="312"/>
      <c r="V582" s="312"/>
      <c r="W582" s="317"/>
      <c r="X582" s="308"/>
      <c r="Y582" s="316"/>
      <c r="Z582" s="312"/>
      <c r="AA582" s="312"/>
      <c r="AB582" s="317"/>
      <c r="AC582" s="308"/>
      <c r="AD582" s="316"/>
      <c r="AE582" s="312"/>
      <c r="AF582" s="312"/>
      <c r="AG582" s="317"/>
      <c r="AH582" s="308"/>
      <c r="AI582" s="316"/>
      <c r="AJ582" s="312"/>
      <c r="AK582" s="312"/>
      <c r="AL582" s="317"/>
      <c r="AM582" s="308"/>
      <c r="AN582" s="316"/>
      <c r="AO582" s="312"/>
      <c r="AP582" s="312"/>
      <c r="AQ582" s="317"/>
      <c r="AR582" s="308"/>
      <c r="AS582" s="316"/>
      <c r="AT582" s="312"/>
      <c r="AU582" s="312"/>
      <c r="AV582" s="317"/>
      <c r="AW582" s="308"/>
      <c r="AX582" s="316"/>
      <c r="AY582" s="312"/>
      <c r="AZ582" s="312"/>
      <c r="BA582" s="317"/>
      <c r="BB582" s="308"/>
      <c r="BC582" s="316"/>
      <c r="BD582" s="312"/>
      <c r="BE582" s="312"/>
      <c r="BF582" s="317"/>
      <c r="BG582" s="308"/>
      <c r="BH582" s="316"/>
      <c r="BI582" s="312"/>
      <c r="BJ582" s="312"/>
      <c r="BK582" s="317"/>
      <c r="BL582" s="308"/>
      <c r="BM582" s="316"/>
      <c r="BN582" s="312"/>
      <c r="BO582" s="312"/>
      <c r="BP582" s="317"/>
      <c r="BQ582" s="308"/>
      <c r="BR582" s="177"/>
      <c r="BS582" s="177"/>
      <c r="BT582" s="15"/>
      <c r="BU582" s="15"/>
      <c r="BV582" s="15"/>
      <c r="BW582" s="15"/>
      <c r="BX582" s="15"/>
      <c r="BY582" s="15"/>
      <c r="BZ582" s="15"/>
      <c r="CA582" s="15"/>
      <c r="CB582" s="15"/>
      <c r="CC582" s="15"/>
      <c r="CD582" s="15"/>
      <c r="CE582" s="15"/>
      <c r="CF582" s="15"/>
    </row>
    <row r="583" spans="1:86">
      <c r="A583" s="139"/>
      <c r="B583" s="100"/>
      <c r="C583" s="1197" t="s">
        <v>200</v>
      </c>
      <c r="D583" s="100"/>
      <c r="E583" s="133"/>
      <c r="F583" s="134"/>
      <c r="G583" s="134"/>
      <c r="H583" s="135"/>
      <c r="I583" s="308"/>
      <c r="J583" s="316"/>
      <c r="K583" s="312"/>
      <c r="L583" s="312"/>
      <c r="M583" s="317"/>
      <c r="N583" s="285"/>
      <c r="O583" s="316"/>
      <c r="P583" s="312"/>
      <c r="Q583" s="312"/>
      <c r="R583" s="317"/>
      <c r="S583" s="285"/>
      <c r="T583" s="316"/>
      <c r="U583" s="312"/>
      <c r="V583" s="312"/>
      <c r="W583" s="317"/>
      <c r="X583" s="308"/>
      <c r="Y583" s="316"/>
      <c r="Z583" s="312"/>
      <c r="AA583" s="312"/>
      <c r="AB583" s="317"/>
      <c r="AC583" s="308"/>
      <c r="AD583" s="316"/>
      <c r="AE583" s="312"/>
      <c r="AF583" s="312"/>
      <c r="AG583" s="317"/>
      <c r="AH583" s="308"/>
      <c r="AI583" s="316"/>
      <c r="AJ583" s="312"/>
      <c r="AK583" s="312"/>
      <c r="AL583" s="317"/>
      <c r="AM583" s="308"/>
      <c r="AN583" s="316"/>
      <c r="AO583" s="312"/>
      <c r="AP583" s="312"/>
      <c r="AQ583" s="317"/>
      <c r="AR583" s="308"/>
      <c r="AS583" s="316"/>
      <c r="AT583" s="312"/>
      <c r="AU583" s="312"/>
      <c r="AV583" s="317"/>
      <c r="AW583" s="308"/>
      <c r="AX583" s="316"/>
      <c r="AY583" s="312"/>
      <c r="AZ583" s="312"/>
      <c r="BA583" s="317"/>
      <c r="BB583" s="308"/>
      <c r="BC583" s="316"/>
      <c r="BD583" s="312"/>
      <c r="BE583" s="312"/>
      <c r="BF583" s="317"/>
      <c r="BG583" s="308"/>
      <c r="BH583" s="316"/>
      <c r="BI583" s="312"/>
      <c r="BJ583" s="312"/>
      <c r="BK583" s="317"/>
      <c r="BL583" s="308"/>
      <c r="BM583" s="316"/>
      <c r="BN583" s="312"/>
      <c r="BO583" s="312"/>
      <c r="BP583" s="317"/>
      <c r="BQ583" s="308"/>
      <c r="BR583" s="177"/>
      <c r="BS583" s="177"/>
      <c r="BT583" s="15"/>
      <c r="BU583" s="15"/>
      <c r="BV583" s="15"/>
      <c r="BW583" s="15"/>
      <c r="BX583" s="15"/>
      <c r="BY583" s="15"/>
      <c r="BZ583" s="15"/>
      <c r="CA583" s="15"/>
      <c r="CB583" s="15"/>
      <c r="CC583" s="15"/>
      <c r="CD583" s="15"/>
      <c r="CE583" s="15"/>
      <c r="CF583" s="15"/>
    </row>
    <row r="584" spans="1:86">
      <c r="A584" s="139"/>
      <c r="B584" s="96"/>
      <c r="C584" s="1198" t="s">
        <v>396</v>
      </c>
      <c r="D584" s="96"/>
      <c r="E584" s="133"/>
      <c r="F584" s="134"/>
      <c r="G584" s="134"/>
      <c r="H584" s="135"/>
      <c r="I584" s="308"/>
      <c r="J584" s="316"/>
      <c r="K584" s="312"/>
      <c r="L584" s="312"/>
      <c r="M584" s="317"/>
      <c r="N584" s="285"/>
      <c r="O584" s="316"/>
      <c r="P584" s="312"/>
      <c r="Q584" s="312"/>
      <c r="R584" s="317"/>
      <c r="S584" s="285"/>
      <c r="T584" s="316"/>
      <c r="U584" s="312"/>
      <c r="V584" s="312"/>
      <c r="W584" s="317"/>
      <c r="X584" s="285"/>
      <c r="Y584" s="316"/>
      <c r="Z584" s="312"/>
      <c r="AA584" s="312"/>
      <c r="AB584" s="317"/>
      <c r="AC584" s="285"/>
      <c r="AD584" s="316"/>
      <c r="AE584" s="312"/>
      <c r="AF584" s="312"/>
      <c r="AG584" s="317"/>
      <c r="AH584" s="285"/>
      <c r="AI584" s="316"/>
      <c r="AJ584" s="312"/>
      <c r="AK584" s="312"/>
      <c r="AL584" s="317"/>
      <c r="AM584" s="285"/>
      <c r="AN584" s="316"/>
      <c r="AO584" s="312"/>
      <c r="AP584" s="312"/>
      <c r="AQ584" s="317"/>
      <c r="AR584" s="285"/>
      <c r="AS584" s="316"/>
      <c r="AT584" s="312"/>
      <c r="AU584" s="312"/>
      <c r="AV584" s="317"/>
      <c r="AW584" s="285"/>
      <c r="AX584" s="316">
        <f>(((AW617-AS617)*AX588)/4)-((AW615-AS615)*(AX588-1%)/4)</f>
        <v>0.04</v>
      </c>
      <c r="AY584" s="312">
        <f>(((AX617-AT617)*AY588)/4)-((AX615-AT615)*(AY588-1%)/4)</f>
        <v>-0.94943834132696314</v>
      </c>
      <c r="AZ584" s="312">
        <f>(((AY617-AU617)*AZ588)/4)-((AY615-AU615)*(AZ588-1%)/4)</f>
        <v>0.21416736053421431</v>
      </c>
      <c r="BA584" s="317">
        <f>(((AZ617-AV617)*BA588)/4)-((AZ615-AV615)*(BA588-1%)/4)</f>
        <v>0.72052477636114676</v>
      </c>
      <c r="BB584" s="285">
        <f>SUM(AX584:BA584)</f>
        <v>2.5253795568397908E-2</v>
      </c>
      <c r="BC584" s="316">
        <f>(((BB617-AX617)*BC588)/4)-((BB615-AX615)*(BC588-1%)/4)</f>
        <v>0.98524441989175049</v>
      </c>
      <c r="BD584" s="312">
        <f>(((BC617-AY617)*BD588)/4)-((BC615-AY615)*(BD588-1%)/4)</f>
        <v>0.67506668105361656</v>
      </c>
      <c r="BE584" s="312">
        <f>(((BD617-AZ617)*BE588)/4)-((BD615-AZ615)*(BE588-1%)/4)</f>
        <v>1.3522290431049859</v>
      </c>
      <c r="BF584" s="317">
        <f>(((BE617-BA617)*BF588)/4)-((BE615-BA615)*(BF588-1%)/4)</f>
        <v>1.7377705084114277</v>
      </c>
      <c r="BG584" s="285">
        <f>SUM(BC584:BF584)</f>
        <v>4.7503106524617804</v>
      </c>
      <c r="BH584" s="316">
        <f>(((BG617-BC617)*BH588)/4)-((BG615-BC615)*(BH588-1%)/4)</f>
        <v>2.6486868264216787</v>
      </c>
      <c r="BI584" s="312">
        <f>(((BH617-BD617)*BI588)/4)-((BH615-BD615)*(BI588-1%)/4)</f>
        <v>1.9490841241715497</v>
      </c>
      <c r="BJ584" s="312">
        <f>(((BI617-BE617)*BJ588)/4)-((BI615-BE615)*(BJ588-1%)/4)</f>
        <v>1.7406737150557485</v>
      </c>
      <c r="BK584" s="317">
        <f>(((BJ617-BF617)*BK588)/4)-((BJ615-BF615)*(BK588-1%)/4)</f>
        <v>0.28506295231525142</v>
      </c>
      <c r="BL584" s="285">
        <f>SUM(BH584:BK584)</f>
        <v>6.6235076179642283</v>
      </c>
      <c r="BM584" s="316">
        <f>(((BL617-BH617)*BM588)/4)-((BL615-BH615)*(BM588-1%)/4)</f>
        <v>0.37979131645823372</v>
      </c>
      <c r="BN584" s="312">
        <f>(((BM617-BI617)*BN588)/4)-((BM615-BI615)*(BN588-1%)/4)</f>
        <v>0.18866686078868269</v>
      </c>
      <c r="BO584" s="312">
        <f>(((BN617-BJ617)*BO588)/4)-((BN615-BJ615)*(BO588-1%)/4)</f>
        <v>0.49572372029483919</v>
      </c>
      <c r="BP584" s="317">
        <f>(((BO617-BK617)*BP588)/4)-((BO615-BK615)*(BP588-1%)/4)</f>
        <v>-0.5106663021665776</v>
      </c>
      <c r="BQ584" s="285">
        <f>SUM(BM584:BP584)</f>
        <v>0.55351559537517803</v>
      </c>
      <c r="BR584" s="177"/>
      <c r="BS584" s="177"/>
      <c r="BT584" s="15"/>
      <c r="BU584" s="15"/>
      <c r="BV584" s="15"/>
      <c r="BW584" s="15"/>
      <c r="BX584" s="15"/>
      <c r="BY584" s="15"/>
      <c r="BZ584" s="15"/>
      <c r="CA584" s="15"/>
      <c r="CB584" s="15"/>
      <c r="CC584" s="15"/>
      <c r="CD584" s="15"/>
      <c r="CE584" s="15"/>
      <c r="CF584" s="15"/>
    </row>
    <row r="585" spans="1:86">
      <c r="A585" s="139"/>
      <c r="B585" s="96"/>
      <c r="C585" s="1198" t="s">
        <v>211</v>
      </c>
      <c r="D585" s="96"/>
      <c r="E585" s="133"/>
      <c r="F585" s="134"/>
      <c r="G585" s="134"/>
      <c r="H585" s="135"/>
      <c r="I585" s="308"/>
      <c r="J585" s="316"/>
      <c r="K585" s="312"/>
      <c r="L585" s="312"/>
      <c r="M585" s="317"/>
      <c r="N585" s="285"/>
      <c r="O585" s="316"/>
      <c r="P585" s="312"/>
      <c r="Q585" s="312"/>
      <c r="R585" s="317"/>
      <c r="S585" s="285"/>
      <c r="T585" s="316"/>
      <c r="U585" s="312"/>
      <c r="V585" s="312"/>
      <c r="W585" s="317"/>
      <c r="X585" s="285"/>
      <c r="Y585" s="316"/>
      <c r="Z585" s="312"/>
      <c r="AA585" s="312"/>
      <c r="AB585" s="317"/>
      <c r="AC585" s="285"/>
      <c r="AD585" s="316"/>
      <c r="AE585" s="312"/>
      <c r="AF585" s="312"/>
      <c r="AG585" s="317"/>
      <c r="AH585" s="285"/>
      <c r="AI585" s="316"/>
      <c r="AJ585" s="312"/>
      <c r="AK585" s="312"/>
      <c r="AL585" s="317"/>
      <c r="AM585" s="285"/>
      <c r="AN585" s="316"/>
      <c r="AO585" s="312"/>
      <c r="AP585" s="312"/>
      <c r="AQ585" s="317"/>
      <c r="AR585" s="285"/>
      <c r="AS585" s="316"/>
      <c r="AT585" s="312"/>
      <c r="AU585" s="312"/>
      <c r="AV585" s="317"/>
      <c r="AW585" s="285"/>
      <c r="AX585" s="316">
        <f>Debt!CY116</f>
        <v>0</v>
      </c>
      <c r="AY585" s="312">
        <f>Debt!CZ116</f>
        <v>0</v>
      </c>
      <c r="AZ585" s="312">
        <f>Debt!DA116</f>
        <v>0</v>
      </c>
      <c r="BA585" s="317">
        <f>Debt!DB116</f>
        <v>0</v>
      </c>
      <c r="BB585" s="285">
        <f>SUM(AX585:BA585)</f>
        <v>0</v>
      </c>
      <c r="BC585" s="316">
        <f>Debt!DD116</f>
        <v>0</v>
      </c>
      <c r="BD585" s="312">
        <f>Debt!DE116</f>
        <v>0</v>
      </c>
      <c r="BE585" s="312">
        <f>Debt!DF116</f>
        <v>0</v>
      </c>
      <c r="BF585" s="317">
        <f>Debt!DG116</f>
        <v>0</v>
      </c>
      <c r="BG585" s="285">
        <f>SUM(BC585:BF585)</f>
        <v>0</v>
      </c>
      <c r="BH585" s="316">
        <f>Debt!DI116</f>
        <v>0</v>
      </c>
      <c r="BI585" s="312">
        <f>Debt!DJ116</f>
        <v>0</v>
      </c>
      <c r="BJ585" s="312">
        <f>Debt!DK116</f>
        <v>3.125</v>
      </c>
      <c r="BK585" s="317">
        <f>Debt!DL116</f>
        <v>3.125</v>
      </c>
      <c r="BL585" s="285">
        <f>SUM(BH585:BK585)</f>
        <v>6.25</v>
      </c>
      <c r="BM585" s="316">
        <f>Debt!DN116</f>
        <v>3.125</v>
      </c>
      <c r="BN585" s="312">
        <f>Debt!DO116</f>
        <v>3.125</v>
      </c>
      <c r="BO585" s="312">
        <f>Debt!DP116</f>
        <v>6.25</v>
      </c>
      <c r="BP585" s="317">
        <f>Debt!DQ116</f>
        <v>6.25</v>
      </c>
      <c r="BQ585" s="285">
        <f>SUM(BM585:BP585)</f>
        <v>18.75</v>
      </c>
      <c r="BR585" s="177"/>
      <c r="BS585" s="177"/>
      <c r="BT585" s="15"/>
      <c r="BU585" s="15"/>
      <c r="BV585" s="15"/>
      <c r="BW585" s="15"/>
      <c r="BX585" s="15"/>
      <c r="BY585" s="15"/>
      <c r="BZ585" s="15"/>
      <c r="CA585" s="15"/>
      <c r="CB585" s="15"/>
      <c r="CC585" s="15"/>
      <c r="CD585" s="15"/>
      <c r="CE585" s="15"/>
      <c r="CF585" s="15"/>
    </row>
    <row r="586" spans="1:86">
      <c r="A586" s="139"/>
      <c r="B586" s="96"/>
      <c r="C586" s="1198" t="s">
        <v>212</v>
      </c>
      <c r="D586" s="96"/>
      <c r="E586" s="133"/>
      <c r="F586" s="134"/>
      <c r="G586" s="134"/>
      <c r="H586" s="135"/>
      <c r="I586" s="308"/>
      <c r="J586" s="316"/>
      <c r="K586" s="312"/>
      <c r="L586" s="312"/>
      <c r="M586" s="317"/>
      <c r="N586" s="285"/>
      <c r="O586" s="316"/>
      <c r="P586" s="312"/>
      <c r="Q586" s="312"/>
      <c r="R586" s="317"/>
      <c r="S586" s="285"/>
      <c r="T586" s="316"/>
      <c r="U586" s="312"/>
      <c r="V586" s="312"/>
      <c r="W586" s="317"/>
      <c r="X586" s="285"/>
      <c r="Y586" s="316"/>
      <c r="Z586" s="312"/>
      <c r="AA586" s="312"/>
      <c r="AB586" s="317"/>
      <c r="AC586" s="285"/>
      <c r="AD586" s="316"/>
      <c r="AE586" s="312"/>
      <c r="AF586" s="312"/>
      <c r="AG586" s="317"/>
      <c r="AH586" s="285"/>
      <c r="AI586" s="316"/>
      <c r="AJ586" s="312"/>
      <c r="AK586" s="312"/>
      <c r="AL586" s="317"/>
      <c r="AM586" s="285"/>
      <c r="AN586" s="316"/>
      <c r="AO586" s="312"/>
      <c r="AP586" s="312"/>
      <c r="AQ586" s="317"/>
      <c r="AR586" s="285"/>
      <c r="AS586" s="316"/>
      <c r="AT586" s="312"/>
      <c r="AU586" s="312"/>
      <c r="AV586" s="317"/>
      <c r="AW586" s="285"/>
      <c r="AX586" s="316">
        <f>Debt!CY108</f>
        <v>-1.0267418033333335</v>
      </c>
      <c r="AY586" s="312">
        <f>Debt!CZ108</f>
        <v>-1.5491171466666667</v>
      </c>
      <c r="AZ586" s="312">
        <f>Debt!DA108</f>
        <v>-2.8642136666666662</v>
      </c>
      <c r="BA586" s="317">
        <f>Debt!DB108</f>
        <v>-2.3241719999999999</v>
      </c>
      <c r="BB586" s="285">
        <f>SUM(AX586:BA586)</f>
        <v>-7.7642446166666668</v>
      </c>
      <c r="BC586" s="316">
        <f>Debt!DD108</f>
        <v>-2.3241719999999999</v>
      </c>
      <c r="BD586" s="312">
        <f>Debt!DE108</f>
        <v>-2.1121271666666663</v>
      </c>
      <c r="BE586" s="312">
        <f>Debt!DF108</f>
        <v>-0.67604999999999993</v>
      </c>
      <c r="BF586" s="317">
        <f>Debt!DG108</f>
        <v>-2.9118225000000004</v>
      </c>
      <c r="BG586" s="285">
        <f>SUM(BC586:BF586)</f>
        <v>-8.0241716666666676</v>
      </c>
      <c r="BH586" s="316">
        <f>Debt!DI108</f>
        <v>-2.9118225000000004</v>
      </c>
      <c r="BI586" s="312">
        <f>Debt!DJ108</f>
        <v>-2.4611225000000005</v>
      </c>
      <c r="BJ586" s="312">
        <f>Debt!DK108</f>
        <v>-3.9172725000000002</v>
      </c>
      <c r="BK586" s="317">
        <f>Debt!DL108</f>
        <v>-2.5222500000000001</v>
      </c>
      <c r="BL586" s="285">
        <f>SUM(BH586:BK586)</f>
        <v>-11.8124675</v>
      </c>
      <c r="BM586" s="316">
        <f>Debt!DN108</f>
        <v>-2.5222500000000001</v>
      </c>
      <c r="BN586" s="312">
        <f>Debt!DO108</f>
        <v>-2.5222500000000001</v>
      </c>
      <c r="BO586" s="312">
        <f>Debt!DP108</f>
        <v>-5.4564920833333339</v>
      </c>
      <c r="BP586" s="317">
        <f>Debt!DQ108</f>
        <v>-6.2911131249999999</v>
      </c>
      <c r="BQ586" s="285">
        <f>SUM(BM586:BP586)</f>
        <v>-16.792105208333332</v>
      </c>
      <c r="BR586" s="177"/>
      <c r="BS586" s="177"/>
      <c r="BT586" s="15"/>
      <c r="BU586" s="15"/>
      <c r="BV586" s="15"/>
      <c r="BW586" s="15"/>
      <c r="BX586" s="15"/>
      <c r="BY586" s="15"/>
      <c r="BZ586" s="15"/>
      <c r="CA586" s="15"/>
      <c r="CB586" s="15"/>
      <c r="CC586" s="15"/>
      <c r="CD586" s="15"/>
      <c r="CE586" s="15"/>
      <c r="CF586" s="15"/>
    </row>
    <row r="587" spans="1:86">
      <c r="A587" s="139"/>
      <c r="B587" s="100"/>
      <c r="C587" s="1179"/>
      <c r="D587" s="100"/>
      <c r="E587" s="133"/>
      <c r="F587" s="134"/>
      <c r="G587" s="134"/>
      <c r="H587" s="135"/>
      <c r="I587" s="233"/>
      <c r="J587" s="133"/>
      <c r="K587" s="134"/>
      <c r="L587" s="134"/>
      <c r="M587" s="135"/>
      <c r="N587" s="237"/>
      <c r="O587" s="133"/>
      <c r="P587" s="134"/>
      <c r="Q587" s="134"/>
      <c r="R587" s="135"/>
      <c r="S587" s="237"/>
      <c r="T587" s="133"/>
      <c r="U587" s="134"/>
      <c r="V587" s="134"/>
      <c r="W587" s="135"/>
      <c r="X587" s="233"/>
      <c r="Y587" s="133"/>
      <c r="Z587" s="134"/>
      <c r="AA587" s="134"/>
      <c r="AB587" s="135"/>
      <c r="AC587" s="233"/>
      <c r="AD587" s="133"/>
      <c r="AE587" s="134"/>
      <c r="AF587" s="134"/>
      <c r="AG587" s="135"/>
      <c r="AH587" s="233"/>
      <c r="AI587" s="133"/>
      <c r="AJ587" s="134"/>
      <c r="AK587" s="134"/>
      <c r="AL587" s="135"/>
      <c r="AM587" s="233"/>
      <c r="AN587" s="133"/>
      <c r="AO587" s="134"/>
      <c r="AP587" s="134"/>
      <c r="AQ587" s="135"/>
      <c r="AR587" s="233"/>
      <c r="AS587" s="133"/>
      <c r="AT587" s="134"/>
      <c r="AU587" s="134"/>
      <c r="AV587" s="135"/>
      <c r="AW587" s="233"/>
      <c r="AX587" s="133"/>
      <c r="AY587" s="134"/>
      <c r="AZ587" s="134"/>
      <c r="BA587" s="135"/>
      <c r="BB587" s="233"/>
      <c r="BC587" s="133"/>
      <c r="BD587" s="134"/>
      <c r="BE587" s="134"/>
      <c r="BF587" s="135"/>
      <c r="BG587" s="233"/>
      <c r="BH587" s="133"/>
      <c r="BI587" s="134"/>
      <c r="BJ587" s="134"/>
      <c r="BK587" s="135"/>
      <c r="BL587" s="233"/>
      <c r="BM587" s="133"/>
      <c r="BN587" s="134"/>
      <c r="BO587" s="134"/>
      <c r="BP587" s="135"/>
      <c r="BQ587" s="233"/>
      <c r="BR587" s="177"/>
      <c r="BS587" s="177"/>
      <c r="BT587" s="15"/>
      <c r="BU587" s="15"/>
      <c r="BV587" s="15"/>
      <c r="BW587" s="15"/>
      <c r="BX587" s="15"/>
      <c r="BY587" s="15"/>
      <c r="BZ587" s="15"/>
      <c r="CA587" s="15"/>
      <c r="CB587" s="15"/>
      <c r="CC587" s="15"/>
      <c r="CD587" s="15"/>
      <c r="CE587" s="15"/>
      <c r="CF587" s="15"/>
    </row>
    <row r="588" spans="1:86" s="720" customFormat="1">
      <c r="A588" s="683"/>
      <c r="B588" s="498"/>
      <c r="C588" s="1231" t="s">
        <v>214</v>
      </c>
      <c r="D588" s="498"/>
      <c r="E588" s="685"/>
      <c r="F588" s="686"/>
      <c r="G588" s="686"/>
      <c r="H588" s="687"/>
      <c r="I588" s="688"/>
      <c r="J588" s="685"/>
      <c r="K588" s="686"/>
      <c r="L588" s="686"/>
      <c r="M588" s="687"/>
      <c r="N588" s="498"/>
      <c r="O588" s="685"/>
      <c r="P588" s="686"/>
      <c r="Q588" s="686"/>
      <c r="R588" s="687"/>
      <c r="S588" s="498"/>
      <c r="T588" s="141"/>
      <c r="U588" s="84"/>
      <c r="V588" s="84"/>
      <c r="W588" s="142"/>
      <c r="X588" s="498"/>
      <c r="Y588" s="141"/>
      <c r="Z588" s="84"/>
      <c r="AA588" s="84"/>
      <c r="AB588" s="142"/>
      <c r="AC588" s="498"/>
      <c r="AD588" s="141"/>
      <c r="AE588" s="84"/>
      <c r="AF588" s="84"/>
      <c r="AG588" s="142"/>
      <c r="AH588" s="498"/>
      <c r="AI588" s="141"/>
      <c r="AJ588" s="84"/>
      <c r="AK588" s="84"/>
      <c r="AL588" s="142"/>
      <c r="AM588" s="498"/>
      <c r="AN588" s="141"/>
      <c r="AO588" s="84"/>
      <c r="AP588" s="84"/>
      <c r="AQ588" s="142"/>
      <c r="AR588" s="498"/>
      <c r="AS588" s="141"/>
      <c r="AT588" s="84"/>
      <c r="AU588" s="84"/>
      <c r="AV588" s="142"/>
      <c r="AW588" s="498"/>
      <c r="AX588" s="141">
        <f>FirstEnergy!AX100</f>
        <v>0.02</v>
      </c>
      <c r="AY588" s="84">
        <f>FirstEnergy!AY100</f>
        <v>0.02</v>
      </c>
      <c r="AZ588" s="84">
        <f>FirstEnergy!AZ100</f>
        <v>0.02</v>
      </c>
      <c r="BA588" s="142">
        <f>FirstEnergy!BA100</f>
        <v>0.02</v>
      </c>
      <c r="BB588" s="498">
        <f>FirstEnergy!BB100</f>
        <v>0.02</v>
      </c>
      <c r="BC588" s="141">
        <f>FirstEnergy!BC100</f>
        <v>0.02</v>
      </c>
      <c r="BD588" s="84">
        <f>FirstEnergy!BD100</f>
        <v>0.02</v>
      </c>
      <c r="BE588" s="84">
        <f>FirstEnergy!BE100</f>
        <v>0.02</v>
      </c>
      <c r="BF588" s="142">
        <f>FirstEnergy!BF100</f>
        <v>0.02</v>
      </c>
      <c r="BG588" s="498">
        <f>FirstEnergy!BG100</f>
        <v>0.02</v>
      </c>
      <c r="BH588" s="141">
        <f>FirstEnergy!BH100</f>
        <v>0.02</v>
      </c>
      <c r="BI588" s="84">
        <f>FirstEnergy!BI100</f>
        <v>0.02</v>
      </c>
      <c r="BJ588" s="84">
        <f>FirstEnergy!BJ100</f>
        <v>0.02</v>
      </c>
      <c r="BK588" s="142">
        <f>FirstEnergy!BK100</f>
        <v>0.02</v>
      </c>
      <c r="BL588" s="498">
        <f>FirstEnergy!BL100</f>
        <v>0.02</v>
      </c>
      <c r="BM588" s="141">
        <f>FirstEnergy!BM100</f>
        <v>0.02</v>
      </c>
      <c r="BN588" s="84">
        <f>FirstEnergy!BN100</f>
        <v>0.02</v>
      </c>
      <c r="BO588" s="84">
        <f>FirstEnergy!BO100</f>
        <v>0.02</v>
      </c>
      <c r="BP588" s="142">
        <f>FirstEnergy!BP100</f>
        <v>0.02</v>
      </c>
      <c r="BQ588" s="498">
        <f>FirstEnergy!BQ100</f>
        <v>0.02</v>
      </c>
      <c r="BR588" s="684"/>
      <c r="BS588" s="684"/>
      <c r="BT588" s="15"/>
      <c r="BU588" s="15"/>
      <c r="BV588" s="15"/>
      <c r="BW588" s="15"/>
      <c r="BX588" s="15"/>
      <c r="BY588" s="15"/>
      <c r="BZ588" s="15"/>
      <c r="CA588" s="15"/>
      <c r="CB588" s="15"/>
      <c r="CC588" s="15"/>
      <c r="CD588" s="15"/>
      <c r="CE588" s="15"/>
      <c r="CF588" s="15"/>
      <c r="CG588"/>
      <c r="CH588"/>
    </row>
    <row r="589" spans="1:86">
      <c r="A589" s="139"/>
      <c r="B589" s="139"/>
      <c r="C589" s="1222"/>
      <c r="E589" s="133"/>
      <c r="F589" s="134"/>
      <c r="G589" s="134"/>
      <c r="H589" s="135"/>
      <c r="I589" s="233"/>
      <c r="J589" s="133"/>
      <c r="K589" s="134"/>
      <c r="L589" s="134"/>
      <c r="M589" s="135"/>
      <c r="N589" s="237"/>
      <c r="O589" s="133"/>
      <c r="P589" s="134"/>
      <c r="Q589" s="134"/>
      <c r="R589" s="135"/>
      <c r="S589" s="237"/>
      <c r="T589" s="133"/>
      <c r="U589" s="134"/>
      <c r="V589" s="134"/>
      <c r="W589" s="135"/>
      <c r="X589" s="233"/>
      <c r="Y589" s="133"/>
      <c r="Z589" s="134"/>
      <c r="AA589" s="134"/>
      <c r="AB589" s="135"/>
      <c r="AC589" s="233"/>
      <c r="AD589" s="133"/>
      <c r="AE589" s="134"/>
      <c r="AF589" s="134"/>
      <c r="AG589" s="135"/>
      <c r="AH589" s="233"/>
      <c r="AI589" s="133"/>
      <c r="AJ589" s="134"/>
      <c r="AK589" s="134"/>
      <c r="AL589" s="135"/>
      <c r="AM589" s="233"/>
      <c r="AN589" s="133"/>
      <c r="AO589" s="134"/>
      <c r="AP589" s="134"/>
      <c r="AQ589" s="135"/>
      <c r="AR589" s="233"/>
      <c r="AS589" s="133"/>
      <c r="AT589" s="134"/>
      <c r="AU589" s="134"/>
      <c r="AV589" s="135"/>
      <c r="AW589" s="233"/>
      <c r="AX589" s="133"/>
      <c r="AY589" s="134"/>
      <c r="AZ589" s="134"/>
      <c r="BA589" s="135"/>
      <c r="BB589" s="233"/>
      <c r="BC589" s="133"/>
      <c r="BD589" s="134"/>
      <c r="BE589" s="134"/>
      <c r="BF589" s="135"/>
      <c r="BG589" s="233"/>
      <c r="BH589" s="133"/>
      <c r="BI589" s="134"/>
      <c r="BJ589" s="134"/>
      <c r="BK589" s="135"/>
      <c r="BL589" s="233"/>
      <c r="BM589" s="133"/>
      <c r="BN589" s="134"/>
      <c r="BO589" s="134"/>
      <c r="BP589" s="135"/>
      <c r="BQ589" s="233"/>
      <c r="BR589" s="177"/>
      <c r="BS589" s="177"/>
      <c r="BT589" s="15"/>
      <c r="BU589" s="15"/>
      <c r="BV589" s="15"/>
      <c r="BW589" s="15"/>
      <c r="BX589" s="15"/>
      <c r="BY589" s="15"/>
      <c r="BZ589" s="15"/>
      <c r="CA589" s="15"/>
      <c r="CB589" s="15"/>
      <c r="CC589" s="15"/>
      <c r="CD589" s="15"/>
      <c r="CE589" s="15"/>
      <c r="CF589" s="15"/>
    </row>
    <row r="590" spans="1:86">
      <c r="A590" s="139"/>
      <c r="B590" s="139"/>
      <c r="C590" s="1222"/>
      <c r="E590" s="133"/>
      <c r="F590" s="134"/>
      <c r="G590" s="134"/>
      <c r="H590" s="135"/>
      <c r="I590" s="2281"/>
      <c r="J590" s="133"/>
      <c r="K590" s="134"/>
      <c r="L590" s="134"/>
      <c r="M590" s="135"/>
      <c r="N590" s="2281"/>
      <c r="O590" s="133"/>
      <c r="P590" s="134"/>
      <c r="Q590" s="134"/>
      <c r="R590" s="135"/>
      <c r="S590" s="237"/>
      <c r="T590" s="133"/>
      <c r="U590" s="134"/>
      <c r="V590" s="134"/>
      <c r="W590" s="135"/>
      <c r="X590" s="233"/>
      <c r="Y590" s="133"/>
      <c r="Z590" s="134"/>
      <c r="AA590" s="134"/>
      <c r="AB590" s="135"/>
      <c r="AC590" s="233"/>
      <c r="AD590" s="133"/>
      <c r="AE590" s="134"/>
      <c r="AF590" s="134"/>
      <c r="AG590" s="135"/>
      <c r="AH590" s="233"/>
      <c r="AI590" s="133"/>
      <c r="AJ590" s="134"/>
      <c r="AK590" s="134"/>
      <c r="AL590" s="135"/>
      <c r="AM590" s="233"/>
      <c r="AN590" s="133"/>
      <c r="AO590" s="134"/>
      <c r="AP590" s="134"/>
      <c r="AQ590" s="135"/>
      <c r="AR590" s="233"/>
      <c r="AS590" s="133"/>
      <c r="AT590" s="134"/>
      <c r="AU590" s="134"/>
      <c r="AV590" s="135"/>
      <c r="AW590" s="233"/>
      <c r="AX590" s="133"/>
      <c r="AY590" s="134"/>
      <c r="AZ590" s="134"/>
      <c r="BA590" s="135"/>
      <c r="BB590" s="233"/>
      <c r="BC590" s="133"/>
      <c r="BD590" s="134"/>
      <c r="BE590" s="134"/>
      <c r="BF590" s="135"/>
      <c r="BG590" s="233"/>
      <c r="BH590" s="133"/>
      <c r="BI590" s="134"/>
      <c r="BJ590" s="134"/>
      <c r="BK590" s="135"/>
      <c r="BL590" s="233"/>
      <c r="BM590" s="133"/>
      <c r="BN590" s="134"/>
      <c r="BO590" s="134"/>
      <c r="BP590" s="135"/>
      <c r="BQ590" s="233"/>
      <c r="BR590" s="177"/>
      <c r="BS590" s="177"/>
      <c r="BT590" s="15"/>
      <c r="BU590" s="15"/>
      <c r="BV590" s="15"/>
      <c r="BW590" s="15"/>
      <c r="BX590" s="15"/>
      <c r="BY590" s="15"/>
      <c r="BZ590" s="15"/>
      <c r="CA590" s="15"/>
      <c r="CB590" s="15"/>
      <c r="CC590" s="15"/>
      <c r="CD590" s="15"/>
      <c r="CE590" s="15"/>
      <c r="CF590" s="15"/>
    </row>
    <row r="591" spans="1:86">
      <c r="A591" s="139"/>
      <c r="B591" s="126" t="s">
        <v>41</v>
      </c>
      <c r="C591" s="1199"/>
      <c r="D591" s="278"/>
      <c r="E591" s="152"/>
      <c r="F591" s="153"/>
      <c r="G591" s="153"/>
      <c r="H591" s="154"/>
      <c r="I591" s="178"/>
      <c r="J591" s="152"/>
      <c r="K591" s="153"/>
      <c r="L591" s="153"/>
      <c r="M591" s="154"/>
      <c r="N591" s="237"/>
      <c r="O591" s="152"/>
      <c r="P591" s="153"/>
      <c r="Q591" s="153"/>
      <c r="R591" s="154"/>
      <c r="S591" s="237"/>
      <c r="T591" s="152"/>
      <c r="U591" s="153"/>
      <c r="V591" s="153"/>
      <c r="W591" s="154"/>
      <c r="X591" s="178"/>
      <c r="Y591" s="152"/>
      <c r="Z591" s="153"/>
      <c r="AA591" s="153"/>
      <c r="AB591" s="154"/>
      <c r="AC591" s="178"/>
      <c r="AD591" s="152"/>
      <c r="AE591" s="153"/>
      <c r="AF591" s="153"/>
      <c r="AG591" s="154"/>
      <c r="AH591" s="178"/>
      <c r="AI591" s="152"/>
      <c r="AJ591" s="153"/>
      <c r="AK591" s="153"/>
      <c r="AL591" s="154"/>
      <c r="AM591" s="178"/>
      <c r="AN591" s="152"/>
      <c r="AO591" s="153"/>
      <c r="AP591" s="153"/>
      <c r="AQ591" s="154"/>
      <c r="AR591" s="178"/>
      <c r="AS591" s="152"/>
      <c r="AT591" s="153"/>
      <c r="AU591" s="153"/>
      <c r="AV591" s="154"/>
      <c r="AW591" s="178"/>
      <c r="AX591" s="152"/>
      <c r="AY591" s="153"/>
      <c r="AZ591" s="153"/>
      <c r="BA591" s="154"/>
      <c r="BB591" s="178"/>
      <c r="BC591" s="152"/>
      <c r="BD591" s="153"/>
      <c r="BE591" s="153"/>
      <c r="BF591" s="154"/>
      <c r="BG591" s="178"/>
      <c r="BH591" s="152"/>
      <c r="BI591" s="153"/>
      <c r="BJ591" s="153"/>
      <c r="BK591" s="154"/>
      <c r="BL591" s="178"/>
      <c r="BM591" s="152"/>
      <c r="BN591" s="153"/>
      <c r="BO591" s="153"/>
      <c r="BP591" s="154"/>
      <c r="BQ591" s="178"/>
      <c r="BR591" s="177"/>
      <c r="BS591" s="177"/>
      <c r="BT591" s="15"/>
      <c r="BU591" s="15"/>
      <c r="BV591" s="15"/>
      <c r="BW591" s="15"/>
      <c r="BX591" s="15"/>
      <c r="BY591" s="15"/>
      <c r="BZ591" s="15"/>
      <c r="CA591" s="15"/>
      <c r="CB591" s="15"/>
      <c r="CC591" s="15"/>
      <c r="CD591" s="15"/>
      <c r="CE591" s="15"/>
      <c r="CF591" s="15"/>
    </row>
    <row r="592" spans="1:86">
      <c r="A592" s="139"/>
      <c r="B592" s="139"/>
      <c r="C592" s="1187"/>
      <c r="D592" s="120"/>
      <c r="E592" s="133"/>
      <c r="F592" s="134"/>
      <c r="G592" s="134"/>
      <c r="H592" s="135"/>
      <c r="I592" s="315"/>
      <c r="J592" s="316"/>
      <c r="K592" s="312"/>
      <c r="L592" s="312"/>
      <c r="M592" s="317"/>
      <c r="N592" s="285"/>
      <c r="O592" s="316"/>
      <c r="P592" s="312"/>
      <c r="Q592" s="312"/>
      <c r="R592" s="317"/>
      <c r="S592" s="285"/>
      <c r="T592" s="316"/>
      <c r="U592" s="312"/>
      <c r="V592" s="312"/>
      <c r="W592" s="317"/>
      <c r="X592" s="315"/>
      <c r="Y592" s="316"/>
      <c r="Z592" s="312"/>
      <c r="AA592" s="312"/>
      <c r="AB592" s="317"/>
      <c r="AC592" s="315"/>
      <c r="AD592" s="316"/>
      <c r="AE592" s="312"/>
      <c r="AF592" s="312"/>
      <c r="AG592" s="317"/>
      <c r="AH592" s="315"/>
      <c r="AI592" s="316"/>
      <c r="AJ592" s="312"/>
      <c r="AK592" s="312"/>
      <c r="AL592" s="317"/>
      <c r="AM592" s="315"/>
      <c r="AN592" s="316"/>
      <c r="AO592" s="312"/>
      <c r="AP592" s="312"/>
      <c r="AQ592" s="317"/>
      <c r="AR592" s="315"/>
      <c r="AS592" s="316"/>
      <c r="AT592" s="312"/>
      <c r="AU592" s="312"/>
      <c r="AV592" s="317"/>
      <c r="AW592" s="315"/>
      <c r="AX592" s="316"/>
      <c r="AY592" s="312"/>
      <c r="AZ592" s="312"/>
      <c r="BA592" s="317"/>
      <c r="BB592" s="315"/>
      <c r="BC592" s="316"/>
      <c r="BD592" s="312"/>
      <c r="BE592" s="312"/>
      <c r="BF592" s="317"/>
      <c r="BG592" s="315"/>
      <c r="BH592" s="316"/>
      <c r="BI592" s="312"/>
      <c r="BJ592" s="312"/>
      <c r="BK592" s="317"/>
      <c r="BL592" s="315"/>
      <c r="BM592" s="316"/>
      <c r="BN592" s="312"/>
      <c r="BO592" s="312"/>
      <c r="BP592" s="317"/>
      <c r="BQ592" s="315"/>
      <c r="BR592" s="177"/>
      <c r="BS592" s="177"/>
      <c r="BT592" s="15"/>
      <c r="BU592" s="15"/>
      <c r="BV592" s="15"/>
      <c r="BW592" s="15"/>
      <c r="BX592" s="15"/>
      <c r="BY592" s="15"/>
      <c r="BZ592" s="15"/>
      <c r="CA592" s="15"/>
      <c r="CB592" s="15"/>
      <c r="CC592" s="15"/>
      <c r="CD592" s="15"/>
      <c r="CE592" s="15"/>
      <c r="CF592" s="15"/>
    </row>
    <row r="593" spans="1:86">
      <c r="A593" s="139"/>
      <c r="B593" s="139"/>
      <c r="C593" s="1187" t="s">
        <v>220</v>
      </c>
      <c r="E593" s="296"/>
      <c r="F593" s="297"/>
      <c r="G593" s="297"/>
      <c r="H593" s="290"/>
      <c r="I593" s="298"/>
      <c r="J593" s="296"/>
      <c r="K593" s="297"/>
      <c r="L593" s="297"/>
      <c r="M593" s="290"/>
      <c r="N593" s="298"/>
      <c r="O593" s="296"/>
      <c r="P593" s="297"/>
      <c r="Q593" s="297"/>
      <c r="R593" s="290"/>
      <c r="S593" s="285"/>
      <c r="T593" s="296"/>
      <c r="U593" s="297"/>
      <c r="V593" s="297"/>
      <c r="W593" s="317"/>
      <c r="X593" s="315"/>
      <c r="Y593" s="316">
        <f>Y34</f>
        <v>-38</v>
      </c>
      <c r="Z593" s="312">
        <f>Z34</f>
        <v>-339</v>
      </c>
      <c r="AA593" s="312">
        <f>AA34</f>
        <v>77</v>
      </c>
      <c r="AB593" s="317">
        <f>AB34</f>
        <v>80</v>
      </c>
      <c r="AC593" s="315">
        <f>SUM(Y593:AB593)</f>
        <v>-220</v>
      </c>
      <c r="AD593" s="316">
        <f>AD34</f>
        <v>-38</v>
      </c>
      <c r="AE593" s="312">
        <f>AE34</f>
        <v>-119</v>
      </c>
      <c r="AF593" s="312">
        <f>AF34</f>
        <v>66</v>
      </c>
      <c r="AG593" s="317">
        <f>AG34</f>
        <v>-246</v>
      </c>
      <c r="AH593" s="315">
        <f>SUM(AD593:AG593)</f>
        <v>-337</v>
      </c>
      <c r="AI593" s="316">
        <f>AI34</f>
        <v>-9</v>
      </c>
      <c r="AJ593" s="312">
        <f>AJ34</f>
        <v>-12</v>
      </c>
      <c r="AK593" s="312">
        <f>AK34</f>
        <v>140</v>
      </c>
      <c r="AL593" s="317">
        <f>AL34</f>
        <v>-30</v>
      </c>
      <c r="AM593" s="315">
        <f>SUM(AI593:AL593)</f>
        <v>89</v>
      </c>
      <c r="AN593" s="316">
        <f>AN34</f>
        <v>144</v>
      </c>
      <c r="AO593" s="312">
        <f>AO34</f>
        <v>-1259</v>
      </c>
      <c r="AP593" s="312">
        <f>AP34</f>
        <v>86</v>
      </c>
      <c r="AQ593" s="317">
        <f>AQ34</f>
        <v>-5890</v>
      </c>
      <c r="AR593" s="315">
        <f>SUM(AN593:AQ593)</f>
        <v>-6919</v>
      </c>
      <c r="AS593" s="316">
        <f>AS34</f>
        <v>-67</v>
      </c>
      <c r="AT593" s="312">
        <f t="shared" ref="AT593:AU593" si="919">AT34</f>
        <v>-56</v>
      </c>
      <c r="AU593" s="312">
        <f t="shared" si="919"/>
        <v>66</v>
      </c>
      <c r="AV593" s="2186">
        <f>AV34</f>
        <v>-2584</v>
      </c>
      <c r="AW593" s="2187">
        <f>SUM(AS593:AV593)</f>
        <v>-2641</v>
      </c>
      <c r="AX593" s="316">
        <f>AX34</f>
        <v>19.553668265392609</v>
      </c>
      <c r="AY593" s="312">
        <f>AY34</f>
        <v>-21.511957372235457</v>
      </c>
      <c r="AZ593" s="312">
        <f>AZ34</f>
        <v>-23.509305148886483</v>
      </c>
      <c r="BA593" s="317">
        <f>BA34</f>
        <v>-35.95200578563238</v>
      </c>
      <c r="BB593" s="315">
        <f>SUM(AX593:BA593)</f>
        <v>-61.419600041361711</v>
      </c>
      <c r="BC593" s="316">
        <f>BC34</f>
        <v>-34.210892188562809</v>
      </c>
      <c r="BD593" s="312">
        <f>BD34</f>
        <v>-45.191135319807579</v>
      </c>
      <c r="BE593" s="312">
        <f>BE34</f>
        <v>-46.366617342432107</v>
      </c>
      <c r="BF593" s="317">
        <f>BF34</f>
        <v>-64.087469482984318</v>
      </c>
      <c r="BG593" s="315">
        <f>SUM(BC593:BF593)</f>
        <v>-189.85611433378682</v>
      </c>
      <c r="BH593" s="316">
        <f>BH34</f>
        <v>-48.556888376690004</v>
      </c>
      <c r="BI593" s="312">
        <f>BI34</f>
        <v>-57.75374483526079</v>
      </c>
      <c r="BJ593" s="312">
        <f>BJ34</f>
        <v>-54.491330622632219</v>
      </c>
      <c r="BK593" s="317">
        <f>BK34</f>
        <v>-70.42322155768386</v>
      </c>
      <c r="BL593" s="315">
        <f>SUM(BH593:BK593)</f>
        <v>-231.22518539226689</v>
      </c>
      <c r="BM593" s="316">
        <f>BM34</f>
        <v>-22.377957875114326</v>
      </c>
      <c r="BN593" s="312">
        <f>BN34</f>
        <v>-45.682003645370088</v>
      </c>
      <c r="BO593" s="312">
        <f>BO34</f>
        <v>-39.551425309430151</v>
      </c>
      <c r="BP593" s="317">
        <f>BP34</f>
        <v>-24.986367728854688</v>
      </c>
      <c r="BQ593" s="315">
        <f>SUM(BM593:BP593)</f>
        <v>-132.59775455876928</v>
      </c>
      <c r="BR593" s="177"/>
      <c r="BS593" s="177"/>
      <c r="BT593" s="15"/>
      <c r="BU593" s="15"/>
      <c r="BV593" s="15"/>
      <c r="BW593" s="15"/>
      <c r="BX593" s="15"/>
      <c r="BY593" s="15"/>
      <c r="BZ593" s="15"/>
      <c r="CA593" s="15"/>
      <c r="CB593" s="15"/>
      <c r="CC593" s="15"/>
      <c r="CD593" s="15"/>
      <c r="CE593" s="15"/>
      <c r="CF593" s="15"/>
    </row>
    <row r="594" spans="1:86">
      <c r="A594" s="139"/>
      <c r="B594" s="139"/>
      <c r="C594" s="1187" t="s">
        <v>221</v>
      </c>
      <c r="E594" s="296"/>
      <c r="F594" s="297"/>
      <c r="G594" s="297"/>
      <c r="H594" s="290"/>
      <c r="I594" s="298"/>
      <c r="J594" s="296"/>
      <c r="K594" s="297"/>
      <c r="L594" s="297"/>
      <c r="M594" s="290"/>
      <c r="N594" s="298"/>
      <c r="O594" s="296"/>
      <c r="P594" s="297"/>
      <c r="Q594" s="297"/>
      <c r="R594" s="290"/>
      <c r="S594" s="285"/>
      <c r="T594" s="296"/>
      <c r="U594" s="297"/>
      <c r="V594" s="297"/>
      <c r="W594" s="317"/>
      <c r="X594" s="315"/>
      <c r="Y594" s="316">
        <f>Y13</f>
        <v>111</v>
      </c>
      <c r="Z594" s="312">
        <f>Z13</f>
        <v>114</v>
      </c>
      <c r="AA594" s="312">
        <f>AA13</f>
        <v>125</v>
      </c>
      <c r="AB594" s="317">
        <f>AB13</f>
        <v>89</v>
      </c>
      <c r="AC594" s="315">
        <f>SUM(Y594:AB594)</f>
        <v>439</v>
      </c>
      <c r="AD594" s="316">
        <f>AD13</f>
        <v>91</v>
      </c>
      <c r="AE594" s="312">
        <f>AE13</f>
        <v>96</v>
      </c>
      <c r="AF594" s="312">
        <f>AF13</f>
        <v>100</v>
      </c>
      <c r="AG594" s="317">
        <f>AG13</f>
        <v>100</v>
      </c>
      <c r="AH594" s="315">
        <f>SUM(AD594:AG594)</f>
        <v>387</v>
      </c>
      <c r="AI594" s="316">
        <f>AI13</f>
        <v>96</v>
      </c>
      <c r="AJ594" s="312">
        <f>AJ13</f>
        <v>99</v>
      </c>
      <c r="AK594" s="312">
        <f>AK13</f>
        <v>98</v>
      </c>
      <c r="AL594" s="317">
        <f>AL13</f>
        <v>101</v>
      </c>
      <c r="AM594" s="315">
        <f>SUM(AI594:AL594)</f>
        <v>394</v>
      </c>
      <c r="AN594" s="316">
        <f>AN13</f>
        <v>102</v>
      </c>
      <c r="AO594" s="312">
        <f>AO13</f>
        <v>103</v>
      </c>
      <c r="AP594" s="312">
        <f>AP13</f>
        <v>79</v>
      </c>
      <c r="AQ594" s="317">
        <f>AQ13</f>
        <v>103</v>
      </c>
      <c r="AR594" s="315">
        <f>SUM(AN594:AQ594)</f>
        <v>387</v>
      </c>
      <c r="AS594" s="316">
        <f>AS13</f>
        <v>28</v>
      </c>
      <c r="AT594" s="312">
        <f t="shared" ref="AT594:AU594" si="920">AT13</f>
        <v>29</v>
      </c>
      <c r="AU594" s="312">
        <f t="shared" si="920"/>
        <v>30</v>
      </c>
      <c r="AV594" s="2186">
        <f>AV13</f>
        <v>31</v>
      </c>
      <c r="AW594" s="2187">
        <f>SUM(AS594:AV594)</f>
        <v>118</v>
      </c>
      <c r="AX594" s="316">
        <f>AX13</f>
        <v>22.834</v>
      </c>
      <c r="AY594" s="312">
        <f>AY13</f>
        <v>24.050816999999999</v>
      </c>
      <c r="AZ594" s="312">
        <f>AZ13</f>
        <v>25.237821983499998</v>
      </c>
      <c r="BA594" s="317">
        <f>BA13</f>
        <v>26.395745344904249</v>
      </c>
      <c r="BB594" s="315">
        <f>SUM(AX594:BA594)</f>
        <v>98.518384328404238</v>
      </c>
      <c r="BC594" s="316">
        <f>BC13</f>
        <v>27.525299583954094</v>
      </c>
      <c r="BD594" s="312">
        <f>BD13</f>
        <v>28.627179744147217</v>
      </c>
      <c r="BE594" s="312">
        <f>BE13</f>
        <v>29.702063840415608</v>
      </c>
      <c r="BF594" s="317">
        <f>BF13</f>
        <v>30.750613276325428</v>
      </c>
      <c r="BG594" s="315">
        <f>SUM(BC594:BF594)</f>
        <v>116.60515644484234</v>
      </c>
      <c r="BH594" s="316">
        <f>BH13</f>
        <v>31.773473251055449</v>
      </c>
      <c r="BI594" s="312">
        <f>BI13</f>
        <v>32.771273156404597</v>
      </c>
      <c r="BJ594" s="312">
        <f>BJ13</f>
        <v>33.74462696407268</v>
      </c>
      <c r="BK594" s="317">
        <f>BK13</f>
        <v>34.694133603452897</v>
      </c>
      <c r="BL594" s="315">
        <f>SUM(BH594:BK594)</f>
        <v>132.98350697498563</v>
      </c>
      <c r="BM594" s="316">
        <f>BM13</f>
        <v>35.620377330168303</v>
      </c>
      <c r="BN594" s="312">
        <f>BN13</f>
        <v>36.523928085579186</v>
      </c>
      <c r="BO594" s="312">
        <f>BO13</f>
        <v>37.405341847482497</v>
      </c>
      <c r="BP594" s="317">
        <f>BP13</f>
        <v>38.265160972219185</v>
      </c>
      <c r="BQ594" s="315">
        <f>SUM(BM594:BP594)</f>
        <v>147.81480823544916</v>
      </c>
      <c r="BR594" s="177"/>
      <c r="BS594" s="177"/>
      <c r="BT594" s="15"/>
      <c r="BU594" s="15"/>
      <c r="BV594" s="15"/>
      <c r="BW594" s="15"/>
      <c r="BX594" s="15"/>
      <c r="BY594" s="15"/>
      <c r="BZ594" s="15"/>
      <c r="CA594" s="15"/>
      <c r="CB594" s="15"/>
      <c r="CC594" s="15"/>
      <c r="CD594" s="15"/>
      <c r="CE594" s="15"/>
      <c r="CF594" s="15"/>
    </row>
    <row r="595" spans="1:86" s="81" customFormat="1">
      <c r="A595" s="202"/>
      <c r="B595" s="221"/>
      <c r="C595" s="1187" t="s">
        <v>222</v>
      </c>
      <c r="E595" s="288"/>
      <c r="F595" s="289"/>
      <c r="G595" s="289"/>
      <c r="H595" s="299"/>
      <c r="I595" s="315"/>
      <c r="J595" s="667"/>
      <c r="K595" s="485"/>
      <c r="L595" s="485"/>
      <c r="M595" s="486"/>
      <c r="N595" s="315"/>
      <c r="O595" s="667"/>
      <c r="P595" s="485"/>
      <c r="Q595" s="485"/>
      <c r="R595" s="486"/>
      <c r="S595" s="315"/>
      <c r="T595" s="667"/>
      <c r="U595" s="485"/>
      <c r="V595" s="485"/>
      <c r="W595" s="486"/>
      <c r="X595" s="315"/>
      <c r="Y595" s="296">
        <f>AC595/4</f>
        <v>25.84375</v>
      </c>
      <c r="Z595" s="297">
        <f>AC595/4</f>
        <v>25.84375</v>
      </c>
      <c r="AA595" s="297">
        <f>AC595/4</f>
        <v>25.84375</v>
      </c>
      <c r="AB595" s="290">
        <f>AC595/4</f>
        <v>25.84375</v>
      </c>
      <c r="AC595" s="730">
        <f>(AC570-AC569)*0.5*0.25</f>
        <v>103.375</v>
      </c>
      <c r="AD595" s="296">
        <f>AH595/4</f>
        <v>29.34375</v>
      </c>
      <c r="AE595" s="297">
        <f>AH595/4</f>
        <v>29.34375</v>
      </c>
      <c r="AF595" s="297">
        <f>AH595/4</f>
        <v>29.34375</v>
      </c>
      <c r="AG595" s="290">
        <f>AH595/4</f>
        <v>29.34375</v>
      </c>
      <c r="AH595" s="782">
        <f>(AH570-AH569)*0.5*0.25</f>
        <v>117.375</v>
      </c>
      <c r="AI595" s="296">
        <f>AM595/4</f>
        <v>0</v>
      </c>
      <c r="AJ595" s="297">
        <f>AM595/4</f>
        <v>0</v>
      </c>
      <c r="AK595" s="297">
        <f>AM595/4</f>
        <v>0</v>
      </c>
      <c r="AL595" s="290">
        <f>AM595/4</f>
        <v>0</v>
      </c>
      <c r="AM595" s="730">
        <v>0</v>
      </c>
      <c r="AN595" s="296">
        <f>AM595/4</f>
        <v>0</v>
      </c>
      <c r="AO595" s="297">
        <f>AM595/4</f>
        <v>0</v>
      </c>
      <c r="AP595" s="297">
        <f>AN595/4</f>
        <v>0</v>
      </c>
      <c r="AQ595" s="290">
        <f>AR595/4</f>
        <v>0</v>
      </c>
      <c r="AR595" s="730">
        <v>0</v>
      </c>
      <c r="AS595" s="296">
        <f>AR595/4</f>
        <v>0</v>
      </c>
      <c r="AT595" s="297">
        <f t="shared" ref="AT595:AU595" si="921">AS595/4</f>
        <v>0</v>
      </c>
      <c r="AU595" s="297">
        <f t="shared" si="921"/>
        <v>0</v>
      </c>
      <c r="AV595" s="2311">
        <v>0</v>
      </c>
      <c r="AW595" s="2187">
        <f>SUM(AS595:AV595)</f>
        <v>0</v>
      </c>
      <c r="AX595" s="667">
        <v>0</v>
      </c>
      <c r="AY595" s="485">
        <v>0</v>
      </c>
      <c r="AZ595" s="485">
        <v>0</v>
      </c>
      <c r="BA595" s="486">
        <v>0</v>
      </c>
      <c r="BB595" s="315">
        <f>SUM(AX595:BA595)</f>
        <v>0</v>
      </c>
      <c r="BC595" s="667">
        <v>0</v>
      </c>
      <c r="BD595" s="485">
        <v>0</v>
      </c>
      <c r="BE595" s="485">
        <v>0</v>
      </c>
      <c r="BF595" s="486">
        <v>0</v>
      </c>
      <c r="BG595" s="315">
        <f>SUM(BC595:BF595)</f>
        <v>0</v>
      </c>
      <c r="BH595" s="667">
        <v>0</v>
      </c>
      <c r="BI595" s="485">
        <v>0</v>
      </c>
      <c r="BJ595" s="485">
        <v>0</v>
      </c>
      <c r="BK595" s="486">
        <v>0</v>
      </c>
      <c r="BL595" s="315">
        <f>SUM(BH595:BK595)</f>
        <v>0</v>
      </c>
      <c r="BM595" s="667">
        <v>0</v>
      </c>
      <c r="BN595" s="485">
        <v>0</v>
      </c>
      <c r="BO595" s="485">
        <v>0</v>
      </c>
      <c r="BP595" s="486">
        <v>0</v>
      </c>
      <c r="BQ595" s="315">
        <f>SUM(BM595:BP595)</f>
        <v>0</v>
      </c>
      <c r="BR595" s="315"/>
      <c r="BS595" s="315"/>
      <c r="BT595" s="15"/>
      <c r="BU595" s="15"/>
      <c r="BV595" s="15"/>
      <c r="BW595" s="15"/>
      <c r="BX595" s="15"/>
      <c r="BY595" s="15"/>
      <c r="BZ595" s="15"/>
      <c r="CA595" s="15"/>
      <c r="CB595" s="15"/>
      <c r="CC595" s="15"/>
      <c r="CD595" s="15"/>
      <c r="CE595" s="15"/>
      <c r="CF595" s="15"/>
      <c r="CG595"/>
      <c r="CH595"/>
    </row>
    <row r="596" spans="1:86">
      <c r="A596" s="139"/>
      <c r="B596" s="139"/>
      <c r="C596" s="1187" t="s">
        <v>209</v>
      </c>
      <c r="E596" s="296"/>
      <c r="F596" s="297"/>
      <c r="G596" s="297"/>
      <c r="H596" s="290"/>
      <c r="I596" s="298"/>
      <c r="J596" s="296"/>
      <c r="K596" s="297"/>
      <c r="L596" s="297"/>
      <c r="M596" s="290"/>
      <c r="N596" s="298"/>
      <c r="O596" s="296"/>
      <c r="P596" s="297"/>
      <c r="Q596" s="297"/>
      <c r="R596" s="290"/>
      <c r="S596" s="285"/>
      <c r="T596" s="296"/>
      <c r="U596" s="297"/>
      <c r="V596" s="297"/>
      <c r="W596" s="290"/>
      <c r="X596" s="730"/>
      <c r="Y596" s="296">
        <f>AC596/4</f>
        <v>-12.5</v>
      </c>
      <c r="Z596" s="297">
        <f>(AC596-Y596)/3</f>
        <v>-12.5</v>
      </c>
      <c r="AA596" s="297">
        <f>(AC596-SUM(Y596:Z596))/2</f>
        <v>-12.5</v>
      </c>
      <c r="AB596" s="290">
        <f>AC596-SUM(Y596:AA596)</f>
        <v>-12.5</v>
      </c>
      <c r="AC596" s="730">
        <v>-50</v>
      </c>
      <c r="AD596" s="296">
        <f>AH596/4</f>
        <v>-12.5</v>
      </c>
      <c r="AE596" s="297">
        <f>(AH596-AD596)/3</f>
        <v>-12.5</v>
      </c>
      <c r="AF596" s="297">
        <f>(AH596-SUM(AD596:AE596))/2</f>
        <v>-12.5</v>
      </c>
      <c r="AG596" s="290">
        <f>AH596-SUM(AD596:AF596)</f>
        <v>-12.5</v>
      </c>
      <c r="AH596" s="730">
        <v>-50</v>
      </c>
      <c r="AI596" s="296">
        <f>AM596/4</f>
        <v>-12.5</v>
      </c>
      <c r="AJ596" s="297">
        <f>(AM596-AI596)/3</f>
        <v>-12.5</v>
      </c>
      <c r="AK596" s="297">
        <f>(AM596-SUM(AI596:AJ596))/2</f>
        <v>-12.5</v>
      </c>
      <c r="AL596" s="290">
        <f>AM596-SUM(AI596:AK596)</f>
        <v>-12.5</v>
      </c>
      <c r="AM596" s="298">
        <f>AH596</f>
        <v>-50</v>
      </c>
      <c r="AN596" s="2178">
        <f>-50/4</f>
        <v>-12.5</v>
      </c>
      <c r="AO596" s="1899">
        <f>-250/4+AO35</f>
        <v>1257.5</v>
      </c>
      <c r="AP596" s="1899">
        <f>-250/4+AP35</f>
        <v>-64.5</v>
      </c>
      <c r="AQ596" s="1900">
        <f>-250/4</f>
        <v>-62.5</v>
      </c>
      <c r="AR596" s="730">
        <f>SUM(AN596:AQ596)</f>
        <v>1118</v>
      </c>
      <c r="AS596" s="2178">
        <f>AW596/4</f>
        <v>-6.25</v>
      </c>
      <c r="AT596" s="1899">
        <f>(AW596-AS596)/3</f>
        <v>-6.25</v>
      </c>
      <c r="AU596" s="1899">
        <f>(AW596-SUM(AS596:AT596))/2</f>
        <v>-6.25</v>
      </c>
      <c r="AV596" s="2306">
        <f>AW596-SUM(AS596:AU596)</f>
        <v>-6.25</v>
      </c>
      <c r="AW596" s="2310">
        <f>45+55+110-75+80-40+70-270</f>
        <v>-25</v>
      </c>
      <c r="AX596" s="296">
        <f>BB596/4</f>
        <v>20</v>
      </c>
      <c r="AY596" s="297">
        <f>(BB596-AX596)/3</f>
        <v>20</v>
      </c>
      <c r="AZ596" s="297">
        <f>(BB596-SUM(AX596:AY596))/2</f>
        <v>20</v>
      </c>
      <c r="BA596" s="290">
        <f>BB596-SUM(AX596:AZ596)</f>
        <v>20</v>
      </c>
      <c r="BB596" s="730">
        <f>220+55-100+120-15-200</f>
        <v>80</v>
      </c>
      <c r="BC596" s="296">
        <f>BG596/4</f>
        <v>-50</v>
      </c>
      <c r="BD596" s="297">
        <f>(BG596-BC596)/3</f>
        <v>-50</v>
      </c>
      <c r="BE596" s="297">
        <f>(BG596-SUM(BC596:BD596))/2</f>
        <v>-50</v>
      </c>
      <c r="BF596" s="290">
        <f>BG596-SUM(BC596:BE596)</f>
        <v>-50</v>
      </c>
      <c r="BG596" s="730">
        <v>-200</v>
      </c>
      <c r="BH596" s="296">
        <f>BL596/4</f>
        <v>-50</v>
      </c>
      <c r="BI596" s="297">
        <f>(BL596-BH596)/3</f>
        <v>-50</v>
      </c>
      <c r="BJ596" s="297">
        <f>(BL596-SUM(BH596:BI596))/2</f>
        <v>-50</v>
      </c>
      <c r="BK596" s="290">
        <f>BL596-SUM(BH596:BJ596)</f>
        <v>-50</v>
      </c>
      <c r="BL596" s="730">
        <v>-200</v>
      </c>
      <c r="BM596" s="296">
        <f>BQ596/4</f>
        <v>-50</v>
      </c>
      <c r="BN596" s="297">
        <f>(BQ596-BM596)/3</f>
        <v>-50</v>
      </c>
      <c r="BO596" s="297">
        <f>(BQ596-SUM(BM596:BN596))/2</f>
        <v>-50</v>
      </c>
      <c r="BP596" s="290">
        <f>BQ596-SUM(BM596:BO596)</f>
        <v>-50</v>
      </c>
      <c r="BQ596" s="730">
        <v>-200</v>
      </c>
      <c r="BR596" s="177"/>
      <c r="BS596" s="177"/>
      <c r="BT596" s="15"/>
      <c r="BU596" s="15"/>
      <c r="BV596" s="15"/>
      <c r="BW596" s="15"/>
      <c r="BX596" s="15"/>
      <c r="BY596" s="15"/>
      <c r="BZ596" s="15"/>
      <c r="CA596" s="15"/>
      <c r="CB596" s="15"/>
      <c r="CC596" s="15"/>
      <c r="CD596" s="15"/>
      <c r="CE596" s="15"/>
      <c r="CF596" s="15"/>
    </row>
    <row r="597" spans="1:86" s="13" customFormat="1">
      <c r="A597" s="136"/>
      <c r="B597" s="136"/>
      <c r="C597" s="1186" t="s">
        <v>224</v>
      </c>
      <c r="E597" s="305"/>
      <c r="F597" s="306"/>
      <c r="G597" s="306"/>
      <c r="H597" s="307"/>
      <c r="I597" s="308"/>
      <c r="J597" s="305"/>
      <c r="K597" s="306"/>
      <c r="L597" s="306"/>
      <c r="M597" s="307"/>
      <c r="N597" s="308"/>
      <c r="O597" s="305"/>
      <c r="P597" s="306"/>
      <c r="Q597" s="306"/>
      <c r="R597" s="307"/>
      <c r="S597" s="308"/>
      <c r="T597" s="305"/>
      <c r="U597" s="306"/>
      <c r="V597" s="306"/>
      <c r="W597" s="307"/>
      <c r="X597" s="308"/>
      <c r="Y597" s="305">
        <f t="shared" ref="Y597:AR597" si="922">+SUM(Y593:Y596)</f>
        <v>86.34375</v>
      </c>
      <c r="Z597" s="306">
        <f t="shared" si="922"/>
        <v>-211.65625</v>
      </c>
      <c r="AA597" s="306">
        <f t="shared" si="922"/>
        <v>215.34375</v>
      </c>
      <c r="AB597" s="307">
        <f t="shared" si="922"/>
        <v>182.34375</v>
      </c>
      <c r="AC597" s="308">
        <f t="shared" si="922"/>
        <v>272.375</v>
      </c>
      <c r="AD597" s="305">
        <f>+SUM(AD593:AD596)</f>
        <v>69.84375</v>
      </c>
      <c r="AE597" s="306">
        <f>+SUM(AE593:AE596)</f>
        <v>-6.15625</v>
      </c>
      <c r="AF597" s="306">
        <f>+SUM(AF593:AF596)</f>
        <v>182.84375</v>
      </c>
      <c r="AG597" s="307">
        <f>+SUM(AG593:AG596)</f>
        <v>-129.15625</v>
      </c>
      <c r="AH597" s="308">
        <f t="shared" si="922"/>
        <v>117.375</v>
      </c>
      <c r="AI597" s="305">
        <f t="shared" si="922"/>
        <v>74.5</v>
      </c>
      <c r="AJ597" s="306">
        <f t="shared" si="922"/>
        <v>74.5</v>
      </c>
      <c r="AK597" s="306">
        <f>+SUM(AK593:AK596)</f>
        <v>225.5</v>
      </c>
      <c r="AL597" s="307">
        <f t="shared" si="922"/>
        <v>58.5</v>
      </c>
      <c r="AM597" s="308">
        <f t="shared" si="922"/>
        <v>433</v>
      </c>
      <c r="AN597" s="305">
        <f t="shared" ref="AN597" si="923">+SUM(AN593:AN596)</f>
        <v>233.5</v>
      </c>
      <c r="AO597" s="306">
        <f t="shared" ref="AO597:AP597" si="924">+SUM(AO593:AO596)</f>
        <v>101.5</v>
      </c>
      <c r="AP597" s="306">
        <f t="shared" si="924"/>
        <v>100.5</v>
      </c>
      <c r="AQ597" s="307">
        <f t="shared" si="922"/>
        <v>-5849.5</v>
      </c>
      <c r="AR597" s="308">
        <f t="shared" si="922"/>
        <v>-5414</v>
      </c>
      <c r="AS597" s="305">
        <f t="shared" ref="AS597:AW597" si="925">+SUM(AS593:AS596)</f>
        <v>-45.25</v>
      </c>
      <c r="AT597" s="306">
        <f t="shared" si="925"/>
        <v>-33.25</v>
      </c>
      <c r="AU597" s="306">
        <f t="shared" si="925"/>
        <v>89.75</v>
      </c>
      <c r="AV597" s="2309">
        <f t="shared" si="925"/>
        <v>-2559.25</v>
      </c>
      <c r="AW597" s="2308">
        <f t="shared" si="925"/>
        <v>-2548</v>
      </c>
      <c r="AX597" s="305">
        <f t="shared" ref="AX597:BB597" si="926">+SUM(AX593:AX596)</f>
        <v>62.387668265392605</v>
      </c>
      <c r="AY597" s="306">
        <f t="shared" si="926"/>
        <v>22.538859627764541</v>
      </c>
      <c r="AZ597" s="306">
        <f t="shared" si="926"/>
        <v>21.728516834613515</v>
      </c>
      <c r="BA597" s="307">
        <f t="shared" si="926"/>
        <v>10.443739559271869</v>
      </c>
      <c r="BB597" s="308">
        <f t="shared" si="926"/>
        <v>117.09878428704252</v>
      </c>
      <c r="BC597" s="305">
        <f t="shared" ref="BC597:BL597" si="927">+SUM(BC593:BC596)</f>
        <v>-56.685592604608715</v>
      </c>
      <c r="BD597" s="306">
        <f t="shared" si="927"/>
        <v>-66.563955575660358</v>
      </c>
      <c r="BE597" s="306">
        <f t="shared" si="927"/>
        <v>-66.664553502016503</v>
      </c>
      <c r="BF597" s="307">
        <f t="shared" si="927"/>
        <v>-83.336856206658894</v>
      </c>
      <c r="BG597" s="308">
        <f t="shared" si="927"/>
        <v>-273.25095788894447</v>
      </c>
      <c r="BH597" s="305">
        <f t="shared" si="927"/>
        <v>-66.783415125634548</v>
      </c>
      <c r="BI597" s="306">
        <f t="shared" si="927"/>
        <v>-74.9824716788562</v>
      </c>
      <c r="BJ597" s="306">
        <f t="shared" si="927"/>
        <v>-70.746703658559539</v>
      </c>
      <c r="BK597" s="307">
        <f t="shared" si="927"/>
        <v>-85.729087954230963</v>
      </c>
      <c r="BL597" s="308">
        <f t="shared" si="927"/>
        <v>-298.24167841728126</v>
      </c>
      <c r="BM597" s="305">
        <f t="shared" ref="BM597:BQ597" si="928">+SUM(BM593:BM596)</f>
        <v>-36.757580544946023</v>
      </c>
      <c r="BN597" s="306">
        <f t="shared" si="928"/>
        <v>-59.158075559790902</v>
      </c>
      <c r="BO597" s="306">
        <f t="shared" si="928"/>
        <v>-52.146083461947654</v>
      </c>
      <c r="BP597" s="307">
        <f t="shared" si="928"/>
        <v>-36.721206756635503</v>
      </c>
      <c r="BQ597" s="308">
        <f t="shared" si="928"/>
        <v>-184.78294632332012</v>
      </c>
      <c r="BR597" s="763"/>
      <c r="BS597" s="763"/>
      <c r="BT597" s="15"/>
      <c r="BU597" s="15"/>
      <c r="BV597" s="15"/>
      <c r="BW597" s="15"/>
      <c r="BX597" s="15"/>
      <c r="BY597" s="15"/>
      <c r="BZ597" s="15"/>
      <c r="CA597" s="15"/>
      <c r="CB597" s="15"/>
      <c r="CC597" s="15"/>
      <c r="CD597" s="15"/>
      <c r="CE597" s="15"/>
      <c r="CF597" s="15"/>
      <c r="CG597"/>
      <c r="CH597"/>
    </row>
    <row r="598" spans="1:86">
      <c r="A598" s="139"/>
      <c r="B598" s="139"/>
      <c r="C598" s="1187"/>
      <c r="E598" s="296"/>
      <c r="F598" s="297"/>
      <c r="G598" s="297"/>
      <c r="H598" s="290"/>
      <c r="I598" s="298"/>
      <c r="J598" s="296"/>
      <c r="K598" s="297"/>
      <c r="L598" s="297"/>
      <c r="M598" s="290"/>
      <c r="N598" s="298"/>
      <c r="O598" s="296"/>
      <c r="P598" s="297"/>
      <c r="Q598" s="297"/>
      <c r="R598" s="290"/>
      <c r="S598" s="285"/>
      <c r="T598" s="296"/>
      <c r="U598" s="297"/>
      <c r="V598" s="297"/>
      <c r="W598" s="317"/>
      <c r="X598" s="315"/>
      <c r="Y598" s="316"/>
      <c r="Z598" s="312"/>
      <c r="AA598" s="312"/>
      <c r="AB598" s="317"/>
      <c r="AC598" s="315"/>
      <c r="AD598" s="316"/>
      <c r="AE598" s="312"/>
      <c r="AF598" s="312"/>
      <c r="AG598" s="317"/>
      <c r="AH598" s="315"/>
      <c r="AI598" s="316"/>
      <c r="AJ598" s="312"/>
      <c r="AK598" s="312"/>
      <c r="AL598" s="317"/>
      <c r="AM598" s="315"/>
      <c r="AN598" s="316"/>
      <c r="AO598" s="312"/>
      <c r="AP598" s="312"/>
      <c r="AQ598" s="317"/>
      <c r="AR598" s="315"/>
      <c r="AS598" s="316"/>
      <c r="AT598" s="312"/>
      <c r="AU598" s="312"/>
      <c r="AV598" s="2186"/>
      <c r="AW598" s="2187"/>
      <c r="AX598" s="316"/>
      <c r="AY598" s="312"/>
      <c r="AZ598" s="312"/>
      <c r="BA598" s="317"/>
      <c r="BB598" s="315"/>
      <c r="BC598" s="316"/>
      <c r="BD598" s="312"/>
      <c r="BE598" s="312"/>
      <c r="BF598" s="317"/>
      <c r="BG598" s="315"/>
      <c r="BH598" s="316"/>
      <c r="BI598" s="312"/>
      <c r="BJ598" s="312"/>
      <c r="BK598" s="317"/>
      <c r="BL598" s="315"/>
      <c r="BM598" s="316"/>
      <c r="BN598" s="312"/>
      <c r="BO598" s="312"/>
      <c r="BP598" s="317"/>
      <c r="BQ598" s="315"/>
      <c r="BR598" s="177"/>
      <c r="BS598" s="177"/>
      <c r="BT598" s="15"/>
      <c r="BU598" s="15"/>
      <c r="BV598" s="15"/>
      <c r="BW598" s="15"/>
      <c r="BX598" s="15"/>
      <c r="BY598" s="15"/>
      <c r="BZ598" s="15"/>
      <c r="CA598" s="15"/>
      <c r="CB598" s="15"/>
      <c r="CC598" s="15"/>
      <c r="CD598" s="15"/>
      <c r="CE598" s="15"/>
      <c r="CF598" s="15"/>
    </row>
    <row r="599" spans="1:86">
      <c r="A599" s="139"/>
      <c r="B599" s="139"/>
      <c r="C599" s="1187" t="s">
        <v>256</v>
      </c>
      <c r="E599" s="296"/>
      <c r="F599" s="297"/>
      <c r="G599" s="297"/>
      <c r="H599" s="290"/>
      <c r="I599" s="298"/>
      <c r="J599" s="296"/>
      <c r="K599" s="297"/>
      <c r="L599" s="297"/>
      <c r="M599" s="290"/>
      <c r="N599" s="298"/>
      <c r="O599" s="296"/>
      <c r="P599" s="297"/>
      <c r="Q599" s="297"/>
      <c r="R599" s="290"/>
      <c r="S599" s="285"/>
      <c r="T599" s="296"/>
      <c r="U599" s="297"/>
      <c r="V599" s="297"/>
      <c r="W599" s="317"/>
      <c r="X599" s="315"/>
      <c r="Y599" s="316">
        <f>-Y570</f>
        <v>-283</v>
      </c>
      <c r="Z599" s="312">
        <f>-Z570</f>
        <v>-185</v>
      </c>
      <c r="AA599" s="312">
        <f>-AA570</f>
        <v>-162</v>
      </c>
      <c r="AB599" s="317">
        <f>-AB570</f>
        <v>-197</v>
      </c>
      <c r="AC599" s="315">
        <f>SUM(Y599:AB599)</f>
        <v>-827</v>
      </c>
      <c r="AD599" s="316">
        <f>-AD570</f>
        <v>-318</v>
      </c>
      <c r="AE599" s="312">
        <f>-AE570</f>
        <v>-240</v>
      </c>
      <c r="AF599" s="312">
        <f>-AF570</f>
        <v>-97</v>
      </c>
      <c r="AG599" s="317">
        <f>-AG570</f>
        <v>-284</v>
      </c>
      <c r="AH599" s="315">
        <f>SUM(AD599:AG599)</f>
        <v>-939</v>
      </c>
      <c r="AI599" s="316">
        <f>-AI570</f>
        <v>-126</v>
      </c>
      <c r="AJ599" s="312">
        <f>-AJ570</f>
        <v>-191</v>
      </c>
      <c r="AK599" s="312">
        <f>-AK570</f>
        <v>-83</v>
      </c>
      <c r="AL599" s="317">
        <f>-AL570</f>
        <v>-188</v>
      </c>
      <c r="AM599" s="315">
        <f>SUM(AI599:AL599)</f>
        <v>-588</v>
      </c>
      <c r="AN599" s="316">
        <f>-AN570</f>
        <v>-169</v>
      </c>
      <c r="AO599" s="312">
        <f>-AO570</f>
        <v>-213</v>
      </c>
      <c r="AP599" s="312">
        <f>-AP570</f>
        <v>-110</v>
      </c>
      <c r="AQ599" s="317">
        <f>-AQ570</f>
        <v>-127</v>
      </c>
      <c r="AR599" s="315">
        <f>SUM(AN599:AQ599)</f>
        <v>-619</v>
      </c>
      <c r="AS599" s="316">
        <f>-AS570</f>
        <v>-169</v>
      </c>
      <c r="AT599" s="312">
        <f t="shared" ref="AT599:AU599" si="929">-AT570</f>
        <v>-213</v>
      </c>
      <c r="AU599" s="312">
        <f t="shared" si="929"/>
        <v>-110</v>
      </c>
      <c r="AV599" s="2186">
        <f>-AV570</f>
        <v>175</v>
      </c>
      <c r="AW599" s="2187">
        <f>SUM(AS599:AV599)</f>
        <v>-317</v>
      </c>
      <c r="AX599" s="316">
        <f>-AX570</f>
        <v>-72.5</v>
      </c>
      <c r="AY599" s="312">
        <f>-AY570</f>
        <v>-72.5</v>
      </c>
      <c r="AZ599" s="312">
        <f>-AZ570</f>
        <v>-72.5</v>
      </c>
      <c r="BA599" s="317">
        <f>-BA570</f>
        <v>-72.5</v>
      </c>
      <c r="BB599" s="315">
        <f>SUM(AX599:BA599)</f>
        <v>-290</v>
      </c>
      <c r="BC599" s="316">
        <f>-BC570</f>
        <v>-72.5</v>
      </c>
      <c r="BD599" s="312">
        <f>-BD570</f>
        <v>-72.5</v>
      </c>
      <c r="BE599" s="312">
        <f>-BE570</f>
        <v>-72.5</v>
      </c>
      <c r="BF599" s="317">
        <f>-BF570</f>
        <v>-72.5</v>
      </c>
      <c r="BG599" s="315">
        <f>SUM(BC599:BF599)</f>
        <v>-290</v>
      </c>
      <c r="BH599" s="316">
        <f>-BH570</f>
        <v>-72.5</v>
      </c>
      <c r="BI599" s="312">
        <f>-BI570</f>
        <v>-72.5</v>
      </c>
      <c r="BJ599" s="312">
        <f>-BJ570</f>
        <v>-72.5</v>
      </c>
      <c r="BK599" s="317">
        <f>-BK570</f>
        <v>-72.5</v>
      </c>
      <c r="BL599" s="315">
        <f>SUM(BH599:BK599)</f>
        <v>-290</v>
      </c>
      <c r="BM599" s="316">
        <f>-BM570</f>
        <v>-72.5</v>
      </c>
      <c r="BN599" s="312">
        <f>-BN570</f>
        <v>-72.5</v>
      </c>
      <c r="BO599" s="312">
        <f>-BO570</f>
        <v>-72.5</v>
      </c>
      <c r="BP599" s="317">
        <f>-BP570</f>
        <v>-72.5</v>
      </c>
      <c r="BQ599" s="315">
        <f>SUM(BM599:BP599)</f>
        <v>-290</v>
      </c>
      <c r="BR599" s="177"/>
      <c r="BS599" s="177"/>
      <c r="BT599" s="15"/>
      <c r="BU599" s="15"/>
      <c r="BV599" s="15"/>
      <c r="BW599" s="15"/>
      <c r="BX599" s="15"/>
      <c r="BY599" s="15"/>
      <c r="BZ599" s="15"/>
      <c r="CA599" s="15"/>
      <c r="CB599" s="15"/>
      <c r="CC599" s="15"/>
      <c r="CD599" s="15"/>
      <c r="CE599" s="15"/>
      <c r="CF599" s="15"/>
    </row>
    <row r="600" spans="1:86">
      <c r="A600" s="139"/>
      <c r="B600" s="139"/>
      <c r="C600" s="1187" t="s">
        <v>257</v>
      </c>
      <c r="E600" s="296"/>
      <c r="F600" s="297"/>
      <c r="G600" s="297"/>
      <c r="H600" s="290"/>
      <c r="I600" s="298"/>
      <c r="J600" s="296"/>
      <c r="K600" s="297"/>
      <c r="L600" s="297"/>
      <c r="M600" s="290"/>
      <c r="N600" s="298"/>
      <c r="O600" s="296"/>
      <c r="P600" s="297"/>
      <c r="Q600" s="297"/>
      <c r="R600" s="290"/>
      <c r="S600" s="285"/>
      <c r="T600" s="296"/>
      <c r="U600" s="297"/>
      <c r="V600" s="297"/>
      <c r="W600" s="290"/>
      <c r="X600" s="730"/>
      <c r="Y600" s="296">
        <f>AC600/4</f>
        <v>0</v>
      </c>
      <c r="Z600" s="297">
        <f>(AC600-Y600)/3</f>
        <v>0</v>
      </c>
      <c r="AA600" s="297">
        <f>(AC600-SUM(Y600:Z600))/2</f>
        <v>0</v>
      </c>
      <c r="AB600" s="290">
        <f>AC600-SUM(Y600:AA600)</f>
        <v>0</v>
      </c>
      <c r="AC600" s="730">
        <v>0</v>
      </c>
      <c r="AD600" s="296">
        <f>AH600/4</f>
        <v>0</v>
      </c>
      <c r="AE600" s="297">
        <f>(AH600-AD600)/3</f>
        <v>0</v>
      </c>
      <c r="AF600" s="297">
        <f>(AH600-SUM(AD600:AE600))/2</f>
        <v>0</v>
      </c>
      <c r="AG600" s="290">
        <f>AH600-SUM(AD600:AF600)</f>
        <v>0</v>
      </c>
      <c r="AH600" s="730">
        <v>0</v>
      </c>
      <c r="AI600" s="296">
        <f>AM600/4</f>
        <v>0</v>
      </c>
      <c r="AJ600" s="297">
        <f>(AM600-AI600)/3</f>
        <v>0</v>
      </c>
      <c r="AK600" s="297">
        <f>(AM600-SUM(AI600:AJ600))/2</f>
        <v>0</v>
      </c>
      <c r="AL600" s="290">
        <f>AM600-SUM(AI600:AK600)</f>
        <v>0</v>
      </c>
      <c r="AM600" s="730">
        <v>0</v>
      </c>
      <c r="AN600" s="296">
        <f>AR600/4</f>
        <v>0</v>
      </c>
      <c r="AO600" s="297">
        <f>(AR600-AN600)/3</f>
        <v>0</v>
      </c>
      <c r="AP600" s="297">
        <f>(AR600-AO600)/3</f>
        <v>0</v>
      </c>
      <c r="AQ600" s="290">
        <f>AR600-SUM(AN600:AP600)</f>
        <v>0</v>
      </c>
      <c r="AR600" s="730">
        <v>0</v>
      </c>
      <c r="AS600" s="296">
        <f>AW600/4</f>
        <v>0</v>
      </c>
      <c r="AT600" s="297">
        <f>(AW600-AS600)/3</f>
        <v>0</v>
      </c>
      <c r="AU600" s="297">
        <f>(AW600-AT600)/3</f>
        <v>0</v>
      </c>
      <c r="AV600" s="2306">
        <f>AW600-SUM(AS600:AU600)</f>
        <v>0</v>
      </c>
      <c r="AW600" s="2310">
        <v>0</v>
      </c>
      <c r="AX600" s="296">
        <f>BB600/4</f>
        <v>0</v>
      </c>
      <c r="AY600" s="297">
        <f>(BB600-AX600)/3</f>
        <v>0</v>
      </c>
      <c r="AZ600" s="297">
        <f>(BB600-SUM(AX600:AY600))/2</f>
        <v>0</v>
      </c>
      <c r="BA600" s="290">
        <f>BB600-SUM(AX600:AZ600)</f>
        <v>0</v>
      </c>
      <c r="BB600" s="730">
        <v>0</v>
      </c>
      <c r="BC600" s="296">
        <f>BG600/4</f>
        <v>0</v>
      </c>
      <c r="BD600" s="297">
        <f>(BG600-BC600)/3</f>
        <v>0</v>
      </c>
      <c r="BE600" s="297">
        <f>(BG600-SUM(BC600:BD600))/2</f>
        <v>0</v>
      </c>
      <c r="BF600" s="290">
        <f>BG600-SUM(BC600:BE600)</f>
        <v>0</v>
      </c>
      <c r="BG600" s="730">
        <v>0</v>
      </c>
      <c r="BH600" s="296">
        <f>BL600/4</f>
        <v>0</v>
      </c>
      <c r="BI600" s="297">
        <f>(BL600-BH600)/3</f>
        <v>0</v>
      </c>
      <c r="BJ600" s="297">
        <f>(BL600-SUM(BH600:BI600))/2</f>
        <v>0</v>
      </c>
      <c r="BK600" s="290">
        <f>BL600-SUM(BH600:BJ600)</f>
        <v>0</v>
      </c>
      <c r="BL600" s="730">
        <v>0</v>
      </c>
      <c r="BM600" s="296">
        <f>BQ600/4</f>
        <v>0</v>
      </c>
      <c r="BN600" s="297">
        <f>(BQ600-BM600)/3</f>
        <v>0</v>
      </c>
      <c r="BO600" s="297">
        <f>(BQ600-SUM(BM600:BN600))/2</f>
        <v>0</v>
      </c>
      <c r="BP600" s="290">
        <f>BQ600-SUM(BM600:BO600)</f>
        <v>0</v>
      </c>
      <c r="BQ600" s="730">
        <v>0</v>
      </c>
      <c r="BR600" s="177"/>
      <c r="BS600" s="177"/>
      <c r="BT600" s="15"/>
      <c r="BU600" s="15"/>
      <c r="BV600" s="15"/>
      <c r="BW600" s="15"/>
      <c r="BX600" s="15"/>
      <c r="BY600" s="15"/>
      <c r="BZ600" s="15"/>
      <c r="CA600" s="15"/>
      <c r="CB600" s="15"/>
      <c r="CC600" s="15"/>
      <c r="CD600" s="15"/>
      <c r="CE600" s="15"/>
      <c r="CF600" s="15"/>
    </row>
    <row r="601" spans="1:86" s="13" customFormat="1">
      <c r="A601" s="136"/>
      <c r="B601" s="136"/>
      <c r="C601" s="1186" t="s">
        <v>225</v>
      </c>
      <c r="E601" s="305"/>
      <c r="F601" s="306"/>
      <c r="G601" s="306"/>
      <c r="H601" s="307"/>
      <c r="I601" s="308"/>
      <c r="J601" s="305"/>
      <c r="K601" s="306"/>
      <c r="L601" s="306"/>
      <c r="M601" s="307"/>
      <c r="N601" s="308"/>
      <c r="O601" s="305"/>
      <c r="P601" s="306"/>
      <c r="Q601" s="306"/>
      <c r="R601" s="307"/>
      <c r="S601" s="308"/>
      <c r="T601" s="305"/>
      <c r="U601" s="306"/>
      <c r="V601" s="306"/>
      <c r="W601" s="307"/>
      <c r="X601" s="308"/>
      <c r="Y601" s="305">
        <f t="shared" ref="Y601:AM601" si="930">+SUM(Y599:Y600)</f>
        <v>-283</v>
      </c>
      <c r="Z601" s="306">
        <f t="shared" si="930"/>
        <v>-185</v>
      </c>
      <c r="AA601" s="306">
        <f t="shared" si="930"/>
        <v>-162</v>
      </c>
      <c r="AB601" s="307">
        <f t="shared" si="930"/>
        <v>-197</v>
      </c>
      <c r="AC601" s="308">
        <f t="shared" si="930"/>
        <v>-827</v>
      </c>
      <c r="AD601" s="305">
        <f>+SUM(AD599:AD600)</f>
        <v>-318</v>
      </c>
      <c r="AE601" s="306">
        <f>+SUM(AE599:AE600)</f>
        <v>-240</v>
      </c>
      <c r="AF601" s="306">
        <f>+SUM(AF599:AF600)</f>
        <v>-97</v>
      </c>
      <c r="AG601" s="307">
        <f>+SUM(AG599:AG600)</f>
        <v>-284</v>
      </c>
      <c r="AH601" s="308">
        <f t="shared" si="930"/>
        <v>-939</v>
      </c>
      <c r="AI601" s="305">
        <f t="shared" si="930"/>
        <v>-126</v>
      </c>
      <c r="AJ601" s="306">
        <f t="shared" si="930"/>
        <v>-191</v>
      </c>
      <c r="AK601" s="306">
        <f>+SUM(AK599:AK600)</f>
        <v>-83</v>
      </c>
      <c r="AL601" s="307">
        <f t="shared" si="930"/>
        <v>-188</v>
      </c>
      <c r="AM601" s="308">
        <f t="shared" si="930"/>
        <v>-588</v>
      </c>
      <c r="AN601" s="305">
        <f t="shared" ref="AN601" si="931">+SUM(AN599:AN600)</f>
        <v>-169</v>
      </c>
      <c r="AO601" s="306">
        <f t="shared" ref="AO601:AP601" si="932">+SUM(AO599:AO600)</f>
        <v>-213</v>
      </c>
      <c r="AP601" s="306">
        <f t="shared" si="932"/>
        <v>-110</v>
      </c>
      <c r="AQ601" s="307">
        <f t="shared" ref="AQ601:AS601" si="933">+SUM(AQ599:AQ600)</f>
        <v>-127</v>
      </c>
      <c r="AR601" s="308">
        <f t="shared" si="933"/>
        <v>-619</v>
      </c>
      <c r="AS601" s="305">
        <f t="shared" si="933"/>
        <v>-169</v>
      </c>
      <c r="AT601" s="306">
        <f t="shared" ref="AT601:AW601" si="934">+SUM(AT599:AT600)</f>
        <v>-213</v>
      </c>
      <c r="AU601" s="306">
        <f t="shared" si="934"/>
        <v>-110</v>
      </c>
      <c r="AV601" s="2309">
        <f t="shared" si="934"/>
        <v>175</v>
      </c>
      <c r="AW601" s="2308">
        <f t="shared" si="934"/>
        <v>-317</v>
      </c>
      <c r="AX601" s="305">
        <f t="shared" ref="AX601:BB601" si="935">+SUM(AX599:AX600)</f>
        <v>-72.5</v>
      </c>
      <c r="AY601" s="306">
        <f t="shared" si="935"/>
        <v>-72.5</v>
      </c>
      <c r="AZ601" s="306">
        <f t="shared" si="935"/>
        <v>-72.5</v>
      </c>
      <c r="BA601" s="307">
        <f t="shared" si="935"/>
        <v>-72.5</v>
      </c>
      <c r="BB601" s="308">
        <f t="shared" si="935"/>
        <v>-290</v>
      </c>
      <c r="BC601" s="305">
        <f t="shared" ref="BC601:BL601" si="936">+SUM(BC599:BC600)</f>
        <v>-72.5</v>
      </c>
      <c r="BD601" s="306">
        <f t="shared" si="936"/>
        <v>-72.5</v>
      </c>
      <c r="BE601" s="306">
        <f t="shared" si="936"/>
        <v>-72.5</v>
      </c>
      <c r="BF601" s="307">
        <f t="shared" si="936"/>
        <v>-72.5</v>
      </c>
      <c r="BG601" s="308">
        <f t="shared" si="936"/>
        <v>-290</v>
      </c>
      <c r="BH601" s="305">
        <f t="shared" si="936"/>
        <v>-72.5</v>
      </c>
      <c r="BI601" s="306">
        <f t="shared" si="936"/>
        <v>-72.5</v>
      </c>
      <c r="BJ601" s="306">
        <f t="shared" si="936"/>
        <v>-72.5</v>
      </c>
      <c r="BK601" s="307">
        <f t="shared" si="936"/>
        <v>-72.5</v>
      </c>
      <c r="BL601" s="308">
        <f t="shared" si="936"/>
        <v>-290</v>
      </c>
      <c r="BM601" s="305">
        <f t="shared" ref="BM601:BQ601" si="937">+SUM(BM599:BM600)</f>
        <v>-72.5</v>
      </c>
      <c r="BN601" s="306">
        <f t="shared" si="937"/>
        <v>-72.5</v>
      </c>
      <c r="BO601" s="306">
        <f t="shared" si="937"/>
        <v>-72.5</v>
      </c>
      <c r="BP601" s="307">
        <f t="shared" si="937"/>
        <v>-72.5</v>
      </c>
      <c r="BQ601" s="308">
        <f t="shared" si="937"/>
        <v>-290</v>
      </c>
      <c r="BR601" s="763"/>
      <c r="BS601" s="763"/>
      <c r="BT601" s="15"/>
      <c r="BU601" s="15"/>
      <c r="BV601" s="15"/>
      <c r="BW601" s="15"/>
      <c r="BX601" s="15"/>
      <c r="BY601" s="15"/>
      <c r="BZ601" s="15"/>
      <c r="CA601" s="15"/>
      <c r="CB601" s="15"/>
      <c r="CC601" s="15"/>
      <c r="CD601" s="15"/>
      <c r="CE601" s="15"/>
      <c r="CF601" s="15"/>
      <c r="CG601"/>
      <c r="CH601"/>
    </row>
    <row r="602" spans="1:86">
      <c r="A602" s="139"/>
      <c r="B602" s="139"/>
      <c r="C602" s="1187"/>
      <c r="E602" s="296"/>
      <c r="F602" s="297"/>
      <c r="G602" s="297"/>
      <c r="H602" s="290"/>
      <c r="I602" s="298"/>
      <c r="J602" s="296"/>
      <c r="K602" s="297"/>
      <c r="L602" s="297"/>
      <c r="M602" s="290"/>
      <c r="N602" s="298"/>
      <c r="O602" s="296"/>
      <c r="P602" s="297"/>
      <c r="Q602" s="297"/>
      <c r="R602" s="290"/>
      <c r="S602" s="285"/>
      <c r="T602" s="296"/>
      <c r="U602" s="297"/>
      <c r="V602" s="297"/>
      <c r="W602" s="317"/>
      <c r="X602" s="315"/>
      <c r="Y602" s="316"/>
      <c r="Z602" s="312"/>
      <c r="AA602" s="312"/>
      <c r="AB602" s="317"/>
      <c r="AC602" s="315"/>
      <c r="AD602" s="316"/>
      <c r="AE602" s="312"/>
      <c r="AF602" s="312"/>
      <c r="AG602" s="317"/>
      <c r="AH602" s="315"/>
      <c r="AI602" s="316"/>
      <c r="AJ602" s="312"/>
      <c r="AK602" s="312"/>
      <c r="AL602" s="317"/>
      <c r="AM602" s="315"/>
      <c r="AN602" s="316"/>
      <c r="AO602" s="312"/>
      <c r="AP602" s="312"/>
      <c r="AQ602" s="317"/>
      <c r="AR602" s="315"/>
      <c r="AS602" s="316"/>
      <c r="AT602" s="312"/>
      <c r="AU602" s="312"/>
      <c r="AV602" s="2186"/>
      <c r="AW602" s="2187"/>
      <c r="AX602" s="316"/>
      <c r="AY602" s="312"/>
      <c r="AZ602" s="312"/>
      <c r="BA602" s="317"/>
      <c r="BB602" s="315"/>
      <c r="BC602" s="316"/>
      <c r="BD602" s="312"/>
      <c r="BE602" s="312"/>
      <c r="BF602" s="317"/>
      <c r="BG602" s="315"/>
      <c r="BH602" s="316"/>
      <c r="BI602" s="312"/>
      <c r="BJ602" s="312"/>
      <c r="BK602" s="317"/>
      <c r="BL602" s="315"/>
      <c r="BM602" s="316"/>
      <c r="BN602" s="312"/>
      <c r="BO602" s="312"/>
      <c r="BP602" s="317"/>
      <c r="BQ602" s="315"/>
      <c r="BR602" s="177"/>
      <c r="BS602" s="177"/>
      <c r="BT602" s="15"/>
      <c r="BU602" s="15"/>
      <c r="BV602" s="15"/>
      <c r="BW602" s="15"/>
      <c r="BX602" s="15"/>
      <c r="BY602" s="15"/>
      <c r="BZ602" s="15"/>
      <c r="CA602" s="15"/>
      <c r="CB602" s="15"/>
      <c r="CC602" s="15"/>
      <c r="CD602" s="15"/>
      <c r="CE602" s="15"/>
      <c r="CF602" s="15"/>
    </row>
    <row r="603" spans="1:86">
      <c r="A603" s="139"/>
      <c r="B603" s="139"/>
      <c r="C603" s="1187" t="s">
        <v>226</v>
      </c>
      <c r="E603" s="296"/>
      <c r="F603" s="297"/>
      <c r="G603" s="297"/>
      <c r="H603" s="290"/>
      <c r="I603" s="298"/>
      <c r="J603" s="296"/>
      <c r="K603" s="297"/>
      <c r="L603" s="297"/>
      <c r="M603" s="290"/>
      <c r="N603" s="298"/>
      <c r="O603" s="296"/>
      <c r="P603" s="297"/>
      <c r="Q603" s="297"/>
      <c r="R603" s="290"/>
      <c r="S603" s="285"/>
      <c r="T603" s="296"/>
      <c r="U603" s="297"/>
      <c r="V603" s="297"/>
      <c r="W603" s="317"/>
      <c r="X603" s="315"/>
      <c r="Y603" s="316">
        <f t="shared" ref="Y603:AB604" si="938">Y580</f>
        <v>0</v>
      </c>
      <c r="Z603" s="312">
        <f t="shared" si="938"/>
        <v>0</v>
      </c>
      <c r="AA603" s="312">
        <f t="shared" si="938"/>
        <v>0</v>
      </c>
      <c r="AB603" s="317">
        <f t="shared" si="938"/>
        <v>0</v>
      </c>
      <c r="AC603" s="315">
        <f>SUM(Y603:AB603)</f>
        <v>0</v>
      </c>
      <c r="AD603" s="316">
        <f t="shared" ref="AD603:AG604" si="939">AD580</f>
        <v>0</v>
      </c>
      <c r="AE603" s="312">
        <f t="shared" si="939"/>
        <v>0</v>
      </c>
      <c r="AF603" s="312">
        <f t="shared" si="939"/>
        <v>0</v>
      </c>
      <c r="AG603" s="317">
        <f t="shared" si="939"/>
        <v>0</v>
      </c>
      <c r="AH603" s="315">
        <f>SUM(AD603:AG603)</f>
        <v>0</v>
      </c>
      <c r="AI603" s="316">
        <f t="shared" ref="AI603:AL604" si="940">AI580</f>
        <v>0</v>
      </c>
      <c r="AJ603" s="312">
        <f t="shared" si="940"/>
        <v>0</v>
      </c>
      <c r="AK603" s="312">
        <f t="shared" si="940"/>
        <v>0</v>
      </c>
      <c r="AL603" s="317">
        <f t="shared" si="940"/>
        <v>0</v>
      </c>
      <c r="AM603" s="315">
        <f>SUM(AI603:AL603)</f>
        <v>0</v>
      </c>
      <c r="AN603" s="316">
        <f t="shared" ref="AN603:AO603" si="941">AN580</f>
        <v>0</v>
      </c>
      <c r="AO603" s="312">
        <f t="shared" si="941"/>
        <v>0</v>
      </c>
      <c r="AP603" s="312">
        <f t="shared" ref="AP603:AQ603" si="942">AP580</f>
        <v>0</v>
      </c>
      <c r="AQ603" s="317">
        <f t="shared" si="942"/>
        <v>0</v>
      </c>
      <c r="AR603" s="315">
        <f>SUM(AN603:AQ603)</f>
        <v>0</v>
      </c>
      <c r="AS603" s="316">
        <f t="shared" ref="AS603" si="943">AS580</f>
        <v>0</v>
      </c>
      <c r="AT603" s="312">
        <f t="shared" ref="AT603:AV604" si="944">AT580</f>
        <v>0</v>
      </c>
      <c r="AU603" s="312">
        <f t="shared" si="944"/>
        <v>0</v>
      </c>
      <c r="AV603" s="2186">
        <f t="shared" si="944"/>
        <v>0</v>
      </c>
      <c r="AW603" s="2187">
        <f>SUM(AS603:AV603)</f>
        <v>0</v>
      </c>
      <c r="AX603" s="316">
        <f t="shared" ref="AX603:BA604" si="945">AX580</f>
        <v>0</v>
      </c>
      <c r="AY603" s="312">
        <f t="shared" si="945"/>
        <v>0</v>
      </c>
      <c r="AZ603" s="312">
        <f t="shared" si="945"/>
        <v>0</v>
      </c>
      <c r="BA603" s="317">
        <f t="shared" si="945"/>
        <v>0</v>
      </c>
      <c r="BB603" s="315">
        <f>SUM(AX603:BA603)</f>
        <v>0</v>
      </c>
      <c r="BC603" s="316">
        <f t="shared" ref="BC603:BF604" si="946">BC580</f>
        <v>0</v>
      </c>
      <c r="BD603" s="312">
        <f t="shared" si="946"/>
        <v>0</v>
      </c>
      <c r="BE603" s="312">
        <f t="shared" si="946"/>
        <v>0</v>
      </c>
      <c r="BF603" s="317">
        <f t="shared" si="946"/>
        <v>0</v>
      </c>
      <c r="BG603" s="315">
        <f>SUM(BC603:BF603)</f>
        <v>0</v>
      </c>
      <c r="BH603" s="316">
        <f t="shared" ref="BH603:BK604" si="947">BH580</f>
        <v>0</v>
      </c>
      <c r="BI603" s="312">
        <f t="shared" si="947"/>
        <v>0</v>
      </c>
      <c r="BJ603" s="312">
        <f t="shared" si="947"/>
        <v>250</v>
      </c>
      <c r="BK603" s="317">
        <f t="shared" si="947"/>
        <v>0</v>
      </c>
      <c r="BL603" s="315">
        <f>SUM(BH603:BK603)</f>
        <v>250</v>
      </c>
      <c r="BM603" s="316">
        <f t="shared" ref="BM603:BP603" si="948">BM580</f>
        <v>0</v>
      </c>
      <c r="BN603" s="312">
        <f t="shared" si="948"/>
        <v>0</v>
      </c>
      <c r="BO603" s="312">
        <f t="shared" si="948"/>
        <v>500</v>
      </c>
      <c r="BP603" s="317">
        <f t="shared" si="948"/>
        <v>0</v>
      </c>
      <c r="BQ603" s="315">
        <f>SUM(BM603:BP603)</f>
        <v>500</v>
      </c>
      <c r="BR603" s="177"/>
      <c r="BS603" s="177"/>
      <c r="BT603" s="15"/>
      <c r="BU603" s="15"/>
      <c r="BV603" s="15"/>
      <c r="BW603" s="15"/>
      <c r="BX603" s="15"/>
      <c r="BY603" s="15"/>
      <c r="BZ603" s="15"/>
      <c r="CA603" s="15"/>
      <c r="CB603" s="15"/>
      <c r="CC603" s="15"/>
      <c r="CD603" s="15"/>
      <c r="CE603" s="15"/>
      <c r="CF603" s="15"/>
    </row>
    <row r="604" spans="1:86">
      <c r="A604" s="139"/>
      <c r="B604" s="139"/>
      <c r="C604" s="1187" t="s">
        <v>227</v>
      </c>
      <c r="E604" s="296"/>
      <c r="F604" s="297"/>
      <c r="G604" s="297"/>
      <c r="H604" s="290"/>
      <c r="I604" s="298"/>
      <c r="J604" s="296"/>
      <c r="K604" s="297"/>
      <c r="L604" s="297"/>
      <c r="M604" s="290"/>
      <c r="N604" s="298"/>
      <c r="O604" s="296"/>
      <c r="P604" s="297"/>
      <c r="Q604" s="297"/>
      <c r="R604" s="290"/>
      <c r="S604" s="285"/>
      <c r="T604" s="296"/>
      <c r="U604" s="297"/>
      <c r="V604" s="297"/>
      <c r="W604" s="317"/>
      <c r="X604" s="315"/>
      <c r="Y604" s="316">
        <f>Y581</f>
        <v>0</v>
      </c>
      <c r="Z604" s="312">
        <f t="shared" si="938"/>
        <v>0</v>
      </c>
      <c r="AA604" s="312">
        <f t="shared" si="938"/>
        <v>0</v>
      </c>
      <c r="AB604" s="317">
        <f t="shared" si="938"/>
        <v>0</v>
      </c>
      <c r="AC604" s="315">
        <f>SUM(Y604:AB604)</f>
        <v>0</v>
      </c>
      <c r="AD604" s="316">
        <f t="shared" si="939"/>
        <v>0</v>
      </c>
      <c r="AE604" s="312">
        <f t="shared" si="939"/>
        <v>0</v>
      </c>
      <c r="AF604" s="312">
        <f t="shared" si="939"/>
        <v>0</v>
      </c>
      <c r="AG604" s="317">
        <f t="shared" si="939"/>
        <v>0</v>
      </c>
      <c r="AH604" s="315">
        <f>SUM(AD604:AG604)</f>
        <v>0</v>
      </c>
      <c r="AI604" s="316">
        <f t="shared" si="940"/>
        <v>0</v>
      </c>
      <c r="AJ604" s="312">
        <f t="shared" si="940"/>
        <v>0</v>
      </c>
      <c r="AK604" s="312">
        <f t="shared" si="940"/>
        <v>0</v>
      </c>
      <c r="AL604" s="317">
        <f t="shared" si="940"/>
        <v>0</v>
      </c>
      <c r="AM604" s="315">
        <f>SUM(AI604:AL604)</f>
        <v>0</v>
      </c>
      <c r="AN604" s="316">
        <f t="shared" ref="AN604:AO604" si="949">AN581</f>
        <v>0</v>
      </c>
      <c r="AO604" s="312">
        <f t="shared" si="949"/>
        <v>0</v>
      </c>
      <c r="AP604" s="312">
        <f t="shared" ref="AP604:AQ604" si="950">AP581</f>
        <v>0</v>
      </c>
      <c r="AQ604" s="317">
        <f t="shared" si="950"/>
        <v>0</v>
      </c>
      <c r="AR604" s="315">
        <f>SUM(AN604:AQ604)</f>
        <v>0</v>
      </c>
      <c r="AS604" s="316">
        <f t="shared" ref="AS604" si="951">AS581</f>
        <v>-28.524999999999999</v>
      </c>
      <c r="AT604" s="312">
        <f t="shared" ref="AT604:AU604" si="952">AT581</f>
        <v>-5.0956039999999998</v>
      </c>
      <c r="AU604" s="312">
        <f t="shared" si="952"/>
        <v>-129.61000000000001</v>
      </c>
      <c r="AV604" s="2186">
        <f t="shared" si="944"/>
        <v>0</v>
      </c>
      <c r="AW604" s="2187">
        <f>SUM(AS604:AV604)</f>
        <v>-163.23060400000003</v>
      </c>
      <c r="AX604" s="316">
        <f t="shared" si="945"/>
        <v>0</v>
      </c>
      <c r="AY604" s="312">
        <f t="shared" si="945"/>
        <v>-141.26</v>
      </c>
      <c r="AZ604" s="312">
        <f t="shared" si="945"/>
        <v>-43</v>
      </c>
      <c r="BA604" s="317">
        <f t="shared" si="945"/>
        <v>0</v>
      </c>
      <c r="BB604" s="315">
        <f>SUM(AX604:BA604)</f>
        <v>-184.26</v>
      </c>
      <c r="BC604" s="316">
        <f t="shared" si="946"/>
        <v>0</v>
      </c>
      <c r="BD604" s="312">
        <f t="shared" si="946"/>
        <v>-90.14</v>
      </c>
      <c r="BE604" s="312">
        <f t="shared" si="946"/>
        <v>0</v>
      </c>
      <c r="BF604" s="317">
        <f t="shared" si="946"/>
        <v>-155.53200000000001</v>
      </c>
      <c r="BG604" s="315">
        <f>SUM(BC604:BF604)</f>
        <v>-245.67200000000003</v>
      </c>
      <c r="BH604" s="316">
        <f t="shared" si="947"/>
        <v>0</v>
      </c>
      <c r="BI604" s="312">
        <f t="shared" si="947"/>
        <v>0</v>
      </c>
      <c r="BJ604" s="312">
        <f t="shared" si="947"/>
        <v>-177</v>
      </c>
      <c r="BK604" s="317">
        <f t="shared" si="947"/>
        <v>0</v>
      </c>
      <c r="BL604" s="315">
        <f>SUM(BH604:BK604)</f>
        <v>-177</v>
      </c>
      <c r="BM604" s="316">
        <f t="shared" ref="BM604:BP604" si="953">BM581</f>
        <v>0</v>
      </c>
      <c r="BN604" s="312">
        <f t="shared" si="953"/>
        <v>0</v>
      </c>
      <c r="BO604" s="312">
        <f t="shared" si="953"/>
        <v>-332.30500000000001</v>
      </c>
      <c r="BP604" s="317">
        <f t="shared" si="953"/>
        <v>0</v>
      </c>
      <c r="BQ604" s="315">
        <f>SUM(BM604:BP604)</f>
        <v>-332.30500000000001</v>
      </c>
      <c r="BR604" s="177"/>
      <c r="BS604" s="177"/>
      <c r="BT604" s="15"/>
      <c r="BU604" s="15"/>
      <c r="BV604" s="15"/>
      <c r="BW604" s="15"/>
      <c r="BX604" s="15"/>
      <c r="BY604" s="15"/>
      <c r="BZ604" s="15"/>
      <c r="CA604" s="15"/>
      <c r="CB604" s="15"/>
      <c r="CC604" s="15"/>
      <c r="CD604" s="15"/>
      <c r="CE604" s="15"/>
      <c r="CF604" s="15"/>
    </row>
    <row r="605" spans="1:86">
      <c r="A605" s="139"/>
      <c r="B605" s="139"/>
      <c r="C605" s="1187" t="s">
        <v>265</v>
      </c>
      <c r="E605" s="296"/>
      <c r="F605" s="297"/>
      <c r="G605" s="297"/>
      <c r="H605" s="290"/>
      <c r="I605" s="298"/>
      <c r="J605" s="296"/>
      <c r="K605" s="297"/>
      <c r="L605" s="297"/>
      <c r="M605" s="290"/>
      <c r="N605" s="298"/>
      <c r="O605" s="296"/>
      <c r="P605" s="297"/>
      <c r="Q605" s="297"/>
      <c r="R605" s="290"/>
      <c r="S605" s="285"/>
      <c r="T605" s="296"/>
      <c r="U605" s="297"/>
      <c r="V605" s="297"/>
      <c r="W605" s="486"/>
      <c r="X605" s="315"/>
      <c r="Y605" s="667">
        <v>0</v>
      </c>
      <c r="Z605" s="485">
        <v>0</v>
      </c>
      <c r="AA605" s="485">
        <v>0</v>
      </c>
      <c r="AB605" s="486">
        <v>0</v>
      </c>
      <c r="AC605" s="315">
        <f>SUM(Y605:AB605)</f>
        <v>0</v>
      </c>
      <c r="AD605" s="667">
        <v>0</v>
      </c>
      <c r="AE605" s="485">
        <v>0</v>
      </c>
      <c r="AF605" s="485">
        <v>0</v>
      </c>
      <c r="AG605" s="486">
        <v>0</v>
      </c>
      <c r="AH605" s="315">
        <f>SUM(AD605:AG605)</f>
        <v>0</v>
      </c>
      <c r="AI605" s="667">
        <v>0</v>
      </c>
      <c r="AJ605" s="485">
        <v>0</v>
      </c>
      <c r="AK605" s="485">
        <v>0</v>
      </c>
      <c r="AL605" s="486">
        <v>0</v>
      </c>
      <c r="AM605" s="315">
        <f>SUM(AI605:AL605)</f>
        <v>0</v>
      </c>
      <c r="AN605" s="667">
        <v>0</v>
      </c>
      <c r="AO605" s="485">
        <v>0</v>
      </c>
      <c r="AP605" s="485">
        <v>0</v>
      </c>
      <c r="AQ605" s="486">
        <v>0</v>
      </c>
      <c r="AR605" s="315">
        <f>SUM(AN605:AQ605)</f>
        <v>0</v>
      </c>
      <c r="AS605" s="667">
        <v>0</v>
      </c>
      <c r="AT605" s="485">
        <v>0</v>
      </c>
      <c r="AU605" s="485">
        <v>0</v>
      </c>
      <c r="AV605" s="2311">
        <v>0</v>
      </c>
      <c r="AW605" s="2187">
        <f>SUM(AS605:AV605)</f>
        <v>0</v>
      </c>
      <c r="AX605" s="667">
        <v>0</v>
      </c>
      <c r="AY605" s="485">
        <v>0</v>
      </c>
      <c r="AZ605" s="485">
        <v>0</v>
      </c>
      <c r="BA605" s="486">
        <v>0</v>
      </c>
      <c r="BB605" s="315">
        <f>SUM(AX605:BA605)</f>
        <v>0</v>
      </c>
      <c r="BC605" s="667">
        <v>0</v>
      </c>
      <c r="BD605" s="485">
        <v>0</v>
      </c>
      <c r="BE605" s="485">
        <v>0</v>
      </c>
      <c r="BF605" s="486">
        <v>0</v>
      </c>
      <c r="BG605" s="315">
        <f>SUM(BC605:BF605)</f>
        <v>0</v>
      </c>
      <c r="BH605" s="667">
        <v>0</v>
      </c>
      <c r="BI605" s="485">
        <v>0</v>
      </c>
      <c r="BJ605" s="485">
        <v>0</v>
      </c>
      <c r="BK605" s="486">
        <v>0</v>
      </c>
      <c r="BL605" s="315">
        <f>SUM(BH605:BK605)</f>
        <v>0</v>
      </c>
      <c r="BM605" s="667">
        <v>0</v>
      </c>
      <c r="BN605" s="485">
        <v>0</v>
      </c>
      <c r="BO605" s="485">
        <v>0</v>
      </c>
      <c r="BP605" s="486">
        <v>0</v>
      </c>
      <c r="BQ605" s="315">
        <f>SUM(BM605:BP605)</f>
        <v>0</v>
      </c>
      <c r="BR605" s="177"/>
      <c r="BS605" s="177"/>
      <c r="BT605" s="15"/>
      <c r="BU605" s="15"/>
      <c r="BV605" s="15"/>
      <c r="BW605" s="15"/>
      <c r="BX605" s="15"/>
      <c r="BY605" s="15"/>
      <c r="BZ605" s="15"/>
      <c r="CA605" s="15"/>
      <c r="CB605" s="15"/>
      <c r="CC605" s="15"/>
      <c r="CD605" s="15"/>
      <c r="CE605" s="15"/>
      <c r="CF605" s="15"/>
    </row>
    <row r="606" spans="1:86">
      <c r="A606" s="139"/>
      <c r="B606" s="139"/>
      <c r="C606" s="1187" t="s">
        <v>266</v>
      </c>
      <c r="E606" s="296"/>
      <c r="F606" s="297"/>
      <c r="G606" s="297"/>
      <c r="H606" s="290"/>
      <c r="I606" s="298"/>
      <c r="J606" s="296"/>
      <c r="K606" s="297"/>
      <c r="L606" s="297"/>
      <c r="M606" s="290"/>
      <c r="N606" s="298"/>
      <c r="O606" s="296"/>
      <c r="P606" s="297"/>
      <c r="Q606" s="297"/>
      <c r="R606" s="290"/>
      <c r="S606" s="285"/>
      <c r="T606" s="296"/>
      <c r="U606" s="297"/>
      <c r="V606" s="297"/>
      <c r="W606" s="290"/>
      <c r="X606" s="730"/>
      <c r="Y606" s="667">
        <v>0</v>
      </c>
      <c r="Z606" s="297">
        <f>(AC606-Y606)/3</f>
        <v>0</v>
      </c>
      <c r="AA606" s="297">
        <f>(AC606-SUM(Y606:Z606))/2</f>
        <v>0</v>
      </c>
      <c r="AB606" s="290">
        <f>AC606-SUM(Y606:AA606)</f>
        <v>0</v>
      </c>
      <c r="AC606" s="730">
        <v>0</v>
      </c>
      <c r="AD606" s="667">
        <v>0</v>
      </c>
      <c r="AE606" s="297">
        <f>(AH606-AD606)/3</f>
        <v>0</v>
      </c>
      <c r="AF606" s="297">
        <f>(AH606-SUM(AD606:AE606))/2</f>
        <v>0</v>
      </c>
      <c r="AG606" s="290">
        <f>AH606-SUM(AD606:AF606)</f>
        <v>0</v>
      </c>
      <c r="AH606" s="730">
        <v>0</v>
      </c>
      <c r="AI606" s="667">
        <v>0</v>
      </c>
      <c r="AJ606" s="297">
        <f>(AM606-AI606)/3</f>
        <v>0</v>
      </c>
      <c r="AK606" s="297">
        <f>(AM606-SUM(AI606:AJ606))/2</f>
        <v>0</v>
      </c>
      <c r="AL606" s="290">
        <f>AM606-SUM(AI606:AK606)</f>
        <v>0</v>
      </c>
      <c r="AM606" s="730">
        <v>0</v>
      </c>
      <c r="AN606" s="667">
        <v>0</v>
      </c>
      <c r="AO606" s="297">
        <f>(AR606-AN606)/3</f>
        <v>0</v>
      </c>
      <c r="AP606" s="297">
        <f>(AS606-AO606)/3</f>
        <v>0</v>
      </c>
      <c r="AQ606" s="290">
        <f>AR606-SUM(AN606:AP606)</f>
        <v>0</v>
      </c>
      <c r="AR606" s="730">
        <v>0</v>
      </c>
      <c r="AS606" s="667">
        <v>0</v>
      </c>
      <c r="AT606" s="297">
        <v>0</v>
      </c>
      <c r="AU606" s="297">
        <v>0</v>
      </c>
      <c r="AV606" s="2306">
        <f>AW606-SUM(AS606:AU606)</f>
        <v>0</v>
      </c>
      <c r="AW606" s="2310">
        <v>0</v>
      </c>
      <c r="AX606" s="296">
        <f>BB606/4</f>
        <v>50</v>
      </c>
      <c r="AY606" s="297">
        <f>(BB606-AX606)/3</f>
        <v>50</v>
      </c>
      <c r="AZ606" s="297">
        <f>(BB606-SUM(AX606:AY606))/2</f>
        <v>50</v>
      </c>
      <c r="BA606" s="290">
        <f>BB606-SUM(AX606:AZ606)</f>
        <v>50</v>
      </c>
      <c r="BB606" s="730">
        <v>200</v>
      </c>
      <c r="BC606" s="296">
        <f>BG606/4</f>
        <v>50</v>
      </c>
      <c r="BD606" s="297">
        <f>(BG606-BC606)/3</f>
        <v>50</v>
      </c>
      <c r="BE606" s="297">
        <f>(BG606-SUM(BC606:BD606))/2</f>
        <v>50</v>
      </c>
      <c r="BF606" s="290">
        <f>BG606-SUM(BC606:BE606)</f>
        <v>50</v>
      </c>
      <c r="BG606" s="730">
        <v>200</v>
      </c>
      <c r="BH606" s="296">
        <f>BL606/4</f>
        <v>100</v>
      </c>
      <c r="BI606" s="297">
        <f>(BL606-BH606)/3</f>
        <v>100</v>
      </c>
      <c r="BJ606" s="297">
        <f>(BL606-SUM(BH606:BI606))/2</f>
        <v>100</v>
      </c>
      <c r="BK606" s="290">
        <f>BL606-SUM(BH606:BJ606)</f>
        <v>100</v>
      </c>
      <c r="BL606" s="730">
        <v>400</v>
      </c>
      <c r="BM606" s="296">
        <f>BQ606/4</f>
        <v>100</v>
      </c>
      <c r="BN606" s="297">
        <f>(BQ606-BM606)/3</f>
        <v>100</v>
      </c>
      <c r="BO606" s="297">
        <f>(BQ606-SUM(BM606:BN606))/2</f>
        <v>100</v>
      </c>
      <c r="BP606" s="290">
        <f>BQ606-SUM(BM606:BO606)</f>
        <v>100</v>
      </c>
      <c r="BQ606" s="730">
        <v>400</v>
      </c>
      <c r="BR606" s="177"/>
      <c r="BS606" s="177"/>
      <c r="BT606" s="15"/>
      <c r="BU606" s="15"/>
      <c r="BV606" s="15"/>
      <c r="BW606" s="15"/>
      <c r="BX606" s="15"/>
      <c r="BY606" s="15"/>
      <c r="BZ606" s="15"/>
      <c r="CA606" s="15"/>
      <c r="CB606" s="15"/>
      <c r="CC606" s="15"/>
      <c r="CD606" s="15"/>
      <c r="CE606" s="15"/>
      <c r="CF606" s="15"/>
    </row>
    <row r="607" spans="1:86" s="13" customFormat="1">
      <c r="A607" s="136"/>
      <c r="B607" s="136"/>
      <c r="C607" s="1186" t="s">
        <v>228</v>
      </c>
      <c r="E607" s="305"/>
      <c r="F607" s="306"/>
      <c r="G607" s="306"/>
      <c r="H607" s="307"/>
      <c r="I607" s="308"/>
      <c r="J607" s="305"/>
      <c r="K607" s="306"/>
      <c r="L607" s="306"/>
      <c r="M607" s="307"/>
      <c r="N607" s="308"/>
      <c r="O607" s="305"/>
      <c r="P607" s="306"/>
      <c r="Q607" s="306"/>
      <c r="R607" s="307"/>
      <c r="S607" s="308"/>
      <c r="T607" s="305"/>
      <c r="U607" s="306"/>
      <c r="V607" s="306"/>
      <c r="W607" s="307"/>
      <c r="X607" s="308"/>
      <c r="Y607" s="305">
        <f t="shared" ref="Y607:AM607" si="954">+SUM(Y603:Y606)</f>
        <v>0</v>
      </c>
      <c r="Z607" s="306">
        <f t="shared" si="954"/>
        <v>0</v>
      </c>
      <c r="AA607" s="306">
        <f t="shared" si="954"/>
        <v>0</v>
      </c>
      <c r="AB607" s="307">
        <f t="shared" si="954"/>
        <v>0</v>
      </c>
      <c r="AC607" s="308">
        <f t="shared" si="954"/>
        <v>0</v>
      </c>
      <c r="AD607" s="305">
        <f>+SUM(AD603:AD606)</f>
        <v>0</v>
      </c>
      <c r="AE607" s="306">
        <f>+SUM(AE603:AE606)</f>
        <v>0</v>
      </c>
      <c r="AF607" s="306">
        <f>+SUM(AF603:AF606)</f>
        <v>0</v>
      </c>
      <c r="AG607" s="307">
        <f>+SUM(AG603:AG606)</f>
        <v>0</v>
      </c>
      <c r="AH607" s="308">
        <f t="shared" si="954"/>
        <v>0</v>
      </c>
      <c r="AI607" s="305">
        <f t="shared" si="954"/>
        <v>0</v>
      </c>
      <c r="AJ607" s="306">
        <f t="shared" si="954"/>
        <v>0</v>
      </c>
      <c r="AK607" s="306">
        <f>+SUM(AK603:AK606)</f>
        <v>0</v>
      </c>
      <c r="AL607" s="307">
        <f t="shared" si="954"/>
        <v>0</v>
      </c>
      <c r="AM607" s="308">
        <f t="shared" si="954"/>
        <v>0</v>
      </c>
      <c r="AN607" s="305">
        <f t="shared" ref="AN607" si="955">+SUM(AN603:AN606)</f>
        <v>0</v>
      </c>
      <c r="AO607" s="306">
        <f t="shared" ref="AO607:AP607" si="956">+SUM(AO603:AO606)</f>
        <v>0</v>
      </c>
      <c r="AP607" s="306">
        <f t="shared" si="956"/>
        <v>0</v>
      </c>
      <c r="AQ607" s="307">
        <f t="shared" ref="AQ607:AS607" si="957">+SUM(AQ603:AQ606)</f>
        <v>0</v>
      </c>
      <c r="AR607" s="308">
        <f t="shared" si="957"/>
        <v>0</v>
      </c>
      <c r="AS607" s="305">
        <f t="shared" si="957"/>
        <v>-28.524999999999999</v>
      </c>
      <c r="AT607" s="306">
        <f t="shared" ref="AT607:AW607" si="958">+SUM(AT603:AT606)</f>
        <v>-5.0956039999999998</v>
      </c>
      <c r="AU607" s="306">
        <f t="shared" si="958"/>
        <v>-129.61000000000001</v>
      </c>
      <c r="AV607" s="2309">
        <f t="shared" si="958"/>
        <v>0</v>
      </c>
      <c r="AW607" s="2308">
        <f t="shared" si="958"/>
        <v>-163.23060400000003</v>
      </c>
      <c r="AX607" s="305">
        <f t="shared" ref="AX607:BB607" si="959">+SUM(AX603:AX606)</f>
        <v>50</v>
      </c>
      <c r="AY607" s="306">
        <f t="shared" si="959"/>
        <v>-91.259999999999991</v>
      </c>
      <c r="AZ607" s="306">
        <f t="shared" si="959"/>
        <v>7</v>
      </c>
      <c r="BA607" s="307">
        <f t="shared" si="959"/>
        <v>50</v>
      </c>
      <c r="BB607" s="308">
        <f t="shared" si="959"/>
        <v>15.740000000000009</v>
      </c>
      <c r="BC607" s="305">
        <f t="shared" ref="BC607:BL607" si="960">+SUM(BC603:BC606)</f>
        <v>50</v>
      </c>
      <c r="BD607" s="306">
        <f t="shared" si="960"/>
        <v>-40.14</v>
      </c>
      <c r="BE607" s="306">
        <f t="shared" si="960"/>
        <v>50</v>
      </c>
      <c r="BF607" s="307">
        <f t="shared" si="960"/>
        <v>-105.53200000000001</v>
      </c>
      <c r="BG607" s="308">
        <f t="shared" si="960"/>
        <v>-45.672000000000025</v>
      </c>
      <c r="BH607" s="305">
        <f t="shared" si="960"/>
        <v>100</v>
      </c>
      <c r="BI607" s="306">
        <f t="shared" si="960"/>
        <v>100</v>
      </c>
      <c r="BJ607" s="306">
        <f t="shared" si="960"/>
        <v>173</v>
      </c>
      <c r="BK607" s="307">
        <f t="shared" si="960"/>
        <v>100</v>
      </c>
      <c r="BL607" s="308">
        <f t="shared" si="960"/>
        <v>473</v>
      </c>
      <c r="BM607" s="305">
        <f t="shared" ref="BM607:BQ607" si="961">+SUM(BM603:BM606)</f>
        <v>100</v>
      </c>
      <c r="BN607" s="306">
        <f t="shared" si="961"/>
        <v>100</v>
      </c>
      <c r="BO607" s="306">
        <f t="shared" si="961"/>
        <v>267.69499999999999</v>
      </c>
      <c r="BP607" s="307">
        <f t="shared" si="961"/>
        <v>100</v>
      </c>
      <c r="BQ607" s="308">
        <f t="shared" si="961"/>
        <v>567.69499999999994</v>
      </c>
      <c r="BR607" s="763"/>
      <c r="BS607" s="763"/>
      <c r="BT607" s="15"/>
      <c r="BU607" s="15"/>
      <c r="BV607" s="15"/>
      <c r="BW607" s="15"/>
      <c r="BX607" s="15"/>
      <c r="BY607" s="15"/>
      <c r="BZ607" s="15"/>
      <c r="CA607" s="15"/>
      <c r="CB607" s="15"/>
      <c r="CC607" s="15"/>
      <c r="CD607" s="15"/>
      <c r="CE607" s="15"/>
      <c r="CF607" s="15"/>
      <c r="CG607"/>
      <c r="CH607"/>
    </row>
    <row r="608" spans="1:86">
      <c r="A608" s="139"/>
      <c r="B608" s="139"/>
      <c r="C608" s="1187"/>
      <c r="E608" s="316"/>
      <c r="F608" s="312"/>
      <c r="G608" s="312"/>
      <c r="H608" s="317"/>
      <c r="I608" s="315"/>
      <c r="J608" s="316"/>
      <c r="K608" s="312"/>
      <c r="L608" s="312"/>
      <c r="M608" s="317"/>
      <c r="N608" s="315"/>
      <c r="O608" s="316"/>
      <c r="P608" s="312"/>
      <c r="Q608" s="312"/>
      <c r="R608" s="317"/>
      <c r="S608" s="285"/>
      <c r="T608" s="316"/>
      <c r="U608" s="312"/>
      <c r="V608" s="312"/>
      <c r="W608" s="317"/>
      <c r="X608" s="315"/>
      <c r="Y608" s="316"/>
      <c r="Z608" s="312"/>
      <c r="AA608" s="312"/>
      <c r="AB608" s="317"/>
      <c r="AC608" s="315"/>
      <c r="AD608" s="316"/>
      <c r="AE608" s="312"/>
      <c r="AF608" s="312"/>
      <c r="AG608" s="317"/>
      <c r="AH608" s="315"/>
      <c r="AI608" s="316"/>
      <c r="AJ608" s="312"/>
      <c r="AK608" s="312"/>
      <c r="AL608" s="317"/>
      <c r="AM608" s="315"/>
      <c r="AN608" s="316"/>
      <c r="AO608" s="312"/>
      <c r="AP608" s="312"/>
      <c r="AQ608" s="317"/>
      <c r="AR608" s="315"/>
      <c r="AS608" s="316"/>
      <c r="AT608" s="312"/>
      <c r="AU608" s="312"/>
      <c r="AV608" s="2186"/>
      <c r="AW608" s="2187"/>
      <c r="AX608" s="316"/>
      <c r="AY608" s="312"/>
      <c r="AZ608" s="312"/>
      <c r="BA608" s="317"/>
      <c r="BB608" s="315"/>
      <c r="BC608" s="316"/>
      <c r="BD608" s="312"/>
      <c r="BE608" s="312"/>
      <c r="BF608" s="317"/>
      <c r="BG608" s="315"/>
      <c r="BH608" s="316"/>
      <c r="BI608" s="312"/>
      <c r="BJ608" s="312"/>
      <c r="BK608" s="317"/>
      <c r="BL608" s="315"/>
      <c r="BM608" s="316"/>
      <c r="BN608" s="312"/>
      <c r="BO608" s="312"/>
      <c r="BP608" s="317"/>
      <c r="BQ608" s="315"/>
      <c r="BR608" s="177"/>
      <c r="BS608" s="177"/>
      <c r="BT608" s="15"/>
      <c r="BU608" s="15"/>
      <c r="BV608" s="15"/>
      <c r="BW608" s="15"/>
      <c r="BX608" s="15"/>
      <c r="BY608" s="15"/>
      <c r="BZ608" s="15"/>
      <c r="CA608" s="15"/>
      <c r="CB608" s="15"/>
      <c r="CC608" s="15"/>
      <c r="CD608" s="15"/>
      <c r="CE608" s="15"/>
      <c r="CF608" s="15"/>
    </row>
    <row r="609" spans="1:101" s="13" customFormat="1">
      <c r="A609" s="136"/>
      <c r="B609" s="136"/>
      <c r="C609" s="1186" t="s">
        <v>229</v>
      </c>
      <c r="E609" s="305"/>
      <c r="F609" s="306"/>
      <c r="G609" s="306"/>
      <c r="H609" s="307"/>
      <c r="I609" s="308"/>
      <c r="J609" s="305"/>
      <c r="K609" s="306"/>
      <c r="L609" s="306"/>
      <c r="M609" s="307"/>
      <c r="N609" s="308"/>
      <c r="O609" s="305"/>
      <c r="P609" s="306"/>
      <c r="Q609" s="306"/>
      <c r="R609" s="307"/>
      <c r="S609" s="308"/>
      <c r="T609" s="305"/>
      <c r="U609" s="306"/>
      <c r="V609" s="306"/>
      <c r="W609" s="307"/>
      <c r="X609" s="308"/>
      <c r="Y609" s="305">
        <f t="shared" ref="Y609:AM609" si="962">Y597+Y601+Y607</f>
        <v>-196.65625</v>
      </c>
      <c r="Z609" s="306">
        <f t="shared" si="962"/>
        <v>-396.65625</v>
      </c>
      <c r="AA609" s="306">
        <f t="shared" si="962"/>
        <v>53.34375</v>
      </c>
      <c r="AB609" s="307">
        <f t="shared" si="962"/>
        <v>-14.65625</v>
      </c>
      <c r="AC609" s="308">
        <f t="shared" si="962"/>
        <v>-554.625</v>
      </c>
      <c r="AD609" s="305">
        <f>AD597+AD601+AD607</f>
        <v>-248.15625</v>
      </c>
      <c r="AE609" s="306">
        <f>AE597+AE601+AE607</f>
        <v>-246.15625</v>
      </c>
      <c r="AF609" s="306">
        <f>AF597+AF601+AF607</f>
        <v>85.84375</v>
      </c>
      <c r="AG609" s="307">
        <f>AG597+AG601+AG607</f>
        <v>-413.15625</v>
      </c>
      <c r="AH609" s="308">
        <f t="shared" si="962"/>
        <v>-821.625</v>
      </c>
      <c r="AI609" s="305">
        <f t="shared" si="962"/>
        <v>-51.5</v>
      </c>
      <c r="AJ609" s="306">
        <f t="shared" si="962"/>
        <v>-116.5</v>
      </c>
      <c r="AK609" s="306">
        <f>AK597+AK601+AK607</f>
        <v>142.5</v>
      </c>
      <c r="AL609" s="307">
        <f t="shared" si="962"/>
        <v>-129.5</v>
      </c>
      <c r="AM609" s="308">
        <f t="shared" si="962"/>
        <v>-155</v>
      </c>
      <c r="AN609" s="305">
        <f t="shared" ref="AN609:AO609" si="963">AN597+AN601+AN607</f>
        <v>64.5</v>
      </c>
      <c r="AO609" s="306">
        <f t="shared" si="963"/>
        <v>-111.5</v>
      </c>
      <c r="AP609" s="306">
        <f t="shared" ref="AP609:AW609" si="964">AP597+AP601+AP607</f>
        <v>-9.5</v>
      </c>
      <c r="AQ609" s="307">
        <f t="shared" si="964"/>
        <v>-5976.5</v>
      </c>
      <c r="AR609" s="308">
        <f t="shared" si="964"/>
        <v>-6033</v>
      </c>
      <c r="AS609" s="305">
        <f t="shared" si="964"/>
        <v>-242.77500000000001</v>
      </c>
      <c r="AT609" s="306">
        <f t="shared" si="964"/>
        <v>-251.34560400000001</v>
      </c>
      <c r="AU609" s="306">
        <f t="shared" si="964"/>
        <v>-149.86000000000001</v>
      </c>
      <c r="AV609" s="2309">
        <f t="shared" si="964"/>
        <v>-2384.25</v>
      </c>
      <c r="AW609" s="2308">
        <f t="shared" si="964"/>
        <v>-3028.2306039999999</v>
      </c>
      <c r="AX609" s="305">
        <f t="shared" ref="AX609:BB609" si="965">AX597+AX601+AX607</f>
        <v>39.887668265392605</v>
      </c>
      <c r="AY609" s="306">
        <f t="shared" si="965"/>
        <v>-141.22114037223545</v>
      </c>
      <c r="AZ609" s="306">
        <f t="shared" si="965"/>
        <v>-43.771483165386485</v>
      </c>
      <c r="BA609" s="307">
        <f t="shared" si="965"/>
        <v>-12.056260440728131</v>
      </c>
      <c r="BB609" s="308">
        <f t="shared" si="965"/>
        <v>-157.16121571295747</v>
      </c>
      <c r="BC609" s="305">
        <f t="shared" ref="BC609:BL609" si="966">BC597+BC601+BC607</f>
        <v>-79.185592604608701</v>
      </c>
      <c r="BD609" s="306">
        <f t="shared" si="966"/>
        <v>-179.20395557566036</v>
      </c>
      <c r="BE609" s="306">
        <f t="shared" si="966"/>
        <v>-89.164553502016503</v>
      </c>
      <c r="BF609" s="307">
        <f t="shared" si="966"/>
        <v>-261.3688562066589</v>
      </c>
      <c r="BG609" s="308">
        <f t="shared" si="966"/>
        <v>-608.92295788894444</v>
      </c>
      <c r="BH609" s="305">
        <f t="shared" si="966"/>
        <v>-39.283415125634548</v>
      </c>
      <c r="BI609" s="306">
        <f t="shared" si="966"/>
        <v>-47.4824716788562</v>
      </c>
      <c r="BJ609" s="306">
        <f t="shared" si="966"/>
        <v>29.753296341440461</v>
      </c>
      <c r="BK609" s="307">
        <f t="shared" si="966"/>
        <v>-58.229087954230977</v>
      </c>
      <c r="BL609" s="308">
        <f t="shared" si="966"/>
        <v>-115.24167841728126</v>
      </c>
      <c r="BM609" s="305">
        <f t="shared" ref="BM609:BQ609" si="967">BM597+BM601+BM607</f>
        <v>-9.2575805449460233</v>
      </c>
      <c r="BN609" s="306">
        <f t="shared" si="967"/>
        <v>-31.658075559790916</v>
      </c>
      <c r="BO609" s="306">
        <f t="shared" si="967"/>
        <v>143.04891653805234</v>
      </c>
      <c r="BP609" s="307">
        <f t="shared" si="967"/>
        <v>-9.221206756635496</v>
      </c>
      <c r="BQ609" s="308">
        <f t="shared" si="967"/>
        <v>92.912053676679818</v>
      </c>
      <c r="BR609" s="763"/>
      <c r="BS609" s="763"/>
      <c r="BT609" s="15"/>
      <c r="BU609" s="15"/>
      <c r="BV609" s="15"/>
      <c r="BW609" s="15"/>
      <c r="BX609" s="15"/>
      <c r="BY609" s="15"/>
      <c r="BZ609" s="15"/>
      <c r="CA609" s="15"/>
      <c r="CB609" s="15"/>
      <c r="CC609" s="15"/>
      <c r="CD609" s="15"/>
      <c r="CE609" s="15"/>
      <c r="CF609" s="15"/>
      <c r="CG609"/>
      <c r="CH609"/>
    </row>
    <row r="610" spans="1:101">
      <c r="A610" s="139"/>
      <c r="B610" s="139"/>
      <c r="C610" s="1187" t="s">
        <v>348</v>
      </c>
      <c r="E610" s="305"/>
      <c r="F610" s="306"/>
      <c r="G610" s="306"/>
      <c r="H610" s="307"/>
      <c r="I610" s="308"/>
      <c r="J610" s="305"/>
      <c r="K610" s="306"/>
      <c r="L610" s="306"/>
      <c r="M610" s="307"/>
      <c r="N610" s="285"/>
      <c r="O610" s="305"/>
      <c r="P610" s="306"/>
      <c r="Q610" s="306"/>
      <c r="R610" s="307"/>
      <c r="S610" s="285"/>
      <c r="T610" s="309"/>
      <c r="U610" s="310"/>
      <c r="V610" s="310"/>
      <c r="W610" s="311"/>
      <c r="X610" s="285"/>
      <c r="Y610" s="309">
        <f>IF((Y609+X615)&gt;=X617,-X617,-(X615+Y609))</f>
        <v>173.74225000000001</v>
      </c>
      <c r="Z610" s="310">
        <f>IF((Z609+Y615)&gt;=Y617,-Y617,-(Y615+Z609))</f>
        <v>385.43624999999997</v>
      </c>
      <c r="AA610" s="310">
        <f>IF((AA609+Z615)&gt;=Z617,-Z617,-(Z615+AA609))</f>
        <v>-67.265749999999997</v>
      </c>
      <c r="AB610" s="311">
        <f>IF((AB609+AA615)&gt;=AA617,-AA617,-(AA615+AB609))</f>
        <v>2.1192499999999992</v>
      </c>
      <c r="AC610" s="285">
        <f>SUM(Y610:AB610)</f>
        <v>494.03199999999998</v>
      </c>
      <c r="AD610" s="309">
        <f>IF((AD609+AC615)&gt;=AC617,-AC617,-(AC615+AD609))</f>
        <v>244.52924999999999</v>
      </c>
      <c r="AE610" s="310">
        <f>IF((AE609+AD615)&gt;=AD617,-AD617,-(AD615+AE609))</f>
        <v>242.54225</v>
      </c>
      <c r="AF610" s="310">
        <f>IF((AF609+AE615)&gt;=AE617,-AE617,-(AE615+AF609))</f>
        <v>-89.311750000000004</v>
      </c>
      <c r="AG610" s="311">
        <f>IF((AG609+AF615)&gt;=AF617,-AF617,-(AF615+AG609))</f>
        <v>411.15625</v>
      </c>
      <c r="AH610" s="285">
        <f>SUM(AD610:AG610)</f>
        <v>808.91599999999994</v>
      </c>
      <c r="AI610" s="309">
        <f t="shared" ref="AI610:AK610" si="968">IF((AI609+AH615)&gt;=AH617,-AH617,-(AH615+AI609))+AI615</f>
        <v>51.5</v>
      </c>
      <c r="AJ610" s="310">
        <f t="shared" si="968"/>
        <v>116.5</v>
      </c>
      <c r="AK610" s="310">
        <f t="shared" si="968"/>
        <v>-142.5</v>
      </c>
      <c r="AL610" s="311">
        <f>IF((AL609+AK615)&gt;=AK617,-AK617,-(AK615+AL609))+AL615</f>
        <v>129.5</v>
      </c>
      <c r="AM610" s="285">
        <f>SUM(AI610:AL610)</f>
        <v>155</v>
      </c>
      <c r="AN610" s="309">
        <f t="shared" ref="AN610:AP610" si="969">IF((AN609+AM615)&gt;=AM617,-AM617,-(AM615+AN609))+AN615</f>
        <v>-52</v>
      </c>
      <c r="AO610" s="310">
        <f t="shared" si="969"/>
        <v>110.5</v>
      </c>
      <c r="AP610" s="310">
        <f t="shared" si="969"/>
        <v>9.5</v>
      </c>
      <c r="AQ610" s="311">
        <f>IF((AQ609+AP615)&gt;=AP617,-AP617,-(AP615+AQ609))+AQ615</f>
        <v>5976.5</v>
      </c>
      <c r="AR610" s="285">
        <f>SUM(AN610:AQ610)</f>
        <v>6044.5</v>
      </c>
      <c r="AS610" s="309">
        <f t="shared" ref="AS610:AU610" si="970">IF((AS609+AR615)&gt;=AR617,-AR617,-(AR615+AS609))+AS615</f>
        <v>243.77500000000001</v>
      </c>
      <c r="AT610" s="310">
        <f t="shared" si="970"/>
        <v>249.34560400000001</v>
      </c>
      <c r="AU610" s="310">
        <f t="shared" si="970"/>
        <v>150.86000000000001</v>
      </c>
      <c r="AV610" s="2306">
        <f>IF((AV609+AU615)&gt;=AU617,-AU617,-(AU615+AV609))</f>
        <v>2381.25</v>
      </c>
      <c r="AW610" s="2307">
        <f>SUM(AS610:AV610)</f>
        <v>3025.2306040000003</v>
      </c>
      <c r="AX610" s="309">
        <f>IF((AX609+AW615)&gt;=AW617,-AW617,-(AW615+AX609))</f>
        <v>-41.887668265392605</v>
      </c>
      <c r="AY610" s="310">
        <f>IF((AY609+AX615)&gt;=AX617,-AX617,-(AX615+AY609))</f>
        <v>141.22114037223545</v>
      </c>
      <c r="AZ610" s="310">
        <f>IF((AZ609+AY615)&gt;=AY617,-AY617,-(AY615+AZ609))</f>
        <v>43.771483165386485</v>
      </c>
      <c r="BA610" s="311">
        <f>IF((BA609+AZ615)&gt;=AZ617,-AZ617,-(AZ615+BA609))</f>
        <v>12.056260440728131</v>
      </c>
      <c r="BB610" s="285">
        <f>SUM(AX610:BA610)</f>
        <v>155.16121571295747</v>
      </c>
      <c r="BC610" s="309">
        <f>IF((BC609+BB615)&gt;=BB617,-BB617,-(BB615+BC609))</f>
        <v>79.185592604608701</v>
      </c>
      <c r="BD610" s="310">
        <f>IF((BD609+BC615)&gt;=BC617,-BC617,-(BC615+BD609))</f>
        <v>179.20395557566036</v>
      </c>
      <c r="BE610" s="310">
        <f>IF((BE609+BD615)&gt;=BD617,-BD617,-(BD615+BE609))</f>
        <v>89.164553502016503</v>
      </c>
      <c r="BF610" s="311">
        <f>IF((BF609+BE615)&gt;=BE617,-BE617,-(BE615+BF609))</f>
        <v>261.3688562066589</v>
      </c>
      <c r="BG610" s="285">
        <f>SUM(BC610:BF610)</f>
        <v>608.92295788894444</v>
      </c>
      <c r="BH610" s="309">
        <f>IF((BH609+BG615)&gt;=BG617,-BG617,-(BG615+BH609))</f>
        <v>39.283415125634548</v>
      </c>
      <c r="BI610" s="310">
        <f>IF((BI609+BH615)&gt;=BH617,-BH617,-(BH615+BI609))</f>
        <v>47.4824716788562</v>
      </c>
      <c r="BJ610" s="310">
        <f>IF((BJ609+BI615)&gt;=BI617,-BI617,-(BI615+BJ609))</f>
        <v>-29.753296341440461</v>
      </c>
      <c r="BK610" s="311">
        <f>IF((BK609+BJ615)&gt;=BJ617,-BJ617,-(BJ615+BK609))</f>
        <v>58.229087954230977</v>
      </c>
      <c r="BL610" s="285">
        <f>SUM(BH610:BK610)</f>
        <v>115.24167841728126</v>
      </c>
      <c r="BM610" s="309">
        <f>IF((BM609+BL615)&gt;=BL617,-BL617,-(BL615+BM609))</f>
        <v>9.2575805449460233</v>
      </c>
      <c r="BN610" s="310">
        <f>IF((BN609+BM615)&gt;=BM617,-BM617,-(BM615+BN609))</f>
        <v>31.658075559790916</v>
      </c>
      <c r="BO610" s="310">
        <f>IF((BO609+BN615)&gt;=BN617,-BN617,-(BN615+BO609))</f>
        <v>-143.04891653805234</v>
      </c>
      <c r="BP610" s="311">
        <f>IF((BP609+BO615)&gt;=BO617,-BO617,-(BO615+BP609))</f>
        <v>9.221206756635496</v>
      </c>
      <c r="BQ610" s="285">
        <f>SUM(BM610:BP610)</f>
        <v>-92.912053676679903</v>
      </c>
      <c r="BR610" s="177"/>
      <c r="BS610" s="177"/>
      <c r="BT610" s="15"/>
      <c r="BU610" s="15"/>
      <c r="BV610" s="15"/>
      <c r="BW610" s="15"/>
      <c r="BX610" s="15"/>
      <c r="BY610" s="15"/>
      <c r="BZ610" s="15"/>
      <c r="CA610" s="15"/>
      <c r="CB610" s="15"/>
      <c r="CC610" s="15"/>
      <c r="CD610" s="15"/>
      <c r="CE610" s="15"/>
      <c r="CF610" s="15"/>
    </row>
    <row r="611" spans="1:101">
      <c r="A611" s="96"/>
      <c r="B611" s="96"/>
      <c r="C611" s="1237" t="s">
        <v>233</v>
      </c>
      <c r="D611" s="96"/>
      <c r="E611" s="106"/>
      <c r="F611" s="76"/>
      <c r="G611" s="76"/>
      <c r="H611" s="107"/>
      <c r="I611" s="1236"/>
      <c r="J611" s="106"/>
      <c r="K611" s="76"/>
      <c r="L611" s="76"/>
      <c r="M611" s="107"/>
      <c r="N611" s="1236"/>
      <c r="O611" s="106"/>
      <c r="P611" s="76"/>
      <c r="Q611" s="76"/>
      <c r="R611" s="107"/>
      <c r="S611" s="1236">
        <f t="shared" ref="S611:AA611" si="971">+S615</f>
        <v>26.291</v>
      </c>
      <c r="T611" s="106">
        <f t="shared" si="971"/>
        <v>30.396999999999998</v>
      </c>
      <c r="U611" s="76">
        <f t="shared" si="971"/>
        <v>17.765000000000001</v>
      </c>
      <c r="V611" s="76">
        <f t="shared" si="971"/>
        <v>9.4819999999999993</v>
      </c>
      <c r="W611" s="107">
        <f t="shared" si="971"/>
        <v>22.914000000000001</v>
      </c>
      <c r="X611" s="93">
        <f t="shared" si="971"/>
        <v>22.914000000000001</v>
      </c>
      <c r="Y611" s="106">
        <f t="shared" si="971"/>
        <v>11.22</v>
      </c>
      <c r="Z611" s="76">
        <f t="shared" si="971"/>
        <v>13.922000000000001</v>
      </c>
      <c r="AA611" s="76">
        <f t="shared" si="971"/>
        <v>12.537000000000001</v>
      </c>
      <c r="AB611" s="107">
        <f>+AB615</f>
        <v>3.6269999999999998</v>
      </c>
      <c r="AC611" s="93">
        <f>+AB611</f>
        <v>3.6269999999999998</v>
      </c>
      <c r="AD611" s="106">
        <f>+AD615</f>
        <v>3.6139999999999999</v>
      </c>
      <c r="AE611" s="76">
        <f>+AE615</f>
        <v>3.468</v>
      </c>
      <c r="AF611" s="76">
        <f>+AF615</f>
        <v>2</v>
      </c>
      <c r="AG611" s="107">
        <f>+AG615</f>
        <v>4</v>
      </c>
      <c r="AH611" s="93">
        <f>+AG611</f>
        <v>4</v>
      </c>
      <c r="AI611" s="106">
        <f>+AI615</f>
        <v>4</v>
      </c>
      <c r="AJ611" s="76">
        <f>+AJ615</f>
        <v>4</v>
      </c>
      <c r="AK611" s="76">
        <f>+AK615</f>
        <v>4</v>
      </c>
      <c r="AL611" s="107">
        <f>AL610+AK611+AL609</f>
        <v>4</v>
      </c>
      <c r="AM611" s="93">
        <f>+AL611</f>
        <v>4</v>
      </c>
      <c r="AN611" s="106">
        <f>+AN615</f>
        <v>4</v>
      </c>
      <c r="AO611" s="76">
        <f>+AO615</f>
        <v>3</v>
      </c>
      <c r="AP611" s="76">
        <f>+AP615</f>
        <v>3</v>
      </c>
      <c r="AQ611" s="107">
        <f>AQ610+AP611+AQ609</f>
        <v>3</v>
      </c>
      <c r="AR611" s="93">
        <f>+AQ611</f>
        <v>3</v>
      </c>
      <c r="AS611" s="106">
        <f>+AS615</f>
        <v>4</v>
      </c>
      <c r="AT611" s="76">
        <f t="shared" ref="AT611:AU611" si="972">+AT615</f>
        <v>2</v>
      </c>
      <c r="AU611" s="76">
        <f t="shared" si="972"/>
        <v>3</v>
      </c>
      <c r="AV611" s="107">
        <f>AV615</f>
        <v>2</v>
      </c>
      <c r="AW611" s="2312">
        <f>+AV611</f>
        <v>2</v>
      </c>
      <c r="AX611" s="106">
        <f>AX610+AW611+AX609</f>
        <v>0</v>
      </c>
      <c r="AY611" s="76">
        <f>AY610+AX611+AY609</f>
        <v>0</v>
      </c>
      <c r="AZ611" s="76">
        <f>AZ610+AY611+AZ609</f>
        <v>0</v>
      </c>
      <c r="BA611" s="107">
        <f>BA610+AZ611+BA609</f>
        <v>0</v>
      </c>
      <c r="BB611" s="93">
        <f>+BA611</f>
        <v>0</v>
      </c>
      <c r="BC611" s="106">
        <f>BC610+BB611+BC609</f>
        <v>0</v>
      </c>
      <c r="BD611" s="76">
        <f>BD610+BC611+BD609</f>
        <v>0</v>
      </c>
      <c r="BE611" s="76">
        <f>BE610+BD611+BE609</f>
        <v>0</v>
      </c>
      <c r="BF611" s="107">
        <f>BF610+BE611+BF609</f>
        <v>0</v>
      </c>
      <c r="BG611" s="93">
        <f>+BF611</f>
        <v>0</v>
      </c>
      <c r="BH611" s="106">
        <f>BH610+BG611+BH609</f>
        <v>0</v>
      </c>
      <c r="BI611" s="76">
        <f>BI610+BH611+BI609</f>
        <v>0</v>
      </c>
      <c r="BJ611" s="76">
        <f>BJ610+BI611+BJ609</f>
        <v>0</v>
      </c>
      <c r="BK611" s="107">
        <f>BK610+BJ611+BK609</f>
        <v>0</v>
      </c>
      <c r="BL611" s="93">
        <f>+BK611</f>
        <v>0</v>
      </c>
      <c r="BM611" s="106">
        <f>BM610+BL611+BM609</f>
        <v>0</v>
      </c>
      <c r="BN611" s="76">
        <f>BN610+BM611+BN609</f>
        <v>0</v>
      </c>
      <c r="BO611" s="76">
        <f>BO610+BN611+BO609</f>
        <v>0</v>
      </c>
      <c r="BP611" s="107">
        <f>BP610+BO611+BP609</f>
        <v>0</v>
      </c>
      <c r="BQ611" s="93">
        <f>+BP611</f>
        <v>0</v>
      </c>
      <c r="BR611" s="96"/>
      <c r="BS611" s="96"/>
      <c r="BT611" s="15"/>
      <c r="BU611" s="15"/>
      <c r="BV611" s="15"/>
      <c r="BW611" s="15"/>
      <c r="BX611" s="15"/>
      <c r="BY611" s="15"/>
      <c r="BZ611" s="15"/>
      <c r="CA611" s="15"/>
      <c r="CB611" s="15"/>
      <c r="CC611" s="15"/>
      <c r="CD611" s="15"/>
      <c r="CE611" s="15"/>
      <c r="CF611" s="15"/>
      <c r="CI611" s="93"/>
      <c r="CJ611" s="93"/>
      <c r="CK611" s="93"/>
      <c r="CL611" s="93"/>
      <c r="CM611" s="93"/>
      <c r="CN611" s="93"/>
      <c r="CO611" s="93"/>
      <c r="CP611" s="93"/>
      <c r="CQ611" s="93"/>
      <c r="CR611" s="93"/>
      <c r="CS611" s="93"/>
      <c r="CT611" s="93"/>
      <c r="CU611" s="93"/>
      <c r="CV611" s="93"/>
      <c r="CW611" s="93"/>
    </row>
    <row r="612" spans="1:101">
      <c r="A612" s="139"/>
      <c r="B612" s="139"/>
      <c r="C612" s="1187"/>
      <c r="E612" s="288"/>
      <c r="F612" s="289"/>
      <c r="G612" s="289"/>
      <c r="H612" s="299"/>
      <c r="I612" s="291"/>
      <c r="J612" s="288"/>
      <c r="K612" s="289"/>
      <c r="L612" s="289"/>
      <c r="M612" s="299"/>
      <c r="N612" s="285"/>
      <c r="O612" s="288"/>
      <c r="P612" s="289"/>
      <c r="Q612" s="289"/>
      <c r="R612" s="299"/>
      <c r="S612" s="285"/>
      <c r="T612" s="133"/>
      <c r="U612" s="134"/>
      <c r="V612" s="134"/>
      <c r="W612" s="135"/>
      <c r="X612" s="178"/>
      <c r="Y612" s="133"/>
      <c r="Z612" s="134"/>
      <c r="AA612" s="134"/>
      <c r="AB612" s="135"/>
      <c r="AC612" s="178"/>
      <c r="AD612" s="133"/>
      <c r="AE612" s="134"/>
      <c r="AF612" s="134"/>
      <c r="AG612" s="135"/>
      <c r="AH612" s="178"/>
      <c r="AI612" s="133"/>
      <c r="AJ612" s="134"/>
      <c r="AK612" s="134"/>
      <c r="AL612" s="135"/>
      <c r="AM612" s="178"/>
      <c r="AN612" s="133"/>
      <c r="AO612" s="134"/>
      <c r="AP612" s="134"/>
      <c r="AQ612" s="135"/>
      <c r="AR612" s="178"/>
      <c r="AS612" s="133"/>
      <c r="AT612" s="134"/>
      <c r="AU612" s="134"/>
      <c r="AV612" s="135"/>
      <c r="AW612" s="178"/>
      <c r="AX612" s="133"/>
      <c r="AY612" s="134"/>
      <c r="AZ612" s="134"/>
      <c r="BA612" s="135"/>
      <c r="BB612" s="178"/>
      <c r="BC612" s="133"/>
      <c r="BD612" s="134"/>
      <c r="BE612" s="134"/>
      <c r="BF612" s="135"/>
      <c r="BG612" s="178"/>
      <c r="BH612" s="133"/>
      <c r="BI612" s="134"/>
      <c r="BJ612" s="134"/>
      <c r="BK612" s="135"/>
      <c r="BL612" s="178"/>
      <c r="BM612" s="133"/>
      <c r="BN612" s="134"/>
      <c r="BO612" s="134"/>
      <c r="BP612" s="135"/>
      <c r="BQ612" s="178"/>
      <c r="BT612" s="15"/>
      <c r="BU612" s="15"/>
      <c r="BV612" s="15"/>
      <c r="BW612" s="15"/>
      <c r="BX612" s="15"/>
      <c r="BY612" s="15"/>
      <c r="BZ612" s="15"/>
      <c r="CA612" s="15"/>
      <c r="CB612" s="15"/>
      <c r="CC612" s="15"/>
      <c r="CD612" s="15"/>
      <c r="CE612" s="15"/>
      <c r="CF612" s="15"/>
    </row>
    <row r="613" spans="1:101">
      <c r="A613" s="139"/>
      <c r="B613" s="139"/>
      <c r="C613" s="1187"/>
      <c r="E613" s="288"/>
      <c r="F613" s="289"/>
      <c r="G613" s="289"/>
      <c r="H613" s="299"/>
      <c r="I613" s="291"/>
      <c r="J613" s="288"/>
      <c r="K613" s="289"/>
      <c r="L613" s="289"/>
      <c r="M613" s="299"/>
      <c r="N613" s="285"/>
      <c r="O613" s="288"/>
      <c r="P613" s="289"/>
      <c r="Q613" s="289"/>
      <c r="R613" s="299"/>
      <c r="S613" s="285"/>
      <c r="T613" s="133"/>
      <c r="U613" s="134"/>
      <c r="V613" s="134"/>
      <c r="W613" s="135"/>
      <c r="X613" s="178"/>
      <c r="Y613" s="133"/>
      <c r="Z613" s="134"/>
      <c r="AA613" s="134"/>
      <c r="AB613" s="135"/>
      <c r="AC613" s="178"/>
      <c r="AD613" s="133"/>
      <c r="AE613" s="134"/>
      <c r="AF613" s="134"/>
      <c r="AG613" s="135"/>
      <c r="AH613" s="178"/>
      <c r="AI613" s="133"/>
      <c r="AJ613" s="134"/>
      <c r="AK613" s="134"/>
      <c r="AL613" s="135"/>
      <c r="AM613" s="178"/>
      <c r="AN613" s="133"/>
      <c r="AO613" s="134"/>
      <c r="AP613" s="134"/>
      <c r="AQ613" s="135"/>
      <c r="AR613" s="178"/>
      <c r="AS613" s="133"/>
      <c r="AT613" s="134"/>
      <c r="AU613" s="134"/>
      <c r="AV613" s="135"/>
      <c r="AW613" s="178"/>
      <c r="AX613" s="133"/>
      <c r="AY613" s="134"/>
      <c r="AZ613" s="134"/>
      <c r="BA613" s="135"/>
      <c r="BB613" s="178"/>
      <c r="BC613" s="133"/>
      <c r="BD613" s="134"/>
      <c r="BE613" s="134"/>
      <c r="BF613" s="135"/>
      <c r="BG613" s="178"/>
      <c r="BH613" s="133"/>
      <c r="BI613" s="134"/>
      <c r="BJ613" s="134"/>
      <c r="BK613" s="135"/>
      <c r="BL613" s="178"/>
      <c r="BM613" s="133"/>
      <c r="BN613" s="134"/>
      <c r="BO613" s="134"/>
      <c r="BP613" s="135"/>
      <c r="BQ613" s="178"/>
      <c r="BT613" s="15"/>
      <c r="BU613" s="15"/>
      <c r="BV613" s="15"/>
      <c r="BW613" s="15"/>
      <c r="BX613" s="15"/>
      <c r="BY613" s="15"/>
      <c r="BZ613" s="15"/>
      <c r="CA613" s="15"/>
      <c r="CB613" s="15"/>
      <c r="CC613" s="15"/>
      <c r="CD613" s="15"/>
      <c r="CE613" s="15"/>
      <c r="CF613" s="15"/>
    </row>
    <row r="614" spans="1:101">
      <c r="A614" s="139"/>
      <c r="B614" s="671" t="s">
        <v>404</v>
      </c>
      <c r="C614" s="1185"/>
      <c r="D614" s="11"/>
      <c r="E614" s="288"/>
      <c r="F614" s="289"/>
      <c r="G614" s="289"/>
      <c r="H614" s="299"/>
      <c r="I614" s="291"/>
      <c r="J614" s="288"/>
      <c r="K614" s="289"/>
      <c r="L614" s="289"/>
      <c r="M614" s="299"/>
      <c r="N614" s="300"/>
      <c r="O614" s="288"/>
      <c r="P614" s="289"/>
      <c r="Q614" s="289"/>
      <c r="R614" s="299"/>
      <c r="S614" s="300"/>
      <c r="T614" s="133"/>
      <c r="U614" s="134"/>
      <c r="V614" s="134"/>
      <c r="W614" s="135"/>
      <c r="X614" s="178"/>
      <c r="Y614" s="133"/>
      <c r="Z614" s="134"/>
      <c r="AA614" s="134"/>
      <c r="AB614" s="135"/>
      <c r="AC614" s="178"/>
      <c r="AD614" s="133"/>
      <c r="AE614" s="134"/>
      <c r="AF614" s="134"/>
      <c r="AG614" s="135"/>
      <c r="AH614" s="178"/>
      <c r="AI614" s="133"/>
      <c r="AJ614" s="134"/>
      <c r="AK614" s="134"/>
      <c r="AL614" s="135"/>
      <c r="AM614" s="178"/>
      <c r="AN614" s="133"/>
      <c r="AO614" s="134"/>
      <c r="AP614" s="134"/>
      <c r="AQ614" s="135"/>
      <c r="AR614" s="178"/>
      <c r="AS614" s="133"/>
      <c r="AT614" s="134"/>
      <c r="AU614" s="134"/>
      <c r="AV614" s="135"/>
      <c r="AW614" s="178"/>
      <c r="AX614" s="133"/>
      <c r="AY614" s="134"/>
      <c r="AZ614" s="134"/>
      <c r="BA614" s="135"/>
      <c r="BB614" s="178"/>
      <c r="BC614" s="133"/>
      <c r="BD614" s="134"/>
      <c r="BE614" s="134"/>
      <c r="BF614" s="135"/>
      <c r="BG614" s="178"/>
      <c r="BH614" s="133"/>
      <c r="BI614" s="134"/>
      <c r="BJ614" s="134"/>
      <c r="BK614" s="135"/>
      <c r="BL614" s="178"/>
      <c r="BM614" s="133"/>
      <c r="BN614" s="134"/>
      <c r="BO614" s="134"/>
      <c r="BP614" s="135"/>
      <c r="BQ614" s="178"/>
      <c r="BT614" s="15"/>
      <c r="BU614" s="15"/>
      <c r="BV614" s="15"/>
      <c r="BW614" s="15"/>
      <c r="BX614" s="15"/>
      <c r="BY614" s="15"/>
      <c r="BZ614" s="15"/>
      <c r="CA614" s="15"/>
      <c r="CB614" s="15"/>
      <c r="CC614" s="15"/>
      <c r="CD614" s="15"/>
      <c r="CE614" s="15"/>
      <c r="CF614" s="15"/>
    </row>
    <row r="615" spans="1:101" s="81" customFormat="1">
      <c r="A615" s="202"/>
      <c r="B615" s="96"/>
      <c r="C615" s="1198" t="s">
        <v>405</v>
      </c>
      <c r="E615" s="288"/>
      <c r="F615" s="289"/>
      <c r="G615" s="289"/>
      <c r="H615" s="299"/>
      <c r="I615" s="291"/>
      <c r="J615" s="288"/>
      <c r="K615" s="289"/>
      <c r="L615" s="289"/>
      <c r="M615" s="290">
        <f>N615</f>
        <v>9</v>
      </c>
      <c r="N615" s="300">
        <f>9</f>
        <v>9</v>
      </c>
      <c r="O615" s="288">
        <f>6.839+22.35</f>
        <v>29.189</v>
      </c>
      <c r="P615" s="289">
        <f>6+19.477</f>
        <v>25.477</v>
      </c>
      <c r="Q615" s="289">
        <f>6+18.083</f>
        <v>24.082999999999998</v>
      </c>
      <c r="R615" s="290">
        <f>S615</f>
        <v>26.291</v>
      </c>
      <c r="S615" s="300">
        <f>7+19.291</f>
        <v>26.291</v>
      </c>
      <c r="T615" s="288">
        <f>7+23.397</f>
        <v>30.396999999999998</v>
      </c>
      <c r="U615" s="289">
        <f>7+10.765</f>
        <v>17.765000000000001</v>
      </c>
      <c r="V615" s="289">
        <f>3+6.482</f>
        <v>9.4819999999999993</v>
      </c>
      <c r="W615" s="290">
        <f>X615</f>
        <v>22.914000000000001</v>
      </c>
      <c r="X615" s="300">
        <f>3+19.914</f>
        <v>22.914000000000001</v>
      </c>
      <c r="Y615" s="288">
        <f>3+8.22</f>
        <v>11.22</v>
      </c>
      <c r="Z615" s="302">
        <f>2+11.922</f>
        <v>13.922000000000001</v>
      </c>
      <c r="AA615" s="302">
        <f>2+10.537</f>
        <v>12.537000000000001</v>
      </c>
      <c r="AB615" s="290">
        <f>AC615</f>
        <v>3.6269999999999998</v>
      </c>
      <c r="AC615" s="300">
        <f>2+1.627</f>
        <v>3.6269999999999998</v>
      </c>
      <c r="AD615" s="288">
        <f>2+1.614</f>
        <v>3.6139999999999999</v>
      </c>
      <c r="AE615" s="302">
        <f>2+1.468</f>
        <v>3.468</v>
      </c>
      <c r="AF615" s="302">
        <f>2</f>
        <v>2</v>
      </c>
      <c r="AG615" s="290">
        <f>AH615</f>
        <v>4</v>
      </c>
      <c r="AH615" s="300">
        <f>2+2</f>
        <v>4</v>
      </c>
      <c r="AI615" s="288">
        <f>2+2</f>
        <v>4</v>
      </c>
      <c r="AJ615" s="302">
        <f>2+2</f>
        <v>4</v>
      </c>
      <c r="AK615" s="302">
        <f>2+2</f>
        <v>4</v>
      </c>
      <c r="AL615" s="290">
        <f>AM615</f>
        <v>4</v>
      </c>
      <c r="AM615" s="300">
        <f>2+2</f>
        <v>4</v>
      </c>
      <c r="AN615" s="288">
        <f>2+2</f>
        <v>4</v>
      </c>
      <c r="AO615" s="302">
        <f>2+1</f>
        <v>3</v>
      </c>
      <c r="AP615" s="302">
        <f>2+1</f>
        <v>3</v>
      </c>
      <c r="AQ615" s="290">
        <f>AR615</f>
        <v>3</v>
      </c>
      <c r="AR615" s="300">
        <f>2+1</f>
        <v>3</v>
      </c>
      <c r="AS615" s="288">
        <f>2+2</f>
        <v>4</v>
      </c>
      <c r="AT615" s="289">
        <f>2+0</f>
        <v>2</v>
      </c>
      <c r="AU615" s="289">
        <f>2+1</f>
        <v>3</v>
      </c>
      <c r="AV615" s="290">
        <f>AW615</f>
        <v>2</v>
      </c>
      <c r="AW615" s="300">
        <f>1+1</f>
        <v>2</v>
      </c>
      <c r="AX615" s="316">
        <f>AW615+AX609+AX610</f>
        <v>0</v>
      </c>
      <c r="AY615" s="312">
        <f>AX615+AY609+AY610</f>
        <v>0</v>
      </c>
      <c r="AZ615" s="312">
        <f>AY615+AZ609+AZ610</f>
        <v>0</v>
      </c>
      <c r="BA615" s="317">
        <f>AZ615+BA609+BA610</f>
        <v>0</v>
      </c>
      <c r="BB615" s="315">
        <f>BA615</f>
        <v>0</v>
      </c>
      <c r="BC615" s="316">
        <f>BB615+BC609+BC610</f>
        <v>0</v>
      </c>
      <c r="BD615" s="312">
        <f>BC615+BD609+BD610</f>
        <v>0</v>
      </c>
      <c r="BE615" s="312">
        <f>BD615+BE609+BE610</f>
        <v>0</v>
      </c>
      <c r="BF615" s="317">
        <f>BE615+BF609+BF610</f>
        <v>0</v>
      </c>
      <c r="BG615" s="315">
        <f>BF615</f>
        <v>0</v>
      </c>
      <c r="BH615" s="316">
        <f>BG615+BH609+BH610</f>
        <v>0</v>
      </c>
      <c r="BI615" s="312">
        <f>BH615+BI609+BI610</f>
        <v>0</v>
      </c>
      <c r="BJ615" s="312">
        <f>BI615+BJ609+BJ610</f>
        <v>0</v>
      </c>
      <c r="BK615" s="317">
        <f>BJ615+BK609+BK610</f>
        <v>0</v>
      </c>
      <c r="BL615" s="315">
        <f>BK615</f>
        <v>0</v>
      </c>
      <c r="BM615" s="316">
        <f>BL615+BM609+BM610</f>
        <v>0</v>
      </c>
      <c r="BN615" s="312">
        <f>BM615+BN609+BN610</f>
        <v>0</v>
      </c>
      <c r="BO615" s="312">
        <f>BN615+BO609+BO610</f>
        <v>0</v>
      </c>
      <c r="BP615" s="317">
        <f>BO615+BP609+BP610</f>
        <v>0</v>
      </c>
      <c r="BQ615" s="315">
        <f>BP615</f>
        <v>0</v>
      </c>
      <c r="BR615" s="221"/>
      <c r="BS615" s="221"/>
      <c r="BT615" s="15"/>
      <c r="BU615" s="15"/>
      <c r="BV615" s="15"/>
      <c r="BW615" s="15"/>
      <c r="BX615" s="15"/>
      <c r="BY615" s="15"/>
      <c r="BZ615" s="15"/>
      <c r="CA615" s="15"/>
      <c r="CB615" s="15"/>
      <c r="CC615" s="15"/>
      <c r="CD615" s="15"/>
      <c r="CE615" s="15"/>
      <c r="CF615" s="15"/>
      <c r="CG615"/>
      <c r="CH615"/>
    </row>
    <row r="616" spans="1:101">
      <c r="A616" s="139"/>
      <c r="B616" s="96"/>
      <c r="C616" s="1198"/>
      <c r="E616" s="288"/>
      <c r="F616" s="289"/>
      <c r="G616" s="289"/>
      <c r="H616" s="299"/>
      <c r="I616" s="291"/>
      <c r="J616" s="288"/>
      <c r="K616" s="289"/>
      <c r="L616" s="289"/>
      <c r="M616" s="299"/>
      <c r="N616" s="300"/>
      <c r="O616" s="288"/>
      <c r="P616" s="289"/>
      <c r="Q616" s="289"/>
      <c r="R616" s="299"/>
      <c r="S616" s="300"/>
      <c r="T616" s="288"/>
      <c r="U616" s="289"/>
      <c r="V616" s="289"/>
      <c r="W616" s="299"/>
      <c r="X616" s="300"/>
      <c r="Y616" s="288"/>
      <c r="Z616" s="302"/>
      <c r="AA616" s="302"/>
      <c r="AB616" s="299"/>
      <c r="AC616" s="300"/>
      <c r="AD616" s="288"/>
      <c r="AE616" s="302"/>
      <c r="AF616" s="302"/>
      <c r="AG616" s="299"/>
      <c r="AH616" s="300"/>
      <c r="AI616" s="288"/>
      <c r="AJ616" s="302"/>
      <c r="AK616" s="302"/>
      <c r="AL616" s="299"/>
      <c r="AM616" s="300"/>
      <c r="AN616" s="288"/>
      <c r="AO616" s="302"/>
      <c r="AP616" s="302"/>
      <c r="AQ616" s="299"/>
      <c r="AR616" s="300"/>
      <c r="AS616" s="288"/>
      <c r="AT616" s="289"/>
      <c r="AU616" s="289"/>
      <c r="AV616" s="299"/>
      <c r="AW616" s="300"/>
      <c r="AX616" s="316"/>
      <c r="AY616" s="312"/>
      <c r="AZ616" s="312"/>
      <c r="BA616" s="317"/>
      <c r="BB616" s="315"/>
      <c r="BC616" s="316"/>
      <c r="BD616" s="312"/>
      <c r="BE616" s="312"/>
      <c r="BF616" s="317"/>
      <c r="BG616" s="315"/>
      <c r="BH616" s="316"/>
      <c r="BI616" s="312"/>
      <c r="BJ616" s="312"/>
      <c r="BK616" s="317"/>
      <c r="BL616" s="315"/>
      <c r="BM616" s="316"/>
      <c r="BN616" s="312"/>
      <c r="BO616" s="312"/>
      <c r="BP616" s="317"/>
      <c r="BQ616" s="315"/>
      <c r="BT616" s="15"/>
      <c r="BU616" s="15"/>
      <c r="BV616" s="15"/>
      <c r="BW616" s="15"/>
      <c r="BX616" s="15"/>
      <c r="BY616" s="15"/>
      <c r="BZ616" s="15"/>
      <c r="CA616" s="15"/>
      <c r="CB616" s="15"/>
      <c r="CC616" s="15"/>
      <c r="CD616" s="15"/>
      <c r="CE616" s="15"/>
      <c r="CF616" s="15"/>
    </row>
    <row r="617" spans="1:101" s="81" customFormat="1">
      <c r="A617" s="202"/>
      <c r="B617" s="96"/>
      <c r="C617" s="1198" t="s">
        <v>406</v>
      </c>
      <c r="E617" s="288"/>
      <c r="F617" s="289"/>
      <c r="G617" s="289"/>
      <c r="H617" s="299"/>
      <c r="I617" s="291"/>
      <c r="J617" s="288"/>
      <c r="K617" s="289"/>
      <c r="L617" s="289"/>
      <c r="M617" s="290">
        <f>N617</f>
        <v>12</v>
      </c>
      <c r="N617" s="300">
        <v>12</v>
      </c>
      <c r="O617" s="288">
        <f>360.543+0.661</f>
        <v>361.20400000000001</v>
      </c>
      <c r="P617" s="289">
        <f>541+1</f>
        <v>542</v>
      </c>
      <c r="Q617" s="289">
        <f>0</f>
        <v>0</v>
      </c>
      <c r="R617" s="290">
        <f>S617</f>
        <v>0</v>
      </c>
      <c r="S617" s="300">
        <v>0</v>
      </c>
      <c r="T617" s="288">
        <v>0</v>
      </c>
      <c r="U617" s="289">
        <v>277.065</v>
      </c>
      <c r="V617" s="289">
        <v>59.41</v>
      </c>
      <c r="W617" s="290">
        <f>X617</f>
        <v>111.506</v>
      </c>
      <c r="X617" s="300">
        <v>111.506</v>
      </c>
      <c r="Y617" s="288">
        <f>402.373+702+4</f>
        <v>1108.373</v>
      </c>
      <c r="Z617" s="302">
        <f>4+376.721</f>
        <v>380.721</v>
      </c>
      <c r="AA617" s="302">
        <f>4+222.478</f>
        <v>226.47800000000001</v>
      </c>
      <c r="AB617" s="290">
        <f>AC617</f>
        <v>470.99200000000002</v>
      </c>
      <c r="AC617" s="300">
        <f>431+4+35.992</f>
        <v>470.99200000000002</v>
      </c>
      <c r="AD617" s="288">
        <f>35.863+555</f>
        <v>590.86300000000006</v>
      </c>
      <c r="AE617" s="302">
        <f>68.663+308</f>
        <v>376.66300000000001</v>
      </c>
      <c r="AF617" s="302">
        <v>21</v>
      </c>
      <c r="AG617" s="290">
        <f>AH617</f>
        <v>208</v>
      </c>
      <c r="AH617" s="300">
        <f>35+99+74</f>
        <v>208</v>
      </c>
      <c r="AI617" s="288">
        <f>284+4</f>
        <v>288</v>
      </c>
      <c r="AJ617" s="302">
        <f>258+48</f>
        <v>306</v>
      </c>
      <c r="AK617" s="302">
        <f>21+17+8</f>
        <v>46</v>
      </c>
      <c r="AL617" s="290">
        <f>AM617</f>
        <v>56</v>
      </c>
      <c r="AM617" s="300">
        <f>8+48</f>
        <v>56</v>
      </c>
      <c r="AN617" s="288">
        <f>49+40</f>
        <v>89</v>
      </c>
      <c r="AO617" s="302">
        <f>210+57</f>
        <v>267</v>
      </c>
      <c r="AP617" s="302">
        <f>101+81</f>
        <v>182</v>
      </c>
      <c r="AQ617" s="290">
        <f>AR617</f>
        <v>125</v>
      </c>
      <c r="AR617" s="300">
        <f>101+24</f>
        <v>125</v>
      </c>
      <c r="AS617" s="288">
        <f>16+114</f>
        <v>130</v>
      </c>
      <c r="AT617" s="289">
        <f>275+11</f>
        <v>286</v>
      </c>
      <c r="AU617" s="289">
        <f>186+9</f>
        <v>195</v>
      </c>
      <c r="AV617" s="290">
        <f>AW617</f>
        <v>137</v>
      </c>
      <c r="AW617" s="300">
        <f>32+105</f>
        <v>137</v>
      </c>
      <c r="AX617" s="316">
        <f>AW617+AX610</f>
        <v>95.112331734607395</v>
      </c>
      <c r="AY617" s="312">
        <f>AX617+AY610</f>
        <v>236.33347210684286</v>
      </c>
      <c r="AZ617" s="312">
        <f>AY617+AZ610</f>
        <v>280.10495527222935</v>
      </c>
      <c r="BA617" s="317">
        <f>AZ617+BA610</f>
        <v>292.16121571295747</v>
      </c>
      <c r="BB617" s="315">
        <f>BA617</f>
        <v>292.16121571295747</v>
      </c>
      <c r="BC617" s="316">
        <f>BB617+BC610</f>
        <v>371.34680831756617</v>
      </c>
      <c r="BD617" s="312">
        <f>BC617+BD610</f>
        <v>550.55076389322653</v>
      </c>
      <c r="BE617" s="312">
        <f>BD617+BE610</f>
        <v>639.71531739524301</v>
      </c>
      <c r="BF617" s="317">
        <f>BE617+BF610</f>
        <v>901.08417360190197</v>
      </c>
      <c r="BG617" s="315">
        <f>BF617</f>
        <v>901.08417360190197</v>
      </c>
      <c r="BH617" s="316">
        <f>BG617+BH610</f>
        <v>940.36758872753649</v>
      </c>
      <c r="BI617" s="312">
        <f>BH617+BI610</f>
        <v>987.85006040639269</v>
      </c>
      <c r="BJ617" s="312">
        <f>BI617+BJ610</f>
        <v>958.09676406495225</v>
      </c>
      <c r="BK617" s="317">
        <f>BJ617+BK610</f>
        <v>1016.3258520191832</v>
      </c>
      <c r="BL617" s="315">
        <f>BK617</f>
        <v>1016.3258520191832</v>
      </c>
      <c r="BM617" s="316">
        <f>BL617+BM610</f>
        <v>1025.5834325641292</v>
      </c>
      <c r="BN617" s="312">
        <f>BM617+BN610</f>
        <v>1057.2415081239201</v>
      </c>
      <c r="BO617" s="312">
        <f>BN617+BO610</f>
        <v>914.19259158586772</v>
      </c>
      <c r="BP617" s="317">
        <f>BO617+BP610</f>
        <v>923.41379834250324</v>
      </c>
      <c r="BQ617" s="315">
        <f>BP617</f>
        <v>923.41379834250324</v>
      </c>
      <c r="BR617" s="221"/>
      <c r="BS617" s="221"/>
      <c r="BT617" s="15"/>
      <c r="BU617" s="15"/>
      <c r="BV617" s="15"/>
      <c r="BW617" s="15"/>
      <c r="BX617" s="15"/>
      <c r="BY617" s="15"/>
      <c r="BZ617" s="15"/>
      <c r="CA617" s="15"/>
      <c r="CB617" s="15"/>
      <c r="CC617" s="15"/>
      <c r="CD617" s="15"/>
      <c r="CE617" s="15"/>
      <c r="CF617" s="15"/>
      <c r="CG617"/>
      <c r="CH617"/>
    </row>
    <row r="618" spans="1:101" s="81" customFormat="1">
      <c r="A618" s="202"/>
      <c r="B618" s="96"/>
      <c r="C618" s="1198" t="s">
        <v>367</v>
      </c>
      <c r="E618" s="288"/>
      <c r="F618" s="289"/>
      <c r="G618" s="289"/>
      <c r="H618" s="299"/>
      <c r="I618" s="291"/>
      <c r="J618" s="288"/>
      <c r="K618" s="289"/>
      <c r="L618" s="289"/>
      <c r="M618" s="290">
        <f>N618</f>
        <v>4313</v>
      </c>
      <c r="N618" s="300">
        <f>1132+3181</f>
        <v>4313</v>
      </c>
      <c r="O618" s="288">
        <f>986.863+3144.997+0.57+1762.899</f>
        <v>5895.3289999999997</v>
      </c>
      <c r="P618" s="289">
        <f>1088+3000+503.725+1252.291</f>
        <v>5844.0160000000005</v>
      </c>
      <c r="Q618" s="289">
        <f>877+2892+503.278+1193.909</f>
        <v>5466.1869999999999</v>
      </c>
      <c r="R618" s="290">
        <f>S618</f>
        <v>5393.7360000000008</v>
      </c>
      <c r="S618" s="300">
        <f>905+2799+503.336+1186.4</f>
        <v>5393.7360000000008</v>
      </c>
      <c r="T618" s="288">
        <f>905+2797+503.327+1178.978</f>
        <v>5384.3050000000003</v>
      </c>
      <c r="U618" s="289">
        <f>1144+2500+176+1177.758</f>
        <v>4997.7579999999998</v>
      </c>
      <c r="V618" s="289">
        <f>1074+3085+1177.849+0.156</f>
        <v>5337.0050000000001</v>
      </c>
      <c r="W618" s="290">
        <f>X618</f>
        <v>5398.0249999999996</v>
      </c>
      <c r="X618" s="300">
        <f>1102+3118+50.103+1127.922</f>
        <v>5398.0249999999996</v>
      </c>
      <c r="Y618" s="288">
        <f>1516+2226+35.096+835.553</f>
        <v>4612.6490000000003</v>
      </c>
      <c r="Z618" s="302">
        <f>859+2180+25.069+835.7</f>
        <v>3899.7690000000002</v>
      </c>
      <c r="AA618" s="302">
        <f>859+2178+10.065+835.846</f>
        <v>3882.9110000000001</v>
      </c>
      <c r="AB618" s="290">
        <f>AC618</f>
        <v>3612.6929999999998</v>
      </c>
      <c r="AC618" s="300">
        <f>892+2130+0.048+590.645</f>
        <v>3612.6929999999998</v>
      </c>
      <c r="AD618" s="288">
        <f>2551+465+0.048+590.894</f>
        <v>3606.942</v>
      </c>
      <c r="AE618" s="302">
        <f>2721+291+591.133+0.056</f>
        <v>3603.1889999999999</v>
      </c>
      <c r="AF618" s="302">
        <f>2631+535+591.377</f>
        <v>3757.377</v>
      </c>
      <c r="AG618" s="290">
        <f>AH618</f>
        <v>3706</v>
      </c>
      <c r="AH618" s="300">
        <f>506+2608+592</f>
        <v>3706</v>
      </c>
      <c r="AI618" s="288">
        <f>490+2605+592</f>
        <v>3687</v>
      </c>
      <c r="AJ618" s="302">
        <f>683+2359+592</f>
        <v>3634</v>
      </c>
      <c r="AK618" s="302">
        <f>592+2530+537</f>
        <v>3659</v>
      </c>
      <c r="AL618" s="290">
        <f>AM618</f>
        <v>3632</v>
      </c>
      <c r="AM618" s="300">
        <f>512+2527+593</f>
        <v>3632</v>
      </c>
      <c r="AN618" s="288">
        <f>549+2480+593</f>
        <v>3622</v>
      </c>
      <c r="AO618" s="302">
        <f>439+2347+593</f>
        <v>3379</v>
      </c>
      <c r="AP618" s="302">
        <f>182+2815+593</f>
        <v>3590</v>
      </c>
      <c r="AQ618" s="290">
        <f>AR618</f>
        <v>3585</v>
      </c>
      <c r="AR618" s="300">
        <f>178+2813+594</f>
        <v>3585</v>
      </c>
      <c r="AS618" s="288">
        <f>2812+594+150</f>
        <v>3556</v>
      </c>
      <c r="AT618" s="289">
        <f>594+2573+255</f>
        <v>3422</v>
      </c>
      <c r="AU618" s="289">
        <f>594+2559+267</f>
        <v>3420</v>
      </c>
      <c r="AV618" s="290">
        <f>AW618</f>
        <v>3418</v>
      </c>
      <c r="AW618" s="300">
        <f>2299+524+595</f>
        <v>3418</v>
      </c>
      <c r="AX618" s="316">
        <f>AW618+AX603+AX604</f>
        <v>3418</v>
      </c>
      <c r="AY618" s="312">
        <f>AX618+AY603+AY604</f>
        <v>3276.74</v>
      </c>
      <c r="AZ618" s="312">
        <f>AY618+AZ603+AZ604</f>
        <v>3233.74</v>
      </c>
      <c r="BA618" s="317">
        <f>AZ618+BA603+BA604</f>
        <v>3233.74</v>
      </c>
      <c r="BB618" s="315">
        <f>BA618</f>
        <v>3233.74</v>
      </c>
      <c r="BC618" s="316">
        <f>BB618+BC603+BC604</f>
        <v>3233.74</v>
      </c>
      <c r="BD618" s="312">
        <f>BC618+BD603+BD604</f>
        <v>3143.6</v>
      </c>
      <c r="BE618" s="312">
        <f>BD618+BE603+BE604</f>
        <v>3143.6</v>
      </c>
      <c r="BF618" s="317">
        <f>BE618+BF603+BF604</f>
        <v>2988.0679999999998</v>
      </c>
      <c r="BG618" s="315">
        <f>BF618</f>
        <v>2988.0679999999998</v>
      </c>
      <c r="BH618" s="316">
        <f>BG618+BH603+BH604</f>
        <v>2988.0679999999998</v>
      </c>
      <c r="BI618" s="312">
        <f>BH618+BI603+BI604</f>
        <v>2988.0679999999998</v>
      </c>
      <c r="BJ618" s="312">
        <f>BI618+BJ603+BJ604</f>
        <v>3061.0679999999998</v>
      </c>
      <c r="BK618" s="317">
        <f>BJ618+BK603+BK604</f>
        <v>3061.0679999999998</v>
      </c>
      <c r="BL618" s="315">
        <f>BK618</f>
        <v>3061.0679999999998</v>
      </c>
      <c r="BM618" s="316">
        <f>BL618+BM603+BM604</f>
        <v>3061.0679999999998</v>
      </c>
      <c r="BN618" s="312">
        <f>BM618+BN603+BN604</f>
        <v>3061.0679999999998</v>
      </c>
      <c r="BO618" s="312">
        <f>BN618+BO603+BO604</f>
        <v>3228.7629999999999</v>
      </c>
      <c r="BP618" s="317">
        <f>BO618+BP603+BP604</f>
        <v>3228.7629999999999</v>
      </c>
      <c r="BQ618" s="315">
        <f>BP618</f>
        <v>3228.7629999999999</v>
      </c>
      <c r="BR618" s="221"/>
      <c r="BS618" s="221"/>
      <c r="BT618" s="15"/>
      <c r="BU618" s="15"/>
      <c r="BV618" s="15"/>
      <c r="BW618" s="15"/>
      <c r="BX618" s="221"/>
      <c r="BY618" s="15"/>
      <c r="BZ618" s="15"/>
      <c r="CA618" s="15"/>
      <c r="CB618" s="15"/>
      <c r="CC618" s="15"/>
      <c r="CD618" s="15"/>
      <c r="CE618" s="15"/>
      <c r="CF618" s="15"/>
      <c r="CG618"/>
      <c r="CH618"/>
    </row>
    <row r="619" spans="1:101" s="13" customFormat="1">
      <c r="A619" s="136"/>
      <c r="B619" s="93"/>
      <c r="C619" s="1197" t="s">
        <v>32</v>
      </c>
      <c r="E619" s="478"/>
      <c r="F619" s="479"/>
      <c r="G619" s="479"/>
      <c r="H619" s="480"/>
      <c r="I619" s="802"/>
      <c r="J619" s="828"/>
      <c r="K619" s="801"/>
      <c r="L619" s="801"/>
      <c r="M619" s="107">
        <f t="shared" ref="M619:S619" si="973">SUM(M617:M618)</f>
        <v>4325</v>
      </c>
      <c r="N619" s="93">
        <f t="shared" si="973"/>
        <v>4325</v>
      </c>
      <c r="O619" s="106">
        <f t="shared" si="973"/>
        <v>6256.5329999999994</v>
      </c>
      <c r="P619" s="76">
        <f t="shared" si="973"/>
        <v>6386.0160000000005</v>
      </c>
      <c r="Q619" s="76">
        <f t="shared" si="973"/>
        <v>5466.1869999999999</v>
      </c>
      <c r="R619" s="107">
        <f t="shared" si="973"/>
        <v>5393.7360000000008</v>
      </c>
      <c r="S619" s="93">
        <f t="shared" si="973"/>
        <v>5393.7360000000008</v>
      </c>
      <c r="T619" s="106">
        <f t="shared" ref="T619:AF619" si="974">SUM(T617:T618)</f>
        <v>5384.3050000000003</v>
      </c>
      <c r="U619" s="76">
        <f t="shared" si="974"/>
        <v>5274.8229999999994</v>
      </c>
      <c r="V619" s="76">
        <f t="shared" si="974"/>
        <v>5396.415</v>
      </c>
      <c r="W619" s="107">
        <f t="shared" si="974"/>
        <v>5509.5309999999999</v>
      </c>
      <c r="X619" s="93">
        <f t="shared" si="974"/>
        <v>5509.5309999999999</v>
      </c>
      <c r="Y619" s="106">
        <f t="shared" si="974"/>
        <v>5721.0220000000008</v>
      </c>
      <c r="Z619" s="76">
        <f t="shared" si="974"/>
        <v>4280.49</v>
      </c>
      <c r="AA619" s="76">
        <f t="shared" si="974"/>
        <v>4109.3890000000001</v>
      </c>
      <c r="AB619" s="107">
        <f t="shared" si="974"/>
        <v>4083.6849999999999</v>
      </c>
      <c r="AC619" s="93">
        <f t="shared" si="974"/>
        <v>4083.6849999999999</v>
      </c>
      <c r="AD619" s="106">
        <f t="shared" si="974"/>
        <v>4197.8050000000003</v>
      </c>
      <c r="AE619" s="76">
        <f t="shared" si="974"/>
        <v>3979.8519999999999</v>
      </c>
      <c r="AF619" s="76">
        <f t="shared" si="974"/>
        <v>3778.377</v>
      </c>
      <c r="AG619" s="107">
        <f t="shared" ref="AG619:AM619" si="975">SUM(AG617:AG618)</f>
        <v>3914</v>
      </c>
      <c r="AH619" s="93">
        <f t="shared" si="975"/>
        <v>3914</v>
      </c>
      <c r="AI619" s="106">
        <f t="shared" si="975"/>
        <v>3975</v>
      </c>
      <c r="AJ619" s="76">
        <f t="shared" si="975"/>
        <v>3940</v>
      </c>
      <c r="AK619" s="76">
        <f t="shared" si="975"/>
        <v>3705</v>
      </c>
      <c r="AL619" s="107">
        <f t="shared" si="975"/>
        <v>3688</v>
      </c>
      <c r="AM619" s="93">
        <f t="shared" si="975"/>
        <v>3688</v>
      </c>
      <c r="AN619" s="106">
        <f t="shared" ref="AN619:AO619" si="976">SUM(AN617:AN618)</f>
        <v>3711</v>
      </c>
      <c r="AO619" s="76">
        <f t="shared" si="976"/>
        <v>3646</v>
      </c>
      <c r="AP619" s="76">
        <f t="shared" ref="AP619:AS619" si="977">SUM(AP617:AP618)</f>
        <v>3772</v>
      </c>
      <c r="AQ619" s="107">
        <f t="shared" si="977"/>
        <v>3710</v>
      </c>
      <c r="AR619" s="93">
        <f t="shared" si="977"/>
        <v>3710</v>
      </c>
      <c r="AS619" s="106">
        <f t="shared" si="977"/>
        <v>3686</v>
      </c>
      <c r="AT619" s="76">
        <f t="shared" ref="AT619:BB619" si="978">SUM(AT617:AT618)</f>
        <v>3708</v>
      </c>
      <c r="AU619" s="76">
        <f t="shared" ref="AU619:AW619" si="979">SUM(AU617:AU618)</f>
        <v>3615</v>
      </c>
      <c r="AV619" s="107">
        <f t="shared" si="979"/>
        <v>3555</v>
      </c>
      <c r="AW619" s="93">
        <f t="shared" si="979"/>
        <v>3555</v>
      </c>
      <c r="AX619" s="106">
        <f t="shared" si="978"/>
        <v>3513.1123317346073</v>
      </c>
      <c r="AY619" s="76">
        <f t="shared" si="978"/>
        <v>3513.0734721068425</v>
      </c>
      <c r="AZ619" s="76">
        <f t="shared" si="978"/>
        <v>3513.8449552722291</v>
      </c>
      <c r="BA619" s="107">
        <f t="shared" si="978"/>
        <v>3525.9012157129573</v>
      </c>
      <c r="BB619" s="93">
        <f t="shared" si="978"/>
        <v>3525.9012157129573</v>
      </c>
      <c r="BC619" s="106">
        <f t="shared" ref="BC619:BL619" si="980">SUM(BC617:BC618)</f>
        <v>3605.086808317566</v>
      </c>
      <c r="BD619" s="76">
        <f t="shared" si="980"/>
        <v>3694.1507638932262</v>
      </c>
      <c r="BE619" s="76">
        <f t="shared" si="980"/>
        <v>3783.3153173952428</v>
      </c>
      <c r="BF619" s="107">
        <f t="shared" si="980"/>
        <v>3889.1521736019017</v>
      </c>
      <c r="BG619" s="93">
        <f t="shared" si="980"/>
        <v>3889.1521736019017</v>
      </c>
      <c r="BH619" s="106">
        <f t="shared" si="980"/>
        <v>3928.435588727536</v>
      </c>
      <c r="BI619" s="76">
        <f t="shared" si="980"/>
        <v>3975.9180604063922</v>
      </c>
      <c r="BJ619" s="76">
        <f t="shared" si="980"/>
        <v>4019.1647640649521</v>
      </c>
      <c r="BK619" s="107">
        <f t="shared" si="980"/>
        <v>4077.3938520191832</v>
      </c>
      <c r="BL619" s="93">
        <f t="shared" si="980"/>
        <v>4077.3938520191832</v>
      </c>
      <c r="BM619" s="106">
        <f t="shared" ref="BM619:BQ619" si="981">SUM(BM617:BM618)</f>
        <v>4086.6514325641292</v>
      </c>
      <c r="BN619" s="76">
        <f t="shared" si="981"/>
        <v>4118.3095081239198</v>
      </c>
      <c r="BO619" s="76">
        <f t="shared" si="981"/>
        <v>4142.9555915858673</v>
      </c>
      <c r="BP619" s="107">
        <f t="shared" si="981"/>
        <v>4152.1767983425034</v>
      </c>
      <c r="BQ619" s="93">
        <f t="shared" si="981"/>
        <v>4152.1767983425034</v>
      </c>
      <c r="BR619" s="136"/>
      <c r="BS619" s="136"/>
      <c r="BT619" s="15"/>
      <c r="BU619" s="15"/>
      <c r="BV619" s="15"/>
      <c r="BW619" s="15"/>
      <c r="BX619" s="15"/>
      <c r="BY619" s="15"/>
      <c r="BZ619" s="15"/>
      <c r="CA619" s="15"/>
      <c r="CB619" s="15"/>
      <c r="CC619" s="15"/>
      <c r="CD619" s="15"/>
      <c r="CE619" s="15"/>
      <c r="CF619" s="15"/>
      <c r="CG619"/>
      <c r="CH619"/>
    </row>
    <row r="620" spans="1:101" s="359" customFormat="1">
      <c r="A620" s="726"/>
      <c r="B620" s="672"/>
      <c r="C620" s="1200" t="s">
        <v>408</v>
      </c>
      <c r="E620" s="723"/>
      <c r="F620" s="724"/>
      <c r="G620" s="724"/>
      <c r="H620" s="725"/>
      <c r="I620" s="672"/>
      <c r="J620" s="723"/>
      <c r="K620" s="724"/>
      <c r="L620" s="724"/>
      <c r="M620" s="725">
        <f t="shared" ref="M620:S620" si="982">M619/M628</f>
        <v>0.544436052366566</v>
      </c>
      <c r="N620" s="672">
        <f t="shared" si="982"/>
        <v>0.544436052366566</v>
      </c>
      <c r="O620" s="723">
        <f t="shared" si="982"/>
        <v>0.49068214693423506</v>
      </c>
      <c r="P620" s="724">
        <f t="shared" si="982"/>
        <v>0.49575319284906155</v>
      </c>
      <c r="Q620" s="724">
        <f t="shared" si="982"/>
        <v>0.45213253928583863</v>
      </c>
      <c r="R620" s="725">
        <f t="shared" si="982"/>
        <v>0.46492670064055974</v>
      </c>
      <c r="S620" s="672">
        <f t="shared" si="982"/>
        <v>0.46492670064055974</v>
      </c>
      <c r="T620" s="723">
        <f t="shared" ref="T620:AF620" si="983">T619/T628</f>
        <v>0.45876339255056126</v>
      </c>
      <c r="U620" s="724">
        <f t="shared" si="983"/>
        <v>0.45260911956892658</v>
      </c>
      <c r="V620" s="724">
        <f t="shared" si="983"/>
        <v>0.45343921394677134</v>
      </c>
      <c r="W620" s="725">
        <f t="shared" si="983"/>
        <v>0.46066000723573691</v>
      </c>
      <c r="X620" s="672">
        <f t="shared" si="983"/>
        <v>0.46066000723573691</v>
      </c>
      <c r="Y620" s="723">
        <f t="shared" si="983"/>
        <v>0.47096043289008405</v>
      </c>
      <c r="Z620" s="724">
        <f t="shared" si="983"/>
        <v>0.36153239077650634</v>
      </c>
      <c r="AA620" s="724">
        <f t="shared" si="983"/>
        <v>0.35054186817290717</v>
      </c>
      <c r="AB620" s="725">
        <f t="shared" si="983"/>
        <v>0.36013345014174514</v>
      </c>
      <c r="AC620" s="672">
        <f t="shared" si="983"/>
        <v>0.36013345014174514</v>
      </c>
      <c r="AD620" s="723">
        <f t="shared" si="983"/>
        <v>0.36654270171983572</v>
      </c>
      <c r="AE620" s="724">
        <f t="shared" si="983"/>
        <v>0.3570925341915358</v>
      </c>
      <c r="AF620" s="724">
        <f t="shared" si="983"/>
        <v>0.3429407054052972</v>
      </c>
      <c r="AG620" s="725">
        <f t="shared" ref="AG620:AM620" si="984">AG619/AG628</f>
        <v>0.35849056603773582</v>
      </c>
      <c r="AH620" s="672">
        <f t="shared" si="984"/>
        <v>0.35849056603773582</v>
      </c>
      <c r="AI620" s="723">
        <f t="shared" si="984"/>
        <v>0.36142935079105293</v>
      </c>
      <c r="AJ620" s="724">
        <f t="shared" si="984"/>
        <v>0.36054172767203513</v>
      </c>
      <c r="AK620" s="724">
        <f t="shared" si="984"/>
        <v>0.34156909744629854</v>
      </c>
      <c r="AL620" s="725">
        <f t="shared" si="984"/>
        <v>0.3437412620001864</v>
      </c>
      <c r="AM620" s="672">
        <f t="shared" si="984"/>
        <v>0.3437412620001864</v>
      </c>
      <c r="AN620" s="723">
        <f t="shared" ref="AN620:AR620" si="985">AN619/AN628</f>
        <v>0.33844049247606017</v>
      </c>
      <c r="AO620" s="724">
        <f t="shared" si="985"/>
        <v>0.36525746343418153</v>
      </c>
      <c r="AP620" s="724">
        <f t="shared" si="985"/>
        <v>0.37005788286078684</v>
      </c>
      <c r="AQ620" s="725">
        <f t="shared" si="985"/>
        <v>0.88312306593668177</v>
      </c>
      <c r="AR620" s="672">
        <f t="shared" si="985"/>
        <v>0.88312306593668177</v>
      </c>
      <c r="AS620" s="723">
        <f t="shared" ref="AS620" si="986">AS619/AS628</f>
        <v>0.89487739742655981</v>
      </c>
      <c r="AT620" s="724">
        <f t="shared" ref="AT620:BB620" si="987">AT619/AT628</f>
        <v>0.89306358381502893</v>
      </c>
      <c r="AU620" s="724">
        <f t="shared" ref="AU620:AW620" si="988">AU619/AU628</f>
        <v>0.86899038461538458</v>
      </c>
      <c r="AV620" s="725">
        <f t="shared" si="988"/>
        <v>2.4517241379310346</v>
      </c>
      <c r="AW620" s="672">
        <f t="shared" si="988"/>
        <v>2.4517241379310346</v>
      </c>
      <c r="AX620" s="723">
        <f t="shared" si="987"/>
        <v>2.3774738890484102</v>
      </c>
      <c r="AY620" s="724">
        <f t="shared" si="987"/>
        <v>2.3325397099504865</v>
      </c>
      <c r="AZ620" s="724">
        <f t="shared" si="987"/>
        <v>2.2915722147761768</v>
      </c>
      <c r="BA620" s="725">
        <f t="shared" si="987"/>
        <v>2.2609443934961155</v>
      </c>
      <c r="BB620" s="672">
        <f t="shared" si="987"/>
        <v>2.2609443934961155</v>
      </c>
      <c r="BC620" s="723">
        <f t="shared" ref="BC620:BL620" si="989">BC619/BC628</f>
        <v>2.1790160146643571</v>
      </c>
      <c r="BD620" s="724">
        <f t="shared" si="989"/>
        <v>2.1129607046527177</v>
      </c>
      <c r="BE620" s="724">
        <f t="shared" si="989"/>
        <v>2.0548909273555407</v>
      </c>
      <c r="BF620" s="725">
        <f t="shared" si="989"/>
        <v>2.0121059238094072</v>
      </c>
      <c r="BG620" s="672">
        <f t="shared" si="989"/>
        <v>2.0121059238094072</v>
      </c>
      <c r="BH620" s="723">
        <f t="shared" si="989"/>
        <v>1.9413074678941569</v>
      </c>
      <c r="BI620" s="724">
        <f t="shared" si="989"/>
        <v>1.8813506825685749</v>
      </c>
      <c r="BJ620" s="724">
        <f t="shared" si="989"/>
        <v>1.8251615886953154</v>
      </c>
      <c r="BK620" s="725">
        <f t="shared" si="989"/>
        <v>1.7806045684404921</v>
      </c>
      <c r="BL620" s="672">
        <f t="shared" si="989"/>
        <v>1.7806045684404921</v>
      </c>
      <c r="BM620" s="723">
        <f t="shared" ref="BM620:BQ620" si="990">BM619/BM628</f>
        <v>1.7194120614164912</v>
      </c>
      <c r="BN620" s="724">
        <f t="shared" si="990"/>
        <v>1.6722411007777251</v>
      </c>
      <c r="BO620" s="724">
        <f t="shared" si="990"/>
        <v>1.626063731421076</v>
      </c>
      <c r="BP620" s="725">
        <f t="shared" si="990"/>
        <v>1.5775279346405151</v>
      </c>
      <c r="BQ620" s="672">
        <f t="shared" si="990"/>
        <v>1.5775279346405151</v>
      </c>
      <c r="BR620" s="726"/>
      <c r="BS620" s="726"/>
      <c r="BT620" s="15"/>
      <c r="BU620" s="15"/>
      <c r="BV620" s="15"/>
      <c r="BW620" s="15"/>
      <c r="BX620" s="15"/>
      <c r="BY620" s="15"/>
      <c r="BZ620" s="15"/>
      <c r="CA620" s="15"/>
      <c r="CB620" s="15"/>
      <c r="CC620" s="15"/>
      <c r="CD620" s="15"/>
      <c r="CE620" s="15"/>
      <c r="CF620" s="15"/>
      <c r="CG620"/>
      <c r="CH620"/>
    </row>
    <row r="621" spans="1:101">
      <c r="A621" s="139"/>
      <c r="B621" s="285"/>
      <c r="C621" s="1198"/>
      <c r="E621" s="288"/>
      <c r="F621" s="289"/>
      <c r="G621" s="289"/>
      <c r="H621" s="299"/>
      <c r="I621" s="291"/>
      <c r="J621" s="288"/>
      <c r="K621" s="289"/>
      <c r="L621" s="289"/>
      <c r="M621" s="299"/>
      <c r="N621" s="285"/>
      <c r="O621" s="288"/>
      <c r="P621" s="289"/>
      <c r="Q621" s="289"/>
      <c r="R621" s="299"/>
      <c r="S621" s="285"/>
      <c r="T621" s="288"/>
      <c r="U621" s="289"/>
      <c r="V621" s="289"/>
      <c r="W621" s="299"/>
      <c r="X621" s="285"/>
      <c r="Y621" s="288"/>
      <c r="Z621" s="302"/>
      <c r="AA621" s="302"/>
      <c r="AB621" s="299"/>
      <c r="AC621" s="285"/>
      <c r="AD621" s="288"/>
      <c r="AE621" s="302"/>
      <c r="AF621" s="302"/>
      <c r="AG621" s="299"/>
      <c r="AH621" s="285"/>
      <c r="AI621" s="288"/>
      <c r="AJ621" s="302"/>
      <c r="AK621" s="302"/>
      <c r="AL621" s="299"/>
      <c r="AM621" s="285"/>
      <c r="AN621" s="288"/>
      <c r="AO621" s="302"/>
      <c r="AP621" s="302"/>
      <c r="AQ621" s="299"/>
      <c r="AR621" s="285"/>
      <c r="AS621" s="288"/>
      <c r="AT621" s="134"/>
      <c r="AU621" s="134"/>
      <c r="AV621" s="299"/>
      <c r="AW621" s="285"/>
      <c r="AX621" s="133"/>
      <c r="AY621" s="134"/>
      <c r="AZ621" s="134"/>
      <c r="BA621" s="135"/>
      <c r="BB621" s="178"/>
      <c r="BC621" s="133"/>
      <c r="BD621" s="134"/>
      <c r="BE621" s="134"/>
      <c r="BF621" s="135"/>
      <c r="BG621" s="178"/>
      <c r="BH621" s="133"/>
      <c r="BI621" s="134"/>
      <c r="BJ621" s="134"/>
      <c r="BK621" s="135"/>
      <c r="BL621" s="178"/>
      <c r="BM621" s="133"/>
      <c r="BN621" s="134"/>
      <c r="BO621" s="134"/>
      <c r="BP621" s="135"/>
      <c r="BQ621" s="178"/>
      <c r="BT621" s="15"/>
      <c r="BU621" s="15"/>
      <c r="BV621" s="15"/>
      <c r="BW621" s="15"/>
      <c r="BX621" s="15"/>
      <c r="BY621" s="15"/>
      <c r="BZ621" s="15"/>
      <c r="CA621" s="15"/>
      <c r="CB621" s="15"/>
      <c r="CC621" s="15"/>
      <c r="CD621" s="15"/>
      <c r="CE621" s="15"/>
      <c r="CF621" s="15"/>
    </row>
    <row r="622" spans="1:101">
      <c r="A622" s="139"/>
      <c r="B622" s="93"/>
      <c r="C622" s="1197" t="s">
        <v>349</v>
      </c>
      <c r="E622" s="288"/>
      <c r="F622" s="289"/>
      <c r="G622" s="289"/>
      <c r="H622" s="299"/>
      <c r="I622" s="291"/>
      <c r="J622" s="288"/>
      <c r="K622" s="289"/>
      <c r="L622" s="289"/>
      <c r="M622" s="299">
        <v>0</v>
      </c>
      <c r="N622" s="291">
        <v>0</v>
      </c>
      <c r="O622" s="288">
        <v>0</v>
      </c>
      <c r="P622" s="289">
        <v>0</v>
      </c>
      <c r="Q622" s="289">
        <v>0</v>
      </c>
      <c r="R622" s="299">
        <v>0</v>
      </c>
      <c r="S622" s="291">
        <v>0</v>
      </c>
      <c r="T622" s="288">
        <v>0</v>
      </c>
      <c r="U622" s="289">
        <v>0</v>
      </c>
      <c r="V622" s="289">
        <v>0</v>
      </c>
      <c r="W622" s="299">
        <v>0</v>
      </c>
      <c r="X622" s="291">
        <f>W622</f>
        <v>0</v>
      </c>
      <c r="Y622" s="288">
        <f>W622</f>
        <v>0</v>
      </c>
      <c r="Z622" s="302">
        <v>0</v>
      </c>
      <c r="AA622" s="302">
        <f>Z622</f>
        <v>0</v>
      </c>
      <c r="AB622" s="299">
        <v>0</v>
      </c>
      <c r="AC622" s="291">
        <f>AB622</f>
        <v>0</v>
      </c>
      <c r="AD622" s="288">
        <v>0</v>
      </c>
      <c r="AE622" s="302">
        <v>0</v>
      </c>
      <c r="AF622" s="302">
        <v>0</v>
      </c>
      <c r="AG622" s="299">
        <v>0</v>
      </c>
      <c r="AH622" s="291">
        <f t="shared" ref="AH622" si="991">AG622</f>
        <v>0</v>
      </c>
      <c r="AI622" s="288">
        <v>0</v>
      </c>
      <c r="AJ622" s="302">
        <v>0</v>
      </c>
      <c r="AK622" s="302">
        <v>0</v>
      </c>
      <c r="AL622" s="299">
        <v>0</v>
      </c>
      <c r="AM622" s="291">
        <v>0</v>
      </c>
      <c r="AN622" s="288">
        <v>0</v>
      </c>
      <c r="AO622" s="302">
        <v>0</v>
      </c>
      <c r="AP622" s="302">
        <v>0</v>
      </c>
      <c r="AQ622" s="299">
        <v>0</v>
      </c>
      <c r="AR622" s="291">
        <v>0</v>
      </c>
      <c r="AS622" s="288">
        <v>0</v>
      </c>
      <c r="AT622" s="289">
        <v>0</v>
      </c>
      <c r="AU622" s="289">
        <v>0</v>
      </c>
      <c r="AV622" s="299">
        <v>0</v>
      </c>
      <c r="AW622" s="291">
        <v>0</v>
      </c>
      <c r="AX622" s="316">
        <f>AV622</f>
        <v>0</v>
      </c>
      <c r="AY622" s="312">
        <f>AX622</f>
        <v>0</v>
      </c>
      <c r="AZ622" s="312">
        <f>AY622</f>
        <v>0</v>
      </c>
      <c r="BA622" s="317">
        <f>AZ622</f>
        <v>0</v>
      </c>
      <c r="BB622" s="315">
        <f>BA622</f>
        <v>0</v>
      </c>
      <c r="BC622" s="316">
        <f>BA622</f>
        <v>0</v>
      </c>
      <c r="BD622" s="312">
        <f>BC622</f>
        <v>0</v>
      </c>
      <c r="BE622" s="312">
        <f>BD622</f>
        <v>0</v>
      </c>
      <c r="BF622" s="317">
        <f>BE622</f>
        <v>0</v>
      </c>
      <c r="BG622" s="315">
        <f>BF622</f>
        <v>0</v>
      </c>
      <c r="BH622" s="316">
        <f>BF622</f>
        <v>0</v>
      </c>
      <c r="BI622" s="312">
        <f>BH622</f>
        <v>0</v>
      </c>
      <c r="BJ622" s="312">
        <f>BI622</f>
        <v>0</v>
      </c>
      <c r="BK622" s="317">
        <f>BJ622</f>
        <v>0</v>
      </c>
      <c r="BL622" s="315">
        <f>BK622</f>
        <v>0</v>
      </c>
      <c r="BM622" s="316">
        <f>BK622</f>
        <v>0</v>
      </c>
      <c r="BN622" s="312">
        <f>BM622</f>
        <v>0</v>
      </c>
      <c r="BO622" s="312">
        <f>BN622</f>
        <v>0</v>
      </c>
      <c r="BP622" s="317">
        <f>BO622</f>
        <v>0</v>
      </c>
      <c r="BQ622" s="315">
        <f>BP622</f>
        <v>0</v>
      </c>
      <c r="BT622" s="15"/>
      <c r="BU622" s="15"/>
      <c r="BV622" s="15"/>
      <c r="BW622" s="15"/>
      <c r="BX622" s="15"/>
      <c r="BY622" s="15"/>
      <c r="BZ622" s="15"/>
      <c r="CA622" s="15"/>
      <c r="CB622" s="15"/>
      <c r="CC622" s="15"/>
      <c r="CD622" s="15"/>
      <c r="CE622" s="15"/>
      <c r="CF622" s="15"/>
    </row>
    <row r="623" spans="1:101" s="359" customFormat="1">
      <c r="A623" s="726"/>
      <c r="B623" s="672"/>
      <c r="C623" s="1200" t="s">
        <v>408</v>
      </c>
      <c r="E623" s="723"/>
      <c r="F623" s="724"/>
      <c r="G623" s="724"/>
      <c r="H623" s="725"/>
      <c r="I623" s="672"/>
      <c r="J623" s="723"/>
      <c r="K623" s="724"/>
      <c r="L623" s="724"/>
      <c r="M623" s="725">
        <f t="shared" ref="M623:S623" si="992">M622/M628</f>
        <v>0</v>
      </c>
      <c r="N623" s="672">
        <f t="shared" si="992"/>
        <v>0</v>
      </c>
      <c r="O623" s="723">
        <f t="shared" si="992"/>
        <v>0</v>
      </c>
      <c r="P623" s="724">
        <f t="shared" si="992"/>
        <v>0</v>
      </c>
      <c r="Q623" s="724">
        <f t="shared" si="992"/>
        <v>0</v>
      </c>
      <c r="R623" s="725">
        <f t="shared" si="992"/>
        <v>0</v>
      </c>
      <c r="S623" s="672">
        <f t="shared" si="992"/>
        <v>0</v>
      </c>
      <c r="T623" s="723">
        <f t="shared" ref="T623:AF623" si="993">T622/T628</f>
        <v>0</v>
      </c>
      <c r="U623" s="724">
        <f t="shared" si="993"/>
        <v>0</v>
      </c>
      <c r="V623" s="724">
        <f t="shared" si="993"/>
        <v>0</v>
      </c>
      <c r="W623" s="725">
        <f t="shared" si="993"/>
        <v>0</v>
      </c>
      <c r="X623" s="672">
        <f t="shared" si="993"/>
        <v>0</v>
      </c>
      <c r="Y623" s="723">
        <f t="shared" si="993"/>
        <v>0</v>
      </c>
      <c r="Z623" s="724">
        <f t="shared" si="993"/>
        <v>0</v>
      </c>
      <c r="AA623" s="724">
        <f t="shared" si="993"/>
        <v>0</v>
      </c>
      <c r="AB623" s="725">
        <f t="shared" si="993"/>
        <v>0</v>
      </c>
      <c r="AC623" s="672">
        <f t="shared" si="993"/>
        <v>0</v>
      </c>
      <c r="AD623" s="723">
        <f t="shared" si="993"/>
        <v>0</v>
      </c>
      <c r="AE623" s="724">
        <f t="shared" si="993"/>
        <v>0</v>
      </c>
      <c r="AF623" s="724">
        <f t="shared" si="993"/>
        <v>0</v>
      </c>
      <c r="AG623" s="725">
        <f t="shared" ref="AG623:AM623" si="994">AG622/AG628</f>
        <v>0</v>
      </c>
      <c r="AH623" s="672">
        <f t="shared" si="994"/>
        <v>0</v>
      </c>
      <c r="AI623" s="723">
        <f t="shared" si="994"/>
        <v>0</v>
      </c>
      <c r="AJ623" s="724">
        <f t="shared" si="994"/>
        <v>0</v>
      </c>
      <c r="AK623" s="724">
        <f t="shared" si="994"/>
        <v>0</v>
      </c>
      <c r="AL623" s="725">
        <f t="shared" si="994"/>
        <v>0</v>
      </c>
      <c r="AM623" s="672">
        <f t="shared" si="994"/>
        <v>0</v>
      </c>
      <c r="AN623" s="723">
        <f t="shared" ref="AN623:AR623" si="995">AN622/AN628</f>
        <v>0</v>
      </c>
      <c r="AO623" s="724">
        <f t="shared" si="995"/>
        <v>0</v>
      </c>
      <c r="AP623" s="724">
        <f t="shared" si="995"/>
        <v>0</v>
      </c>
      <c r="AQ623" s="725">
        <f t="shared" si="995"/>
        <v>0</v>
      </c>
      <c r="AR623" s="672">
        <f t="shared" si="995"/>
        <v>0</v>
      </c>
      <c r="AS623" s="723">
        <f t="shared" ref="AS623" si="996">AS622/AS628</f>
        <v>0</v>
      </c>
      <c r="AT623" s="724">
        <f t="shared" ref="AT623:BB623" si="997">AT622/AT628</f>
        <v>0</v>
      </c>
      <c r="AU623" s="724">
        <f t="shared" ref="AU623:AW623" si="998">AU622/AU628</f>
        <v>0</v>
      </c>
      <c r="AV623" s="725">
        <f t="shared" si="998"/>
        <v>0</v>
      </c>
      <c r="AW623" s="672">
        <f t="shared" si="998"/>
        <v>0</v>
      </c>
      <c r="AX623" s="723">
        <f t="shared" si="997"/>
        <v>0</v>
      </c>
      <c r="AY623" s="724">
        <f t="shared" si="997"/>
        <v>0</v>
      </c>
      <c r="AZ623" s="724">
        <f t="shared" si="997"/>
        <v>0</v>
      </c>
      <c r="BA623" s="725">
        <f t="shared" si="997"/>
        <v>0</v>
      </c>
      <c r="BB623" s="672">
        <f t="shared" si="997"/>
        <v>0</v>
      </c>
      <c r="BC623" s="723">
        <f t="shared" ref="BC623:BL623" si="999">BC622/BC628</f>
        <v>0</v>
      </c>
      <c r="BD623" s="724">
        <f t="shared" si="999"/>
        <v>0</v>
      </c>
      <c r="BE623" s="724">
        <f t="shared" si="999"/>
        <v>0</v>
      </c>
      <c r="BF623" s="725">
        <f t="shared" si="999"/>
        <v>0</v>
      </c>
      <c r="BG623" s="672">
        <f t="shared" si="999"/>
        <v>0</v>
      </c>
      <c r="BH623" s="723">
        <f t="shared" si="999"/>
        <v>0</v>
      </c>
      <c r="BI623" s="724">
        <f t="shared" si="999"/>
        <v>0</v>
      </c>
      <c r="BJ623" s="724">
        <f t="shared" si="999"/>
        <v>0</v>
      </c>
      <c r="BK623" s="725">
        <f t="shared" si="999"/>
        <v>0</v>
      </c>
      <c r="BL623" s="672">
        <f t="shared" si="999"/>
        <v>0</v>
      </c>
      <c r="BM623" s="723">
        <f t="shared" ref="BM623:BQ623" si="1000">BM622/BM628</f>
        <v>0</v>
      </c>
      <c r="BN623" s="724">
        <f t="shared" si="1000"/>
        <v>0</v>
      </c>
      <c r="BO623" s="724">
        <f t="shared" si="1000"/>
        <v>0</v>
      </c>
      <c r="BP623" s="725">
        <f t="shared" si="1000"/>
        <v>0</v>
      </c>
      <c r="BQ623" s="672">
        <f t="shared" si="1000"/>
        <v>0</v>
      </c>
      <c r="BR623" s="726"/>
      <c r="BS623" s="726"/>
      <c r="BT623" s="15"/>
      <c r="BU623" s="15"/>
      <c r="BV623" s="15"/>
      <c r="BW623" s="15"/>
      <c r="BX623" s="15"/>
      <c r="BY623" s="15"/>
      <c r="BZ623" s="15"/>
      <c r="CA623" s="15"/>
      <c r="CB623" s="15"/>
      <c r="CC623" s="15"/>
      <c r="CD623" s="15"/>
      <c r="CE623" s="15"/>
      <c r="CF623" s="15"/>
      <c r="CG623"/>
      <c r="CH623"/>
    </row>
    <row r="624" spans="1:101">
      <c r="A624" s="139"/>
      <c r="B624" s="285"/>
      <c r="C624" s="1198"/>
      <c r="E624" s="288"/>
      <c r="F624" s="289"/>
      <c r="G624" s="289"/>
      <c r="H624" s="299"/>
      <c r="I624" s="291"/>
      <c r="J624" s="288"/>
      <c r="K624" s="289"/>
      <c r="L624" s="289"/>
      <c r="M624" s="299"/>
      <c r="N624" s="285"/>
      <c r="O624" s="288"/>
      <c r="P624" s="289"/>
      <c r="Q624" s="289"/>
      <c r="R624" s="299"/>
      <c r="S624" s="285"/>
      <c r="T624" s="288"/>
      <c r="U624" s="289"/>
      <c r="V624" s="289"/>
      <c r="W624" s="299"/>
      <c r="X624" s="285"/>
      <c r="Y624" s="288"/>
      <c r="Z624" s="302"/>
      <c r="AA624" s="302"/>
      <c r="AB624" s="299"/>
      <c r="AC624" s="285"/>
      <c r="AD624" s="288"/>
      <c r="AE624" s="302"/>
      <c r="AF624" s="302"/>
      <c r="AG624" s="299"/>
      <c r="AH624" s="285"/>
      <c r="AI624" s="288"/>
      <c r="AJ624" s="302"/>
      <c r="AK624" s="302"/>
      <c r="AL624" s="299"/>
      <c r="AM624" s="285"/>
      <c r="AN624" s="288"/>
      <c r="AO624" s="302"/>
      <c r="AP624" s="302"/>
      <c r="AQ624" s="299"/>
      <c r="AR624" s="285"/>
      <c r="AS624" s="288"/>
      <c r="AT624" s="134"/>
      <c r="AU624" s="134"/>
      <c r="AV624" s="299"/>
      <c r="AW624" s="285"/>
      <c r="AX624" s="133"/>
      <c r="AY624" s="134"/>
      <c r="AZ624" s="134"/>
      <c r="BA624" s="135"/>
      <c r="BB624" s="178"/>
      <c r="BC624" s="133"/>
      <c r="BD624" s="134"/>
      <c r="BE624" s="134"/>
      <c r="BF624" s="135"/>
      <c r="BG624" s="178"/>
      <c r="BH624" s="133"/>
      <c r="BI624" s="134"/>
      <c r="BJ624" s="134"/>
      <c r="BK624" s="135"/>
      <c r="BL624" s="178"/>
      <c r="BM624" s="133"/>
      <c r="BN624" s="134"/>
      <c r="BO624" s="134"/>
      <c r="BP624" s="135"/>
      <c r="BQ624" s="178"/>
      <c r="BT624" s="15"/>
      <c r="BU624" s="15"/>
      <c r="BV624" s="15"/>
      <c r="BW624" s="15"/>
      <c r="BX624" s="15"/>
      <c r="BY624" s="15"/>
      <c r="BZ624" s="15"/>
      <c r="CA624" s="15"/>
      <c r="CB624" s="15"/>
      <c r="CC624" s="15"/>
      <c r="CD624" s="15"/>
      <c r="CE624" s="15"/>
      <c r="CF624" s="15"/>
    </row>
    <row r="625" spans="1:86" s="60" customFormat="1">
      <c r="A625" s="490"/>
      <c r="B625" s="93"/>
      <c r="C625" s="1197" t="s">
        <v>35</v>
      </c>
      <c r="E625" s="478"/>
      <c r="F625" s="479"/>
      <c r="G625" s="479"/>
      <c r="H625" s="480"/>
      <c r="I625" s="477"/>
      <c r="J625" s="478"/>
      <c r="K625" s="479"/>
      <c r="L625" s="479"/>
      <c r="M625" s="307">
        <f>N625</f>
        <v>3619</v>
      </c>
      <c r="N625" s="477">
        <f>3619</f>
        <v>3619</v>
      </c>
      <c r="O625" s="478">
        <f>3824.54+2669.611</f>
        <v>6494.1509999999998</v>
      </c>
      <c r="P625" s="479">
        <f>3857+2638.426</f>
        <v>6495.4259999999995</v>
      </c>
      <c r="Q625" s="479">
        <f>3958+2665.602</f>
        <v>6623.6019999999999</v>
      </c>
      <c r="R625" s="307">
        <f>S625</f>
        <v>6207.5249999999996</v>
      </c>
      <c r="S625" s="477">
        <f>3577+2630.525</f>
        <v>6207.5249999999996</v>
      </c>
      <c r="T625" s="478">
        <f>3695+2657.257</f>
        <v>6352.2569999999996</v>
      </c>
      <c r="U625" s="479">
        <f>3704+2675.434</f>
        <v>6379.4340000000002</v>
      </c>
      <c r="V625" s="479">
        <f>3802+2702.662</f>
        <v>6504.6620000000003</v>
      </c>
      <c r="W625" s="307">
        <f>X625</f>
        <v>6450.55</v>
      </c>
      <c r="X625" s="477">
        <f>3763+2687.55</f>
        <v>6450.55</v>
      </c>
      <c r="Y625" s="478">
        <f>3772+2654.542</f>
        <v>6426.5419999999995</v>
      </c>
      <c r="Z625" s="479">
        <f>5193+2366.362</f>
        <v>7559.3620000000001</v>
      </c>
      <c r="AA625" s="479">
        <f>5229+2384.573</f>
        <v>7613.5730000000003</v>
      </c>
      <c r="AB625" s="307">
        <f>AC625</f>
        <v>7255.6810000000005</v>
      </c>
      <c r="AC625" s="477">
        <f>5312+1943.681</f>
        <v>7255.6810000000005</v>
      </c>
      <c r="AD625" s="478">
        <f>5833+1421.626</f>
        <v>7254.6260000000002</v>
      </c>
      <c r="AE625" s="479">
        <f>5759+1406.304</f>
        <v>7165.3040000000001</v>
      </c>
      <c r="AF625" s="479">
        <f>5803+1436.204</f>
        <v>7239.2039999999997</v>
      </c>
      <c r="AG625" s="307">
        <f>AH625</f>
        <v>7004</v>
      </c>
      <c r="AH625" s="477">
        <f>5585+1419</f>
        <v>7004</v>
      </c>
      <c r="AI625" s="478">
        <f>5581+1442</f>
        <v>7023</v>
      </c>
      <c r="AJ625" s="479">
        <f>5554+1434</f>
        <v>6988</v>
      </c>
      <c r="AK625" s="479">
        <f>1467+5675</f>
        <v>7142</v>
      </c>
      <c r="AL625" s="307">
        <f>AM625</f>
        <v>7041</v>
      </c>
      <c r="AM625" s="477">
        <f>5605+1436</f>
        <v>7041</v>
      </c>
      <c r="AN625" s="478">
        <f>5749+1505</f>
        <v>7254</v>
      </c>
      <c r="AO625" s="479">
        <f>5357+979</f>
        <v>6336</v>
      </c>
      <c r="AP625" s="479">
        <f>5409+1012</f>
        <v>6421</v>
      </c>
      <c r="AQ625" s="307">
        <f>AR625</f>
        <v>491</v>
      </c>
      <c r="AR625" s="477">
        <f>218+273</f>
        <v>491</v>
      </c>
      <c r="AS625" s="478">
        <f>146+287</f>
        <v>433</v>
      </c>
      <c r="AT625" s="479">
        <f>239+205</f>
        <v>444</v>
      </c>
      <c r="AU625" s="479">
        <f>328+217</f>
        <v>545</v>
      </c>
      <c r="AV625" s="307">
        <f>AW625</f>
        <v>-2105</v>
      </c>
      <c r="AW625" s="477">
        <f>-2070-35</f>
        <v>-2105</v>
      </c>
      <c r="AX625" s="305">
        <f>AW625+AX593+AX606</f>
        <v>-2035.4463317346076</v>
      </c>
      <c r="AY625" s="306">
        <f>AX625+AY593+AY606</f>
        <v>-2006.958289106843</v>
      </c>
      <c r="AZ625" s="306">
        <f>AY625+AZ593+AZ606</f>
        <v>-1980.4675942557296</v>
      </c>
      <c r="BA625" s="307">
        <f>AZ625+BA593+BA606</f>
        <v>-1966.4196000413619</v>
      </c>
      <c r="BB625" s="308">
        <f>BA625</f>
        <v>-1966.4196000413619</v>
      </c>
      <c r="BC625" s="305">
        <f>BB625+BC593+BC606</f>
        <v>-1950.6304922299248</v>
      </c>
      <c r="BD625" s="306">
        <f>BC625+BD593+BD606</f>
        <v>-1945.8216275497323</v>
      </c>
      <c r="BE625" s="306">
        <f>BD625+BE593+BE606</f>
        <v>-1942.1882448921644</v>
      </c>
      <c r="BF625" s="307">
        <f>BE625+BF593+BF606</f>
        <v>-1956.2757143751487</v>
      </c>
      <c r="BG625" s="308">
        <f>BF625</f>
        <v>-1956.2757143751487</v>
      </c>
      <c r="BH625" s="305">
        <f>BG625+BH593+BH606</f>
        <v>-1904.8326027518387</v>
      </c>
      <c r="BI625" s="306">
        <f>BH625+BI593+BI606</f>
        <v>-1862.5863475870995</v>
      </c>
      <c r="BJ625" s="306">
        <f>BI625+BJ593+BJ606</f>
        <v>-1817.0776782097316</v>
      </c>
      <c r="BK625" s="307">
        <f>BJ625+BK593+BK606</f>
        <v>-1787.5008997674154</v>
      </c>
      <c r="BL625" s="308">
        <f>BK625</f>
        <v>-1787.5008997674154</v>
      </c>
      <c r="BM625" s="305">
        <f>BL625+BM593+BM606</f>
        <v>-1709.8788576425297</v>
      </c>
      <c r="BN625" s="306">
        <f>BM625+BN593+BN606</f>
        <v>-1655.5608612878998</v>
      </c>
      <c r="BO625" s="306">
        <f>BN625+BO593+BO606</f>
        <v>-1595.11228659733</v>
      </c>
      <c r="BP625" s="307">
        <f>BO625+BP593+BP606</f>
        <v>-1520.0986543261847</v>
      </c>
      <c r="BQ625" s="308">
        <f>BP625</f>
        <v>-1520.0986543261847</v>
      </c>
      <c r="BR625" s="490"/>
      <c r="BS625" s="490"/>
      <c r="BT625" s="15"/>
      <c r="BU625" s="15"/>
      <c r="BV625" s="15"/>
      <c r="BW625" s="15"/>
      <c r="BX625" s="15"/>
      <c r="BY625" s="15"/>
      <c r="BZ625" s="15"/>
      <c r="CA625" s="15"/>
      <c r="CB625" s="15"/>
      <c r="CC625" s="15"/>
      <c r="CD625" s="15"/>
      <c r="CE625" s="15"/>
      <c r="CF625" s="15"/>
      <c r="CG625"/>
      <c r="CH625"/>
    </row>
    <row r="626" spans="1:86" s="359" customFormat="1">
      <c r="A626" s="726"/>
      <c r="B626" s="672"/>
      <c r="C626" s="1201" t="s">
        <v>408</v>
      </c>
      <c r="E626" s="723"/>
      <c r="F626" s="724"/>
      <c r="G626" s="724"/>
      <c r="H626" s="725"/>
      <c r="I626" s="672"/>
      <c r="J626" s="723"/>
      <c r="K626" s="724"/>
      <c r="L626" s="724"/>
      <c r="M626" s="725">
        <f t="shared" ref="M626:S626" si="1001">M625/M628</f>
        <v>0.45556394763343405</v>
      </c>
      <c r="N626" s="672">
        <f t="shared" si="1001"/>
        <v>0.45556394763343405</v>
      </c>
      <c r="O626" s="723">
        <f t="shared" si="1001"/>
        <v>0.50931785306576494</v>
      </c>
      <c r="P626" s="724">
        <f t="shared" si="1001"/>
        <v>0.5042468071509385</v>
      </c>
      <c r="Q626" s="724">
        <f t="shared" si="1001"/>
        <v>0.54786746071416126</v>
      </c>
      <c r="R626" s="725">
        <f t="shared" si="1001"/>
        <v>0.53507329935944026</v>
      </c>
      <c r="S626" s="672">
        <f t="shared" si="1001"/>
        <v>0.53507329935944026</v>
      </c>
      <c r="T626" s="723">
        <f t="shared" ref="T626:AF626" si="1002">T625/T628</f>
        <v>0.54123660744943869</v>
      </c>
      <c r="U626" s="724">
        <f t="shared" si="1002"/>
        <v>0.54739088043107342</v>
      </c>
      <c r="V626" s="724">
        <f t="shared" si="1002"/>
        <v>0.54656078605322855</v>
      </c>
      <c r="W626" s="725">
        <f t="shared" si="1002"/>
        <v>0.53933999276426303</v>
      </c>
      <c r="X626" s="672">
        <f t="shared" si="1002"/>
        <v>0.53933999276426303</v>
      </c>
      <c r="Y626" s="723">
        <f t="shared" si="1002"/>
        <v>0.52903956710991595</v>
      </c>
      <c r="Z626" s="724">
        <f t="shared" si="1002"/>
        <v>0.63846760922349377</v>
      </c>
      <c r="AA626" s="724">
        <f t="shared" si="1002"/>
        <v>0.64945813182709289</v>
      </c>
      <c r="AB626" s="725">
        <f t="shared" si="1002"/>
        <v>0.63986654985825486</v>
      </c>
      <c r="AC626" s="672">
        <f t="shared" si="1002"/>
        <v>0.63986654985825486</v>
      </c>
      <c r="AD626" s="723">
        <f t="shared" si="1002"/>
        <v>0.63345729828016428</v>
      </c>
      <c r="AE626" s="724">
        <f t="shared" si="1002"/>
        <v>0.64290746580846425</v>
      </c>
      <c r="AF626" s="724">
        <f t="shared" si="1002"/>
        <v>0.65705929459470269</v>
      </c>
      <c r="AG626" s="725">
        <f t="shared" ref="AG626:AM626" si="1003">AG625/AG628</f>
        <v>0.64150943396226412</v>
      </c>
      <c r="AH626" s="672">
        <f t="shared" si="1003"/>
        <v>0.64150943396226412</v>
      </c>
      <c r="AI626" s="723">
        <f t="shared" si="1003"/>
        <v>0.63857064920894713</v>
      </c>
      <c r="AJ626" s="724">
        <f t="shared" si="1003"/>
        <v>0.63945827232796482</v>
      </c>
      <c r="AK626" s="724">
        <f t="shared" si="1003"/>
        <v>0.65843090255370151</v>
      </c>
      <c r="AL626" s="725">
        <f t="shared" si="1003"/>
        <v>0.6562587379998136</v>
      </c>
      <c r="AM626" s="672">
        <f t="shared" si="1003"/>
        <v>0.6562587379998136</v>
      </c>
      <c r="AN626" s="723">
        <f t="shared" ref="AN626:AR626" si="1004">AN625/AN628</f>
        <v>0.66155950752393977</v>
      </c>
      <c r="AO626" s="724">
        <f t="shared" si="1004"/>
        <v>0.63474253656581847</v>
      </c>
      <c r="AP626" s="724">
        <f t="shared" si="1004"/>
        <v>0.62994211713921322</v>
      </c>
      <c r="AQ626" s="725">
        <f t="shared" si="1004"/>
        <v>0.11687693406331826</v>
      </c>
      <c r="AR626" s="672">
        <f t="shared" si="1004"/>
        <v>0.11687693406331826</v>
      </c>
      <c r="AS626" s="723">
        <f t="shared" ref="AS626" si="1005">AS625/AS628</f>
        <v>0.10512260257344015</v>
      </c>
      <c r="AT626" s="724">
        <f t="shared" ref="AT626:BB626" si="1006">AT625/AT628</f>
        <v>0.1069364161849711</v>
      </c>
      <c r="AU626" s="724">
        <f t="shared" si="1006"/>
        <v>0.13100961538461539</v>
      </c>
      <c r="AV626" s="725">
        <f t="shared" si="1006"/>
        <v>-1.4517241379310344</v>
      </c>
      <c r="AW626" s="672">
        <f t="shared" si="1006"/>
        <v>-1.4517241379310344</v>
      </c>
      <c r="AX626" s="723">
        <f t="shared" si="1006"/>
        <v>-1.3774738890484102</v>
      </c>
      <c r="AY626" s="724">
        <f t="shared" si="1006"/>
        <v>-1.3325397099504865</v>
      </c>
      <c r="AZ626" s="724">
        <f t="shared" si="1006"/>
        <v>-1.291572214776177</v>
      </c>
      <c r="BA626" s="725">
        <f t="shared" si="1006"/>
        <v>-1.2609443934961153</v>
      </c>
      <c r="BB626" s="672">
        <f t="shared" si="1006"/>
        <v>-1.2609443934961153</v>
      </c>
      <c r="BC626" s="723">
        <f t="shared" ref="BC626:BL626" si="1007">BC625/BC628</f>
        <v>-1.1790160146643571</v>
      </c>
      <c r="BD626" s="724">
        <f t="shared" si="1007"/>
        <v>-1.1129607046527177</v>
      </c>
      <c r="BE626" s="724">
        <f t="shared" si="1007"/>
        <v>-1.0548909273555409</v>
      </c>
      <c r="BF626" s="725">
        <f t="shared" si="1007"/>
        <v>-1.0121059238094072</v>
      </c>
      <c r="BG626" s="672">
        <f t="shared" si="1007"/>
        <v>-1.0121059238094072</v>
      </c>
      <c r="BH626" s="723">
        <f t="shared" si="1007"/>
        <v>-0.94130746789415698</v>
      </c>
      <c r="BI626" s="724">
        <f t="shared" si="1007"/>
        <v>-0.88135068256857496</v>
      </c>
      <c r="BJ626" s="724">
        <f t="shared" si="1007"/>
        <v>-0.82516158869531553</v>
      </c>
      <c r="BK626" s="725">
        <f t="shared" si="1007"/>
        <v>-0.78060456844049197</v>
      </c>
      <c r="BL626" s="672">
        <f t="shared" si="1007"/>
        <v>-0.78060456844049197</v>
      </c>
      <c r="BM626" s="723">
        <f t="shared" ref="BM626:BQ626" si="1008">BM625/BM628</f>
        <v>-0.71941206141649117</v>
      </c>
      <c r="BN626" s="724">
        <f t="shared" si="1008"/>
        <v>-0.67224110077772536</v>
      </c>
      <c r="BO626" s="724">
        <f t="shared" si="1008"/>
        <v>-0.62606373142107596</v>
      </c>
      <c r="BP626" s="725">
        <f t="shared" si="1008"/>
        <v>-0.57752793464051511</v>
      </c>
      <c r="BQ626" s="672">
        <f t="shared" si="1008"/>
        <v>-0.57752793464051511</v>
      </c>
      <c r="BR626" s="726"/>
      <c r="BS626" s="726"/>
      <c r="BT626" s="15"/>
      <c r="BU626" s="15"/>
      <c r="BV626" s="15"/>
      <c r="BW626" s="15"/>
      <c r="BX626" s="15"/>
      <c r="BY626" s="15"/>
      <c r="BZ626" s="15"/>
      <c r="CA626" s="15"/>
      <c r="CB626" s="15"/>
      <c r="CC626" s="15"/>
      <c r="CD626" s="15"/>
      <c r="CE626" s="15"/>
      <c r="CF626" s="15"/>
      <c r="CG626"/>
      <c r="CH626"/>
    </row>
    <row r="627" spans="1:86">
      <c r="A627" s="139"/>
      <c r="B627" s="87"/>
      <c r="C627" s="1202"/>
      <c r="E627" s="288"/>
      <c r="F627" s="289"/>
      <c r="G627" s="289"/>
      <c r="H627" s="299"/>
      <c r="I627" s="291"/>
      <c r="J627" s="288"/>
      <c r="K627" s="289"/>
      <c r="L627" s="289"/>
      <c r="M627" s="299"/>
      <c r="N627" s="315"/>
      <c r="O627" s="288"/>
      <c r="P627" s="289"/>
      <c r="Q627" s="289"/>
      <c r="R627" s="299"/>
      <c r="S627" s="285"/>
      <c r="T627" s="288"/>
      <c r="U627" s="289"/>
      <c r="V627" s="289"/>
      <c r="W627" s="299"/>
      <c r="X627" s="285"/>
      <c r="Y627" s="288"/>
      <c r="Z627" s="302"/>
      <c r="AA627" s="302"/>
      <c r="AB627" s="299"/>
      <c r="AC627" s="285"/>
      <c r="AD627" s="288"/>
      <c r="AE627" s="302"/>
      <c r="AF627" s="302"/>
      <c r="AG627" s="299"/>
      <c r="AH627" s="285"/>
      <c r="AI627" s="288"/>
      <c r="AJ627" s="302"/>
      <c r="AK627" s="302"/>
      <c r="AL627" s="299"/>
      <c r="AM627" s="285"/>
      <c r="AN627" s="288"/>
      <c r="AO627" s="302"/>
      <c r="AP627" s="302"/>
      <c r="AQ627" s="299"/>
      <c r="AR627" s="285"/>
      <c r="AS627" s="288"/>
      <c r="AT627" s="289"/>
      <c r="AU627" s="289"/>
      <c r="AV627" s="299"/>
      <c r="AW627" s="285"/>
      <c r="AX627" s="288"/>
      <c r="AY627" s="289"/>
      <c r="AZ627" s="289"/>
      <c r="BA627" s="299"/>
      <c r="BB627" s="285"/>
      <c r="BC627" s="288"/>
      <c r="BD627" s="289"/>
      <c r="BE627" s="289"/>
      <c r="BF627" s="299"/>
      <c r="BG627" s="285"/>
      <c r="BH627" s="288"/>
      <c r="BI627" s="289"/>
      <c r="BJ627" s="289"/>
      <c r="BK627" s="299"/>
      <c r="BL627" s="285"/>
      <c r="BM627" s="288"/>
      <c r="BN627" s="289"/>
      <c r="BO627" s="289"/>
      <c r="BP627" s="299"/>
      <c r="BQ627" s="285"/>
      <c r="BT627" s="15"/>
      <c r="BU627" s="15"/>
      <c r="BV627" s="15"/>
      <c r="BW627" s="15"/>
      <c r="BX627" s="15"/>
      <c r="BY627" s="15"/>
      <c r="BZ627" s="15"/>
      <c r="CA627" s="15"/>
      <c r="CB627" s="15"/>
      <c r="CC627" s="15"/>
      <c r="CD627" s="15"/>
      <c r="CE627" s="15"/>
      <c r="CF627" s="15"/>
    </row>
    <row r="628" spans="1:86" s="13" customFormat="1">
      <c r="A628" s="136"/>
      <c r="B628" s="93"/>
      <c r="C628" s="1197" t="s">
        <v>38</v>
      </c>
      <c r="E628" s="478"/>
      <c r="F628" s="479"/>
      <c r="G628" s="479"/>
      <c r="H628" s="480"/>
      <c r="I628" s="477"/>
      <c r="J628" s="478"/>
      <c r="K628" s="479"/>
      <c r="L628" s="479"/>
      <c r="M628" s="307">
        <f t="shared" ref="M628:S628" si="1009">(M619+M622+M625)</f>
        <v>7944</v>
      </c>
      <c r="N628" s="308">
        <f t="shared" si="1009"/>
        <v>7944</v>
      </c>
      <c r="O628" s="305">
        <f t="shared" si="1009"/>
        <v>12750.683999999999</v>
      </c>
      <c r="P628" s="306">
        <f t="shared" si="1009"/>
        <v>12881.441999999999</v>
      </c>
      <c r="Q628" s="306">
        <f t="shared" si="1009"/>
        <v>12089.789000000001</v>
      </c>
      <c r="R628" s="307">
        <f t="shared" si="1009"/>
        <v>11601.261</v>
      </c>
      <c r="S628" s="308">
        <f t="shared" si="1009"/>
        <v>11601.261</v>
      </c>
      <c r="T628" s="305">
        <f>(T619+T622+T625)</f>
        <v>11736.562</v>
      </c>
      <c r="U628" s="306">
        <f>(U619+U622+U625)</f>
        <v>11654.257</v>
      </c>
      <c r="V628" s="306">
        <f>(V619+V622+V625)</f>
        <v>11901.077000000001</v>
      </c>
      <c r="W628" s="307">
        <f>(W619+W622+W625)</f>
        <v>11960.081</v>
      </c>
      <c r="X628" s="308">
        <f>(X619+X622+X625)</f>
        <v>11960.081</v>
      </c>
      <c r="Y628" s="305">
        <f t="shared" ref="Y628:AF628" si="1010">(Y619+Y622+Y625)</f>
        <v>12147.564</v>
      </c>
      <c r="Z628" s="306">
        <f t="shared" si="1010"/>
        <v>11839.851999999999</v>
      </c>
      <c r="AA628" s="306">
        <f>(AA619+AA622+AA625)</f>
        <v>11722.962</v>
      </c>
      <c r="AB628" s="307">
        <f>(AB619+AB622+AB625)</f>
        <v>11339.366</v>
      </c>
      <c r="AC628" s="308">
        <f>(AC619+AC622+AC625)</f>
        <v>11339.366</v>
      </c>
      <c r="AD628" s="305">
        <f t="shared" si="1010"/>
        <v>11452.431</v>
      </c>
      <c r="AE628" s="306">
        <f t="shared" si="1010"/>
        <v>11145.155999999999</v>
      </c>
      <c r="AF628" s="306">
        <f t="shared" si="1010"/>
        <v>11017.581</v>
      </c>
      <c r="AG628" s="307">
        <f t="shared" ref="AG628:AM628" si="1011">(AG619+AG622+AG625)</f>
        <v>10918</v>
      </c>
      <c r="AH628" s="308">
        <f t="shared" si="1011"/>
        <v>10918</v>
      </c>
      <c r="AI628" s="305">
        <f t="shared" si="1011"/>
        <v>10998</v>
      </c>
      <c r="AJ628" s="306">
        <f t="shared" si="1011"/>
        <v>10928</v>
      </c>
      <c r="AK628" s="306">
        <f t="shared" si="1011"/>
        <v>10847</v>
      </c>
      <c r="AL628" s="307">
        <f t="shared" si="1011"/>
        <v>10729</v>
      </c>
      <c r="AM628" s="308">
        <f t="shared" si="1011"/>
        <v>10729</v>
      </c>
      <c r="AN628" s="305">
        <f t="shared" ref="AN628:AR628" si="1012">(AN619+AN622+AN625)</f>
        <v>10965</v>
      </c>
      <c r="AO628" s="306">
        <f t="shared" si="1012"/>
        <v>9982</v>
      </c>
      <c r="AP628" s="306">
        <f t="shared" si="1012"/>
        <v>10193</v>
      </c>
      <c r="AQ628" s="307">
        <f t="shared" si="1012"/>
        <v>4201</v>
      </c>
      <c r="AR628" s="308">
        <f t="shared" si="1012"/>
        <v>4201</v>
      </c>
      <c r="AS628" s="305">
        <f t="shared" ref="AS628" si="1013">(AS619+AS622+AS625)</f>
        <v>4119</v>
      </c>
      <c r="AT628" s="306">
        <f t="shared" ref="AT628:BB628" si="1014">(AT619+AT622+AT625)</f>
        <v>4152</v>
      </c>
      <c r="AU628" s="306">
        <f t="shared" si="1014"/>
        <v>4160</v>
      </c>
      <c r="AV628" s="307">
        <f t="shared" si="1014"/>
        <v>1450</v>
      </c>
      <c r="AW628" s="308">
        <f t="shared" si="1014"/>
        <v>1450</v>
      </c>
      <c r="AX628" s="305">
        <f t="shared" si="1014"/>
        <v>1477.6659999999997</v>
      </c>
      <c r="AY628" s="306">
        <f t="shared" si="1014"/>
        <v>1506.1151829999994</v>
      </c>
      <c r="AZ628" s="306">
        <f t="shared" si="1014"/>
        <v>1533.3773610164994</v>
      </c>
      <c r="BA628" s="307">
        <f t="shared" si="1014"/>
        <v>1559.4816156715954</v>
      </c>
      <c r="BB628" s="308">
        <f t="shared" si="1014"/>
        <v>1559.4816156715954</v>
      </c>
      <c r="BC628" s="305">
        <f t="shared" ref="BC628:BL628" si="1015">(BC619+BC622+BC625)</f>
        <v>1654.4563160876412</v>
      </c>
      <c r="BD628" s="306">
        <f t="shared" si="1015"/>
        <v>1748.3291363434939</v>
      </c>
      <c r="BE628" s="306">
        <f t="shared" si="1015"/>
        <v>1841.1270725030784</v>
      </c>
      <c r="BF628" s="307">
        <f t="shared" si="1015"/>
        <v>1932.876459226753</v>
      </c>
      <c r="BG628" s="308">
        <f t="shared" si="1015"/>
        <v>1932.876459226753</v>
      </c>
      <c r="BH628" s="305">
        <f t="shared" si="1015"/>
        <v>2023.6029859756973</v>
      </c>
      <c r="BI628" s="306">
        <f t="shared" si="1015"/>
        <v>2113.331712819293</v>
      </c>
      <c r="BJ628" s="306">
        <f t="shared" si="1015"/>
        <v>2202.0870858552207</v>
      </c>
      <c r="BK628" s="307">
        <f t="shared" si="1015"/>
        <v>2289.8929522517678</v>
      </c>
      <c r="BL628" s="308">
        <f t="shared" si="1015"/>
        <v>2289.8929522517678</v>
      </c>
      <c r="BM628" s="305">
        <f t="shared" ref="BM628:BQ628" si="1016">(BM619+BM622+BM625)</f>
        <v>2376.7725749215997</v>
      </c>
      <c r="BN628" s="306">
        <f t="shared" si="1016"/>
        <v>2462.7486468360203</v>
      </c>
      <c r="BO628" s="306">
        <f t="shared" si="1016"/>
        <v>2547.8433049885371</v>
      </c>
      <c r="BP628" s="307">
        <f t="shared" si="1016"/>
        <v>2632.0781440163187</v>
      </c>
      <c r="BQ628" s="308">
        <f t="shared" si="1016"/>
        <v>2632.0781440163187</v>
      </c>
      <c r="BR628" s="136"/>
      <c r="BS628" s="136"/>
      <c r="BT628" s="15"/>
      <c r="BU628" s="15"/>
      <c r="BV628" s="15"/>
      <c r="BW628" s="15"/>
      <c r="BX628" s="15"/>
      <c r="BY628" s="15"/>
      <c r="BZ628" s="15"/>
      <c r="CA628" s="15"/>
      <c r="CB628" s="15"/>
      <c r="CC628" s="15"/>
      <c r="CD628" s="15"/>
      <c r="CE628" s="15"/>
      <c r="CF628" s="15"/>
      <c r="CG628"/>
      <c r="CH628"/>
    </row>
    <row r="629" spans="1:86" s="359" customFormat="1">
      <c r="A629" s="726"/>
      <c r="B629" s="672"/>
      <c r="C629" s="1201" t="s">
        <v>408</v>
      </c>
      <c r="E629" s="723"/>
      <c r="F629" s="724"/>
      <c r="G629" s="724"/>
      <c r="H629" s="725"/>
      <c r="I629" s="672"/>
      <c r="J629" s="723"/>
      <c r="K629" s="724"/>
      <c r="L629" s="724"/>
      <c r="M629" s="725">
        <f t="shared" ref="M629:S629" si="1017">(M619+M622+M625)/M628</f>
        <v>1</v>
      </c>
      <c r="N629" s="672">
        <f t="shared" si="1017"/>
        <v>1</v>
      </c>
      <c r="O629" s="723">
        <f t="shared" si="1017"/>
        <v>1</v>
      </c>
      <c r="P629" s="724">
        <f t="shared" si="1017"/>
        <v>1</v>
      </c>
      <c r="Q629" s="724">
        <f t="shared" si="1017"/>
        <v>1</v>
      </c>
      <c r="R629" s="725">
        <f t="shared" si="1017"/>
        <v>1</v>
      </c>
      <c r="S629" s="672">
        <f t="shared" si="1017"/>
        <v>1</v>
      </c>
      <c r="T629" s="723">
        <f t="shared" ref="T629:AF629" si="1018">(T619+T622+T625)/T628</f>
        <v>1</v>
      </c>
      <c r="U629" s="724">
        <f t="shared" si="1018"/>
        <v>1</v>
      </c>
      <c r="V629" s="724">
        <f t="shared" si="1018"/>
        <v>1</v>
      </c>
      <c r="W629" s="725">
        <f t="shared" si="1018"/>
        <v>1</v>
      </c>
      <c r="X629" s="672">
        <f t="shared" si="1018"/>
        <v>1</v>
      </c>
      <c r="Y629" s="723">
        <f t="shared" si="1018"/>
        <v>1</v>
      </c>
      <c r="Z629" s="724">
        <f t="shared" si="1018"/>
        <v>1</v>
      </c>
      <c r="AA629" s="724">
        <f t="shared" si="1018"/>
        <v>1</v>
      </c>
      <c r="AB629" s="725">
        <f t="shared" si="1018"/>
        <v>1</v>
      </c>
      <c r="AC629" s="672">
        <f t="shared" si="1018"/>
        <v>1</v>
      </c>
      <c r="AD629" s="723">
        <f t="shared" si="1018"/>
        <v>1</v>
      </c>
      <c r="AE629" s="724">
        <f t="shared" si="1018"/>
        <v>1</v>
      </c>
      <c r="AF629" s="724">
        <f t="shared" si="1018"/>
        <v>1</v>
      </c>
      <c r="AG629" s="725">
        <f t="shared" ref="AG629:AM629" si="1019">(AG619+AG622+AG625)/AG628</f>
        <v>1</v>
      </c>
      <c r="AH629" s="672">
        <f t="shared" si="1019"/>
        <v>1</v>
      </c>
      <c r="AI629" s="723">
        <f t="shared" si="1019"/>
        <v>1</v>
      </c>
      <c r="AJ629" s="724">
        <f t="shared" si="1019"/>
        <v>1</v>
      </c>
      <c r="AK629" s="724">
        <f t="shared" si="1019"/>
        <v>1</v>
      </c>
      <c r="AL629" s="725">
        <f t="shared" si="1019"/>
        <v>1</v>
      </c>
      <c r="AM629" s="672">
        <f t="shared" si="1019"/>
        <v>1</v>
      </c>
      <c r="AN629" s="723">
        <f t="shared" ref="AN629:AR629" si="1020">(AN619+AN622+AN625)/AN628</f>
        <v>1</v>
      </c>
      <c r="AO629" s="724">
        <f t="shared" si="1020"/>
        <v>1</v>
      </c>
      <c r="AP629" s="724">
        <f t="shared" si="1020"/>
        <v>1</v>
      </c>
      <c r="AQ629" s="725">
        <f t="shared" si="1020"/>
        <v>1</v>
      </c>
      <c r="AR629" s="672">
        <f t="shared" si="1020"/>
        <v>1</v>
      </c>
      <c r="AS629" s="723">
        <f t="shared" ref="AS629" si="1021">(AS619+AS622+AS625)/AS628</f>
        <v>1</v>
      </c>
      <c r="AT629" s="724">
        <f t="shared" ref="AT629:BB629" si="1022">(AT619+AT622+AT625)/AT628</f>
        <v>1</v>
      </c>
      <c r="AU629" s="724">
        <f t="shared" si="1022"/>
        <v>1</v>
      </c>
      <c r="AV629" s="725">
        <f t="shared" si="1022"/>
        <v>1</v>
      </c>
      <c r="AW629" s="672">
        <f t="shared" si="1022"/>
        <v>1</v>
      </c>
      <c r="AX629" s="723">
        <f t="shared" si="1022"/>
        <v>1</v>
      </c>
      <c r="AY629" s="724">
        <f t="shared" si="1022"/>
        <v>1</v>
      </c>
      <c r="AZ629" s="724">
        <f t="shared" si="1022"/>
        <v>1</v>
      </c>
      <c r="BA629" s="725">
        <f t="shared" si="1022"/>
        <v>1</v>
      </c>
      <c r="BB629" s="672">
        <f t="shared" si="1022"/>
        <v>1</v>
      </c>
      <c r="BC629" s="723">
        <f t="shared" ref="BC629:BL629" si="1023">(BC619+BC622+BC625)/BC628</f>
        <v>1</v>
      </c>
      <c r="BD629" s="724">
        <f t="shared" si="1023"/>
        <v>1</v>
      </c>
      <c r="BE629" s="724">
        <f t="shared" si="1023"/>
        <v>1</v>
      </c>
      <c r="BF629" s="725">
        <f t="shared" si="1023"/>
        <v>1</v>
      </c>
      <c r="BG629" s="672">
        <f t="shared" si="1023"/>
        <v>1</v>
      </c>
      <c r="BH629" s="723">
        <f t="shared" si="1023"/>
        <v>1</v>
      </c>
      <c r="BI629" s="724">
        <f t="shared" si="1023"/>
        <v>1</v>
      </c>
      <c r="BJ629" s="724">
        <f t="shared" si="1023"/>
        <v>1</v>
      </c>
      <c r="BK629" s="725">
        <f t="shared" si="1023"/>
        <v>1</v>
      </c>
      <c r="BL629" s="672">
        <f t="shared" si="1023"/>
        <v>1</v>
      </c>
      <c r="BM629" s="723">
        <f t="shared" ref="BM629:BQ629" si="1024">(BM619+BM622+BM625)/BM628</f>
        <v>1</v>
      </c>
      <c r="BN629" s="724">
        <f t="shared" si="1024"/>
        <v>1</v>
      </c>
      <c r="BO629" s="724">
        <f t="shared" si="1024"/>
        <v>1</v>
      </c>
      <c r="BP629" s="725">
        <f t="shared" si="1024"/>
        <v>1</v>
      </c>
      <c r="BQ629" s="672">
        <f t="shared" si="1024"/>
        <v>1</v>
      </c>
      <c r="BR629" s="726"/>
      <c r="BS629" s="726"/>
      <c r="BT629" s="15"/>
      <c r="BU629" s="15"/>
      <c r="BV629" s="15"/>
      <c r="BW629" s="15"/>
      <c r="BX629" s="15"/>
      <c r="BY629" s="15"/>
      <c r="BZ629" s="15"/>
      <c r="CA629" s="15"/>
      <c r="CB629" s="15"/>
      <c r="CC629" s="15"/>
      <c r="CD629" s="15"/>
      <c r="CE629" s="15"/>
      <c r="CF629" s="15"/>
      <c r="CG629"/>
      <c r="CH629"/>
    </row>
    <row r="630" spans="1:86" s="359" customFormat="1">
      <c r="A630" s="726"/>
      <c r="B630" s="672"/>
      <c r="C630" s="1201"/>
      <c r="E630" s="723"/>
      <c r="F630" s="724"/>
      <c r="G630" s="724"/>
      <c r="H630" s="725"/>
      <c r="I630" s="672"/>
      <c r="J630" s="723"/>
      <c r="K630" s="724"/>
      <c r="L630" s="724"/>
      <c r="M630" s="725"/>
      <c r="N630" s="672"/>
      <c r="O630" s="723"/>
      <c r="P630" s="724"/>
      <c r="Q630" s="724"/>
      <c r="R630" s="725"/>
      <c r="S630" s="672"/>
      <c r="T630" s="723"/>
      <c r="U630" s="724"/>
      <c r="V630" s="724"/>
      <c r="W630" s="725"/>
      <c r="X630" s="672"/>
      <c r="Y630" s="723"/>
      <c r="Z630" s="724"/>
      <c r="AA630" s="724"/>
      <c r="AB630" s="725"/>
      <c r="AC630" s="672"/>
      <c r="AD630" s="723"/>
      <c r="AE630" s="724"/>
      <c r="AF630" s="724"/>
      <c r="AG630" s="725"/>
      <c r="AH630" s="672"/>
      <c r="AI630" s="723"/>
      <c r="AJ630" s="724"/>
      <c r="AK630" s="724"/>
      <c r="AL630" s="725"/>
      <c r="AM630" s="672"/>
      <c r="AN630" s="723"/>
      <c r="AO630" s="724"/>
      <c r="AP630" s="724"/>
      <c r="AQ630" s="725"/>
      <c r="AR630" s="672"/>
      <c r="AS630" s="723"/>
      <c r="AT630" s="724"/>
      <c r="AU630" s="724"/>
      <c r="AV630" s="725"/>
      <c r="AW630" s="672"/>
      <c r="AX630" s="723"/>
      <c r="AY630" s="724"/>
      <c r="AZ630" s="724"/>
      <c r="BA630" s="725"/>
      <c r="BB630" s="672"/>
      <c r="BC630" s="723"/>
      <c r="BD630" s="724"/>
      <c r="BE630" s="724"/>
      <c r="BF630" s="725"/>
      <c r="BG630" s="672"/>
      <c r="BH630" s="723"/>
      <c r="BI630" s="724"/>
      <c r="BJ630" s="724"/>
      <c r="BK630" s="725"/>
      <c r="BL630" s="672"/>
      <c r="BM630" s="723"/>
      <c r="BN630" s="724"/>
      <c r="BO630" s="724"/>
      <c r="BP630" s="725"/>
      <c r="BQ630" s="672"/>
      <c r="BR630" s="726"/>
      <c r="BS630" s="726"/>
      <c r="BT630" s="15"/>
      <c r="BU630" s="15"/>
      <c r="BV630" s="15"/>
      <c r="BW630" s="15"/>
      <c r="BX630" s="15"/>
      <c r="BY630" s="15"/>
      <c r="BZ630" s="15"/>
      <c r="CA630" s="15"/>
      <c r="CB630" s="15"/>
      <c r="CC630" s="15"/>
      <c r="CD630" s="15"/>
      <c r="CE630" s="15"/>
      <c r="CF630" s="15"/>
      <c r="CG630"/>
      <c r="CH630"/>
    </row>
    <row r="631" spans="1:86" s="359" customFormat="1">
      <c r="A631" s="726"/>
      <c r="B631" s="672"/>
      <c r="C631" s="1201"/>
      <c r="E631" s="723"/>
      <c r="F631" s="724"/>
      <c r="G631" s="724"/>
      <c r="H631" s="725"/>
      <c r="I631" s="672"/>
      <c r="J631" s="723"/>
      <c r="K631" s="724"/>
      <c r="L631" s="724"/>
      <c r="M631" s="725"/>
      <c r="N631" s="672"/>
      <c r="O631" s="723"/>
      <c r="P631" s="724"/>
      <c r="Q631" s="724"/>
      <c r="R631" s="725"/>
      <c r="S631" s="672"/>
      <c r="T631" s="723"/>
      <c r="U631" s="724"/>
      <c r="V631" s="724"/>
      <c r="W631" s="725"/>
      <c r="X631" s="672"/>
      <c r="Y631" s="723"/>
      <c r="Z631" s="724"/>
      <c r="AA631" s="724"/>
      <c r="AB631" s="725"/>
      <c r="AC631" s="672"/>
      <c r="AD631" s="723"/>
      <c r="AE631" s="724"/>
      <c r="AF631" s="724"/>
      <c r="AG631" s="725"/>
      <c r="AH631" s="672"/>
      <c r="AI631" s="723"/>
      <c r="AJ631" s="724"/>
      <c r="AK631" s="724"/>
      <c r="AL631" s="725"/>
      <c r="AM631" s="672"/>
      <c r="AN631" s="723"/>
      <c r="AO631" s="724"/>
      <c r="AP631" s="724"/>
      <c r="AQ631" s="725"/>
      <c r="AR631" s="672"/>
      <c r="AS631" s="723"/>
      <c r="AT631" s="724"/>
      <c r="AU631" s="724"/>
      <c r="AV631" s="725"/>
      <c r="AW631" s="672"/>
      <c r="AX631" s="723"/>
      <c r="AY631" s="724"/>
      <c r="AZ631" s="724"/>
      <c r="BA631" s="725"/>
      <c r="BB631" s="672"/>
      <c r="BC631" s="723"/>
      <c r="BD631" s="724"/>
      <c r="BE631" s="724"/>
      <c r="BF631" s="725"/>
      <c r="BG631" s="672"/>
      <c r="BH631" s="723"/>
      <c r="BI631" s="724"/>
      <c r="BJ631" s="724"/>
      <c r="BK631" s="725"/>
      <c r="BL631" s="672"/>
      <c r="BM631" s="723"/>
      <c r="BN631" s="724"/>
      <c r="BO631" s="724"/>
      <c r="BP631" s="725"/>
      <c r="BQ631" s="672"/>
      <c r="BR631" s="726"/>
      <c r="BS631" s="726"/>
      <c r="BT631" s="15"/>
      <c r="BU631" s="15"/>
      <c r="BV631" s="15"/>
      <c r="BW631" s="15"/>
      <c r="BX631" s="15"/>
      <c r="BY631" s="15"/>
      <c r="BZ631" s="15"/>
      <c r="CA631" s="15"/>
      <c r="CB631" s="15"/>
      <c r="CC631" s="15"/>
      <c r="CD631" s="15"/>
      <c r="CE631" s="15"/>
      <c r="CF631" s="15"/>
      <c r="CG631"/>
      <c r="CH631"/>
    </row>
    <row r="632" spans="1:86">
      <c r="A632" s="139"/>
      <c r="B632" s="126" t="s">
        <v>409</v>
      </c>
      <c r="C632" s="1185"/>
      <c r="D632" s="770"/>
      <c r="E632" s="288"/>
      <c r="F632" s="289"/>
      <c r="G632" s="289"/>
      <c r="H632" s="299"/>
      <c r="I632" s="291"/>
      <c r="J632" s="288"/>
      <c r="K632" s="289"/>
      <c r="L632" s="289"/>
      <c r="M632" s="299"/>
      <c r="N632" s="315"/>
      <c r="O632" s="288"/>
      <c r="P632" s="289"/>
      <c r="Q632" s="289"/>
      <c r="R632" s="299"/>
      <c r="S632" s="315"/>
      <c r="T632" s="133"/>
      <c r="U632" s="134"/>
      <c r="V632" s="134"/>
      <c r="W632" s="135"/>
      <c r="X632" s="178"/>
      <c r="Y632" s="133"/>
      <c r="Z632" s="134"/>
      <c r="AA632" s="134"/>
      <c r="AB632" s="135"/>
      <c r="AC632" s="178"/>
      <c r="AD632" s="133"/>
      <c r="AE632" s="134"/>
      <c r="AF632" s="134"/>
      <c r="AG632" s="135"/>
      <c r="AH632" s="178"/>
      <c r="AI632" s="133"/>
      <c r="AJ632" s="134"/>
      <c r="AK632" s="134"/>
      <c r="AL632" s="135"/>
      <c r="AM632" s="178"/>
      <c r="AN632" s="133"/>
      <c r="AO632" s="134"/>
      <c r="AP632" s="134"/>
      <c r="AQ632" s="135"/>
      <c r="AR632" s="178"/>
      <c r="AS632" s="133"/>
      <c r="AT632" s="134"/>
      <c r="AU632" s="134"/>
      <c r="AV632" s="135"/>
      <c r="AW632" s="178"/>
      <c r="AX632" s="133"/>
      <c r="AY632" s="134"/>
      <c r="AZ632" s="134"/>
      <c r="BA632" s="135"/>
      <c r="BB632" s="178"/>
      <c r="BC632" s="133"/>
      <c r="BD632" s="134"/>
      <c r="BE632" s="134"/>
      <c r="BF632" s="135"/>
      <c r="BG632" s="178"/>
      <c r="BH632" s="133"/>
      <c r="BI632" s="134"/>
      <c r="BJ632" s="134"/>
      <c r="BK632" s="135"/>
      <c r="BL632" s="178"/>
      <c r="BM632" s="133"/>
      <c r="BN632" s="134"/>
      <c r="BO632" s="134"/>
      <c r="BP632" s="135"/>
      <c r="BQ632" s="178"/>
      <c r="BT632" s="15"/>
      <c r="BU632" s="15"/>
      <c r="BV632" s="15"/>
      <c r="BW632" s="15"/>
      <c r="BX632" s="15"/>
      <c r="BY632" s="15"/>
      <c r="BZ632" s="15"/>
      <c r="CA632" s="15"/>
      <c r="CB632" s="15"/>
      <c r="CC632" s="15"/>
      <c r="CD632" s="15"/>
      <c r="CE632" s="15"/>
      <c r="CF632" s="15"/>
    </row>
    <row r="633" spans="1:86">
      <c r="A633" s="139"/>
      <c r="B633" s="96"/>
      <c r="C633" s="1198" t="s">
        <v>571</v>
      </c>
      <c r="E633" s="288"/>
      <c r="F633" s="289"/>
      <c r="G633" s="289"/>
      <c r="H633" s="299"/>
      <c r="I633" s="291"/>
      <c r="J633" s="288"/>
      <c r="K633" s="289"/>
      <c r="L633" s="289"/>
      <c r="M633" s="299"/>
      <c r="N633" s="315"/>
      <c r="O633" s="296"/>
      <c r="P633" s="297"/>
      <c r="Q633" s="297"/>
      <c r="R633" s="290"/>
      <c r="S633" s="298">
        <f>S36+S13+S261</f>
        <v>956</v>
      </c>
      <c r="T633" s="296"/>
      <c r="U633" s="297"/>
      <c r="V633" s="297"/>
      <c r="W633" s="290"/>
      <c r="X633" s="298">
        <f>X36+X13+X261</f>
        <v>892</v>
      </c>
      <c r="Y633" s="296"/>
      <c r="Z633" s="297"/>
      <c r="AA633" s="297"/>
      <c r="AB633" s="290"/>
      <c r="AC633" s="298">
        <f>AC36+AC13+AC261</f>
        <v>990.67731200000003</v>
      </c>
      <c r="AD633" s="296"/>
      <c r="AE633" s="297"/>
      <c r="AF633" s="297"/>
      <c r="AG633" s="290"/>
      <c r="AH633" s="298">
        <f>AH36+AH13+AH261</f>
        <v>702.08554800000002</v>
      </c>
      <c r="AI633" s="296"/>
      <c r="AJ633" s="297"/>
      <c r="AK633" s="297"/>
      <c r="AL633" s="290"/>
      <c r="AM633" s="298">
        <f>AM36+AM13+AM261</f>
        <v>870.15077425920003</v>
      </c>
      <c r="AN633" s="296"/>
      <c r="AO633" s="297"/>
      <c r="AP633" s="297"/>
      <c r="AQ633" s="290"/>
      <c r="AR633" s="298">
        <f>AR36+AR13+AR261</f>
        <v>875.75508373638399</v>
      </c>
      <c r="AS633" s="296"/>
      <c r="AT633" s="297"/>
      <c r="AU633" s="297"/>
      <c r="AV633" s="290"/>
      <c r="AW633" s="298">
        <f>AW36+AW13+AW261</f>
        <v>562.73773624847558</v>
      </c>
      <c r="AX633" s="296"/>
      <c r="AY633" s="297"/>
      <c r="AZ633" s="297"/>
      <c r="BA633" s="290"/>
      <c r="BB633" s="298">
        <f>BB36+BB13+BB261</f>
        <v>265.24051046697696</v>
      </c>
      <c r="BC633" s="296"/>
      <c r="BD633" s="297"/>
      <c r="BE633" s="297"/>
      <c r="BF633" s="290"/>
      <c r="BG633" s="298">
        <f>BG36+BG13+BG261</f>
        <v>181.08680649706366</v>
      </c>
      <c r="BH633" s="296"/>
      <c r="BI633" s="297"/>
      <c r="BJ633" s="297"/>
      <c r="BK633" s="290"/>
      <c r="BL633" s="298">
        <f>BL36+BL13+BL261</f>
        <v>163.72621890030678</v>
      </c>
      <c r="BM633" s="296"/>
      <c r="BN633" s="297"/>
      <c r="BO633" s="297"/>
      <c r="BP633" s="290"/>
      <c r="BQ633" s="298">
        <f>BQ36+BQ13+BQ261</f>
        <v>285.04398791379572</v>
      </c>
      <c r="BT633" s="15"/>
      <c r="BU633" s="15"/>
      <c r="BV633" s="15"/>
      <c r="BW633" s="15"/>
      <c r="BX633" s="15"/>
      <c r="BY633" s="15"/>
      <c r="BZ633" s="15"/>
      <c r="CA633" s="15"/>
      <c r="CB633" s="15"/>
      <c r="CC633" s="15"/>
      <c r="CE633" s="15"/>
      <c r="CF633" s="15"/>
    </row>
    <row r="634" spans="1:86">
      <c r="A634" s="139"/>
      <c r="B634" s="96"/>
      <c r="C634" s="1198" t="s">
        <v>411</v>
      </c>
      <c r="E634" s="288"/>
      <c r="F634" s="289"/>
      <c r="G634" s="289"/>
      <c r="H634" s="299"/>
      <c r="I634" s="291"/>
      <c r="J634" s="288"/>
      <c r="K634" s="289"/>
      <c r="L634" s="289"/>
      <c r="M634" s="299"/>
      <c r="N634" s="315"/>
      <c r="O634" s="296"/>
      <c r="P634" s="297"/>
      <c r="Q634" s="297"/>
      <c r="R634" s="290"/>
      <c r="S634" s="298">
        <f>S17</f>
        <v>762</v>
      </c>
      <c r="T634" s="296"/>
      <c r="U634" s="297"/>
      <c r="V634" s="297"/>
      <c r="W634" s="290"/>
      <c r="X634" s="298">
        <f>X17</f>
        <v>695</v>
      </c>
      <c r="Y634" s="296"/>
      <c r="Z634" s="297"/>
      <c r="AA634" s="297"/>
      <c r="AB634" s="290"/>
      <c r="AC634" s="298">
        <f>AC17</f>
        <v>303</v>
      </c>
      <c r="AD634" s="296"/>
      <c r="AE634" s="297"/>
      <c r="AF634" s="297"/>
      <c r="AG634" s="290"/>
      <c r="AH634" s="298">
        <f>AH17</f>
        <v>-207</v>
      </c>
      <c r="AI634" s="296"/>
      <c r="AJ634" s="297"/>
      <c r="AK634" s="297"/>
      <c r="AL634" s="290"/>
      <c r="AM634" s="298">
        <f>AM17</f>
        <v>402</v>
      </c>
      <c r="AN634" s="296"/>
      <c r="AO634" s="297"/>
      <c r="AP634" s="297"/>
      <c r="AQ634" s="290"/>
      <c r="AR634" s="298">
        <f>AR17</f>
        <v>384</v>
      </c>
      <c r="AS634" s="296"/>
      <c r="AT634" s="297"/>
      <c r="AU634" s="297"/>
      <c r="AV634" s="290"/>
      <c r="AW634" s="298">
        <f>AW17</f>
        <v>-11</v>
      </c>
      <c r="AX634" s="296"/>
      <c r="AY634" s="297"/>
      <c r="AZ634" s="297"/>
      <c r="BA634" s="290"/>
      <c r="BB634" s="298">
        <f>BB17</f>
        <v>26.769580541818868</v>
      </c>
      <c r="BC634" s="296"/>
      <c r="BD634" s="297"/>
      <c r="BE634" s="297"/>
      <c r="BF634" s="290"/>
      <c r="BG634" s="298">
        <f>BG17</f>
        <v>-175.37176347623426</v>
      </c>
      <c r="BH634" s="296"/>
      <c r="BI634" s="297"/>
      <c r="BJ634" s="297"/>
      <c r="BK634" s="290"/>
      <c r="BL634" s="298">
        <f>BL17</f>
        <v>-239.975915514588</v>
      </c>
      <c r="BM634" s="296"/>
      <c r="BN634" s="297"/>
      <c r="BO634" s="297"/>
      <c r="BP634" s="290"/>
      <c r="BQ634" s="298">
        <f>BQ17</f>
        <v>-80.913027614057683</v>
      </c>
      <c r="BU634" s="15"/>
      <c r="BV634" s="15"/>
      <c r="BW634" s="15"/>
      <c r="BX634" s="15"/>
      <c r="BY634" s="15"/>
      <c r="BZ634" s="15"/>
      <c r="CA634" s="15"/>
      <c r="CB634" s="15"/>
      <c r="CC634" s="15"/>
      <c r="CE634" s="15"/>
      <c r="CF634" s="15"/>
    </row>
    <row r="635" spans="1:86">
      <c r="A635" s="139"/>
      <c r="B635" s="96"/>
      <c r="C635" s="1198" t="s">
        <v>412</v>
      </c>
      <c r="E635" s="288"/>
      <c r="F635" s="289"/>
      <c r="G635" s="289"/>
      <c r="H635" s="299"/>
      <c r="I635" s="291"/>
      <c r="J635" s="288"/>
      <c r="K635" s="289"/>
      <c r="L635" s="289"/>
      <c r="M635" s="299"/>
      <c r="N635" s="315"/>
      <c r="O635" s="296"/>
      <c r="P635" s="297"/>
      <c r="Q635" s="297"/>
      <c r="R635" s="290"/>
      <c r="S635" s="298">
        <f>S22</f>
        <v>1272</v>
      </c>
      <c r="T635" s="296"/>
      <c r="U635" s="297"/>
      <c r="V635" s="297"/>
      <c r="W635" s="290"/>
      <c r="X635" s="298">
        <f>X22</f>
        <v>960</v>
      </c>
      <c r="Y635" s="296"/>
      <c r="Z635" s="297"/>
      <c r="AA635" s="297"/>
      <c r="AB635" s="290"/>
      <c r="AC635" s="298">
        <f>AC22</f>
        <v>241</v>
      </c>
      <c r="AD635" s="296"/>
      <c r="AE635" s="297"/>
      <c r="AF635" s="297"/>
      <c r="AG635" s="290"/>
      <c r="AH635" s="298">
        <f>AH22</f>
        <v>-110</v>
      </c>
      <c r="AI635" s="296"/>
      <c r="AJ635" s="297"/>
      <c r="AK635" s="297"/>
      <c r="AL635" s="290"/>
      <c r="AM635" s="298">
        <f>AM22</f>
        <v>686</v>
      </c>
      <c r="AN635" s="296"/>
      <c r="AO635" s="297"/>
      <c r="AP635" s="297"/>
      <c r="AQ635" s="290"/>
      <c r="AR635" s="298">
        <f>AR22</f>
        <v>-9873</v>
      </c>
      <c r="AS635" s="296"/>
      <c r="AT635" s="297"/>
      <c r="AU635" s="297"/>
      <c r="AV635" s="290"/>
      <c r="AW635" s="298">
        <f>AW22</f>
        <v>-2216</v>
      </c>
      <c r="AX635" s="296"/>
      <c r="AY635" s="297"/>
      <c r="AZ635" s="297"/>
      <c r="BA635" s="290"/>
      <c r="BB635" s="298">
        <f>BB22</f>
        <v>125.28796487022311</v>
      </c>
      <c r="BC635" s="296"/>
      <c r="BD635" s="297"/>
      <c r="BE635" s="297"/>
      <c r="BF635" s="290"/>
      <c r="BG635" s="298">
        <f>BG22</f>
        <v>-63.766607031391928</v>
      </c>
      <c r="BH635" s="296"/>
      <c r="BI635" s="297"/>
      <c r="BJ635" s="297"/>
      <c r="BK635" s="290"/>
      <c r="BL635" s="298">
        <f>BL22</f>
        <v>-111.99240853960237</v>
      </c>
      <c r="BM635" s="296"/>
      <c r="BN635" s="297"/>
      <c r="BO635" s="297"/>
      <c r="BP635" s="290"/>
      <c r="BQ635" s="298">
        <f>BQ22</f>
        <v>61.901780621391481</v>
      </c>
      <c r="BU635" s="15"/>
      <c r="BV635" s="15"/>
      <c r="BW635" s="15"/>
      <c r="BX635" s="15"/>
      <c r="BY635" s="15"/>
      <c r="BZ635" s="15"/>
    </row>
    <row r="636" spans="1:86">
      <c r="A636" s="139"/>
      <c r="B636" s="96"/>
      <c r="C636" s="1198" t="s">
        <v>413</v>
      </c>
      <c r="E636" s="288"/>
      <c r="F636" s="289"/>
      <c r="G636" s="289"/>
      <c r="H636" s="299"/>
      <c r="I636" s="291"/>
      <c r="J636" s="288"/>
      <c r="K636" s="289"/>
      <c r="L636" s="289"/>
      <c r="M636" s="299"/>
      <c r="N636" s="315"/>
      <c r="O636" s="296"/>
      <c r="P636" s="297"/>
      <c r="Q636" s="297"/>
      <c r="R636" s="290"/>
      <c r="S636" s="298">
        <f>S24</f>
        <v>298</v>
      </c>
      <c r="T636" s="296"/>
      <c r="U636" s="297"/>
      <c r="V636" s="297"/>
      <c r="W636" s="290"/>
      <c r="X636" s="298">
        <f>X24</f>
        <v>284</v>
      </c>
      <c r="Y636" s="296"/>
      <c r="Z636" s="297"/>
      <c r="AA636" s="297"/>
      <c r="AB636" s="290"/>
      <c r="AC636" s="298">
        <f>AC24</f>
        <v>222</v>
      </c>
      <c r="AD636" s="296"/>
      <c r="AE636" s="297"/>
      <c r="AF636" s="297"/>
      <c r="AG636" s="290"/>
      <c r="AH636" s="298">
        <f>AH24</f>
        <v>189</v>
      </c>
      <c r="AI636" s="296"/>
      <c r="AJ636" s="297"/>
      <c r="AK636" s="297"/>
      <c r="AL636" s="290"/>
      <c r="AM636" s="298">
        <f>AM24</f>
        <v>192</v>
      </c>
      <c r="AN636" s="296"/>
      <c r="AO636" s="297"/>
      <c r="AP636" s="297"/>
      <c r="AQ636" s="290"/>
      <c r="AR636" s="298">
        <f>AR24</f>
        <v>194</v>
      </c>
      <c r="AS636" s="296"/>
      <c r="AT636" s="297"/>
      <c r="AU636" s="297"/>
      <c r="AV636" s="290"/>
      <c r="AW636" s="298">
        <f>AW24</f>
        <v>179</v>
      </c>
      <c r="AX636" s="296"/>
      <c r="AY636" s="297"/>
      <c r="AZ636" s="297"/>
      <c r="BA636" s="290"/>
      <c r="BB636" s="298">
        <f>BB24</f>
        <v>171.26100917890173</v>
      </c>
      <c r="BC636" s="296"/>
      <c r="BD636" s="297"/>
      <c r="BE636" s="297"/>
      <c r="BF636" s="290"/>
      <c r="BG636" s="298">
        <f>BG24</f>
        <v>167.98714816469686</v>
      </c>
      <c r="BH636" s="296"/>
      <c r="BI636" s="297"/>
      <c r="BJ636" s="297"/>
      <c r="BK636" s="290"/>
      <c r="BL636" s="298">
        <f>BL24</f>
        <v>169.04818828266107</v>
      </c>
      <c r="BM636" s="296"/>
      <c r="BN636" s="297"/>
      <c r="BO636" s="297"/>
      <c r="BP636" s="290"/>
      <c r="BQ636" s="298">
        <f>BQ24</f>
        <v>171.55959866970289</v>
      </c>
    </row>
    <row r="637" spans="1:86">
      <c r="A637" s="139"/>
      <c r="B637" s="96"/>
      <c r="C637" s="1198" t="s">
        <v>414</v>
      </c>
      <c r="E637" s="288"/>
      <c r="F637" s="289"/>
      <c r="G637" s="289"/>
      <c r="H637" s="299"/>
      <c r="I637" s="291"/>
      <c r="J637" s="288"/>
      <c r="K637" s="289"/>
      <c r="L637" s="289"/>
      <c r="M637" s="299"/>
      <c r="N637" s="315"/>
      <c r="O637" s="296"/>
      <c r="P637" s="297"/>
      <c r="Q637" s="297"/>
      <c r="R637" s="290"/>
      <c r="S637" s="298">
        <f>S36</f>
        <v>541</v>
      </c>
      <c r="T637" s="296"/>
      <c r="U637" s="297"/>
      <c r="V637" s="297"/>
      <c r="W637" s="290"/>
      <c r="X637" s="298">
        <f>X36</f>
        <v>478</v>
      </c>
      <c r="Y637" s="296"/>
      <c r="Z637" s="297"/>
      <c r="AA637" s="297"/>
      <c r="AB637" s="290"/>
      <c r="AC637" s="298">
        <f>AC36</f>
        <v>307</v>
      </c>
      <c r="AD637" s="296"/>
      <c r="AE637" s="297"/>
      <c r="AF637" s="297"/>
      <c r="AG637" s="290"/>
      <c r="AH637" s="298">
        <f>AH36</f>
        <v>99</v>
      </c>
      <c r="AI637" s="296"/>
      <c r="AJ637" s="297"/>
      <c r="AK637" s="297"/>
      <c r="AL637" s="290"/>
      <c r="AM637" s="298">
        <f>AM36</f>
        <v>260</v>
      </c>
      <c r="AN637" s="296"/>
      <c r="AO637" s="297"/>
      <c r="AP637" s="297"/>
      <c r="AQ637" s="290"/>
      <c r="AR637" s="298">
        <f>AR36</f>
        <v>256</v>
      </c>
      <c r="AS637" s="296"/>
      <c r="AT637" s="297"/>
      <c r="AU637" s="297"/>
      <c r="AV637" s="290"/>
      <c r="AW637" s="298">
        <f>AW36</f>
        <v>205</v>
      </c>
      <c r="AX637" s="296"/>
      <c r="AY637" s="297"/>
      <c r="AZ637" s="297"/>
      <c r="BA637" s="290"/>
      <c r="BB637" s="298">
        <f>BB36</f>
        <v>-61.4196000413625</v>
      </c>
      <c r="BC637" s="296"/>
      <c r="BD637" s="297"/>
      <c r="BE637" s="297"/>
      <c r="BF637" s="290"/>
      <c r="BG637" s="298">
        <f>BG36</f>
        <v>-189.85611433378648</v>
      </c>
      <c r="BH637" s="296"/>
      <c r="BI637" s="297"/>
      <c r="BJ637" s="297"/>
      <c r="BK637" s="290"/>
      <c r="BL637" s="298">
        <f>BL36</f>
        <v>-231.22518539226689</v>
      </c>
      <c r="BM637" s="296"/>
      <c r="BN637" s="297"/>
      <c r="BO637" s="297"/>
      <c r="BP637" s="290"/>
      <c r="BQ637" s="298">
        <f>BQ36</f>
        <v>-132.59775455876911</v>
      </c>
    </row>
    <row r="638" spans="1:86">
      <c r="A638" s="139"/>
      <c r="B638" s="100"/>
      <c r="C638" s="1179"/>
      <c r="E638" s="288"/>
      <c r="F638" s="289"/>
      <c r="G638" s="289"/>
      <c r="H638" s="299"/>
      <c r="I638" s="291"/>
      <c r="J638" s="288"/>
      <c r="K638" s="289"/>
      <c r="L638" s="289"/>
      <c r="M638" s="299"/>
      <c r="N638" s="315"/>
      <c r="O638" s="296"/>
      <c r="P638" s="297"/>
      <c r="Q638" s="297"/>
      <c r="R638" s="290"/>
      <c r="S638" s="298"/>
      <c r="T638" s="296"/>
      <c r="U638" s="297"/>
      <c r="V638" s="297"/>
      <c r="W638" s="290"/>
      <c r="X638" s="298"/>
      <c r="Y638" s="296"/>
      <c r="Z638" s="297"/>
      <c r="AA638" s="297"/>
      <c r="AB638" s="290"/>
      <c r="AC638" s="298"/>
      <c r="AD638" s="296"/>
      <c r="AE638" s="297"/>
      <c r="AF638" s="297"/>
      <c r="AG638" s="290"/>
      <c r="AH638" s="298"/>
      <c r="AI638" s="296"/>
      <c r="AJ638" s="297"/>
      <c r="AK638" s="297"/>
      <c r="AL638" s="290"/>
      <c r="AM638" s="298"/>
      <c r="AN638" s="296"/>
      <c r="AO638" s="297"/>
      <c r="AP638" s="297"/>
      <c r="AQ638" s="290"/>
      <c r="AR638" s="298"/>
      <c r="AS638" s="296"/>
      <c r="AT638" s="297"/>
      <c r="AU638" s="297"/>
      <c r="AV638" s="290"/>
      <c r="AW638" s="298"/>
      <c r="AX638" s="296"/>
      <c r="AY638" s="297"/>
      <c r="AZ638" s="297"/>
      <c r="BA638" s="290"/>
      <c r="BB638" s="298"/>
      <c r="BC638" s="296"/>
      <c r="BD638" s="297"/>
      <c r="BE638" s="297"/>
      <c r="BF638" s="290"/>
      <c r="BG638" s="298"/>
      <c r="BH638" s="296"/>
      <c r="BI638" s="297"/>
      <c r="BJ638" s="297"/>
      <c r="BK638" s="290"/>
      <c r="BL638" s="298"/>
      <c r="BM638" s="296"/>
      <c r="BN638" s="297"/>
      <c r="BO638" s="297"/>
      <c r="BP638" s="290"/>
      <c r="BQ638" s="298"/>
      <c r="CD638" s="746"/>
    </row>
    <row r="639" spans="1:86">
      <c r="A639" s="139"/>
      <c r="B639" s="100"/>
      <c r="C639" s="1233" t="s">
        <v>40</v>
      </c>
      <c r="E639" s="288"/>
      <c r="F639" s="289"/>
      <c r="G639" s="289"/>
      <c r="H639" s="299"/>
      <c r="I639" s="291"/>
      <c r="J639" s="288"/>
      <c r="K639" s="289"/>
      <c r="L639" s="289"/>
      <c r="M639" s="299"/>
      <c r="N639" s="315"/>
      <c r="O639" s="296"/>
      <c r="P639" s="297"/>
      <c r="Q639" s="297"/>
      <c r="R639" s="290"/>
      <c r="S639" s="298"/>
      <c r="T639" s="296"/>
      <c r="U639" s="297"/>
      <c r="V639" s="297"/>
      <c r="W639" s="290"/>
      <c r="X639" s="298"/>
      <c r="Y639" s="296"/>
      <c r="Z639" s="297"/>
      <c r="AA639" s="297"/>
      <c r="AB639" s="290"/>
      <c r="AC639" s="298"/>
      <c r="AD639" s="296"/>
      <c r="AE639" s="297"/>
      <c r="AF639" s="297"/>
      <c r="AG639" s="290"/>
      <c r="AH639" s="298"/>
      <c r="AI639" s="296"/>
      <c r="AJ639" s="297"/>
      <c r="AK639" s="297"/>
      <c r="AL639" s="290"/>
      <c r="AM639" s="298"/>
      <c r="AN639" s="296"/>
      <c r="AO639" s="297"/>
      <c r="AP639" s="297"/>
      <c r="AQ639" s="290"/>
      <c r="AR639" s="298"/>
      <c r="AS639" s="296"/>
      <c r="AT639" s="297"/>
      <c r="AU639" s="297"/>
      <c r="AV639" s="290"/>
      <c r="AW639" s="298"/>
      <c r="AX639" s="296"/>
      <c r="AY639" s="297"/>
      <c r="AZ639" s="297"/>
      <c r="BA639" s="290"/>
      <c r="BB639" s="298"/>
      <c r="BC639" s="296"/>
      <c r="BD639" s="297"/>
      <c r="BE639" s="297"/>
      <c r="BF639" s="290"/>
      <c r="BG639" s="298"/>
      <c r="BH639" s="296"/>
      <c r="BI639" s="297"/>
      <c r="BJ639" s="297"/>
      <c r="BK639" s="290"/>
      <c r="BL639" s="298"/>
      <c r="BM639" s="296"/>
      <c r="BN639" s="297"/>
      <c r="BO639" s="297"/>
      <c r="BP639" s="290"/>
      <c r="BQ639" s="298"/>
      <c r="BT639" s="746"/>
      <c r="CD639" s="746"/>
    </row>
    <row r="640" spans="1:86" s="746" customFormat="1">
      <c r="A640" s="201"/>
      <c r="B640" s="679"/>
      <c r="C640" s="1231" t="s">
        <v>415</v>
      </c>
      <c r="E640" s="783"/>
      <c r="F640" s="784"/>
      <c r="G640" s="784"/>
      <c r="H640" s="785"/>
      <c r="I640" s="786"/>
      <c r="J640" s="783"/>
      <c r="K640" s="784"/>
      <c r="L640" s="784"/>
      <c r="M640" s="785"/>
      <c r="N640" s="744"/>
      <c r="O640" s="699"/>
      <c r="P640" s="700"/>
      <c r="Q640" s="700"/>
      <c r="R640" s="701"/>
      <c r="S640" s="787">
        <f>S618/S628</f>
        <v>0.46492670064055974</v>
      </c>
      <c r="T640" s="699"/>
      <c r="U640" s="700"/>
      <c r="V640" s="700"/>
      <c r="W640" s="701"/>
      <c r="X640" s="787">
        <f>X618/X628</f>
        <v>0.45133682623052468</v>
      </c>
      <c r="Y640" s="699"/>
      <c r="Z640" s="700"/>
      <c r="AA640" s="700"/>
      <c r="AB640" s="701"/>
      <c r="AC640" s="787">
        <f>AC618/AC628</f>
        <v>0.31859744186756117</v>
      </c>
      <c r="AD640" s="699"/>
      <c r="AE640" s="700"/>
      <c r="AF640" s="700"/>
      <c r="AG640" s="701"/>
      <c r="AH640" s="787">
        <f>AH618/AH628</f>
        <v>0.33943945777614948</v>
      </c>
      <c r="AI640" s="699"/>
      <c r="AJ640" s="700"/>
      <c r="AK640" s="700"/>
      <c r="AL640" s="701"/>
      <c r="AM640" s="787">
        <f>AM618/AM628</f>
        <v>0.33852176344486906</v>
      </c>
      <c r="AN640" s="699"/>
      <c r="AO640" s="700"/>
      <c r="AP640" s="700"/>
      <c r="AQ640" s="701"/>
      <c r="AR640" s="787">
        <f>AR618/AR628</f>
        <v>0.85336824565579628</v>
      </c>
      <c r="AS640" s="699"/>
      <c r="AT640" s="700"/>
      <c r="AU640" s="700"/>
      <c r="AV640" s="701"/>
      <c r="AW640" s="787">
        <f>AW618/AW628</f>
        <v>2.3572413793103446</v>
      </c>
      <c r="AX640" s="699"/>
      <c r="AY640" s="700"/>
      <c r="AZ640" s="700"/>
      <c r="BA640" s="701"/>
      <c r="BB640" s="787">
        <f>BB618/BB628</f>
        <v>2.0735993085801017</v>
      </c>
      <c r="BC640" s="699"/>
      <c r="BD640" s="700"/>
      <c r="BE640" s="700"/>
      <c r="BF640" s="701"/>
      <c r="BG640" s="787">
        <f>BG618/BG628</f>
        <v>1.5459177360954439</v>
      </c>
      <c r="BH640" s="699"/>
      <c r="BI640" s="700"/>
      <c r="BJ640" s="700"/>
      <c r="BK640" s="701"/>
      <c r="BL640" s="787">
        <f>BL618/BL628</f>
        <v>1.33677340549474</v>
      </c>
      <c r="BM640" s="699"/>
      <c r="BN640" s="700"/>
      <c r="BO640" s="700"/>
      <c r="BP640" s="701"/>
      <c r="BQ640" s="787">
        <f>BQ618/BQ628</f>
        <v>1.2266972420025466</v>
      </c>
      <c r="BR640" s="673"/>
      <c r="BS640" s="673"/>
      <c r="BU640"/>
      <c r="BV640"/>
      <c r="BW640"/>
      <c r="BX640"/>
      <c r="BY640"/>
      <c r="BZ640"/>
      <c r="CD640"/>
    </row>
    <row r="641" spans="1:82" s="746" customFormat="1">
      <c r="A641" s="201"/>
      <c r="B641" s="679"/>
      <c r="C641" s="1231" t="s">
        <v>416</v>
      </c>
      <c r="E641" s="783"/>
      <c r="F641" s="784"/>
      <c r="G641" s="784"/>
      <c r="H641" s="785"/>
      <c r="I641" s="786"/>
      <c r="J641" s="783"/>
      <c r="K641" s="784"/>
      <c r="L641" s="784"/>
      <c r="M641" s="785"/>
      <c r="N641" s="744"/>
      <c r="O641" s="699"/>
      <c r="P641" s="700"/>
      <c r="Q641" s="700"/>
      <c r="R641" s="701"/>
      <c r="S641" s="787">
        <f>S619/S628</f>
        <v>0.46492670064055974</v>
      </c>
      <c r="T641" s="699"/>
      <c r="U641" s="700"/>
      <c r="V641" s="700"/>
      <c r="W641" s="701"/>
      <c r="X641" s="787">
        <f>X619/X628</f>
        <v>0.46066000723573691</v>
      </c>
      <c r="Y641" s="699"/>
      <c r="Z641" s="700"/>
      <c r="AA641" s="700"/>
      <c r="AB641" s="701"/>
      <c r="AC641" s="787">
        <f>AC619/AC628</f>
        <v>0.36013345014174514</v>
      </c>
      <c r="AD641" s="699"/>
      <c r="AE641" s="700"/>
      <c r="AF641" s="700"/>
      <c r="AG641" s="701"/>
      <c r="AH641" s="787">
        <f>AH619/AH628</f>
        <v>0.35849056603773582</v>
      </c>
      <c r="AI641" s="699"/>
      <c r="AJ641" s="700"/>
      <c r="AK641" s="700"/>
      <c r="AL641" s="701"/>
      <c r="AM641" s="787">
        <f>AM619/AM628</f>
        <v>0.3437412620001864</v>
      </c>
      <c r="AN641" s="699"/>
      <c r="AO641" s="700"/>
      <c r="AP641" s="700"/>
      <c r="AQ641" s="701"/>
      <c r="AR641" s="787">
        <f>AR619/AR628</f>
        <v>0.88312306593668177</v>
      </c>
      <c r="AS641" s="699"/>
      <c r="AT641" s="700"/>
      <c r="AU641" s="700"/>
      <c r="AV641" s="701"/>
      <c r="AW641" s="787">
        <f>AW619/AW628</f>
        <v>2.4517241379310346</v>
      </c>
      <c r="AX641" s="699"/>
      <c r="AY641" s="700"/>
      <c r="AZ641" s="700"/>
      <c r="BA641" s="701"/>
      <c r="BB641" s="787">
        <f>BB619/BB628</f>
        <v>2.2609443934961155</v>
      </c>
      <c r="BC641" s="699"/>
      <c r="BD641" s="700"/>
      <c r="BE641" s="700"/>
      <c r="BF641" s="701"/>
      <c r="BG641" s="787">
        <f>BG619/BG628</f>
        <v>2.0121059238094072</v>
      </c>
      <c r="BH641" s="699"/>
      <c r="BI641" s="700"/>
      <c r="BJ641" s="700"/>
      <c r="BK641" s="701"/>
      <c r="BL641" s="787">
        <f>BL619/BL628</f>
        <v>1.7806045684404921</v>
      </c>
      <c r="BM641" s="699"/>
      <c r="BN641" s="700"/>
      <c r="BO641" s="700"/>
      <c r="BP641" s="701"/>
      <c r="BQ641" s="787">
        <f>BQ619/BQ628</f>
        <v>1.5775279346405151</v>
      </c>
      <c r="BR641" s="673"/>
      <c r="BS641" s="673"/>
      <c r="BT641"/>
    </row>
    <row r="642" spans="1:82">
      <c r="A642" s="139"/>
      <c r="B642" s="87"/>
      <c r="C642" s="1231" t="s">
        <v>45</v>
      </c>
      <c r="E642" s="288"/>
      <c r="F642" s="289"/>
      <c r="G642" s="289"/>
      <c r="H642" s="299"/>
      <c r="I642" s="291"/>
      <c r="J642" s="288"/>
      <c r="K642" s="289"/>
      <c r="L642" s="289"/>
      <c r="M642" s="299"/>
      <c r="N642" s="315"/>
      <c r="O642" s="374"/>
      <c r="P642" s="375"/>
      <c r="Q642" s="375"/>
      <c r="R642" s="372"/>
      <c r="S642" s="373">
        <f>(S619-S615)/S635</f>
        <v>4.2196894654088055</v>
      </c>
      <c r="T642" s="374"/>
      <c r="U642" s="375"/>
      <c r="V642" s="375"/>
      <c r="W642" s="372"/>
      <c r="X642" s="373">
        <f>(X619-X615)/X635</f>
        <v>5.7152260416666669</v>
      </c>
      <c r="Y642" s="374"/>
      <c r="Z642" s="375"/>
      <c r="AA642" s="375"/>
      <c r="AB642" s="372"/>
      <c r="AC642" s="373">
        <f>(AC619-AC615)/AC635</f>
        <v>16.929701244813277</v>
      </c>
      <c r="AD642" s="374"/>
      <c r="AE642" s="375"/>
      <c r="AF642" s="375"/>
      <c r="AG642" s="372"/>
      <c r="AH642" s="373">
        <f>(AH619-AH615)/AH635</f>
        <v>-35.545454545454547</v>
      </c>
      <c r="AI642" s="374"/>
      <c r="AJ642" s="375"/>
      <c r="AK642" s="375"/>
      <c r="AL642" s="372"/>
      <c r="AM642" s="373">
        <f>(AM619-AM615)/AM635</f>
        <v>5.370262390670554</v>
      </c>
      <c r="AN642" s="374"/>
      <c r="AO642" s="375"/>
      <c r="AP642" s="375"/>
      <c r="AQ642" s="372"/>
      <c r="AR642" s="373">
        <f>(AR619-AR615)/AR635</f>
        <v>-0.37546844930618861</v>
      </c>
      <c r="AS642" s="374"/>
      <c r="AT642" s="375"/>
      <c r="AU642" s="375"/>
      <c r="AV642" s="372"/>
      <c r="AW642" s="373">
        <f>(AW619-AW615)/AW635</f>
        <v>-1.6033393501805053</v>
      </c>
      <c r="AX642" s="374"/>
      <c r="AY642" s="375"/>
      <c r="AZ642" s="375"/>
      <c r="BA642" s="372"/>
      <c r="BB642" s="373">
        <f>(BB619-BB615)/BB635</f>
        <v>28.142377596804192</v>
      </c>
      <c r="BC642" s="374"/>
      <c r="BD642" s="375"/>
      <c r="BE642" s="375"/>
      <c r="BF642" s="372"/>
      <c r="BG642" s="373">
        <f>(BG619-BG615)/BG635</f>
        <v>-60.990420451370333</v>
      </c>
      <c r="BH642" s="374"/>
      <c r="BI642" s="375"/>
      <c r="BJ642" s="375"/>
      <c r="BK642" s="372"/>
      <c r="BL642" s="373">
        <f>(BL619-BL615)/BL635</f>
        <v>-36.407770001458175</v>
      </c>
      <c r="BM642" s="374"/>
      <c r="BN642" s="375"/>
      <c r="BO642" s="375"/>
      <c r="BP642" s="372"/>
      <c r="BQ642" s="373">
        <f>(BQ619-BQ615)/BQ635</f>
        <v>67.07685557122133</v>
      </c>
      <c r="BT642" s="746"/>
      <c r="BU642" s="746"/>
      <c r="BV642" s="746"/>
      <c r="BW642" s="746"/>
      <c r="BX642" s="746"/>
      <c r="BY642" s="746"/>
      <c r="BZ642" s="746"/>
    </row>
    <row r="643" spans="1:82" s="746" customFormat="1">
      <c r="A643" s="201"/>
      <c r="B643" s="679"/>
      <c r="C643" s="1231" t="s">
        <v>46</v>
      </c>
      <c r="E643" s="783"/>
      <c r="F643" s="784"/>
      <c r="G643" s="784"/>
      <c r="H643" s="785"/>
      <c r="I643" s="786"/>
      <c r="J643" s="783"/>
      <c r="K643" s="784"/>
      <c r="L643" s="784"/>
      <c r="M643" s="785"/>
      <c r="N643" s="744"/>
      <c r="O643" s="699"/>
      <c r="P643" s="700"/>
      <c r="Q643" s="700"/>
      <c r="R643" s="701"/>
      <c r="S643" s="787">
        <f>S633/S619</f>
        <v>0.17724263849769434</v>
      </c>
      <c r="T643" s="699"/>
      <c r="U643" s="700"/>
      <c r="V643" s="700"/>
      <c r="W643" s="701"/>
      <c r="X643" s="787">
        <f>X633/X619</f>
        <v>0.16190125801996577</v>
      </c>
      <c r="Y643" s="699"/>
      <c r="Z643" s="700"/>
      <c r="AA643" s="700"/>
      <c r="AB643" s="701"/>
      <c r="AC643" s="787">
        <f>AC633/AC619</f>
        <v>0.2425939591324992</v>
      </c>
      <c r="AD643" s="699"/>
      <c r="AE643" s="700"/>
      <c r="AF643" s="700"/>
      <c r="AG643" s="701"/>
      <c r="AH643" s="787">
        <f>AH633/AH619</f>
        <v>0.17937801430761369</v>
      </c>
      <c r="AI643" s="699"/>
      <c r="AJ643" s="700"/>
      <c r="AK643" s="700"/>
      <c r="AL643" s="701"/>
      <c r="AM643" s="787">
        <f>AM633/AM619</f>
        <v>0.23594109931106291</v>
      </c>
      <c r="AN643" s="699"/>
      <c r="AO643" s="700"/>
      <c r="AP643" s="700"/>
      <c r="AQ643" s="701"/>
      <c r="AR643" s="787">
        <f>AR633/AR619</f>
        <v>0.23605258321735417</v>
      </c>
      <c r="AS643" s="699"/>
      <c r="AT643" s="700"/>
      <c r="AU643" s="700"/>
      <c r="AV643" s="701"/>
      <c r="AW643" s="787">
        <f>AW633/AW619</f>
        <v>0.15829472187017599</v>
      </c>
      <c r="AX643" s="699"/>
      <c r="AY643" s="700"/>
      <c r="AZ643" s="700"/>
      <c r="BA643" s="701"/>
      <c r="BB643" s="787">
        <f>BB633/BB619</f>
        <v>7.5226302224506256E-2</v>
      </c>
      <c r="BC643" s="699"/>
      <c r="BD643" s="700"/>
      <c r="BE643" s="700"/>
      <c r="BF643" s="701"/>
      <c r="BG643" s="787">
        <f>BG633/BG619</f>
        <v>4.6562026481301658E-2</v>
      </c>
      <c r="BH643" s="699"/>
      <c r="BI643" s="700"/>
      <c r="BJ643" s="700"/>
      <c r="BK643" s="701"/>
      <c r="BL643" s="787">
        <f>BL633/BL619</f>
        <v>4.0154624459255321E-2</v>
      </c>
      <c r="BM643" s="699"/>
      <c r="BN643" s="700"/>
      <c r="BO643" s="700"/>
      <c r="BP643" s="701"/>
      <c r="BQ643" s="787">
        <f>BQ633/BQ619</f>
        <v>6.8649289699702021E-2</v>
      </c>
      <c r="BR643" s="673"/>
      <c r="BS643" s="673"/>
      <c r="BT643"/>
      <c r="BU643"/>
      <c r="BV643"/>
      <c r="BW643"/>
      <c r="BX643"/>
      <c r="BY643"/>
      <c r="BZ643"/>
      <c r="CD643"/>
    </row>
    <row r="644" spans="1:82">
      <c r="A644" s="139"/>
      <c r="B644" s="100"/>
      <c r="C644" s="1179"/>
      <c r="E644" s="288"/>
      <c r="F644" s="289"/>
      <c r="G644" s="289"/>
      <c r="H644" s="299"/>
      <c r="I644" s="291"/>
      <c r="J644" s="288"/>
      <c r="K644" s="289"/>
      <c r="L644" s="289"/>
      <c r="M644" s="299"/>
      <c r="N644" s="315"/>
      <c r="O644" s="296"/>
      <c r="P644" s="297"/>
      <c r="Q644" s="297"/>
      <c r="R644" s="290"/>
      <c r="S644" s="298"/>
      <c r="T644" s="296"/>
      <c r="U644" s="297"/>
      <c r="V644" s="297"/>
      <c r="W644" s="290"/>
      <c r="X644" s="298"/>
      <c r="Y644" s="296"/>
      <c r="Z644" s="297"/>
      <c r="AA644" s="297"/>
      <c r="AB644" s="290"/>
      <c r="AC644" s="298"/>
      <c r="AD644" s="296"/>
      <c r="AE644" s="297"/>
      <c r="AF644" s="297"/>
      <c r="AG644" s="290"/>
      <c r="AH644" s="298"/>
      <c r="AI644" s="296"/>
      <c r="AJ644" s="297"/>
      <c r="AK644" s="297"/>
      <c r="AL644" s="290"/>
      <c r="AM644" s="298"/>
      <c r="AN644" s="296"/>
      <c r="AO644" s="297"/>
      <c r="AP644" s="297"/>
      <c r="AQ644" s="290"/>
      <c r="AR644" s="298"/>
      <c r="AS644" s="296"/>
      <c r="AT644" s="297"/>
      <c r="AU644" s="297"/>
      <c r="AV644" s="290"/>
      <c r="AW644" s="298"/>
      <c r="AX644" s="296"/>
      <c r="AY644" s="297"/>
      <c r="AZ644" s="297"/>
      <c r="BA644" s="290"/>
      <c r="BB644" s="298"/>
      <c r="BC644" s="296"/>
      <c r="BD644" s="297"/>
      <c r="BE644" s="297"/>
      <c r="BF644" s="290"/>
      <c r="BG644" s="298"/>
      <c r="BH644" s="296"/>
      <c r="BI644" s="297"/>
      <c r="BJ644" s="297"/>
      <c r="BK644" s="290"/>
      <c r="BL644" s="298"/>
      <c r="BM644" s="296"/>
      <c r="BN644" s="297"/>
      <c r="BO644" s="297"/>
      <c r="BP644" s="290"/>
      <c r="BQ644" s="298"/>
      <c r="BU644" s="746"/>
      <c r="BV644" s="746"/>
      <c r="BW644" s="746"/>
      <c r="BX644" s="746"/>
      <c r="BY644" s="746"/>
      <c r="BZ644" s="746"/>
    </row>
    <row r="645" spans="1:82">
      <c r="A645" s="139"/>
      <c r="B645" s="100"/>
      <c r="C645" s="1233" t="s">
        <v>47</v>
      </c>
      <c r="E645" s="288"/>
      <c r="F645" s="289"/>
      <c r="G645" s="289"/>
      <c r="H645" s="299"/>
      <c r="I645" s="291"/>
      <c r="J645" s="288"/>
      <c r="K645" s="289"/>
      <c r="L645" s="289"/>
      <c r="M645" s="299"/>
      <c r="N645" s="315"/>
      <c r="O645" s="296"/>
      <c r="P645" s="297"/>
      <c r="Q645" s="297"/>
      <c r="R645" s="290"/>
      <c r="S645" s="298"/>
      <c r="T645" s="296"/>
      <c r="U645" s="297"/>
      <c r="V645" s="297"/>
      <c r="W645" s="290"/>
      <c r="X645" s="298"/>
      <c r="Y645" s="296"/>
      <c r="Z645" s="297"/>
      <c r="AA645" s="297"/>
      <c r="AB645" s="290"/>
      <c r="AC645" s="298"/>
      <c r="AD645" s="296"/>
      <c r="AE645" s="297"/>
      <c r="AF645" s="297"/>
      <c r="AG645" s="290"/>
      <c r="AH645" s="298"/>
      <c r="AI645" s="296"/>
      <c r="AJ645" s="297"/>
      <c r="AK645" s="297"/>
      <c r="AL645" s="290"/>
      <c r="AM645" s="298"/>
      <c r="AN645" s="296"/>
      <c r="AO645" s="297"/>
      <c r="AP645" s="297"/>
      <c r="AQ645" s="290"/>
      <c r="AR645" s="298"/>
      <c r="AS645" s="296"/>
      <c r="AT645" s="297"/>
      <c r="AU645" s="297"/>
      <c r="AV645" s="290"/>
      <c r="AW645" s="298"/>
      <c r="AX645" s="296"/>
      <c r="AY645" s="297"/>
      <c r="AZ645" s="297"/>
      <c r="BA645" s="290"/>
      <c r="BB645" s="298"/>
      <c r="BC645" s="296"/>
      <c r="BD645" s="297"/>
      <c r="BE645" s="297"/>
      <c r="BF645" s="290"/>
      <c r="BG645" s="298"/>
      <c r="BH645" s="296"/>
      <c r="BI645" s="297"/>
      <c r="BJ645" s="297"/>
      <c r="BK645" s="290"/>
      <c r="BL645" s="298"/>
      <c r="BM645" s="296"/>
      <c r="BN645" s="297"/>
      <c r="BO645" s="297"/>
      <c r="BP645" s="290"/>
      <c r="BQ645" s="298"/>
    </row>
    <row r="646" spans="1:82">
      <c r="A646" s="139"/>
      <c r="B646" s="100"/>
      <c r="C646" s="1229" t="s">
        <v>49</v>
      </c>
      <c r="E646" s="288"/>
      <c r="F646" s="289"/>
      <c r="G646" s="289"/>
      <c r="H646" s="299"/>
      <c r="I646" s="291"/>
      <c r="J646" s="288"/>
      <c r="K646" s="289"/>
      <c r="L646" s="289"/>
      <c r="M646" s="299"/>
      <c r="N646" s="315"/>
      <c r="O646" s="374"/>
      <c r="P646" s="375"/>
      <c r="Q646" s="375"/>
      <c r="R646" s="372"/>
      <c r="S646" s="373">
        <f>(S633+S636)/S636</f>
        <v>4.2080536912751674</v>
      </c>
      <c r="T646" s="374"/>
      <c r="U646" s="375"/>
      <c r="V646" s="375"/>
      <c r="W646" s="372"/>
      <c r="X646" s="373">
        <f>(X633+X636)/X636</f>
        <v>4.140845070422535</v>
      </c>
      <c r="Y646" s="374"/>
      <c r="Z646" s="375"/>
      <c r="AA646" s="375"/>
      <c r="AB646" s="372"/>
      <c r="AC646" s="373">
        <f>(AC633+AC636)/AC636</f>
        <v>5.4625104144144148</v>
      </c>
      <c r="AD646" s="374"/>
      <c r="AE646" s="375"/>
      <c r="AF646" s="375"/>
      <c r="AG646" s="372"/>
      <c r="AH646" s="373">
        <f>(AH633+AH636)/AH636</f>
        <v>4.7147383492063497</v>
      </c>
      <c r="AI646" s="374"/>
      <c r="AJ646" s="375"/>
      <c r="AK646" s="375"/>
      <c r="AL646" s="372"/>
      <c r="AM646" s="373">
        <f>(AM633+AM636)/AM636</f>
        <v>5.5320352825999999</v>
      </c>
      <c r="AN646" s="374"/>
      <c r="AO646" s="375"/>
      <c r="AP646" s="375"/>
      <c r="AQ646" s="372"/>
      <c r="AR646" s="373">
        <f>(AR633+AR636)/AR636</f>
        <v>5.5142014625586802</v>
      </c>
      <c r="AS646" s="374"/>
      <c r="AT646" s="375"/>
      <c r="AU646" s="375"/>
      <c r="AV646" s="372"/>
      <c r="AW646" s="373">
        <f>(AW633+AW636)/AW636</f>
        <v>4.1437862360250035</v>
      </c>
      <c r="AX646" s="374"/>
      <c r="AY646" s="375"/>
      <c r="AZ646" s="375"/>
      <c r="BA646" s="372"/>
      <c r="BB646" s="373">
        <f>(BB633+BB636)/BB636</f>
        <v>2.5487501313851473</v>
      </c>
      <c r="BC646" s="374"/>
      <c r="BD646" s="375"/>
      <c r="BE646" s="375"/>
      <c r="BF646" s="372"/>
      <c r="BG646" s="373">
        <f>(BG633+BG636)/BG636</f>
        <v>2.0779801221431757</v>
      </c>
      <c r="BH646" s="374"/>
      <c r="BI646" s="375"/>
      <c r="BJ646" s="375"/>
      <c r="BK646" s="372"/>
      <c r="BL646" s="373">
        <f>(BL633+BL636)/BL636</f>
        <v>1.9685180336067511</v>
      </c>
      <c r="BM646" s="374"/>
      <c r="BN646" s="375"/>
      <c r="BO646" s="375"/>
      <c r="BP646" s="372"/>
      <c r="BQ646" s="373">
        <f>(BQ633+BQ636)/BQ636</f>
        <v>2.6614866794050966</v>
      </c>
    </row>
    <row r="647" spans="1:82">
      <c r="A647" s="139"/>
      <c r="B647" s="100"/>
      <c r="C647" s="1229" t="s">
        <v>50</v>
      </c>
      <c r="E647" s="288"/>
      <c r="F647" s="289"/>
      <c r="G647" s="289"/>
      <c r="H647" s="299"/>
      <c r="I647" s="291"/>
      <c r="J647" s="288"/>
      <c r="K647" s="289"/>
      <c r="L647" s="289"/>
      <c r="M647" s="299"/>
      <c r="N647" s="315"/>
      <c r="O647" s="374"/>
      <c r="P647" s="375"/>
      <c r="Q647" s="375"/>
      <c r="R647" s="372"/>
      <c r="S647" s="373">
        <f>S634/S636</f>
        <v>2.5570469798657718</v>
      </c>
      <c r="T647" s="374"/>
      <c r="U647" s="375"/>
      <c r="V647" s="375"/>
      <c r="W647" s="372"/>
      <c r="X647" s="373">
        <f>X634/X636</f>
        <v>2.4471830985915495</v>
      </c>
      <c r="Y647" s="374"/>
      <c r="Z647" s="375"/>
      <c r="AA647" s="375"/>
      <c r="AB647" s="372"/>
      <c r="AC647" s="373">
        <f>AC634/AC636</f>
        <v>1.3648648648648649</v>
      </c>
      <c r="AD647" s="374"/>
      <c r="AE647" s="375"/>
      <c r="AF647" s="375"/>
      <c r="AG647" s="372"/>
      <c r="AH647" s="373">
        <f>AH634/AH636</f>
        <v>-1.0952380952380953</v>
      </c>
      <c r="AI647" s="374"/>
      <c r="AJ647" s="375"/>
      <c r="AK647" s="375"/>
      <c r="AL647" s="372"/>
      <c r="AM647" s="373">
        <f>AM634/AM636</f>
        <v>2.09375</v>
      </c>
      <c r="AN647" s="374"/>
      <c r="AO647" s="375"/>
      <c r="AP647" s="375"/>
      <c r="AQ647" s="372"/>
      <c r="AR647" s="373">
        <f>AR634/AR636</f>
        <v>1.9793814432989691</v>
      </c>
      <c r="AS647" s="374"/>
      <c r="AT647" s="375"/>
      <c r="AU647" s="375"/>
      <c r="AV647" s="372"/>
      <c r="AW647" s="373">
        <f>AW634/AW636</f>
        <v>-6.1452513966480445E-2</v>
      </c>
      <c r="AX647" s="374"/>
      <c r="AY647" s="375"/>
      <c r="AZ647" s="375"/>
      <c r="BA647" s="372"/>
      <c r="BB647" s="373">
        <f>BB634/BB636</f>
        <v>0.15630866984939332</v>
      </c>
      <c r="BC647" s="374"/>
      <c r="BD647" s="375"/>
      <c r="BE647" s="375"/>
      <c r="BF647" s="372"/>
      <c r="BG647" s="373">
        <f>BG634/BG636</f>
        <v>-1.0439594063725484</v>
      </c>
      <c r="BH647" s="374"/>
      <c r="BI647" s="375"/>
      <c r="BJ647" s="375"/>
      <c r="BK647" s="372"/>
      <c r="BL647" s="373">
        <f>BL634/BL636</f>
        <v>-1.4195710581253347</v>
      </c>
      <c r="BM647" s="374"/>
      <c r="BN647" s="375"/>
      <c r="BO647" s="375"/>
      <c r="BP647" s="372"/>
      <c r="BQ647" s="373">
        <f>BQ634/BQ636</f>
        <v>-0.47163218054523681</v>
      </c>
    </row>
    <row r="648" spans="1:82">
      <c r="A648" s="139"/>
      <c r="B648" s="139"/>
      <c r="C648" s="1187"/>
      <c r="E648" s="288"/>
      <c r="F648" s="289"/>
      <c r="G648" s="289"/>
      <c r="H648" s="299"/>
      <c r="I648" s="291"/>
      <c r="J648" s="288"/>
      <c r="K648" s="289"/>
      <c r="L648" s="289"/>
      <c r="M648" s="299"/>
      <c r="N648" s="315"/>
      <c r="O648" s="288"/>
      <c r="P648" s="289"/>
      <c r="Q648" s="289"/>
      <c r="R648" s="299"/>
      <c r="S648" s="315"/>
      <c r="T648" s="133"/>
      <c r="U648" s="134"/>
      <c r="V648" s="134"/>
      <c r="W648" s="135"/>
      <c r="X648" s="178"/>
      <c r="Y648" s="133"/>
      <c r="Z648" s="134"/>
      <c r="AA648" s="134"/>
      <c r="AB648" s="135"/>
      <c r="AC648" s="178"/>
      <c r="AD648" s="133"/>
      <c r="AE648" s="134"/>
      <c r="AF648" s="134"/>
      <c r="AG648" s="135"/>
      <c r="AH648" s="178"/>
      <c r="AI648" s="133"/>
      <c r="AJ648" s="134"/>
      <c r="AK648" s="134"/>
      <c r="AL648" s="135"/>
      <c r="AM648" s="178"/>
      <c r="AN648" s="133"/>
      <c r="AO648" s="134"/>
      <c r="AP648" s="134"/>
      <c r="AQ648" s="135"/>
      <c r="AR648" s="178"/>
      <c r="AS648" s="133"/>
      <c r="AT648" s="134"/>
      <c r="AU648" s="134"/>
      <c r="AV648" s="135"/>
      <c r="AW648" s="178"/>
      <c r="AX648" s="133"/>
      <c r="AY648" s="134"/>
      <c r="AZ648" s="134"/>
      <c r="BA648" s="135"/>
      <c r="BB648" s="178"/>
      <c r="BC648" s="133"/>
      <c r="BD648" s="134"/>
      <c r="BE648" s="134"/>
      <c r="BF648" s="135"/>
      <c r="BG648" s="178"/>
      <c r="BH648" s="133"/>
      <c r="BI648" s="134"/>
      <c r="BJ648" s="134"/>
      <c r="BK648" s="135"/>
      <c r="BL648" s="178"/>
      <c r="BM648" s="133"/>
      <c r="BN648" s="134"/>
      <c r="BO648" s="134"/>
      <c r="BP648" s="135"/>
      <c r="BQ648" s="178"/>
    </row>
    <row r="649" spans="1:82">
      <c r="A649" s="139"/>
      <c r="B649" s="139"/>
      <c r="C649" s="1187"/>
      <c r="E649" s="288"/>
      <c r="F649" s="289"/>
      <c r="G649" s="289"/>
      <c r="H649" s="299"/>
      <c r="I649" s="291"/>
      <c r="J649" s="288"/>
      <c r="K649" s="289"/>
      <c r="L649" s="289"/>
      <c r="M649" s="299"/>
      <c r="N649" s="315"/>
      <c r="O649" s="288"/>
      <c r="P649" s="289"/>
      <c r="Q649" s="289"/>
      <c r="R649" s="299"/>
      <c r="S649" s="315"/>
      <c r="T649" s="133"/>
      <c r="U649" s="134"/>
      <c r="V649" s="134"/>
      <c r="W649" s="135"/>
      <c r="X649" s="178"/>
      <c r="Y649" s="133"/>
      <c r="Z649" s="134"/>
      <c r="AA649" s="134"/>
      <c r="AB649" s="135"/>
      <c r="AC649" s="178"/>
      <c r="AD649" s="133"/>
      <c r="AE649" s="134"/>
      <c r="AF649" s="134"/>
      <c r="AG649" s="135"/>
      <c r="AH649" s="178"/>
      <c r="AI649" s="133"/>
      <c r="AJ649" s="134"/>
      <c r="AK649" s="134"/>
      <c r="AL649" s="135"/>
      <c r="AM649" s="178"/>
      <c r="AN649" s="133"/>
      <c r="AO649" s="134"/>
      <c r="AP649" s="134"/>
      <c r="AQ649" s="135"/>
      <c r="AR649" s="178"/>
      <c r="AS649" s="133"/>
      <c r="AT649" s="134"/>
      <c r="AU649" s="134"/>
      <c r="AV649" s="135"/>
      <c r="AW649" s="178"/>
      <c r="AX649" s="133"/>
      <c r="AY649" s="134"/>
      <c r="AZ649" s="134"/>
      <c r="BA649" s="135"/>
      <c r="BB649" s="178"/>
      <c r="BC649" s="133"/>
      <c r="BD649" s="134"/>
      <c r="BE649" s="134"/>
      <c r="BF649" s="135"/>
      <c r="BG649" s="178"/>
      <c r="BH649" s="133"/>
      <c r="BI649" s="134"/>
      <c r="BJ649" s="134"/>
      <c r="BK649" s="135"/>
      <c r="BL649" s="178"/>
      <c r="BM649" s="133"/>
      <c r="BN649" s="134"/>
      <c r="BO649" s="134"/>
      <c r="BP649" s="135"/>
      <c r="BQ649" s="178"/>
    </row>
    <row r="650" spans="1:82">
      <c r="A650" s="139"/>
      <c r="B650" s="139"/>
      <c r="C650" s="1187"/>
      <c r="E650" s="288"/>
      <c r="F650" s="289"/>
      <c r="G650" s="289"/>
      <c r="H650" s="299"/>
      <c r="I650" s="291"/>
      <c r="J650" s="288"/>
      <c r="K650" s="289"/>
      <c r="L650" s="289"/>
      <c r="M650" s="299"/>
      <c r="N650" s="315"/>
      <c r="O650" s="288"/>
      <c r="P650" s="289"/>
      <c r="Q650" s="289"/>
      <c r="R650" s="299"/>
      <c r="S650" s="315"/>
      <c r="T650" s="133"/>
      <c r="U650" s="134"/>
      <c r="V650" s="134"/>
      <c r="W650" s="135"/>
      <c r="X650" s="178"/>
      <c r="Y650" s="133"/>
      <c r="Z650" s="134"/>
      <c r="AA650" s="134"/>
      <c r="AB650" s="135"/>
      <c r="AC650" s="178"/>
      <c r="AD650" s="133"/>
      <c r="AE650" s="134"/>
      <c r="AF650" s="134"/>
      <c r="AG650" s="135"/>
      <c r="AH650" s="178"/>
      <c r="AI650" s="133"/>
      <c r="AJ650" s="134"/>
      <c r="AK650" s="134"/>
      <c r="AL650" s="135"/>
      <c r="AM650" s="178"/>
      <c r="AN650" s="133"/>
      <c r="AO650" s="134"/>
      <c r="AP650" s="134"/>
      <c r="AQ650" s="135"/>
      <c r="AR650" s="178"/>
      <c r="AS650" s="133"/>
      <c r="AT650" s="134"/>
      <c r="AU650" s="134"/>
      <c r="AV650" s="135"/>
      <c r="AW650" s="178"/>
      <c r="AX650" s="133"/>
      <c r="AY650" s="134"/>
      <c r="AZ650" s="134"/>
      <c r="BA650" s="135"/>
      <c r="BB650" s="178"/>
      <c r="BC650" s="133"/>
      <c r="BD650" s="134"/>
      <c r="BE650" s="134"/>
      <c r="BF650" s="135"/>
      <c r="BG650" s="178"/>
      <c r="BH650" s="133"/>
      <c r="BI650" s="134"/>
      <c r="BJ650" s="134"/>
      <c r="BK650" s="135"/>
      <c r="BL650" s="178"/>
      <c r="BM650" s="133"/>
      <c r="BN650" s="134"/>
      <c r="BO650" s="134"/>
      <c r="BP650" s="135"/>
      <c r="BQ650" s="178"/>
    </row>
    <row r="651" spans="1:82">
      <c r="A651" s="139"/>
      <c r="B651" s="139"/>
      <c r="C651" s="1187"/>
      <c r="E651" s="288"/>
      <c r="F651" s="289"/>
      <c r="G651" s="289"/>
      <c r="H651" s="299"/>
      <c r="I651" s="291"/>
      <c r="J651" s="288"/>
      <c r="K651" s="289"/>
      <c r="L651" s="289"/>
      <c r="M651" s="299"/>
      <c r="N651" s="315"/>
      <c r="O651" s="288"/>
      <c r="P651" s="289"/>
      <c r="Q651" s="289"/>
      <c r="R651" s="299"/>
      <c r="S651" s="315"/>
      <c r="T651" s="133"/>
      <c r="U651" s="134"/>
      <c r="V651" s="134"/>
      <c r="W651" s="135"/>
      <c r="X651" s="178"/>
      <c r="Y651" s="133"/>
      <c r="Z651" s="134"/>
      <c r="AA651" s="134"/>
      <c r="AB651" s="135"/>
      <c r="AC651" s="178"/>
      <c r="AD651" s="133"/>
      <c r="AE651" s="134"/>
      <c r="AF651" s="134"/>
      <c r="AG651" s="135"/>
      <c r="AH651" s="178"/>
      <c r="AI651" s="133"/>
      <c r="AJ651" s="134"/>
      <c r="AK651" s="134"/>
      <c r="AL651" s="135"/>
      <c r="AM651" s="178"/>
      <c r="AN651" s="133"/>
      <c r="AO651" s="134"/>
      <c r="AP651" s="134"/>
      <c r="AQ651" s="135"/>
      <c r="AR651" s="178"/>
      <c r="AS651" s="133"/>
      <c r="AT651" s="134"/>
      <c r="AU651" s="134"/>
      <c r="AV651" s="135"/>
      <c r="AW651" s="178"/>
      <c r="AX651" s="133"/>
      <c r="AY651" s="134"/>
      <c r="AZ651" s="134"/>
      <c r="BA651" s="135"/>
      <c r="BB651" s="178"/>
      <c r="BC651" s="133"/>
      <c r="BD651" s="134"/>
      <c r="BE651" s="134"/>
      <c r="BF651" s="135"/>
      <c r="BG651" s="178"/>
      <c r="BH651" s="133"/>
      <c r="BI651" s="134"/>
      <c r="BJ651" s="134"/>
      <c r="BK651" s="135"/>
      <c r="BL651" s="178"/>
      <c r="BM651" s="133"/>
      <c r="BN651" s="134"/>
      <c r="BO651" s="134"/>
      <c r="BP651" s="135"/>
      <c r="BQ651" s="178"/>
    </row>
    <row r="652" spans="1:82">
      <c r="A652" s="120"/>
      <c r="B652" s="120"/>
      <c r="C652" s="1187"/>
      <c r="E652" s="288"/>
      <c r="F652" s="289"/>
      <c r="G652" s="289"/>
      <c r="H652" s="299"/>
      <c r="I652" s="291"/>
      <c r="J652" s="288"/>
      <c r="K652" s="289"/>
      <c r="L652" s="289"/>
      <c r="M652" s="299"/>
      <c r="N652" s="315"/>
      <c r="O652" s="288"/>
      <c r="P652" s="289"/>
      <c r="Q652" s="289"/>
      <c r="R652" s="299"/>
      <c r="S652" s="315"/>
      <c r="T652" s="133"/>
      <c r="U652" s="134"/>
      <c r="V652" s="134"/>
      <c r="W652" s="135"/>
      <c r="X652" s="178"/>
      <c r="Y652" s="133"/>
      <c r="Z652" s="134"/>
      <c r="AA652" s="134"/>
      <c r="AB652" s="135"/>
      <c r="AC652" s="178"/>
      <c r="AD652" s="133"/>
      <c r="AE652" s="134"/>
      <c r="AF652" s="134"/>
      <c r="AG652" s="135"/>
      <c r="AH652" s="178"/>
      <c r="AI652" s="133"/>
      <c r="AJ652" s="134"/>
      <c r="AK652" s="134"/>
      <c r="AL652" s="135"/>
      <c r="AM652" s="178"/>
      <c r="AN652" s="133"/>
      <c r="AO652" s="134"/>
      <c r="AP652" s="134"/>
      <c r="AQ652" s="135"/>
      <c r="AR652" s="178"/>
      <c r="AS652" s="133"/>
      <c r="AT652" s="134"/>
      <c r="AU652" s="134"/>
      <c r="AV652" s="135"/>
      <c r="AW652" s="178"/>
      <c r="AX652" s="133"/>
      <c r="AY652" s="134"/>
      <c r="AZ652" s="134"/>
      <c r="BA652" s="135"/>
      <c r="BB652" s="178"/>
      <c r="BC652" s="133"/>
      <c r="BD652" s="134"/>
      <c r="BE652" s="134"/>
      <c r="BF652" s="135"/>
      <c r="BG652" s="178"/>
      <c r="BH652" s="133"/>
      <c r="BI652" s="134"/>
      <c r="BJ652" s="134"/>
      <c r="BK652" s="135"/>
      <c r="BL652" s="178"/>
      <c r="BM652" s="133"/>
      <c r="BN652" s="134"/>
      <c r="BO652" s="134"/>
      <c r="BP652" s="135"/>
      <c r="BQ652" s="178"/>
    </row>
    <row r="653" spans="1:82">
      <c r="A653" s="139"/>
      <c r="B653" s="139"/>
      <c r="C653" s="1186"/>
      <c r="E653" s="288"/>
      <c r="F653" s="289"/>
      <c r="G653" s="289"/>
      <c r="H653" s="299"/>
      <c r="I653" s="824"/>
      <c r="J653" s="825"/>
      <c r="K653" s="822"/>
      <c r="L653" s="822"/>
      <c r="M653" s="823"/>
      <c r="N653" s="166"/>
      <c r="O653" s="825"/>
      <c r="P653" s="822"/>
      <c r="Q653" s="822"/>
      <c r="R653" s="823"/>
      <c r="S653" s="166"/>
      <c r="T653" s="169"/>
      <c r="U653" s="167"/>
      <c r="V653" s="167"/>
      <c r="W653" s="168"/>
      <c r="X653" s="166"/>
      <c r="Y653" s="169"/>
      <c r="Z653" s="167"/>
      <c r="AA653" s="167"/>
      <c r="AB653" s="168"/>
      <c r="AC653" s="166"/>
      <c r="AD653" s="169"/>
      <c r="AE653" s="167"/>
      <c r="AF653" s="167"/>
      <c r="AG653" s="168"/>
      <c r="AH653" s="166"/>
      <c r="AI653" s="169"/>
      <c r="AJ653" s="167"/>
      <c r="AK653" s="167"/>
      <c r="AL653" s="168"/>
      <c r="AM653" s="166"/>
      <c r="AN653" s="169"/>
      <c r="AO653" s="167"/>
      <c r="AP653" s="167"/>
      <c r="AQ653" s="168"/>
      <c r="AR653" s="166"/>
      <c r="AS653" s="169"/>
      <c r="AT653" s="167"/>
      <c r="AU653" s="167"/>
      <c r="AV653" s="168"/>
      <c r="AW653" s="166"/>
      <c r="AX653" s="169"/>
      <c r="AY653" s="167"/>
      <c r="AZ653" s="167"/>
      <c r="BA653" s="168"/>
      <c r="BB653" s="166"/>
      <c r="BC653" s="169"/>
      <c r="BD653" s="167"/>
      <c r="BE653" s="167"/>
      <c r="BF653" s="168"/>
      <c r="BG653" s="166"/>
      <c r="BH653" s="169"/>
      <c r="BI653" s="167"/>
      <c r="BJ653" s="167"/>
      <c r="BK653" s="168"/>
      <c r="BL653" s="166"/>
      <c r="BM653" s="169"/>
      <c r="BN653" s="167"/>
      <c r="BO653" s="167"/>
      <c r="BP653" s="168"/>
      <c r="BQ653" s="166"/>
    </row>
    <row r="654" spans="1:82">
      <c r="A654" s="139"/>
      <c r="B654" s="139"/>
      <c r="C654" s="1187"/>
      <c r="D654" s="171"/>
      <c r="E654" s="709"/>
      <c r="F654" s="710"/>
      <c r="G654" s="710"/>
      <c r="H654" s="286"/>
      <c r="I654" s="93"/>
      <c r="J654" s="830"/>
      <c r="K654" s="831"/>
      <c r="L654" s="831"/>
      <c r="M654" s="832"/>
      <c r="N654" s="93"/>
      <c r="O654" s="830"/>
      <c r="P654" s="831"/>
      <c r="Q654" s="831"/>
      <c r="R654" s="832"/>
      <c r="S654" s="93"/>
      <c r="T654" s="830"/>
      <c r="U654" s="831"/>
      <c r="V654" s="831"/>
      <c r="W654" s="832"/>
      <c r="X654" s="93"/>
      <c r="Y654" s="830"/>
      <c r="Z654" s="831"/>
      <c r="AA654" s="831"/>
      <c r="AB654" s="832"/>
      <c r="AC654" s="93"/>
      <c r="AD654" s="830"/>
      <c r="AE654" s="831"/>
      <c r="AF654" s="831"/>
      <c r="AG654" s="832"/>
      <c r="AH654" s="93"/>
      <c r="AI654" s="830"/>
      <c r="AJ654" s="831"/>
      <c r="AK654" s="831"/>
      <c r="AL654" s="832"/>
      <c r="AM654" s="93"/>
      <c r="AN654" s="830"/>
      <c r="AO654" s="831"/>
      <c r="AP654" s="831"/>
      <c r="AQ654" s="832"/>
      <c r="AR654" s="93"/>
      <c r="AS654" s="830"/>
      <c r="AT654" s="831"/>
      <c r="AU654" s="831"/>
      <c r="AV654" s="832"/>
      <c r="AW654" s="93"/>
      <c r="AX654" s="830"/>
      <c r="AY654" s="831"/>
      <c r="AZ654" s="831"/>
      <c r="BA654" s="832"/>
      <c r="BB654" s="93"/>
      <c r="BC654" s="830"/>
      <c r="BD654" s="831"/>
      <c r="BE654" s="831"/>
      <c r="BF654" s="832"/>
      <c r="BG654" s="93"/>
      <c r="BH654" s="830"/>
      <c r="BI654" s="831"/>
      <c r="BJ654" s="831"/>
      <c r="BK654" s="832"/>
      <c r="BL654" s="93"/>
      <c r="BM654" s="830"/>
      <c r="BN654" s="831"/>
      <c r="BO654" s="831"/>
      <c r="BP654" s="832"/>
      <c r="BQ654" s="93"/>
    </row>
    <row r="655" spans="1:82">
      <c r="A655" s="92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  <c r="AH655" s="20"/>
      <c r="AI655" s="20"/>
      <c r="AJ655" s="20"/>
      <c r="AK655" s="20"/>
      <c r="AL655" s="20"/>
      <c r="AM655" s="20"/>
      <c r="AN655" s="20"/>
      <c r="AO655" s="20"/>
      <c r="AP655" s="20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  <c r="BB655" s="20"/>
      <c r="BC655" s="20"/>
      <c r="BD655" s="20"/>
      <c r="BE655" s="20"/>
      <c r="BF655" s="20"/>
      <c r="BG655" s="20"/>
      <c r="BH655" s="20"/>
      <c r="BI655" s="20"/>
      <c r="BJ655" s="20"/>
      <c r="BK655" s="20"/>
      <c r="BL655" s="20"/>
      <c r="BM655" s="20"/>
      <c r="BN655" s="20"/>
      <c r="BO655" s="20"/>
      <c r="BP655" s="20"/>
      <c r="BQ655" s="20"/>
    </row>
    <row r="656" spans="1:82">
      <c r="A656" s="92"/>
    </row>
    <row r="657" spans="1:1">
      <c r="A657" s="92"/>
    </row>
    <row r="658" spans="1:1">
      <c r="A658" s="92"/>
    </row>
    <row r="659" spans="1:1">
      <c r="A659" s="92"/>
    </row>
    <row r="660" spans="1:1">
      <c r="A660" s="92"/>
    </row>
    <row r="661" spans="1:1">
      <c r="A661" s="92"/>
    </row>
    <row r="662" spans="1:1">
      <c r="A662" s="92"/>
    </row>
    <row r="663" spans="1:1">
      <c r="A663" s="92"/>
    </row>
    <row r="664" spans="1:1">
      <c r="A664" s="92"/>
    </row>
    <row r="665" spans="1:1">
      <c r="A665" s="92"/>
    </row>
    <row r="666" spans="1:1">
      <c r="A666" s="92"/>
    </row>
    <row r="667" spans="1:1">
      <c r="A667" s="92"/>
    </row>
    <row r="668" spans="1:1">
      <c r="A668" s="92"/>
    </row>
    <row r="669" spans="1:1">
      <c r="A669" s="92"/>
    </row>
    <row r="670" spans="1:1">
      <c r="A670" s="92"/>
    </row>
    <row r="671" spans="1:1">
      <c r="A671" s="92"/>
    </row>
    <row r="672" spans="1:1">
      <c r="A672" s="92"/>
    </row>
    <row r="673" spans="1:1">
      <c r="A673" s="92"/>
    </row>
    <row r="674" spans="1:1">
      <c r="A674" s="92"/>
    </row>
    <row r="675" spans="1:1">
      <c r="A675" s="92"/>
    </row>
    <row r="676" spans="1:1">
      <c r="A676" s="92"/>
    </row>
    <row r="677" spans="1:1">
      <c r="A677" s="92"/>
    </row>
    <row r="678" spans="1:1">
      <c r="A678" s="92"/>
    </row>
    <row r="679" spans="1:1">
      <c r="A679" s="92"/>
    </row>
    <row r="680" spans="1:1">
      <c r="A680" s="92"/>
    </row>
    <row r="681" spans="1:1">
      <c r="A681" s="92"/>
    </row>
    <row r="682" spans="1:1">
      <c r="A682" s="92"/>
    </row>
    <row r="683" spans="1:1">
      <c r="A683" s="92"/>
    </row>
    <row r="684" spans="1:1">
      <c r="A684" s="92"/>
    </row>
  </sheetData>
  <phoneticPr fontId="39" type="noConversion"/>
  <printOptions horizontalCentered="1"/>
  <pageMargins left="0.5" right="0.5" top="0.5" bottom="0.5" header="0.5" footer="0.5"/>
  <pageSetup scale="10" orientation="landscape" r:id="rId1"/>
  <headerFooter alignWithMargins="0"/>
  <cellWatches>
    <cellWatch r="X35"/>
  </cellWatche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CP78"/>
  <sheetViews>
    <sheetView zoomScale="85" zoomScaleNormal="85" zoomScaleSheetLayoutView="40" workbookViewId="0">
      <pane xSplit="4" ySplit="5" topLeftCell="I6" activePane="bottomRight" state="frozen"/>
      <selection activeCell="U49" sqref="U49"/>
      <selection pane="topRight" activeCell="U49" sqref="U49"/>
      <selection pane="bottomLeft" activeCell="U49" sqref="U49"/>
      <selection pane="bottomRight" activeCell="I6" sqref="I6"/>
    </sheetView>
  </sheetViews>
  <sheetFormatPr defaultRowHeight="12.75" outlineLevelCol="1"/>
  <cols>
    <col min="1" max="1" width="2.7109375" style="92" customWidth="1"/>
    <col min="2" max="2" width="2.7109375" customWidth="1"/>
    <col min="3" max="3" width="46.7109375" customWidth="1"/>
    <col min="4" max="4" width="2.7109375" customWidth="1"/>
    <col min="5" max="8" width="9.7109375" hidden="1" customWidth="1" outlineLevel="1"/>
    <col min="9" max="9" width="9.7109375" customWidth="1" collapsed="1"/>
    <col min="10" max="13" width="9.7109375" hidden="1" customWidth="1" outlineLevel="1"/>
    <col min="14" max="14" width="9.7109375" customWidth="1" collapsed="1"/>
    <col min="15" max="18" width="9.7109375" hidden="1" customWidth="1" outlineLevel="1"/>
    <col min="19" max="19" width="9.7109375" customWidth="1" collapsed="1"/>
    <col min="20" max="23" width="9.7109375" hidden="1" customWidth="1" outlineLevel="1"/>
    <col min="24" max="24" width="9.7109375" customWidth="1" collapsed="1"/>
    <col min="25" max="28" width="9.7109375" hidden="1" customWidth="1" outlineLevel="1"/>
    <col min="29" max="29" width="9.7109375" customWidth="1" collapsed="1"/>
    <col min="30" max="33" width="9.7109375" hidden="1" customWidth="1" outlineLevel="1"/>
    <col min="34" max="34" width="9.7109375" customWidth="1" collapsed="1"/>
    <col min="35" max="38" width="9.7109375" hidden="1" customWidth="1" outlineLevel="1"/>
    <col min="39" max="39" width="9.7109375" customWidth="1" collapsed="1"/>
    <col min="40" max="43" width="9.7109375" hidden="1" customWidth="1" outlineLevel="1"/>
    <col min="44" max="44" width="9.7109375" customWidth="1" collapsed="1"/>
    <col min="45" max="48" width="9.7109375" hidden="1" customWidth="1" outlineLevel="1"/>
    <col min="49" max="49" width="9.7109375" customWidth="1" collapsed="1"/>
    <col min="50" max="53" width="9.7109375" hidden="1" customWidth="1" outlineLevel="1"/>
    <col min="54" max="54" width="9.7109375" customWidth="1" collapsed="1"/>
    <col min="55" max="58" width="9.7109375" hidden="1" customWidth="1" outlineLevel="1"/>
    <col min="59" max="59" width="9.7109375" customWidth="1" collapsed="1"/>
    <col min="60" max="63" width="9.7109375" hidden="1" customWidth="1" outlineLevel="1"/>
    <col min="64" max="64" width="9.7109375" customWidth="1" collapsed="1"/>
    <col min="65" max="68" width="9.7109375" hidden="1" customWidth="1" outlineLevel="1"/>
    <col min="69" max="69" width="9.7109375" customWidth="1" collapsed="1"/>
  </cols>
  <sheetData>
    <row r="1" spans="1:69" ht="18">
      <c r="A1" s="204"/>
      <c r="B1" s="204"/>
      <c r="C1" s="204"/>
      <c r="D1" s="204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6"/>
      <c r="BI1" s="206"/>
      <c r="BJ1" s="206"/>
      <c r="BK1" s="206"/>
      <c r="BL1" s="206"/>
      <c r="BM1" s="206"/>
      <c r="BN1" s="206"/>
      <c r="BO1" s="206"/>
      <c r="BP1" s="206"/>
      <c r="BQ1" s="206"/>
    </row>
    <row r="2" spans="1:69" ht="18">
      <c r="A2" s="204"/>
      <c r="B2" s="204" t="s">
        <v>344</v>
      </c>
      <c r="C2" s="204"/>
      <c r="D2" s="204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I2" s="206"/>
      <c r="BJ2" s="206"/>
      <c r="BK2" s="206"/>
      <c r="BL2" s="206"/>
      <c r="BM2" s="206"/>
      <c r="BN2" s="206"/>
      <c r="BO2" s="206"/>
      <c r="BP2" s="206"/>
      <c r="BQ2" s="206"/>
    </row>
    <row r="3" spans="1:69" ht="15.75">
      <c r="A3" s="205"/>
      <c r="B3" s="5" t="s">
        <v>883</v>
      </c>
      <c r="C3" s="205"/>
      <c r="D3" s="205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206"/>
      <c r="BD3" s="206"/>
      <c r="BE3" s="206"/>
      <c r="BF3" s="206"/>
      <c r="BG3" s="206"/>
      <c r="BH3" s="206"/>
      <c r="BI3" s="206"/>
      <c r="BJ3" s="206"/>
      <c r="BK3" s="206"/>
      <c r="BL3" s="206"/>
      <c r="BM3" s="206"/>
      <c r="BN3" s="206"/>
      <c r="BO3" s="206"/>
      <c r="BP3" s="206"/>
      <c r="BQ3" s="206"/>
    </row>
    <row r="4" spans="1:69">
      <c r="A4" s="207"/>
      <c r="B4" s="7" t="s">
        <v>3</v>
      </c>
      <c r="C4" s="7"/>
      <c r="D4" s="207"/>
      <c r="E4" s="225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25"/>
      <c r="AJ4" s="225"/>
      <c r="AK4" s="225"/>
      <c r="AL4" s="225"/>
      <c r="AM4" s="225"/>
      <c r="AN4" s="225"/>
      <c r="AO4" s="225"/>
      <c r="AP4" s="225"/>
      <c r="AQ4" s="225"/>
      <c r="AR4" s="225"/>
      <c r="AS4" s="225"/>
      <c r="AT4" s="225"/>
      <c r="AU4" s="225"/>
      <c r="AV4" s="225"/>
      <c r="AW4" s="225"/>
      <c r="AX4" s="225"/>
      <c r="AY4" s="225"/>
      <c r="AZ4" s="225"/>
      <c r="BA4" s="225"/>
      <c r="BB4" s="225"/>
      <c r="BC4" s="225"/>
      <c r="BD4" s="225"/>
      <c r="BE4" s="225"/>
      <c r="BF4" s="225"/>
      <c r="BG4" s="225"/>
      <c r="BH4" s="225"/>
      <c r="BI4" s="225"/>
      <c r="BJ4" s="225"/>
      <c r="BK4" s="225"/>
      <c r="BL4" s="225"/>
      <c r="BM4" s="225"/>
      <c r="BN4" s="225"/>
      <c r="BO4" s="225"/>
      <c r="BP4" s="225"/>
      <c r="BQ4" s="225"/>
    </row>
    <row r="5" spans="1:69" s="91" customFormat="1">
      <c r="A5" s="252"/>
      <c r="B5" s="64" t="s">
        <v>22</v>
      </c>
      <c r="C5" s="247"/>
      <c r="D5" s="248"/>
      <c r="E5" s="332" t="s">
        <v>165</v>
      </c>
      <c r="F5" s="333" t="s">
        <v>166</v>
      </c>
      <c r="G5" s="333" t="s">
        <v>170</v>
      </c>
      <c r="H5" s="334" t="s">
        <v>171</v>
      </c>
      <c r="I5" s="335" t="s">
        <v>275</v>
      </c>
      <c r="J5" s="332" t="s">
        <v>172</v>
      </c>
      <c r="K5" s="333" t="s">
        <v>173</v>
      </c>
      <c r="L5" s="333" t="s">
        <v>177</v>
      </c>
      <c r="M5" s="334" t="s">
        <v>178</v>
      </c>
      <c r="N5" s="335" t="s">
        <v>4</v>
      </c>
      <c r="O5" s="332" t="s">
        <v>181</v>
      </c>
      <c r="P5" s="333" t="s">
        <v>182</v>
      </c>
      <c r="Q5" s="333" t="s">
        <v>771</v>
      </c>
      <c r="R5" s="334" t="s">
        <v>218</v>
      </c>
      <c r="S5" s="335" t="s">
        <v>772</v>
      </c>
      <c r="T5" s="71" t="s">
        <v>475</v>
      </c>
      <c r="U5" s="72" t="s">
        <v>929</v>
      </c>
      <c r="V5" s="72" t="s">
        <v>742</v>
      </c>
      <c r="W5" s="73" t="s">
        <v>767</v>
      </c>
      <c r="X5" s="70" t="s">
        <v>768</v>
      </c>
      <c r="Y5" s="66" t="s">
        <v>769</v>
      </c>
      <c r="Z5" s="67" t="s">
        <v>76</v>
      </c>
      <c r="AA5" s="67" t="s">
        <v>77</v>
      </c>
      <c r="AB5" s="68" t="s">
        <v>670</v>
      </c>
      <c r="AC5" s="70" t="s">
        <v>669</v>
      </c>
      <c r="AD5" s="66" t="s">
        <v>90</v>
      </c>
      <c r="AE5" s="67" t="s">
        <v>91</v>
      </c>
      <c r="AF5" s="67" t="s">
        <v>92</v>
      </c>
      <c r="AG5" s="68" t="s">
        <v>960</v>
      </c>
      <c r="AH5" s="70" t="s">
        <v>964</v>
      </c>
      <c r="AI5" s="66" t="s">
        <v>962</v>
      </c>
      <c r="AJ5" s="67" t="s">
        <v>963</v>
      </c>
      <c r="AK5" s="67" t="s">
        <v>1005</v>
      </c>
      <c r="AL5" s="68" t="s">
        <v>1009</v>
      </c>
      <c r="AM5" s="85" t="s">
        <v>1011</v>
      </c>
      <c r="AN5" s="868" t="s">
        <v>1060</v>
      </c>
      <c r="AO5" s="72" t="s">
        <v>1062</v>
      </c>
      <c r="AP5" s="72" t="s">
        <v>1134</v>
      </c>
      <c r="AQ5" s="73" t="s">
        <v>1157</v>
      </c>
      <c r="AR5" s="85" t="s">
        <v>1158</v>
      </c>
      <c r="AS5" s="71" t="s">
        <v>1187</v>
      </c>
      <c r="AT5" s="72" t="s">
        <v>1200</v>
      </c>
      <c r="AU5" s="72" t="s">
        <v>1207</v>
      </c>
      <c r="AV5" s="73" t="s">
        <v>1218</v>
      </c>
      <c r="AW5" s="85" t="s">
        <v>1220</v>
      </c>
      <c r="AX5" s="71" t="s">
        <v>130</v>
      </c>
      <c r="AY5" s="72" t="s">
        <v>131</v>
      </c>
      <c r="AZ5" s="72" t="s">
        <v>132</v>
      </c>
      <c r="BA5" s="73" t="s">
        <v>133</v>
      </c>
      <c r="BB5" s="85" t="s">
        <v>138</v>
      </c>
      <c r="BC5" s="71" t="s">
        <v>971</v>
      </c>
      <c r="BD5" s="72" t="s">
        <v>972</v>
      </c>
      <c r="BE5" s="72" t="s">
        <v>973</v>
      </c>
      <c r="BF5" s="73" t="s">
        <v>974</v>
      </c>
      <c r="BG5" s="85" t="s">
        <v>969</v>
      </c>
      <c r="BH5" s="71" t="s">
        <v>975</v>
      </c>
      <c r="BI5" s="72" t="s">
        <v>976</v>
      </c>
      <c r="BJ5" s="72" t="s">
        <v>977</v>
      </c>
      <c r="BK5" s="73" t="s">
        <v>978</v>
      </c>
      <c r="BL5" s="85" t="s">
        <v>970</v>
      </c>
      <c r="BM5" s="71" t="s">
        <v>1137</v>
      </c>
      <c r="BN5" s="72" t="s">
        <v>1138</v>
      </c>
      <c r="BO5" s="72" t="s">
        <v>1139</v>
      </c>
      <c r="BP5" s="73" t="s">
        <v>1140</v>
      </c>
      <c r="BQ5" s="85" t="s">
        <v>1135</v>
      </c>
    </row>
    <row r="6" spans="1:69">
      <c r="A6" s="89"/>
      <c r="B6" s="89"/>
      <c r="C6" s="89"/>
      <c r="D6" s="89"/>
      <c r="E6" s="228"/>
      <c r="F6" s="229"/>
      <c r="G6" s="229"/>
      <c r="H6" s="230"/>
      <c r="I6" s="94"/>
      <c r="J6" s="228"/>
      <c r="K6" s="229"/>
      <c r="L6" s="229"/>
      <c r="M6" s="230"/>
      <c r="N6" s="89"/>
      <c r="O6" s="145"/>
      <c r="P6" s="146"/>
      <c r="Q6" s="146"/>
      <c r="R6" s="147"/>
      <c r="S6" s="89"/>
      <c r="T6" s="145"/>
      <c r="U6" s="146"/>
      <c r="V6" s="146"/>
      <c r="W6" s="147"/>
      <c r="X6" s="89"/>
      <c r="Y6" s="145"/>
      <c r="Z6" s="146"/>
      <c r="AA6" s="146"/>
      <c r="AB6" s="147"/>
      <c r="AC6" s="89"/>
      <c r="AD6" s="145"/>
      <c r="AE6" s="146"/>
      <c r="AF6" s="146"/>
      <c r="AG6" s="147"/>
      <c r="AH6" s="89"/>
      <c r="AI6" s="145"/>
      <c r="AJ6" s="146"/>
      <c r="AK6" s="146"/>
      <c r="AL6" s="147"/>
      <c r="AM6" s="89"/>
      <c r="AN6" s="145"/>
      <c r="AO6" s="146"/>
      <c r="AP6" s="146"/>
      <c r="AQ6" s="147"/>
      <c r="AR6" s="89"/>
      <c r="AS6" s="145"/>
      <c r="AT6" s="146"/>
      <c r="AU6" s="146"/>
      <c r="AV6" s="147"/>
      <c r="AW6" s="89"/>
      <c r="AX6" s="145"/>
      <c r="AY6" s="146"/>
      <c r="AZ6" s="146"/>
      <c r="BA6" s="147"/>
      <c r="BB6" s="89"/>
      <c r="BC6" s="145"/>
      <c r="BD6" s="146"/>
      <c r="BE6" s="146"/>
      <c r="BF6" s="147"/>
      <c r="BG6" s="89"/>
      <c r="BH6" s="145"/>
      <c r="BI6" s="146"/>
      <c r="BJ6" s="146"/>
      <c r="BK6" s="147"/>
      <c r="BL6" s="89"/>
      <c r="BM6" s="145"/>
      <c r="BN6" s="146"/>
      <c r="BO6" s="146"/>
      <c r="BP6" s="147"/>
      <c r="BQ6" s="89"/>
    </row>
    <row r="7" spans="1:69" ht="12.75" customHeight="1">
      <c r="B7" s="280" t="s">
        <v>185</v>
      </c>
      <c r="C7" s="126"/>
      <c r="D7" s="127"/>
      <c r="E7" s="152"/>
      <c r="F7" s="153"/>
      <c r="G7" s="153"/>
      <c r="H7" s="154"/>
      <c r="I7" s="89"/>
      <c r="J7" s="152"/>
      <c r="K7" s="153"/>
      <c r="L7" s="153"/>
      <c r="M7" s="154"/>
      <c r="N7" s="89"/>
      <c r="O7" s="152"/>
      <c r="P7" s="153"/>
      <c r="Q7" s="153"/>
      <c r="R7" s="154"/>
      <c r="S7" s="89"/>
      <c r="T7" s="152"/>
      <c r="U7" s="153"/>
      <c r="V7" s="153"/>
      <c r="W7" s="154"/>
      <c r="X7" s="89"/>
      <c r="Y7" s="152"/>
      <c r="Z7" s="153"/>
      <c r="AA7" s="153"/>
      <c r="AB7" s="154"/>
      <c r="AC7" s="89"/>
      <c r="AD7" s="152"/>
      <c r="AE7" s="153"/>
      <c r="AF7" s="153"/>
      <c r="AG7" s="154"/>
      <c r="AH7" s="89"/>
      <c r="AI7" s="152"/>
      <c r="AJ7" s="153"/>
      <c r="AK7" s="153"/>
      <c r="AL7" s="154"/>
      <c r="AM7" s="89"/>
      <c r="AN7" s="152"/>
      <c r="AO7" s="153"/>
      <c r="AP7" s="153"/>
      <c r="AQ7" s="154"/>
      <c r="AR7" s="89"/>
      <c r="AS7" s="152"/>
      <c r="AT7" s="153"/>
      <c r="AU7" s="153"/>
      <c r="AV7" s="154"/>
      <c r="AW7" s="89"/>
      <c r="AX7" s="152"/>
      <c r="AY7" s="153"/>
      <c r="AZ7" s="153"/>
      <c r="BA7" s="154"/>
      <c r="BB7" s="89"/>
      <c r="BC7" s="152"/>
      <c r="BD7" s="153"/>
      <c r="BE7" s="153"/>
      <c r="BF7" s="154"/>
      <c r="BG7" s="89"/>
      <c r="BH7" s="152"/>
      <c r="BI7" s="153"/>
      <c r="BJ7" s="153"/>
      <c r="BK7" s="154"/>
      <c r="BL7" s="89"/>
      <c r="BM7" s="152"/>
      <c r="BN7" s="153"/>
      <c r="BO7" s="153"/>
      <c r="BP7" s="154"/>
      <c r="BQ7" s="89"/>
    </row>
    <row r="8" spans="1:69" s="257" customFormat="1">
      <c r="A8" s="269"/>
      <c r="B8" s="269"/>
      <c r="C8" s="256" t="s">
        <v>186</v>
      </c>
      <c r="E8" s="245"/>
      <c r="F8" s="246"/>
      <c r="G8" s="246"/>
      <c r="H8" s="311"/>
      <c r="I8" s="285">
        <f>FirstEnergy!I8-Distribution!I8-Transmission!I8-Competitive!I8</f>
        <v>-2937</v>
      </c>
      <c r="J8" s="309">
        <f>FirstEnergy!J8-Distribution!J8-Transmission!J8-Competitive!J8</f>
        <v>-635</v>
      </c>
      <c r="K8" s="310">
        <f>FirstEnergy!K8-Distribution!K8-Transmission!K8-Competitive!K8</f>
        <v>-587</v>
      </c>
      <c r="L8" s="310">
        <f>FirstEnergy!L8-Distribution!L8-Transmission!L8-Competitive!L8</f>
        <v>-691</v>
      </c>
      <c r="M8" s="311">
        <f>FirstEnergy!M8-Distribution!M8-Transmission!M8-Competitive!M8</f>
        <v>-576</v>
      </c>
      <c r="N8" s="285">
        <f>FirstEnergy!N8-Distribution!N8-Transmission!N8-Competitive!N8</f>
        <v>-2489</v>
      </c>
      <c r="O8" s="309">
        <f>FirstEnergy!O8-Distribution!O8-Transmission!O8-Competitive!O8</f>
        <v>-344</v>
      </c>
      <c r="P8" s="310">
        <f>FirstEnergy!P8-Distribution!P8-Transmission!P8-Competitive!P8</f>
        <v>-344</v>
      </c>
      <c r="Q8" s="310">
        <f>FirstEnergy!Q8-Distribution!Q8-Transmission!Q8-Competitive!Q8</f>
        <v>-356</v>
      </c>
      <c r="R8" s="311">
        <f>FirstEnergy!R8-Distribution!R8-Transmission!R8-Competitive!R8</f>
        <v>-271</v>
      </c>
      <c r="S8" s="285">
        <f>FirstEnergy!S8-Distribution!S8-Transmission!S8-Competitive!S8</f>
        <v>-1315</v>
      </c>
      <c r="T8" s="309">
        <f>FirstEnergy!T8-Distribution!T8-Transmission!T8-Competitive!T8</f>
        <v>-337</v>
      </c>
      <c r="U8" s="310">
        <f>FirstEnergy!U8-Distribution!U8-Transmission!U8-Competitive!U8</f>
        <v>-235</v>
      </c>
      <c r="V8" s="310">
        <f>FirstEnergy!V8-Distribution!V8-Transmission!V8-Competitive!V8</f>
        <v>-243</v>
      </c>
      <c r="W8" s="290">
        <f>FirstEnergy!W8-Distribution!W8-Transmission!W8-Competitive!W8</f>
        <v>-193</v>
      </c>
      <c r="X8" s="298">
        <f>FirstEnergy!X8-Distribution!X8-Transmission!X8-Competitive!X8</f>
        <v>-1008</v>
      </c>
      <c r="Y8" s="309">
        <f>FirstEnergy!Y8-Distribution!Y8-Transmission!Y8-Competitive!Y8</f>
        <v>-289</v>
      </c>
      <c r="Z8" s="310">
        <f>FirstEnergy!Z8-Distribution!Z8-Transmission!Z8-Competitive!Z8</f>
        <v>-255</v>
      </c>
      <c r="AA8" s="310">
        <f>FirstEnergy!AA8-Distribution!AA8-Transmission!AA8-Competitive!AA8</f>
        <v>-263</v>
      </c>
      <c r="AB8" s="290">
        <f>FirstEnergy!AB8-Distribution!AB8-Transmission!AB8-Competitive!AB8</f>
        <v>-250</v>
      </c>
      <c r="AC8" s="298">
        <f>FirstEnergy!AC8-Distribution!AC8-Transmission!AC8-Competitive!AC8</f>
        <v>-1057</v>
      </c>
      <c r="AD8" s="309">
        <f>FirstEnergy!AD8-Distribution!AD8-Transmission!AD8-Competitive!AD8</f>
        <v>-321</v>
      </c>
      <c r="AE8" s="310">
        <f>FirstEnergy!AE8-Distribution!AE8-Transmission!AE8-Competitive!AE8</f>
        <v>-253</v>
      </c>
      <c r="AF8" s="310">
        <f>FirstEnergy!AF8-Distribution!AF8-Transmission!AF8-Competitive!AF8</f>
        <v>-265</v>
      </c>
      <c r="AG8" s="290">
        <f>FirstEnergy!AG8-Distribution!AG8-Transmission!AG8-Competitive!AG8</f>
        <v>-272</v>
      </c>
      <c r="AH8" s="298">
        <f>FirstEnergy!AH8-Distribution!AH8-Transmission!AH8-Competitive!AH8</f>
        <v>-1111</v>
      </c>
      <c r="AI8" s="309">
        <f>FirstEnergy!AI8-Distribution!AI8-Transmission!AI8-Competitive!AI8</f>
        <v>-338</v>
      </c>
      <c r="AJ8" s="310">
        <f>FirstEnergy!AJ8-Distribution!AJ8-Transmission!AJ8-Competitive!AJ8</f>
        <v>-239</v>
      </c>
      <c r="AK8" s="310">
        <f>FirstEnergy!AK8-Distribution!AK8-Transmission!AK8-Competitive!AK8</f>
        <v>-217</v>
      </c>
      <c r="AL8" s="290">
        <f>FirstEnergy!AL8-Distribution!AL8-Transmission!AL8-Competitive!AL8</f>
        <v>-200</v>
      </c>
      <c r="AM8" s="298">
        <f>FirstEnergy!AM8-Distribution!AM8-Transmission!AM8-Competitive!AM8</f>
        <v>-994</v>
      </c>
      <c r="AN8" s="309">
        <f>FirstEnergy!AN8-Distribution!AN8-Transmission!AN8-Competitive!AN8</f>
        <v>-231</v>
      </c>
      <c r="AO8" s="310">
        <f>FirstEnergy!AO8-Distribution!AO8-Transmission!AO8-Competitive!AO8</f>
        <v>-179</v>
      </c>
      <c r="AP8" s="310">
        <f>FirstEnergy!AP8-Distribution!AP8-Transmission!AP8-Competitive!AP8</f>
        <v>-185</v>
      </c>
      <c r="AQ8" s="290">
        <f>FirstEnergy!AQ8-Distribution!AQ8-Transmission!AQ8-Competitive!AQ8</f>
        <v>-172</v>
      </c>
      <c r="AR8" s="298">
        <f>FirstEnergy!AR8-Distribution!AR8-Transmission!AR8-Competitive!AR8</f>
        <v>-767</v>
      </c>
      <c r="AS8" s="309">
        <f>FirstEnergy!AS8-Distribution!AS8-Transmission!AS8-Competitive!AS8</f>
        <v>-182</v>
      </c>
      <c r="AT8" s="310">
        <f>FirstEnergy!AT8-Distribution!AT8-Transmission!AT8-Competitive!AT8</f>
        <v>-144</v>
      </c>
      <c r="AU8" s="310">
        <f>FirstEnergy!AU8-Distribution!AU8-Transmission!AU8-Competitive!AU8</f>
        <v>-127</v>
      </c>
      <c r="AV8" s="290">
        <f>FirstEnergy!AV8-Distribution!AV8-Transmission!AV8-Competitive!AV8</f>
        <v>-118</v>
      </c>
      <c r="AW8" s="298">
        <f>FirstEnergy!AW8-Distribution!AW8-Transmission!AW8-Competitive!AW8</f>
        <v>-571</v>
      </c>
      <c r="AX8" s="309">
        <f t="shared" ref="AX8:BA9" si="0">AS8</f>
        <v>-182</v>
      </c>
      <c r="AY8" s="310">
        <f t="shared" si="0"/>
        <v>-144</v>
      </c>
      <c r="AZ8" s="310">
        <f t="shared" si="0"/>
        <v>-127</v>
      </c>
      <c r="BA8" s="311">
        <f t="shared" si="0"/>
        <v>-118</v>
      </c>
      <c r="BB8" s="285">
        <f>SUM(AX8:BA8)</f>
        <v>-571</v>
      </c>
      <c r="BC8" s="309">
        <f t="shared" ref="BC8:BF9" si="1">AX8</f>
        <v>-182</v>
      </c>
      <c r="BD8" s="310">
        <f t="shared" si="1"/>
        <v>-144</v>
      </c>
      <c r="BE8" s="310">
        <f t="shared" si="1"/>
        <v>-127</v>
      </c>
      <c r="BF8" s="311">
        <f t="shared" si="1"/>
        <v>-118</v>
      </c>
      <c r="BG8" s="285">
        <f>SUM(BC8:BF8)</f>
        <v>-571</v>
      </c>
      <c r="BH8" s="309">
        <f t="shared" ref="BH8:BK9" si="2">BC8</f>
        <v>-182</v>
      </c>
      <c r="BI8" s="310">
        <f t="shared" si="2"/>
        <v>-144</v>
      </c>
      <c r="BJ8" s="310">
        <f t="shared" si="2"/>
        <v>-127</v>
      </c>
      <c r="BK8" s="311">
        <f t="shared" si="2"/>
        <v>-118</v>
      </c>
      <c r="BL8" s="285">
        <f>SUM(BH8:BK8)</f>
        <v>-571</v>
      </c>
      <c r="BM8" s="309">
        <f t="shared" ref="BM8:BM9" si="3">BH8</f>
        <v>-182</v>
      </c>
      <c r="BN8" s="310">
        <f t="shared" ref="BN8:BN9" si="4">BI8</f>
        <v>-144</v>
      </c>
      <c r="BO8" s="310">
        <f t="shared" ref="BO8:BO9" si="5">BJ8</f>
        <v>-127</v>
      </c>
      <c r="BP8" s="311">
        <f t="shared" ref="BP8:BP9" si="6">BK8</f>
        <v>-118</v>
      </c>
      <c r="BQ8" s="285">
        <f>SUM(BM8:BP8)</f>
        <v>-571</v>
      </c>
    </row>
    <row r="9" spans="1:69" s="23" customFormat="1">
      <c r="A9" s="261"/>
      <c r="B9" s="261"/>
      <c r="C9" s="258" t="s">
        <v>625</v>
      </c>
      <c r="E9" s="245"/>
      <c r="F9" s="246"/>
      <c r="G9" s="246"/>
      <c r="H9" s="311"/>
      <c r="I9" s="285">
        <f>FirstEnergy!I9-Distribution!I9-Competitive!I9</f>
        <v>-2826</v>
      </c>
      <c r="J9" s="309">
        <f>FirstEnergy!J9-Distribution!J9-Competitive!J9</f>
        <v>-607</v>
      </c>
      <c r="K9" s="310">
        <f>FirstEnergy!K9-Distribution!K9-Competitive!K9</f>
        <v>-558</v>
      </c>
      <c r="L9" s="310">
        <f>FirstEnergy!L9-Distribution!L9-Competitive!L9</f>
        <v>-659</v>
      </c>
      <c r="M9" s="311">
        <f>FirstEnergy!M9-Distribution!M9-Competitive!M9</f>
        <v>-549</v>
      </c>
      <c r="N9" s="285">
        <f>FirstEnergy!N9-Distribution!N9-Competitive!N9</f>
        <v>-2373</v>
      </c>
      <c r="O9" s="309">
        <f>FirstEnergy!O9-Distribution!O9-Competitive!O9</f>
        <v>-312</v>
      </c>
      <c r="P9" s="310">
        <f>FirstEnergy!P9-Distribution!P9-Competitive!P9</f>
        <v>-305</v>
      </c>
      <c r="Q9" s="310">
        <f>FirstEnergy!Q9-Distribution!Q9-Competitive!Q9</f>
        <v>-307</v>
      </c>
      <c r="R9" s="311">
        <f>FirstEnergy!R9-Distribution!R9-Competitive!R9</f>
        <v>-248</v>
      </c>
      <c r="S9" s="285">
        <f>FirstEnergy!S9-Distribution!S9-Competitive!S9</f>
        <v>-1172</v>
      </c>
      <c r="T9" s="309">
        <f>FirstEnergy!T9-Distribution!T9-Competitive!T9</f>
        <v>-266</v>
      </c>
      <c r="U9" s="310">
        <f>FirstEnergy!U9-Distribution!U9-Competitive!U9</f>
        <v>-208</v>
      </c>
      <c r="V9" s="310">
        <f>FirstEnergy!V9-Distribution!V9-Competitive!V9</f>
        <v>-209</v>
      </c>
      <c r="W9" s="290">
        <f>FirstEnergy!W9-Distribution!W9-Competitive!W9</f>
        <v>-179</v>
      </c>
      <c r="X9" s="298">
        <f>FirstEnergy!X9-Distribution!X9-Competitive!X9</f>
        <v>-862</v>
      </c>
      <c r="Y9" s="309">
        <f>FirstEnergy!Y9-Distribution!Y9-Competitive!Y9</f>
        <v>-216</v>
      </c>
      <c r="Z9" s="310">
        <f>FirstEnergy!Z9-Distribution!Z9-Competitive!Z9</f>
        <v>-176</v>
      </c>
      <c r="AA9" s="310">
        <f>FirstEnergy!AA9-Distribution!AA9-Competitive!AA9</f>
        <v>-196</v>
      </c>
      <c r="AB9" s="290">
        <f>FirstEnergy!AB9-Distribution!AB9-Competitive!AB9</f>
        <v>-182</v>
      </c>
      <c r="AC9" s="298">
        <f>FirstEnergy!AC9-Distribution!AC9-Competitive!AC9</f>
        <v>-770</v>
      </c>
      <c r="AD9" s="309">
        <f>FirstEnergy!AD9-Distribution!AD9-Competitive!AD9</f>
        <v>-249</v>
      </c>
      <c r="AE9" s="310">
        <f>FirstEnergy!AE9-Distribution!AE9-Competitive!AE9</f>
        <v>-182</v>
      </c>
      <c r="AF9" s="310">
        <f>FirstEnergy!AF9-Distribution!AF9-Competitive!AF9</f>
        <v>-193</v>
      </c>
      <c r="AG9" s="290">
        <f>FirstEnergy!AG9-Distribution!AG9-Competitive!AG9</f>
        <v>-195</v>
      </c>
      <c r="AH9" s="298">
        <f>FirstEnergy!AH9-Distribution!AH9-Competitive!AH9</f>
        <v>-819</v>
      </c>
      <c r="AI9" s="309">
        <f>FirstEnergy!AI9-Distribution!AI9-Competitive!AI9</f>
        <v>-260</v>
      </c>
      <c r="AJ9" s="310">
        <f>FirstEnergy!AJ9-Distribution!AJ9-Competitive!AJ9</f>
        <v>-162</v>
      </c>
      <c r="AK9" s="310">
        <f>FirstEnergy!AK9-Distribution!AK9-Competitive!AK9</f>
        <v>-141</v>
      </c>
      <c r="AL9" s="290">
        <f>FirstEnergy!AL9-Distribution!AL9-Competitive!AL9</f>
        <v>-123</v>
      </c>
      <c r="AM9" s="298">
        <f>FirstEnergy!AM9-Distribution!AM9-Competitive!AM9</f>
        <v>-686</v>
      </c>
      <c r="AN9" s="309">
        <f>FirstEnergy!AN9-Distribution!AN9-Competitive!AN9</f>
        <v>-152</v>
      </c>
      <c r="AO9" s="310">
        <f>FirstEnergy!AO9-Distribution!AO9-Competitive!AO9</f>
        <v>-108</v>
      </c>
      <c r="AP9" s="310">
        <f>FirstEnergy!AP9-Distribution!AP9-Competitive!AP9</f>
        <v>-117</v>
      </c>
      <c r="AQ9" s="290">
        <f>FirstEnergy!AQ9-Distribution!AQ9-Competitive!AQ9</f>
        <v>-102</v>
      </c>
      <c r="AR9" s="298">
        <f>FirstEnergy!AR9-Distribution!AR9-Competitive!AR9</f>
        <v>-479</v>
      </c>
      <c r="AS9" s="309">
        <f>FirstEnergy!AS9-Distribution!AS9-Competitive!AS9</f>
        <v>-117</v>
      </c>
      <c r="AT9" s="310">
        <f>FirstEnergy!AT9-Distribution!AT9-Competitive!AT9</f>
        <v>-86</v>
      </c>
      <c r="AU9" s="310">
        <f>FirstEnergy!AU9-Distribution!AU9-Competitive!AU9</f>
        <v>-93</v>
      </c>
      <c r="AV9" s="290">
        <f>FirstEnergy!AV9-Distribution!AV9-Competitive!AV9</f>
        <v>-90</v>
      </c>
      <c r="AW9" s="298">
        <f>FirstEnergy!AW9-Distribution!AW9-Competitive!AW9</f>
        <v>-386</v>
      </c>
      <c r="AX9" s="309">
        <f t="shared" si="0"/>
        <v>-117</v>
      </c>
      <c r="AY9" s="310">
        <f t="shared" si="0"/>
        <v>-86</v>
      </c>
      <c r="AZ9" s="310">
        <f t="shared" si="0"/>
        <v>-93</v>
      </c>
      <c r="BA9" s="311">
        <f t="shared" si="0"/>
        <v>-90</v>
      </c>
      <c r="BB9" s="285">
        <f>SUM(AX9:BA9)</f>
        <v>-386</v>
      </c>
      <c r="BC9" s="309">
        <f t="shared" si="1"/>
        <v>-117</v>
      </c>
      <c r="BD9" s="310">
        <f t="shared" si="1"/>
        <v>-86</v>
      </c>
      <c r="BE9" s="310">
        <f t="shared" si="1"/>
        <v>-93</v>
      </c>
      <c r="BF9" s="311">
        <f t="shared" si="1"/>
        <v>-90</v>
      </c>
      <c r="BG9" s="285">
        <f>SUM(BC9:BF9)</f>
        <v>-386</v>
      </c>
      <c r="BH9" s="309">
        <f t="shared" si="2"/>
        <v>-117</v>
      </c>
      <c r="BI9" s="310">
        <f t="shared" si="2"/>
        <v>-86</v>
      </c>
      <c r="BJ9" s="310">
        <f t="shared" si="2"/>
        <v>-93</v>
      </c>
      <c r="BK9" s="311">
        <f t="shared" si="2"/>
        <v>-90</v>
      </c>
      <c r="BL9" s="285">
        <f>SUM(BH9:BK9)</f>
        <v>-386</v>
      </c>
      <c r="BM9" s="309">
        <f t="shared" si="3"/>
        <v>-117</v>
      </c>
      <c r="BN9" s="310">
        <f t="shared" si="4"/>
        <v>-86</v>
      </c>
      <c r="BO9" s="310">
        <f t="shared" si="5"/>
        <v>-93</v>
      </c>
      <c r="BP9" s="311">
        <f t="shared" si="6"/>
        <v>-90</v>
      </c>
      <c r="BQ9" s="285">
        <f>SUM(BM9:BP9)</f>
        <v>-386</v>
      </c>
    </row>
    <row r="10" spans="1:69" s="19" customFormat="1">
      <c r="A10" s="259"/>
      <c r="B10" s="259"/>
      <c r="C10" s="242" t="s">
        <v>187</v>
      </c>
      <c r="E10" s="240"/>
      <c r="F10" s="241"/>
      <c r="G10" s="241"/>
      <c r="H10" s="307"/>
      <c r="I10" s="308">
        <f t="shared" ref="I10:AO10" si="7">I8-SUM(I9:I9)</f>
        <v>-111</v>
      </c>
      <c r="J10" s="305">
        <f t="shared" si="7"/>
        <v>-28</v>
      </c>
      <c r="K10" s="306">
        <f t="shared" si="7"/>
        <v>-29</v>
      </c>
      <c r="L10" s="306">
        <f t="shared" si="7"/>
        <v>-32</v>
      </c>
      <c r="M10" s="307">
        <f t="shared" si="7"/>
        <v>-27</v>
      </c>
      <c r="N10" s="308">
        <f t="shared" si="7"/>
        <v>-116</v>
      </c>
      <c r="O10" s="305">
        <f t="shared" si="7"/>
        <v>-32</v>
      </c>
      <c r="P10" s="306">
        <f t="shared" si="7"/>
        <v>-39</v>
      </c>
      <c r="Q10" s="306">
        <f t="shared" si="7"/>
        <v>-49</v>
      </c>
      <c r="R10" s="307">
        <f t="shared" si="7"/>
        <v>-23</v>
      </c>
      <c r="S10" s="308">
        <f t="shared" si="7"/>
        <v>-143</v>
      </c>
      <c r="T10" s="305">
        <f t="shared" si="7"/>
        <v>-71</v>
      </c>
      <c r="U10" s="306">
        <f t="shared" si="7"/>
        <v>-27</v>
      </c>
      <c r="V10" s="306">
        <f t="shared" si="7"/>
        <v>-34</v>
      </c>
      <c r="W10" s="307">
        <f t="shared" si="7"/>
        <v>-14</v>
      </c>
      <c r="X10" s="308">
        <f t="shared" si="7"/>
        <v>-146</v>
      </c>
      <c r="Y10" s="305">
        <f t="shared" si="7"/>
        <v>-73</v>
      </c>
      <c r="Z10" s="306">
        <f t="shared" si="7"/>
        <v>-79</v>
      </c>
      <c r="AA10" s="306">
        <f t="shared" si="7"/>
        <v>-67</v>
      </c>
      <c r="AB10" s="307">
        <f t="shared" si="7"/>
        <v>-68</v>
      </c>
      <c r="AC10" s="308">
        <f t="shared" si="7"/>
        <v>-287</v>
      </c>
      <c r="AD10" s="305">
        <f t="shared" si="7"/>
        <v>-72</v>
      </c>
      <c r="AE10" s="306">
        <f t="shared" si="7"/>
        <v>-71</v>
      </c>
      <c r="AF10" s="306">
        <f t="shared" si="7"/>
        <v>-72</v>
      </c>
      <c r="AG10" s="307">
        <f t="shared" si="7"/>
        <v>-77</v>
      </c>
      <c r="AH10" s="308">
        <f t="shared" si="7"/>
        <v>-292</v>
      </c>
      <c r="AI10" s="305">
        <f t="shared" si="7"/>
        <v>-78</v>
      </c>
      <c r="AJ10" s="306">
        <f t="shared" si="7"/>
        <v>-77</v>
      </c>
      <c r="AK10" s="306">
        <f t="shared" si="7"/>
        <v>-76</v>
      </c>
      <c r="AL10" s="307">
        <f t="shared" si="7"/>
        <v>-77</v>
      </c>
      <c r="AM10" s="308">
        <f t="shared" si="7"/>
        <v>-308</v>
      </c>
      <c r="AN10" s="305">
        <f t="shared" si="7"/>
        <v>-79</v>
      </c>
      <c r="AO10" s="306">
        <f t="shared" si="7"/>
        <v>-71</v>
      </c>
      <c r="AP10" s="306">
        <f t="shared" ref="AP10" si="8">AP8-SUM(AP9:AP9)</f>
        <v>-68</v>
      </c>
      <c r="AQ10" s="307">
        <f t="shared" ref="AQ10:AR10" si="9">AQ8-SUM(AQ9:AQ9)</f>
        <v>-70</v>
      </c>
      <c r="AR10" s="308">
        <f t="shared" si="9"/>
        <v>-288</v>
      </c>
      <c r="AS10" s="305">
        <f t="shared" ref="AS10" si="10">AS8-SUM(AS9:AS9)</f>
        <v>-65</v>
      </c>
      <c r="AT10" s="306">
        <f t="shared" ref="AT10" si="11">AT8-SUM(AT9:AT9)</f>
        <v>-58</v>
      </c>
      <c r="AU10" s="306">
        <f t="shared" ref="AU10:AW10" si="12">AU8-SUM(AU9:AU9)</f>
        <v>-34</v>
      </c>
      <c r="AV10" s="307">
        <f t="shared" si="12"/>
        <v>-28</v>
      </c>
      <c r="AW10" s="308">
        <f t="shared" si="12"/>
        <v>-185</v>
      </c>
      <c r="AX10" s="305">
        <f t="shared" ref="AX10:BB10" si="13">AX8-SUM(AX9:AX9)</f>
        <v>-65</v>
      </c>
      <c r="AY10" s="306">
        <f t="shared" si="13"/>
        <v>-58</v>
      </c>
      <c r="AZ10" s="306">
        <f t="shared" si="13"/>
        <v>-34</v>
      </c>
      <c r="BA10" s="307">
        <f t="shared" si="13"/>
        <v>-28</v>
      </c>
      <c r="BB10" s="308">
        <f t="shared" si="13"/>
        <v>-185</v>
      </c>
      <c r="BC10" s="305">
        <f t="shared" ref="BC10:BL10" si="14">BC8-SUM(BC9:BC9)</f>
        <v>-65</v>
      </c>
      <c r="BD10" s="306">
        <f t="shared" si="14"/>
        <v>-58</v>
      </c>
      <c r="BE10" s="306">
        <f t="shared" si="14"/>
        <v>-34</v>
      </c>
      <c r="BF10" s="307">
        <f t="shared" si="14"/>
        <v>-28</v>
      </c>
      <c r="BG10" s="308">
        <f t="shared" si="14"/>
        <v>-185</v>
      </c>
      <c r="BH10" s="305">
        <f t="shared" si="14"/>
        <v>-65</v>
      </c>
      <c r="BI10" s="306">
        <f t="shared" si="14"/>
        <v>-58</v>
      </c>
      <c r="BJ10" s="306">
        <f t="shared" si="14"/>
        <v>-34</v>
      </c>
      <c r="BK10" s="307">
        <f t="shared" si="14"/>
        <v>-28</v>
      </c>
      <c r="BL10" s="308">
        <f t="shared" si="14"/>
        <v>-185</v>
      </c>
      <c r="BM10" s="305">
        <f t="shared" ref="BM10:BQ10" si="15">BM8-SUM(BM9:BM9)</f>
        <v>-65</v>
      </c>
      <c r="BN10" s="306">
        <f t="shared" si="15"/>
        <v>-58</v>
      </c>
      <c r="BO10" s="306">
        <f t="shared" si="15"/>
        <v>-34</v>
      </c>
      <c r="BP10" s="307">
        <f t="shared" si="15"/>
        <v>-28</v>
      </c>
      <c r="BQ10" s="308">
        <f t="shared" si="15"/>
        <v>-185</v>
      </c>
    </row>
    <row r="11" spans="1:69" s="23" customFormat="1">
      <c r="A11" s="261"/>
      <c r="B11" s="261"/>
      <c r="C11" s="258"/>
      <c r="E11" s="245"/>
      <c r="F11" s="246"/>
      <c r="G11" s="246"/>
      <c r="H11" s="311"/>
      <c r="I11" s="285"/>
      <c r="J11" s="309"/>
      <c r="K11" s="310"/>
      <c r="L11" s="310"/>
      <c r="M11" s="311"/>
      <c r="N11" s="285"/>
      <c r="O11" s="309"/>
      <c r="P11" s="310"/>
      <c r="Q11" s="310"/>
      <c r="R11" s="311"/>
      <c r="S11" s="285"/>
      <c r="T11" s="309"/>
      <c r="U11" s="310"/>
      <c r="V11" s="310"/>
      <c r="W11" s="323"/>
      <c r="X11" s="324"/>
      <c r="Y11" s="309"/>
      <c r="Z11" s="310"/>
      <c r="AA11" s="310"/>
      <c r="AB11" s="323"/>
      <c r="AC11" s="324"/>
      <c r="AD11" s="309"/>
      <c r="AE11" s="310"/>
      <c r="AF11" s="310"/>
      <c r="AG11" s="323"/>
      <c r="AH11" s="324"/>
      <c r="AI11" s="309"/>
      <c r="AJ11" s="310"/>
      <c r="AK11" s="310"/>
      <c r="AL11" s="323"/>
      <c r="AM11" s="324"/>
      <c r="AN11" s="309"/>
      <c r="AO11" s="310"/>
      <c r="AP11" s="310"/>
      <c r="AQ11" s="323"/>
      <c r="AR11" s="324"/>
      <c r="AS11" s="309"/>
      <c r="AT11" s="310"/>
      <c r="AU11" s="310"/>
      <c r="AV11" s="323"/>
      <c r="AW11" s="324"/>
      <c r="AX11" s="309"/>
      <c r="AY11" s="310"/>
      <c r="AZ11" s="310"/>
      <c r="BA11" s="311"/>
      <c r="BB11" s="285"/>
      <c r="BC11" s="309"/>
      <c r="BD11" s="310"/>
      <c r="BE11" s="310"/>
      <c r="BF11" s="311"/>
      <c r="BG11" s="285"/>
      <c r="BH11" s="309"/>
      <c r="BI11" s="310"/>
      <c r="BJ11" s="310"/>
      <c r="BK11" s="311"/>
      <c r="BL11" s="285"/>
      <c r="BM11" s="309"/>
      <c r="BN11" s="310"/>
      <c r="BO11" s="310"/>
      <c r="BP11" s="311"/>
      <c r="BQ11" s="285"/>
    </row>
    <row r="12" spans="1:69" s="23" customFormat="1">
      <c r="A12" s="261"/>
      <c r="B12" s="261"/>
      <c r="C12" s="258" t="s">
        <v>188</v>
      </c>
      <c r="E12" s="245"/>
      <c r="F12" s="246"/>
      <c r="G12" s="246"/>
      <c r="H12" s="311"/>
      <c r="I12" s="285">
        <f>FirstEnergy!I12-Distribution!I12-Transmission!I10-Competitive!I12</f>
        <v>-94</v>
      </c>
      <c r="J12" s="309">
        <f>FirstEnergy!J12-Distribution!J12-Transmission!J10-Competitive!J12</f>
        <v>-24</v>
      </c>
      <c r="K12" s="310">
        <f>FirstEnergy!K12-Distribution!K12-Transmission!K10-Competitive!K12</f>
        <v>-14</v>
      </c>
      <c r="L12" s="310">
        <f>FirstEnergy!L12-Distribution!L12-Transmission!L10-Competitive!L12</f>
        <v>-22</v>
      </c>
      <c r="M12" s="311">
        <f>FirstEnergy!M12-Distribution!M12-Transmission!M10-Competitive!M12</f>
        <v>-18</v>
      </c>
      <c r="N12" s="285">
        <f>FirstEnergy!N12-Distribution!N12-Transmission!N10-Competitive!N12</f>
        <v>-78</v>
      </c>
      <c r="O12" s="309">
        <f>FirstEnergy!O12-Distribution!O12-Transmission!O10-Competitive!O12</f>
        <v>-17</v>
      </c>
      <c r="P12" s="310">
        <f>FirstEnergy!P12-Distribution!P12-Transmission!P10-Competitive!P12</f>
        <v>8</v>
      </c>
      <c r="Q12" s="310">
        <f>FirstEnergy!Q12-Distribution!Q12-Transmission!Q10-Competitive!Q12</f>
        <v>-27</v>
      </c>
      <c r="R12" s="311">
        <f>FirstEnergy!R12-Distribution!R12-Transmission!R10-Competitive!R12</f>
        <v>-38</v>
      </c>
      <c r="S12" s="285">
        <f>FirstEnergy!S12-Distribution!S12-Transmission!S10-Competitive!S12</f>
        <v>-74</v>
      </c>
      <c r="T12" s="309">
        <f>FirstEnergy!T12-Distribution!T12-Transmission!T10-Competitive!T12</f>
        <v>-85</v>
      </c>
      <c r="U12" s="310">
        <f>FirstEnergy!U12-Distribution!U12-Transmission!U10-Competitive!U12</f>
        <v>-33</v>
      </c>
      <c r="V12" s="310">
        <f>FirstEnergy!V12-Distribution!V12-Transmission!V10-Competitive!V12</f>
        <v>-43</v>
      </c>
      <c r="W12" s="323">
        <f>FirstEnergy!W12-Distribution!W12-Transmission!W10-Competitive!W12</f>
        <v>-14</v>
      </c>
      <c r="X12" s="324">
        <f>FirstEnergy!X12-Distribution!X12-Transmission!X10-Competitive!X12</f>
        <v>-175</v>
      </c>
      <c r="Y12" s="309">
        <f>FirstEnergy!Y12-Distribution!Y12-Transmission!Y10-Competitive!Y12</f>
        <v>-90</v>
      </c>
      <c r="Z12" s="310">
        <f>FirstEnergy!Z12-Distribution!Z12-Transmission!Z10-Competitive!Z12</f>
        <v>-82</v>
      </c>
      <c r="AA12" s="310">
        <f>FirstEnergy!AA12-Distribution!AA12-Transmission!AA10-Competitive!AA12</f>
        <v>-72</v>
      </c>
      <c r="AB12" s="323">
        <f>FirstEnergy!AB12-Distribution!AB12-Transmission!AB10-Competitive!AB12</f>
        <v>-74</v>
      </c>
      <c r="AC12" s="324">
        <f>FirstEnergy!AC12-Distribution!AC12-Transmission!AC10-Competitive!AC12</f>
        <v>-318</v>
      </c>
      <c r="AD12" s="309">
        <f>FirstEnergy!AD12-Distribution!AD12-Transmission!AD10-Competitive!AD12</f>
        <v>-88</v>
      </c>
      <c r="AE12" s="310">
        <f>FirstEnergy!AE12-Distribution!AE12-Transmission!AE10-Competitive!AE12</f>
        <v>-74</v>
      </c>
      <c r="AF12" s="310">
        <f>FirstEnergy!AF12-Distribution!AF12-Transmission!AF10-Competitive!AF12</f>
        <v>-85</v>
      </c>
      <c r="AG12" s="323">
        <f>FirstEnergy!AG12-Distribution!AG12-Transmission!AG10-Competitive!AG12</f>
        <v>-86</v>
      </c>
      <c r="AH12" s="324">
        <f>FirstEnergy!AH12-Distribution!AH12-Transmission!AH10-Competitive!AH12</f>
        <v>-333</v>
      </c>
      <c r="AI12" s="309">
        <f>FirstEnergy!AI12-Distribution!AI12-Transmission!AI10-Competitive!AI12</f>
        <v>-94</v>
      </c>
      <c r="AJ12" s="310">
        <f>FirstEnergy!AJ12-Distribution!AJ12-Transmission!AJ10-Competitive!AJ12</f>
        <v>-84</v>
      </c>
      <c r="AK12" s="310">
        <f>FirstEnergy!AK12-Distribution!AK12-Transmission!AK10-Competitive!AK12</f>
        <v>-70</v>
      </c>
      <c r="AL12" s="323">
        <f>FirstEnergy!AL12-Distribution!AL12-Transmission!AL10-Competitive!AL12</f>
        <v>-69</v>
      </c>
      <c r="AM12" s="324">
        <f>FirstEnergy!AM12-Distribution!AM12-Transmission!AM10-Competitive!AM12</f>
        <v>-317</v>
      </c>
      <c r="AN12" s="309">
        <f>FirstEnergy!AN12-Distribution!AN12-Transmission!AN10-Competitive!AN12</f>
        <v>-87</v>
      </c>
      <c r="AO12" s="310">
        <f>FirstEnergy!AO12-Distribution!AO12-Transmission!AO10-Competitive!AO12</f>
        <v>-84</v>
      </c>
      <c r="AP12" s="310">
        <f>FirstEnergy!AP12-Distribution!AP12-Transmission!AP10-Competitive!AP12</f>
        <v>-75</v>
      </c>
      <c r="AQ12" s="323">
        <f>FirstEnergy!AQ12-Distribution!AQ12-Transmission!AQ10-Competitive!AQ12</f>
        <v>-19</v>
      </c>
      <c r="AR12" s="324">
        <f>FirstEnergy!AR12-Distribution!AR12-Transmission!AR10-Competitive!AR12</f>
        <v>-265</v>
      </c>
      <c r="AS12" s="309">
        <f>FirstEnergy!AS12-Distribution!AS12-Transmission!AS10-Competitive!AS12</f>
        <v>-91</v>
      </c>
      <c r="AT12" s="310">
        <f>FirstEnergy!AT12-Distribution!AT12-Transmission!AT10-Competitive!AT12</f>
        <v>-69</v>
      </c>
      <c r="AU12" s="310">
        <f>FirstEnergy!AU12-Distribution!AU12-Transmission!AU10-Competitive!AU12</f>
        <v>-57</v>
      </c>
      <c r="AV12" s="323">
        <f>FirstEnergy!AV12-Distribution!AV12-Transmission!AV10-Competitive!AV12</f>
        <v>-48</v>
      </c>
      <c r="AW12" s="324">
        <f>FirstEnergy!AW12-Distribution!AW12-Transmission!AW10-Competitive!AW12</f>
        <v>-265</v>
      </c>
      <c r="AX12" s="309">
        <f>AS12-5</f>
        <v>-96</v>
      </c>
      <c r="AY12" s="310">
        <f t="shared" ref="AY12:BA12" si="16">AT12-5</f>
        <v>-74</v>
      </c>
      <c r="AZ12" s="310">
        <f t="shared" si="16"/>
        <v>-62</v>
      </c>
      <c r="BA12" s="311">
        <f t="shared" si="16"/>
        <v>-53</v>
      </c>
      <c r="BB12" s="285">
        <f>SUM(AX12:BA12)</f>
        <v>-285</v>
      </c>
      <c r="BC12" s="309">
        <f t="shared" ref="BC12:BF15" si="17">AX12</f>
        <v>-96</v>
      </c>
      <c r="BD12" s="310">
        <f t="shared" si="17"/>
        <v>-74</v>
      </c>
      <c r="BE12" s="310">
        <f t="shared" si="17"/>
        <v>-62</v>
      </c>
      <c r="BF12" s="311">
        <f t="shared" si="17"/>
        <v>-53</v>
      </c>
      <c r="BG12" s="285">
        <f>SUM(BC12:BF12)</f>
        <v>-285</v>
      </c>
      <c r="BH12" s="309">
        <f t="shared" ref="BH12:BK15" si="18">BC12</f>
        <v>-96</v>
      </c>
      <c r="BI12" s="310">
        <f t="shared" si="18"/>
        <v>-74</v>
      </c>
      <c r="BJ12" s="310">
        <f t="shared" si="18"/>
        <v>-62</v>
      </c>
      <c r="BK12" s="311">
        <f t="shared" si="18"/>
        <v>-53</v>
      </c>
      <c r="BL12" s="285">
        <f>SUM(BH12:BK12)</f>
        <v>-285</v>
      </c>
      <c r="BM12" s="309">
        <f t="shared" ref="BM12:BM15" si="19">BH12</f>
        <v>-96</v>
      </c>
      <c r="BN12" s="310">
        <f t="shared" ref="BN12:BN15" si="20">BI12</f>
        <v>-74</v>
      </c>
      <c r="BO12" s="310">
        <f t="shared" ref="BO12:BO15" si="21">BJ12</f>
        <v>-62</v>
      </c>
      <c r="BP12" s="311">
        <f t="shared" ref="BP12:BP15" si="22">BK12</f>
        <v>-53</v>
      </c>
      <c r="BQ12" s="285">
        <f>SUM(BM12:BP12)</f>
        <v>-285</v>
      </c>
    </row>
    <row r="13" spans="1:69" s="23" customFormat="1">
      <c r="A13" s="261"/>
      <c r="B13" s="261"/>
      <c r="C13" s="258" t="s">
        <v>873</v>
      </c>
      <c r="E13" s="245"/>
      <c r="F13" s="246"/>
      <c r="G13" s="246"/>
      <c r="H13" s="311"/>
      <c r="I13" s="285">
        <f>FirstEnergy!I13-Distribution!I13-Transmission!I11-Competitive!I13</f>
        <v>15</v>
      </c>
      <c r="J13" s="309">
        <f>FirstEnergy!J13-Distribution!J13-Transmission!J11-Competitive!J13</f>
        <v>3</v>
      </c>
      <c r="K13" s="310">
        <f>FirstEnergy!K13-Distribution!K13-Transmission!K11-Competitive!K13</f>
        <v>3</v>
      </c>
      <c r="L13" s="310">
        <f>FirstEnergy!L13-Distribution!L13-Transmission!L11-Competitive!L13</f>
        <v>4</v>
      </c>
      <c r="M13" s="311">
        <f>FirstEnergy!M13-Distribution!M13-Transmission!M11-Competitive!M13</f>
        <v>4</v>
      </c>
      <c r="N13" s="285">
        <f>FirstEnergy!N13-Distribution!N13-Transmission!N11-Competitive!N13</f>
        <v>14</v>
      </c>
      <c r="O13" s="309">
        <f>FirstEnergy!O13-Distribution!O13-Transmission!O11-Competitive!O13</f>
        <v>5</v>
      </c>
      <c r="P13" s="310">
        <f>FirstEnergy!P13-Distribution!P13-Transmission!P11-Competitive!P13</f>
        <v>7</v>
      </c>
      <c r="Q13" s="310">
        <f>FirstEnergy!Q13-Distribution!Q13-Transmission!Q11-Competitive!Q13</f>
        <v>7</v>
      </c>
      <c r="R13" s="311">
        <f>FirstEnergy!R13-Distribution!R13-Transmission!R11-Competitive!R13</f>
        <v>5</v>
      </c>
      <c r="S13" s="285">
        <f>FirstEnergy!S13-Distribution!S13-Transmission!S11-Competitive!S13</f>
        <v>24</v>
      </c>
      <c r="T13" s="309">
        <f>FirstEnergy!T13-Distribution!T13-Transmission!T11-Competitive!T13</f>
        <v>8</v>
      </c>
      <c r="U13" s="310">
        <f>FirstEnergy!U13-Distribution!U13-Transmission!U11-Competitive!U13</f>
        <v>7</v>
      </c>
      <c r="V13" s="310">
        <f>FirstEnergy!V13-Distribution!V13-Transmission!V11-Competitive!V13</f>
        <v>8</v>
      </c>
      <c r="W13" s="323">
        <f>FirstEnergy!W13-Distribution!W13-Transmission!W11-Competitive!W13</f>
        <v>11</v>
      </c>
      <c r="X13" s="324">
        <f>FirstEnergy!X13-Distribution!X13-Transmission!X11-Competitive!X13</f>
        <v>34</v>
      </c>
      <c r="Y13" s="309">
        <f>FirstEnergy!Y13-Distribution!Y13-Transmission!Y11-Competitive!Y13</f>
        <v>11</v>
      </c>
      <c r="Z13" s="310">
        <f>FirstEnergy!Z13-Distribution!Z13-Transmission!Z11-Competitive!Z13</f>
        <v>9</v>
      </c>
      <c r="AA13" s="310">
        <f>FirstEnergy!AA13-Distribution!AA13-Transmission!AA11-Competitive!AA13</f>
        <v>12</v>
      </c>
      <c r="AB13" s="323">
        <f>FirstEnergy!AB13-Distribution!AB13-Transmission!AB11-Competitive!AB13</f>
        <v>11</v>
      </c>
      <c r="AC13" s="324">
        <f>FirstEnergy!AC13-Distribution!AC13-Transmission!AC11-Competitive!AC13</f>
        <v>43</v>
      </c>
      <c r="AD13" s="309">
        <f>FirstEnergy!AD13-Distribution!AD13-Transmission!AD11-Competitive!AD13</f>
        <v>11</v>
      </c>
      <c r="AE13" s="310">
        <f>FirstEnergy!AE13-Distribution!AE13-Transmission!AE11-Competitive!AE13</f>
        <v>12</v>
      </c>
      <c r="AF13" s="310">
        <f>FirstEnergy!AF13-Distribution!AF13-Transmission!AF11-Competitive!AF13</f>
        <v>10</v>
      </c>
      <c r="AG13" s="323">
        <f>FirstEnergy!AG13-Distribution!AG13-Transmission!AG11-Competitive!AG13</f>
        <v>15</v>
      </c>
      <c r="AH13" s="324">
        <f>FirstEnergy!AH13-Distribution!AH13-Transmission!AH11-Competitive!AH13</f>
        <v>48</v>
      </c>
      <c r="AI13" s="309">
        <f>FirstEnergy!AI13-Distribution!AI13-Transmission!AI11-Competitive!AI13</f>
        <v>14</v>
      </c>
      <c r="AJ13" s="310">
        <f>FirstEnergy!AJ13-Distribution!AJ13-Transmission!AJ11-Competitive!AJ13</f>
        <v>15</v>
      </c>
      <c r="AK13" s="310">
        <f>FirstEnergy!AK13-Distribution!AK13-Transmission!AK11-Competitive!AK13</f>
        <v>15</v>
      </c>
      <c r="AL13" s="323">
        <f>FirstEnergy!AL13-Distribution!AL13-Transmission!AL11-Competitive!AL13</f>
        <v>16</v>
      </c>
      <c r="AM13" s="324">
        <f>FirstEnergy!AM13-Distribution!AM13-Transmission!AM11-Competitive!AM13</f>
        <v>60</v>
      </c>
      <c r="AN13" s="309">
        <f>FirstEnergy!AN13-Distribution!AN13-Transmission!AN11-Competitive!AN13</f>
        <v>15</v>
      </c>
      <c r="AO13" s="310">
        <f>FirstEnergy!AO13-Distribution!AO13-Transmission!AO11-Competitive!AO13</f>
        <v>17</v>
      </c>
      <c r="AP13" s="310">
        <f>FirstEnergy!AP13-Distribution!AP13-Transmission!AP11-Competitive!AP13</f>
        <v>16</v>
      </c>
      <c r="AQ13" s="323">
        <f>FirstEnergy!AQ13-Distribution!AQ13-Transmission!AQ11-Competitive!AQ13</f>
        <v>15</v>
      </c>
      <c r="AR13" s="324">
        <f>FirstEnergy!AR13-Distribution!AR13-Transmission!AR11-Competitive!AR13</f>
        <v>63</v>
      </c>
      <c r="AS13" s="309">
        <f>FirstEnergy!AS13-Distribution!AS13-Transmission!AS11-Competitive!AS13</f>
        <v>18</v>
      </c>
      <c r="AT13" s="310">
        <f>FirstEnergy!AT13-Distribution!AT13-Transmission!AT11-Competitive!AT13</f>
        <v>19</v>
      </c>
      <c r="AU13" s="310">
        <f>FirstEnergy!AU13-Distribution!AU13-Transmission!AU11-Competitive!AU13</f>
        <v>17</v>
      </c>
      <c r="AV13" s="323">
        <f>FirstEnergy!AV13-Distribution!AV13-Transmission!AV11-Competitive!AV13</f>
        <v>18</v>
      </c>
      <c r="AW13" s="324">
        <f>FirstEnergy!AW13-Distribution!AW13-Transmission!AW11-Competitive!AW13</f>
        <v>72</v>
      </c>
      <c r="AX13" s="309">
        <f t="shared" ref="AX13:BA15" si="23">AS13</f>
        <v>18</v>
      </c>
      <c r="AY13" s="310">
        <f t="shared" si="23"/>
        <v>19</v>
      </c>
      <c r="AZ13" s="310">
        <f t="shared" si="23"/>
        <v>17</v>
      </c>
      <c r="BA13" s="311">
        <f t="shared" si="23"/>
        <v>18</v>
      </c>
      <c r="BB13" s="285">
        <f>SUM(AX13:BA13)</f>
        <v>72</v>
      </c>
      <c r="BC13" s="309">
        <f t="shared" si="17"/>
        <v>18</v>
      </c>
      <c r="BD13" s="310">
        <f t="shared" si="17"/>
        <v>19</v>
      </c>
      <c r="BE13" s="310">
        <f t="shared" si="17"/>
        <v>17</v>
      </c>
      <c r="BF13" s="311">
        <f t="shared" si="17"/>
        <v>18</v>
      </c>
      <c r="BG13" s="285">
        <f>SUM(BC13:BF13)</f>
        <v>72</v>
      </c>
      <c r="BH13" s="309">
        <f t="shared" si="18"/>
        <v>18</v>
      </c>
      <c r="BI13" s="310">
        <f t="shared" si="18"/>
        <v>19</v>
      </c>
      <c r="BJ13" s="310">
        <f t="shared" si="18"/>
        <v>17</v>
      </c>
      <c r="BK13" s="311">
        <f t="shared" si="18"/>
        <v>18</v>
      </c>
      <c r="BL13" s="285">
        <f>SUM(BH13:BK13)</f>
        <v>72</v>
      </c>
      <c r="BM13" s="309">
        <f t="shared" si="19"/>
        <v>18</v>
      </c>
      <c r="BN13" s="310">
        <f t="shared" si="20"/>
        <v>19</v>
      </c>
      <c r="BO13" s="310">
        <f t="shared" si="21"/>
        <v>17</v>
      </c>
      <c r="BP13" s="311">
        <f t="shared" si="22"/>
        <v>18</v>
      </c>
      <c r="BQ13" s="285">
        <f>SUM(BM13:BP13)</f>
        <v>72</v>
      </c>
    </row>
    <row r="14" spans="1:69" s="23" customFormat="1">
      <c r="A14" s="261"/>
      <c r="B14" s="261"/>
      <c r="C14" s="270" t="s">
        <v>276</v>
      </c>
      <c r="E14" s="245"/>
      <c r="F14" s="246"/>
      <c r="G14" s="246"/>
      <c r="H14" s="311"/>
      <c r="I14" s="285">
        <f>FirstEnergy!I14-Distribution!I14-Transmission!I12</f>
        <v>0</v>
      </c>
      <c r="J14" s="309">
        <f>FirstEnergy!J14-Distribution!J14-Transmission!J12</f>
        <v>0</v>
      </c>
      <c r="K14" s="310">
        <f>FirstEnergy!K14-Distribution!K14-Transmission!K12</f>
        <v>0</v>
      </c>
      <c r="L14" s="310">
        <f>FirstEnergy!L14-Distribution!L14-Transmission!L12</f>
        <v>0</v>
      </c>
      <c r="M14" s="311">
        <f>FirstEnergy!M14-Distribution!M14-Transmission!M12</f>
        <v>0</v>
      </c>
      <c r="N14" s="285">
        <f>FirstEnergy!N14-Distribution!N14-Transmission!N12</f>
        <v>0</v>
      </c>
      <c r="O14" s="309">
        <f>FirstEnergy!O14-Distribution!O14-Transmission!O12</f>
        <v>1</v>
      </c>
      <c r="P14" s="310">
        <f>FirstEnergy!P14-Distribution!P14-Transmission!P12</f>
        <v>1</v>
      </c>
      <c r="Q14" s="310">
        <f>FirstEnergy!Q14-Distribution!Q14-Transmission!Q12</f>
        <v>-2</v>
      </c>
      <c r="R14" s="311">
        <f>FirstEnergy!R14-Distribution!R14-Transmission!R12</f>
        <v>0</v>
      </c>
      <c r="S14" s="285">
        <f>FirstEnergy!S14-Distribution!S14-Transmission!S12</f>
        <v>0</v>
      </c>
      <c r="T14" s="309">
        <f>FirstEnergy!T14-Distribution!T14-Transmission!T12</f>
        <v>0</v>
      </c>
      <c r="U14" s="310">
        <f>FirstEnergy!U14-Distribution!U14-Transmission!U12</f>
        <v>0</v>
      </c>
      <c r="V14" s="310">
        <f>FirstEnergy!V14-Distribution!V14-Transmission!V12</f>
        <v>0</v>
      </c>
      <c r="W14" s="323">
        <f>FirstEnergy!W14-Distribution!W14-Transmission!W12</f>
        <v>0</v>
      </c>
      <c r="X14" s="324">
        <f>FirstEnergy!X14-Distribution!X14-Transmission!X12</f>
        <v>0</v>
      </c>
      <c r="Y14" s="309">
        <f>FirstEnergy!Y14-Distribution!Y14-Transmission!Y12</f>
        <v>0</v>
      </c>
      <c r="Z14" s="310">
        <f>FirstEnergy!Z14-Distribution!Z14-Transmission!Z12</f>
        <v>0</v>
      </c>
      <c r="AA14" s="310">
        <f>FirstEnergy!AA14-Distribution!AA14-Transmission!AA12</f>
        <v>0</v>
      </c>
      <c r="AB14" s="323">
        <f>FirstEnergy!AB14-Distribution!AB14-Transmission!AB12</f>
        <v>0</v>
      </c>
      <c r="AC14" s="324">
        <f>FirstEnergy!AC14-Distribution!AC14-Transmission!AC12</f>
        <v>0</v>
      </c>
      <c r="AD14" s="309">
        <f>FirstEnergy!AD14-Distribution!AD14-Transmission!AD12</f>
        <v>0</v>
      </c>
      <c r="AE14" s="310">
        <f>FirstEnergy!AE14-Distribution!AE14-Transmission!AE12</f>
        <v>1</v>
      </c>
      <c r="AF14" s="310">
        <f>FirstEnergy!AF14-Distribution!AF14-Transmission!AF12</f>
        <v>-1</v>
      </c>
      <c r="AG14" s="323">
        <f>FirstEnergy!AG14-Distribution!AG14-Transmission!AG12</f>
        <v>0</v>
      </c>
      <c r="AH14" s="324">
        <f>FirstEnergy!AH14-Distribution!AH14-Transmission!AH12</f>
        <v>0</v>
      </c>
      <c r="AI14" s="309">
        <f>FirstEnergy!AI14-Distribution!AI14-Transmission!AI12</f>
        <v>0</v>
      </c>
      <c r="AJ14" s="310">
        <f>FirstEnergy!AJ14-Distribution!AJ14-Transmission!AJ12</f>
        <v>0</v>
      </c>
      <c r="AK14" s="310">
        <f>FirstEnergy!AK14-Distribution!AK14-Transmission!AK12</f>
        <v>0</v>
      </c>
      <c r="AL14" s="323">
        <f>FirstEnergy!AL14-Distribution!AL14-Transmission!AL12</f>
        <v>0</v>
      </c>
      <c r="AM14" s="324">
        <f>FirstEnergy!AM14-Distribution!AM14-Transmission!AM12</f>
        <v>0</v>
      </c>
      <c r="AN14" s="309">
        <f>FirstEnergy!AN14-Distribution!AN14-Transmission!AN12</f>
        <v>0</v>
      </c>
      <c r="AO14" s="310">
        <f>FirstEnergy!AO14-Distribution!AO14-Transmission!AO12</f>
        <v>0</v>
      </c>
      <c r="AP14" s="310">
        <f>FirstEnergy!AP14-Distribution!AP14-Transmission!AP12</f>
        <v>0</v>
      </c>
      <c r="AQ14" s="323">
        <f>FirstEnergy!AQ14-Distribution!AQ14-Transmission!AQ12</f>
        <v>0</v>
      </c>
      <c r="AR14" s="324">
        <f>FirstEnergy!AR14-Distribution!AR14-Transmission!AR12</f>
        <v>0</v>
      </c>
      <c r="AS14" s="309">
        <f>FirstEnergy!AS14-Distribution!AS14-Transmission!AS12</f>
        <v>0</v>
      </c>
      <c r="AT14" s="310">
        <f>FirstEnergy!AT14-Distribution!AT14-Transmission!AT12</f>
        <v>0</v>
      </c>
      <c r="AU14" s="310">
        <f>FirstEnergy!AU14-Distribution!AU14-Transmission!AU12</f>
        <v>0</v>
      </c>
      <c r="AV14" s="323">
        <f>FirstEnergy!AV14-Distribution!AV14-Transmission!AV12</f>
        <v>0</v>
      </c>
      <c r="AW14" s="324">
        <f>FirstEnergy!AW14-Distribution!AW14-Transmission!AW12</f>
        <v>0</v>
      </c>
      <c r="AX14" s="309">
        <f t="shared" si="23"/>
        <v>0</v>
      </c>
      <c r="AY14" s="310">
        <f t="shared" si="23"/>
        <v>0</v>
      </c>
      <c r="AZ14" s="310">
        <f t="shared" si="23"/>
        <v>0</v>
      </c>
      <c r="BA14" s="311">
        <f t="shared" si="23"/>
        <v>0</v>
      </c>
      <c r="BB14" s="285">
        <f>SUM(AX14:BA14)</f>
        <v>0</v>
      </c>
      <c r="BC14" s="309">
        <f t="shared" si="17"/>
        <v>0</v>
      </c>
      <c r="BD14" s="310">
        <f t="shared" si="17"/>
        <v>0</v>
      </c>
      <c r="BE14" s="310">
        <f t="shared" si="17"/>
        <v>0</v>
      </c>
      <c r="BF14" s="311">
        <f t="shared" si="17"/>
        <v>0</v>
      </c>
      <c r="BG14" s="285">
        <f>SUM(BC14:BF14)</f>
        <v>0</v>
      </c>
      <c r="BH14" s="309">
        <f t="shared" si="18"/>
        <v>0</v>
      </c>
      <c r="BI14" s="310">
        <f t="shared" si="18"/>
        <v>0</v>
      </c>
      <c r="BJ14" s="310">
        <f t="shared" si="18"/>
        <v>0</v>
      </c>
      <c r="BK14" s="311">
        <f t="shared" si="18"/>
        <v>0</v>
      </c>
      <c r="BL14" s="285">
        <f>SUM(BH14:BK14)</f>
        <v>0</v>
      </c>
      <c r="BM14" s="309">
        <f t="shared" si="19"/>
        <v>0</v>
      </c>
      <c r="BN14" s="310">
        <f t="shared" si="20"/>
        <v>0</v>
      </c>
      <c r="BO14" s="310">
        <f t="shared" si="21"/>
        <v>0</v>
      </c>
      <c r="BP14" s="311">
        <f t="shared" si="22"/>
        <v>0</v>
      </c>
      <c r="BQ14" s="285">
        <f>SUM(BM14:BP14)</f>
        <v>0</v>
      </c>
    </row>
    <row r="15" spans="1:69" s="23" customFormat="1">
      <c r="A15" s="261"/>
      <c r="B15" s="261"/>
      <c r="C15" s="258" t="s">
        <v>194</v>
      </c>
      <c r="E15" s="245"/>
      <c r="F15" s="246"/>
      <c r="G15" s="246"/>
      <c r="H15" s="311"/>
      <c r="I15" s="285">
        <f>FirstEnergy!I15-Distribution!I15-Transmission!I13-Competitive!I14</f>
        <v>20</v>
      </c>
      <c r="J15" s="309">
        <f>FirstEnergy!J15-Distribution!J15-Transmission!J13-Competitive!J14</f>
        <v>7</v>
      </c>
      <c r="K15" s="310">
        <f>FirstEnergy!K15-Distribution!K15-Transmission!K13-Competitive!K14</f>
        <v>4</v>
      </c>
      <c r="L15" s="310">
        <f>FirstEnergy!L15-Distribution!L15-Transmission!L13-Competitive!L14</f>
        <v>3</v>
      </c>
      <c r="M15" s="311">
        <f>FirstEnergy!M15-Distribution!M15-Transmission!M13-Competitive!M14</f>
        <v>3</v>
      </c>
      <c r="N15" s="285">
        <f>FirstEnergy!N15-Distribution!N15-Transmission!N13-Competitive!N14</f>
        <v>17</v>
      </c>
      <c r="O15" s="309">
        <f>FirstEnergy!O15-Distribution!O15-Transmission!O13-Competitive!O14</f>
        <v>8</v>
      </c>
      <c r="P15" s="310">
        <f>FirstEnergy!P15-Distribution!P15-Transmission!P13-Competitive!P14</f>
        <v>4</v>
      </c>
      <c r="Q15" s="310">
        <f>FirstEnergy!Q15-Distribution!Q15-Transmission!Q13-Competitive!Q14</f>
        <v>5</v>
      </c>
      <c r="R15" s="311">
        <f>FirstEnergy!R15-Distribution!R15-Transmission!R13-Competitive!R14</f>
        <v>4</v>
      </c>
      <c r="S15" s="285">
        <f>FirstEnergy!S15-Distribution!S15-Transmission!S13-Competitive!S14</f>
        <v>21</v>
      </c>
      <c r="T15" s="309">
        <f>FirstEnergy!T15-Distribution!T15-Transmission!T13-Competitive!T14</f>
        <v>9</v>
      </c>
      <c r="U15" s="310">
        <f>FirstEnergy!U15-Distribution!U15-Transmission!U13-Competitive!U14</f>
        <v>7</v>
      </c>
      <c r="V15" s="310">
        <f>FirstEnergy!V15-Distribution!V15-Transmission!V13-Competitive!V14</f>
        <v>7</v>
      </c>
      <c r="W15" s="323">
        <f>FirstEnergy!W15-Distribution!W15-Transmission!W13-Competitive!W14</f>
        <v>2</v>
      </c>
      <c r="X15" s="324">
        <f>FirstEnergy!X15-Distribution!X15-Transmission!X13-Competitive!X14</f>
        <v>25</v>
      </c>
      <c r="Y15" s="309">
        <f>FirstEnergy!Y15-Distribution!Y15-Transmission!Y13-Competitive!Y14</f>
        <v>11</v>
      </c>
      <c r="Z15" s="310">
        <f>FirstEnergy!Z15-Distribution!Z15-Transmission!Z13-Competitive!Z14</f>
        <v>5</v>
      </c>
      <c r="AA15" s="310">
        <f>FirstEnergy!AA15-Distribution!AA15-Transmission!AA13-Competitive!AA14</f>
        <v>5</v>
      </c>
      <c r="AB15" s="323">
        <f>FirstEnergy!AB15-Distribution!AB15-Transmission!AB13-Competitive!AB14</f>
        <v>4</v>
      </c>
      <c r="AC15" s="324">
        <f>FirstEnergy!AC15-Distribution!AC15-Transmission!AC13-Competitive!AC14</f>
        <v>25</v>
      </c>
      <c r="AD15" s="309">
        <f>FirstEnergy!AD15-Distribution!AD15-Transmission!AD13-Competitive!AD14</f>
        <v>13</v>
      </c>
      <c r="AE15" s="310">
        <f>FirstEnergy!AE15-Distribution!AE15-Transmission!AE13-Competitive!AE14</f>
        <v>5</v>
      </c>
      <c r="AF15" s="310">
        <f>FirstEnergy!AF15-Distribution!AF15-Transmission!AF13-Competitive!AF14</f>
        <v>7</v>
      </c>
      <c r="AG15" s="323">
        <f>FirstEnergy!AG15-Distribution!AG15-Transmission!AG13-Competitive!AG14</f>
        <v>3</v>
      </c>
      <c r="AH15" s="324">
        <f>FirstEnergy!AH15-Distribution!AH15-Transmission!AH13-Competitive!AH14</f>
        <v>28</v>
      </c>
      <c r="AI15" s="309">
        <f>FirstEnergy!AI15-Distribution!AI15-Transmission!AI13-Competitive!AI14</f>
        <v>14</v>
      </c>
      <c r="AJ15" s="310">
        <f>FirstEnergy!AJ15-Distribution!AJ15-Transmission!AJ13-Competitive!AJ14</f>
        <v>6</v>
      </c>
      <c r="AK15" s="310">
        <f>FirstEnergy!AK15-Distribution!AK15-Transmission!AK13-Competitive!AK14</f>
        <v>6</v>
      </c>
      <c r="AL15" s="323">
        <f>FirstEnergy!AL15-Distribution!AL15-Transmission!AL13-Competitive!AL14</f>
        <v>7</v>
      </c>
      <c r="AM15" s="324">
        <f>FirstEnergy!AM15-Distribution!AM15-Transmission!AM13-Competitive!AM14</f>
        <v>33</v>
      </c>
      <c r="AN15" s="309">
        <f>FirstEnergy!AN15-Distribution!AN15-Transmission!AN13-Competitive!AN14</f>
        <v>15</v>
      </c>
      <c r="AO15" s="310">
        <f>FirstEnergy!AO15-Distribution!AO15-Transmission!AO13-Competitive!AO14</f>
        <v>6</v>
      </c>
      <c r="AP15" s="310">
        <f>FirstEnergy!AP15-Distribution!AP15-Transmission!AP13-Competitive!AP14</f>
        <v>8</v>
      </c>
      <c r="AQ15" s="323">
        <f>FirstEnergy!AQ15-Distribution!AQ15-Transmission!AQ13-Competitive!AQ14</f>
        <v>6</v>
      </c>
      <c r="AR15" s="324">
        <f>FirstEnergy!AR15-Distribution!AR15-Transmission!AR13-Competitive!AR14</f>
        <v>35</v>
      </c>
      <c r="AS15" s="309">
        <f>FirstEnergy!AS15-Distribution!AS15-Transmission!AS13-Competitive!AS14</f>
        <v>15</v>
      </c>
      <c r="AT15" s="310">
        <f>FirstEnergy!AT15-Distribution!AT15-Transmission!AT13-Competitive!AT14</f>
        <v>8</v>
      </c>
      <c r="AU15" s="310">
        <f>FirstEnergy!AU15-Distribution!AU15-Transmission!AU13-Competitive!AU14</f>
        <v>7</v>
      </c>
      <c r="AV15" s="323">
        <f>FirstEnergy!AV15-Distribution!AV15-Transmission!AV13-Competitive!AV14</f>
        <v>14</v>
      </c>
      <c r="AW15" s="324">
        <f>FirstEnergy!AW15-Distribution!AW15-Transmission!AW13-Competitive!AW14</f>
        <v>44</v>
      </c>
      <c r="AX15" s="309">
        <f t="shared" si="23"/>
        <v>15</v>
      </c>
      <c r="AY15" s="310">
        <f t="shared" si="23"/>
        <v>8</v>
      </c>
      <c r="AZ15" s="310">
        <f t="shared" si="23"/>
        <v>7</v>
      </c>
      <c r="BA15" s="311">
        <f t="shared" si="23"/>
        <v>14</v>
      </c>
      <c r="BB15" s="285">
        <f>SUM(AX15:BA15)</f>
        <v>44</v>
      </c>
      <c r="BC15" s="309">
        <f t="shared" si="17"/>
        <v>15</v>
      </c>
      <c r="BD15" s="310">
        <f t="shared" si="17"/>
        <v>8</v>
      </c>
      <c r="BE15" s="310">
        <f t="shared" si="17"/>
        <v>7</v>
      </c>
      <c r="BF15" s="311">
        <f t="shared" si="17"/>
        <v>14</v>
      </c>
      <c r="BG15" s="285">
        <f>SUM(BC15:BF15)</f>
        <v>44</v>
      </c>
      <c r="BH15" s="309">
        <f t="shared" si="18"/>
        <v>15</v>
      </c>
      <c r="BI15" s="310">
        <f t="shared" si="18"/>
        <v>8</v>
      </c>
      <c r="BJ15" s="310">
        <f t="shared" si="18"/>
        <v>7</v>
      </c>
      <c r="BK15" s="311">
        <f t="shared" si="18"/>
        <v>14</v>
      </c>
      <c r="BL15" s="285">
        <f>SUM(BH15:BK15)</f>
        <v>44</v>
      </c>
      <c r="BM15" s="309">
        <f t="shared" si="19"/>
        <v>15</v>
      </c>
      <c r="BN15" s="310">
        <f t="shared" si="20"/>
        <v>8</v>
      </c>
      <c r="BO15" s="310">
        <f t="shared" si="21"/>
        <v>7</v>
      </c>
      <c r="BP15" s="311">
        <f t="shared" si="22"/>
        <v>14</v>
      </c>
      <c r="BQ15" s="285">
        <f>SUM(BM15:BP15)</f>
        <v>44</v>
      </c>
    </row>
    <row r="16" spans="1:69" s="19" customFormat="1">
      <c r="A16" s="259"/>
      <c r="B16" s="259"/>
      <c r="C16" s="88" t="s">
        <v>195</v>
      </c>
      <c r="E16" s="240"/>
      <c r="F16" s="241"/>
      <c r="G16" s="241"/>
      <c r="H16" s="307"/>
      <c r="I16" s="308">
        <f t="shared" ref="I16:AO16" si="24">SUM(I9:I9,I12:I15)</f>
        <v>-2885</v>
      </c>
      <c r="J16" s="305">
        <f t="shared" si="24"/>
        <v>-621</v>
      </c>
      <c r="K16" s="306">
        <f t="shared" si="24"/>
        <v>-565</v>
      </c>
      <c r="L16" s="306">
        <f t="shared" si="24"/>
        <v>-674</v>
      </c>
      <c r="M16" s="307">
        <f t="shared" si="24"/>
        <v>-560</v>
      </c>
      <c r="N16" s="308">
        <f t="shared" si="24"/>
        <v>-2420</v>
      </c>
      <c r="O16" s="305">
        <f t="shared" si="24"/>
        <v>-315</v>
      </c>
      <c r="P16" s="306">
        <f t="shared" si="24"/>
        <v>-285</v>
      </c>
      <c r="Q16" s="306">
        <f t="shared" si="24"/>
        <v>-324</v>
      </c>
      <c r="R16" s="307">
        <f t="shared" si="24"/>
        <v>-277</v>
      </c>
      <c r="S16" s="308">
        <f t="shared" si="24"/>
        <v>-1201</v>
      </c>
      <c r="T16" s="305">
        <f t="shared" si="24"/>
        <v>-334</v>
      </c>
      <c r="U16" s="306">
        <f t="shared" si="24"/>
        <v>-227</v>
      </c>
      <c r="V16" s="306">
        <f t="shared" si="24"/>
        <v>-237</v>
      </c>
      <c r="W16" s="307">
        <f t="shared" si="24"/>
        <v>-180</v>
      </c>
      <c r="X16" s="308">
        <f t="shared" si="24"/>
        <v>-978</v>
      </c>
      <c r="Y16" s="305">
        <f t="shared" si="24"/>
        <v>-284</v>
      </c>
      <c r="Z16" s="306">
        <f t="shared" si="24"/>
        <v>-244</v>
      </c>
      <c r="AA16" s="306">
        <f t="shared" si="24"/>
        <v>-251</v>
      </c>
      <c r="AB16" s="307">
        <f t="shared" si="24"/>
        <v>-241</v>
      </c>
      <c r="AC16" s="308">
        <f t="shared" si="24"/>
        <v>-1020</v>
      </c>
      <c r="AD16" s="305">
        <f t="shared" si="24"/>
        <v>-313</v>
      </c>
      <c r="AE16" s="306">
        <f t="shared" si="24"/>
        <v>-238</v>
      </c>
      <c r="AF16" s="306">
        <f t="shared" si="24"/>
        <v>-262</v>
      </c>
      <c r="AG16" s="307">
        <f t="shared" si="24"/>
        <v>-263</v>
      </c>
      <c r="AH16" s="308">
        <f t="shared" si="24"/>
        <v>-1076</v>
      </c>
      <c r="AI16" s="305">
        <f t="shared" si="24"/>
        <v>-326</v>
      </c>
      <c r="AJ16" s="306">
        <f t="shared" si="24"/>
        <v>-225</v>
      </c>
      <c r="AK16" s="306">
        <f t="shared" si="24"/>
        <v>-190</v>
      </c>
      <c r="AL16" s="307">
        <f t="shared" si="24"/>
        <v>-169</v>
      </c>
      <c r="AM16" s="308">
        <f t="shared" si="24"/>
        <v>-910</v>
      </c>
      <c r="AN16" s="305">
        <f t="shared" si="24"/>
        <v>-209</v>
      </c>
      <c r="AO16" s="306">
        <f t="shared" si="24"/>
        <v>-169</v>
      </c>
      <c r="AP16" s="306">
        <f t="shared" ref="AP16:AT16" si="25">SUM(AP9:AP9,AP12:AP15)</f>
        <v>-168</v>
      </c>
      <c r="AQ16" s="307">
        <f t="shared" si="25"/>
        <v>-100</v>
      </c>
      <c r="AR16" s="308">
        <f t="shared" si="25"/>
        <v>-646</v>
      </c>
      <c r="AS16" s="305">
        <f t="shared" si="25"/>
        <v>-175</v>
      </c>
      <c r="AT16" s="306">
        <f t="shared" si="25"/>
        <v>-128</v>
      </c>
      <c r="AU16" s="306">
        <f t="shared" ref="AU16:AW16" si="26">SUM(AU9:AU9,AU12:AU15)</f>
        <v>-126</v>
      </c>
      <c r="AV16" s="307">
        <f t="shared" si="26"/>
        <v>-106</v>
      </c>
      <c r="AW16" s="308">
        <f t="shared" si="26"/>
        <v>-535</v>
      </c>
      <c r="AX16" s="305">
        <f t="shared" ref="AX16:BB16" si="27">SUM(AX9:AX9,AX12:AX15)</f>
        <v>-180</v>
      </c>
      <c r="AY16" s="306">
        <f t="shared" si="27"/>
        <v>-133</v>
      </c>
      <c r="AZ16" s="306">
        <f t="shared" si="27"/>
        <v>-131</v>
      </c>
      <c r="BA16" s="307">
        <f t="shared" si="27"/>
        <v>-111</v>
      </c>
      <c r="BB16" s="308">
        <f t="shared" si="27"/>
        <v>-555</v>
      </c>
      <c r="BC16" s="305">
        <f t="shared" ref="BC16:BL16" si="28">SUM(BC9:BC9,BC12:BC15)</f>
        <v>-180</v>
      </c>
      <c r="BD16" s="306">
        <f t="shared" si="28"/>
        <v>-133</v>
      </c>
      <c r="BE16" s="306">
        <f t="shared" si="28"/>
        <v>-131</v>
      </c>
      <c r="BF16" s="307">
        <f t="shared" si="28"/>
        <v>-111</v>
      </c>
      <c r="BG16" s="308">
        <f t="shared" si="28"/>
        <v>-555</v>
      </c>
      <c r="BH16" s="305">
        <f t="shared" si="28"/>
        <v>-180</v>
      </c>
      <c r="BI16" s="306">
        <f t="shared" si="28"/>
        <v>-133</v>
      </c>
      <c r="BJ16" s="306">
        <f t="shared" si="28"/>
        <v>-131</v>
      </c>
      <c r="BK16" s="307">
        <f t="shared" si="28"/>
        <v>-111</v>
      </c>
      <c r="BL16" s="308">
        <f t="shared" si="28"/>
        <v>-555</v>
      </c>
      <c r="BM16" s="305">
        <f t="shared" ref="BM16:BQ16" si="29">SUM(BM9:BM9,BM12:BM15)</f>
        <v>-180</v>
      </c>
      <c r="BN16" s="306">
        <f t="shared" si="29"/>
        <v>-133</v>
      </c>
      <c r="BO16" s="306">
        <f t="shared" si="29"/>
        <v>-131</v>
      </c>
      <c r="BP16" s="307">
        <f t="shared" si="29"/>
        <v>-111</v>
      </c>
      <c r="BQ16" s="308">
        <f t="shared" si="29"/>
        <v>-555</v>
      </c>
    </row>
    <row r="17" spans="1:76" s="23" customFormat="1">
      <c r="A17" s="261"/>
      <c r="B17" s="261"/>
      <c r="C17" s="171"/>
      <c r="E17" s="245"/>
      <c r="F17" s="246"/>
      <c r="G17" s="246"/>
      <c r="H17" s="311"/>
      <c r="I17" s="285"/>
      <c r="J17" s="309"/>
      <c r="K17" s="310"/>
      <c r="L17" s="310"/>
      <c r="M17" s="311"/>
      <c r="N17" s="285"/>
      <c r="O17" s="309"/>
      <c r="P17" s="310"/>
      <c r="Q17" s="310"/>
      <c r="R17" s="311"/>
      <c r="S17" s="285"/>
      <c r="T17" s="309"/>
      <c r="U17" s="310"/>
      <c r="V17" s="310"/>
      <c r="W17" s="323"/>
      <c r="X17" s="324"/>
      <c r="Y17" s="309"/>
      <c r="Z17" s="310"/>
      <c r="AA17" s="310"/>
      <c r="AB17" s="323"/>
      <c r="AC17" s="324"/>
      <c r="AD17" s="309"/>
      <c r="AE17" s="310"/>
      <c r="AF17" s="310"/>
      <c r="AG17" s="323"/>
      <c r="AH17" s="324"/>
      <c r="AI17" s="309"/>
      <c r="AJ17" s="310"/>
      <c r="AK17" s="310"/>
      <c r="AL17" s="323"/>
      <c r="AM17" s="324"/>
      <c r="AN17" s="309"/>
      <c r="AO17" s="310"/>
      <c r="AP17" s="310"/>
      <c r="AQ17" s="323"/>
      <c r="AR17" s="324"/>
      <c r="AS17" s="309"/>
      <c r="AT17" s="310"/>
      <c r="AU17" s="310"/>
      <c r="AV17" s="323"/>
      <c r="AW17" s="324"/>
      <c r="AX17" s="309"/>
      <c r="AY17" s="310"/>
      <c r="AZ17" s="310"/>
      <c r="BA17" s="311"/>
      <c r="BB17" s="285"/>
      <c r="BC17" s="309"/>
      <c r="BD17" s="310"/>
      <c r="BE17" s="310"/>
      <c r="BF17" s="311"/>
      <c r="BG17" s="285"/>
      <c r="BH17" s="309"/>
      <c r="BI17" s="310"/>
      <c r="BJ17" s="310"/>
      <c r="BK17" s="311"/>
      <c r="BL17" s="285"/>
      <c r="BM17" s="309"/>
      <c r="BN17" s="310"/>
      <c r="BO17" s="310"/>
      <c r="BP17" s="311"/>
      <c r="BQ17" s="285"/>
    </row>
    <row r="18" spans="1:76" s="23" customFormat="1">
      <c r="A18" s="261"/>
      <c r="B18" s="261"/>
      <c r="C18" s="242" t="s">
        <v>290</v>
      </c>
      <c r="E18" s="240"/>
      <c r="F18" s="241"/>
      <c r="G18" s="241"/>
      <c r="H18" s="307"/>
      <c r="I18" s="308">
        <f t="shared" ref="I18:AO18" si="30">I8-I16</f>
        <v>-52</v>
      </c>
      <c r="J18" s="305">
        <f t="shared" si="30"/>
        <v>-14</v>
      </c>
      <c r="K18" s="306">
        <f t="shared" si="30"/>
        <v>-22</v>
      </c>
      <c r="L18" s="306">
        <f t="shared" si="30"/>
        <v>-17</v>
      </c>
      <c r="M18" s="307">
        <f t="shared" si="30"/>
        <v>-16</v>
      </c>
      <c r="N18" s="308">
        <f t="shared" si="30"/>
        <v>-69</v>
      </c>
      <c r="O18" s="305">
        <f t="shared" si="30"/>
        <v>-29</v>
      </c>
      <c r="P18" s="306">
        <f t="shared" si="30"/>
        <v>-59</v>
      </c>
      <c r="Q18" s="306">
        <f t="shared" si="30"/>
        <v>-32</v>
      </c>
      <c r="R18" s="307">
        <f t="shared" si="30"/>
        <v>6</v>
      </c>
      <c r="S18" s="308">
        <f t="shared" si="30"/>
        <v>-114</v>
      </c>
      <c r="T18" s="305">
        <f t="shared" si="30"/>
        <v>-3</v>
      </c>
      <c r="U18" s="306">
        <f t="shared" si="30"/>
        <v>-8</v>
      </c>
      <c r="V18" s="306">
        <f t="shared" si="30"/>
        <v>-6</v>
      </c>
      <c r="W18" s="307">
        <f t="shared" si="30"/>
        <v>-13</v>
      </c>
      <c r="X18" s="308">
        <f t="shared" si="30"/>
        <v>-30</v>
      </c>
      <c r="Y18" s="305">
        <f t="shared" si="30"/>
        <v>-5</v>
      </c>
      <c r="Z18" s="306">
        <f t="shared" si="30"/>
        <v>-11</v>
      </c>
      <c r="AA18" s="306">
        <f t="shared" si="30"/>
        <v>-12</v>
      </c>
      <c r="AB18" s="307">
        <f t="shared" si="30"/>
        <v>-9</v>
      </c>
      <c r="AC18" s="308">
        <f t="shared" si="30"/>
        <v>-37</v>
      </c>
      <c r="AD18" s="305">
        <f t="shared" si="30"/>
        <v>-8</v>
      </c>
      <c r="AE18" s="306">
        <f t="shared" si="30"/>
        <v>-15</v>
      </c>
      <c r="AF18" s="306">
        <f t="shared" si="30"/>
        <v>-3</v>
      </c>
      <c r="AG18" s="307">
        <f t="shared" si="30"/>
        <v>-9</v>
      </c>
      <c r="AH18" s="308">
        <f t="shared" si="30"/>
        <v>-35</v>
      </c>
      <c r="AI18" s="305">
        <f t="shared" si="30"/>
        <v>-12</v>
      </c>
      <c r="AJ18" s="306">
        <f t="shared" si="30"/>
        <v>-14</v>
      </c>
      <c r="AK18" s="306">
        <f t="shared" si="30"/>
        <v>-27</v>
      </c>
      <c r="AL18" s="307">
        <f t="shared" si="30"/>
        <v>-31</v>
      </c>
      <c r="AM18" s="308">
        <f t="shared" si="30"/>
        <v>-84</v>
      </c>
      <c r="AN18" s="305">
        <f t="shared" si="30"/>
        <v>-22</v>
      </c>
      <c r="AO18" s="306">
        <f t="shared" si="30"/>
        <v>-10</v>
      </c>
      <c r="AP18" s="306">
        <f t="shared" ref="AP18:AT18" si="31">AP8-AP16</f>
        <v>-17</v>
      </c>
      <c r="AQ18" s="307">
        <f t="shared" si="31"/>
        <v>-72</v>
      </c>
      <c r="AR18" s="308">
        <f t="shared" si="31"/>
        <v>-121</v>
      </c>
      <c r="AS18" s="305">
        <f t="shared" si="31"/>
        <v>-7</v>
      </c>
      <c r="AT18" s="306">
        <f t="shared" si="31"/>
        <v>-16</v>
      </c>
      <c r="AU18" s="306">
        <f t="shared" ref="AU18:AW18" si="32">AU8-AU16</f>
        <v>-1</v>
      </c>
      <c r="AV18" s="307">
        <f t="shared" si="32"/>
        <v>-12</v>
      </c>
      <c r="AW18" s="308">
        <f t="shared" si="32"/>
        <v>-36</v>
      </c>
      <c r="AX18" s="305">
        <f t="shared" ref="AX18:BB18" si="33">AX8-AX16</f>
        <v>-2</v>
      </c>
      <c r="AY18" s="306">
        <f t="shared" si="33"/>
        <v>-11</v>
      </c>
      <c r="AZ18" s="306">
        <f t="shared" si="33"/>
        <v>4</v>
      </c>
      <c r="BA18" s="307">
        <f t="shared" si="33"/>
        <v>-7</v>
      </c>
      <c r="BB18" s="308">
        <f t="shared" si="33"/>
        <v>-16</v>
      </c>
      <c r="BC18" s="305">
        <f t="shared" ref="BC18:BL18" si="34">BC8-BC16</f>
        <v>-2</v>
      </c>
      <c r="BD18" s="306">
        <f t="shared" si="34"/>
        <v>-11</v>
      </c>
      <c r="BE18" s="306">
        <f t="shared" si="34"/>
        <v>4</v>
      </c>
      <c r="BF18" s="307">
        <f t="shared" si="34"/>
        <v>-7</v>
      </c>
      <c r="BG18" s="308">
        <f t="shared" si="34"/>
        <v>-16</v>
      </c>
      <c r="BH18" s="305">
        <f t="shared" si="34"/>
        <v>-2</v>
      </c>
      <c r="BI18" s="306">
        <f t="shared" si="34"/>
        <v>-11</v>
      </c>
      <c r="BJ18" s="306">
        <f t="shared" si="34"/>
        <v>4</v>
      </c>
      <c r="BK18" s="307">
        <f t="shared" si="34"/>
        <v>-7</v>
      </c>
      <c r="BL18" s="308">
        <f t="shared" si="34"/>
        <v>-16</v>
      </c>
      <c r="BM18" s="305">
        <f t="shared" ref="BM18:BQ18" si="35">BM8-BM16</f>
        <v>-2</v>
      </c>
      <c r="BN18" s="306">
        <f t="shared" si="35"/>
        <v>-11</v>
      </c>
      <c r="BO18" s="306">
        <f t="shared" si="35"/>
        <v>4</v>
      </c>
      <c r="BP18" s="307">
        <f t="shared" si="35"/>
        <v>-7</v>
      </c>
      <c r="BQ18" s="308">
        <f t="shared" si="35"/>
        <v>-16</v>
      </c>
    </row>
    <row r="19" spans="1:76" s="23" customFormat="1">
      <c r="A19" s="261"/>
      <c r="B19" s="261"/>
      <c r="C19" s="242"/>
      <c r="E19" s="240"/>
      <c r="F19" s="241"/>
      <c r="G19" s="241"/>
      <c r="H19" s="307"/>
      <c r="I19" s="308"/>
      <c r="J19" s="305"/>
      <c r="K19" s="306"/>
      <c r="L19" s="306"/>
      <c r="M19" s="307"/>
      <c r="N19" s="308"/>
      <c r="O19" s="305"/>
      <c r="P19" s="306"/>
      <c r="Q19" s="306"/>
      <c r="R19" s="307"/>
      <c r="S19" s="308"/>
      <c r="T19" s="305"/>
      <c r="U19" s="306"/>
      <c r="V19" s="306"/>
      <c r="W19" s="307"/>
      <c r="X19" s="308"/>
      <c r="Y19" s="305"/>
      <c r="Z19" s="306"/>
      <c r="AA19" s="306"/>
      <c r="AB19" s="307"/>
      <c r="AC19" s="308"/>
      <c r="AD19" s="305"/>
      <c r="AE19" s="306"/>
      <c r="AF19" s="306"/>
      <c r="AG19" s="307"/>
      <c r="AH19" s="308"/>
      <c r="AI19" s="305"/>
      <c r="AJ19" s="306"/>
      <c r="AK19" s="306"/>
      <c r="AL19" s="307"/>
      <c r="AM19" s="308"/>
      <c r="AN19" s="305"/>
      <c r="AO19" s="306"/>
      <c r="AP19" s="306"/>
      <c r="AQ19" s="307"/>
      <c r="AR19" s="308"/>
      <c r="AS19" s="305"/>
      <c r="AT19" s="306"/>
      <c r="AU19" s="306"/>
      <c r="AV19" s="307"/>
      <c r="AW19" s="308"/>
      <c r="AX19" s="305"/>
      <c r="AY19" s="306"/>
      <c r="AZ19" s="306"/>
      <c r="BA19" s="307"/>
      <c r="BB19" s="308"/>
      <c r="BC19" s="305"/>
      <c r="BD19" s="306"/>
      <c r="BE19" s="306"/>
      <c r="BF19" s="307"/>
      <c r="BG19" s="308"/>
      <c r="BH19" s="305"/>
      <c r="BI19" s="306"/>
      <c r="BJ19" s="306"/>
      <c r="BK19" s="307"/>
      <c r="BL19" s="308"/>
      <c r="BM19" s="305"/>
      <c r="BN19" s="306"/>
      <c r="BO19" s="306"/>
      <c r="BP19" s="307"/>
      <c r="BQ19" s="308"/>
    </row>
    <row r="20" spans="1:76" s="257" customFormat="1">
      <c r="A20" s="269"/>
      <c r="B20" s="269"/>
      <c r="C20" s="256" t="s">
        <v>644</v>
      </c>
      <c r="E20" s="245"/>
      <c r="F20" s="246"/>
      <c r="G20" s="246"/>
      <c r="H20" s="311"/>
      <c r="I20" s="285">
        <f>FirstEnergy!I25-Distribution!I20-Transmission!I18-Competitive!I19</f>
        <v>-60</v>
      </c>
      <c r="J20" s="309">
        <f>FirstEnergy!J25-Distribution!J20-Transmission!J18-Competitive!J19</f>
        <v>-11</v>
      </c>
      <c r="K20" s="310">
        <f>FirstEnergy!K25-Distribution!K20-Transmission!K18-Competitive!K19</f>
        <v>-10</v>
      </c>
      <c r="L20" s="310">
        <f>FirstEnergy!L25-Distribution!L20-Transmission!L18-Competitive!L19</f>
        <v>-5</v>
      </c>
      <c r="M20" s="311">
        <f>FirstEnergy!M25-Distribution!M20-Transmission!M18-Competitive!M19</f>
        <v>-13</v>
      </c>
      <c r="N20" s="285">
        <f>FirstEnergy!N25-Distribution!N20-Transmission!N18-Competitive!N19</f>
        <v>-39</v>
      </c>
      <c r="O20" s="309">
        <f>FirstEnergy!O25-Distribution!O20-Transmission!O18-Competitive!O19</f>
        <v>-7</v>
      </c>
      <c r="P20" s="310">
        <f>FirstEnergy!P25-Distribution!P20-Transmission!P18-Competitive!P19</f>
        <v>-10</v>
      </c>
      <c r="Q20" s="310">
        <f>FirstEnergy!Q25-Distribution!Q20-Transmission!Q18-Competitive!Q19</f>
        <v>-8</v>
      </c>
      <c r="R20" s="311">
        <f>FirstEnergy!R25-Distribution!R20-Transmission!R18-Competitive!R19</f>
        <v>-27</v>
      </c>
      <c r="S20" s="285">
        <f>FirstEnergy!S25-Distribution!S20-Transmission!S18-Competitive!S19</f>
        <v>-52</v>
      </c>
      <c r="T20" s="309">
        <f>FirstEnergy!T25-Distribution!T20-Transmission!T18-Competitive!T19</f>
        <v>-18</v>
      </c>
      <c r="U20" s="310">
        <f>FirstEnergy!U25-Distribution!U20-Transmission!U18-Competitive!U19</f>
        <v>-12</v>
      </c>
      <c r="V20" s="310">
        <f>FirstEnergy!V25-Distribution!V20-Transmission!V18-Competitive!V19</f>
        <v>-17</v>
      </c>
      <c r="W20" s="323">
        <f>FirstEnergy!W25-Distribution!W20-Transmission!W18-Competitive!W19</f>
        <v>-27</v>
      </c>
      <c r="X20" s="324">
        <f>FirstEnergy!X25-Distribution!X20-Transmission!X18-Competitive!X19</f>
        <v>-74</v>
      </c>
      <c r="Y20" s="309">
        <f>FirstEnergy!Y25-Distribution!Y20-Transmission!Y18-Competitive!Y19</f>
        <v>-16</v>
      </c>
      <c r="Z20" s="310">
        <f>FirstEnergy!Z25-Distribution!Z20-Transmission!Z18-Competitive!Z19</f>
        <v>1</v>
      </c>
      <c r="AA20" s="310">
        <f>FirstEnergy!AA25-Distribution!AA20-Transmission!AA18-Competitive!AA19</f>
        <v>5</v>
      </c>
      <c r="AB20" s="323">
        <f>FirstEnergy!AB25-Distribution!AB20-Transmission!AB18-Competitive!AB19</f>
        <v>-8</v>
      </c>
      <c r="AC20" s="324">
        <f>FirstEnergy!AC25-Distribution!AC20-Transmission!AC18-Competitive!AC19</f>
        <v>-18</v>
      </c>
      <c r="AD20" s="309">
        <f>FirstEnergy!AD25-Distribution!AD20-Transmission!AD18-Competitive!AD19</f>
        <v>-7</v>
      </c>
      <c r="AE20" s="310">
        <f>FirstEnergy!AE25-Distribution!AE20-Transmission!AE18-Competitive!AE19</f>
        <v>-7</v>
      </c>
      <c r="AF20" s="310">
        <f>FirstEnergy!AF25-Distribution!AF20-Transmission!AF18-Competitive!AF19</f>
        <v>-9</v>
      </c>
      <c r="AG20" s="323">
        <f>FirstEnergy!AG25-Distribution!AG20-Transmission!AG18-Competitive!AG19</f>
        <v>-6</v>
      </c>
      <c r="AH20" s="324">
        <f>FirstEnergy!AH25-Distribution!AH20-Transmission!AH18-Competitive!AH19</f>
        <v>-29</v>
      </c>
      <c r="AI20" s="309">
        <f>FirstEnergy!AI25-Distribution!AI20-Transmission!AI18-Competitive!AI19</f>
        <v>-7</v>
      </c>
      <c r="AJ20" s="310">
        <f>FirstEnergy!AJ25-Distribution!AJ20-Transmission!AJ18-Competitive!AJ19</f>
        <v>-8</v>
      </c>
      <c r="AK20" s="310">
        <f>FirstEnergy!AK25-Distribution!AK20-Transmission!AK18-Competitive!AK19</f>
        <v>-9</v>
      </c>
      <c r="AL20" s="323">
        <f>FirstEnergy!AL25-Distribution!AL20-Transmission!AL18-Competitive!AL19</f>
        <v>-386</v>
      </c>
      <c r="AM20" s="324">
        <f>FirstEnergy!AM25-Distribution!AM20-Transmission!AM18-Competitive!AM19</f>
        <v>-410</v>
      </c>
      <c r="AN20" s="309">
        <f>FirstEnergy!AN25-Distribution!AN20-Transmission!AN18-Competitive!AN19</f>
        <v>2</v>
      </c>
      <c r="AO20" s="310">
        <f>FirstEnergy!AO25-Distribution!AO20-Transmission!AO18-Competitive!AO19</f>
        <v>-12</v>
      </c>
      <c r="AP20" s="310">
        <f>FirstEnergy!AP25-Distribution!AP20-Transmission!AP18-Competitive!AP19</f>
        <v>-8</v>
      </c>
      <c r="AQ20" s="323">
        <f>FirstEnergy!AQ25-Distribution!AQ20-Transmission!AQ18-Competitive!AQ19</f>
        <v>-13</v>
      </c>
      <c r="AR20" s="324">
        <f>FirstEnergy!AR25-Distribution!AR20-Transmission!AR18-Competitive!AR19</f>
        <v>-31</v>
      </c>
      <c r="AS20" s="309">
        <f>FirstEnergy!AS25-Distribution!AS20-Transmission!AS18-Competitive!AS19</f>
        <v>-10</v>
      </c>
      <c r="AT20" s="310">
        <f>FirstEnergy!AT25-Distribution!AT20-Transmission!AT18-Competitive!AT19</f>
        <v>-9</v>
      </c>
      <c r="AU20" s="310">
        <f>FirstEnergy!AU25-Distribution!AU20-Transmission!AU18-Competitive!AU19</f>
        <v>-10</v>
      </c>
      <c r="AV20" s="323">
        <f>FirstEnergy!AV25-Distribution!AV20-Transmission!AV18-Competitive!AV19</f>
        <v>-8</v>
      </c>
      <c r="AW20" s="324">
        <f>FirstEnergy!AW25-Distribution!AW20-Transmission!AW18-Competitive!AW19</f>
        <v>-37</v>
      </c>
      <c r="AX20" s="296">
        <f>AS20</f>
        <v>-10</v>
      </c>
      <c r="AY20" s="297">
        <f>AT20</f>
        <v>-9</v>
      </c>
      <c r="AZ20" s="297">
        <f>AU20</f>
        <v>-10</v>
      </c>
      <c r="BA20" s="290">
        <f>AV20</f>
        <v>-8</v>
      </c>
      <c r="BB20" s="285">
        <f>SUM(AX20:BA20)</f>
        <v>-37</v>
      </c>
      <c r="BC20" s="309">
        <f>AX20</f>
        <v>-10</v>
      </c>
      <c r="BD20" s="310">
        <f>AY20</f>
        <v>-9</v>
      </c>
      <c r="BE20" s="310">
        <f>AZ20</f>
        <v>-10</v>
      </c>
      <c r="BF20" s="311">
        <f>BA20</f>
        <v>-8</v>
      </c>
      <c r="BG20" s="285">
        <f>SUM(BC20:BF20)</f>
        <v>-37</v>
      </c>
      <c r="BH20" s="309">
        <f>BC20</f>
        <v>-10</v>
      </c>
      <c r="BI20" s="310">
        <f>BD20</f>
        <v>-9</v>
      </c>
      <c r="BJ20" s="310">
        <f>BE20</f>
        <v>-10</v>
      </c>
      <c r="BK20" s="311">
        <f>BF20</f>
        <v>-8</v>
      </c>
      <c r="BL20" s="285">
        <f>SUM(BH20:BK20)</f>
        <v>-37</v>
      </c>
      <c r="BM20" s="309">
        <f>BH20</f>
        <v>-10</v>
      </c>
      <c r="BN20" s="310">
        <f>BI20</f>
        <v>-9</v>
      </c>
      <c r="BO20" s="310">
        <f>BJ20</f>
        <v>-10</v>
      </c>
      <c r="BP20" s="311">
        <f>BK20</f>
        <v>-8</v>
      </c>
      <c r="BQ20" s="285">
        <f>SUM(BM20:BP20)</f>
        <v>-37</v>
      </c>
    </row>
    <row r="21" spans="1:76" s="23" customFormat="1">
      <c r="A21" s="261"/>
      <c r="B21" s="261"/>
      <c r="C21" s="242"/>
      <c r="E21" s="240"/>
      <c r="F21" s="241"/>
      <c r="G21" s="241"/>
      <c r="H21" s="307"/>
      <c r="I21" s="308"/>
      <c r="J21" s="305"/>
      <c r="K21" s="306"/>
      <c r="L21" s="306"/>
      <c r="M21" s="307"/>
      <c r="N21" s="308"/>
      <c r="O21" s="305"/>
      <c r="P21" s="306"/>
      <c r="Q21" s="306"/>
      <c r="R21" s="307"/>
      <c r="S21" s="308"/>
      <c r="T21" s="305"/>
      <c r="U21" s="306"/>
      <c r="V21" s="306"/>
      <c r="W21" s="307"/>
      <c r="X21" s="308"/>
      <c r="Y21" s="305"/>
      <c r="Z21" s="306"/>
      <c r="AA21" s="306"/>
      <c r="AB21" s="307"/>
      <c r="AC21" s="308"/>
      <c r="AD21" s="305"/>
      <c r="AE21" s="306"/>
      <c r="AF21" s="306"/>
      <c r="AG21" s="307"/>
      <c r="AH21" s="308"/>
      <c r="AI21" s="305"/>
      <c r="AJ21" s="306"/>
      <c r="AK21" s="306"/>
      <c r="AL21" s="307"/>
      <c r="AM21" s="308"/>
      <c r="AN21" s="305"/>
      <c r="AO21" s="306"/>
      <c r="AP21" s="306"/>
      <c r="AQ21" s="307"/>
      <c r="AR21" s="308"/>
      <c r="AS21" s="305"/>
      <c r="AT21" s="306"/>
      <c r="AU21" s="306"/>
      <c r="AV21" s="307"/>
      <c r="AW21" s="308"/>
      <c r="AX21" s="305"/>
      <c r="AY21" s="306"/>
      <c r="AZ21" s="306"/>
      <c r="BA21" s="307"/>
      <c r="BB21" s="308"/>
      <c r="BC21" s="305"/>
      <c r="BD21" s="306"/>
      <c r="BE21" s="306"/>
      <c r="BF21" s="307"/>
      <c r="BG21" s="308"/>
      <c r="BH21" s="305"/>
      <c r="BI21" s="306"/>
      <c r="BJ21" s="306"/>
      <c r="BK21" s="307"/>
      <c r="BL21" s="308"/>
      <c r="BM21" s="305"/>
      <c r="BN21" s="306"/>
      <c r="BO21" s="306"/>
      <c r="BP21" s="307"/>
      <c r="BQ21" s="308"/>
    </row>
    <row r="22" spans="1:76" s="23" customFormat="1">
      <c r="A22" s="261"/>
      <c r="B22" s="261"/>
      <c r="C22" s="242" t="s">
        <v>198</v>
      </c>
      <c r="E22" s="240"/>
      <c r="F22" s="241"/>
      <c r="G22" s="241"/>
      <c r="H22" s="307"/>
      <c r="I22" s="308">
        <f t="shared" ref="I22:AO22" si="36">I18+I20</f>
        <v>-112</v>
      </c>
      <c r="J22" s="305">
        <f t="shared" si="36"/>
        <v>-25</v>
      </c>
      <c r="K22" s="306">
        <f t="shared" si="36"/>
        <v>-32</v>
      </c>
      <c r="L22" s="306">
        <f t="shared" si="36"/>
        <v>-22</v>
      </c>
      <c r="M22" s="307">
        <f t="shared" si="36"/>
        <v>-29</v>
      </c>
      <c r="N22" s="308">
        <f t="shared" si="36"/>
        <v>-108</v>
      </c>
      <c r="O22" s="305">
        <f t="shared" si="36"/>
        <v>-36</v>
      </c>
      <c r="P22" s="306">
        <f t="shared" si="36"/>
        <v>-69</v>
      </c>
      <c r="Q22" s="306">
        <f t="shared" si="36"/>
        <v>-40</v>
      </c>
      <c r="R22" s="307">
        <f t="shared" si="36"/>
        <v>-21</v>
      </c>
      <c r="S22" s="308">
        <f t="shared" si="36"/>
        <v>-166</v>
      </c>
      <c r="T22" s="305">
        <f t="shared" si="36"/>
        <v>-21</v>
      </c>
      <c r="U22" s="306">
        <f t="shared" si="36"/>
        <v>-20</v>
      </c>
      <c r="V22" s="306">
        <f t="shared" si="36"/>
        <v>-23</v>
      </c>
      <c r="W22" s="307">
        <f t="shared" si="36"/>
        <v>-40</v>
      </c>
      <c r="X22" s="308">
        <f t="shared" si="36"/>
        <v>-104</v>
      </c>
      <c r="Y22" s="305">
        <f t="shared" si="36"/>
        <v>-21</v>
      </c>
      <c r="Z22" s="306">
        <f t="shared" si="36"/>
        <v>-10</v>
      </c>
      <c r="AA22" s="306">
        <f t="shared" si="36"/>
        <v>-7</v>
      </c>
      <c r="AB22" s="307">
        <f t="shared" si="36"/>
        <v>-17</v>
      </c>
      <c r="AC22" s="308">
        <f t="shared" si="36"/>
        <v>-55</v>
      </c>
      <c r="AD22" s="305">
        <f t="shared" si="36"/>
        <v>-15</v>
      </c>
      <c r="AE22" s="306">
        <f t="shared" si="36"/>
        <v>-22</v>
      </c>
      <c r="AF22" s="306">
        <f t="shared" si="36"/>
        <v>-12</v>
      </c>
      <c r="AG22" s="307">
        <f t="shared" si="36"/>
        <v>-15</v>
      </c>
      <c r="AH22" s="308">
        <f t="shared" si="36"/>
        <v>-64</v>
      </c>
      <c r="AI22" s="305">
        <f t="shared" si="36"/>
        <v>-19</v>
      </c>
      <c r="AJ22" s="306">
        <f t="shared" si="36"/>
        <v>-22</v>
      </c>
      <c r="AK22" s="306">
        <f t="shared" si="36"/>
        <v>-36</v>
      </c>
      <c r="AL22" s="307">
        <f t="shared" si="36"/>
        <v>-417</v>
      </c>
      <c r="AM22" s="308">
        <f t="shared" si="36"/>
        <v>-494</v>
      </c>
      <c r="AN22" s="305">
        <f t="shared" si="36"/>
        <v>-20</v>
      </c>
      <c r="AO22" s="306">
        <f t="shared" si="36"/>
        <v>-22</v>
      </c>
      <c r="AP22" s="306">
        <f t="shared" ref="AP22:AT22" si="37">AP18+AP20</f>
        <v>-25</v>
      </c>
      <c r="AQ22" s="307">
        <f t="shared" si="37"/>
        <v>-85</v>
      </c>
      <c r="AR22" s="308">
        <f t="shared" si="37"/>
        <v>-152</v>
      </c>
      <c r="AS22" s="305">
        <f t="shared" si="37"/>
        <v>-17</v>
      </c>
      <c r="AT22" s="306">
        <f t="shared" si="37"/>
        <v>-25</v>
      </c>
      <c r="AU22" s="306">
        <f t="shared" ref="AU22:AW22" si="38">AU18+AU20</f>
        <v>-11</v>
      </c>
      <c r="AV22" s="307">
        <f t="shared" si="38"/>
        <v>-20</v>
      </c>
      <c r="AW22" s="308">
        <f t="shared" si="38"/>
        <v>-73</v>
      </c>
      <c r="AX22" s="305">
        <f t="shared" ref="AX22:BB22" si="39">AX18+AX20</f>
        <v>-12</v>
      </c>
      <c r="AY22" s="306">
        <f t="shared" si="39"/>
        <v>-20</v>
      </c>
      <c r="AZ22" s="306">
        <f t="shared" si="39"/>
        <v>-6</v>
      </c>
      <c r="BA22" s="307">
        <f t="shared" si="39"/>
        <v>-15</v>
      </c>
      <c r="BB22" s="308">
        <f t="shared" si="39"/>
        <v>-53</v>
      </c>
      <c r="BC22" s="305">
        <f t="shared" ref="BC22:BL22" si="40">BC18+BC20</f>
        <v>-12</v>
      </c>
      <c r="BD22" s="306">
        <f t="shared" si="40"/>
        <v>-20</v>
      </c>
      <c r="BE22" s="306">
        <f t="shared" si="40"/>
        <v>-6</v>
      </c>
      <c r="BF22" s="307">
        <f t="shared" si="40"/>
        <v>-15</v>
      </c>
      <c r="BG22" s="308">
        <f t="shared" si="40"/>
        <v>-53</v>
      </c>
      <c r="BH22" s="305">
        <f t="shared" si="40"/>
        <v>-12</v>
      </c>
      <c r="BI22" s="306">
        <f t="shared" si="40"/>
        <v>-20</v>
      </c>
      <c r="BJ22" s="306">
        <f t="shared" si="40"/>
        <v>-6</v>
      </c>
      <c r="BK22" s="307">
        <f t="shared" si="40"/>
        <v>-15</v>
      </c>
      <c r="BL22" s="308">
        <f t="shared" si="40"/>
        <v>-53</v>
      </c>
      <c r="BM22" s="305">
        <f t="shared" ref="BM22:BQ22" si="41">BM18+BM20</f>
        <v>-12</v>
      </c>
      <c r="BN22" s="306">
        <f t="shared" si="41"/>
        <v>-20</v>
      </c>
      <c r="BO22" s="306">
        <f t="shared" si="41"/>
        <v>-6</v>
      </c>
      <c r="BP22" s="307">
        <f t="shared" si="41"/>
        <v>-15</v>
      </c>
      <c r="BQ22" s="308">
        <f t="shared" si="41"/>
        <v>-53</v>
      </c>
    </row>
    <row r="23" spans="1:76" s="23" customFormat="1">
      <c r="A23" s="261"/>
      <c r="B23" s="261"/>
      <c r="C23" s="1186" t="s">
        <v>649</v>
      </c>
      <c r="E23" s="240"/>
      <c r="F23" s="241"/>
      <c r="G23" s="241"/>
      <c r="H23" s="307"/>
      <c r="I23" s="308">
        <f t="shared" ref="I23:AO23" si="42">I22+I13</f>
        <v>-97</v>
      </c>
      <c r="J23" s="305">
        <f t="shared" si="42"/>
        <v>-22</v>
      </c>
      <c r="K23" s="306">
        <f t="shared" si="42"/>
        <v>-29</v>
      </c>
      <c r="L23" s="306">
        <f t="shared" si="42"/>
        <v>-18</v>
      </c>
      <c r="M23" s="307">
        <f t="shared" si="42"/>
        <v>-25</v>
      </c>
      <c r="N23" s="308">
        <f t="shared" si="42"/>
        <v>-94</v>
      </c>
      <c r="O23" s="305">
        <f t="shared" si="42"/>
        <v>-31</v>
      </c>
      <c r="P23" s="306">
        <f t="shared" si="42"/>
        <v>-62</v>
      </c>
      <c r="Q23" s="306">
        <f t="shared" si="42"/>
        <v>-33</v>
      </c>
      <c r="R23" s="307">
        <f t="shared" si="42"/>
        <v>-16</v>
      </c>
      <c r="S23" s="308">
        <f t="shared" si="42"/>
        <v>-142</v>
      </c>
      <c r="T23" s="305">
        <f t="shared" si="42"/>
        <v>-13</v>
      </c>
      <c r="U23" s="306">
        <f t="shared" si="42"/>
        <v>-13</v>
      </c>
      <c r="V23" s="306">
        <f t="shared" si="42"/>
        <v>-15</v>
      </c>
      <c r="W23" s="307">
        <f t="shared" si="42"/>
        <v>-29</v>
      </c>
      <c r="X23" s="308">
        <f t="shared" si="42"/>
        <v>-70</v>
      </c>
      <c r="Y23" s="305">
        <f t="shared" si="42"/>
        <v>-10</v>
      </c>
      <c r="Z23" s="306">
        <f t="shared" si="42"/>
        <v>-1</v>
      </c>
      <c r="AA23" s="306">
        <f t="shared" si="42"/>
        <v>5</v>
      </c>
      <c r="AB23" s="307">
        <f t="shared" si="42"/>
        <v>-6</v>
      </c>
      <c r="AC23" s="308">
        <f t="shared" si="42"/>
        <v>-12</v>
      </c>
      <c r="AD23" s="305">
        <f t="shared" si="42"/>
        <v>-4</v>
      </c>
      <c r="AE23" s="306">
        <f t="shared" si="42"/>
        <v>-10</v>
      </c>
      <c r="AF23" s="306">
        <f t="shared" si="42"/>
        <v>-2</v>
      </c>
      <c r="AG23" s="307">
        <f t="shared" si="42"/>
        <v>0</v>
      </c>
      <c r="AH23" s="308">
        <f t="shared" si="42"/>
        <v>-16</v>
      </c>
      <c r="AI23" s="305">
        <f t="shared" si="42"/>
        <v>-5</v>
      </c>
      <c r="AJ23" s="306">
        <f t="shared" si="42"/>
        <v>-7</v>
      </c>
      <c r="AK23" s="306">
        <f t="shared" si="42"/>
        <v>-21</v>
      </c>
      <c r="AL23" s="307">
        <f t="shared" si="42"/>
        <v>-401</v>
      </c>
      <c r="AM23" s="308">
        <f t="shared" si="42"/>
        <v>-434</v>
      </c>
      <c r="AN23" s="305">
        <f t="shared" si="42"/>
        <v>-5</v>
      </c>
      <c r="AO23" s="306">
        <f t="shared" si="42"/>
        <v>-5</v>
      </c>
      <c r="AP23" s="306">
        <f t="shared" ref="AP23:AT23" si="43">AP22+AP13</f>
        <v>-9</v>
      </c>
      <c r="AQ23" s="307">
        <f t="shared" si="43"/>
        <v>-70</v>
      </c>
      <c r="AR23" s="308">
        <f t="shared" si="43"/>
        <v>-89</v>
      </c>
      <c r="AS23" s="305">
        <f t="shared" si="43"/>
        <v>1</v>
      </c>
      <c r="AT23" s="306">
        <f t="shared" si="43"/>
        <v>-6</v>
      </c>
      <c r="AU23" s="306">
        <f t="shared" ref="AU23:AW23" si="44">AU22+AU13</f>
        <v>6</v>
      </c>
      <c r="AV23" s="307">
        <f t="shared" si="44"/>
        <v>-2</v>
      </c>
      <c r="AW23" s="308">
        <f t="shared" si="44"/>
        <v>-1</v>
      </c>
      <c r="AX23" s="305">
        <f t="shared" ref="AX23:BB23" si="45">AX22+AX13</f>
        <v>6</v>
      </c>
      <c r="AY23" s="306">
        <f t="shared" si="45"/>
        <v>-1</v>
      </c>
      <c r="AZ23" s="306">
        <f t="shared" si="45"/>
        <v>11</v>
      </c>
      <c r="BA23" s="307">
        <f t="shared" si="45"/>
        <v>3</v>
      </c>
      <c r="BB23" s="308">
        <f t="shared" si="45"/>
        <v>19</v>
      </c>
      <c r="BC23" s="305">
        <f t="shared" ref="BC23:BL23" si="46">BC22+BC13</f>
        <v>6</v>
      </c>
      <c r="BD23" s="306">
        <f t="shared" si="46"/>
        <v>-1</v>
      </c>
      <c r="BE23" s="306">
        <f t="shared" si="46"/>
        <v>11</v>
      </c>
      <c r="BF23" s="307">
        <f t="shared" si="46"/>
        <v>3</v>
      </c>
      <c r="BG23" s="308">
        <f t="shared" si="46"/>
        <v>19</v>
      </c>
      <c r="BH23" s="305">
        <f t="shared" si="46"/>
        <v>6</v>
      </c>
      <c r="BI23" s="306">
        <f t="shared" si="46"/>
        <v>-1</v>
      </c>
      <c r="BJ23" s="306">
        <f t="shared" si="46"/>
        <v>11</v>
      </c>
      <c r="BK23" s="307">
        <f t="shared" si="46"/>
        <v>3</v>
      </c>
      <c r="BL23" s="308">
        <f t="shared" si="46"/>
        <v>19</v>
      </c>
      <c r="BM23" s="305">
        <f t="shared" ref="BM23:BQ23" si="47">BM22+BM13</f>
        <v>6</v>
      </c>
      <c r="BN23" s="306">
        <f t="shared" si="47"/>
        <v>-1</v>
      </c>
      <c r="BO23" s="306">
        <f t="shared" si="47"/>
        <v>11</v>
      </c>
      <c r="BP23" s="307">
        <f t="shared" si="47"/>
        <v>3</v>
      </c>
      <c r="BQ23" s="308">
        <f t="shared" si="47"/>
        <v>19</v>
      </c>
    </row>
    <row r="24" spans="1:76" s="23" customFormat="1">
      <c r="A24" s="261"/>
      <c r="B24" s="261"/>
      <c r="C24" s="242"/>
      <c r="E24" s="240"/>
      <c r="F24" s="241"/>
      <c r="G24" s="241"/>
      <c r="H24" s="307"/>
      <c r="I24" s="308"/>
      <c r="J24" s="305"/>
      <c r="K24" s="306"/>
      <c r="L24" s="306"/>
      <c r="M24" s="307"/>
      <c r="N24" s="308"/>
      <c r="O24" s="305"/>
      <c r="P24" s="306"/>
      <c r="Q24" s="306"/>
      <c r="R24" s="307"/>
      <c r="S24" s="308"/>
      <c r="T24" s="305"/>
      <c r="U24" s="306"/>
      <c r="V24" s="306"/>
      <c r="W24" s="307"/>
      <c r="X24" s="308"/>
      <c r="Y24" s="305"/>
      <c r="Z24" s="306"/>
      <c r="AA24" s="306"/>
      <c r="AB24" s="307"/>
      <c r="AC24" s="308"/>
      <c r="AD24" s="305"/>
      <c r="AE24" s="306"/>
      <c r="AF24" s="306"/>
      <c r="AG24" s="307"/>
      <c r="AH24" s="308"/>
      <c r="AI24" s="305"/>
      <c r="AJ24" s="306"/>
      <c r="AK24" s="306"/>
      <c r="AL24" s="307"/>
      <c r="AM24" s="308"/>
      <c r="AN24" s="305"/>
      <c r="AO24" s="306"/>
      <c r="AP24" s="306"/>
      <c r="AQ24" s="307"/>
      <c r="AR24" s="308"/>
      <c r="AS24" s="305"/>
      <c r="AT24" s="306"/>
      <c r="AU24" s="306"/>
      <c r="AV24" s="307"/>
      <c r="AW24" s="308"/>
      <c r="AX24" s="305"/>
      <c r="AY24" s="306"/>
      <c r="AZ24" s="306"/>
      <c r="BA24" s="307"/>
      <c r="BB24" s="308"/>
      <c r="BC24" s="305"/>
      <c r="BD24" s="306"/>
      <c r="BE24" s="306"/>
      <c r="BF24" s="307"/>
      <c r="BG24" s="308"/>
      <c r="BH24" s="305"/>
      <c r="BI24" s="306"/>
      <c r="BJ24" s="306"/>
      <c r="BK24" s="307"/>
      <c r="BL24" s="308"/>
      <c r="BM24" s="305"/>
      <c r="BN24" s="306"/>
      <c r="BO24" s="306"/>
      <c r="BP24" s="307"/>
      <c r="BQ24" s="308"/>
    </row>
    <row r="25" spans="1:76" s="23" customFormat="1">
      <c r="A25" s="261"/>
      <c r="B25" s="261"/>
      <c r="C25" s="258" t="s">
        <v>200</v>
      </c>
      <c r="E25" s="245"/>
      <c r="F25" s="246"/>
      <c r="G25" s="246"/>
      <c r="H25" s="311"/>
      <c r="I25" s="285">
        <f>FirstEnergy!I30-Distribution!I25-Transmission!I23-Competitive!I24</f>
        <v>307</v>
      </c>
      <c r="J25" s="309">
        <f>FirstEnergy!J30-Distribution!J25-Transmission!J23-Competitive!J24</f>
        <v>27</v>
      </c>
      <c r="K25" s="310">
        <f>FirstEnergy!K30-Distribution!K25-Transmission!K23-Competitive!K24</f>
        <v>19</v>
      </c>
      <c r="L25" s="310">
        <f>FirstEnergy!L30-Distribution!L25-Transmission!L23-Competitive!L24</f>
        <v>21</v>
      </c>
      <c r="M25" s="311">
        <f>FirstEnergy!M30-Distribution!M25-Transmission!M23-Competitive!M24</f>
        <v>24</v>
      </c>
      <c r="N25" s="285">
        <f>FirstEnergy!N30-Distribution!N25-Transmission!N23-Competitive!N24</f>
        <v>91</v>
      </c>
      <c r="O25" s="309">
        <f>FirstEnergy!O30-Distribution!O25-Transmission!O23-Competitive!O24</f>
        <v>27</v>
      </c>
      <c r="P25" s="310">
        <f>FirstEnergy!P30-Distribution!P25-Transmission!P23-Competitive!P24</f>
        <v>24</v>
      </c>
      <c r="Q25" s="310">
        <f>FirstEnergy!Q30-Distribution!Q25-Transmission!Q23-Competitive!Q24</f>
        <v>25</v>
      </c>
      <c r="R25" s="311">
        <f>FirstEnergy!R30-Distribution!R25-Transmission!R23-Competitive!R24</f>
        <v>15</v>
      </c>
      <c r="S25" s="285">
        <f>FirstEnergy!S30-Distribution!S25-Transmission!S23-Competitive!S24</f>
        <v>91</v>
      </c>
      <c r="T25" s="309">
        <f>FirstEnergy!T30-Distribution!T25-Transmission!T23-Competitive!T24</f>
        <v>24</v>
      </c>
      <c r="U25" s="310">
        <f>FirstEnergy!U30-Distribution!U25-Transmission!U23-Competitive!U24</f>
        <v>45</v>
      </c>
      <c r="V25" s="310">
        <f>FirstEnergy!V30-Distribution!V25-Transmission!V23-Competitive!V24</f>
        <v>-1</v>
      </c>
      <c r="W25" s="323">
        <f>FirstEnergy!W30-Distribution!W25-Transmission!W23-Competitive!W24</f>
        <v>17</v>
      </c>
      <c r="X25" s="324">
        <f>FirstEnergy!X30-Distribution!X25-Transmission!X23-Competitive!X24</f>
        <v>85</v>
      </c>
      <c r="Y25" s="309">
        <f>FirstEnergy!Y30-Distribution!Y25-Transmission!Y23-Competitive!Y24</f>
        <v>27</v>
      </c>
      <c r="Z25" s="310">
        <f>FirstEnergy!Z30-Distribution!Z25-Transmission!Z23-Competitive!Z24</f>
        <v>38</v>
      </c>
      <c r="AA25" s="310">
        <f>FirstEnergy!AA30-Distribution!AA25-Transmission!AA23-Competitive!AA24</f>
        <v>47</v>
      </c>
      <c r="AB25" s="323">
        <f>FirstEnergy!AB30-Distribution!AB25-Transmission!AB23-Competitive!AB24</f>
        <v>46</v>
      </c>
      <c r="AC25" s="324">
        <f>FirstEnergy!AC30-Distribution!AC25-Transmission!AC23-Competitive!AC24</f>
        <v>158</v>
      </c>
      <c r="AD25" s="309">
        <f>FirstEnergy!AD30-Distribution!AD25-Transmission!AD23-Competitive!AD24</f>
        <v>43</v>
      </c>
      <c r="AE25" s="310">
        <f>FirstEnergy!AE30-Distribution!AE25-Transmission!AE23-Competitive!AE24</f>
        <v>37</v>
      </c>
      <c r="AF25" s="310">
        <f>FirstEnergy!AF30-Distribution!AF25-Transmission!AF23-Competitive!AF24</f>
        <v>44</v>
      </c>
      <c r="AG25" s="323">
        <f>FirstEnergy!AG30-Distribution!AG25-Transmission!AG23-Competitive!AG24</f>
        <v>40</v>
      </c>
      <c r="AH25" s="324">
        <f>FirstEnergy!AH30-Distribution!AH25-Transmission!AH23-Competitive!AH24</f>
        <v>164</v>
      </c>
      <c r="AI25" s="309">
        <f>FirstEnergy!AI30-Distribution!AI25-Transmission!AI23-Competitive!AI24</f>
        <v>48</v>
      </c>
      <c r="AJ25" s="310">
        <f>FirstEnergy!AJ30-Distribution!AJ25-Transmission!AJ23-Competitive!AJ24</f>
        <v>48</v>
      </c>
      <c r="AK25" s="310">
        <f>FirstEnergy!AK30-Distribution!AK25-Transmission!AK23-Competitive!AK24</f>
        <v>48</v>
      </c>
      <c r="AL25" s="323">
        <f>FirstEnergy!AL30-Distribution!AL25-Transmission!AL23-Competitive!AL24</f>
        <v>49</v>
      </c>
      <c r="AM25" s="324">
        <f>FirstEnergy!AM30-Distribution!AM25-Transmission!AM23-Competitive!AM24</f>
        <v>193</v>
      </c>
      <c r="AN25" s="309">
        <f>FirstEnergy!AN30-Distribution!AN25-Transmission!AN23-Competitive!AN24</f>
        <v>51</v>
      </c>
      <c r="AO25" s="310">
        <f>FirstEnergy!AO30-Distribution!AO25-Transmission!AO23-Competitive!AO24</f>
        <v>54</v>
      </c>
      <c r="AP25" s="310">
        <f>FirstEnergy!AP30-Distribution!AP25-Transmission!AP23-Competitive!AP24</f>
        <v>56</v>
      </c>
      <c r="AQ25" s="323">
        <f>FirstEnergy!AQ30-Distribution!AQ25-Transmission!AQ23-Competitive!AQ24</f>
        <v>58</v>
      </c>
      <c r="AR25" s="324">
        <f>FirstEnergy!AR30-Distribution!AR25-Transmission!AR23-Competitive!AR24</f>
        <v>219</v>
      </c>
      <c r="AS25" s="309">
        <f>FirstEnergy!AS30-Distribution!AS25-Transmission!AS23-Competitive!AS24</f>
        <v>65</v>
      </c>
      <c r="AT25" s="310">
        <f>FirstEnergy!AT30-Distribution!AT25-Transmission!AT23-Competitive!AT24</f>
        <v>70</v>
      </c>
      <c r="AU25" s="310">
        <f>FirstEnergy!AU30-Distribution!AU25-Transmission!AU23-Competitive!AU24</f>
        <v>90</v>
      </c>
      <c r="AV25" s="323">
        <f>FirstEnergy!AV30-Distribution!AV25-Transmission!AV23-Competitive!AV24</f>
        <v>83</v>
      </c>
      <c r="AW25" s="324">
        <f>FirstEnergy!AW30-Distribution!AW25-Transmission!AW23-Competitive!AW24</f>
        <v>308</v>
      </c>
      <c r="AX25" s="309">
        <f>FirstEnergy!AX30-Distribution!AX25-Transmission!AX23-Competitive!AX24</f>
        <v>84.162876608315088</v>
      </c>
      <c r="AY25" s="310">
        <f>FirstEnergy!AY30-Distribution!AY25-Transmission!AY23-Competitive!AY24</f>
        <v>93.664774764801308</v>
      </c>
      <c r="AZ25" s="310">
        <f>FirstEnergy!AZ30-Distribution!AZ25-Transmission!AZ23-Competitive!AZ24</f>
        <v>96.154987355052526</v>
      </c>
      <c r="BA25" s="311">
        <f>FirstEnergy!BA30-Distribution!BA25-Transmission!BA23-Competitive!BA24</f>
        <v>90.823986675268202</v>
      </c>
      <c r="BB25" s="285">
        <f>SUM(AX25:BA25)</f>
        <v>364.80662540343712</v>
      </c>
      <c r="BC25" s="309">
        <f>FirstEnergy!BC30-Distribution!BC25-Transmission!BC23-Competitive!BC24</f>
        <v>87.959263394227747</v>
      </c>
      <c r="BD25" s="310">
        <f>FirstEnergy!BD30-Distribution!BD25-Transmission!BD23-Competitive!BD24</f>
        <v>95.56436206202477</v>
      </c>
      <c r="BE25" s="310">
        <f>FirstEnergy!BE30-Distribution!BE25-Transmission!BE23-Competitive!BE24</f>
        <v>78.846022680511254</v>
      </c>
      <c r="BF25" s="311">
        <f>FirstEnergy!BF30-Distribution!BF25-Transmission!BF23-Competitive!BF24</f>
        <v>73.721807926794526</v>
      </c>
      <c r="BG25" s="285">
        <f>SUM(BC25:BF25)</f>
        <v>336.09145606355833</v>
      </c>
      <c r="BH25" s="309">
        <f>FirstEnergy!BH30-Distribution!BH25-Transmission!BH23-Competitive!BH24</f>
        <v>68.825584234765074</v>
      </c>
      <c r="BI25" s="310">
        <f>FirstEnergy!BI30-Distribution!BI25-Transmission!BI23-Competitive!BI24</f>
        <v>78.976416117726217</v>
      </c>
      <c r="BJ25" s="310">
        <f>FirstEnergy!BJ30-Distribution!BJ25-Transmission!BJ23-Competitive!BJ24</f>
        <v>80.543150390882616</v>
      </c>
      <c r="BK25" s="311">
        <f>FirstEnergy!BK30-Distribution!BK25-Transmission!BK23-Competitive!BK24</f>
        <v>75.938606219003887</v>
      </c>
      <c r="BL25" s="285">
        <f>SUM(BH25:BK25)</f>
        <v>304.28375696237777</v>
      </c>
      <c r="BM25" s="309">
        <f>FirstEnergy!BM30-Distribution!BM25-Transmission!BM23-Competitive!BM24</f>
        <v>71.432702449595922</v>
      </c>
      <c r="BN25" s="310">
        <f>FirstEnergy!BN30-Distribution!BN25-Transmission!BN23-Competitive!BN24</f>
        <v>82.189283592232371</v>
      </c>
      <c r="BO25" s="310">
        <f>FirstEnergy!BO30-Distribution!BO25-Transmission!BO23-Competitive!BO24</f>
        <v>80.068337892634858</v>
      </c>
      <c r="BP25" s="311">
        <f>FirstEnergy!BP30-Distribution!BP25-Transmission!BP23-Competitive!BP24</f>
        <v>75.387342021342917</v>
      </c>
      <c r="BQ25" s="285">
        <f>SUM(BM25:BP25)</f>
        <v>309.07766595580608</v>
      </c>
    </row>
    <row r="26" spans="1:76" s="23" customFormat="1">
      <c r="A26" s="261"/>
      <c r="B26" s="261"/>
      <c r="C26" s="258" t="s">
        <v>251</v>
      </c>
      <c r="E26" s="245"/>
      <c r="F26" s="246"/>
      <c r="G26" s="246"/>
      <c r="H26" s="311"/>
      <c r="I26" s="285">
        <f>FirstEnergy!I31-Distribution!I26-Transmission!I24-Competitive!I25</f>
        <v>-65</v>
      </c>
      <c r="J26" s="309">
        <f>FirstEnergy!J31-Distribution!J26-Transmission!J24-Competitive!J25</f>
        <v>-17</v>
      </c>
      <c r="K26" s="310">
        <f>FirstEnergy!K31-Distribution!K26-Transmission!K24-Competitive!K25</f>
        <v>-14</v>
      </c>
      <c r="L26" s="310">
        <f>FirstEnergy!L31-Distribution!L26-Transmission!L24-Competitive!L25</f>
        <v>-18</v>
      </c>
      <c r="M26" s="311">
        <f>FirstEnergy!M31-Distribution!M26-Transmission!M24-Competitive!M25</f>
        <v>-15</v>
      </c>
      <c r="N26" s="285">
        <f>FirstEnergy!N31-Distribution!N26-Transmission!N24-Competitive!N25</f>
        <v>-64</v>
      </c>
      <c r="O26" s="309">
        <f>FirstEnergy!O31-Distribution!O26-Transmission!O24-Competitive!O25</f>
        <v>-6</v>
      </c>
      <c r="P26" s="310">
        <f>FirstEnergy!P31-Distribution!P26-Transmission!P24-Competitive!P25</f>
        <v>-6</v>
      </c>
      <c r="Q26" s="310">
        <f>FirstEnergy!Q31-Distribution!Q26-Transmission!Q24-Competitive!Q25</f>
        <v>-4</v>
      </c>
      <c r="R26" s="311">
        <f>FirstEnergy!R31-Distribution!R26-Transmission!R24-Competitive!R25</f>
        <v>-2</v>
      </c>
      <c r="S26" s="285">
        <f>FirstEnergy!S31-Distribution!S26-Transmission!S24-Competitive!S25</f>
        <v>-18</v>
      </c>
      <c r="T26" s="309">
        <f>FirstEnergy!T31-Distribution!T26-Transmission!T24-Competitive!T25</f>
        <v>-3</v>
      </c>
      <c r="U26" s="310">
        <f>FirstEnergy!U31-Distribution!U26-Transmission!U24-Competitive!U25</f>
        <v>-3</v>
      </c>
      <c r="V26" s="310">
        <f>FirstEnergy!V31-Distribution!V26-Transmission!V24-Competitive!V25</f>
        <v>-3</v>
      </c>
      <c r="W26" s="323">
        <f>FirstEnergy!W31-Distribution!W26-Transmission!W24-Competitive!W25</f>
        <v>-4</v>
      </c>
      <c r="X26" s="324">
        <f>FirstEnergy!X31-Distribution!X26-Transmission!X24-Competitive!X25</f>
        <v>-13</v>
      </c>
      <c r="Y26" s="309">
        <f>FirstEnergy!Y31-Distribution!Y26-Transmission!Y24-Competitive!Y25</f>
        <v>-3</v>
      </c>
      <c r="Z26" s="310">
        <f>FirstEnergy!Z31-Distribution!Z26-Transmission!Z24-Competitive!Z25</f>
        <v>-4</v>
      </c>
      <c r="AA26" s="310">
        <f>FirstEnergy!AA31-Distribution!AA26-Transmission!AA24-Competitive!AA25</f>
        <v>-4</v>
      </c>
      <c r="AB26" s="323">
        <f>FirstEnergy!AB31-Distribution!AB26-Transmission!AB24-Competitive!AB25</f>
        <v>-5</v>
      </c>
      <c r="AC26" s="324">
        <f>FirstEnergy!AC31-Distribution!AC26-Transmission!AC24-Competitive!AC25</f>
        <v>-16</v>
      </c>
      <c r="AD26" s="309">
        <f>FirstEnergy!AD31-Distribution!AD26-Transmission!AD24-Competitive!AD25</f>
        <v>-5</v>
      </c>
      <c r="AE26" s="310">
        <f>FirstEnergy!AE31-Distribution!AE26-Transmission!AE24-Competitive!AE25</f>
        <v>-3</v>
      </c>
      <c r="AF26" s="310">
        <f>FirstEnergy!AF31-Distribution!AF26-Transmission!AF24-Competitive!AF25</f>
        <v>-3</v>
      </c>
      <c r="AG26" s="323">
        <f>FirstEnergy!AG31-Distribution!AG26-Transmission!AG24-Competitive!AG25</f>
        <v>-1</v>
      </c>
      <c r="AH26" s="324">
        <f>FirstEnergy!AH31-Distribution!AH26-Transmission!AH24-Competitive!AH25</f>
        <v>-12</v>
      </c>
      <c r="AI26" s="309">
        <f>FirstEnergy!AI31-Distribution!AI26-Transmission!AI24-Competitive!AI25</f>
        <v>-2</v>
      </c>
      <c r="AJ26" s="310">
        <f>FirstEnergy!AJ31-Distribution!AJ26-Transmission!AJ24-Competitive!AJ25</f>
        <v>-3</v>
      </c>
      <c r="AK26" s="310">
        <f>FirstEnergy!AK31-Distribution!AK26-Transmission!AK24-Competitive!AK25</f>
        <v>-2</v>
      </c>
      <c r="AL26" s="323">
        <f>FirstEnergy!AL31-Distribution!AL26-Transmission!AL24-Competitive!AL25</f>
        <v>-2</v>
      </c>
      <c r="AM26" s="324">
        <f>FirstEnergy!AM31-Distribution!AM26-Transmission!AM24-Competitive!AM25</f>
        <v>-9</v>
      </c>
      <c r="AN26" s="309">
        <f>FirstEnergy!AN31-Distribution!AN26-Transmission!AN24-Competitive!AN25</f>
        <v>-3</v>
      </c>
      <c r="AO26" s="310">
        <f>FirstEnergy!AO31-Distribution!AO26-Transmission!AO24-Competitive!AO25</f>
        <v>-3</v>
      </c>
      <c r="AP26" s="310">
        <f>FirstEnergy!AP31-Distribution!AP26-Transmission!AP24-Competitive!AP25</f>
        <v>-4</v>
      </c>
      <c r="AQ26" s="323">
        <f>FirstEnergy!AQ31-Distribution!AQ26-Transmission!AQ24-Competitive!AQ25</f>
        <v>-2</v>
      </c>
      <c r="AR26" s="324">
        <f>FirstEnergy!AR31-Distribution!AR26-Transmission!AR24-Competitive!AR25</f>
        <v>-12</v>
      </c>
      <c r="AS26" s="309">
        <f>FirstEnergy!AS31-Distribution!AS26-Transmission!AS24-Competitive!AS25</f>
        <v>0</v>
      </c>
      <c r="AT26" s="310">
        <f>FirstEnergy!AT31-Distribution!AT26-Transmission!AT24-Competitive!AT25</f>
        <v>-1</v>
      </c>
      <c r="AU26" s="310">
        <f>FirstEnergy!AU31-Distribution!AU26-Transmission!AU24-Competitive!AU25</f>
        <v>0</v>
      </c>
      <c r="AV26" s="323">
        <f>FirstEnergy!AV31-Distribution!AV26-Transmission!AV24-Competitive!AV25</f>
        <v>0</v>
      </c>
      <c r="AW26" s="324">
        <f>FirstEnergy!AW31-Distribution!AW26-Transmission!AW24-Competitive!AW25</f>
        <v>-1</v>
      </c>
      <c r="AX26" s="316">
        <f>AS26</f>
        <v>0</v>
      </c>
      <c r="AY26" s="312">
        <f>AT26</f>
        <v>-1</v>
      </c>
      <c r="AZ26" s="312">
        <f>AU26</f>
        <v>0</v>
      </c>
      <c r="BA26" s="317">
        <f>AV26</f>
        <v>0</v>
      </c>
      <c r="BB26" s="315">
        <f>SUM(AX26:BA26)</f>
        <v>-1</v>
      </c>
      <c r="BC26" s="316">
        <f>AX26</f>
        <v>0</v>
      </c>
      <c r="BD26" s="312">
        <f>AY26</f>
        <v>-1</v>
      </c>
      <c r="BE26" s="312">
        <f>AZ26</f>
        <v>0</v>
      </c>
      <c r="BF26" s="317">
        <f>BA26</f>
        <v>0</v>
      </c>
      <c r="BG26" s="315">
        <f>SUM(BC26:BF26)</f>
        <v>-1</v>
      </c>
      <c r="BH26" s="316">
        <f>BC26</f>
        <v>0</v>
      </c>
      <c r="BI26" s="312">
        <f>BD26</f>
        <v>-1</v>
      </c>
      <c r="BJ26" s="312">
        <f>BE26</f>
        <v>0</v>
      </c>
      <c r="BK26" s="317">
        <f>BF26</f>
        <v>0</v>
      </c>
      <c r="BL26" s="315">
        <f>SUM(BH26:BK26)</f>
        <v>-1</v>
      </c>
      <c r="BM26" s="316">
        <f>BH26</f>
        <v>0</v>
      </c>
      <c r="BN26" s="312">
        <f>BI26</f>
        <v>-1</v>
      </c>
      <c r="BO26" s="312">
        <f>BJ26</f>
        <v>0</v>
      </c>
      <c r="BP26" s="317">
        <f>BK26</f>
        <v>0</v>
      </c>
      <c r="BQ26" s="315">
        <f>SUM(BM26:BP26)</f>
        <v>-1</v>
      </c>
    </row>
    <row r="27" spans="1:76" s="81" customFormat="1">
      <c r="A27" s="221"/>
      <c r="B27" s="269"/>
      <c r="C27" s="242" t="s">
        <v>400</v>
      </c>
      <c r="E27" s="305"/>
      <c r="F27" s="306"/>
      <c r="G27" s="306"/>
      <c r="H27" s="314"/>
      <c r="I27" s="308">
        <f t="shared" ref="I27:AO27" si="48">SUM(I25:I26)</f>
        <v>242</v>
      </c>
      <c r="J27" s="305">
        <f t="shared" si="48"/>
        <v>10</v>
      </c>
      <c r="K27" s="306">
        <f t="shared" si="48"/>
        <v>5</v>
      </c>
      <c r="L27" s="306">
        <f t="shared" si="48"/>
        <v>3</v>
      </c>
      <c r="M27" s="314">
        <f t="shared" si="48"/>
        <v>9</v>
      </c>
      <c r="N27" s="308">
        <f t="shared" si="48"/>
        <v>27</v>
      </c>
      <c r="O27" s="305">
        <f t="shared" si="48"/>
        <v>21</v>
      </c>
      <c r="P27" s="306">
        <f t="shared" si="48"/>
        <v>18</v>
      </c>
      <c r="Q27" s="306">
        <f t="shared" si="48"/>
        <v>21</v>
      </c>
      <c r="R27" s="314">
        <f t="shared" si="48"/>
        <v>13</v>
      </c>
      <c r="S27" s="308">
        <f t="shared" si="48"/>
        <v>73</v>
      </c>
      <c r="T27" s="305">
        <f t="shared" si="48"/>
        <v>21</v>
      </c>
      <c r="U27" s="306">
        <f t="shared" si="48"/>
        <v>42</v>
      </c>
      <c r="V27" s="306">
        <f t="shared" si="48"/>
        <v>-4</v>
      </c>
      <c r="W27" s="307">
        <f t="shared" si="48"/>
        <v>13</v>
      </c>
      <c r="X27" s="308">
        <f t="shared" si="48"/>
        <v>72</v>
      </c>
      <c r="Y27" s="305">
        <f t="shared" si="48"/>
        <v>24</v>
      </c>
      <c r="Z27" s="306">
        <f t="shared" si="48"/>
        <v>34</v>
      </c>
      <c r="AA27" s="306">
        <f t="shared" si="48"/>
        <v>43</v>
      </c>
      <c r="AB27" s="307">
        <f t="shared" si="48"/>
        <v>41</v>
      </c>
      <c r="AC27" s="308">
        <f t="shared" si="48"/>
        <v>142</v>
      </c>
      <c r="AD27" s="305">
        <f t="shared" si="48"/>
        <v>38</v>
      </c>
      <c r="AE27" s="306">
        <f t="shared" si="48"/>
        <v>34</v>
      </c>
      <c r="AF27" s="306">
        <f t="shared" si="48"/>
        <v>41</v>
      </c>
      <c r="AG27" s="307">
        <f t="shared" si="48"/>
        <v>39</v>
      </c>
      <c r="AH27" s="308">
        <f t="shared" si="48"/>
        <v>152</v>
      </c>
      <c r="AI27" s="305">
        <f t="shared" si="48"/>
        <v>46</v>
      </c>
      <c r="AJ27" s="306">
        <f t="shared" si="48"/>
        <v>45</v>
      </c>
      <c r="AK27" s="306">
        <f t="shared" si="48"/>
        <v>46</v>
      </c>
      <c r="AL27" s="307">
        <f t="shared" si="48"/>
        <v>47</v>
      </c>
      <c r="AM27" s="308">
        <f t="shared" si="48"/>
        <v>184</v>
      </c>
      <c r="AN27" s="305">
        <f t="shared" si="48"/>
        <v>48</v>
      </c>
      <c r="AO27" s="306">
        <f t="shared" si="48"/>
        <v>51</v>
      </c>
      <c r="AP27" s="306">
        <f t="shared" ref="AP27:AT27" si="49">SUM(AP25:AP26)</f>
        <v>52</v>
      </c>
      <c r="AQ27" s="307">
        <f t="shared" si="49"/>
        <v>56</v>
      </c>
      <c r="AR27" s="308">
        <f t="shared" si="49"/>
        <v>207</v>
      </c>
      <c r="AS27" s="305">
        <f t="shared" si="49"/>
        <v>65</v>
      </c>
      <c r="AT27" s="306">
        <f t="shared" si="49"/>
        <v>69</v>
      </c>
      <c r="AU27" s="306">
        <f t="shared" ref="AU27:AW27" si="50">SUM(AU25:AU26)</f>
        <v>90</v>
      </c>
      <c r="AV27" s="307">
        <f t="shared" si="50"/>
        <v>83</v>
      </c>
      <c r="AW27" s="308">
        <f t="shared" si="50"/>
        <v>307</v>
      </c>
      <c r="AX27" s="305">
        <f t="shared" ref="AX27:BB27" si="51">SUM(AX25:AX26)</f>
        <v>84.162876608315088</v>
      </c>
      <c r="AY27" s="306">
        <f t="shared" si="51"/>
        <v>92.664774764801308</v>
      </c>
      <c r="AZ27" s="306">
        <f t="shared" si="51"/>
        <v>96.154987355052526</v>
      </c>
      <c r="BA27" s="307">
        <f t="shared" si="51"/>
        <v>90.823986675268202</v>
      </c>
      <c r="BB27" s="308">
        <f t="shared" si="51"/>
        <v>363.80662540343712</v>
      </c>
      <c r="BC27" s="305">
        <f t="shared" ref="BC27:BL27" si="52">SUM(BC25:BC26)</f>
        <v>87.959263394227747</v>
      </c>
      <c r="BD27" s="306">
        <f t="shared" si="52"/>
        <v>94.56436206202477</v>
      </c>
      <c r="BE27" s="306">
        <f t="shared" si="52"/>
        <v>78.846022680511254</v>
      </c>
      <c r="BF27" s="307">
        <f t="shared" si="52"/>
        <v>73.721807926794526</v>
      </c>
      <c r="BG27" s="308">
        <f t="shared" si="52"/>
        <v>335.09145606355833</v>
      </c>
      <c r="BH27" s="305">
        <f t="shared" si="52"/>
        <v>68.825584234765074</v>
      </c>
      <c r="BI27" s="306">
        <f t="shared" si="52"/>
        <v>77.976416117726217</v>
      </c>
      <c r="BJ27" s="306">
        <f t="shared" si="52"/>
        <v>80.543150390882616</v>
      </c>
      <c r="BK27" s="307">
        <f t="shared" si="52"/>
        <v>75.938606219003887</v>
      </c>
      <c r="BL27" s="308">
        <f t="shared" si="52"/>
        <v>303.28375696237777</v>
      </c>
      <c r="BM27" s="305">
        <f t="shared" ref="BM27:BQ27" si="53">SUM(BM25:BM26)</f>
        <v>71.432702449595922</v>
      </c>
      <c r="BN27" s="306">
        <f t="shared" si="53"/>
        <v>81.189283592232371</v>
      </c>
      <c r="BO27" s="306">
        <f t="shared" si="53"/>
        <v>80.068337892634858</v>
      </c>
      <c r="BP27" s="307">
        <f t="shared" si="53"/>
        <v>75.387342021342917</v>
      </c>
      <c r="BQ27" s="308">
        <f t="shared" si="53"/>
        <v>308.07766595580608</v>
      </c>
    </row>
    <row r="28" spans="1:76" s="81" customFormat="1">
      <c r="A28" s="221"/>
      <c r="B28" s="269"/>
      <c r="C28" s="242"/>
      <c r="E28" s="305"/>
      <c r="F28" s="306"/>
      <c r="G28" s="306"/>
      <c r="H28" s="314"/>
      <c r="I28" s="308"/>
      <c r="J28" s="305"/>
      <c r="K28" s="306"/>
      <c r="L28" s="306"/>
      <c r="M28" s="314"/>
      <c r="N28" s="308"/>
      <c r="O28" s="305"/>
      <c r="P28" s="306"/>
      <c r="Q28" s="306"/>
      <c r="R28" s="314"/>
      <c r="S28" s="308"/>
      <c r="T28" s="305"/>
      <c r="U28" s="306"/>
      <c r="V28" s="306"/>
      <c r="W28" s="307"/>
      <c r="X28" s="308"/>
      <c r="Y28" s="305"/>
      <c r="Z28" s="306"/>
      <c r="AA28" s="306"/>
      <c r="AB28" s="307"/>
      <c r="AC28" s="308"/>
      <c r="AD28" s="305"/>
      <c r="AE28" s="306"/>
      <c r="AF28" s="306"/>
      <c r="AG28" s="307"/>
      <c r="AH28" s="308"/>
      <c r="AI28" s="305"/>
      <c r="AJ28" s="306"/>
      <c r="AK28" s="306"/>
      <c r="AL28" s="307"/>
      <c r="AM28" s="308"/>
      <c r="AN28" s="305"/>
      <c r="AO28" s="306"/>
      <c r="AP28" s="306"/>
      <c r="AQ28" s="307"/>
      <c r="AR28" s="308"/>
      <c r="AS28" s="305"/>
      <c r="AT28" s="306"/>
      <c r="AU28" s="306"/>
      <c r="AV28" s="307"/>
      <c r="AW28" s="308"/>
      <c r="AX28" s="305"/>
      <c r="AY28" s="306"/>
      <c r="AZ28" s="306"/>
      <c r="BA28" s="307"/>
      <c r="BB28" s="308"/>
      <c r="BC28" s="305"/>
      <c r="BD28" s="306"/>
      <c r="BE28" s="306"/>
      <c r="BF28" s="307"/>
      <c r="BG28" s="308"/>
      <c r="BH28" s="305"/>
      <c r="BI28" s="306"/>
      <c r="BJ28" s="306"/>
      <c r="BK28" s="307"/>
      <c r="BL28" s="308"/>
      <c r="BM28" s="305"/>
      <c r="BN28" s="306"/>
      <c r="BO28" s="306"/>
      <c r="BP28" s="307"/>
      <c r="BQ28" s="308"/>
      <c r="BX28" s="19"/>
    </row>
    <row r="29" spans="1:76" s="19" customFormat="1">
      <c r="A29" s="259"/>
      <c r="B29" s="259"/>
      <c r="C29" s="242" t="s">
        <v>201</v>
      </c>
      <c r="E29" s="240"/>
      <c r="F29" s="241"/>
      <c r="G29" s="241"/>
      <c r="H29" s="307"/>
      <c r="I29" s="308">
        <f t="shared" ref="I29:AO29" si="54">I22-I27</f>
        <v>-354</v>
      </c>
      <c r="J29" s="305">
        <f t="shared" si="54"/>
        <v>-35</v>
      </c>
      <c r="K29" s="306">
        <f t="shared" si="54"/>
        <v>-37</v>
      </c>
      <c r="L29" s="306">
        <f t="shared" si="54"/>
        <v>-25</v>
      </c>
      <c r="M29" s="307">
        <f t="shared" si="54"/>
        <v>-38</v>
      </c>
      <c r="N29" s="308">
        <f t="shared" si="54"/>
        <v>-135</v>
      </c>
      <c r="O29" s="305">
        <f t="shared" si="54"/>
        <v>-57</v>
      </c>
      <c r="P29" s="306">
        <f t="shared" si="54"/>
        <v>-87</v>
      </c>
      <c r="Q29" s="306">
        <f t="shared" si="54"/>
        <v>-61</v>
      </c>
      <c r="R29" s="307">
        <f t="shared" si="54"/>
        <v>-34</v>
      </c>
      <c r="S29" s="308">
        <f t="shared" si="54"/>
        <v>-239</v>
      </c>
      <c r="T29" s="305">
        <f t="shared" si="54"/>
        <v>-42</v>
      </c>
      <c r="U29" s="306">
        <f t="shared" si="54"/>
        <v>-62</v>
      </c>
      <c r="V29" s="306">
        <f t="shared" si="54"/>
        <v>-19</v>
      </c>
      <c r="W29" s="307">
        <f t="shared" si="54"/>
        <v>-53</v>
      </c>
      <c r="X29" s="308">
        <f t="shared" si="54"/>
        <v>-176</v>
      </c>
      <c r="Y29" s="305">
        <f t="shared" si="54"/>
        <v>-45</v>
      </c>
      <c r="Z29" s="306">
        <f t="shared" si="54"/>
        <v>-44</v>
      </c>
      <c r="AA29" s="306">
        <f t="shared" si="54"/>
        <v>-50</v>
      </c>
      <c r="AB29" s="307">
        <f t="shared" si="54"/>
        <v>-58</v>
      </c>
      <c r="AC29" s="308">
        <f t="shared" si="54"/>
        <v>-197</v>
      </c>
      <c r="AD29" s="305">
        <f t="shared" si="54"/>
        <v>-53</v>
      </c>
      <c r="AE29" s="306">
        <f t="shared" si="54"/>
        <v>-56</v>
      </c>
      <c r="AF29" s="306">
        <f t="shared" si="54"/>
        <v>-53</v>
      </c>
      <c r="AG29" s="307">
        <f t="shared" si="54"/>
        <v>-54</v>
      </c>
      <c r="AH29" s="308">
        <f t="shared" si="54"/>
        <v>-216</v>
      </c>
      <c r="AI29" s="305">
        <f t="shared" si="54"/>
        <v>-65</v>
      </c>
      <c r="AJ29" s="306">
        <f t="shared" si="54"/>
        <v>-67</v>
      </c>
      <c r="AK29" s="306">
        <f t="shared" si="54"/>
        <v>-82</v>
      </c>
      <c r="AL29" s="307">
        <f t="shared" si="54"/>
        <v>-464</v>
      </c>
      <c r="AM29" s="308">
        <f t="shared" si="54"/>
        <v>-678</v>
      </c>
      <c r="AN29" s="305">
        <f t="shared" si="54"/>
        <v>-68</v>
      </c>
      <c r="AO29" s="306">
        <f t="shared" si="54"/>
        <v>-73</v>
      </c>
      <c r="AP29" s="306">
        <f t="shared" ref="AP29:AT29" si="55">AP22-AP27</f>
        <v>-77</v>
      </c>
      <c r="AQ29" s="307">
        <f t="shared" si="55"/>
        <v>-141</v>
      </c>
      <c r="AR29" s="308">
        <f t="shared" si="55"/>
        <v>-359</v>
      </c>
      <c r="AS29" s="305">
        <f t="shared" si="55"/>
        <v>-82</v>
      </c>
      <c r="AT29" s="306">
        <f t="shared" si="55"/>
        <v>-94</v>
      </c>
      <c r="AU29" s="306">
        <f t="shared" ref="AU29:AW29" si="56">AU22-AU27</f>
        <v>-101</v>
      </c>
      <c r="AV29" s="307">
        <f t="shared" si="56"/>
        <v>-103</v>
      </c>
      <c r="AW29" s="308">
        <f t="shared" si="56"/>
        <v>-380</v>
      </c>
      <c r="AX29" s="305">
        <f t="shared" ref="AX29:BB29" si="57">AX22-AX27</f>
        <v>-96.162876608315088</v>
      </c>
      <c r="AY29" s="306">
        <f t="shared" si="57"/>
        <v>-112.66477476480131</v>
      </c>
      <c r="AZ29" s="306">
        <f t="shared" si="57"/>
        <v>-102.15498735505253</v>
      </c>
      <c r="BA29" s="307">
        <f t="shared" si="57"/>
        <v>-105.8239866752682</v>
      </c>
      <c r="BB29" s="308">
        <f t="shared" si="57"/>
        <v>-416.80662540343712</v>
      </c>
      <c r="BC29" s="305">
        <f t="shared" ref="BC29:BL29" si="58">BC22-BC27</f>
        <v>-99.959263394227747</v>
      </c>
      <c r="BD29" s="306">
        <f t="shared" si="58"/>
        <v>-114.56436206202477</v>
      </c>
      <c r="BE29" s="306">
        <f t="shared" si="58"/>
        <v>-84.846022680511254</v>
      </c>
      <c r="BF29" s="307">
        <f t="shared" si="58"/>
        <v>-88.721807926794526</v>
      </c>
      <c r="BG29" s="308">
        <f t="shared" si="58"/>
        <v>-388.09145606355833</v>
      </c>
      <c r="BH29" s="305">
        <f t="shared" si="58"/>
        <v>-80.825584234765074</v>
      </c>
      <c r="BI29" s="306">
        <f t="shared" si="58"/>
        <v>-97.976416117726217</v>
      </c>
      <c r="BJ29" s="306">
        <f t="shared" si="58"/>
        <v>-86.543150390882616</v>
      </c>
      <c r="BK29" s="307">
        <f t="shared" si="58"/>
        <v>-90.938606219003887</v>
      </c>
      <c r="BL29" s="308">
        <f t="shared" si="58"/>
        <v>-356.28375696237777</v>
      </c>
      <c r="BM29" s="305">
        <f t="shared" ref="BM29:BQ29" si="59">BM22-BM27</f>
        <v>-83.432702449595922</v>
      </c>
      <c r="BN29" s="306">
        <f t="shared" si="59"/>
        <v>-101.18928359223237</v>
      </c>
      <c r="BO29" s="306">
        <f t="shared" si="59"/>
        <v>-86.068337892634858</v>
      </c>
      <c r="BP29" s="307">
        <f t="shared" si="59"/>
        <v>-90.387342021342917</v>
      </c>
      <c r="BQ29" s="308">
        <f t="shared" si="59"/>
        <v>-361.07766595580608</v>
      </c>
    </row>
    <row r="30" spans="1:76" s="23" customFormat="1">
      <c r="A30" s="261"/>
      <c r="B30" s="261"/>
      <c r="C30" s="258"/>
      <c r="E30" s="245"/>
      <c r="F30" s="246"/>
      <c r="G30" s="246"/>
      <c r="H30" s="311"/>
      <c r="I30" s="285"/>
      <c r="J30" s="309"/>
      <c r="K30" s="310"/>
      <c r="L30" s="310"/>
      <c r="M30" s="311"/>
      <c r="N30" s="285"/>
      <c r="O30" s="309"/>
      <c r="P30" s="310"/>
      <c r="Q30" s="310"/>
      <c r="R30" s="311"/>
      <c r="S30" s="285"/>
      <c r="T30" s="309"/>
      <c r="U30" s="310"/>
      <c r="V30" s="310"/>
      <c r="W30" s="323"/>
      <c r="X30" s="324"/>
      <c r="Y30" s="309"/>
      <c r="Z30" s="310"/>
      <c r="AA30" s="310"/>
      <c r="AB30" s="323"/>
      <c r="AC30" s="324"/>
      <c r="AD30" s="309"/>
      <c r="AE30" s="310"/>
      <c r="AF30" s="310"/>
      <c r="AG30" s="323"/>
      <c r="AH30" s="324"/>
      <c r="AI30" s="309"/>
      <c r="AJ30" s="310"/>
      <c r="AK30" s="310"/>
      <c r="AL30" s="323"/>
      <c r="AM30" s="324"/>
      <c r="AN30" s="309"/>
      <c r="AO30" s="310"/>
      <c r="AP30" s="310"/>
      <c r="AQ30" s="323"/>
      <c r="AR30" s="324"/>
      <c r="AS30" s="309"/>
      <c r="AT30" s="310"/>
      <c r="AU30" s="310"/>
      <c r="AV30" s="323"/>
      <c r="AW30" s="324"/>
      <c r="AX30" s="309"/>
      <c r="AY30" s="310"/>
      <c r="AZ30" s="310"/>
      <c r="BA30" s="311"/>
      <c r="BB30" s="285"/>
      <c r="BC30" s="309"/>
      <c r="BD30" s="310"/>
      <c r="BE30" s="310"/>
      <c r="BF30" s="311"/>
      <c r="BG30" s="285"/>
      <c r="BH30" s="309"/>
      <c r="BI30" s="310"/>
      <c r="BJ30" s="310"/>
      <c r="BK30" s="311"/>
      <c r="BL30" s="285"/>
      <c r="BM30" s="309"/>
      <c r="BN30" s="310"/>
      <c r="BO30" s="310"/>
      <c r="BP30" s="311"/>
      <c r="BQ30" s="285"/>
    </row>
    <row r="31" spans="1:76" s="23" customFormat="1">
      <c r="A31" s="261"/>
      <c r="B31" s="261"/>
      <c r="C31" s="258" t="s">
        <v>202</v>
      </c>
      <c r="E31" s="245"/>
      <c r="F31" s="246"/>
      <c r="G31" s="246"/>
      <c r="H31" s="311"/>
      <c r="I31" s="285">
        <f>FirstEnergy!I36-Distribution!I31-Transmission!I29-Competitive!I30</f>
        <v>-390</v>
      </c>
      <c r="J31" s="309">
        <f>FirstEnergy!J36-Distribution!J31-Transmission!J29-Competitive!J30</f>
        <v>0</v>
      </c>
      <c r="K31" s="310">
        <f>FirstEnergy!K36-Distribution!K31-Transmission!K29-Competitive!K30</f>
        <v>-29</v>
      </c>
      <c r="L31" s="310">
        <f>FirstEnergy!L36-Distribution!L31-Transmission!L29-Competitive!L30</f>
        <v>-2</v>
      </c>
      <c r="M31" s="311">
        <f>FirstEnergy!M36-Distribution!M31-Transmission!M29-Competitive!M30</f>
        <v>-6</v>
      </c>
      <c r="N31" s="285">
        <f>FirstEnergy!N36-Distribution!N31-Transmission!N29-Competitive!N30</f>
        <v>-37</v>
      </c>
      <c r="O31" s="309">
        <f>FirstEnergy!O36-Distribution!O31-Transmission!O29-Competitive!O30</f>
        <v>30</v>
      </c>
      <c r="P31" s="310">
        <f>FirstEnergy!P36-Distribution!P31-Transmission!P29-Competitive!P30</f>
        <v>-31</v>
      </c>
      <c r="Q31" s="310">
        <f>FirstEnergy!Q36-Distribution!Q31-Transmission!Q29-Competitive!Q30</f>
        <v>-13</v>
      </c>
      <c r="R31" s="311">
        <f>FirstEnergy!R36-Distribution!R31-Transmission!R29-Competitive!R30</f>
        <v>-35</v>
      </c>
      <c r="S31" s="285">
        <f>FirstEnergy!S36-Distribution!S31-Transmission!S29-Competitive!S30</f>
        <v>-49</v>
      </c>
      <c r="T31" s="309">
        <f>FirstEnergy!T36-Distribution!T31-Transmission!T29-Competitive!T30</f>
        <v>10</v>
      </c>
      <c r="U31" s="310">
        <f>FirstEnergy!U36-Distribution!U31-Transmission!U29-Competitive!U30</f>
        <v>-12</v>
      </c>
      <c r="V31" s="310">
        <f>FirstEnergy!V36-Distribution!V31-Transmission!V29-Competitive!V30</f>
        <v>30</v>
      </c>
      <c r="W31" s="323">
        <f>FirstEnergy!W36-Distribution!W31-Transmission!W29-Competitive!W30</f>
        <v>6</v>
      </c>
      <c r="X31" s="324">
        <f>FirstEnergy!X36-Distribution!X31-Transmission!X29-Competitive!X30</f>
        <v>34</v>
      </c>
      <c r="Y31" s="309">
        <f>FirstEnergy!Y36-Distribution!Y31-Transmission!Y29-Competitive!Y30</f>
        <v>-18</v>
      </c>
      <c r="Z31" s="310">
        <f>FirstEnergy!Z36-Distribution!Z31-Transmission!Z29-Competitive!Z30</f>
        <v>11</v>
      </c>
      <c r="AA31" s="310">
        <f>FirstEnergy!AA36-Distribution!AA31-Transmission!AA29-Competitive!AA30</f>
        <v>-52</v>
      </c>
      <c r="AB31" s="323">
        <f>FirstEnergy!AB36-Distribution!AB31-Transmission!AB29-Competitive!AB30</f>
        <v>-35</v>
      </c>
      <c r="AC31" s="324">
        <f>FirstEnergy!AC36-Distribution!AC31-Transmission!AC29-Competitive!AC30</f>
        <v>-94</v>
      </c>
      <c r="AD31" s="309">
        <f>FirstEnergy!AD36-Distribution!AD31-Transmission!AD29-Competitive!AD30</f>
        <v>-34</v>
      </c>
      <c r="AE31" s="310">
        <f>FirstEnergy!AE36-Distribution!AE31-Transmission!AE29-Competitive!AE30</f>
        <v>-18</v>
      </c>
      <c r="AF31" s="310">
        <f>FirstEnergy!AF36-Distribution!AF31-Transmission!AF29-Competitive!AF30</f>
        <v>-38</v>
      </c>
      <c r="AG31" s="323">
        <f>FirstEnergy!AG36-Distribution!AG31-Transmission!AG29-Competitive!AG30</f>
        <v>-74</v>
      </c>
      <c r="AH31" s="324">
        <f>FirstEnergy!AH36-Distribution!AH31-Transmission!AH29-Competitive!AH30</f>
        <v>-164</v>
      </c>
      <c r="AI31" s="309">
        <f>FirstEnergy!AI36-Distribution!AI31-Transmission!AI29-Competitive!AI30</f>
        <v>-16</v>
      </c>
      <c r="AJ31" s="310">
        <f>FirstEnergy!AJ36-Distribution!AJ31-Transmission!AJ29-Competitive!AJ30</f>
        <v>-21</v>
      </c>
      <c r="AK31" s="310">
        <f>FirstEnergy!AK36-Distribution!AK31-Transmission!AK29-Competitive!AK30</f>
        <v>-33</v>
      </c>
      <c r="AL31" s="323">
        <f>FirstEnergy!AL36-Distribution!AL31-Transmission!AL29-Competitive!AL30</f>
        <v>-181</v>
      </c>
      <c r="AM31" s="324">
        <f>FirstEnergy!AM36-Distribution!AM31-Transmission!AM29-Competitive!AM30</f>
        <v>-251</v>
      </c>
      <c r="AN31" s="309">
        <f>FirstEnergy!AN36-Distribution!AN31-Transmission!AN29-Competitive!AN30</f>
        <v>-13</v>
      </c>
      <c r="AO31" s="310">
        <f>FirstEnergy!AO36-Distribution!AO31-Transmission!AO29-Competitive!AO30</f>
        <v>-26</v>
      </c>
      <c r="AP31" s="310">
        <f>FirstEnergy!AP36-Distribution!AP31-Transmission!AP29-Competitive!AP30</f>
        <v>-10</v>
      </c>
      <c r="AQ31" s="323">
        <f>FirstEnergy!AQ36-Distribution!AQ31-Transmission!AQ29-Competitive!AQ30</f>
        <v>-70</v>
      </c>
      <c r="AR31" s="324">
        <f>FirstEnergy!AR36-Distribution!AR31-Transmission!AR29-Competitive!AR30</f>
        <v>-119</v>
      </c>
      <c r="AS31" s="309">
        <f>FirstEnergy!AS36-Distribution!AS31-Transmission!AS29-Competitive!AS30</f>
        <v>-29</v>
      </c>
      <c r="AT31" s="310">
        <f>FirstEnergy!AT36-Distribution!AT31-Transmission!AT29-Competitive!AT30</f>
        <v>-27</v>
      </c>
      <c r="AU31" s="310">
        <f>FirstEnergy!AU36-Distribution!AU31-Transmission!AU29-Competitive!AU30</f>
        <v>-33</v>
      </c>
      <c r="AV31" s="323">
        <f>FirstEnergy!AV36-Distribution!AV31-Transmission!AV29-Competitive!AV30</f>
        <v>44</v>
      </c>
      <c r="AW31" s="324">
        <f>FirstEnergy!AW36-Distribution!AW31-Transmission!AW29-Competitive!AW30</f>
        <v>-45</v>
      </c>
      <c r="AX31" s="309">
        <f>AX29*AX56</f>
        <v>-26.925605450328227</v>
      </c>
      <c r="AY31" s="310">
        <f t="shared" ref="AY31:BA31" si="60">AY29*AY56</f>
        <v>-31.546136934144368</v>
      </c>
      <c r="AZ31" s="310">
        <f t="shared" si="60"/>
        <v>-28.603396459414711</v>
      </c>
      <c r="BA31" s="311">
        <f t="shared" si="60"/>
        <v>-29.630716269075098</v>
      </c>
      <c r="BB31" s="285">
        <f>SUM(AX31:BA31)</f>
        <v>-116.7058551129624</v>
      </c>
      <c r="BC31" s="309">
        <f>BC29*BC56</f>
        <v>-27.988593750383771</v>
      </c>
      <c r="BD31" s="310">
        <f t="shared" ref="BD31:BF31" si="61">BD29*BD56</f>
        <v>-32.078021377366937</v>
      </c>
      <c r="BE31" s="310">
        <f t="shared" si="61"/>
        <v>-23.756886350543155</v>
      </c>
      <c r="BF31" s="311">
        <f t="shared" si="61"/>
        <v>-24.842106219502469</v>
      </c>
      <c r="BG31" s="285">
        <f>SUM(BC31:BF31)</f>
        <v>-108.66560769779633</v>
      </c>
      <c r="BH31" s="309">
        <f>BH29*BH56</f>
        <v>-22.631163585734225</v>
      </c>
      <c r="BI31" s="310">
        <f t="shared" ref="BI31:BK31" si="62">BI29*BI56</f>
        <v>-27.433396512963345</v>
      </c>
      <c r="BJ31" s="310">
        <f t="shared" si="62"/>
        <v>-24.232082109447134</v>
      </c>
      <c r="BK31" s="311">
        <f t="shared" si="62"/>
        <v>-25.462809741321092</v>
      </c>
      <c r="BL31" s="285">
        <f>SUM(BH31:BK31)</f>
        <v>-99.759451949465799</v>
      </c>
      <c r="BM31" s="309">
        <f>BM29*BM56</f>
        <v>-23.361156685886861</v>
      </c>
      <c r="BN31" s="310">
        <f t="shared" ref="BN31:BP31" si="63">BN29*BN56</f>
        <v>-28.332999405825067</v>
      </c>
      <c r="BO31" s="310">
        <f t="shared" si="63"/>
        <v>-24.099134609937764</v>
      </c>
      <c r="BP31" s="311">
        <f t="shared" si="63"/>
        <v>-25.308455765976021</v>
      </c>
      <c r="BQ31" s="285">
        <f>SUM(BM31:BP31)</f>
        <v>-101.10174646762572</v>
      </c>
      <c r="BS31" s="2088"/>
      <c r="BT31" s="2088"/>
    </row>
    <row r="32" spans="1:76" s="23" customFormat="1">
      <c r="A32" s="261"/>
      <c r="B32" s="261"/>
      <c r="C32" s="258"/>
      <c r="E32" s="245"/>
      <c r="F32" s="246"/>
      <c r="G32" s="246"/>
      <c r="H32" s="311"/>
      <c r="I32" s="285"/>
      <c r="J32" s="309"/>
      <c r="K32" s="310"/>
      <c r="L32" s="310"/>
      <c r="M32" s="311"/>
      <c r="N32" s="285"/>
      <c r="O32" s="309"/>
      <c r="P32" s="310"/>
      <c r="Q32" s="310"/>
      <c r="R32" s="311"/>
      <c r="S32" s="285"/>
      <c r="T32" s="309"/>
      <c r="U32" s="310"/>
      <c r="V32" s="310"/>
      <c r="W32" s="323"/>
      <c r="X32" s="324"/>
      <c r="Y32" s="309"/>
      <c r="Z32" s="310"/>
      <c r="AA32" s="310"/>
      <c r="AB32" s="323"/>
      <c r="AC32" s="324"/>
      <c r="AD32" s="309"/>
      <c r="AE32" s="310"/>
      <c r="AF32" s="310"/>
      <c r="AG32" s="323"/>
      <c r="AH32" s="324"/>
      <c r="AI32" s="309"/>
      <c r="AJ32" s="310"/>
      <c r="AK32" s="310"/>
      <c r="AL32" s="323"/>
      <c r="AM32" s="324"/>
      <c r="AN32" s="309"/>
      <c r="AO32" s="310"/>
      <c r="AP32" s="310"/>
      <c r="AQ32" s="323"/>
      <c r="AR32" s="324"/>
      <c r="AS32" s="309"/>
      <c r="AT32" s="310"/>
      <c r="AU32" s="310"/>
      <c r="AV32" s="323"/>
      <c r="AW32" s="324"/>
      <c r="AX32" s="309"/>
      <c r="AY32" s="310"/>
      <c r="AZ32" s="310"/>
      <c r="BA32" s="311"/>
      <c r="BB32" s="285"/>
      <c r="BC32" s="309"/>
      <c r="BD32" s="310"/>
      <c r="BE32" s="310"/>
      <c r="BF32" s="311"/>
      <c r="BG32" s="285"/>
      <c r="BH32" s="309"/>
      <c r="BI32" s="310"/>
      <c r="BJ32" s="310"/>
      <c r="BK32" s="311"/>
      <c r="BL32" s="285"/>
      <c r="BM32" s="309"/>
      <c r="BN32" s="310"/>
      <c r="BO32" s="310"/>
      <c r="BP32" s="311"/>
      <c r="BQ32" s="285"/>
      <c r="BS32" s="2088"/>
      <c r="BT32" s="2088"/>
    </row>
    <row r="33" spans="1:94" s="19" customFormat="1">
      <c r="A33" s="259"/>
      <c r="B33" s="259"/>
      <c r="C33" s="242" t="s">
        <v>24</v>
      </c>
      <c r="E33" s="240"/>
      <c r="F33" s="241"/>
      <c r="G33" s="241"/>
      <c r="H33" s="307"/>
      <c r="I33" s="308">
        <f t="shared" ref="I33:AO33" si="64">I29-I31</f>
        <v>36</v>
      </c>
      <c r="J33" s="305">
        <f t="shared" si="64"/>
        <v>-35</v>
      </c>
      <c r="K33" s="306">
        <f t="shared" si="64"/>
        <v>-8</v>
      </c>
      <c r="L33" s="306">
        <f t="shared" si="64"/>
        <v>-23</v>
      </c>
      <c r="M33" s="307">
        <f t="shared" si="64"/>
        <v>-32</v>
      </c>
      <c r="N33" s="308">
        <f t="shared" si="64"/>
        <v>-98</v>
      </c>
      <c r="O33" s="305">
        <f t="shared" si="64"/>
        <v>-87</v>
      </c>
      <c r="P33" s="306">
        <f t="shared" si="64"/>
        <v>-56</v>
      </c>
      <c r="Q33" s="306">
        <f t="shared" si="64"/>
        <v>-48</v>
      </c>
      <c r="R33" s="307">
        <f t="shared" si="64"/>
        <v>1</v>
      </c>
      <c r="S33" s="308">
        <f t="shared" si="64"/>
        <v>-190</v>
      </c>
      <c r="T33" s="305">
        <f t="shared" si="64"/>
        <v>-52</v>
      </c>
      <c r="U33" s="306">
        <f t="shared" si="64"/>
        <v>-50</v>
      </c>
      <c r="V33" s="306">
        <f t="shared" si="64"/>
        <v>-49</v>
      </c>
      <c r="W33" s="307">
        <f t="shared" si="64"/>
        <v>-59</v>
      </c>
      <c r="X33" s="308">
        <f t="shared" si="64"/>
        <v>-210</v>
      </c>
      <c r="Y33" s="305">
        <f t="shared" si="64"/>
        <v>-27</v>
      </c>
      <c r="Z33" s="306">
        <f t="shared" si="64"/>
        <v>-55</v>
      </c>
      <c r="AA33" s="306">
        <f t="shared" si="64"/>
        <v>2</v>
      </c>
      <c r="AB33" s="307">
        <f t="shared" si="64"/>
        <v>-23</v>
      </c>
      <c r="AC33" s="308">
        <f t="shared" si="64"/>
        <v>-103</v>
      </c>
      <c r="AD33" s="305">
        <f t="shared" si="64"/>
        <v>-19</v>
      </c>
      <c r="AE33" s="306">
        <f t="shared" si="64"/>
        <v>-38</v>
      </c>
      <c r="AF33" s="306">
        <f t="shared" si="64"/>
        <v>-15</v>
      </c>
      <c r="AG33" s="307">
        <f t="shared" si="64"/>
        <v>20</v>
      </c>
      <c r="AH33" s="308">
        <f t="shared" si="64"/>
        <v>-52</v>
      </c>
      <c r="AI33" s="305">
        <f t="shared" si="64"/>
        <v>-49</v>
      </c>
      <c r="AJ33" s="306">
        <f t="shared" si="64"/>
        <v>-46</v>
      </c>
      <c r="AK33" s="306">
        <f t="shared" si="64"/>
        <v>-49</v>
      </c>
      <c r="AL33" s="307">
        <f t="shared" si="64"/>
        <v>-283</v>
      </c>
      <c r="AM33" s="308">
        <f t="shared" si="64"/>
        <v>-427</v>
      </c>
      <c r="AN33" s="305">
        <f t="shared" si="64"/>
        <v>-55</v>
      </c>
      <c r="AO33" s="306">
        <f t="shared" si="64"/>
        <v>-47</v>
      </c>
      <c r="AP33" s="306">
        <f t="shared" ref="AP33:AT33" si="65">AP29-AP31</f>
        <v>-67</v>
      </c>
      <c r="AQ33" s="307">
        <f t="shared" si="65"/>
        <v>-71</v>
      </c>
      <c r="AR33" s="308">
        <f t="shared" si="65"/>
        <v>-240</v>
      </c>
      <c r="AS33" s="305">
        <f t="shared" si="65"/>
        <v>-53</v>
      </c>
      <c r="AT33" s="306">
        <f t="shared" si="65"/>
        <v>-67</v>
      </c>
      <c r="AU33" s="306">
        <f t="shared" ref="AU33:AW33" si="66">AU29-AU31</f>
        <v>-68</v>
      </c>
      <c r="AV33" s="307">
        <f t="shared" si="66"/>
        <v>-147</v>
      </c>
      <c r="AW33" s="308">
        <f t="shared" si="66"/>
        <v>-335</v>
      </c>
      <c r="AX33" s="305">
        <f t="shared" ref="AX33:BB33" si="67">AX29-AX31</f>
        <v>-69.237271157986868</v>
      </c>
      <c r="AY33" s="306">
        <f t="shared" si="67"/>
        <v>-81.118637830656937</v>
      </c>
      <c r="AZ33" s="306">
        <f t="shared" si="67"/>
        <v>-73.551590895637815</v>
      </c>
      <c r="BA33" s="307">
        <f t="shared" si="67"/>
        <v>-76.193270406193108</v>
      </c>
      <c r="BB33" s="308">
        <f t="shared" si="67"/>
        <v>-300.10077029047471</v>
      </c>
      <c r="BC33" s="305">
        <f t="shared" ref="BC33:BL33" si="68">BC29-BC31</f>
        <v>-71.970669643843976</v>
      </c>
      <c r="BD33" s="306">
        <f t="shared" si="68"/>
        <v>-82.486340684657833</v>
      </c>
      <c r="BE33" s="306">
        <f t="shared" si="68"/>
        <v>-61.089136329968099</v>
      </c>
      <c r="BF33" s="307">
        <f t="shared" si="68"/>
        <v>-63.879701707292057</v>
      </c>
      <c r="BG33" s="308">
        <f t="shared" si="68"/>
        <v>-279.42584836576202</v>
      </c>
      <c r="BH33" s="305">
        <f t="shared" si="68"/>
        <v>-58.194420649030846</v>
      </c>
      <c r="BI33" s="306">
        <f t="shared" si="68"/>
        <v>-70.543019604762875</v>
      </c>
      <c r="BJ33" s="306">
        <f t="shared" si="68"/>
        <v>-62.311068281435482</v>
      </c>
      <c r="BK33" s="307">
        <f t="shared" si="68"/>
        <v>-65.475796477682792</v>
      </c>
      <c r="BL33" s="308">
        <f t="shared" si="68"/>
        <v>-256.52430501291195</v>
      </c>
      <c r="BM33" s="305">
        <f t="shared" ref="BM33:BQ33" si="69">BM29-BM31</f>
        <v>-60.071545763709061</v>
      </c>
      <c r="BN33" s="306">
        <f t="shared" si="69"/>
        <v>-72.856284186407308</v>
      </c>
      <c r="BO33" s="306">
        <f t="shared" si="69"/>
        <v>-61.969203282697094</v>
      </c>
      <c r="BP33" s="307">
        <f t="shared" si="69"/>
        <v>-65.078886255366896</v>
      </c>
      <c r="BQ33" s="308">
        <f t="shared" si="69"/>
        <v>-259.97591948818035</v>
      </c>
    </row>
    <row r="34" spans="1:94" s="23" customFormat="1">
      <c r="A34" s="261"/>
      <c r="B34" s="261"/>
      <c r="C34" s="256" t="s">
        <v>761</v>
      </c>
      <c r="E34" s="245"/>
      <c r="F34" s="246"/>
      <c r="G34" s="246"/>
      <c r="H34" s="311"/>
      <c r="I34" s="285">
        <f>FirstEnergy!I39</f>
        <v>16</v>
      </c>
      <c r="J34" s="309">
        <f>FirstEnergy!J39</f>
        <v>6</v>
      </c>
      <c r="K34" s="310">
        <f>FirstEnergy!K39</f>
        <v>9</v>
      </c>
      <c r="L34" s="310">
        <f>FirstEnergy!L39</f>
        <v>4</v>
      </c>
      <c r="M34" s="311">
        <f>FirstEnergy!M39</f>
        <v>5</v>
      </c>
      <c r="N34" s="285">
        <f>FirstEnergy!N39</f>
        <v>24</v>
      </c>
      <c r="O34" s="309">
        <f>FirstEnergy!O39</f>
        <v>5</v>
      </c>
      <c r="P34" s="310">
        <f>FirstEnergy!P39</f>
        <v>10</v>
      </c>
      <c r="Q34" s="310">
        <f>FirstEnergy!Q39</f>
        <v>2</v>
      </c>
      <c r="R34" s="311">
        <f>FirstEnergy!R39</f>
        <v>-1</v>
      </c>
      <c r="S34" s="285">
        <f>FirstEnergy!S39</f>
        <v>16</v>
      </c>
      <c r="T34" s="309">
        <f>FirstEnergy!T39</f>
        <v>0</v>
      </c>
      <c r="U34" s="310">
        <f>FirstEnergy!U39</f>
        <v>-1</v>
      </c>
      <c r="V34" s="310">
        <f>FirstEnergy!V39</f>
        <v>0</v>
      </c>
      <c r="W34" s="323">
        <f>FirstEnergy!W39</f>
        <v>0</v>
      </c>
      <c r="X34" s="324">
        <f>FirstEnergy!X39</f>
        <v>-1</v>
      </c>
      <c r="Y34" s="309">
        <f>FirstEnergy!Y39</f>
        <v>0</v>
      </c>
      <c r="Z34" s="310">
        <f>FirstEnergy!Z39</f>
        <v>0</v>
      </c>
      <c r="AA34" s="310">
        <f>FirstEnergy!AA39</f>
        <v>0</v>
      </c>
      <c r="AB34" s="323">
        <f>FirstEnergy!AB39</f>
        <v>0</v>
      </c>
      <c r="AC34" s="324">
        <f>FirstEnergy!AC39</f>
        <v>0</v>
      </c>
      <c r="AD34" s="309">
        <f>FirstEnergy!AD39</f>
        <v>0</v>
      </c>
      <c r="AE34" s="310">
        <f>FirstEnergy!AE39</f>
        <v>0</v>
      </c>
      <c r="AF34" s="310">
        <f>FirstEnergy!AF39</f>
        <v>0</v>
      </c>
      <c r="AG34" s="323">
        <f>FirstEnergy!AG39</f>
        <v>0</v>
      </c>
      <c r="AH34" s="324">
        <f>FirstEnergy!AH39</f>
        <v>0</v>
      </c>
      <c r="AI34" s="309">
        <f>FirstEnergy!AI39</f>
        <v>0</v>
      </c>
      <c r="AJ34" s="310">
        <f>FirstEnergy!AJ39</f>
        <v>0</v>
      </c>
      <c r="AK34" s="310">
        <f>FirstEnergy!AK39</f>
        <v>0</v>
      </c>
      <c r="AL34" s="323">
        <f>FirstEnergy!AL39</f>
        <v>0</v>
      </c>
      <c r="AM34" s="324">
        <f>FirstEnergy!AM39</f>
        <v>0</v>
      </c>
      <c r="AN34" s="309">
        <f>FirstEnergy!AN39</f>
        <v>0</v>
      </c>
      <c r="AO34" s="310">
        <f>FirstEnergy!AO39</f>
        <v>0</v>
      </c>
      <c r="AP34" s="310">
        <f>FirstEnergy!AP39</f>
        <v>0</v>
      </c>
      <c r="AQ34" s="323">
        <f>FirstEnergy!AQ39</f>
        <v>0</v>
      </c>
      <c r="AR34" s="324">
        <f>FirstEnergy!AR39</f>
        <v>0</v>
      </c>
      <c r="AS34" s="309">
        <f>FirstEnergy!AS39</f>
        <v>0</v>
      </c>
      <c r="AT34" s="310">
        <f>FirstEnergy!AT39</f>
        <v>0</v>
      </c>
      <c r="AU34" s="310">
        <f>FirstEnergy!AU39</f>
        <v>0</v>
      </c>
      <c r="AV34" s="323">
        <f>FirstEnergy!AV39</f>
        <v>0</v>
      </c>
      <c r="AW34" s="324">
        <f>FirstEnergy!AW39</f>
        <v>0</v>
      </c>
      <c r="AX34" s="309">
        <f t="shared" ref="AX34:BA35" si="70">AS34</f>
        <v>0</v>
      </c>
      <c r="AY34" s="310">
        <f t="shared" si="70"/>
        <v>0</v>
      </c>
      <c r="AZ34" s="310">
        <f t="shared" si="70"/>
        <v>0</v>
      </c>
      <c r="BA34" s="311">
        <f t="shared" si="70"/>
        <v>0</v>
      </c>
      <c r="BB34" s="285">
        <f>SUM(AX34:BA34)</f>
        <v>0</v>
      </c>
      <c r="BC34" s="309">
        <f t="shared" ref="BC34:BF35" si="71">AX34</f>
        <v>0</v>
      </c>
      <c r="BD34" s="310">
        <f t="shared" si="71"/>
        <v>0</v>
      </c>
      <c r="BE34" s="310">
        <f t="shared" si="71"/>
        <v>0</v>
      </c>
      <c r="BF34" s="311">
        <f t="shared" si="71"/>
        <v>0</v>
      </c>
      <c r="BG34" s="285">
        <f>SUM(BC34:BF34)</f>
        <v>0</v>
      </c>
      <c r="BH34" s="309">
        <f t="shared" ref="BH34:BK35" si="72">BC34</f>
        <v>0</v>
      </c>
      <c r="BI34" s="310">
        <f t="shared" si="72"/>
        <v>0</v>
      </c>
      <c r="BJ34" s="310">
        <f t="shared" si="72"/>
        <v>0</v>
      </c>
      <c r="BK34" s="311">
        <f t="shared" si="72"/>
        <v>0</v>
      </c>
      <c r="BL34" s="285">
        <f>SUM(BH34:BK34)</f>
        <v>0</v>
      </c>
      <c r="BM34" s="309">
        <f t="shared" ref="BM34:BM35" si="73">BH34</f>
        <v>0</v>
      </c>
      <c r="BN34" s="310">
        <f t="shared" ref="BN34:BN35" si="74">BI34</f>
        <v>0</v>
      </c>
      <c r="BO34" s="310">
        <f t="shared" ref="BO34:BO35" si="75">BJ34</f>
        <v>0</v>
      </c>
      <c r="BP34" s="311">
        <f t="shared" ref="BP34:BP35" si="76">BK34</f>
        <v>0</v>
      </c>
      <c r="BQ34" s="285">
        <f>SUM(BM34:BP34)</f>
        <v>0</v>
      </c>
    </row>
    <row r="35" spans="1:94" s="23" customFormat="1">
      <c r="A35" s="261"/>
      <c r="B35" s="261"/>
      <c r="C35" s="270" t="s">
        <v>75</v>
      </c>
      <c r="E35" s="1582"/>
      <c r="F35" s="1583"/>
      <c r="G35" s="1583"/>
      <c r="H35" s="290"/>
      <c r="I35" s="298">
        <f>+FirstEnergy!I40-Competitive!I33</f>
        <v>0</v>
      </c>
      <c r="J35" s="296">
        <f>+FirstEnergy!J40-Competitive!J33</f>
        <v>0</v>
      </c>
      <c r="K35" s="297">
        <f>+FirstEnergy!K40-Competitive!K33</f>
        <v>0</v>
      </c>
      <c r="L35" s="297">
        <f>+FirstEnergy!L40-Competitive!L33</f>
        <v>0</v>
      </c>
      <c r="M35" s="290">
        <f>+FirstEnergy!M40-Competitive!M33</f>
        <v>0</v>
      </c>
      <c r="N35" s="298">
        <f>+FirstEnergy!N40-Competitive!N33</f>
        <v>0</v>
      </c>
      <c r="O35" s="296">
        <f>+FirstEnergy!O40-Competitive!O33</f>
        <v>0</v>
      </c>
      <c r="P35" s="297">
        <f>+FirstEnergy!P40-Competitive!P33</f>
        <v>0</v>
      </c>
      <c r="Q35" s="297">
        <f>+FirstEnergy!Q40-Competitive!Q33</f>
        <v>0</v>
      </c>
      <c r="R35" s="290">
        <f>+FirstEnergy!R40-Competitive!R33</f>
        <v>0</v>
      </c>
      <c r="S35" s="298">
        <f>+FirstEnergy!S40-Competitive!S33</f>
        <v>0</v>
      </c>
      <c r="T35" s="296">
        <f>+FirstEnergy!T40-Competitive!T33</f>
        <v>0</v>
      </c>
      <c r="U35" s="297">
        <f>+FirstEnergy!U40-Competitive!U33</f>
        <v>0</v>
      </c>
      <c r="V35" s="297">
        <f>+FirstEnergy!V40-Competitive!V33</f>
        <v>0</v>
      </c>
      <c r="W35" s="290">
        <f>+FirstEnergy!W40-Competitive!W33</f>
        <v>0</v>
      </c>
      <c r="X35" s="298">
        <f>+FirstEnergy!X40-Competitive!X33</f>
        <v>0</v>
      </c>
      <c r="Y35" s="296">
        <f>+FirstEnergy!Y40-Competitive!Y33</f>
        <v>0</v>
      </c>
      <c r="Z35" s="297">
        <f>+FirstEnergy!Z40-Competitive!Z33</f>
        <v>0</v>
      </c>
      <c r="AA35" s="297">
        <f>+FirstEnergy!AA40-Competitive!AA33</f>
        <v>0</v>
      </c>
      <c r="AB35" s="290">
        <f>+FirstEnergy!AB40-Competitive!AB33</f>
        <v>0</v>
      </c>
      <c r="AC35" s="298">
        <f>+FirstEnergy!AC40-Competitive!AC33</f>
        <v>0</v>
      </c>
      <c r="AD35" s="296">
        <f>+FirstEnergy!AD40-Competitive!AD33</f>
        <v>0</v>
      </c>
      <c r="AE35" s="297">
        <f>+FirstEnergy!AE40-Competitive!AE33</f>
        <v>0</v>
      </c>
      <c r="AF35" s="297">
        <f>+FirstEnergy!AF40-Competitive!AF33</f>
        <v>0</v>
      </c>
      <c r="AG35" s="290">
        <f>+FirstEnergy!AG40-Competitive!AG33</f>
        <v>0</v>
      </c>
      <c r="AH35" s="298">
        <f>+FirstEnergy!AH40-Competitive!AH33</f>
        <v>0</v>
      </c>
      <c r="AI35" s="296">
        <f>+FirstEnergy!AI40-Competitive!AI33</f>
        <v>0</v>
      </c>
      <c r="AJ35" s="297">
        <f>+FirstEnergy!AJ40-Competitive!AJ33</f>
        <v>0</v>
      </c>
      <c r="AK35" s="297">
        <f>+FirstEnergy!AK40-Competitive!AK33</f>
        <v>0</v>
      </c>
      <c r="AL35" s="290">
        <f>+FirstEnergy!AL40-Competitive!AL33</f>
        <v>0</v>
      </c>
      <c r="AM35" s="298">
        <f>+FirstEnergy!AM40-Competitive!AM33</f>
        <v>0</v>
      </c>
      <c r="AN35" s="296">
        <f>+FirstEnergy!AN40-Competitive!AN33</f>
        <v>0</v>
      </c>
      <c r="AO35" s="297">
        <f>+FirstEnergy!AO40-Competitive!AO33</f>
        <v>0</v>
      </c>
      <c r="AP35" s="297">
        <f>+FirstEnergy!AP40-Competitive!AP33</f>
        <v>0</v>
      </c>
      <c r="AQ35" s="290">
        <f>+FirstEnergy!AQ40-Competitive!AQ33</f>
        <v>0</v>
      </c>
      <c r="AR35" s="298">
        <f>+FirstEnergy!AR40-Competitive!AR33</f>
        <v>0</v>
      </c>
      <c r="AS35" s="296">
        <f>+FirstEnergy!AS40-Competitive!AS33</f>
        <v>0</v>
      </c>
      <c r="AT35" s="297">
        <f>+FirstEnergy!AT40-Competitive!AT33</f>
        <v>0</v>
      </c>
      <c r="AU35" s="297">
        <f>+FirstEnergy!AU40-Competitive!AU33</f>
        <v>0</v>
      </c>
      <c r="AV35" s="290">
        <f>+FirstEnergy!AV40-Competitive!AV33</f>
        <v>0</v>
      </c>
      <c r="AW35" s="298">
        <f>+FirstEnergy!AW40-Competitive!AW33</f>
        <v>0</v>
      </c>
      <c r="AX35" s="296">
        <f t="shared" si="70"/>
        <v>0</v>
      </c>
      <c r="AY35" s="297">
        <f t="shared" si="70"/>
        <v>0</v>
      </c>
      <c r="AZ35" s="297">
        <f t="shared" si="70"/>
        <v>0</v>
      </c>
      <c r="BA35" s="290">
        <f t="shared" si="70"/>
        <v>0</v>
      </c>
      <c r="BB35" s="298">
        <f>SUM(AX35:BA35)</f>
        <v>0</v>
      </c>
      <c r="BC35" s="296">
        <f t="shared" si="71"/>
        <v>0</v>
      </c>
      <c r="BD35" s="297">
        <f t="shared" si="71"/>
        <v>0</v>
      </c>
      <c r="BE35" s="297">
        <f t="shared" si="71"/>
        <v>0</v>
      </c>
      <c r="BF35" s="290">
        <f t="shared" si="71"/>
        <v>0</v>
      </c>
      <c r="BG35" s="298">
        <f>SUM(BC35:BF35)</f>
        <v>0</v>
      </c>
      <c r="BH35" s="296">
        <f t="shared" si="72"/>
        <v>0</v>
      </c>
      <c r="BI35" s="297">
        <f t="shared" si="72"/>
        <v>0</v>
      </c>
      <c r="BJ35" s="297">
        <f t="shared" si="72"/>
        <v>0</v>
      </c>
      <c r="BK35" s="290">
        <f t="shared" si="72"/>
        <v>0</v>
      </c>
      <c r="BL35" s="298">
        <f>SUM(BH35:BK35)</f>
        <v>0</v>
      </c>
      <c r="BM35" s="296">
        <f t="shared" si="73"/>
        <v>0</v>
      </c>
      <c r="BN35" s="297">
        <f t="shared" si="74"/>
        <v>0</v>
      </c>
      <c r="BO35" s="297">
        <f t="shared" si="75"/>
        <v>0</v>
      </c>
      <c r="BP35" s="290">
        <f t="shared" si="76"/>
        <v>0</v>
      </c>
      <c r="BQ35" s="298">
        <f>SUM(BM35:BP35)</f>
        <v>0</v>
      </c>
    </row>
    <row r="36" spans="1:94" s="23" customFormat="1">
      <c r="A36" s="261"/>
      <c r="B36" s="261"/>
      <c r="C36" s="258"/>
      <c r="E36" s="245"/>
      <c r="F36" s="246"/>
      <c r="G36" s="246"/>
      <c r="H36" s="311"/>
      <c r="I36" s="285"/>
      <c r="J36" s="309"/>
      <c r="K36" s="310"/>
      <c r="L36" s="310"/>
      <c r="M36" s="311"/>
      <c r="N36" s="285"/>
      <c r="O36" s="309"/>
      <c r="P36" s="310"/>
      <c r="Q36" s="310"/>
      <c r="R36" s="311"/>
      <c r="S36" s="285"/>
      <c r="T36" s="309"/>
      <c r="U36" s="310"/>
      <c r="V36" s="310"/>
      <c r="W36" s="323"/>
      <c r="X36" s="324"/>
      <c r="Y36" s="309"/>
      <c r="Z36" s="310"/>
      <c r="AA36" s="310"/>
      <c r="AB36" s="323"/>
      <c r="AC36" s="324"/>
      <c r="AD36" s="309"/>
      <c r="AE36" s="310"/>
      <c r="AF36" s="310"/>
      <c r="AG36" s="323"/>
      <c r="AH36" s="324"/>
      <c r="AI36" s="309"/>
      <c r="AJ36" s="310"/>
      <c r="AK36" s="310"/>
      <c r="AL36" s="323"/>
      <c r="AM36" s="324"/>
      <c r="AN36" s="309"/>
      <c r="AO36" s="310"/>
      <c r="AP36" s="310"/>
      <c r="AQ36" s="323"/>
      <c r="AR36" s="324"/>
      <c r="AS36" s="309"/>
      <c r="AT36" s="310"/>
      <c r="AU36" s="310"/>
      <c r="AV36" s="323"/>
      <c r="AW36" s="324"/>
      <c r="AX36" s="309"/>
      <c r="AY36" s="310"/>
      <c r="AZ36" s="310"/>
      <c r="BA36" s="311"/>
      <c r="BB36" s="285"/>
      <c r="BC36" s="309"/>
      <c r="BD36" s="310"/>
      <c r="BE36" s="310"/>
      <c r="BF36" s="311"/>
      <c r="BG36" s="285"/>
      <c r="BH36" s="309"/>
      <c r="BI36" s="310"/>
      <c r="BJ36" s="310"/>
      <c r="BK36" s="311"/>
      <c r="BL36" s="285"/>
      <c r="BM36" s="309"/>
      <c r="BN36" s="310"/>
      <c r="BO36" s="310"/>
      <c r="BP36" s="311"/>
      <c r="BQ36" s="285"/>
    </row>
    <row r="37" spans="1:94" s="23" customFormat="1">
      <c r="A37" s="261"/>
      <c r="B37" s="261"/>
      <c r="C37" s="242" t="s">
        <v>425</v>
      </c>
      <c r="E37" s="240"/>
      <c r="F37" s="241"/>
      <c r="G37" s="241"/>
      <c r="H37" s="307"/>
      <c r="I37" s="308">
        <f t="shared" ref="I37:AO37" si="77">I33+I34+I35</f>
        <v>52</v>
      </c>
      <c r="J37" s="305">
        <f t="shared" si="77"/>
        <v>-29</v>
      </c>
      <c r="K37" s="306">
        <f t="shared" si="77"/>
        <v>1</v>
      </c>
      <c r="L37" s="306">
        <f t="shared" si="77"/>
        <v>-19</v>
      </c>
      <c r="M37" s="307">
        <f t="shared" si="77"/>
        <v>-27</v>
      </c>
      <c r="N37" s="308">
        <f t="shared" si="77"/>
        <v>-74</v>
      </c>
      <c r="O37" s="305">
        <f t="shared" si="77"/>
        <v>-82</v>
      </c>
      <c r="P37" s="306">
        <f t="shared" si="77"/>
        <v>-46</v>
      </c>
      <c r="Q37" s="306">
        <f t="shared" si="77"/>
        <v>-46</v>
      </c>
      <c r="R37" s="307">
        <f t="shared" si="77"/>
        <v>0</v>
      </c>
      <c r="S37" s="308">
        <f t="shared" si="77"/>
        <v>-174</v>
      </c>
      <c r="T37" s="305">
        <f t="shared" si="77"/>
        <v>-52</v>
      </c>
      <c r="U37" s="306">
        <f t="shared" si="77"/>
        <v>-51</v>
      </c>
      <c r="V37" s="306">
        <f t="shared" si="77"/>
        <v>-49</v>
      </c>
      <c r="W37" s="307">
        <f t="shared" si="77"/>
        <v>-59</v>
      </c>
      <c r="X37" s="308">
        <f t="shared" si="77"/>
        <v>-211</v>
      </c>
      <c r="Y37" s="305">
        <f t="shared" si="77"/>
        <v>-27</v>
      </c>
      <c r="Z37" s="306">
        <f t="shared" si="77"/>
        <v>-55</v>
      </c>
      <c r="AA37" s="306">
        <f t="shared" si="77"/>
        <v>2</v>
      </c>
      <c r="AB37" s="307">
        <f t="shared" si="77"/>
        <v>-23</v>
      </c>
      <c r="AC37" s="308">
        <f t="shared" si="77"/>
        <v>-103</v>
      </c>
      <c r="AD37" s="305">
        <f t="shared" si="77"/>
        <v>-19</v>
      </c>
      <c r="AE37" s="306">
        <f t="shared" si="77"/>
        <v>-38</v>
      </c>
      <c r="AF37" s="306">
        <f t="shared" si="77"/>
        <v>-15</v>
      </c>
      <c r="AG37" s="307">
        <f t="shared" si="77"/>
        <v>20</v>
      </c>
      <c r="AH37" s="308">
        <f t="shared" si="77"/>
        <v>-52</v>
      </c>
      <c r="AI37" s="305">
        <f t="shared" si="77"/>
        <v>-49</v>
      </c>
      <c r="AJ37" s="306">
        <f t="shared" si="77"/>
        <v>-46</v>
      </c>
      <c r="AK37" s="306">
        <f t="shared" si="77"/>
        <v>-49</v>
      </c>
      <c r="AL37" s="307">
        <f t="shared" si="77"/>
        <v>-283</v>
      </c>
      <c r="AM37" s="308">
        <f t="shared" si="77"/>
        <v>-427</v>
      </c>
      <c r="AN37" s="305">
        <f t="shared" si="77"/>
        <v>-55</v>
      </c>
      <c r="AO37" s="306">
        <f t="shared" si="77"/>
        <v>-47</v>
      </c>
      <c r="AP37" s="306">
        <f t="shared" ref="AP37:AT37" si="78">AP33+AP34+AP35</f>
        <v>-67</v>
      </c>
      <c r="AQ37" s="307">
        <f t="shared" si="78"/>
        <v>-71</v>
      </c>
      <c r="AR37" s="308">
        <f t="shared" si="78"/>
        <v>-240</v>
      </c>
      <c r="AS37" s="305">
        <f t="shared" si="78"/>
        <v>-53</v>
      </c>
      <c r="AT37" s="306">
        <f t="shared" si="78"/>
        <v>-67</v>
      </c>
      <c r="AU37" s="306">
        <f t="shared" ref="AU37:AW37" si="79">AU33+AU34+AU35</f>
        <v>-68</v>
      </c>
      <c r="AV37" s="307">
        <f t="shared" si="79"/>
        <v>-147</v>
      </c>
      <c r="AW37" s="308">
        <f t="shared" si="79"/>
        <v>-335</v>
      </c>
      <c r="AX37" s="305">
        <f t="shared" ref="AX37:BL37" si="80">AX33+AX34+AX35</f>
        <v>-69.237271157986868</v>
      </c>
      <c r="AY37" s="306">
        <f t="shared" si="80"/>
        <v>-81.118637830656937</v>
      </c>
      <c r="AZ37" s="306">
        <f t="shared" si="80"/>
        <v>-73.551590895637815</v>
      </c>
      <c r="BA37" s="307">
        <f t="shared" si="80"/>
        <v>-76.193270406193108</v>
      </c>
      <c r="BB37" s="308">
        <f t="shared" si="80"/>
        <v>-300.10077029047471</v>
      </c>
      <c r="BC37" s="305">
        <f t="shared" si="80"/>
        <v>-71.970669643843976</v>
      </c>
      <c r="BD37" s="306">
        <f t="shared" si="80"/>
        <v>-82.486340684657833</v>
      </c>
      <c r="BE37" s="306">
        <f t="shared" si="80"/>
        <v>-61.089136329968099</v>
      </c>
      <c r="BF37" s="307">
        <f t="shared" si="80"/>
        <v>-63.879701707292057</v>
      </c>
      <c r="BG37" s="308">
        <f t="shared" si="80"/>
        <v>-279.42584836576202</v>
      </c>
      <c r="BH37" s="305">
        <f t="shared" si="80"/>
        <v>-58.194420649030846</v>
      </c>
      <c r="BI37" s="306">
        <f t="shared" si="80"/>
        <v>-70.543019604762875</v>
      </c>
      <c r="BJ37" s="306">
        <f t="shared" si="80"/>
        <v>-62.311068281435482</v>
      </c>
      <c r="BK37" s="307">
        <f t="shared" si="80"/>
        <v>-65.475796477682792</v>
      </c>
      <c r="BL37" s="308">
        <f t="shared" si="80"/>
        <v>-256.52430501291195</v>
      </c>
      <c r="BM37" s="305">
        <f t="shared" ref="BM37:BQ37" si="81">BM33+BM34+BM35</f>
        <v>-60.071545763709061</v>
      </c>
      <c r="BN37" s="306">
        <f t="shared" si="81"/>
        <v>-72.856284186407308</v>
      </c>
      <c r="BO37" s="306">
        <f t="shared" si="81"/>
        <v>-61.969203282697094</v>
      </c>
      <c r="BP37" s="307">
        <f t="shared" si="81"/>
        <v>-65.078886255366896</v>
      </c>
      <c r="BQ37" s="308">
        <f t="shared" si="81"/>
        <v>-259.97591948818035</v>
      </c>
    </row>
    <row r="38" spans="1:94" s="23" customFormat="1">
      <c r="A38" s="261"/>
      <c r="B38" s="261"/>
      <c r="C38" s="258" t="s">
        <v>432</v>
      </c>
      <c r="E38" s="245"/>
      <c r="F38" s="246"/>
      <c r="G38" s="246"/>
      <c r="H38" s="311"/>
      <c r="I38" s="285">
        <f>FirstEnergy!I43-Distribution!I34-Transmission!I32-Competitive!I35</f>
        <v>352.64</v>
      </c>
      <c r="J38" s="309">
        <f>FirstEnergy!J43-Distribution!J34-Transmission!J32-Competitive!J35</f>
        <v>0.20000000000000284</v>
      </c>
      <c r="K38" s="310">
        <f>FirstEnergy!K43-Distribution!K34-Transmission!K32-Competitive!K35</f>
        <v>0.79999999999999716</v>
      </c>
      <c r="L38" s="310">
        <f>FirstEnergy!L43-Distribution!L34-Transmission!L32-Competitive!L35</f>
        <v>-1.2400000000000091</v>
      </c>
      <c r="M38" s="311">
        <f>FirstEnergy!M43-Distribution!M34-Transmission!M32-Competitive!M35</f>
        <v>-58.920000000000016</v>
      </c>
      <c r="N38" s="285">
        <f>FirstEnergy!N43-Distribution!N34-Transmission!N32-Competitive!N35</f>
        <v>-59.160000000000025</v>
      </c>
      <c r="O38" s="309">
        <f>FirstEnergy!O43-Distribution!O34-Transmission!O32-Competitive!O35</f>
        <v>48</v>
      </c>
      <c r="P38" s="310">
        <f>FirstEnergy!P43-Distribution!P34-Transmission!P32-Competitive!P35</f>
        <v>24</v>
      </c>
      <c r="Q38" s="310">
        <f>FirstEnergy!Q43-Distribution!Q34-Transmission!Q32-Competitive!Q35</f>
        <v>8</v>
      </c>
      <c r="R38" s="311">
        <f>FirstEnergy!R43-Distribution!R34-Transmission!R32-Competitive!R35</f>
        <v>11.580000000000041</v>
      </c>
      <c r="S38" s="285">
        <f>FirstEnergy!S43-Distribution!S34-Transmission!S32-Competitive!S35</f>
        <v>91.580000000000041</v>
      </c>
      <c r="T38" s="309">
        <f>FirstEnergy!T43-Distribution!T34-Transmission!T32-Competitive!T35</f>
        <v>10</v>
      </c>
      <c r="U38" s="310">
        <f>FirstEnergy!U43-Distribution!U34-Transmission!U32-Competitive!U35</f>
        <v>14</v>
      </c>
      <c r="V38" s="310">
        <f>FirstEnergy!V43-Distribution!V34-Transmission!V32-Competitive!V35</f>
        <v>-13</v>
      </c>
      <c r="W38" s="323">
        <f>FirstEnergy!W43-Distribution!W34-Transmission!W32-Competitive!W35</f>
        <v>21</v>
      </c>
      <c r="X38" s="324">
        <f>FirstEnergy!X43-Distribution!X34-Transmission!X32-Competitive!X35</f>
        <v>32</v>
      </c>
      <c r="Y38" s="309">
        <f>FirstEnergy!Y43-Distribution!Y34-Transmission!Y32-Competitive!Y35</f>
        <v>0</v>
      </c>
      <c r="Z38" s="310">
        <f>FirstEnergy!Z43-Distribution!Z34-Transmission!Z32-Competitive!Z35</f>
        <v>17</v>
      </c>
      <c r="AA38" s="310">
        <f>FirstEnergy!AA43-Distribution!AA34-Transmission!AA32-Competitive!AA35</f>
        <v>-16</v>
      </c>
      <c r="AB38" s="323">
        <f>FirstEnergy!AB43-Distribution!AB34-Transmission!AB32-Competitive!AB35</f>
        <v>-5</v>
      </c>
      <c r="AC38" s="324">
        <f>FirstEnergy!AC43-Distribution!AC34-Transmission!AC32-Competitive!AC35</f>
        <v>-4</v>
      </c>
      <c r="AD38" s="309">
        <f>FirstEnergy!AD43-Distribution!AD34-Transmission!AD32-Competitive!AD35</f>
        <v>0</v>
      </c>
      <c r="AE38" s="310">
        <f>FirstEnergy!AE43-Distribution!AE34-Transmission!AE32-Competitive!AE35</f>
        <v>2</v>
      </c>
      <c r="AF38" s="310">
        <f>FirstEnergy!AF43-Distribution!AF34-Transmission!AF32-Competitive!AF35</f>
        <v>-7</v>
      </c>
      <c r="AG38" s="323">
        <f>FirstEnergy!AG43-Distribution!AG34-Transmission!AG32-Competitive!AG35</f>
        <v>-2</v>
      </c>
      <c r="AH38" s="324">
        <f>FirstEnergy!AH43-Distribution!AH34-Transmission!AH32-Competitive!AH35</f>
        <v>-7</v>
      </c>
      <c r="AI38" s="309">
        <f>FirstEnergy!AI43-Distribution!AI34-Transmission!AI32-Competitive!AI35</f>
        <v>0</v>
      </c>
      <c r="AJ38" s="310">
        <f>FirstEnergy!AJ43-Distribution!AJ34-Transmission!AJ32-Competitive!AJ35</f>
        <v>0</v>
      </c>
      <c r="AK38" s="310">
        <f>FirstEnergy!AK43-Distribution!AK34-Transmission!AK32-Competitive!AK35</f>
        <v>0</v>
      </c>
      <c r="AL38" s="323">
        <f>FirstEnergy!AL43-Distribution!AL34-Transmission!AL32-Competitive!AL35</f>
        <v>244</v>
      </c>
      <c r="AM38" s="324">
        <f>FirstEnergy!AM43-Distribution!AM34-Transmission!AM32-Competitive!AM35</f>
        <v>244</v>
      </c>
      <c r="AN38" s="309">
        <f>FirstEnergy!AN43-Distribution!AN34-Transmission!AN32-Competitive!AN35</f>
        <v>0</v>
      </c>
      <c r="AO38" s="310">
        <f>FirstEnergy!AO43-Distribution!AO34-Transmission!AO32-Competitive!AO35</f>
        <v>0</v>
      </c>
      <c r="AP38" s="310">
        <f>FirstEnergy!AP43-Distribution!AP34-Transmission!AP32-Competitive!AP35</f>
        <v>0</v>
      </c>
      <c r="AQ38" s="323">
        <f>FirstEnergy!AQ43-Distribution!AQ34-Transmission!AQ32-Competitive!AQ35</f>
        <v>1</v>
      </c>
      <c r="AR38" s="324">
        <f>FirstEnergy!AR43-Distribution!AR34-Transmission!AR32-Competitive!AR35</f>
        <v>1</v>
      </c>
      <c r="AS38" s="309">
        <f>FirstEnergy!AS43-Distribution!AS34-Transmission!AS32-Competitive!AS35</f>
        <v>0</v>
      </c>
      <c r="AT38" s="310">
        <f>FirstEnergy!AT43-Distribution!AT34-Transmission!AT32-Competitive!AT35</f>
        <v>1</v>
      </c>
      <c r="AU38" s="310">
        <f>FirstEnergy!AU43-Distribution!AU34-Transmission!AU32-Competitive!AU35</f>
        <v>4</v>
      </c>
      <c r="AV38" s="323">
        <f>FirstEnergy!AV43-Distribution!AV34-Transmission!AV32-Competitive!AV35</f>
        <v>94</v>
      </c>
      <c r="AW38" s="324">
        <f>FirstEnergy!AW43-Distribution!AW34-Transmission!AW32-Competitive!AW35</f>
        <v>99</v>
      </c>
      <c r="AX38" s="504">
        <v>0</v>
      </c>
      <c r="AY38" s="505">
        <v>0</v>
      </c>
      <c r="AZ38" s="505">
        <v>0</v>
      </c>
      <c r="BA38" s="506">
        <v>0</v>
      </c>
      <c r="BB38" s="285">
        <f>SUM(AX38:BA38)</f>
        <v>0</v>
      </c>
      <c r="BC38" s="504">
        <v>0</v>
      </c>
      <c r="BD38" s="505">
        <v>0</v>
      </c>
      <c r="BE38" s="505">
        <v>0</v>
      </c>
      <c r="BF38" s="506">
        <v>0</v>
      </c>
      <c r="BG38" s="285">
        <f>SUM(BC38:BF38)</f>
        <v>0</v>
      </c>
      <c r="BH38" s="504">
        <v>0</v>
      </c>
      <c r="BI38" s="505">
        <v>0</v>
      </c>
      <c r="BJ38" s="505">
        <v>0</v>
      </c>
      <c r="BK38" s="506">
        <v>0</v>
      </c>
      <c r="BL38" s="285">
        <f>SUM(BH38:BK38)</f>
        <v>0</v>
      </c>
      <c r="BM38" s="504">
        <v>0</v>
      </c>
      <c r="BN38" s="505">
        <v>0</v>
      </c>
      <c r="BO38" s="505">
        <v>0</v>
      </c>
      <c r="BP38" s="506">
        <v>0</v>
      </c>
      <c r="BQ38" s="285">
        <f>SUM(BM38:BP38)</f>
        <v>0</v>
      </c>
    </row>
    <row r="39" spans="1:94" s="23" customFormat="1">
      <c r="A39" s="261"/>
      <c r="B39" s="261"/>
      <c r="C39" s="242" t="s">
        <v>203</v>
      </c>
      <c r="E39" s="240"/>
      <c r="F39" s="241"/>
      <c r="G39" s="241"/>
      <c r="H39" s="307"/>
      <c r="I39" s="308">
        <f t="shared" ref="I39:AO39" si="82">SUM(I37:I38)</f>
        <v>404.64</v>
      </c>
      <c r="J39" s="305">
        <f t="shared" si="82"/>
        <v>-28.799999999999997</v>
      </c>
      <c r="K39" s="306">
        <f t="shared" si="82"/>
        <v>1.7999999999999972</v>
      </c>
      <c r="L39" s="306">
        <f t="shared" si="82"/>
        <v>-20.240000000000009</v>
      </c>
      <c r="M39" s="307">
        <f t="shared" si="82"/>
        <v>-85.920000000000016</v>
      </c>
      <c r="N39" s="308">
        <f t="shared" si="82"/>
        <v>-133.16000000000003</v>
      </c>
      <c r="O39" s="305">
        <f t="shared" si="82"/>
        <v>-34</v>
      </c>
      <c r="P39" s="306">
        <f t="shared" si="82"/>
        <v>-22</v>
      </c>
      <c r="Q39" s="306">
        <f t="shared" si="82"/>
        <v>-38</v>
      </c>
      <c r="R39" s="307">
        <f t="shared" si="82"/>
        <v>11.580000000000041</v>
      </c>
      <c r="S39" s="308">
        <f t="shared" si="82"/>
        <v>-82.419999999999959</v>
      </c>
      <c r="T39" s="305">
        <f t="shared" si="82"/>
        <v>-42</v>
      </c>
      <c r="U39" s="306">
        <f t="shared" si="82"/>
        <v>-37</v>
      </c>
      <c r="V39" s="306">
        <f t="shared" si="82"/>
        <v>-62</v>
      </c>
      <c r="W39" s="307">
        <f t="shared" si="82"/>
        <v>-38</v>
      </c>
      <c r="X39" s="308">
        <f t="shared" si="82"/>
        <v>-179</v>
      </c>
      <c r="Y39" s="305">
        <f t="shared" si="82"/>
        <v>-27</v>
      </c>
      <c r="Z39" s="306">
        <f t="shared" si="82"/>
        <v>-38</v>
      </c>
      <c r="AA39" s="306">
        <f t="shared" si="82"/>
        <v>-14</v>
      </c>
      <c r="AB39" s="307">
        <f t="shared" si="82"/>
        <v>-28</v>
      </c>
      <c r="AC39" s="308">
        <f t="shared" si="82"/>
        <v>-107</v>
      </c>
      <c r="AD39" s="305">
        <f t="shared" si="82"/>
        <v>-19</v>
      </c>
      <c r="AE39" s="306">
        <f t="shared" si="82"/>
        <v>-36</v>
      </c>
      <c r="AF39" s="306">
        <f t="shared" si="82"/>
        <v>-22</v>
      </c>
      <c r="AG39" s="307">
        <f t="shared" si="82"/>
        <v>18</v>
      </c>
      <c r="AH39" s="308">
        <f t="shared" si="82"/>
        <v>-59</v>
      </c>
      <c r="AI39" s="305">
        <f t="shared" si="82"/>
        <v>-49</v>
      </c>
      <c r="AJ39" s="306">
        <f t="shared" si="82"/>
        <v>-46</v>
      </c>
      <c r="AK39" s="306">
        <f t="shared" si="82"/>
        <v>-49</v>
      </c>
      <c r="AL39" s="307">
        <f t="shared" si="82"/>
        <v>-39</v>
      </c>
      <c r="AM39" s="308">
        <f t="shared" si="82"/>
        <v>-183</v>
      </c>
      <c r="AN39" s="305">
        <f t="shared" si="82"/>
        <v>-55</v>
      </c>
      <c r="AO39" s="306">
        <f t="shared" si="82"/>
        <v>-47</v>
      </c>
      <c r="AP39" s="306">
        <f t="shared" ref="AP39:AT39" si="83">SUM(AP37:AP38)</f>
        <v>-67</v>
      </c>
      <c r="AQ39" s="307">
        <f t="shared" si="83"/>
        <v>-70</v>
      </c>
      <c r="AR39" s="308">
        <f t="shared" si="83"/>
        <v>-239</v>
      </c>
      <c r="AS39" s="305">
        <f t="shared" si="83"/>
        <v>-53</v>
      </c>
      <c r="AT39" s="306">
        <f t="shared" si="83"/>
        <v>-66</v>
      </c>
      <c r="AU39" s="306">
        <f t="shared" ref="AU39:AW39" si="84">SUM(AU37:AU38)</f>
        <v>-64</v>
      </c>
      <c r="AV39" s="307">
        <f t="shared" si="84"/>
        <v>-53</v>
      </c>
      <c r="AW39" s="308">
        <f t="shared" si="84"/>
        <v>-236</v>
      </c>
      <c r="AX39" s="305">
        <f t="shared" ref="AX39:BB39" si="85">SUM(AX37:AX38)</f>
        <v>-69.237271157986868</v>
      </c>
      <c r="AY39" s="306">
        <f t="shared" si="85"/>
        <v>-81.118637830656937</v>
      </c>
      <c r="AZ39" s="306">
        <f t="shared" si="85"/>
        <v>-73.551590895637815</v>
      </c>
      <c r="BA39" s="307">
        <f t="shared" si="85"/>
        <v>-76.193270406193108</v>
      </c>
      <c r="BB39" s="308">
        <f t="shared" si="85"/>
        <v>-300.10077029047471</v>
      </c>
      <c r="BC39" s="305">
        <f t="shared" ref="BC39:BL39" si="86">SUM(BC37:BC38)</f>
        <v>-71.970669643843976</v>
      </c>
      <c r="BD39" s="306">
        <f t="shared" si="86"/>
        <v>-82.486340684657833</v>
      </c>
      <c r="BE39" s="306">
        <f t="shared" si="86"/>
        <v>-61.089136329968099</v>
      </c>
      <c r="BF39" s="307">
        <f t="shared" si="86"/>
        <v>-63.879701707292057</v>
      </c>
      <c r="BG39" s="308">
        <f t="shared" si="86"/>
        <v>-279.42584836576202</v>
      </c>
      <c r="BH39" s="305">
        <f t="shared" si="86"/>
        <v>-58.194420649030846</v>
      </c>
      <c r="BI39" s="306">
        <f t="shared" si="86"/>
        <v>-70.543019604762875</v>
      </c>
      <c r="BJ39" s="306">
        <f t="shared" si="86"/>
        <v>-62.311068281435482</v>
      </c>
      <c r="BK39" s="307">
        <f t="shared" si="86"/>
        <v>-65.475796477682792</v>
      </c>
      <c r="BL39" s="308">
        <f t="shared" si="86"/>
        <v>-256.52430501291195</v>
      </c>
      <c r="BM39" s="305">
        <f t="shared" ref="BM39:BQ39" si="87">SUM(BM37:BM38)</f>
        <v>-60.071545763709061</v>
      </c>
      <c r="BN39" s="306">
        <f t="shared" si="87"/>
        <v>-72.856284186407308</v>
      </c>
      <c r="BO39" s="306">
        <f t="shared" si="87"/>
        <v>-61.969203282697094</v>
      </c>
      <c r="BP39" s="307">
        <f t="shared" si="87"/>
        <v>-65.078886255366896</v>
      </c>
      <c r="BQ39" s="308">
        <f t="shared" si="87"/>
        <v>-259.97591948818035</v>
      </c>
    </row>
    <row r="40" spans="1:94" s="23" customFormat="1">
      <c r="A40" s="261"/>
      <c r="B40" s="261"/>
      <c r="C40" s="854"/>
      <c r="D40" s="860"/>
      <c r="E40" s="861"/>
      <c r="F40" s="862"/>
      <c r="G40" s="862"/>
      <c r="H40" s="506"/>
      <c r="I40" s="782"/>
      <c r="J40" s="504"/>
      <c r="K40" s="505"/>
      <c r="L40" s="505"/>
      <c r="M40" s="506"/>
      <c r="N40" s="782"/>
      <c r="O40" s="504"/>
      <c r="P40" s="505"/>
      <c r="Q40" s="505"/>
      <c r="R40" s="506"/>
      <c r="S40" s="782"/>
      <c r="T40" s="504"/>
      <c r="U40" s="505"/>
      <c r="V40" s="505"/>
      <c r="W40" s="323"/>
      <c r="X40" s="324"/>
      <c r="Y40" s="504"/>
      <c r="Z40" s="505"/>
      <c r="AA40" s="505"/>
      <c r="AB40" s="323"/>
      <c r="AC40" s="324"/>
      <c r="AD40" s="504"/>
      <c r="AE40" s="505"/>
      <c r="AF40" s="505"/>
      <c r="AG40" s="323"/>
      <c r="AH40" s="324"/>
      <c r="AI40" s="504"/>
      <c r="AJ40" s="505"/>
      <c r="AK40" s="505"/>
      <c r="AL40" s="323"/>
      <c r="AM40" s="324"/>
      <c r="AN40" s="504"/>
      <c r="AO40" s="505"/>
      <c r="AP40" s="505"/>
      <c r="AQ40" s="323"/>
      <c r="AR40" s="324"/>
      <c r="AS40" s="504"/>
      <c r="AT40" s="505"/>
      <c r="AU40" s="505"/>
      <c r="AV40" s="323"/>
      <c r="AW40" s="324"/>
      <c r="AX40" s="504"/>
      <c r="AY40" s="505"/>
      <c r="AZ40" s="505"/>
      <c r="BA40" s="506"/>
      <c r="BB40" s="782"/>
      <c r="BC40" s="504"/>
      <c r="BD40" s="505"/>
      <c r="BE40" s="505"/>
      <c r="BF40" s="506"/>
      <c r="BG40" s="782"/>
      <c r="BH40" s="504"/>
      <c r="BI40" s="505"/>
      <c r="BJ40" s="505"/>
      <c r="BK40" s="506"/>
      <c r="BL40" s="782"/>
      <c r="BM40" s="504"/>
      <c r="BN40" s="505"/>
      <c r="BO40" s="505"/>
      <c r="BP40" s="506"/>
      <c r="BQ40" s="782"/>
    </row>
    <row r="41" spans="1:94" s="23" customFormat="1">
      <c r="A41" s="261"/>
      <c r="B41" s="261"/>
      <c r="C41" s="256" t="s">
        <v>252</v>
      </c>
      <c r="E41" s="245"/>
      <c r="F41" s="246"/>
      <c r="G41" s="246"/>
      <c r="H41" s="311"/>
      <c r="I41" s="285">
        <f>FirstEnergy!I47</f>
        <v>304</v>
      </c>
      <c r="J41" s="309">
        <f>FirstEnergy!J47</f>
        <v>304</v>
      </c>
      <c r="K41" s="310">
        <f>FirstEnergy!K47</f>
        <v>304</v>
      </c>
      <c r="L41" s="310">
        <f>FirstEnergy!L47</f>
        <v>304</v>
      </c>
      <c r="M41" s="311">
        <f>FirstEnergy!M47</f>
        <v>304</v>
      </c>
      <c r="N41" s="285">
        <f>FirstEnergy!N47</f>
        <v>304</v>
      </c>
      <c r="O41" s="309">
        <f>FirstEnergy!O47</f>
        <v>342</v>
      </c>
      <c r="P41" s="310">
        <f>FirstEnergy!P47</f>
        <v>418</v>
      </c>
      <c r="Q41" s="310">
        <f>FirstEnergy!Q47</f>
        <v>418</v>
      </c>
      <c r="R41" s="311">
        <f>FirstEnergy!R47</f>
        <v>418</v>
      </c>
      <c r="S41" s="285">
        <f>FirstEnergy!S47</f>
        <v>399</v>
      </c>
      <c r="T41" s="309">
        <f>FirstEnergy!T47</f>
        <v>418</v>
      </c>
      <c r="U41" s="310">
        <f>FirstEnergy!U47</f>
        <v>417</v>
      </c>
      <c r="V41" s="310">
        <f>FirstEnergy!V47</f>
        <v>417</v>
      </c>
      <c r="W41" s="323">
        <f>FirstEnergy!W47</f>
        <v>418</v>
      </c>
      <c r="X41" s="324">
        <f>FirstEnergy!X47</f>
        <v>418</v>
      </c>
      <c r="Y41" s="309">
        <f>FirstEnergy!Y47</f>
        <v>418</v>
      </c>
      <c r="Z41" s="310">
        <f>FirstEnergy!Z47</f>
        <v>418</v>
      </c>
      <c r="AA41" s="310">
        <f>FirstEnergy!AA47</f>
        <v>418</v>
      </c>
      <c r="AB41" s="323">
        <f>FirstEnergy!AB47</f>
        <v>418</v>
      </c>
      <c r="AC41" s="324">
        <f>FirstEnergy!AC47</f>
        <v>418</v>
      </c>
      <c r="AD41" s="309">
        <f>FirstEnergy!AD47</f>
        <v>419</v>
      </c>
      <c r="AE41" s="310">
        <f>FirstEnergy!AE47</f>
        <v>420</v>
      </c>
      <c r="AF41" s="310">
        <f>FirstEnergy!AF47</f>
        <v>420</v>
      </c>
      <c r="AG41" s="323">
        <f>FirstEnergy!AG47</f>
        <v>421</v>
      </c>
      <c r="AH41" s="324">
        <f>FirstEnergy!AH47</f>
        <v>420</v>
      </c>
      <c r="AI41" s="309">
        <f>FirstEnergy!AI47</f>
        <v>421</v>
      </c>
      <c r="AJ41" s="310">
        <f>FirstEnergy!AJ47</f>
        <v>422</v>
      </c>
      <c r="AK41" s="310">
        <f>FirstEnergy!AK47</f>
        <v>423</v>
      </c>
      <c r="AL41" s="323">
        <f>FirstEnergy!AL47</f>
        <v>423</v>
      </c>
      <c r="AM41" s="324">
        <f>FirstEnergy!AM47</f>
        <v>422</v>
      </c>
      <c r="AN41" s="309">
        <f>FirstEnergy!AN47</f>
        <v>424</v>
      </c>
      <c r="AO41" s="310">
        <f>FirstEnergy!AO47</f>
        <v>425</v>
      </c>
      <c r="AP41" s="310">
        <f>FirstEnergy!AP47</f>
        <v>425</v>
      </c>
      <c r="AQ41" s="323">
        <f>FirstEnergy!AQ47</f>
        <v>431</v>
      </c>
      <c r="AR41" s="324">
        <f>FirstEnergy!AR47</f>
        <v>426</v>
      </c>
      <c r="AS41" s="309">
        <f>FirstEnergy!AS47</f>
        <v>443</v>
      </c>
      <c r="AT41" s="310">
        <f>FirstEnergy!AT47</f>
        <v>444</v>
      </c>
      <c r="AU41" s="310">
        <f>FirstEnergy!AU47</f>
        <v>444</v>
      </c>
      <c r="AV41" s="323">
        <f>FirstEnergy!AV47</f>
        <v>445</v>
      </c>
      <c r="AW41" s="324">
        <f>FirstEnergy!AW47</f>
        <v>444</v>
      </c>
      <c r="AX41" s="309">
        <f>FirstEnergy!AX47</f>
        <v>460.39435196385546</v>
      </c>
      <c r="AY41" s="310">
        <f>FirstEnergy!AY47</f>
        <v>475.45459292771085</v>
      </c>
      <c r="AZ41" s="310">
        <f>FirstEnergy!AZ47</f>
        <v>476.90386829002966</v>
      </c>
      <c r="BA41" s="311">
        <f>FirstEnergy!BA47</f>
        <v>478.35314365234854</v>
      </c>
      <c r="BB41" s="285">
        <f>FirstEnergy!BB47</f>
        <v>472.77648920848617</v>
      </c>
      <c r="BC41" s="309">
        <f>FirstEnergy!BC47</f>
        <v>478.35314365234854</v>
      </c>
      <c r="BD41" s="310">
        <f>FirstEnergy!BD47</f>
        <v>478.35314365234854</v>
      </c>
      <c r="BE41" s="310">
        <f>FirstEnergy!BE47</f>
        <v>507.89362505278615</v>
      </c>
      <c r="BF41" s="311">
        <f>FirstEnergy!BF47</f>
        <v>538.88338181554263</v>
      </c>
      <c r="BG41" s="285">
        <f>FirstEnergy!BG47</f>
        <v>500.87082354325645</v>
      </c>
      <c r="BH41" s="309">
        <f>FirstEnergy!BH47</f>
        <v>540.69497601844114</v>
      </c>
      <c r="BI41" s="310">
        <f>FirstEnergy!BI47</f>
        <v>541.4196136996004</v>
      </c>
      <c r="BJ41" s="310">
        <f>FirstEnergy!BJ47</f>
        <v>542.1442513807599</v>
      </c>
      <c r="BK41" s="311">
        <f>FirstEnergy!BK47</f>
        <v>542.86888906191916</v>
      </c>
      <c r="BL41" s="285">
        <f>FirstEnergy!BL47</f>
        <v>541.78193254018015</v>
      </c>
      <c r="BM41" s="309">
        <f>FirstEnergy!BM47</f>
        <v>543.54370790249891</v>
      </c>
      <c r="BN41" s="310">
        <f>FirstEnergy!BN47</f>
        <v>544.16870790249891</v>
      </c>
      <c r="BO41" s="310">
        <f>FirstEnergy!BO47</f>
        <v>544.79370790249891</v>
      </c>
      <c r="BP41" s="311">
        <f>FirstEnergy!BP47</f>
        <v>545.41870790249891</v>
      </c>
      <c r="BQ41" s="285">
        <f>FirstEnergy!BQ47</f>
        <v>544.48120790249891</v>
      </c>
    </row>
    <row r="42" spans="1:94" s="23" customFormat="1">
      <c r="A42" s="261"/>
      <c r="B42" s="261"/>
      <c r="C42" s="256" t="s">
        <v>253</v>
      </c>
      <c r="E42" s="245"/>
      <c r="F42" s="246"/>
      <c r="G42" s="246"/>
      <c r="H42" s="311"/>
      <c r="I42" s="285">
        <f>FirstEnergy!I48</f>
        <v>306</v>
      </c>
      <c r="J42" s="309">
        <f>FirstEnergy!J48</f>
        <v>306</v>
      </c>
      <c r="K42" s="310">
        <f>FirstEnergy!K48</f>
        <v>305</v>
      </c>
      <c r="L42" s="310">
        <f>FirstEnergy!L48</f>
        <v>305</v>
      </c>
      <c r="M42" s="311">
        <f>FirstEnergy!M48</f>
        <v>306</v>
      </c>
      <c r="N42" s="285">
        <f>FirstEnergy!N48</f>
        <v>305</v>
      </c>
      <c r="O42" s="309">
        <f>FirstEnergy!O48</f>
        <v>343</v>
      </c>
      <c r="P42" s="310">
        <f>FirstEnergy!P48</f>
        <v>420</v>
      </c>
      <c r="Q42" s="310">
        <f>FirstEnergy!Q48</f>
        <v>420</v>
      </c>
      <c r="R42" s="311">
        <f>FirstEnergy!R48</f>
        <v>420</v>
      </c>
      <c r="S42" s="285">
        <f>FirstEnergy!S48</f>
        <v>401</v>
      </c>
      <c r="T42" s="309">
        <f>FirstEnergy!T48</f>
        <v>420</v>
      </c>
      <c r="U42" s="310">
        <f>FirstEnergy!U48</f>
        <v>419</v>
      </c>
      <c r="V42" s="310">
        <f>FirstEnergy!V48</f>
        <v>419</v>
      </c>
      <c r="W42" s="323">
        <f>FirstEnergy!W48</f>
        <v>419</v>
      </c>
      <c r="X42" s="324">
        <f>FirstEnergy!X48</f>
        <v>419</v>
      </c>
      <c r="Y42" s="309">
        <f>FirstEnergy!Y48</f>
        <v>419</v>
      </c>
      <c r="Z42" s="310">
        <f>FirstEnergy!Z48</f>
        <v>418</v>
      </c>
      <c r="AA42" s="310">
        <f>FirstEnergy!AA48</f>
        <v>419</v>
      </c>
      <c r="AB42" s="323">
        <f>FirstEnergy!AB48</f>
        <v>419</v>
      </c>
      <c r="AC42" s="324">
        <f>FirstEnergy!AC48</f>
        <v>419</v>
      </c>
      <c r="AD42" s="309">
        <f>FirstEnergy!AD48</f>
        <v>420</v>
      </c>
      <c r="AE42" s="310">
        <f>FirstEnergy!AE48</f>
        <v>421</v>
      </c>
      <c r="AF42" s="310">
        <f>FirstEnergy!AF48</f>
        <v>421</v>
      </c>
      <c r="AG42" s="323">
        <f>FirstEnergy!AG48</f>
        <v>421</v>
      </c>
      <c r="AH42" s="324">
        <f>FirstEnergy!AH48</f>
        <v>421</v>
      </c>
      <c r="AI42" s="309">
        <f>FirstEnergy!AI48</f>
        <v>423</v>
      </c>
      <c r="AJ42" s="310">
        <f>FirstEnergy!AJ48</f>
        <v>423</v>
      </c>
      <c r="AK42" s="310">
        <f>FirstEnergy!AK48</f>
        <v>424</v>
      </c>
      <c r="AL42" s="323">
        <f>FirstEnergy!AL48</f>
        <v>423</v>
      </c>
      <c r="AM42" s="324">
        <f>FirstEnergy!AM48</f>
        <v>424</v>
      </c>
      <c r="AN42" s="309">
        <f>FirstEnergy!AN48</f>
        <v>426</v>
      </c>
      <c r="AO42" s="310">
        <f>FirstEnergy!AO48</f>
        <v>425</v>
      </c>
      <c r="AP42" s="310">
        <f>FirstEnergy!AP48</f>
        <v>427</v>
      </c>
      <c r="AQ42" s="323">
        <f>FirstEnergy!AQ48</f>
        <v>431</v>
      </c>
      <c r="AR42" s="324">
        <f>FirstEnergy!AR48</f>
        <v>426</v>
      </c>
      <c r="AS42" s="309">
        <f>FirstEnergy!AS48</f>
        <v>444</v>
      </c>
      <c r="AT42" s="310">
        <f>FirstEnergy!AT48</f>
        <v>445</v>
      </c>
      <c r="AU42" s="310">
        <f>FirstEnergy!AU48</f>
        <v>446</v>
      </c>
      <c r="AV42" s="323">
        <f>FirstEnergy!AV48</f>
        <v>445</v>
      </c>
      <c r="AW42" s="324">
        <f>FirstEnergy!AW48</f>
        <v>444</v>
      </c>
      <c r="AX42" s="309">
        <f>FirstEnergy!AX48</f>
        <v>460.39435196385546</v>
      </c>
      <c r="AY42" s="310">
        <f>FirstEnergy!AY48</f>
        <v>475.45459292771085</v>
      </c>
      <c r="AZ42" s="310">
        <f>FirstEnergy!AZ48</f>
        <v>476.90386829002966</v>
      </c>
      <c r="BA42" s="311">
        <f>FirstEnergy!BA48</f>
        <v>478.35314365234854</v>
      </c>
      <c r="BB42" s="285">
        <f>FirstEnergy!BB48</f>
        <v>472.77648920848617</v>
      </c>
      <c r="BC42" s="309">
        <f>FirstEnergy!BC48</f>
        <v>478.35314365234854</v>
      </c>
      <c r="BD42" s="310">
        <f>FirstEnergy!BD48</f>
        <v>478.35314365234854</v>
      </c>
      <c r="BE42" s="310">
        <f>FirstEnergy!BE48</f>
        <v>507.89362505278615</v>
      </c>
      <c r="BF42" s="311">
        <f>FirstEnergy!BF48</f>
        <v>538.88338181554263</v>
      </c>
      <c r="BG42" s="285">
        <f>FirstEnergy!BG48</f>
        <v>500.87082354325645</v>
      </c>
      <c r="BH42" s="309">
        <f>FirstEnergy!BH48</f>
        <v>540.69497601844114</v>
      </c>
      <c r="BI42" s="310">
        <f>FirstEnergy!BI48</f>
        <v>541.4196136996004</v>
      </c>
      <c r="BJ42" s="310">
        <f>FirstEnergy!BJ48</f>
        <v>542.1442513807599</v>
      </c>
      <c r="BK42" s="311">
        <f>FirstEnergy!BK48</f>
        <v>542.86888906191916</v>
      </c>
      <c r="BL42" s="285">
        <f>FirstEnergy!BL48</f>
        <v>541.78193254018015</v>
      </c>
      <c r="BM42" s="309">
        <f>FirstEnergy!BM48</f>
        <v>543.54370790249891</v>
      </c>
      <c r="BN42" s="310">
        <f>FirstEnergy!BN48</f>
        <v>544.16870790249891</v>
      </c>
      <c r="BO42" s="310">
        <f>FirstEnergy!BO48</f>
        <v>544.79370790249891</v>
      </c>
      <c r="BP42" s="311">
        <f>FirstEnergy!BP48</f>
        <v>545.41870790249891</v>
      </c>
      <c r="BQ42" s="285">
        <f>FirstEnergy!BQ48</f>
        <v>544.48120790249891</v>
      </c>
    </row>
    <row r="43" spans="1:94">
      <c r="B43" s="92"/>
      <c r="C43" s="88"/>
      <c r="E43" s="235"/>
      <c r="F43" s="236"/>
      <c r="G43" s="236"/>
      <c r="H43" s="238"/>
      <c r="I43" s="237"/>
      <c r="J43" s="235"/>
      <c r="K43" s="236"/>
      <c r="L43" s="236"/>
      <c r="M43" s="238"/>
      <c r="N43" s="237"/>
      <c r="O43" s="235"/>
      <c r="P43" s="236"/>
      <c r="Q43" s="236"/>
      <c r="R43" s="238"/>
      <c r="S43" s="237"/>
      <c r="T43" s="235"/>
      <c r="U43" s="236"/>
      <c r="V43" s="236"/>
      <c r="W43" s="681"/>
      <c r="X43" s="798"/>
      <c r="Y43" s="235"/>
      <c r="Z43" s="236"/>
      <c r="AA43" s="236"/>
      <c r="AB43" s="681"/>
      <c r="AC43" s="798"/>
      <c r="AD43" s="235"/>
      <c r="AE43" s="236"/>
      <c r="AF43" s="236"/>
      <c r="AG43" s="681"/>
      <c r="AH43" s="798"/>
      <c r="AI43" s="235"/>
      <c r="AJ43" s="236"/>
      <c r="AK43" s="236"/>
      <c r="AL43" s="681"/>
      <c r="AM43" s="798"/>
      <c r="AN43" s="235"/>
      <c r="AO43" s="236"/>
      <c r="AP43" s="236"/>
      <c r="AQ43" s="681"/>
      <c r="AR43" s="798"/>
      <c r="AS43" s="235"/>
      <c r="AT43" s="236"/>
      <c r="AU43" s="236"/>
      <c r="AV43" s="681"/>
      <c r="AW43" s="798"/>
      <c r="AX43" s="235"/>
      <c r="AY43" s="236"/>
      <c r="AZ43" s="236"/>
      <c r="BA43" s="238"/>
      <c r="BB43" s="237"/>
      <c r="BC43" s="235"/>
      <c r="BD43" s="236"/>
      <c r="BE43" s="236"/>
      <c r="BF43" s="238"/>
      <c r="BG43" s="237"/>
      <c r="BH43" s="235"/>
      <c r="BI43" s="236"/>
      <c r="BJ43" s="236"/>
      <c r="BK43" s="238"/>
      <c r="BL43" s="237"/>
      <c r="BM43" s="235"/>
      <c r="BN43" s="236"/>
      <c r="BO43" s="236"/>
      <c r="BP43" s="238"/>
      <c r="BQ43" s="237"/>
    </row>
    <row r="44" spans="1:94" s="29" customFormat="1">
      <c r="A44" s="181"/>
      <c r="B44" s="181"/>
      <c r="C44" s="119" t="s">
        <v>291</v>
      </c>
      <c r="E44" s="116"/>
      <c r="F44" s="117"/>
      <c r="G44" s="117"/>
      <c r="H44" s="118"/>
      <c r="I44" s="119">
        <f t="shared" ref="I44:AO44" si="88">I37/I42</f>
        <v>0.16993464052287582</v>
      </c>
      <c r="J44" s="116">
        <f t="shared" si="88"/>
        <v>-9.4771241830065356E-2</v>
      </c>
      <c r="K44" s="117">
        <f t="shared" si="88"/>
        <v>3.2786885245901639E-3</v>
      </c>
      <c r="L44" s="117">
        <f t="shared" si="88"/>
        <v>-6.2295081967213117E-2</v>
      </c>
      <c r="M44" s="118">
        <f t="shared" si="88"/>
        <v>-8.8235294117647065E-2</v>
      </c>
      <c r="N44" s="119">
        <f t="shared" si="88"/>
        <v>-0.24262295081967214</v>
      </c>
      <c r="O44" s="116">
        <f t="shared" si="88"/>
        <v>-0.239067055393586</v>
      </c>
      <c r="P44" s="117">
        <f t="shared" si="88"/>
        <v>-0.10952380952380952</v>
      </c>
      <c r="Q44" s="117">
        <f t="shared" si="88"/>
        <v>-0.10952380952380952</v>
      </c>
      <c r="R44" s="118">
        <f t="shared" si="88"/>
        <v>0</v>
      </c>
      <c r="S44" s="119">
        <f t="shared" si="88"/>
        <v>-0.43391521197007482</v>
      </c>
      <c r="T44" s="116">
        <f t="shared" si="88"/>
        <v>-0.12380952380952381</v>
      </c>
      <c r="U44" s="117">
        <f t="shared" si="88"/>
        <v>-0.12171837708830549</v>
      </c>
      <c r="V44" s="117">
        <f t="shared" si="88"/>
        <v>-0.11694510739856802</v>
      </c>
      <c r="W44" s="1351">
        <f t="shared" si="88"/>
        <v>-0.14081145584725538</v>
      </c>
      <c r="X44" s="1352">
        <f t="shared" si="88"/>
        <v>-0.50357995226730312</v>
      </c>
      <c r="Y44" s="116">
        <f t="shared" si="88"/>
        <v>-6.4439140811455853E-2</v>
      </c>
      <c r="Z44" s="117">
        <f t="shared" si="88"/>
        <v>-0.13157894736842105</v>
      </c>
      <c r="AA44" s="117">
        <f t="shared" si="88"/>
        <v>4.7732696897374704E-3</v>
      </c>
      <c r="AB44" s="1351">
        <f t="shared" si="88"/>
        <v>-5.4892601431980909E-2</v>
      </c>
      <c r="AC44" s="1352">
        <f t="shared" si="88"/>
        <v>-0.24582338902147971</v>
      </c>
      <c r="AD44" s="116">
        <f t="shared" si="88"/>
        <v>-4.5238095238095237E-2</v>
      </c>
      <c r="AE44" s="117">
        <f t="shared" si="88"/>
        <v>-9.0261282660332537E-2</v>
      </c>
      <c r="AF44" s="117">
        <f t="shared" si="88"/>
        <v>-3.5629453681710214E-2</v>
      </c>
      <c r="AG44" s="1351">
        <f t="shared" si="88"/>
        <v>4.7505938242280284E-2</v>
      </c>
      <c r="AH44" s="1352">
        <f t="shared" si="88"/>
        <v>-0.12351543942992874</v>
      </c>
      <c r="AI44" s="116">
        <f t="shared" si="88"/>
        <v>-0.11583924349881797</v>
      </c>
      <c r="AJ44" s="117">
        <f t="shared" si="88"/>
        <v>-0.10874704491725769</v>
      </c>
      <c r="AK44" s="117">
        <f t="shared" si="88"/>
        <v>-0.11556603773584906</v>
      </c>
      <c r="AL44" s="1351">
        <f t="shared" si="88"/>
        <v>-0.66903073286052006</v>
      </c>
      <c r="AM44" s="1352">
        <f t="shared" si="88"/>
        <v>-1.0070754716981132</v>
      </c>
      <c r="AN44" s="116">
        <f t="shared" si="88"/>
        <v>-0.12910798122065728</v>
      </c>
      <c r="AO44" s="117">
        <f t="shared" si="88"/>
        <v>-0.11058823529411765</v>
      </c>
      <c r="AP44" s="117">
        <f t="shared" ref="AP44:AT44" si="89">AP37/AP42</f>
        <v>-0.15690866510538642</v>
      </c>
      <c r="AQ44" s="1351">
        <f t="shared" si="89"/>
        <v>-0.16473317865429235</v>
      </c>
      <c r="AR44" s="1352">
        <f t="shared" si="89"/>
        <v>-0.56338028169014087</v>
      </c>
      <c r="AS44" s="116">
        <f t="shared" si="89"/>
        <v>-0.11936936936936937</v>
      </c>
      <c r="AT44" s="117">
        <f t="shared" si="89"/>
        <v>-0.15056179775280898</v>
      </c>
      <c r="AU44" s="117">
        <f t="shared" ref="AU44:AW44" si="90">AU37/AU42</f>
        <v>-0.15246636771300448</v>
      </c>
      <c r="AV44" s="1351">
        <f t="shared" si="90"/>
        <v>-0.33033707865168538</v>
      </c>
      <c r="AW44" s="1352">
        <f t="shared" si="90"/>
        <v>-0.75450450450450446</v>
      </c>
      <c r="AX44" s="116">
        <f t="shared" ref="AX44:BB44" si="91">AX37/AX42</f>
        <v>-0.15038688216449392</v>
      </c>
      <c r="AY44" s="117">
        <f t="shared" si="91"/>
        <v>-0.17061279675762936</v>
      </c>
      <c r="AZ44" s="117">
        <f t="shared" si="91"/>
        <v>-0.1542272893683205</v>
      </c>
      <c r="BA44" s="118">
        <f t="shared" si="91"/>
        <v>-0.15928247031981019</v>
      </c>
      <c r="BB44" s="119">
        <f t="shared" si="91"/>
        <v>-0.63476246628274169</v>
      </c>
      <c r="BC44" s="116">
        <f t="shared" ref="BC44:BL44" si="92">BC37/BC42</f>
        <v>-0.15045509912264715</v>
      </c>
      <c r="BD44" s="117">
        <f t="shared" si="92"/>
        <v>-0.17243816995714409</v>
      </c>
      <c r="BE44" s="117">
        <f t="shared" si="92"/>
        <v>-0.1202793918187475</v>
      </c>
      <c r="BF44" s="118">
        <f t="shared" si="92"/>
        <v>-0.11854086405870611</v>
      </c>
      <c r="BG44" s="119">
        <f t="shared" si="92"/>
        <v>-0.55788006653901279</v>
      </c>
      <c r="BH44" s="116">
        <f t="shared" si="92"/>
        <v>-0.10762892800958085</v>
      </c>
      <c r="BI44" s="117">
        <f t="shared" si="92"/>
        <v>-0.13029269317144235</v>
      </c>
      <c r="BJ44" s="117">
        <f t="shared" si="92"/>
        <v>-0.11493448122476363</v>
      </c>
      <c r="BK44" s="118">
        <f t="shared" si="92"/>
        <v>-0.12061069955735607</v>
      </c>
      <c r="BL44" s="119">
        <f t="shared" si="92"/>
        <v>-0.47348257593268367</v>
      </c>
      <c r="BM44" s="116">
        <f t="shared" ref="BM44:BQ44" si="93">BM37/BM42</f>
        <v>-0.1105183353065044</v>
      </c>
      <c r="BN44" s="117">
        <f t="shared" si="93"/>
        <v>-0.13388547178177929</v>
      </c>
      <c r="BO44" s="117">
        <f t="shared" si="93"/>
        <v>-0.11374801577882329</v>
      </c>
      <c r="BP44" s="118">
        <f t="shared" si="93"/>
        <v>-0.11931913099504582</v>
      </c>
      <c r="BQ44" s="119">
        <f t="shared" si="93"/>
        <v>-0.47747454956192842</v>
      </c>
      <c r="BR44"/>
      <c r="BS44"/>
      <c r="BT44"/>
      <c r="BU44"/>
      <c r="BV44"/>
      <c r="BW44"/>
      <c r="BX44"/>
      <c r="BY44"/>
      <c r="BZ44"/>
    </row>
    <row r="45" spans="1:94" s="29" customFormat="1">
      <c r="A45" s="181"/>
      <c r="B45" s="181"/>
      <c r="C45" s="349" t="s">
        <v>292</v>
      </c>
      <c r="D45" s="347"/>
      <c r="E45" s="121"/>
      <c r="F45" s="122"/>
      <c r="G45" s="122"/>
      <c r="H45" s="123"/>
      <c r="I45" s="348">
        <f t="shared" ref="I45:AO45" si="94">I39/I42</f>
        <v>1.3223529411764705</v>
      </c>
      <c r="J45" s="121">
        <f t="shared" si="94"/>
        <v>-9.4117647058823514E-2</v>
      </c>
      <c r="K45" s="122">
        <f t="shared" si="94"/>
        <v>5.9016393442622855E-3</v>
      </c>
      <c r="L45" s="122">
        <f t="shared" si="94"/>
        <v>-6.6360655737704943E-2</v>
      </c>
      <c r="M45" s="123">
        <f t="shared" si="94"/>
        <v>-0.28078431372549023</v>
      </c>
      <c r="N45" s="348">
        <f t="shared" si="94"/>
        <v>-0.43659016393442629</v>
      </c>
      <c r="O45" s="121">
        <f t="shared" si="94"/>
        <v>-9.9125364431486881E-2</v>
      </c>
      <c r="P45" s="122">
        <f t="shared" si="94"/>
        <v>-5.2380952380952382E-2</v>
      </c>
      <c r="Q45" s="122">
        <f t="shared" si="94"/>
        <v>-9.0476190476190474E-2</v>
      </c>
      <c r="R45" s="123">
        <f t="shared" si="94"/>
        <v>2.757142857142867E-2</v>
      </c>
      <c r="S45" s="348">
        <f t="shared" si="94"/>
        <v>-0.20553615960099741</v>
      </c>
      <c r="T45" s="121">
        <f t="shared" si="94"/>
        <v>-0.1</v>
      </c>
      <c r="U45" s="122">
        <f t="shared" si="94"/>
        <v>-8.83054892601432E-2</v>
      </c>
      <c r="V45" s="122">
        <f t="shared" si="94"/>
        <v>-0.14797136038186157</v>
      </c>
      <c r="W45" s="123">
        <f t="shared" si="94"/>
        <v>-9.0692124105011929E-2</v>
      </c>
      <c r="X45" s="348">
        <f t="shared" si="94"/>
        <v>-0.42720763723150357</v>
      </c>
      <c r="Y45" s="121">
        <f t="shared" si="94"/>
        <v>-6.4439140811455853E-2</v>
      </c>
      <c r="Z45" s="122">
        <f t="shared" si="94"/>
        <v>-9.0909090909090912E-2</v>
      </c>
      <c r="AA45" s="122">
        <f t="shared" si="94"/>
        <v>-3.3412887828162291E-2</v>
      </c>
      <c r="AB45" s="123">
        <f t="shared" si="94"/>
        <v>-6.6825775656324582E-2</v>
      </c>
      <c r="AC45" s="348">
        <f t="shared" si="94"/>
        <v>-0.25536992840095463</v>
      </c>
      <c r="AD45" s="121">
        <f t="shared" si="94"/>
        <v>-4.5238095238095237E-2</v>
      </c>
      <c r="AE45" s="122">
        <f t="shared" si="94"/>
        <v>-8.5510688836104506E-2</v>
      </c>
      <c r="AF45" s="122">
        <f t="shared" si="94"/>
        <v>-5.2256532066508314E-2</v>
      </c>
      <c r="AG45" s="123">
        <f t="shared" si="94"/>
        <v>4.2755344418052253E-2</v>
      </c>
      <c r="AH45" s="348">
        <f t="shared" si="94"/>
        <v>-0.14014251781472684</v>
      </c>
      <c r="AI45" s="121">
        <f t="shared" si="94"/>
        <v>-0.11583924349881797</v>
      </c>
      <c r="AJ45" s="122">
        <f t="shared" si="94"/>
        <v>-0.10874704491725769</v>
      </c>
      <c r="AK45" s="122">
        <f t="shared" si="94"/>
        <v>-0.11556603773584906</v>
      </c>
      <c r="AL45" s="123">
        <f t="shared" si="94"/>
        <v>-9.2198581560283682E-2</v>
      </c>
      <c r="AM45" s="348">
        <f t="shared" si="94"/>
        <v>-0.43160377358490565</v>
      </c>
      <c r="AN45" s="121">
        <f t="shared" si="94"/>
        <v>-0.12910798122065728</v>
      </c>
      <c r="AO45" s="122">
        <f t="shared" si="94"/>
        <v>-0.11058823529411765</v>
      </c>
      <c r="AP45" s="122">
        <f t="shared" ref="AP45:AT45" si="95">AP39/AP42</f>
        <v>-0.15690866510538642</v>
      </c>
      <c r="AQ45" s="123">
        <f t="shared" si="95"/>
        <v>-0.16241299303944315</v>
      </c>
      <c r="AR45" s="348">
        <f t="shared" si="95"/>
        <v>-0.56103286384976525</v>
      </c>
      <c r="AS45" s="121">
        <f t="shared" si="95"/>
        <v>-0.11936936936936937</v>
      </c>
      <c r="AT45" s="122">
        <f t="shared" si="95"/>
        <v>-0.14831460674157304</v>
      </c>
      <c r="AU45" s="122">
        <f t="shared" ref="AU45:AW45" si="96">AU39/AU42</f>
        <v>-0.14349775784753363</v>
      </c>
      <c r="AV45" s="123">
        <f t="shared" si="96"/>
        <v>-0.11910112359550562</v>
      </c>
      <c r="AW45" s="348">
        <f t="shared" si="96"/>
        <v>-0.53153153153153154</v>
      </c>
      <c r="AX45" s="121">
        <f t="shared" ref="AX45:BL45" si="97">AX39/AX42</f>
        <v>-0.15038688216449392</v>
      </c>
      <c r="AY45" s="122">
        <f t="shared" si="97"/>
        <v>-0.17061279675762936</v>
      </c>
      <c r="AZ45" s="122">
        <f t="shared" si="97"/>
        <v>-0.1542272893683205</v>
      </c>
      <c r="BA45" s="123">
        <f t="shared" si="97"/>
        <v>-0.15928247031981019</v>
      </c>
      <c r="BB45" s="348">
        <f t="shared" si="97"/>
        <v>-0.63476246628274169</v>
      </c>
      <c r="BC45" s="121">
        <f t="shared" si="97"/>
        <v>-0.15045509912264715</v>
      </c>
      <c r="BD45" s="122">
        <f t="shared" si="97"/>
        <v>-0.17243816995714409</v>
      </c>
      <c r="BE45" s="122">
        <f t="shared" si="97"/>
        <v>-0.1202793918187475</v>
      </c>
      <c r="BF45" s="123">
        <f t="shared" si="97"/>
        <v>-0.11854086405870611</v>
      </c>
      <c r="BG45" s="348">
        <f t="shared" si="97"/>
        <v>-0.55788006653901279</v>
      </c>
      <c r="BH45" s="121">
        <f t="shared" si="97"/>
        <v>-0.10762892800958085</v>
      </c>
      <c r="BI45" s="122">
        <f t="shared" si="97"/>
        <v>-0.13029269317144235</v>
      </c>
      <c r="BJ45" s="122">
        <f t="shared" si="97"/>
        <v>-0.11493448122476363</v>
      </c>
      <c r="BK45" s="123">
        <f t="shared" si="97"/>
        <v>-0.12061069955735607</v>
      </c>
      <c r="BL45" s="348">
        <f t="shared" si="97"/>
        <v>-0.47348257593268367</v>
      </c>
      <c r="BM45" s="121">
        <f t="shared" ref="BM45:BQ45" si="98">BM39/BM42</f>
        <v>-0.1105183353065044</v>
      </c>
      <c r="BN45" s="122">
        <f t="shared" si="98"/>
        <v>-0.13388547178177929</v>
      </c>
      <c r="BO45" s="122">
        <f t="shared" si="98"/>
        <v>-0.11374801577882329</v>
      </c>
      <c r="BP45" s="123">
        <f t="shared" si="98"/>
        <v>-0.11931913099504582</v>
      </c>
      <c r="BQ45" s="1333">
        <f t="shared" si="98"/>
        <v>-0.47747454956192842</v>
      </c>
      <c r="BR45"/>
      <c r="BS45"/>
      <c r="BT45"/>
      <c r="BU45"/>
      <c r="BV45"/>
      <c r="BW45"/>
      <c r="BX45"/>
      <c r="BY45"/>
      <c r="BZ45"/>
    </row>
    <row r="46" spans="1:94">
      <c r="B46" s="92"/>
      <c r="C46" s="880"/>
      <c r="D46" s="880"/>
      <c r="E46" s="874"/>
      <c r="F46" s="875"/>
      <c r="G46" s="875"/>
      <c r="H46" s="881"/>
      <c r="I46" s="880"/>
      <c r="J46" s="874"/>
      <c r="K46" s="875"/>
      <c r="L46" s="875"/>
      <c r="M46" s="881"/>
      <c r="N46" s="880"/>
      <c r="O46" s="874"/>
      <c r="P46" s="875"/>
      <c r="Q46" s="875"/>
      <c r="R46" s="881"/>
      <c r="S46" s="880"/>
      <c r="T46" s="874"/>
      <c r="U46" s="875"/>
      <c r="V46" s="875"/>
      <c r="W46" s="881"/>
      <c r="X46" s="880"/>
      <c r="Y46" s="874"/>
      <c r="Z46" s="875"/>
      <c r="AA46" s="875"/>
      <c r="AB46" s="881"/>
      <c r="AC46" s="880"/>
      <c r="AD46" s="874"/>
      <c r="AE46" s="875"/>
      <c r="AF46" s="875"/>
      <c r="AG46" s="881"/>
      <c r="AH46" s="880"/>
      <c r="AI46" s="874"/>
      <c r="AJ46" s="875"/>
      <c r="AK46" s="875"/>
      <c r="AL46" s="881"/>
      <c r="AM46" s="880"/>
      <c r="AN46" s="874"/>
      <c r="AO46" s="875"/>
      <c r="AP46" s="875"/>
      <c r="AQ46" s="881"/>
      <c r="AR46" s="880"/>
      <c r="AS46" s="874"/>
      <c r="AT46" s="875"/>
      <c r="AU46" s="875"/>
      <c r="AV46" s="881"/>
      <c r="AW46" s="880"/>
      <c r="AX46" s="874"/>
      <c r="AY46" s="875"/>
      <c r="AZ46" s="875"/>
      <c r="BA46" s="881"/>
      <c r="BB46" s="880"/>
      <c r="BC46" s="874"/>
      <c r="BD46" s="875"/>
      <c r="BE46" s="875"/>
      <c r="BF46" s="881"/>
      <c r="BG46" s="880"/>
      <c r="BH46" s="874"/>
      <c r="BI46" s="875"/>
      <c r="BJ46" s="875"/>
      <c r="BK46" s="881"/>
      <c r="BL46" s="880"/>
      <c r="BM46" s="874"/>
      <c r="BN46" s="875"/>
      <c r="BO46" s="875"/>
      <c r="BP46" s="881"/>
      <c r="BQ46" s="880"/>
    </row>
    <row r="47" spans="1:94" s="720" customFormat="1">
      <c r="A47" s="497"/>
      <c r="B47" s="497"/>
      <c r="C47" s="376" t="s">
        <v>727</v>
      </c>
      <c r="D47" s="498"/>
      <c r="E47" s="141"/>
      <c r="F47" s="84"/>
      <c r="G47" s="84"/>
      <c r="H47" s="142"/>
      <c r="I47" s="747"/>
      <c r="J47" s="141"/>
      <c r="K47" s="84"/>
      <c r="L47" s="84"/>
      <c r="M47" s="142"/>
      <c r="N47" s="143"/>
      <c r="O47" s="141"/>
      <c r="P47" s="84"/>
      <c r="Q47" s="84"/>
      <c r="R47" s="142"/>
      <c r="S47" s="143"/>
      <c r="T47" s="141"/>
      <c r="U47" s="84"/>
      <c r="V47" s="84"/>
      <c r="W47" s="142"/>
      <c r="X47" s="143"/>
      <c r="Y47" s="141"/>
      <c r="Z47" s="84"/>
      <c r="AA47" s="84"/>
      <c r="AB47" s="142"/>
      <c r="AC47" s="143"/>
      <c r="AD47" s="141"/>
      <c r="AE47" s="84"/>
      <c r="AF47" s="84"/>
      <c r="AG47" s="142"/>
      <c r="AH47" s="143"/>
      <c r="AI47" s="141"/>
      <c r="AJ47" s="84"/>
      <c r="AK47" s="84"/>
      <c r="AL47" s="142"/>
      <c r="AM47" s="143"/>
      <c r="AN47" s="141"/>
      <c r="AO47" s="84"/>
      <c r="AP47" s="84"/>
      <c r="AQ47" s="142"/>
      <c r="AR47" s="143"/>
      <c r="AS47" s="141"/>
      <c r="AT47" s="84"/>
      <c r="AU47" s="84"/>
      <c r="AV47" s="142"/>
      <c r="AW47" s="143"/>
      <c r="AX47" s="141"/>
      <c r="AY47" s="84"/>
      <c r="AZ47" s="84"/>
      <c r="BA47" s="142"/>
      <c r="BB47" s="143"/>
      <c r="BC47" s="141"/>
      <c r="BD47" s="84"/>
      <c r="BE47" s="84"/>
      <c r="BF47" s="142"/>
      <c r="BG47" s="143"/>
      <c r="BH47" s="141"/>
      <c r="BI47" s="84"/>
      <c r="BJ47" s="84"/>
      <c r="BK47" s="142"/>
      <c r="BL47" s="143"/>
      <c r="BM47" s="141"/>
      <c r="BN47" s="84"/>
      <c r="BO47" s="84"/>
      <c r="BP47" s="142"/>
      <c r="BQ47" s="143"/>
      <c r="BR47"/>
      <c r="BS47"/>
      <c r="BT47"/>
      <c r="BU47"/>
      <c r="BV47"/>
      <c r="BW47"/>
      <c r="BX47"/>
      <c r="BY47"/>
      <c r="BZ47"/>
      <c r="CA47" s="708"/>
      <c r="CB47" s="708"/>
      <c r="CC47" s="708"/>
      <c r="CD47" s="708"/>
      <c r="CE47" s="708"/>
      <c r="CF47" s="708"/>
      <c r="CG47" s="708"/>
      <c r="CH47" s="708"/>
      <c r="CI47" s="708"/>
      <c r="CJ47" s="708"/>
      <c r="CK47" s="708"/>
      <c r="CL47" s="708"/>
      <c r="CM47" s="708"/>
      <c r="CN47" s="708"/>
      <c r="CO47" s="708"/>
      <c r="CP47" s="708"/>
    </row>
    <row r="48" spans="1:94" s="720" customFormat="1">
      <c r="A48" s="497"/>
      <c r="B48" s="497"/>
      <c r="C48" s="498" t="s">
        <v>680</v>
      </c>
      <c r="D48" s="498"/>
      <c r="E48" s="141"/>
      <c r="F48" s="84"/>
      <c r="G48" s="84"/>
      <c r="H48" s="142"/>
      <c r="I48" s="809"/>
      <c r="J48" s="810"/>
      <c r="K48" s="337"/>
      <c r="L48" s="337"/>
      <c r="M48" s="811"/>
      <c r="N48" s="809"/>
      <c r="O48" s="810"/>
      <c r="P48" s="337"/>
      <c r="Q48" s="337"/>
      <c r="R48" s="811"/>
      <c r="S48" s="809"/>
      <c r="T48" s="810"/>
      <c r="U48" s="337"/>
      <c r="V48" s="337"/>
      <c r="W48" s="811"/>
      <c r="X48" s="809"/>
      <c r="Y48" s="810"/>
      <c r="Z48" s="337"/>
      <c r="AA48" s="337"/>
      <c r="AB48" s="811"/>
      <c r="AC48" s="809"/>
      <c r="AD48" s="810"/>
      <c r="AE48" s="337"/>
      <c r="AF48" s="337"/>
      <c r="AG48" s="811"/>
      <c r="AH48" s="809"/>
      <c r="AI48" s="810"/>
      <c r="AJ48" s="337"/>
      <c r="AK48" s="337"/>
      <c r="AL48" s="811"/>
      <c r="AM48" s="809"/>
      <c r="AN48" s="810"/>
      <c r="AO48" s="337"/>
      <c r="AP48" s="337"/>
      <c r="AQ48" s="811"/>
      <c r="AR48" s="809"/>
      <c r="AS48" s="810"/>
      <c r="AT48" s="337"/>
      <c r="AU48" s="337"/>
      <c r="AV48" s="811"/>
      <c r="AW48" s="809"/>
      <c r="AX48" s="810"/>
      <c r="AY48" s="337"/>
      <c r="AZ48" s="337"/>
      <c r="BA48" s="811"/>
      <c r="BB48" s="809">
        <v>-0.54</v>
      </c>
      <c r="BC48" s="810"/>
      <c r="BD48" s="337"/>
      <c r="BE48" s="337"/>
      <c r="BF48" s="811"/>
      <c r="BG48" s="809"/>
      <c r="BH48" s="810"/>
      <c r="BI48" s="337"/>
      <c r="BJ48" s="337"/>
      <c r="BK48" s="811"/>
      <c r="BL48" s="809"/>
      <c r="BM48" s="810"/>
      <c r="BN48" s="337"/>
      <c r="BO48" s="337"/>
      <c r="BP48" s="811"/>
      <c r="BQ48" s="809"/>
      <c r="BR48"/>
      <c r="BS48" s="1865"/>
      <c r="BT48"/>
      <c r="BU48"/>
      <c r="BV48"/>
      <c r="BW48"/>
      <c r="BX48"/>
      <c r="BY48"/>
      <c r="BZ48"/>
      <c r="CA48" s="708"/>
      <c r="CB48" s="708"/>
      <c r="CC48" s="708"/>
      <c r="CD48" s="708"/>
      <c r="CE48" s="708"/>
      <c r="CF48" s="708"/>
      <c r="CG48" s="708"/>
      <c r="CH48" s="708"/>
      <c r="CI48" s="708"/>
      <c r="CJ48" s="708"/>
      <c r="CK48" s="708"/>
      <c r="CL48" s="708"/>
      <c r="CM48" s="708"/>
      <c r="CN48" s="708"/>
      <c r="CO48" s="708"/>
      <c r="CP48" s="708"/>
    </row>
    <row r="49" spans="2:73">
      <c r="B49" s="92"/>
      <c r="C49" s="89"/>
      <c r="D49" s="87"/>
      <c r="E49" s="133"/>
      <c r="F49" s="134"/>
      <c r="G49" s="134"/>
      <c r="H49" s="135"/>
      <c r="I49" s="481"/>
      <c r="J49" s="482"/>
      <c r="K49" s="483"/>
      <c r="L49" s="483"/>
      <c r="M49" s="484"/>
      <c r="N49" s="481"/>
      <c r="O49" s="482"/>
      <c r="P49" s="483"/>
      <c r="Q49" s="483"/>
      <c r="R49" s="484"/>
      <c r="S49" s="481"/>
      <c r="T49" s="133"/>
      <c r="U49" s="134"/>
      <c r="V49" s="134"/>
      <c r="W49" s="135"/>
      <c r="X49" s="233"/>
      <c r="Y49" s="133"/>
      <c r="Z49" s="134"/>
      <c r="AA49" s="134"/>
      <c r="AB49" s="135"/>
      <c r="AC49" s="233"/>
      <c r="AD49" s="133"/>
      <c r="AE49" s="134"/>
      <c r="AF49" s="134"/>
      <c r="AG49" s="135"/>
      <c r="AH49" s="233"/>
      <c r="AI49" s="133"/>
      <c r="AJ49" s="134"/>
      <c r="AK49" s="134"/>
      <c r="AL49" s="135"/>
      <c r="AM49" s="233"/>
      <c r="AN49" s="133"/>
      <c r="AO49" s="134"/>
      <c r="AP49" s="134"/>
      <c r="AQ49" s="135"/>
      <c r="AS49" s="133"/>
      <c r="AT49" s="134"/>
      <c r="AU49" s="134"/>
      <c r="AV49" s="135"/>
      <c r="AW49" s="233"/>
      <c r="AX49" s="133"/>
      <c r="AY49" s="134"/>
      <c r="AZ49" s="134"/>
      <c r="BA49" s="135"/>
      <c r="BB49" s="2324"/>
      <c r="BC49" s="133"/>
      <c r="BD49" s="134"/>
      <c r="BE49" s="134"/>
      <c r="BF49" s="135"/>
      <c r="BG49" s="233"/>
      <c r="BH49" s="133"/>
      <c r="BI49" s="134"/>
      <c r="BJ49" s="134"/>
      <c r="BK49" s="135"/>
      <c r="BL49" s="233"/>
      <c r="BM49" s="133"/>
      <c r="BN49" s="134"/>
      <c r="BO49" s="134"/>
      <c r="BP49" s="135"/>
      <c r="BQ49" s="233"/>
      <c r="BS49" s="2182"/>
      <c r="BT49" s="1589"/>
    </row>
    <row r="50" spans="2:73">
      <c r="B50" s="92"/>
      <c r="C50" s="89"/>
      <c r="D50" s="87"/>
      <c r="E50" s="133"/>
      <c r="F50" s="134"/>
      <c r="G50" s="134"/>
      <c r="H50" s="135"/>
      <c r="I50" s="481"/>
      <c r="J50" s="482"/>
      <c r="K50" s="483"/>
      <c r="L50" s="483"/>
      <c r="M50" s="484"/>
      <c r="N50" s="481"/>
      <c r="O50" s="482"/>
      <c r="P50" s="483"/>
      <c r="Q50" s="483"/>
      <c r="R50" s="484"/>
      <c r="S50" s="481"/>
      <c r="T50" s="133"/>
      <c r="U50" s="134"/>
      <c r="V50" s="134"/>
      <c r="W50" s="135"/>
      <c r="X50" s="233"/>
      <c r="Y50" s="133"/>
      <c r="Z50" s="134"/>
      <c r="AA50" s="134"/>
      <c r="AB50" s="135"/>
      <c r="AC50" s="233"/>
      <c r="AD50" s="133"/>
      <c r="AE50" s="134"/>
      <c r="AF50" s="134"/>
      <c r="AG50" s="135"/>
      <c r="AH50" s="233"/>
      <c r="AI50" s="133"/>
      <c r="AJ50" s="134"/>
      <c r="AK50" s="134"/>
      <c r="AL50" s="135"/>
      <c r="AM50" s="233"/>
      <c r="AN50" s="133"/>
      <c r="AO50" s="134"/>
      <c r="AP50" s="134"/>
      <c r="AQ50" s="135"/>
      <c r="AR50" s="233"/>
      <c r="AS50" s="133"/>
      <c r="AT50" s="134"/>
      <c r="AU50" s="134"/>
      <c r="AV50" s="135"/>
      <c r="AW50" s="233"/>
      <c r="AX50" s="133"/>
      <c r="AY50" s="134"/>
      <c r="AZ50" s="134"/>
      <c r="BA50" s="135"/>
      <c r="BB50" s="481"/>
      <c r="BC50" s="133"/>
      <c r="BD50" s="134"/>
      <c r="BE50" s="134"/>
      <c r="BF50" s="135"/>
      <c r="BG50" s="233"/>
      <c r="BH50" s="133"/>
      <c r="BI50" s="134"/>
      <c r="BJ50" s="134"/>
      <c r="BK50" s="135"/>
      <c r="BL50" s="233"/>
      <c r="BM50" s="133"/>
      <c r="BN50" s="134"/>
      <c r="BO50" s="134"/>
      <c r="BP50" s="135"/>
      <c r="BQ50" s="233"/>
      <c r="BS50" s="2182"/>
      <c r="BU50" s="2295"/>
    </row>
    <row r="51" spans="2:73">
      <c r="B51" s="10" t="s">
        <v>169</v>
      </c>
      <c r="C51" s="10"/>
      <c r="D51" s="11"/>
      <c r="E51" s="133"/>
      <c r="F51" s="134"/>
      <c r="G51" s="134"/>
      <c r="H51" s="135"/>
      <c r="I51" s="481"/>
      <c r="J51" s="482"/>
      <c r="K51" s="483"/>
      <c r="L51" s="483"/>
      <c r="M51" s="484"/>
      <c r="N51" s="481"/>
      <c r="O51" s="482"/>
      <c r="P51" s="483"/>
      <c r="Q51" s="483"/>
      <c r="R51" s="484"/>
      <c r="S51" s="481"/>
      <c r="T51" s="133"/>
      <c r="U51" s="134"/>
      <c r="V51" s="134"/>
      <c r="W51" s="135"/>
      <c r="X51" s="233"/>
      <c r="Y51" s="133"/>
      <c r="Z51" s="134"/>
      <c r="AA51" s="134"/>
      <c r="AB51" s="135"/>
      <c r="AC51" s="233"/>
      <c r="AD51" s="133"/>
      <c r="AE51" s="134"/>
      <c r="AF51" s="134"/>
      <c r="AG51" s="135"/>
      <c r="AH51" s="233"/>
      <c r="AI51" s="133"/>
      <c r="AJ51" s="134"/>
      <c r="AK51" s="134"/>
      <c r="AL51" s="135"/>
      <c r="AM51" s="233"/>
      <c r="AN51" s="133"/>
      <c r="AO51" s="134"/>
      <c r="AP51" s="134"/>
      <c r="AQ51" s="135"/>
      <c r="AR51" s="233"/>
      <c r="AS51" s="133"/>
      <c r="AT51" s="134"/>
      <c r="AU51" s="134"/>
      <c r="AV51" s="135"/>
      <c r="AW51" s="233"/>
      <c r="AX51" s="133"/>
      <c r="AY51" s="134"/>
      <c r="AZ51" s="134"/>
      <c r="BA51" s="135"/>
      <c r="BB51" s="233"/>
      <c r="BC51" s="133"/>
      <c r="BD51" s="134"/>
      <c r="BE51" s="134"/>
      <c r="BF51" s="135"/>
      <c r="BG51" s="233"/>
      <c r="BH51" s="133"/>
      <c r="BI51" s="134"/>
      <c r="BJ51" s="134"/>
      <c r="BK51" s="135"/>
      <c r="BL51" s="233"/>
      <c r="BM51" s="133"/>
      <c r="BN51" s="134"/>
      <c r="BO51" s="134"/>
      <c r="BP51" s="135"/>
      <c r="BQ51" s="233"/>
    </row>
    <row r="52" spans="2:73">
      <c r="B52" s="12"/>
      <c r="C52" s="765" t="s">
        <v>207</v>
      </c>
      <c r="D52" s="12"/>
      <c r="E52" s="133"/>
      <c r="F52" s="134"/>
      <c r="G52" s="134"/>
      <c r="H52" s="135"/>
      <c r="I52" s="481"/>
      <c r="J52" s="482"/>
      <c r="K52" s="483"/>
      <c r="L52" s="483"/>
      <c r="M52" s="484"/>
      <c r="N52" s="481"/>
      <c r="O52" s="482"/>
      <c r="P52" s="483"/>
      <c r="Q52" s="483"/>
      <c r="R52" s="484"/>
      <c r="S52" s="481"/>
      <c r="T52" s="133"/>
      <c r="U52" s="134"/>
      <c r="V52" s="134"/>
      <c r="W52" s="135"/>
      <c r="X52" s="233"/>
      <c r="Y52" s="133"/>
      <c r="Z52" s="134"/>
      <c r="AA52" s="134"/>
      <c r="AB52" s="135"/>
      <c r="AC52" s="233"/>
      <c r="AD52" s="133"/>
      <c r="AE52" s="134"/>
      <c r="AF52" s="134"/>
      <c r="AG52" s="135"/>
      <c r="AH52" s="233"/>
      <c r="AI52" s="133"/>
      <c r="AJ52" s="134"/>
      <c r="AK52" s="134"/>
      <c r="AL52" s="135"/>
      <c r="AM52" s="233"/>
      <c r="AN52" s="133"/>
      <c r="AO52" s="134"/>
      <c r="AP52" s="134"/>
      <c r="AQ52" s="135"/>
      <c r="AR52" s="233"/>
      <c r="AS52" s="133"/>
      <c r="AT52" s="134"/>
      <c r="AU52" s="134"/>
      <c r="AV52" s="135"/>
      <c r="AW52" s="233"/>
      <c r="AX52" s="133"/>
      <c r="AY52" s="134"/>
      <c r="AZ52" s="134"/>
      <c r="BA52" s="135"/>
      <c r="BB52" s="233"/>
      <c r="BC52" s="133"/>
      <c r="BD52" s="134"/>
      <c r="BE52" s="134"/>
      <c r="BF52" s="135"/>
      <c r="BG52" s="233"/>
      <c r="BH52" s="133"/>
      <c r="BI52" s="134"/>
      <c r="BJ52" s="134"/>
      <c r="BK52" s="135"/>
      <c r="BL52" s="233"/>
      <c r="BM52" s="133"/>
      <c r="BN52" s="134"/>
      <c r="BO52" s="134"/>
      <c r="BP52" s="135"/>
      <c r="BQ52" s="233"/>
    </row>
    <row r="53" spans="2:73">
      <c r="B53" s="12"/>
      <c r="C53" s="39" t="s">
        <v>208</v>
      </c>
      <c r="D53" s="12"/>
      <c r="E53" s="133"/>
      <c r="F53" s="134"/>
      <c r="G53" s="134"/>
      <c r="H53" s="135"/>
      <c r="I53" s="481"/>
      <c r="J53" s="482"/>
      <c r="K53" s="483"/>
      <c r="L53" s="483"/>
      <c r="M53" s="484"/>
      <c r="N53" s="481"/>
      <c r="O53" s="482"/>
      <c r="P53" s="483"/>
      <c r="Q53" s="483"/>
      <c r="R53" s="484"/>
      <c r="S53" s="481"/>
      <c r="T53" s="309"/>
      <c r="U53" s="310"/>
      <c r="V53" s="310"/>
      <c r="W53" s="311"/>
      <c r="X53" s="782"/>
      <c r="Y53" s="309"/>
      <c r="Z53" s="310"/>
      <c r="AA53" s="310"/>
      <c r="AB53" s="311"/>
      <c r="AC53" s="782"/>
      <c r="AD53" s="296">
        <f>Debt!AA44</f>
        <v>0</v>
      </c>
      <c r="AE53" s="297">
        <f>Debt!AB44</f>
        <v>0</v>
      </c>
      <c r="AF53" s="297">
        <f>Debt!AC44</f>
        <v>0</v>
      </c>
      <c r="AG53" s="290">
        <f>Debt!AD44</f>
        <v>0</v>
      </c>
      <c r="AH53" s="298">
        <f>Debt!AE44</f>
        <v>0</v>
      </c>
      <c r="AI53" s="296">
        <f>Debt!AF44</f>
        <v>0</v>
      </c>
      <c r="AJ53" s="297">
        <f>Debt!AG44</f>
        <v>0</v>
      </c>
      <c r="AK53" s="297">
        <f>Debt!AH44</f>
        <v>0</v>
      </c>
      <c r="AL53" s="290">
        <f>Debt!AI44</f>
        <v>0</v>
      </c>
      <c r="AM53" s="298">
        <f>Debt!AJ44</f>
        <v>0</v>
      </c>
      <c r="AN53" s="296">
        <f>Debt!AK44</f>
        <v>0</v>
      </c>
      <c r="AO53" s="297">
        <f>Debt!AL44</f>
        <v>0</v>
      </c>
      <c r="AP53" s="297">
        <f>Debt!AM44</f>
        <v>0</v>
      </c>
      <c r="AQ53" s="311">
        <f>Debt!AN44</f>
        <v>0</v>
      </c>
      <c r="AR53" s="782">
        <v>0</v>
      </c>
      <c r="AS53" s="296">
        <f>Debt!AP44</f>
        <v>250</v>
      </c>
      <c r="AT53" s="297">
        <f>Debt!AQ44</f>
        <v>3000</v>
      </c>
      <c r="AU53" s="297">
        <f>Debt!AR44</f>
        <v>0</v>
      </c>
      <c r="AV53" s="311">
        <f>Debt!AS44</f>
        <v>0</v>
      </c>
      <c r="AW53" s="782">
        <v>0</v>
      </c>
      <c r="AX53" s="309">
        <f>Debt!AU44</f>
        <v>1620</v>
      </c>
      <c r="AY53" s="310">
        <f>Debt!AV44</f>
        <v>0</v>
      </c>
      <c r="AZ53" s="310">
        <f>Debt!AW44</f>
        <v>0</v>
      </c>
      <c r="BA53" s="311">
        <f>Debt!AX44</f>
        <v>0</v>
      </c>
      <c r="BB53" s="782">
        <v>0</v>
      </c>
      <c r="BC53" s="309">
        <f>Debt!AZ44</f>
        <v>0</v>
      </c>
      <c r="BD53" s="310">
        <f>Debt!BA44</f>
        <v>500</v>
      </c>
      <c r="BE53" s="310">
        <f>Debt!BB44</f>
        <v>0</v>
      </c>
      <c r="BF53" s="311">
        <f>Debt!BC44</f>
        <v>0</v>
      </c>
      <c r="BG53" s="782">
        <v>500</v>
      </c>
      <c r="BH53" s="309">
        <f>Debt!BE44</f>
        <v>0</v>
      </c>
      <c r="BI53" s="310">
        <f>Debt!BF44</f>
        <v>400</v>
      </c>
      <c r="BJ53" s="310">
        <f>Debt!BG44</f>
        <v>0</v>
      </c>
      <c r="BK53" s="311">
        <f>Debt!BH44</f>
        <v>0</v>
      </c>
      <c r="BL53" s="782">
        <v>400</v>
      </c>
      <c r="BM53" s="309">
        <f>Debt!BJ44</f>
        <v>0</v>
      </c>
      <c r="BN53" s="310">
        <f>Debt!BK44</f>
        <v>1100</v>
      </c>
      <c r="BO53" s="310">
        <f>Debt!BL44</f>
        <v>0</v>
      </c>
      <c r="BP53" s="311">
        <f>Debt!BM44</f>
        <v>0</v>
      </c>
      <c r="BQ53" s="782">
        <v>1100</v>
      </c>
    </row>
    <row r="54" spans="2:73">
      <c r="B54" s="12"/>
      <c r="C54" s="39" t="s">
        <v>210</v>
      </c>
      <c r="D54" s="12"/>
      <c r="E54" s="133"/>
      <c r="F54" s="134"/>
      <c r="G54" s="134"/>
      <c r="H54" s="135"/>
      <c r="I54" s="481"/>
      <c r="J54" s="482"/>
      <c r="K54" s="483"/>
      <c r="L54" s="483"/>
      <c r="M54" s="484"/>
      <c r="N54" s="481"/>
      <c r="O54" s="482"/>
      <c r="P54" s="483"/>
      <c r="Q54" s="483"/>
      <c r="R54" s="484"/>
      <c r="S54" s="481"/>
      <c r="T54" s="309"/>
      <c r="U54" s="310"/>
      <c r="V54" s="310"/>
      <c r="W54" s="311"/>
      <c r="X54" s="285"/>
      <c r="Y54" s="309"/>
      <c r="Z54" s="310"/>
      <c r="AA54" s="310"/>
      <c r="AB54" s="311"/>
      <c r="AC54" s="285"/>
      <c r="AD54" s="296">
        <f>Debt!AA30</f>
        <v>0</v>
      </c>
      <c r="AE54" s="297">
        <f>Debt!AB30</f>
        <v>0</v>
      </c>
      <c r="AF54" s="297">
        <f>Debt!AC30</f>
        <v>0</v>
      </c>
      <c r="AG54" s="290">
        <f>Debt!AD30</f>
        <v>0</v>
      </c>
      <c r="AH54" s="298">
        <f>Debt!AE30</f>
        <v>0</v>
      </c>
      <c r="AI54" s="296">
        <f>Debt!AF30</f>
        <v>0</v>
      </c>
      <c r="AJ54" s="297">
        <f>Debt!AG30</f>
        <v>0</v>
      </c>
      <c r="AK54" s="297">
        <f>Debt!AH30</f>
        <v>0</v>
      </c>
      <c r="AL54" s="290">
        <f>Debt!AI30</f>
        <v>0</v>
      </c>
      <c r="AM54" s="298">
        <f>Debt!AJ30</f>
        <v>0</v>
      </c>
      <c r="AN54" s="296">
        <f>Debt!AK30</f>
        <v>0</v>
      </c>
      <c r="AO54" s="297">
        <f>Debt!AL30</f>
        <v>0</v>
      </c>
      <c r="AP54" s="297">
        <f>Debt!AM30</f>
        <v>0</v>
      </c>
      <c r="AQ54" s="311">
        <f>Debt!AN30</f>
        <v>0</v>
      </c>
      <c r="AR54" s="285">
        <f>Debt!AO30</f>
        <v>0</v>
      </c>
      <c r="AS54" s="296">
        <f>Debt!AP30</f>
        <v>0</v>
      </c>
      <c r="AT54" s="297">
        <f>Debt!AQ30</f>
        <v>-650</v>
      </c>
      <c r="AU54" s="297">
        <f>Debt!AR30</f>
        <v>0</v>
      </c>
      <c r="AV54" s="311">
        <f>Debt!AS30</f>
        <v>0</v>
      </c>
      <c r="AW54" s="285">
        <f>Debt!AT30</f>
        <v>-650</v>
      </c>
      <c r="AX54" s="309">
        <f>Debt!AU30</f>
        <v>-1450</v>
      </c>
      <c r="AY54" s="310">
        <f>Debt!AV30</f>
        <v>0</v>
      </c>
      <c r="AZ54" s="310">
        <f>Debt!AW30</f>
        <v>0</v>
      </c>
      <c r="BA54" s="311">
        <f>Debt!AX30</f>
        <v>0</v>
      </c>
      <c r="BB54" s="285">
        <f>Debt!AY30</f>
        <v>-1450</v>
      </c>
      <c r="BC54" s="309">
        <f>Debt!AZ30</f>
        <v>0</v>
      </c>
      <c r="BD54" s="310">
        <f>Debt!BA30</f>
        <v>0</v>
      </c>
      <c r="BE54" s="310">
        <f>Debt!BB30</f>
        <v>-1620</v>
      </c>
      <c r="BF54" s="311">
        <f>Debt!BC30</f>
        <v>0</v>
      </c>
      <c r="BG54" s="285">
        <f>Debt!BD30</f>
        <v>-1620</v>
      </c>
      <c r="BH54" s="309">
        <f>Debt!BE30</f>
        <v>-250</v>
      </c>
      <c r="BI54" s="310">
        <f>Debt!BF30</f>
        <v>0</v>
      </c>
      <c r="BJ54" s="310">
        <f>Debt!BG30</f>
        <v>0</v>
      </c>
      <c r="BK54" s="311">
        <f>Debt!BH30</f>
        <v>0</v>
      </c>
      <c r="BL54" s="285">
        <f>Debt!BI30</f>
        <v>-250</v>
      </c>
      <c r="BM54" s="309">
        <f>Debt!BJ30</f>
        <v>0</v>
      </c>
      <c r="BN54" s="310">
        <f>Debt!BK30</f>
        <v>-1200</v>
      </c>
      <c r="BO54" s="310">
        <f>Debt!BL30</f>
        <v>0</v>
      </c>
      <c r="BP54" s="311">
        <f>Debt!BM30</f>
        <v>0</v>
      </c>
      <c r="BQ54" s="285">
        <f>Debt!BN30</f>
        <v>-1200</v>
      </c>
    </row>
    <row r="55" spans="2:73">
      <c r="B55" s="92"/>
      <c r="C55" s="89"/>
      <c r="D55" s="87"/>
      <c r="E55" s="133"/>
      <c r="F55" s="134"/>
      <c r="G55" s="134"/>
      <c r="H55" s="135"/>
      <c r="I55" s="481"/>
      <c r="J55" s="482"/>
      <c r="K55" s="483"/>
      <c r="L55" s="483"/>
      <c r="M55" s="484"/>
      <c r="N55" s="481"/>
      <c r="O55" s="482"/>
      <c r="P55" s="483"/>
      <c r="Q55" s="483"/>
      <c r="R55" s="484"/>
      <c r="S55" s="481"/>
      <c r="T55" s="133"/>
      <c r="U55" s="134"/>
      <c r="V55" s="134"/>
      <c r="W55" s="135"/>
      <c r="X55" s="233"/>
      <c r="Y55" s="133"/>
      <c r="Z55" s="134"/>
      <c r="AA55" s="134"/>
      <c r="AB55" s="135"/>
      <c r="AC55" s="233"/>
      <c r="AD55" s="133"/>
      <c r="AE55" s="134"/>
      <c r="AF55" s="134"/>
      <c r="AG55" s="135"/>
      <c r="AH55" s="233"/>
      <c r="AI55" s="133"/>
      <c r="AJ55" s="134"/>
      <c r="AK55" s="134"/>
      <c r="AL55" s="135"/>
      <c r="AM55" s="233"/>
      <c r="AN55" s="133"/>
      <c r="AO55" s="134"/>
      <c r="AP55" s="134"/>
      <c r="AQ55" s="135"/>
      <c r="AR55" s="233"/>
      <c r="AS55" s="133"/>
      <c r="AT55" s="134"/>
      <c r="AU55" s="134"/>
      <c r="AV55" s="135"/>
      <c r="AW55" s="233"/>
      <c r="AX55" s="133"/>
      <c r="AY55" s="134"/>
      <c r="AZ55" s="134"/>
      <c r="BA55" s="135"/>
      <c r="BB55" s="233"/>
      <c r="BC55" s="133"/>
      <c r="BD55" s="134"/>
      <c r="BE55" s="134"/>
      <c r="BF55" s="135"/>
      <c r="BG55" s="233"/>
      <c r="BH55" s="133"/>
      <c r="BI55" s="134"/>
      <c r="BJ55" s="134"/>
      <c r="BK55" s="135"/>
      <c r="BL55" s="233"/>
      <c r="BM55" s="133"/>
      <c r="BN55" s="134"/>
      <c r="BO55" s="134"/>
      <c r="BP55" s="135"/>
      <c r="BQ55" s="233"/>
    </row>
    <row r="56" spans="2:73">
      <c r="B56" s="92"/>
      <c r="C56" s="748" t="s">
        <v>294</v>
      </c>
      <c r="D56" s="719"/>
      <c r="E56" s="685"/>
      <c r="F56" s="686"/>
      <c r="G56" s="686"/>
      <c r="H56" s="687"/>
      <c r="I56" s="749"/>
      <c r="J56" s="685"/>
      <c r="K56" s="686"/>
      <c r="L56" s="686"/>
      <c r="M56" s="687"/>
      <c r="N56" s="749"/>
      <c r="O56" s="685"/>
      <c r="P56" s="686"/>
      <c r="Q56" s="686"/>
      <c r="R56" s="687"/>
      <c r="S56" s="749"/>
      <c r="T56" s="685"/>
      <c r="U56" s="686"/>
      <c r="V56" s="686"/>
      <c r="W56" s="687"/>
      <c r="X56" s="749"/>
      <c r="Y56" s="685"/>
      <c r="Z56" s="686"/>
      <c r="AA56" s="686"/>
      <c r="AB56" s="687"/>
      <c r="AC56" s="749"/>
      <c r="AD56" s="685"/>
      <c r="AE56" s="686"/>
      <c r="AF56" s="686"/>
      <c r="AG56" s="687"/>
      <c r="AH56" s="749"/>
      <c r="AI56" s="685"/>
      <c r="AJ56" s="686"/>
      <c r="AK56" s="686"/>
      <c r="AL56" s="687"/>
      <c r="AM56" s="749"/>
      <c r="AN56" s="685"/>
      <c r="AO56" s="686"/>
      <c r="AP56" s="686"/>
      <c r="AQ56" s="687"/>
      <c r="AR56" s="749"/>
      <c r="AS56" s="685"/>
      <c r="AT56" s="686"/>
      <c r="AU56" s="686"/>
      <c r="AV56" s="687"/>
      <c r="AW56" s="749"/>
      <c r="AX56" s="685">
        <f>BB56</f>
        <v>0.28000000000000003</v>
      </c>
      <c r="AY56" s="686">
        <f>BB56</f>
        <v>0.28000000000000003</v>
      </c>
      <c r="AZ56" s="686">
        <f>BB56</f>
        <v>0.28000000000000003</v>
      </c>
      <c r="BA56" s="687">
        <f>BB56</f>
        <v>0.28000000000000003</v>
      </c>
      <c r="BB56" s="749">
        <v>0.28000000000000003</v>
      </c>
      <c r="BC56" s="685">
        <f>BG56</f>
        <v>0.28000000000000003</v>
      </c>
      <c r="BD56" s="686">
        <f>BG56</f>
        <v>0.28000000000000003</v>
      </c>
      <c r="BE56" s="686">
        <f>BG56</f>
        <v>0.28000000000000003</v>
      </c>
      <c r="BF56" s="687">
        <f>BG56</f>
        <v>0.28000000000000003</v>
      </c>
      <c r="BG56" s="749">
        <v>0.28000000000000003</v>
      </c>
      <c r="BH56" s="685">
        <f>BL56</f>
        <v>0.28000000000000003</v>
      </c>
      <c r="BI56" s="686">
        <f>BL56</f>
        <v>0.28000000000000003</v>
      </c>
      <c r="BJ56" s="686">
        <f>BL56</f>
        <v>0.28000000000000003</v>
      </c>
      <c r="BK56" s="687">
        <f>BL56</f>
        <v>0.28000000000000003</v>
      </c>
      <c r="BL56" s="749">
        <v>0.28000000000000003</v>
      </c>
      <c r="BM56" s="685">
        <f>BQ56</f>
        <v>0.28000000000000003</v>
      </c>
      <c r="BN56" s="686">
        <f>BQ56</f>
        <v>0.28000000000000003</v>
      </c>
      <c r="BO56" s="686">
        <f>BQ56</f>
        <v>0.28000000000000003</v>
      </c>
      <c r="BP56" s="687">
        <f>BQ56</f>
        <v>0.28000000000000003</v>
      </c>
      <c r="BQ56" s="749">
        <v>0.28000000000000003</v>
      </c>
    </row>
    <row r="57" spans="2:73">
      <c r="B57" s="92"/>
      <c r="C57" s="89"/>
      <c r="D57" s="87"/>
      <c r="E57" s="133"/>
      <c r="F57" s="134"/>
      <c r="G57" s="134"/>
      <c r="H57" s="135"/>
      <c r="I57" s="481"/>
      <c r="J57" s="482"/>
      <c r="K57" s="483"/>
      <c r="L57" s="483"/>
      <c r="M57" s="484"/>
      <c r="N57" s="481"/>
      <c r="O57" s="482"/>
      <c r="P57" s="483"/>
      <c r="Q57" s="483"/>
      <c r="R57" s="484"/>
      <c r="S57" s="481"/>
      <c r="T57" s="133"/>
      <c r="U57" s="134"/>
      <c r="V57" s="134"/>
      <c r="W57" s="135"/>
      <c r="X57" s="233"/>
      <c r="Y57" s="133"/>
      <c r="Z57" s="134"/>
      <c r="AA57" s="134"/>
      <c r="AB57" s="135"/>
      <c r="AC57" s="233"/>
      <c r="AD57" s="133"/>
      <c r="AE57" s="134"/>
      <c r="AF57" s="134"/>
      <c r="AG57" s="135"/>
      <c r="AH57" s="233"/>
      <c r="AI57" s="133"/>
      <c r="AJ57" s="134"/>
      <c r="AK57" s="134"/>
      <c r="AL57" s="135"/>
      <c r="AM57" s="233"/>
      <c r="AN57" s="133"/>
      <c r="AO57" s="134"/>
      <c r="AP57" s="134"/>
      <c r="AQ57" s="135"/>
      <c r="AR57" s="233"/>
      <c r="AS57" s="133"/>
      <c r="AT57" s="134"/>
      <c r="AU57" s="134"/>
      <c r="AV57" s="135"/>
      <c r="AW57" s="233"/>
      <c r="AX57" s="133"/>
      <c r="AY57" s="134"/>
      <c r="AZ57" s="134"/>
      <c r="BA57" s="135"/>
      <c r="BB57" s="233"/>
      <c r="BC57" s="133"/>
      <c r="BD57" s="134"/>
      <c r="BE57" s="134"/>
      <c r="BF57" s="135"/>
      <c r="BG57" s="233"/>
      <c r="BH57" s="133"/>
      <c r="BI57" s="134"/>
      <c r="BJ57" s="134"/>
      <c r="BK57" s="135"/>
      <c r="BL57" s="233"/>
      <c r="BM57" s="133"/>
      <c r="BN57" s="134"/>
      <c r="BO57" s="134"/>
      <c r="BP57" s="135"/>
      <c r="BQ57" s="233"/>
    </row>
    <row r="58" spans="2:73">
      <c r="B58" s="92"/>
      <c r="C58" s="89"/>
      <c r="D58" s="87"/>
      <c r="E58" s="133"/>
      <c r="F58" s="134"/>
      <c r="G58" s="134"/>
      <c r="H58" s="135"/>
      <c r="I58" s="481"/>
      <c r="J58" s="482"/>
      <c r="K58" s="483"/>
      <c r="L58" s="483"/>
      <c r="M58" s="484"/>
      <c r="N58" s="481"/>
      <c r="O58" s="482"/>
      <c r="P58" s="483"/>
      <c r="Q58" s="483"/>
      <c r="R58" s="484"/>
      <c r="S58" s="481"/>
      <c r="T58" s="133"/>
      <c r="U58" s="134"/>
      <c r="V58" s="134"/>
      <c r="W58" s="135"/>
      <c r="X58" s="233"/>
      <c r="Y58" s="133"/>
      <c r="Z58" s="134"/>
      <c r="AA58" s="134"/>
      <c r="AB58" s="135"/>
      <c r="AC58" s="233"/>
      <c r="AD58" s="133"/>
      <c r="AE58" s="134"/>
      <c r="AF58" s="134"/>
      <c r="AG58" s="135"/>
      <c r="AH58" s="233"/>
      <c r="AI58" s="133"/>
      <c r="AJ58" s="134"/>
      <c r="AK58" s="134"/>
      <c r="AL58" s="135"/>
      <c r="AM58" s="233"/>
      <c r="AN58" s="133"/>
      <c r="AO58" s="134"/>
      <c r="AP58" s="134"/>
      <c r="AQ58" s="135"/>
      <c r="AR58" s="233"/>
      <c r="AS58" s="133"/>
      <c r="AT58" s="134"/>
      <c r="AU58" s="134"/>
      <c r="AV58" s="135"/>
      <c r="AW58" s="233"/>
      <c r="AX58" s="133"/>
      <c r="AY58" s="134"/>
      <c r="AZ58" s="134"/>
      <c r="BA58" s="135"/>
      <c r="BB58" s="233"/>
      <c r="BC58" s="133"/>
      <c r="BD58" s="134"/>
      <c r="BE58" s="134"/>
      <c r="BF58" s="135"/>
      <c r="BG58" s="233"/>
      <c r="BH58" s="133"/>
      <c r="BI58" s="134"/>
      <c r="BJ58" s="134"/>
      <c r="BK58" s="135"/>
      <c r="BL58" s="233"/>
      <c r="BM58" s="133"/>
      <c r="BN58" s="134"/>
      <c r="BO58" s="134"/>
      <c r="BP58" s="135"/>
      <c r="BQ58" s="233"/>
    </row>
    <row r="59" spans="2:73">
      <c r="B59" s="126" t="s">
        <v>41</v>
      </c>
      <c r="C59" s="32"/>
      <c r="D59" s="127"/>
      <c r="E59" s="152"/>
      <c r="F59" s="153"/>
      <c r="G59" s="153"/>
      <c r="H59" s="154"/>
      <c r="I59" s="178"/>
      <c r="J59" s="152"/>
      <c r="K59" s="153"/>
      <c r="L59" s="153"/>
      <c r="M59" s="154"/>
      <c r="N59" s="178"/>
      <c r="O59" s="152"/>
      <c r="P59" s="153"/>
      <c r="Q59" s="153"/>
      <c r="R59" s="154"/>
      <c r="S59" s="178"/>
      <c r="T59" s="152"/>
      <c r="U59" s="153"/>
      <c r="V59" s="153"/>
      <c r="W59" s="154"/>
      <c r="X59" s="178"/>
      <c r="Y59" s="152"/>
      <c r="Z59" s="153"/>
      <c r="AA59" s="153"/>
      <c r="AB59" s="154"/>
      <c r="AC59" s="178"/>
      <c r="AD59" s="152"/>
      <c r="AE59" s="153"/>
      <c r="AF59" s="153"/>
      <c r="AG59" s="154"/>
      <c r="AH59" s="178"/>
      <c r="AI59" s="152"/>
      <c r="AJ59" s="153"/>
      <c r="AK59" s="153"/>
      <c r="AL59" s="154"/>
      <c r="AM59" s="178"/>
      <c r="AN59" s="152"/>
      <c r="AO59" s="153"/>
      <c r="AP59" s="153"/>
      <c r="AQ59" s="154"/>
      <c r="AR59" s="178"/>
      <c r="AS59" s="152"/>
      <c r="AT59" s="153"/>
      <c r="AU59" s="153"/>
      <c r="AV59" s="154"/>
      <c r="AW59" s="178"/>
      <c r="AX59" s="152"/>
      <c r="AY59" s="153"/>
      <c r="AZ59" s="153"/>
      <c r="BA59" s="154"/>
      <c r="BB59" s="178"/>
      <c r="BC59" s="152"/>
      <c r="BD59" s="153"/>
      <c r="BE59" s="153"/>
      <c r="BF59" s="154"/>
      <c r="BG59" s="178"/>
      <c r="BH59" s="152"/>
      <c r="BI59" s="153"/>
      <c r="BJ59" s="153"/>
      <c r="BK59" s="154"/>
      <c r="BL59" s="178"/>
      <c r="BM59" s="152"/>
      <c r="BN59" s="153"/>
      <c r="BO59" s="153"/>
      <c r="BP59" s="154"/>
      <c r="BQ59" s="178"/>
    </row>
    <row r="60" spans="2:73">
      <c r="B60" s="92"/>
      <c r="C60" s="89"/>
      <c r="D60" s="89"/>
      <c r="E60" s="133"/>
      <c r="F60" s="134"/>
      <c r="G60" s="134"/>
      <c r="H60" s="135"/>
      <c r="I60" s="178"/>
      <c r="J60" s="130"/>
      <c r="K60" s="131"/>
      <c r="L60" s="131"/>
      <c r="M60" s="132"/>
      <c r="N60" s="239"/>
      <c r="O60" s="130"/>
      <c r="P60" s="131"/>
      <c r="Q60" s="131"/>
      <c r="R60" s="132"/>
      <c r="S60" s="239"/>
      <c r="T60" s="130"/>
      <c r="U60" s="131"/>
      <c r="V60" s="131"/>
      <c r="W60" s="132"/>
      <c r="X60" s="239"/>
      <c r="Y60" s="130"/>
      <c r="Z60" s="131"/>
      <c r="AA60" s="131"/>
      <c r="AB60" s="132"/>
      <c r="AC60" s="239"/>
      <c r="AD60" s="130"/>
      <c r="AE60" s="131"/>
      <c r="AF60" s="131"/>
      <c r="AG60" s="132"/>
      <c r="AH60" s="239"/>
      <c r="AI60" s="130"/>
      <c r="AJ60" s="131"/>
      <c r="AK60" s="131"/>
      <c r="AL60" s="132"/>
      <c r="AM60" s="239"/>
      <c r="AN60" s="130"/>
      <c r="AO60" s="131"/>
      <c r="AP60" s="131"/>
      <c r="AQ60" s="132"/>
      <c r="AR60" s="239"/>
      <c r="AS60" s="130"/>
      <c r="AT60" s="131"/>
      <c r="AU60" s="131"/>
      <c r="AV60" s="132"/>
      <c r="AW60" s="239"/>
      <c r="AX60" s="130"/>
      <c r="AY60" s="131"/>
      <c r="AZ60" s="131"/>
      <c r="BA60" s="132"/>
      <c r="BB60" s="239"/>
      <c r="BC60" s="130"/>
      <c r="BD60" s="131"/>
      <c r="BE60" s="131"/>
      <c r="BF60" s="132"/>
      <c r="BG60" s="239"/>
      <c r="BH60" s="130"/>
      <c r="BI60" s="131"/>
      <c r="BJ60" s="131"/>
      <c r="BK60" s="132"/>
      <c r="BL60" s="239"/>
      <c r="BM60" s="130"/>
      <c r="BN60" s="131"/>
      <c r="BO60" s="131"/>
      <c r="BP60" s="132"/>
      <c r="BQ60" s="239"/>
    </row>
    <row r="61" spans="2:73">
      <c r="B61" s="92"/>
      <c r="C61" s="89" t="s">
        <v>220</v>
      </c>
      <c r="E61" s="130"/>
      <c r="F61" s="131"/>
      <c r="G61" s="131"/>
      <c r="H61" s="132"/>
      <c r="I61" s="298"/>
      <c r="J61" s="296"/>
      <c r="K61" s="297"/>
      <c r="L61" s="297"/>
      <c r="M61" s="290"/>
      <c r="N61" s="298"/>
      <c r="O61" s="296"/>
      <c r="P61" s="297"/>
      <c r="Q61" s="297"/>
      <c r="R61" s="290"/>
      <c r="S61" s="298"/>
      <c r="T61" s="296"/>
      <c r="U61" s="297"/>
      <c r="V61" s="297"/>
      <c r="W61" s="290"/>
      <c r="X61" s="298"/>
      <c r="Y61" s="296"/>
      <c r="Z61" s="297"/>
      <c r="AA61" s="297"/>
      <c r="AB61" s="290"/>
      <c r="AC61" s="298"/>
      <c r="AD61" s="296">
        <f>AD33</f>
        <v>-19</v>
      </c>
      <c r="AE61" s="297">
        <f>AE33</f>
        <v>-38</v>
      </c>
      <c r="AF61" s="297">
        <f>AF33</f>
        <v>-15</v>
      </c>
      <c r="AG61" s="290">
        <f>AG33</f>
        <v>20</v>
      </c>
      <c r="AH61" s="298">
        <f>SUM(AD61:AG61)</f>
        <v>-52</v>
      </c>
      <c r="AI61" s="296">
        <f>AI33</f>
        <v>-49</v>
      </c>
      <c r="AJ61" s="297">
        <f>AJ33</f>
        <v>-46</v>
      </c>
      <c r="AK61" s="297">
        <f>AK33</f>
        <v>-49</v>
      </c>
      <c r="AL61" s="290">
        <f>AL33</f>
        <v>-283</v>
      </c>
      <c r="AM61" s="298">
        <f>SUM(AI61:AL61)</f>
        <v>-427</v>
      </c>
      <c r="AN61" s="296">
        <f>AN33</f>
        <v>-55</v>
      </c>
      <c r="AO61" s="297">
        <f>AO33</f>
        <v>-47</v>
      </c>
      <c r="AP61" s="297">
        <f>AP33</f>
        <v>-67</v>
      </c>
      <c r="AQ61" s="290">
        <f>AQ33</f>
        <v>-71</v>
      </c>
      <c r="AR61" s="298">
        <f>SUM(AN61:AQ61)</f>
        <v>-240</v>
      </c>
      <c r="AS61" s="296">
        <f>AS33</f>
        <v>-53</v>
      </c>
      <c r="AT61" s="297">
        <f>AT33</f>
        <v>-67</v>
      </c>
      <c r="AU61" s="297">
        <f t="shared" ref="AU61" si="99">AU33</f>
        <v>-68</v>
      </c>
      <c r="AV61" s="290">
        <f>AV33</f>
        <v>-147</v>
      </c>
      <c r="AW61" s="298">
        <f>SUM(AS61:AV61)</f>
        <v>-335</v>
      </c>
      <c r="AX61" s="296">
        <f>AX33</f>
        <v>-69.237271157986868</v>
      </c>
      <c r="AY61" s="297">
        <f>AY33</f>
        <v>-81.118637830656937</v>
      </c>
      <c r="AZ61" s="297">
        <f>AZ33</f>
        <v>-73.551590895637815</v>
      </c>
      <c r="BA61" s="290">
        <f>BA33</f>
        <v>-76.193270406193108</v>
      </c>
      <c r="BB61" s="298">
        <f>SUM(AX61:BA61)</f>
        <v>-300.10077029047477</v>
      </c>
      <c r="BC61" s="296">
        <f>BC33</f>
        <v>-71.970669643843976</v>
      </c>
      <c r="BD61" s="297">
        <f>BD33</f>
        <v>-82.486340684657833</v>
      </c>
      <c r="BE61" s="297">
        <f>BE33</f>
        <v>-61.089136329968099</v>
      </c>
      <c r="BF61" s="290">
        <f>BF33</f>
        <v>-63.879701707292057</v>
      </c>
      <c r="BG61" s="298">
        <f>SUM(BC61:BF61)</f>
        <v>-279.42584836576196</v>
      </c>
      <c r="BH61" s="296">
        <f>BH33</f>
        <v>-58.194420649030846</v>
      </c>
      <c r="BI61" s="297">
        <f>BI33</f>
        <v>-70.543019604762875</v>
      </c>
      <c r="BJ61" s="297">
        <f>BJ33</f>
        <v>-62.311068281435482</v>
      </c>
      <c r="BK61" s="290">
        <f>BK33</f>
        <v>-65.475796477682792</v>
      </c>
      <c r="BL61" s="298">
        <f>SUM(BH61:BK61)</f>
        <v>-256.52430501291201</v>
      </c>
      <c r="BM61" s="296">
        <f>BM33</f>
        <v>-60.071545763709061</v>
      </c>
      <c r="BN61" s="297">
        <f>BN33</f>
        <v>-72.856284186407308</v>
      </c>
      <c r="BO61" s="297">
        <f>BO33</f>
        <v>-61.969203282697094</v>
      </c>
      <c r="BP61" s="290">
        <f>BP33</f>
        <v>-65.078886255366896</v>
      </c>
      <c r="BQ61" s="298">
        <f>SUM(BM61:BP61)</f>
        <v>-259.97591948818035</v>
      </c>
    </row>
    <row r="62" spans="2:73">
      <c r="B62" s="92"/>
      <c r="C62" s="89" t="s">
        <v>873</v>
      </c>
      <c r="E62" s="130"/>
      <c r="F62" s="131"/>
      <c r="G62" s="131"/>
      <c r="H62" s="132"/>
      <c r="I62" s="298"/>
      <c r="J62" s="296"/>
      <c r="K62" s="297"/>
      <c r="L62" s="297"/>
      <c r="M62" s="290"/>
      <c r="N62" s="298"/>
      <c r="O62" s="296"/>
      <c r="P62" s="297"/>
      <c r="Q62" s="297"/>
      <c r="R62" s="290"/>
      <c r="S62" s="298"/>
      <c r="T62" s="296"/>
      <c r="U62" s="297"/>
      <c r="V62" s="297"/>
      <c r="W62" s="290"/>
      <c r="X62" s="298"/>
      <c r="Y62" s="296"/>
      <c r="Z62" s="297"/>
      <c r="AA62" s="297"/>
      <c r="AB62" s="290"/>
      <c r="AC62" s="298"/>
      <c r="AD62" s="296">
        <f>AD13</f>
        <v>11</v>
      </c>
      <c r="AE62" s="297">
        <f>AE13</f>
        <v>12</v>
      </c>
      <c r="AF62" s="297">
        <f>AF13</f>
        <v>10</v>
      </c>
      <c r="AG62" s="290">
        <f>AG13</f>
        <v>15</v>
      </c>
      <c r="AH62" s="298">
        <f>SUM(AD62:AG62)</f>
        <v>48</v>
      </c>
      <c r="AI62" s="296">
        <f>AI13</f>
        <v>14</v>
      </c>
      <c r="AJ62" s="297">
        <f>AJ13</f>
        <v>15</v>
      </c>
      <c r="AK62" s="297">
        <f>AK13</f>
        <v>15</v>
      </c>
      <c r="AL62" s="290">
        <f>AL13</f>
        <v>16</v>
      </c>
      <c r="AM62" s="298">
        <f>SUM(AI62:AL62)</f>
        <v>60</v>
      </c>
      <c r="AN62" s="296">
        <f>AN13</f>
        <v>15</v>
      </c>
      <c r="AO62" s="297">
        <f>AO13</f>
        <v>17</v>
      </c>
      <c r="AP62" s="297">
        <f>AP13</f>
        <v>16</v>
      </c>
      <c r="AQ62" s="290">
        <f>AQ13</f>
        <v>15</v>
      </c>
      <c r="AR62" s="298">
        <f>SUM(AN62:AQ62)</f>
        <v>63</v>
      </c>
      <c r="AS62" s="296">
        <f>AS13</f>
        <v>18</v>
      </c>
      <c r="AT62" s="297">
        <f>AT13</f>
        <v>19</v>
      </c>
      <c r="AU62" s="297">
        <f t="shared" ref="AU62" si="100">AU13</f>
        <v>17</v>
      </c>
      <c r="AV62" s="290">
        <f>AV13</f>
        <v>18</v>
      </c>
      <c r="AW62" s="298">
        <f>SUM(AS62:AV62)</f>
        <v>72</v>
      </c>
      <c r="AX62" s="296">
        <f>AX13</f>
        <v>18</v>
      </c>
      <c r="AY62" s="297">
        <f>AY13</f>
        <v>19</v>
      </c>
      <c r="AZ62" s="297">
        <f>AZ13</f>
        <v>17</v>
      </c>
      <c r="BA62" s="290">
        <f>BA13</f>
        <v>18</v>
      </c>
      <c r="BB62" s="298">
        <f>SUM(AX62:BA62)</f>
        <v>72</v>
      </c>
      <c r="BC62" s="296">
        <f>BC13</f>
        <v>18</v>
      </c>
      <c r="BD62" s="297">
        <f>BD13</f>
        <v>19</v>
      </c>
      <c r="BE62" s="297">
        <f>BE13</f>
        <v>17</v>
      </c>
      <c r="BF62" s="290">
        <f>BF13</f>
        <v>18</v>
      </c>
      <c r="BG62" s="298">
        <f>SUM(BC62:BF62)</f>
        <v>72</v>
      </c>
      <c r="BH62" s="296">
        <f>BH13</f>
        <v>18</v>
      </c>
      <c r="BI62" s="297">
        <f>BI13</f>
        <v>19</v>
      </c>
      <c r="BJ62" s="297">
        <f>BJ13</f>
        <v>17</v>
      </c>
      <c r="BK62" s="290">
        <f>BK13</f>
        <v>18</v>
      </c>
      <c r="BL62" s="298">
        <f>SUM(BH62:BK62)</f>
        <v>72</v>
      </c>
      <c r="BM62" s="296">
        <f>BM13</f>
        <v>18</v>
      </c>
      <c r="BN62" s="297">
        <f>BN13</f>
        <v>19</v>
      </c>
      <c r="BO62" s="297">
        <f>BO13</f>
        <v>17</v>
      </c>
      <c r="BP62" s="290">
        <f>BP13</f>
        <v>18</v>
      </c>
      <c r="BQ62" s="298">
        <f>SUM(BM62:BP62)</f>
        <v>72</v>
      </c>
    </row>
    <row r="63" spans="2:73">
      <c r="B63" s="92"/>
      <c r="C63" s="120" t="s">
        <v>161</v>
      </c>
      <c r="D63" s="92"/>
      <c r="E63" s="130"/>
      <c r="F63" s="131"/>
      <c r="G63" s="131"/>
      <c r="H63" s="132"/>
      <c r="I63" s="298"/>
      <c r="J63" s="296"/>
      <c r="K63" s="297"/>
      <c r="L63" s="297"/>
      <c r="M63" s="290"/>
      <c r="N63" s="298"/>
      <c r="O63" s="296"/>
      <c r="P63" s="297"/>
      <c r="Q63" s="297"/>
      <c r="R63" s="290"/>
      <c r="S63" s="298"/>
      <c r="T63" s="296"/>
      <c r="U63" s="297"/>
      <c r="V63" s="297"/>
      <c r="W63" s="290"/>
      <c r="X63" s="298"/>
      <c r="Y63" s="296"/>
      <c r="Z63" s="297"/>
      <c r="AA63" s="297"/>
      <c r="AB63" s="290"/>
      <c r="AC63" s="298"/>
      <c r="AD63" s="296">
        <f>AD64-AD62-AD61</f>
        <v>-651.75</v>
      </c>
      <c r="AE63" s="297">
        <f>AE64-AE62-AE61</f>
        <v>243.25</v>
      </c>
      <c r="AF63" s="297">
        <f>AF64-AF62-AF61</f>
        <v>352.25</v>
      </c>
      <c r="AG63" s="290">
        <f>AG64-AG62-AG61</f>
        <v>891.25</v>
      </c>
      <c r="AH63" s="298">
        <f>SUM(AD63:AG63)</f>
        <v>835</v>
      </c>
      <c r="AI63" s="296">
        <f>AI64-AI62-AI61</f>
        <v>-364.5</v>
      </c>
      <c r="AJ63" s="297">
        <f>AJ64-AJ62-AJ61</f>
        <v>243.5</v>
      </c>
      <c r="AK63" s="297">
        <f>AK64-AK62-AK61</f>
        <v>506.5</v>
      </c>
      <c r="AL63" s="290">
        <f>AL64-AL62-AL61</f>
        <v>988.5</v>
      </c>
      <c r="AM63" s="298">
        <f>SUM(AI63:AL63)</f>
        <v>1374</v>
      </c>
      <c r="AN63" s="296">
        <f>AN64-AN62-AN61</f>
        <v>-65.5</v>
      </c>
      <c r="AO63" s="297">
        <f>AO64-AO62-AO61</f>
        <v>258.5</v>
      </c>
      <c r="AP63" s="297">
        <f>AP64-AP62-AP61</f>
        <v>395.5</v>
      </c>
      <c r="AQ63" s="290">
        <f>AQ64-AQ62-AQ61</f>
        <v>6214.5</v>
      </c>
      <c r="AR63" s="298">
        <f>SUM(AN63:AQ63)</f>
        <v>6803</v>
      </c>
      <c r="AS63" s="296">
        <f>AS64-AS62-AS61</f>
        <v>157.08124999999995</v>
      </c>
      <c r="AT63" s="297">
        <f>AT64-AT62-AT61</f>
        <v>89.081249999999955</v>
      </c>
      <c r="AU63" s="297">
        <f t="shared" ref="AU63" si="101">AU64-AU62-AU61</f>
        <v>411.08124999999995</v>
      </c>
      <c r="AV63" s="290">
        <f>AV64-AV62-AV61</f>
        <v>3050.0812500000002</v>
      </c>
      <c r="AW63" s="298">
        <f>SUM(AS63:AV63)</f>
        <v>3707.3249999999998</v>
      </c>
      <c r="AX63" s="296">
        <f>AX64-AX62-AX61</f>
        <v>-1209.9525600989391</v>
      </c>
      <c r="AY63" s="297">
        <f>AY64-AY62-AY61</f>
        <v>40.047439901061367</v>
      </c>
      <c r="AZ63" s="297">
        <f>AZ64-AZ62-AZ61</f>
        <v>40.047439901061836</v>
      </c>
      <c r="BA63" s="290">
        <f>BA64-BA62-BA61</f>
        <v>40.04743990106153</v>
      </c>
      <c r="BB63" s="298">
        <f>SUM(AX63:BA63)</f>
        <v>-1089.8102403957544</v>
      </c>
      <c r="BC63" s="296">
        <f>BC64-BC62-BC61</f>
        <v>69.469514379624826</v>
      </c>
      <c r="BD63" s="297">
        <f>BD64-BD62-BD61</f>
        <v>69.469514379624684</v>
      </c>
      <c r="BE63" s="297">
        <f>BE64-BE62-BE61</f>
        <v>69.469514379625238</v>
      </c>
      <c r="BF63" s="290">
        <f>BF64-BF62-BF61</f>
        <v>69.469514379625465</v>
      </c>
      <c r="BG63" s="298">
        <f>SUM(BC63:BF63)</f>
        <v>277.87805751850021</v>
      </c>
      <c r="BH63" s="296">
        <f>BH64-BH62-BH61</f>
        <v>128.64067762964208</v>
      </c>
      <c r="BI63" s="297">
        <f>BI64-BI62-BI61</f>
        <v>128.6406776296426</v>
      </c>
      <c r="BJ63" s="297">
        <f>BJ64-BJ62-BJ61</f>
        <v>128.64067762964265</v>
      </c>
      <c r="BK63" s="290">
        <f>BK64-BK62-BK61</f>
        <v>128.64067762964265</v>
      </c>
      <c r="BL63" s="298">
        <f>SUM(BH63:BK63)</f>
        <v>514.56271051856993</v>
      </c>
      <c r="BM63" s="296">
        <f>BM64-BM62-BM61</f>
        <v>133.05485909990273</v>
      </c>
      <c r="BN63" s="297">
        <f>BN64-BN62-BN61</f>
        <v>133.05485909990304</v>
      </c>
      <c r="BO63" s="297">
        <f>BO64-BO62-BO61</f>
        <v>133.05485909990225</v>
      </c>
      <c r="BP63" s="290">
        <f>BP64-BP62-BP61</f>
        <v>133.05485909990256</v>
      </c>
      <c r="BQ63" s="298">
        <f>SUM(BM63:BP63)</f>
        <v>532.21943639961069</v>
      </c>
    </row>
    <row r="64" spans="2:73">
      <c r="B64" s="92"/>
      <c r="C64" s="88" t="s">
        <v>255</v>
      </c>
      <c r="E64" s="231"/>
      <c r="F64" s="232"/>
      <c r="G64" s="232"/>
      <c r="H64" s="234"/>
      <c r="I64" s="320"/>
      <c r="J64" s="318"/>
      <c r="K64" s="319"/>
      <c r="L64" s="319"/>
      <c r="M64" s="314"/>
      <c r="N64" s="320"/>
      <c r="O64" s="318"/>
      <c r="P64" s="319"/>
      <c r="Q64" s="319"/>
      <c r="R64" s="314"/>
      <c r="S64" s="320"/>
      <c r="T64" s="318"/>
      <c r="U64" s="319"/>
      <c r="V64" s="319"/>
      <c r="W64" s="314"/>
      <c r="X64" s="320"/>
      <c r="Y64" s="318"/>
      <c r="Z64" s="319"/>
      <c r="AA64" s="319"/>
      <c r="AB64" s="314"/>
      <c r="AC64" s="320"/>
      <c r="AD64" s="318">
        <f>FirstEnergy!AD134-Distribution!AD149-Competitive!AD597</f>
        <v>-659.75</v>
      </c>
      <c r="AE64" s="319">
        <f>FirstEnergy!AE134-Distribution!AE149-Competitive!AE597</f>
        <v>217.25</v>
      </c>
      <c r="AF64" s="319">
        <f>FirstEnergy!AF134-Distribution!AF149-Competitive!AF597</f>
        <v>347.25</v>
      </c>
      <c r="AG64" s="314">
        <f>FirstEnergy!AG134-Distribution!AG149-Competitive!AG597</f>
        <v>926.25</v>
      </c>
      <c r="AH64" s="320">
        <f>SUM(AH61:AH63)</f>
        <v>831</v>
      </c>
      <c r="AI64" s="318">
        <f>FirstEnergy!AI134-Distribution!AI149-Competitive!AI597</f>
        <v>-399.5</v>
      </c>
      <c r="AJ64" s="319">
        <f>FirstEnergy!AJ134-Distribution!AJ149-Competitive!AJ597</f>
        <v>212.5</v>
      </c>
      <c r="AK64" s="319">
        <f>FirstEnergy!AK134-Distribution!AK149-Competitive!AK597</f>
        <v>472.5</v>
      </c>
      <c r="AL64" s="314">
        <f>FirstEnergy!AL134-Distribution!AL149-Competitive!AL597</f>
        <v>721.5</v>
      </c>
      <c r="AM64" s="320">
        <f>SUM(AM61:AM63)</f>
        <v>1007</v>
      </c>
      <c r="AN64" s="318">
        <f>FirstEnergy!AN134-Distribution!AN149-Competitive!AN597</f>
        <v>-105.5</v>
      </c>
      <c r="AO64" s="319">
        <f>FirstEnergy!AO134-Distribution!AO149-Competitive!AO597</f>
        <v>228.5</v>
      </c>
      <c r="AP64" s="319">
        <f>FirstEnergy!AP134-Distribution!AP149-Competitive!AP597</f>
        <v>344.5</v>
      </c>
      <c r="AQ64" s="314">
        <f>FirstEnergy!AQ134-Distribution!AQ149-Competitive!AQ597</f>
        <v>6158.5</v>
      </c>
      <c r="AR64" s="320">
        <f>SUM(AR61:AR63)</f>
        <v>6626</v>
      </c>
      <c r="AS64" s="318">
        <f>FirstEnergy!AS134-Distribution!AS149-Competitive!AS597</f>
        <v>122.08124999999995</v>
      </c>
      <c r="AT64" s="319">
        <f>FirstEnergy!AT134-Distribution!AT149-Competitive!AT597</f>
        <v>41.081249999999955</v>
      </c>
      <c r="AU64" s="319">
        <f>FirstEnergy!AU134-Distribution!AU149-Competitive!AU597</f>
        <v>360.08124999999995</v>
      </c>
      <c r="AV64" s="314">
        <f>FirstEnergy!AV134-Distribution!AV149-Competitive!AV597</f>
        <v>2921.0812500000002</v>
      </c>
      <c r="AW64" s="320">
        <f>SUM(AW61:AW63)</f>
        <v>3444.3249999999998</v>
      </c>
      <c r="AX64" s="318">
        <f>FirstEnergy!AX134-Distribution!AX149-Competitive!AX597</f>
        <v>-1261.189831256926</v>
      </c>
      <c r="AY64" s="319">
        <f>FirstEnergy!AY134-Distribution!AY149-Competitive!AY597</f>
        <v>-22.071197929595574</v>
      </c>
      <c r="AZ64" s="319">
        <f>FirstEnergy!AZ134-Distribution!AZ149-Competitive!AZ597</f>
        <v>-16.50415099457598</v>
      </c>
      <c r="BA64" s="314">
        <f>FirstEnergy!BA134-Distribution!BA149-Competitive!BA597</f>
        <v>-18.145830505131578</v>
      </c>
      <c r="BB64" s="320">
        <f>SUM(BB61:BB63)</f>
        <v>-1317.911010686229</v>
      </c>
      <c r="BC64" s="318">
        <f>FirstEnergy!BC134-Distribution!BC149-Competitive!BC597</f>
        <v>15.49884473578085</v>
      </c>
      <c r="BD64" s="319">
        <f>FirstEnergy!BD134-Distribution!BD149-Competitive!BD597</f>
        <v>5.983173694966851</v>
      </c>
      <c r="BE64" s="319">
        <f>FirstEnergy!BE134-Distribution!BE149-Competitive!BE597</f>
        <v>25.380378049657139</v>
      </c>
      <c r="BF64" s="314">
        <f>FirstEnergy!BF134-Distribution!BF149-Competitive!BF597</f>
        <v>23.589812672333409</v>
      </c>
      <c r="BG64" s="320">
        <f>SUM(BG61:BG63)</f>
        <v>70.452209152738249</v>
      </c>
      <c r="BH64" s="318">
        <f>FirstEnergy!BH134-Distribution!BH149-Competitive!BH597</f>
        <v>88.446256980611253</v>
      </c>
      <c r="BI64" s="319">
        <f>FirstEnergy!BI134-Distribution!BI149-Competitive!BI597</f>
        <v>77.097658024879706</v>
      </c>
      <c r="BJ64" s="319">
        <f>FirstEnergy!BJ134-Distribution!BJ149-Competitive!BJ597</f>
        <v>83.329609348207185</v>
      </c>
      <c r="BK64" s="314">
        <f>FirstEnergy!BK134-Distribution!BK149-Competitive!BK597</f>
        <v>81.164881151959875</v>
      </c>
      <c r="BL64" s="320">
        <f>SUM(BL61:BL63)</f>
        <v>330.03840550565792</v>
      </c>
      <c r="BM64" s="318">
        <f>FirstEnergy!BM134-Distribution!BM149-Competitive!BM597</f>
        <v>90.983313336193675</v>
      </c>
      <c r="BN64" s="319">
        <f>FirstEnergy!BN134-Distribution!BN149-Competitive!BN597</f>
        <v>79.198574913495733</v>
      </c>
      <c r="BO64" s="319">
        <f>FirstEnergy!BO134-Distribution!BO149-Competitive!BO597</f>
        <v>88.085655817205151</v>
      </c>
      <c r="BP64" s="314">
        <f>FirstEnergy!BP134-Distribution!BP149-Competitive!BP597</f>
        <v>85.975972844535676</v>
      </c>
      <c r="BQ64" s="320">
        <f>SUM(BQ61:BQ63)</f>
        <v>344.24351691143033</v>
      </c>
    </row>
    <row r="65" spans="2:69">
      <c r="B65" s="92"/>
      <c r="C65" s="89"/>
      <c r="E65" s="130"/>
      <c r="F65" s="131"/>
      <c r="G65" s="131"/>
      <c r="H65" s="132"/>
      <c r="I65" s="324"/>
      <c r="J65" s="321"/>
      <c r="K65" s="322"/>
      <c r="L65" s="322"/>
      <c r="M65" s="323"/>
      <c r="N65" s="324"/>
      <c r="O65" s="321"/>
      <c r="P65" s="322"/>
      <c r="Q65" s="322"/>
      <c r="R65" s="323"/>
      <c r="S65" s="324"/>
      <c r="T65" s="321"/>
      <c r="U65" s="322"/>
      <c r="V65" s="322"/>
      <c r="W65" s="323"/>
      <c r="X65" s="324"/>
      <c r="Y65" s="321"/>
      <c r="Z65" s="322"/>
      <c r="AA65" s="322"/>
      <c r="AB65" s="323"/>
      <c r="AC65" s="324"/>
      <c r="AD65" s="321"/>
      <c r="AE65" s="322"/>
      <c r="AF65" s="322"/>
      <c r="AG65" s="323"/>
      <c r="AH65" s="324"/>
      <c r="AI65" s="321"/>
      <c r="AJ65" s="322"/>
      <c r="AK65" s="322"/>
      <c r="AL65" s="323"/>
      <c r="AM65" s="324"/>
      <c r="AN65" s="321"/>
      <c r="AO65" s="322"/>
      <c r="AP65" s="322"/>
      <c r="AQ65" s="323"/>
      <c r="AR65" s="324"/>
      <c r="AS65" s="321"/>
      <c r="AT65" s="322"/>
      <c r="AU65" s="322"/>
      <c r="AV65" s="323"/>
      <c r="AW65" s="324"/>
      <c r="AX65" s="321"/>
      <c r="AY65" s="322"/>
      <c r="AZ65" s="322"/>
      <c r="BA65" s="323"/>
      <c r="BB65" s="324"/>
      <c r="BC65" s="321"/>
      <c r="BD65" s="322"/>
      <c r="BE65" s="322"/>
      <c r="BF65" s="323"/>
      <c r="BG65" s="324"/>
      <c r="BH65" s="321"/>
      <c r="BI65" s="322"/>
      <c r="BJ65" s="322"/>
      <c r="BK65" s="323"/>
      <c r="BL65" s="324"/>
      <c r="BM65" s="321"/>
      <c r="BN65" s="322"/>
      <c r="BO65" s="322"/>
      <c r="BP65" s="323"/>
      <c r="BQ65" s="324"/>
    </row>
    <row r="66" spans="2:69">
      <c r="B66" s="92"/>
      <c r="C66" s="89" t="s">
        <v>256</v>
      </c>
      <c r="E66" s="130"/>
      <c r="F66" s="131"/>
      <c r="G66" s="131"/>
      <c r="H66" s="132"/>
      <c r="I66" s="291">
        <v>-41</v>
      </c>
      <c r="J66" s="321"/>
      <c r="K66" s="322"/>
      <c r="L66" s="322"/>
      <c r="M66" s="323"/>
      <c r="N66" s="291">
        <v>-59</v>
      </c>
      <c r="O66" s="321"/>
      <c r="P66" s="322"/>
      <c r="Q66" s="322"/>
      <c r="R66" s="323"/>
      <c r="S66" s="291">
        <v>-93</v>
      </c>
      <c r="T66" s="321"/>
      <c r="U66" s="322"/>
      <c r="V66" s="322"/>
      <c r="W66" s="486"/>
      <c r="X66" s="291">
        <v>-83</v>
      </c>
      <c r="Y66" s="296"/>
      <c r="Z66" s="297"/>
      <c r="AA66" s="297"/>
      <c r="AB66" s="290"/>
      <c r="AC66" s="291">
        <v>-78</v>
      </c>
      <c r="AD66" s="296">
        <f>-FirstEnergy!AD85</f>
        <v>-72</v>
      </c>
      <c r="AE66" s="297">
        <f>-FirstEnergy!AE85</f>
        <v>-27</v>
      </c>
      <c r="AF66" s="297">
        <f>-FirstEnergy!AF85</f>
        <v>-57</v>
      </c>
      <c r="AG66" s="290">
        <f>-FirstEnergy!AG85</f>
        <v>-149</v>
      </c>
      <c r="AH66" s="298">
        <f>-FirstEnergy!AH85</f>
        <v>-305</v>
      </c>
      <c r="AI66" s="296">
        <f>-FirstEnergy!AI85</f>
        <v>-68</v>
      </c>
      <c r="AJ66" s="297">
        <f>-FirstEnergy!AJ85</f>
        <v>-55</v>
      </c>
      <c r="AK66" s="297">
        <f>-FirstEnergy!AK85</f>
        <v>-19</v>
      </c>
      <c r="AL66" s="290">
        <f>-FirstEnergy!AL85</f>
        <v>-104</v>
      </c>
      <c r="AM66" s="298">
        <f>-FirstEnergy!AM85</f>
        <v>-246</v>
      </c>
      <c r="AN66" s="296">
        <f>-FirstEnergy!AN85</f>
        <v>-158</v>
      </c>
      <c r="AO66" s="297">
        <f>-FirstEnergy!AO85</f>
        <v>-56</v>
      </c>
      <c r="AP66" s="297">
        <f>-FirstEnergy!AP85</f>
        <v>-12</v>
      </c>
      <c r="AQ66" s="290">
        <f>-FirstEnergy!AQ85</f>
        <v>-58</v>
      </c>
      <c r="AR66" s="298">
        <f>-FirstEnergy!AR85</f>
        <v>-284</v>
      </c>
      <c r="AS66" s="296">
        <f>-FirstEnergy!AS85</f>
        <v>-63</v>
      </c>
      <c r="AT66" s="297">
        <f>-FirstEnergy!AT85</f>
        <v>94</v>
      </c>
      <c r="AU66" s="322">
        <f>-FirstEnergy!AU85</f>
        <v>29</v>
      </c>
      <c r="AV66" s="290">
        <f>-FirstEnergy!AV85</f>
        <v>-363</v>
      </c>
      <c r="AW66" s="298">
        <f>-FirstEnergy!AW85</f>
        <v>-303</v>
      </c>
      <c r="AX66" s="296">
        <f>BB66/4</f>
        <v>-25</v>
      </c>
      <c r="AY66" s="297">
        <f>BB66/4</f>
        <v>-25</v>
      </c>
      <c r="AZ66" s="1899">
        <f>BB66/4-159/3</f>
        <v>-78</v>
      </c>
      <c r="BA66" s="290">
        <f>BB66/4</f>
        <v>-25</v>
      </c>
      <c r="BB66" s="1917">
        <v>-100</v>
      </c>
      <c r="BC66" s="296">
        <f>BG66/4</f>
        <v>-25</v>
      </c>
      <c r="BD66" s="297">
        <f>BG66/4</f>
        <v>-25</v>
      </c>
      <c r="BE66" s="2266">
        <f>BG66/4-159/3</f>
        <v>-78</v>
      </c>
      <c r="BF66" s="290">
        <f>BG66/4</f>
        <v>-25</v>
      </c>
      <c r="BG66" s="1917">
        <v>-100</v>
      </c>
      <c r="BH66" s="296">
        <f>BL66/4</f>
        <v>-25</v>
      </c>
      <c r="BI66" s="297">
        <f>BL66/4</f>
        <v>-25</v>
      </c>
      <c r="BJ66" s="297">
        <f>BL66/4</f>
        <v>-25</v>
      </c>
      <c r="BK66" s="290">
        <f>BL66/4</f>
        <v>-25</v>
      </c>
      <c r="BL66" s="1917">
        <v>-100</v>
      </c>
      <c r="BM66" s="296">
        <f>BQ66/4</f>
        <v>-25</v>
      </c>
      <c r="BN66" s="297">
        <f>BQ66/4</f>
        <v>-25</v>
      </c>
      <c r="BO66" s="297">
        <f>BQ66/4</f>
        <v>-25</v>
      </c>
      <c r="BP66" s="290">
        <f>BQ66/4</f>
        <v>-25</v>
      </c>
      <c r="BQ66" s="1917">
        <v>-100</v>
      </c>
    </row>
    <row r="67" spans="2:69">
      <c r="B67" s="92"/>
      <c r="C67" s="89" t="s">
        <v>161</v>
      </c>
      <c r="E67" s="130"/>
      <c r="F67" s="131"/>
      <c r="G67" s="131"/>
      <c r="H67" s="132"/>
      <c r="I67" s="324"/>
      <c r="J67" s="321"/>
      <c r="K67" s="322"/>
      <c r="L67" s="322"/>
      <c r="M67" s="323"/>
      <c r="N67" s="324"/>
      <c r="O67" s="321"/>
      <c r="P67" s="322"/>
      <c r="Q67" s="322"/>
      <c r="R67" s="323"/>
      <c r="S67" s="324"/>
      <c r="T67" s="321"/>
      <c r="U67" s="322"/>
      <c r="V67" s="322"/>
      <c r="W67" s="486"/>
      <c r="X67" s="324"/>
      <c r="Y67" s="667"/>
      <c r="Z67" s="485"/>
      <c r="AA67" s="485"/>
      <c r="AB67" s="486"/>
      <c r="AC67" s="324"/>
      <c r="AD67" s="667">
        <f>AD68-SUM(AD66:AD66)</f>
        <v>361</v>
      </c>
      <c r="AE67" s="485">
        <f>AE68-SUM(AE66:AE66)</f>
        <v>-63</v>
      </c>
      <c r="AF67" s="485">
        <f>AF68-SUM(AF66:AF66)</f>
        <v>-17</v>
      </c>
      <c r="AG67" s="486">
        <f>AG68-SUM(AG66:AG66)</f>
        <v>-95</v>
      </c>
      <c r="AH67" s="324">
        <f>SUM(AD67:AG67)</f>
        <v>186</v>
      </c>
      <c r="AI67" s="667">
        <f>AI68-SUM(AI66:AI66)</f>
        <v>-20</v>
      </c>
      <c r="AJ67" s="485">
        <f>AJ68-SUM(AJ66:AJ66)</f>
        <v>-90</v>
      </c>
      <c r="AK67" s="485">
        <f>AK68-SUM(AK66:AK66)</f>
        <v>-51</v>
      </c>
      <c r="AL67" s="486">
        <f>AL68-SUM(AL66:AL66)</f>
        <v>-67</v>
      </c>
      <c r="AM67" s="324">
        <f>SUM(AI67:AL67)</f>
        <v>-228</v>
      </c>
      <c r="AN67" s="667">
        <f>AN68-SUM(AN66:AN66)</f>
        <v>-18</v>
      </c>
      <c r="AO67" s="485">
        <f>AO68-SUM(AO66:AO66)</f>
        <v>-69</v>
      </c>
      <c r="AP67" s="485">
        <f>AP68-SUM(AP66:AP66)</f>
        <v>-38</v>
      </c>
      <c r="AQ67" s="486">
        <f>AQ68-SUM(AQ66:AQ66)</f>
        <v>-89</v>
      </c>
      <c r="AR67" s="324">
        <f>SUM(AN67:AQ67)</f>
        <v>-214</v>
      </c>
      <c r="AS67" s="667">
        <f>AS68-SUM(AS66:AS66)</f>
        <v>-42</v>
      </c>
      <c r="AT67" s="485">
        <f>AT68-SUM(AT66:AT66)</f>
        <v>-81</v>
      </c>
      <c r="AU67" s="485">
        <f t="shared" ref="AU67" si="102">AU68-SUM(AU66:AU66)</f>
        <v>-55</v>
      </c>
      <c r="AV67" s="486">
        <f>AV68-SUM(AV66:AV66)</f>
        <v>303</v>
      </c>
      <c r="AW67" s="324">
        <f>SUM(AS67:AV67)</f>
        <v>125</v>
      </c>
      <c r="AX67" s="667">
        <f>AX68-SUM(AX66:AX66)</f>
        <v>0</v>
      </c>
      <c r="AY67" s="485">
        <f>AY68-SUM(AY66:AY66)</f>
        <v>0</v>
      </c>
      <c r="AZ67" s="485">
        <f>AZ68-SUM(AZ66:AZ66)</f>
        <v>0</v>
      </c>
      <c r="BA67" s="486">
        <f>BA68-SUM(BA66:BA66)</f>
        <v>0</v>
      </c>
      <c r="BB67" s="324">
        <f>SUM(AX67:BA67)</f>
        <v>0</v>
      </c>
      <c r="BC67" s="667">
        <f>BC68-SUM(BC66:BC66)</f>
        <v>0</v>
      </c>
      <c r="BD67" s="485">
        <f>BD68-SUM(BD66:BD66)</f>
        <v>0</v>
      </c>
      <c r="BE67" s="485">
        <f>BE68-SUM(BE66:BE66)</f>
        <v>0</v>
      </c>
      <c r="BF67" s="486">
        <f>BF68-SUM(BF66:BF66)</f>
        <v>0</v>
      </c>
      <c r="BG67" s="324">
        <f>SUM(BC67:BF67)</f>
        <v>0</v>
      </c>
      <c r="BH67" s="667">
        <f>BH68-SUM(BH66:BH66)</f>
        <v>0</v>
      </c>
      <c r="BI67" s="485">
        <f>BI68-SUM(BI66:BI66)</f>
        <v>0</v>
      </c>
      <c r="BJ67" s="485">
        <f>BJ68-SUM(BJ66:BJ66)</f>
        <v>0</v>
      </c>
      <c r="BK67" s="486">
        <f>BK68-SUM(BK66:BK66)</f>
        <v>0</v>
      </c>
      <c r="BL67" s="324">
        <f>SUM(BH67:BK67)</f>
        <v>0</v>
      </c>
      <c r="BM67" s="667">
        <f>BM68-SUM(BM66:BM66)</f>
        <v>0</v>
      </c>
      <c r="BN67" s="485">
        <f>BN68-SUM(BN66:BN66)</f>
        <v>0</v>
      </c>
      <c r="BO67" s="485">
        <f>BO68-SUM(BO66:BO66)</f>
        <v>0</v>
      </c>
      <c r="BP67" s="486">
        <f>BP68-SUM(BP66:BP66)</f>
        <v>0</v>
      </c>
      <c r="BQ67" s="324">
        <f>SUM(BM67:BP67)</f>
        <v>0</v>
      </c>
    </row>
    <row r="68" spans="2:69">
      <c r="B68" s="92"/>
      <c r="C68" s="88" t="s">
        <v>264</v>
      </c>
      <c r="E68" s="231"/>
      <c r="F68" s="232"/>
      <c r="G68" s="232"/>
      <c r="H68" s="234"/>
      <c r="I68" s="320"/>
      <c r="J68" s="318"/>
      <c r="K68" s="319"/>
      <c r="L68" s="319"/>
      <c r="M68" s="314"/>
      <c r="N68" s="320"/>
      <c r="O68" s="318"/>
      <c r="P68" s="319"/>
      <c r="Q68" s="319"/>
      <c r="R68" s="314"/>
      <c r="S68" s="320"/>
      <c r="T68" s="318"/>
      <c r="U68" s="319"/>
      <c r="V68" s="319"/>
      <c r="W68" s="314"/>
      <c r="X68" s="320"/>
      <c r="Y68" s="318"/>
      <c r="Z68" s="319"/>
      <c r="AA68" s="319"/>
      <c r="AB68" s="314"/>
      <c r="AC68" s="320"/>
      <c r="AD68" s="318">
        <f>FirstEnergy!AD139-Distribution!AD153-Competitive!AD601</f>
        <v>289</v>
      </c>
      <c r="AE68" s="319">
        <f>FirstEnergy!AE139-Distribution!AE153-Competitive!AE601</f>
        <v>-90</v>
      </c>
      <c r="AF68" s="319">
        <f>FirstEnergy!AF139-Distribution!AF153-Competitive!AF601</f>
        <v>-74</v>
      </c>
      <c r="AG68" s="314">
        <f>FirstEnergy!AG139-Distribution!AG153-Competitive!AG601</f>
        <v>-244</v>
      </c>
      <c r="AH68" s="320">
        <f>SUM(AH66:AH67)</f>
        <v>-119</v>
      </c>
      <c r="AI68" s="318">
        <f>FirstEnergy!AI139-Distribution!AI153-Competitive!AI601</f>
        <v>-88</v>
      </c>
      <c r="AJ68" s="319">
        <f>FirstEnergy!AJ139-Distribution!AJ153-Competitive!AJ601</f>
        <v>-145</v>
      </c>
      <c r="AK68" s="319">
        <f>FirstEnergy!AK139-Distribution!AK153-Competitive!AK601</f>
        <v>-70</v>
      </c>
      <c r="AL68" s="314">
        <f>FirstEnergy!AL139-Distribution!AL153-Competitive!AL601</f>
        <v>-171</v>
      </c>
      <c r="AM68" s="320">
        <f>SUM(AM66:AM67)</f>
        <v>-474</v>
      </c>
      <c r="AN68" s="318">
        <f>FirstEnergy!AN139-Distribution!AN153-Competitive!AN601</f>
        <v>-176</v>
      </c>
      <c r="AO68" s="319">
        <f>FirstEnergy!AO139-Distribution!AO153-Competitive!AO601</f>
        <v>-125</v>
      </c>
      <c r="AP68" s="319">
        <f>FirstEnergy!AP139-Distribution!AP153-Competitive!AP601</f>
        <v>-50</v>
      </c>
      <c r="AQ68" s="314">
        <f>FirstEnergy!AQ139-Distribution!AQ153-Competitive!AQ601</f>
        <v>-147</v>
      </c>
      <c r="AR68" s="320">
        <f>SUM(AR66:AR67)</f>
        <v>-498</v>
      </c>
      <c r="AS68" s="318">
        <f>FirstEnergy!AS139-Distribution!AS153-Competitive!AS601</f>
        <v>-105</v>
      </c>
      <c r="AT68" s="319">
        <f>FirstEnergy!AT139-Distribution!AT153-Competitive!AT601</f>
        <v>13</v>
      </c>
      <c r="AU68" s="319">
        <f>FirstEnergy!AU139-Distribution!AU153-Competitive!AU601</f>
        <v>-26</v>
      </c>
      <c r="AV68" s="314">
        <f>FirstEnergy!AV139-Distribution!AV153-Competitive!AV601</f>
        <v>-60</v>
      </c>
      <c r="AW68" s="320">
        <f>SUM(AW66:AW67)</f>
        <v>-178</v>
      </c>
      <c r="AX68" s="318">
        <f>FirstEnergy!AX139-Distribution!AX153-Competitive!AX601</f>
        <v>-25</v>
      </c>
      <c r="AY68" s="319">
        <f>FirstEnergy!AY139-Distribution!AY153-Competitive!AY601</f>
        <v>-25</v>
      </c>
      <c r="AZ68" s="319">
        <f>FirstEnergy!AZ139-Distribution!AZ153-Competitive!AZ601</f>
        <v>-78</v>
      </c>
      <c r="BA68" s="314">
        <f>FirstEnergy!BA139-Distribution!BA153-Competitive!BA601</f>
        <v>-25</v>
      </c>
      <c r="BB68" s="320">
        <f>SUM(BB66:BB67)</f>
        <v>-100</v>
      </c>
      <c r="BC68" s="318">
        <f>FirstEnergy!BC139-Distribution!BC153-Competitive!BC601</f>
        <v>-25</v>
      </c>
      <c r="BD68" s="319">
        <f>FirstEnergy!BD139-Distribution!BD153-Competitive!BD601</f>
        <v>-25</v>
      </c>
      <c r="BE68" s="319">
        <f>FirstEnergy!BE139-Distribution!BE153-Competitive!BE601</f>
        <v>-78</v>
      </c>
      <c r="BF68" s="314">
        <f>FirstEnergy!BF139-Distribution!BF153-Competitive!BF601</f>
        <v>-25</v>
      </c>
      <c r="BG68" s="320">
        <f>SUM(BG66:BG67)</f>
        <v>-100</v>
      </c>
      <c r="BH68" s="318">
        <f>FirstEnergy!BH139-Distribution!BH153-Competitive!BH601</f>
        <v>-25</v>
      </c>
      <c r="BI68" s="319">
        <f>FirstEnergy!BI139-Distribution!BI153-Competitive!BI601</f>
        <v>-25</v>
      </c>
      <c r="BJ68" s="319">
        <f>FirstEnergy!BJ139-Distribution!BJ153-Competitive!BJ601</f>
        <v>-25</v>
      </c>
      <c r="BK68" s="314">
        <f>FirstEnergy!BK139-Distribution!BK153-Competitive!BK601</f>
        <v>-25</v>
      </c>
      <c r="BL68" s="320">
        <f>SUM(BL66:BL67)</f>
        <v>-100</v>
      </c>
      <c r="BM68" s="318">
        <f>FirstEnergy!BM139-Distribution!BM153-Competitive!BM601</f>
        <v>-25</v>
      </c>
      <c r="BN68" s="319">
        <f>FirstEnergy!BN139-Distribution!BN153-Competitive!BN601</f>
        <v>-25</v>
      </c>
      <c r="BO68" s="319">
        <f>FirstEnergy!BO139-Distribution!BO153-Competitive!BO601</f>
        <v>-25</v>
      </c>
      <c r="BP68" s="314">
        <f>FirstEnergy!BP139-Distribution!BP153-Competitive!BP601</f>
        <v>-25</v>
      </c>
      <c r="BQ68" s="320">
        <f>SUM(BQ66:BQ67)</f>
        <v>-100</v>
      </c>
    </row>
    <row r="69" spans="2:69">
      <c r="B69" s="92"/>
      <c r="C69" s="89"/>
      <c r="E69" s="130"/>
      <c r="F69" s="131"/>
      <c r="G69" s="131"/>
      <c r="H69" s="132"/>
      <c r="I69" s="324"/>
      <c r="J69" s="321"/>
      <c r="K69" s="322"/>
      <c r="L69" s="322"/>
      <c r="M69" s="323"/>
      <c r="N69" s="324"/>
      <c r="O69" s="321"/>
      <c r="P69" s="322"/>
      <c r="Q69" s="322"/>
      <c r="R69" s="323"/>
      <c r="S69" s="324"/>
      <c r="T69" s="321"/>
      <c r="U69" s="322"/>
      <c r="V69" s="322"/>
      <c r="W69" s="323"/>
      <c r="X69" s="324"/>
      <c r="Y69" s="321"/>
      <c r="Z69" s="322"/>
      <c r="AA69" s="322"/>
      <c r="AB69" s="323"/>
      <c r="AC69" s="324"/>
      <c r="AD69" s="321"/>
      <c r="AE69" s="322"/>
      <c r="AF69" s="322"/>
      <c r="AG69" s="323"/>
      <c r="AH69" s="324"/>
      <c r="AI69" s="321"/>
      <c r="AJ69" s="322"/>
      <c r="AK69" s="322"/>
      <c r="AL69" s="323"/>
      <c r="AM69" s="324"/>
      <c r="AN69" s="321"/>
      <c r="AO69" s="322"/>
      <c r="AP69" s="322"/>
      <c r="AQ69" s="323"/>
      <c r="AR69" s="324"/>
      <c r="AS69" s="321"/>
      <c r="AT69" s="322"/>
      <c r="AU69" s="322"/>
      <c r="AV69" s="323"/>
      <c r="AW69" s="324"/>
      <c r="AX69" s="321"/>
      <c r="AY69" s="322"/>
      <c r="AZ69" s="322"/>
      <c r="BA69" s="323"/>
      <c r="BB69" s="324"/>
      <c r="BC69" s="321"/>
      <c r="BD69" s="322"/>
      <c r="BE69" s="322"/>
      <c r="BF69" s="323"/>
      <c r="BG69" s="324"/>
      <c r="BH69" s="321"/>
      <c r="BI69" s="322"/>
      <c r="BJ69" s="322"/>
      <c r="BK69" s="323"/>
      <c r="BL69" s="324"/>
      <c r="BM69" s="321"/>
      <c r="BN69" s="322"/>
      <c r="BO69" s="322"/>
      <c r="BP69" s="323"/>
      <c r="BQ69" s="324"/>
    </row>
    <row r="70" spans="2:69">
      <c r="B70" s="92"/>
      <c r="C70" s="89" t="s">
        <v>226</v>
      </c>
      <c r="E70" s="130"/>
      <c r="F70" s="131"/>
      <c r="G70" s="131"/>
      <c r="H70" s="132"/>
      <c r="I70" s="324"/>
      <c r="J70" s="321"/>
      <c r="K70" s="322"/>
      <c r="L70" s="322"/>
      <c r="M70" s="323"/>
      <c r="N70" s="324"/>
      <c r="O70" s="321"/>
      <c r="P70" s="322"/>
      <c r="Q70" s="322"/>
      <c r="R70" s="323"/>
      <c r="S70" s="324"/>
      <c r="T70" s="321"/>
      <c r="U70" s="322"/>
      <c r="V70" s="322"/>
      <c r="W70" s="290"/>
      <c r="X70" s="324"/>
      <c r="Y70" s="296"/>
      <c r="Z70" s="297"/>
      <c r="AA70" s="297"/>
      <c r="AB70" s="290"/>
      <c r="AC70" s="324"/>
      <c r="AD70" s="296">
        <f t="shared" ref="AD70:AG71" si="103">AD53</f>
        <v>0</v>
      </c>
      <c r="AE70" s="297">
        <f t="shared" si="103"/>
        <v>0</v>
      </c>
      <c r="AF70" s="297">
        <f t="shared" si="103"/>
        <v>0</v>
      </c>
      <c r="AG70" s="290">
        <f t="shared" si="103"/>
        <v>0</v>
      </c>
      <c r="AH70" s="324">
        <f>SUM(AD70:AG70)</f>
        <v>0</v>
      </c>
      <c r="AI70" s="296">
        <f t="shared" ref="AI70:AL71" si="104">AI53</f>
        <v>0</v>
      </c>
      <c r="AJ70" s="297">
        <f t="shared" si="104"/>
        <v>0</v>
      </c>
      <c r="AK70" s="297">
        <f t="shared" si="104"/>
        <v>0</v>
      </c>
      <c r="AL70" s="290">
        <f t="shared" si="104"/>
        <v>0</v>
      </c>
      <c r="AM70" s="324">
        <f>SUM(AI70:AL70)</f>
        <v>0</v>
      </c>
      <c r="AN70" s="296">
        <f t="shared" ref="AN70:AO70" si="105">AN53</f>
        <v>0</v>
      </c>
      <c r="AO70" s="297">
        <f t="shared" si="105"/>
        <v>0</v>
      </c>
      <c r="AP70" s="297">
        <f t="shared" ref="AP70:AQ70" si="106">AP53</f>
        <v>0</v>
      </c>
      <c r="AQ70" s="290">
        <f t="shared" si="106"/>
        <v>0</v>
      </c>
      <c r="AR70" s="324">
        <f>SUM(AN70:AQ70)</f>
        <v>0</v>
      </c>
      <c r="AS70" s="296">
        <f t="shared" ref="AS70:AT70" si="107">AS53</f>
        <v>250</v>
      </c>
      <c r="AT70" s="297">
        <f t="shared" si="107"/>
        <v>3000</v>
      </c>
      <c r="AU70" s="297">
        <f t="shared" ref="AU70" si="108">AU53</f>
        <v>0</v>
      </c>
      <c r="AV70" s="290">
        <f>AV53</f>
        <v>0</v>
      </c>
      <c r="AW70" s="324">
        <f>SUM(AS70:AV70)</f>
        <v>3250</v>
      </c>
      <c r="AX70" s="296">
        <f t="shared" ref="AX70:BA71" si="109">AX53</f>
        <v>1620</v>
      </c>
      <c r="AY70" s="297">
        <f t="shared" si="109"/>
        <v>0</v>
      </c>
      <c r="AZ70" s="297">
        <f t="shared" si="109"/>
        <v>0</v>
      </c>
      <c r="BA70" s="290">
        <f t="shared" si="109"/>
        <v>0</v>
      </c>
      <c r="BB70" s="324">
        <f>SUM(AX70:BA70)</f>
        <v>1620</v>
      </c>
      <c r="BC70" s="296">
        <f t="shared" ref="BC70:BF71" si="110">BC53</f>
        <v>0</v>
      </c>
      <c r="BD70" s="297">
        <f t="shared" si="110"/>
        <v>500</v>
      </c>
      <c r="BE70" s="297">
        <f t="shared" si="110"/>
        <v>0</v>
      </c>
      <c r="BF70" s="290">
        <f t="shared" si="110"/>
        <v>0</v>
      </c>
      <c r="BG70" s="324">
        <f>SUM(BC70:BF70)</f>
        <v>500</v>
      </c>
      <c r="BH70" s="296">
        <f t="shared" ref="BH70:BK71" si="111">BH53</f>
        <v>0</v>
      </c>
      <c r="BI70" s="297">
        <f t="shared" si="111"/>
        <v>400</v>
      </c>
      <c r="BJ70" s="297">
        <f t="shared" si="111"/>
        <v>0</v>
      </c>
      <c r="BK70" s="290">
        <f t="shared" si="111"/>
        <v>0</v>
      </c>
      <c r="BL70" s="324">
        <f>SUM(BH70:BK70)</f>
        <v>400</v>
      </c>
      <c r="BM70" s="296">
        <f t="shared" ref="BM70:BP70" si="112">BM53</f>
        <v>0</v>
      </c>
      <c r="BN70" s="297">
        <f t="shared" si="112"/>
        <v>1100</v>
      </c>
      <c r="BO70" s="297">
        <f t="shared" si="112"/>
        <v>0</v>
      </c>
      <c r="BP70" s="290">
        <f t="shared" si="112"/>
        <v>0</v>
      </c>
      <c r="BQ70" s="324">
        <f>SUM(BM70:BP70)</f>
        <v>1100</v>
      </c>
    </row>
    <row r="71" spans="2:69">
      <c r="B71" s="92"/>
      <c r="C71" s="89" t="s">
        <v>288</v>
      </c>
      <c r="E71" s="130"/>
      <c r="F71" s="131"/>
      <c r="G71" s="131"/>
      <c r="H71" s="132"/>
      <c r="I71" s="324"/>
      <c r="J71" s="321"/>
      <c r="K71" s="322"/>
      <c r="L71" s="322"/>
      <c r="M71" s="323"/>
      <c r="N71" s="324"/>
      <c r="O71" s="321"/>
      <c r="P71" s="322"/>
      <c r="Q71" s="322"/>
      <c r="R71" s="323"/>
      <c r="S71" s="324"/>
      <c r="T71" s="321"/>
      <c r="U71" s="322"/>
      <c r="V71" s="322"/>
      <c r="W71" s="290"/>
      <c r="X71" s="324"/>
      <c r="Y71" s="296"/>
      <c r="Z71" s="297"/>
      <c r="AA71" s="297"/>
      <c r="AB71" s="290"/>
      <c r="AC71" s="324"/>
      <c r="AD71" s="296">
        <f t="shared" si="103"/>
        <v>0</v>
      </c>
      <c r="AE71" s="297">
        <f t="shared" si="103"/>
        <v>0</v>
      </c>
      <c r="AF71" s="297">
        <f t="shared" si="103"/>
        <v>0</v>
      </c>
      <c r="AG71" s="290">
        <f t="shared" si="103"/>
        <v>0</v>
      </c>
      <c r="AH71" s="324">
        <f>SUM(AD71:AG71)</f>
        <v>0</v>
      </c>
      <c r="AI71" s="296">
        <f t="shared" si="104"/>
        <v>0</v>
      </c>
      <c r="AJ71" s="297">
        <f t="shared" si="104"/>
        <v>0</v>
      </c>
      <c r="AK71" s="297">
        <f t="shared" si="104"/>
        <v>0</v>
      </c>
      <c r="AL71" s="290">
        <f t="shared" si="104"/>
        <v>0</v>
      </c>
      <c r="AM71" s="324">
        <f>SUM(AI71:AL71)</f>
        <v>0</v>
      </c>
      <c r="AN71" s="296">
        <f t="shared" ref="AN71:AO71" si="113">AN54</f>
        <v>0</v>
      </c>
      <c r="AO71" s="297">
        <f t="shared" si="113"/>
        <v>0</v>
      </c>
      <c r="AP71" s="297">
        <f t="shared" ref="AP71:AQ71" si="114">AP54</f>
        <v>0</v>
      </c>
      <c r="AQ71" s="290">
        <f t="shared" si="114"/>
        <v>0</v>
      </c>
      <c r="AR71" s="324">
        <f>SUM(AN71:AQ71)</f>
        <v>0</v>
      </c>
      <c r="AS71" s="296">
        <f t="shared" ref="AS71:AT71" si="115">AS54</f>
        <v>0</v>
      </c>
      <c r="AT71" s="297">
        <f t="shared" si="115"/>
        <v>-650</v>
      </c>
      <c r="AU71" s="297">
        <f t="shared" ref="AU71" si="116">AU54</f>
        <v>0</v>
      </c>
      <c r="AV71" s="290">
        <f>AV54</f>
        <v>0</v>
      </c>
      <c r="AW71" s="324">
        <f>SUM(AS71:AV71)</f>
        <v>-650</v>
      </c>
      <c r="AX71" s="296">
        <f t="shared" si="109"/>
        <v>-1450</v>
      </c>
      <c r="AY71" s="297">
        <f t="shared" si="109"/>
        <v>0</v>
      </c>
      <c r="AZ71" s="297">
        <f t="shared" si="109"/>
        <v>0</v>
      </c>
      <c r="BA71" s="290">
        <f t="shared" si="109"/>
        <v>0</v>
      </c>
      <c r="BB71" s="324">
        <f>SUM(AX71:BA71)</f>
        <v>-1450</v>
      </c>
      <c r="BC71" s="296">
        <f t="shared" si="110"/>
        <v>0</v>
      </c>
      <c r="BD71" s="297">
        <f t="shared" si="110"/>
        <v>0</v>
      </c>
      <c r="BE71" s="297">
        <f t="shared" si="110"/>
        <v>-1620</v>
      </c>
      <c r="BF71" s="290">
        <f t="shared" si="110"/>
        <v>0</v>
      </c>
      <c r="BG71" s="324">
        <f>SUM(BC71:BF71)</f>
        <v>-1620</v>
      </c>
      <c r="BH71" s="296">
        <f t="shared" si="111"/>
        <v>-250</v>
      </c>
      <c r="BI71" s="297">
        <f t="shared" si="111"/>
        <v>0</v>
      </c>
      <c r="BJ71" s="297">
        <f t="shared" si="111"/>
        <v>0</v>
      </c>
      <c r="BK71" s="290">
        <f t="shared" si="111"/>
        <v>0</v>
      </c>
      <c r="BL71" s="324">
        <f>SUM(BH71:BK71)</f>
        <v>-250</v>
      </c>
      <c r="BM71" s="296">
        <f t="shared" ref="BM71:BP71" si="117">BM54</f>
        <v>0</v>
      </c>
      <c r="BN71" s="297">
        <f t="shared" si="117"/>
        <v>-1200</v>
      </c>
      <c r="BO71" s="297">
        <f t="shared" si="117"/>
        <v>0</v>
      </c>
      <c r="BP71" s="290">
        <f t="shared" si="117"/>
        <v>0</v>
      </c>
      <c r="BQ71" s="324">
        <f>SUM(BM71:BP71)</f>
        <v>-1200</v>
      </c>
    </row>
    <row r="72" spans="2:69">
      <c r="B72" s="92"/>
      <c r="C72" s="89" t="s">
        <v>648</v>
      </c>
      <c r="E72" s="130"/>
      <c r="F72" s="131"/>
      <c r="G72" s="131"/>
      <c r="H72" s="132"/>
      <c r="I72" s="324"/>
      <c r="J72" s="321"/>
      <c r="K72" s="322"/>
      <c r="L72" s="322"/>
      <c r="M72" s="323"/>
      <c r="N72" s="324"/>
      <c r="O72" s="321"/>
      <c r="P72" s="322"/>
      <c r="Q72" s="322"/>
      <c r="R72" s="323"/>
      <c r="S72" s="324"/>
      <c r="T72" s="321"/>
      <c r="U72" s="322"/>
      <c r="V72" s="322"/>
      <c r="W72" s="323"/>
      <c r="X72" s="324"/>
      <c r="Y72" s="321"/>
      <c r="Z72" s="322"/>
      <c r="AA72" s="322"/>
      <c r="AB72" s="323"/>
      <c r="AC72" s="324"/>
      <c r="AD72" s="321">
        <f>AD73-SUM(AD70:AD71)</f>
        <v>673</v>
      </c>
      <c r="AE72" s="322">
        <f>AE73-SUM(AE70:AE71)</f>
        <v>482</v>
      </c>
      <c r="AF72" s="322">
        <f>AF73-SUM(AF70:AF71)</f>
        <v>-186</v>
      </c>
      <c r="AG72" s="323">
        <f>AG73-SUM(AG70:AG71)</f>
        <v>244</v>
      </c>
      <c r="AH72" s="324">
        <f>SUM(AD72:AG72)</f>
        <v>1213</v>
      </c>
      <c r="AI72" s="321">
        <f>AI73-SUM(AI70:AI71)</f>
        <v>810</v>
      </c>
      <c r="AJ72" s="322">
        <f>AJ73-SUM(AJ70:AJ71)</f>
        <v>402</v>
      </c>
      <c r="AK72" s="322">
        <f>AK73-SUM(AK70:AK71)</f>
        <v>-491</v>
      </c>
      <c r="AL72" s="323">
        <f>AL73-SUM(AL70:AL71)</f>
        <v>0</v>
      </c>
      <c r="AM72" s="324">
        <f>SUM(AI72:AL72)</f>
        <v>721</v>
      </c>
      <c r="AN72" s="321">
        <f>AN73-SUM(AN70:AN71)</f>
        <v>242</v>
      </c>
      <c r="AO72" s="322">
        <f>AO73-SUM(AO70:AO71)</f>
        <v>133</v>
      </c>
      <c r="AP72" s="322">
        <f>AP73-SUM(AP70:AP71)</f>
        <v>-59</v>
      </c>
      <c r="AQ72" s="323">
        <f>AQ73-SUM(AQ70:AQ71)</f>
        <v>-338</v>
      </c>
      <c r="AR72" s="324">
        <f>SUM(AN72:AQ72)</f>
        <v>-22</v>
      </c>
      <c r="AS72" s="321">
        <f>AS73-SUM(AS70:AS71)</f>
        <v>126.41933699999998</v>
      </c>
      <c r="AT72" s="322">
        <f>AT73-SUM(AT70:AT71)</f>
        <v>-2328.2233150000002</v>
      </c>
      <c r="AU72" s="322">
        <f t="shared" ref="AU72" si="118">AU73-SUM(AU70:AU71)</f>
        <v>184.61</v>
      </c>
      <c r="AV72" s="323">
        <f>AV73-SUM(AV70:AV71)</f>
        <v>-121</v>
      </c>
      <c r="AW72" s="324">
        <f>SUM(AS72:AV72)</f>
        <v>-2138.1939780000002</v>
      </c>
      <c r="AX72" s="321">
        <f>AX73-SUM(AX70:AX71)</f>
        <v>738.07890514213204</v>
      </c>
      <c r="AY72" s="322">
        <f>AY73-SUM(AY70:AY71)</f>
        <v>645.73870763519494</v>
      </c>
      <c r="AZ72" s="322">
        <f>AZ73-SUM(AZ70:AZ71)</f>
        <v>-454.72383639569955</v>
      </c>
      <c r="BA72" s="323">
        <f>BA73-SUM(BA70:BA71)</f>
        <v>639.99732708326655</v>
      </c>
      <c r="BB72" s="324">
        <f>SUM(AX72:BA72)</f>
        <v>1569.0911034648939</v>
      </c>
      <c r="BC72" s="321">
        <f>BC73-SUM(BC70:BC71)</f>
        <v>884.65239514604173</v>
      </c>
      <c r="BD72" s="322">
        <f>BD73-SUM(BD70:BD71)</f>
        <v>-1325.6090147123004</v>
      </c>
      <c r="BE72" s="322">
        <f>BE73-SUM(BE70:BE71)</f>
        <v>1958.2873977658314</v>
      </c>
      <c r="BF72" s="323">
        <f>BF73-SUM(BF70:BF71)</f>
        <v>475.4453011146669</v>
      </c>
      <c r="BG72" s="324">
        <f>SUM(BC72:BF72)</f>
        <v>1992.7760793142397</v>
      </c>
      <c r="BH72" s="321">
        <f>BH73-SUM(BH70:BH71)</f>
        <v>507.90806861792561</v>
      </c>
      <c r="BI72" s="322">
        <f>BI73-SUM(BI70:BI71)</f>
        <v>-1215.7342751038511</v>
      </c>
      <c r="BJ72" s="322">
        <f>BJ73-SUM(BJ70:BJ71)</f>
        <v>51.334290592516368</v>
      </c>
      <c r="BK72" s="323">
        <f>BK73-SUM(BK70:BK71)</f>
        <v>196.50327114383435</v>
      </c>
      <c r="BL72" s="324">
        <f>SUM(BH72:BK72)</f>
        <v>-459.98864474957475</v>
      </c>
      <c r="BM72" s="321">
        <f>BM73-SUM(BM70:BM71)</f>
        <v>96.160871263358786</v>
      </c>
      <c r="BN72" s="322">
        <f>BN73-SUM(BN70:BN71)</f>
        <v>-354.35439507998967</v>
      </c>
      <c r="BO72" s="322">
        <f>BO73-SUM(BO70:BO71)</f>
        <v>-94.603290564781389</v>
      </c>
      <c r="BP72" s="323">
        <f>BP73-SUM(BP70:BP71)</f>
        <v>114.59744930293584</v>
      </c>
      <c r="BQ72" s="324">
        <f>SUM(BM72:BP72)</f>
        <v>-238.19936507847643</v>
      </c>
    </row>
    <row r="73" spans="2:69">
      <c r="B73" s="92"/>
      <c r="C73" s="88" t="s">
        <v>268</v>
      </c>
      <c r="E73" s="231"/>
      <c r="F73" s="232"/>
      <c r="G73" s="232"/>
      <c r="H73" s="234"/>
      <c r="I73" s="320"/>
      <c r="J73" s="318"/>
      <c r="K73" s="319"/>
      <c r="L73" s="319"/>
      <c r="M73" s="314"/>
      <c r="N73" s="320"/>
      <c r="O73" s="318"/>
      <c r="P73" s="319"/>
      <c r="Q73" s="319"/>
      <c r="R73" s="314"/>
      <c r="S73" s="320"/>
      <c r="T73" s="318"/>
      <c r="U73" s="319"/>
      <c r="V73" s="319"/>
      <c r="W73" s="314"/>
      <c r="X73" s="320"/>
      <c r="Y73" s="318"/>
      <c r="Z73" s="319"/>
      <c r="AA73" s="319"/>
      <c r="AB73" s="314"/>
      <c r="AC73" s="320"/>
      <c r="AD73" s="318">
        <f>FirstEnergy!AD147+FirstEnergy!AD151-Distribution!AD159-Competitive!AD607</f>
        <v>673</v>
      </c>
      <c r="AE73" s="319">
        <f>FirstEnergy!AE147+FirstEnergy!AE151-Distribution!AE159-Competitive!AE607</f>
        <v>482</v>
      </c>
      <c r="AF73" s="319">
        <f>FirstEnergy!AF147+FirstEnergy!AF151-Distribution!AF159-Competitive!AF607</f>
        <v>-186</v>
      </c>
      <c r="AG73" s="314">
        <f>FirstEnergy!AG147+FirstEnergy!AG151-Distribution!AG159-Competitive!AG607</f>
        <v>244</v>
      </c>
      <c r="AH73" s="320">
        <f>SUM(AH70:AH72)</f>
        <v>1213</v>
      </c>
      <c r="AI73" s="318">
        <f>FirstEnergy!AI147+FirstEnergy!AI151-Distribution!AI159-Competitive!AI607</f>
        <v>810</v>
      </c>
      <c r="AJ73" s="319">
        <f>FirstEnergy!AJ147+FirstEnergy!AJ151-Distribution!AJ159-Competitive!AJ607</f>
        <v>402</v>
      </c>
      <c r="AK73" s="319">
        <f>FirstEnergy!AK147+FirstEnergy!AK151-Distribution!AK159-Competitive!AK607</f>
        <v>-491</v>
      </c>
      <c r="AL73" s="314">
        <f>FirstEnergy!AL147+FirstEnergy!AL151-Distribution!AL159-Competitive!AL607</f>
        <v>0</v>
      </c>
      <c r="AM73" s="320">
        <f>SUM(AM70:AM72)</f>
        <v>721</v>
      </c>
      <c r="AN73" s="318">
        <f>FirstEnergy!AN147+FirstEnergy!AN151-Distribution!AN159-Competitive!AN607</f>
        <v>242</v>
      </c>
      <c r="AO73" s="319">
        <f>FirstEnergy!AO147+FirstEnergy!AO151-Distribution!AO159-Competitive!AO607</f>
        <v>133</v>
      </c>
      <c r="AP73" s="319">
        <f>FirstEnergy!AP147+FirstEnergy!AP151-Distribution!AP159-Competitive!AP607</f>
        <v>-59</v>
      </c>
      <c r="AQ73" s="314">
        <f>FirstEnergy!AQ147+FirstEnergy!AQ151-Distribution!AQ159-Competitive!AQ607</f>
        <v>-338</v>
      </c>
      <c r="AR73" s="320">
        <f>SUM(AR70:AR72)</f>
        <v>-22</v>
      </c>
      <c r="AS73" s="318">
        <f>FirstEnergy!AS147+FirstEnergy!AS151-Distribution!AS159-Competitive!AS607</f>
        <v>376.41933699999998</v>
      </c>
      <c r="AT73" s="319">
        <f>FirstEnergy!AT147+FirstEnergy!AT151-Distribution!AT159-Competitive!AT607</f>
        <v>21.776685000000008</v>
      </c>
      <c r="AU73" s="319">
        <f>FirstEnergy!AU147+FirstEnergy!AU151-Distribution!AU159-Competitive!AU607</f>
        <v>184.61</v>
      </c>
      <c r="AV73" s="314">
        <f>FirstEnergy!AV147+FirstEnergy!AV151-Distribution!AV159-Competitive!AV607</f>
        <v>-121</v>
      </c>
      <c r="AW73" s="320">
        <f>SUM(AW70:AW72)</f>
        <v>461.80602199999976</v>
      </c>
      <c r="AX73" s="318">
        <f>FirstEnergy!AX147+FirstEnergy!AX151-Distribution!AX159-Competitive!AX607</f>
        <v>908.07890514213204</v>
      </c>
      <c r="AY73" s="319">
        <f>FirstEnergy!AY147+FirstEnergy!AY151-Distribution!AY159-Competitive!AY607</f>
        <v>645.73870763519494</v>
      </c>
      <c r="AZ73" s="319">
        <f>FirstEnergy!AZ147+FirstEnergy!AZ151-Distribution!AZ159-Competitive!AZ607</f>
        <v>-454.72383639569955</v>
      </c>
      <c r="BA73" s="314">
        <f>FirstEnergy!BA147+FirstEnergy!BA151-Distribution!BA159-Competitive!BA607</f>
        <v>639.99732708326655</v>
      </c>
      <c r="BB73" s="320">
        <f>SUM(BB70:BB72)</f>
        <v>1739.0911034648939</v>
      </c>
      <c r="BC73" s="318">
        <f>FirstEnergy!BC147+FirstEnergy!BC151-Distribution!BC159-Competitive!BC607</f>
        <v>884.65239514604173</v>
      </c>
      <c r="BD73" s="319">
        <f>FirstEnergy!BD147+FirstEnergy!BD151-Distribution!BD159-Competitive!BD607</f>
        <v>-825.60901471230034</v>
      </c>
      <c r="BE73" s="319">
        <f>FirstEnergy!BE147+FirstEnergy!BE151-Distribution!BE159-Competitive!BE607</f>
        <v>338.28739776583154</v>
      </c>
      <c r="BF73" s="314">
        <f>FirstEnergy!BF147+FirstEnergy!BF151-Distribution!BF159-Competitive!BF607</f>
        <v>475.4453011146669</v>
      </c>
      <c r="BG73" s="320">
        <f>SUM(BG70:BG72)</f>
        <v>872.77607931423972</v>
      </c>
      <c r="BH73" s="318">
        <f>FirstEnergy!BH147+FirstEnergy!BH151-Distribution!BH159-Competitive!BH607</f>
        <v>257.90806861792561</v>
      </c>
      <c r="BI73" s="319">
        <f>FirstEnergy!BI147+FirstEnergy!BI151-Distribution!BI159-Competitive!BI607</f>
        <v>-815.73427510385113</v>
      </c>
      <c r="BJ73" s="319">
        <f>FirstEnergy!BJ147+FirstEnergy!BJ151-Distribution!BJ159-Competitive!BJ607</f>
        <v>51.334290592516368</v>
      </c>
      <c r="BK73" s="314">
        <f>FirstEnergy!BK147+FirstEnergy!BK151-Distribution!BK159-Competitive!BK607</f>
        <v>196.50327114383435</v>
      </c>
      <c r="BL73" s="320">
        <f>SUM(BL70:BL72)</f>
        <v>-309.98864474957475</v>
      </c>
      <c r="BM73" s="318">
        <f>FirstEnergy!BM147+FirstEnergy!BM151-Distribution!BM159-Competitive!BM607</f>
        <v>96.160871263358786</v>
      </c>
      <c r="BN73" s="319">
        <f>FirstEnergy!BN147+FirstEnergy!BN151-Distribution!BN159-Competitive!BN607</f>
        <v>-454.35439507998967</v>
      </c>
      <c r="BO73" s="319">
        <f>FirstEnergy!BO147+FirstEnergy!BO151-Distribution!BO159-Competitive!BO607</f>
        <v>-94.603290564781389</v>
      </c>
      <c r="BP73" s="314">
        <f>FirstEnergy!BP147+FirstEnergy!BP151-Distribution!BP159-Competitive!BP607</f>
        <v>114.59744930293584</v>
      </c>
      <c r="BQ73" s="320">
        <f>SUM(BQ70:BQ72)</f>
        <v>-338.19936507847643</v>
      </c>
    </row>
    <row r="74" spans="2:69">
      <c r="B74" s="92"/>
      <c r="C74" s="89"/>
      <c r="E74" s="133"/>
      <c r="F74" s="134"/>
      <c r="G74" s="134"/>
      <c r="H74" s="135"/>
      <c r="I74" s="324"/>
      <c r="J74" s="321"/>
      <c r="K74" s="322"/>
      <c r="L74" s="322"/>
      <c r="M74" s="323"/>
      <c r="N74" s="324"/>
      <c r="O74" s="321"/>
      <c r="P74" s="322"/>
      <c r="Q74" s="322"/>
      <c r="R74" s="323"/>
      <c r="S74" s="324"/>
      <c r="T74" s="321"/>
      <c r="U74" s="322"/>
      <c r="V74" s="322"/>
      <c r="W74" s="323"/>
      <c r="X74" s="324"/>
      <c r="Y74" s="321"/>
      <c r="Z74" s="322"/>
      <c r="AA74" s="322"/>
      <c r="AB74" s="323"/>
      <c r="AC74" s="324"/>
      <c r="AD74" s="321"/>
      <c r="AE74" s="322"/>
      <c r="AF74" s="322"/>
      <c r="AG74" s="323"/>
      <c r="AH74" s="324"/>
      <c r="AI74" s="321"/>
      <c r="AJ74" s="322"/>
      <c r="AK74" s="322"/>
      <c r="AL74" s="323"/>
      <c r="AM74" s="324"/>
      <c r="AN74" s="321"/>
      <c r="AO74" s="322"/>
      <c r="AP74" s="322"/>
      <c r="AQ74" s="323"/>
      <c r="AR74" s="324"/>
      <c r="AS74" s="321"/>
      <c r="AT74" s="322"/>
      <c r="AU74" s="322"/>
      <c r="AV74" s="323"/>
      <c r="AW74" s="324"/>
      <c r="AX74" s="321"/>
      <c r="AY74" s="322"/>
      <c r="AZ74" s="322"/>
      <c r="BA74" s="323"/>
      <c r="BB74" s="324"/>
      <c r="BC74" s="321"/>
      <c r="BD74" s="322"/>
      <c r="BE74" s="322"/>
      <c r="BF74" s="323"/>
      <c r="BG74" s="324"/>
      <c r="BH74" s="321"/>
      <c r="BI74" s="322"/>
      <c r="BJ74" s="322"/>
      <c r="BK74" s="323"/>
      <c r="BL74" s="324"/>
      <c r="BM74" s="321"/>
      <c r="BN74" s="322"/>
      <c r="BO74" s="322"/>
      <c r="BP74" s="323"/>
      <c r="BQ74" s="324"/>
    </row>
    <row r="75" spans="2:69">
      <c r="B75" s="92"/>
      <c r="C75" s="88" t="s">
        <v>269</v>
      </c>
      <c r="E75" s="231"/>
      <c r="F75" s="232"/>
      <c r="G75" s="232"/>
      <c r="H75" s="234"/>
      <c r="I75" s="320"/>
      <c r="J75" s="318"/>
      <c r="K75" s="319"/>
      <c r="L75" s="319"/>
      <c r="M75" s="314"/>
      <c r="N75" s="320"/>
      <c r="O75" s="318"/>
      <c r="P75" s="319"/>
      <c r="Q75" s="319"/>
      <c r="R75" s="314"/>
      <c r="S75" s="320"/>
      <c r="T75" s="318"/>
      <c r="U75" s="319"/>
      <c r="V75" s="319"/>
      <c r="W75" s="314"/>
      <c r="X75" s="320"/>
      <c r="Y75" s="318"/>
      <c r="Z75" s="319"/>
      <c r="AA75" s="319"/>
      <c r="AB75" s="314"/>
      <c r="AC75" s="320"/>
      <c r="AD75" s="318">
        <f t="shared" ref="AD75:AJ75" si="119">AD64+AD68+AD73</f>
        <v>302.25</v>
      </c>
      <c r="AE75" s="319">
        <f t="shared" si="119"/>
        <v>609.25</v>
      </c>
      <c r="AF75" s="319">
        <f t="shared" si="119"/>
        <v>87.25</v>
      </c>
      <c r="AG75" s="314">
        <f t="shared" si="119"/>
        <v>926.25</v>
      </c>
      <c r="AH75" s="320">
        <f t="shared" si="119"/>
        <v>1925</v>
      </c>
      <c r="AI75" s="318">
        <f t="shared" si="119"/>
        <v>322.5</v>
      </c>
      <c r="AJ75" s="319">
        <f t="shared" si="119"/>
        <v>469.5</v>
      </c>
      <c r="AK75" s="319">
        <f t="shared" ref="AK75:AO75" si="120">AK64+AK68+AK73</f>
        <v>-88.5</v>
      </c>
      <c r="AL75" s="314">
        <f t="shared" si="120"/>
        <v>550.5</v>
      </c>
      <c r="AM75" s="320">
        <f t="shared" si="120"/>
        <v>1254</v>
      </c>
      <c r="AN75" s="318">
        <f t="shared" si="120"/>
        <v>-39.5</v>
      </c>
      <c r="AO75" s="319">
        <f t="shared" si="120"/>
        <v>236.5</v>
      </c>
      <c r="AP75" s="319">
        <f t="shared" ref="AP75:AT75" si="121">AP64+AP68+AP73</f>
        <v>235.5</v>
      </c>
      <c r="AQ75" s="314">
        <f t="shared" si="121"/>
        <v>5673.5</v>
      </c>
      <c r="AR75" s="320">
        <f t="shared" si="121"/>
        <v>6106</v>
      </c>
      <c r="AS75" s="318">
        <f t="shared" si="121"/>
        <v>393.50058699999994</v>
      </c>
      <c r="AT75" s="319">
        <f t="shared" si="121"/>
        <v>75.857934999999969</v>
      </c>
      <c r="AU75" s="319">
        <f t="shared" ref="AU75" si="122">AU64+AU68+AU73</f>
        <v>518.69124999999997</v>
      </c>
      <c r="AV75" s="314">
        <f t="shared" ref="AV75:BB75" si="123">AV64+AV68+AV73</f>
        <v>2740.0812500000002</v>
      </c>
      <c r="AW75" s="320">
        <f t="shared" si="123"/>
        <v>3728.1310219999996</v>
      </c>
      <c r="AX75" s="318">
        <f t="shared" si="123"/>
        <v>-378.11092611479398</v>
      </c>
      <c r="AY75" s="319">
        <f t="shared" si="123"/>
        <v>598.6675097055994</v>
      </c>
      <c r="AZ75" s="319">
        <f t="shared" si="123"/>
        <v>-549.22798739027553</v>
      </c>
      <c r="BA75" s="314">
        <f t="shared" si="123"/>
        <v>596.85149657813497</v>
      </c>
      <c r="BB75" s="320">
        <f t="shared" si="123"/>
        <v>321.18009277866486</v>
      </c>
      <c r="BC75" s="318">
        <f t="shared" ref="BC75:BL75" si="124">BC64+BC68+BC73</f>
        <v>875.15123988182256</v>
      </c>
      <c r="BD75" s="319">
        <f t="shared" si="124"/>
        <v>-844.62584101733353</v>
      </c>
      <c r="BE75" s="319">
        <f t="shared" si="124"/>
        <v>285.66777581548865</v>
      </c>
      <c r="BF75" s="314">
        <f t="shared" si="124"/>
        <v>474.03511378700034</v>
      </c>
      <c r="BG75" s="320">
        <f t="shared" si="124"/>
        <v>843.22828846697803</v>
      </c>
      <c r="BH75" s="318">
        <f t="shared" si="124"/>
        <v>321.35432559853689</v>
      </c>
      <c r="BI75" s="319">
        <f t="shared" si="124"/>
        <v>-763.63661707897143</v>
      </c>
      <c r="BJ75" s="319">
        <f t="shared" si="124"/>
        <v>109.66389994072355</v>
      </c>
      <c r="BK75" s="314">
        <f t="shared" si="124"/>
        <v>252.66815229579424</v>
      </c>
      <c r="BL75" s="320">
        <f t="shared" si="124"/>
        <v>-79.950239243916826</v>
      </c>
      <c r="BM75" s="318">
        <f t="shared" ref="BM75:BQ75" si="125">BM64+BM68+BM73</f>
        <v>162.14418459955246</v>
      </c>
      <c r="BN75" s="319">
        <f t="shared" si="125"/>
        <v>-400.15582016649392</v>
      </c>
      <c r="BO75" s="319">
        <f t="shared" si="125"/>
        <v>-31.517634747576238</v>
      </c>
      <c r="BP75" s="314">
        <f t="shared" si="125"/>
        <v>175.57342214747152</v>
      </c>
      <c r="BQ75" s="320">
        <f t="shared" si="125"/>
        <v>-93.955848167046099</v>
      </c>
    </row>
    <row r="76" spans="2:69">
      <c r="B76" s="92"/>
      <c r="C76" s="88"/>
      <c r="E76" s="231"/>
      <c r="F76" s="232"/>
      <c r="G76" s="232"/>
      <c r="H76" s="234"/>
      <c r="I76" s="320"/>
      <c r="J76" s="318"/>
      <c r="K76" s="319"/>
      <c r="L76" s="319"/>
      <c r="M76" s="314"/>
      <c r="N76" s="320"/>
      <c r="O76" s="318"/>
      <c r="P76" s="319"/>
      <c r="Q76" s="319"/>
      <c r="R76" s="314"/>
      <c r="S76" s="320"/>
      <c r="T76" s="318"/>
      <c r="U76" s="319"/>
      <c r="V76" s="319"/>
      <c r="W76" s="314"/>
      <c r="X76" s="320"/>
      <c r="Y76" s="318"/>
      <c r="Z76" s="319"/>
      <c r="AA76" s="319"/>
      <c r="AB76" s="314"/>
      <c r="AC76" s="320"/>
      <c r="AD76" s="318"/>
      <c r="AE76" s="319"/>
      <c r="AF76" s="319"/>
      <c r="AG76" s="314"/>
      <c r="AH76" s="320"/>
      <c r="AI76" s="318"/>
      <c r="AJ76" s="319"/>
      <c r="AK76" s="319"/>
      <c r="AL76" s="314"/>
      <c r="AM76" s="320"/>
      <c r="AN76" s="318"/>
      <c r="AO76" s="319"/>
      <c r="AP76" s="319"/>
      <c r="AQ76" s="314"/>
      <c r="AR76" s="320"/>
      <c r="AS76" s="318"/>
      <c r="AT76" s="319"/>
      <c r="AU76" s="319"/>
      <c r="AV76" s="314"/>
      <c r="AW76" s="320"/>
      <c r="AX76" s="318"/>
      <c r="AY76" s="319"/>
      <c r="AZ76" s="319"/>
      <c r="BA76" s="314"/>
      <c r="BB76" s="320"/>
      <c r="BC76" s="318"/>
      <c r="BD76" s="319"/>
      <c r="BE76" s="319"/>
      <c r="BF76" s="314"/>
      <c r="BG76" s="320"/>
      <c r="BH76" s="318"/>
      <c r="BI76" s="319"/>
      <c r="BJ76" s="319"/>
      <c r="BK76" s="314"/>
      <c r="BL76" s="320"/>
      <c r="BM76" s="318"/>
      <c r="BN76" s="319"/>
      <c r="BO76" s="319"/>
      <c r="BP76" s="314"/>
      <c r="BQ76" s="320"/>
    </row>
    <row r="77" spans="2:69">
      <c r="B77" s="92"/>
      <c r="C77" s="89"/>
      <c r="E77" s="493"/>
      <c r="F77" s="494"/>
      <c r="G77" s="494"/>
      <c r="H77" s="495"/>
      <c r="I77" s="315"/>
      <c r="J77" s="766"/>
      <c r="K77" s="767"/>
      <c r="L77" s="767"/>
      <c r="M77" s="768"/>
      <c r="N77" s="315"/>
      <c r="O77" s="766"/>
      <c r="P77" s="767"/>
      <c r="Q77" s="767"/>
      <c r="R77" s="768"/>
      <c r="S77" s="315"/>
      <c r="T77" s="766"/>
      <c r="U77" s="767"/>
      <c r="V77" s="767"/>
      <c r="W77" s="768"/>
      <c r="X77" s="315"/>
      <c r="Y77" s="766"/>
      <c r="Z77" s="767"/>
      <c r="AA77" s="767"/>
      <c r="AB77" s="768"/>
      <c r="AC77" s="315"/>
      <c r="AD77" s="766"/>
      <c r="AE77" s="767"/>
      <c r="AF77" s="767"/>
      <c r="AG77" s="768"/>
      <c r="AH77" s="315"/>
      <c r="AI77" s="766"/>
      <c r="AJ77" s="767"/>
      <c r="AK77" s="767"/>
      <c r="AL77" s="768"/>
      <c r="AM77" s="315"/>
      <c r="AN77" s="766"/>
      <c r="AO77" s="767"/>
      <c r="AP77" s="767"/>
      <c r="AQ77" s="768"/>
      <c r="AR77" s="315"/>
      <c r="AS77" s="766"/>
      <c r="AT77" s="767"/>
      <c r="AU77" s="767"/>
      <c r="AV77" s="768"/>
      <c r="AW77" s="315"/>
      <c r="AX77" s="766"/>
      <c r="AY77" s="767"/>
      <c r="AZ77" s="767"/>
      <c r="BA77" s="768"/>
      <c r="BB77" s="315"/>
      <c r="BC77" s="766"/>
      <c r="BD77" s="767"/>
      <c r="BE77" s="767"/>
      <c r="BF77" s="768"/>
      <c r="BG77" s="315"/>
      <c r="BH77" s="766"/>
      <c r="BI77" s="767"/>
      <c r="BJ77" s="767"/>
      <c r="BK77" s="768"/>
      <c r="BL77" s="315"/>
      <c r="BM77" s="766"/>
      <c r="BN77" s="767"/>
      <c r="BO77" s="767"/>
      <c r="BP77" s="768"/>
      <c r="BQ77" s="315"/>
    </row>
    <row r="78" spans="2:69" ht="17.25" customHeight="1"/>
  </sheetData>
  <phoneticPr fontId="39" type="noConversion"/>
  <pageMargins left="0.75" right="0.75" top="1" bottom="1" header="0.5" footer="0.5"/>
  <pageSetup scale="83" orientation="landscape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autoPageBreaks="0"/>
  </sheetPr>
  <dimension ref="A1:DA512"/>
  <sheetViews>
    <sheetView zoomScale="80" workbookViewId="0">
      <pane xSplit="6" ySplit="4" topLeftCell="S5" activePane="bottomRight" state="frozen"/>
      <selection activeCell="U49" sqref="U49"/>
      <selection pane="topRight" activeCell="U49" sqref="U49"/>
      <selection pane="bottomLeft" activeCell="U49" sqref="U49"/>
      <selection pane="bottomRight" activeCell="S5" sqref="S5"/>
    </sheetView>
  </sheetViews>
  <sheetFormatPr defaultRowHeight="12.75" outlineLevelCol="1"/>
  <cols>
    <col min="1" max="2" width="2.7109375" style="1416" customWidth="1"/>
    <col min="3" max="3" width="52.140625" style="1416" bestFit="1" customWidth="1"/>
    <col min="4" max="4" width="5.28515625" style="1416" customWidth="1"/>
    <col min="5" max="5" width="2.7109375" style="1416" customWidth="1"/>
    <col min="6" max="6" width="20" style="1493" bestFit="1" customWidth="1"/>
    <col min="7" max="10" width="9.28515625" style="1564" hidden="1" customWidth="1" outlineLevel="1"/>
    <col min="11" max="18" width="8.7109375" style="1416" hidden="1" customWidth="1" outlineLevel="1"/>
    <col min="19" max="19" width="8.7109375" style="1416" customWidth="1" collapsed="1"/>
    <col min="20" max="57" width="8.7109375" style="1416" customWidth="1"/>
    <col min="58" max="58" width="9" style="1416" customWidth="1"/>
    <col min="59" max="70" width="9.140625" style="1561"/>
    <col min="71" max="74" width="9.140625" style="1416"/>
    <col min="75" max="75" width="23.140625" style="1416" bestFit="1" customWidth="1"/>
    <col min="76" max="76" width="13.42578125" style="1416" customWidth="1"/>
    <col min="77" max="16384" width="9.140625" style="1416"/>
  </cols>
  <sheetData>
    <row r="1" spans="1:79" ht="18">
      <c r="A1" s="1408"/>
      <c r="B1" s="1409" t="s">
        <v>775</v>
      </c>
      <c r="C1" s="1409"/>
      <c r="D1" s="1409"/>
      <c r="E1" s="1410"/>
      <c r="F1" s="1411"/>
      <c r="G1" s="1412"/>
      <c r="H1" s="1412"/>
      <c r="I1" s="1412"/>
      <c r="J1" s="1412"/>
      <c r="K1" s="1413"/>
      <c r="L1" s="1414"/>
      <c r="M1" s="1414"/>
      <c r="N1" s="1414"/>
      <c r="O1" s="1414"/>
      <c r="P1" s="1414"/>
      <c r="Q1" s="1414"/>
      <c r="R1" s="1415"/>
      <c r="S1" s="1415"/>
      <c r="T1" s="1415"/>
      <c r="U1" s="1415"/>
      <c r="V1" s="1415"/>
      <c r="W1" s="1415"/>
      <c r="X1" s="1415"/>
      <c r="Y1" s="1415"/>
      <c r="Z1" s="1415"/>
      <c r="AA1" s="1415"/>
      <c r="AB1" s="1415"/>
      <c r="AC1" s="1415"/>
      <c r="AD1" s="1415"/>
      <c r="AE1" s="1415"/>
      <c r="AF1" s="1415"/>
      <c r="AG1" s="1415"/>
      <c r="AH1" s="1415"/>
      <c r="AI1" s="1415"/>
      <c r="AJ1" s="1415"/>
      <c r="AK1" s="1415"/>
      <c r="AL1" s="1415"/>
      <c r="AM1" s="1415"/>
      <c r="AN1" s="1415"/>
      <c r="AO1" s="1415"/>
      <c r="AP1" s="1415"/>
      <c r="AQ1" s="1415"/>
      <c r="AR1" s="1415"/>
      <c r="AS1" s="1415"/>
      <c r="AT1" s="1415"/>
      <c r="AU1" s="1415"/>
      <c r="AV1" s="1415"/>
      <c r="AW1" s="1415"/>
      <c r="AX1" s="1415"/>
      <c r="AY1" s="1415"/>
      <c r="AZ1" s="1415"/>
      <c r="BA1" s="1415"/>
      <c r="BB1" s="1415"/>
      <c r="BC1" s="1415"/>
      <c r="BD1" s="1415"/>
      <c r="BE1" s="1415"/>
      <c r="BF1" s="1415"/>
      <c r="BG1" s="1415"/>
      <c r="BH1" s="1415"/>
      <c r="BI1" s="1415"/>
      <c r="BJ1" s="1415"/>
      <c r="BK1" s="1415"/>
      <c r="BL1" s="1415"/>
      <c r="BM1" s="1415"/>
      <c r="BN1" s="1415"/>
      <c r="BO1" s="1415"/>
      <c r="BP1" s="1415"/>
      <c r="BQ1" s="1415"/>
      <c r="BR1" s="1321"/>
      <c r="BS1" s="1321"/>
      <c r="BT1" s="1321"/>
      <c r="BU1" s="1321"/>
      <c r="BV1" s="1322"/>
      <c r="BW1" s="1322"/>
      <c r="BX1" s="1321"/>
      <c r="BY1" s="1321"/>
      <c r="BZ1" s="1321"/>
      <c r="CA1" s="1321"/>
    </row>
    <row r="2" spans="1:79" ht="15.75">
      <c r="A2" s="1408"/>
      <c r="B2" s="1417" t="s">
        <v>143</v>
      </c>
      <c r="C2" s="1418"/>
      <c r="D2" s="1418"/>
      <c r="E2" s="1418"/>
      <c r="F2" s="1419"/>
      <c r="G2" s="1420"/>
      <c r="H2" s="1420"/>
      <c r="I2" s="1420"/>
      <c r="J2" s="1420"/>
      <c r="K2" s="1421"/>
      <c r="L2" s="1414"/>
      <c r="M2" s="1414"/>
      <c r="N2" s="1414"/>
      <c r="O2" s="1414"/>
      <c r="P2" s="1414"/>
      <c r="Q2" s="1414"/>
      <c r="R2" s="1415"/>
      <c r="S2" s="1415"/>
      <c r="T2" s="1415"/>
      <c r="U2" s="1415"/>
      <c r="V2" s="1415"/>
      <c r="W2" s="1415"/>
      <c r="X2" s="1415"/>
      <c r="Y2" s="1415"/>
      <c r="Z2" s="1415"/>
      <c r="AA2" s="1415"/>
      <c r="AB2" s="1415"/>
      <c r="AC2" s="1415"/>
      <c r="AD2" s="1415"/>
      <c r="AE2" s="1415"/>
      <c r="AF2" s="1415"/>
      <c r="AG2" s="1415"/>
      <c r="AH2" s="1415"/>
      <c r="AI2" s="1415"/>
      <c r="AJ2" s="1415"/>
      <c r="AK2" s="1415"/>
      <c r="AL2" s="1415"/>
      <c r="AM2" s="1415"/>
      <c r="AN2" s="1415"/>
      <c r="AO2" s="1415"/>
      <c r="AP2" s="1415"/>
      <c r="AQ2" s="1415"/>
      <c r="AR2" s="1415"/>
      <c r="AS2" s="1415"/>
      <c r="AT2" s="1415"/>
      <c r="AU2" s="1415"/>
      <c r="AV2" s="1415"/>
      <c r="AW2" s="1415"/>
      <c r="AX2" s="1415"/>
      <c r="AY2" s="1415"/>
      <c r="AZ2" s="1415"/>
      <c r="BA2" s="1415"/>
      <c r="BB2" s="1415"/>
      <c r="BC2" s="1415"/>
      <c r="BD2" s="1415"/>
      <c r="BE2" s="1415"/>
      <c r="BF2" s="1415"/>
      <c r="BG2" s="1415"/>
      <c r="BH2" s="1415"/>
      <c r="BI2" s="1415"/>
      <c r="BJ2" s="1415"/>
      <c r="BK2" s="1415"/>
      <c r="BL2" s="1415"/>
      <c r="BM2" s="1415"/>
      <c r="BN2" s="1415"/>
      <c r="BO2" s="1415"/>
      <c r="BP2" s="1415"/>
      <c r="BQ2" s="1415"/>
      <c r="BR2" s="1321"/>
      <c r="BS2" s="1321"/>
      <c r="BT2" s="1321"/>
      <c r="BU2" s="1321"/>
      <c r="BV2" s="1321"/>
      <c r="BW2" s="1322" t="s">
        <v>144</v>
      </c>
      <c r="BX2" s="1321"/>
      <c r="BY2" s="1321"/>
      <c r="BZ2" s="1321"/>
      <c r="CA2" s="1321"/>
    </row>
    <row r="3" spans="1:79" ht="13.5" thickBot="1">
      <c r="A3" s="1422"/>
      <c r="B3" s="1423" t="s">
        <v>684</v>
      </c>
      <c r="C3" s="1423"/>
      <c r="D3" s="1424"/>
      <c r="E3" s="1425"/>
      <c r="F3" s="1943">
        <v>43199</v>
      </c>
      <c r="G3" s="1426"/>
      <c r="H3" s="1427"/>
      <c r="I3" s="1427"/>
      <c r="J3" s="1427"/>
      <c r="K3" s="1426"/>
      <c r="L3" s="1428"/>
      <c r="M3" s="1428"/>
      <c r="N3" s="1428"/>
      <c r="O3" s="1428"/>
      <c r="P3" s="1427"/>
      <c r="Q3" s="1427"/>
      <c r="R3" s="1427"/>
      <c r="S3" s="1427"/>
      <c r="T3" s="1427"/>
      <c r="U3" s="1427"/>
      <c r="V3" s="1427"/>
      <c r="W3" s="1427"/>
      <c r="X3" s="1427"/>
      <c r="Y3" s="1427"/>
      <c r="Z3" s="1427"/>
      <c r="AA3" s="1427"/>
      <c r="AB3" s="1427"/>
      <c r="AC3" s="1427"/>
      <c r="AD3" s="1427"/>
      <c r="AE3" s="1427"/>
      <c r="AF3" s="1427"/>
      <c r="AG3" s="1427"/>
      <c r="AH3" s="1427"/>
      <c r="AI3" s="1427"/>
      <c r="AJ3" s="1427"/>
      <c r="AK3" s="1427"/>
      <c r="AL3" s="1427"/>
      <c r="AM3" s="1427"/>
      <c r="AN3" s="1427"/>
      <c r="AO3" s="1427"/>
      <c r="AP3" s="1427"/>
      <c r="AQ3" s="1427"/>
      <c r="AR3" s="1427"/>
      <c r="AS3" s="1427"/>
      <c r="AT3" s="1427"/>
      <c r="AU3" s="1427"/>
      <c r="AV3" s="1427"/>
      <c r="AW3" s="1427"/>
      <c r="AX3" s="1427"/>
      <c r="AY3" s="1427"/>
      <c r="AZ3" s="1427"/>
      <c r="BA3" s="1427"/>
      <c r="BB3" s="1427"/>
      <c r="BC3" s="1427"/>
      <c r="BD3" s="1427"/>
      <c r="BE3" s="1427"/>
      <c r="BF3" s="1427"/>
      <c r="BG3" s="1427"/>
      <c r="BH3" s="1427"/>
      <c r="BI3" s="1427"/>
      <c r="BJ3" s="1427"/>
      <c r="BK3" s="1427"/>
      <c r="BL3" s="1427"/>
      <c r="BM3" s="1427"/>
      <c r="BN3" s="1427"/>
      <c r="BO3" s="1427"/>
      <c r="BP3" s="1427"/>
      <c r="BQ3" s="1427"/>
      <c r="BR3" s="1323"/>
      <c r="BS3" s="1323"/>
      <c r="BT3" s="1323"/>
      <c r="BU3" s="1323"/>
      <c r="BV3" s="1323"/>
      <c r="BW3" s="1323"/>
      <c r="BX3" s="1323"/>
      <c r="BY3" s="1323"/>
      <c r="BZ3" s="1323"/>
      <c r="CA3" s="1323"/>
    </row>
    <row r="4" spans="1:79" s="1443" customFormat="1" ht="13.5" thickBot="1">
      <c r="A4" s="1429"/>
      <c r="B4" s="1430" t="s">
        <v>773</v>
      </c>
      <c r="C4" s="1431" t="s">
        <v>700</v>
      </c>
      <c r="D4" s="1432" t="str">
        <f>Valuation!$CG$36</f>
        <v>Yes</v>
      </c>
      <c r="E4" s="1433"/>
      <c r="F4" s="1434"/>
      <c r="G4" s="1435" t="s">
        <v>916</v>
      </c>
      <c r="H4" s="1436" t="s">
        <v>917</v>
      </c>
      <c r="I4" s="1436" t="s">
        <v>918</v>
      </c>
      <c r="J4" s="1437" t="s">
        <v>919</v>
      </c>
      <c r="K4" s="1435" t="s">
        <v>776</v>
      </c>
      <c r="L4" s="1436" t="s">
        <v>777</v>
      </c>
      <c r="M4" s="1436" t="s">
        <v>778</v>
      </c>
      <c r="N4" s="1437" t="s">
        <v>779</v>
      </c>
      <c r="O4" s="1435" t="s">
        <v>780</v>
      </c>
      <c r="P4" s="1436" t="s">
        <v>781</v>
      </c>
      <c r="Q4" s="1436" t="s">
        <v>782</v>
      </c>
      <c r="R4" s="1437" t="s">
        <v>787</v>
      </c>
      <c r="S4" s="1435" t="s">
        <v>788</v>
      </c>
      <c r="T4" s="1436" t="s">
        <v>789</v>
      </c>
      <c r="U4" s="1436" t="s">
        <v>790</v>
      </c>
      <c r="V4" s="1437" t="s">
        <v>791</v>
      </c>
      <c r="W4" s="1436" t="s">
        <v>792</v>
      </c>
      <c r="X4" s="1436" t="s">
        <v>793</v>
      </c>
      <c r="Y4" s="1436" t="s">
        <v>794</v>
      </c>
      <c r="Z4" s="1438" t="s">
        <v>795</v>
      </c>
      <c r="AA4" s="1436" t="s">
        <v>796</v>
      </c>
      <c r="AB4" s="1436" t="s">
        <v>797</v>
      </c>
      <c r="AC4" s="1436" t="s">
        <v>798</v>
      </c>
      <c r="AD4" s="1438" t="s">
        <v>799</v>
      </c>
      <c r="AE4" s="1436" t="s">
        <v>868</v>
      </c>
      <c r="AF4" s="1436" t="s">
        <v>869</v>
      </c>
      <c r="AG4" s="1436" t="s">
        <v>870</v>
      </c>
      <c r="AH4" s="1438" t="s">
        <v>871</v>
      </c>
      <c r="AI4" s="1436" t="s">
        <v>189</v>
      </c>
      <c r="AJ4" s="1436" t="s">
        <v>190</v>
      </c>
      <c r="AK4" s="1436" t="s">
        <v>191</v>
      </c>
      <c r="AL4" s="1438" t="s">
        <v>192</v>
      </c>
      <c r="AM4" s="1436" t="s">
        <v>134</v>
      </c>
      <c r="AN4" s="1436" t="s">
        <v>135</v>
      </c>
      <c r="AO4" s="1436" t="s">
        <v>136</v>
      </c>
      <c r="AP4" s="1438" t="s">
        <v>137</v>
      </c>
      <c r="AQ4" s="1436" t="s">
        <v>979</v>
      </c>
      <c r="AR4" s="1436" t="s">
        <v>980</v>
      </c>
      <c r="AS4" s="1436" t="s">
        <v>981</v>
      </c>
      <c r="AT4" s="1438" t="s">
        <v>982</v>
      </c>
      <c r="AU4" s="1436" t="s">
        <v>983</v>
      </c>
      <c r="AV4" s="1436" t="s">
        <v>984</v>
      </c>
      <c r="AW4" s="1436" t="s">
        <v>985</v>
      </c>
      <c r="AX4" s="1438" t="s">
        <v>986</v>
      </c>
      <c r="AY4" s="1436" t="s">
        <v>1141</v>
      </c>
      <c r="AZ4" s="1436" t="s">
        <v>1142</v>
      </c>
      <c r="BA4" s="1436" t="s">
        <v>1143</v>
      </c>
      <c r="BB4" s="1438" t="s">
        <v>1144</v>
      </c>
      <c r="BC4" s="1439"/>
      <c r="BD4" s="1439"/>
      <c r="BE4" s="1439">
        <v>2010</v>
      </c>
      <c r="BF4" s="1439">
        <v>2011</v>
      </c>
      <c r="BG4" s="1439">
        <f t="shared" ref="BG4:BL4" si="0">+BF4+1</f>
        <v>2012</v>
      </c>
      <c r="BH4" s="1439">
        <f t="shared" si="0"/>
        <v>2013</v>
      </c>
      <c r="BI4" s="1439">
        <f t="shared" si="0"/>
        <v>2014</v>
      </c>
      <c r="BJ4" s="1439">
        <f t="shared" si="0"/>
        <v>2015</v>
      </c>
      <c r="BK4" s="1439">
        <f t="shared" si="0"/>
        <v>2016</v>
      </c>
      <c r="BL4" s="1439">
        <f t="shared" si="0"/>
        <v>2017</v>
      </c>
      <c r="BM4" s="1439">
        <f>+BL4+1</f>
        <v>2018</v>
      </c>
      <c r="BN4" s="1439">
        <f>BM4+1</f>
        <v>2019</v>
      </c>
      <c r="BO4" s="1439">
        <f>BN4+1</f>
        <v>2020</v>
      </c>
      <c r="BP4" s="1439">
        <f>BO4+1</f>
        <v>2021</v>
      </c>
      <c r="BQ4" s="1439"/>
      <c r="BR4" s="1440"/>
      <c r="BS4" s="1441"/>
      <c r="BT4" s="1442"/>
      <c r="BV4" s="1444"/>
    </row>
    <row r="5" spans="1:79" ht="12.75" customHeight="1">
      <c r="A5" s="1445"/>
      <c r="B5" s="1446"/>
      <c r="C5" s="1447"/>
      <c r="D5" s="1447"/>
      <c r="E5" s="1448"/>
      <c r="F5" s="1449"/>
      <c r="G5" s="1435"/>
      <c r="H5" s="1436"/>
      <c r="I5" s="1436"/>
      <c r="J5" s="1437"/>
      <c r="K5" s="1435"/>
      <c r="L5" s="1436"/>
      <c r="M5" s="1436"/>
      <c r="N5" s="1437"/>
      <c r="O5" s="1435"/>
      <c r="P5" s="1436"/>
      <c r="Q5" s="1436"/>
      <c r="R5" s="1437"/>
      <c r="S5" s="1435"/>
      <c r="T5" s="1436"/>
      <c r="U5" s="1436"/>
      <c r="V5" s="1437"/>
      <c r="W5" s="1436"/>
      <c r="X5" s="1436"/>
      <c r="Y5" s="1436"/>
      <c r="Z5" s="1438"/>
      <c r="AA5" s="1436"/>
      <c r="AB5" s="1436"/>
      <c r="AC5" s="1436"/>
      <c r="AD5" s="1438"/>
      <c r="AE5" s="1436"/>
      <c r="AF5" s="1436"/>
      <c r="AG5" s="1436"/>
      <c r="AH5" s="1438"/>
      <c r="AI5" s="1436"/>
      <c r="AJ5" s="1436"/>
      <c r="AK5" s="1436"/>
      <c r="AL5" s="1438"/>
      <c r="AM5" s="1436"/>
      <c r="AN5" s="1436"/>
      <c r="AO5" s="1436"/>
      <c r="AP5" s="1438"/>
      <c r="AQ5" s="1436"/>
      <c r="AR5" s="1436"/>
      <c r="AS5" s="1436"/>
      <c r="AT5" s="1438"/>
      <c r="AU5" s="1436"/>
      <c r="AV5" s="1436"/>
      <c r="AW5" s="1436"/>
      <c r="AX5" s="1438"/>
      <c r="AY5" s="1436"/>
      <c r="AZ5" s="1436"/>
      <c r="BA5" s="1436"/>
      <c r="BB5" s="1438"/>
      <c r="BC5" s="1439"/>
      <c r="BD5" s="1439"/>
      <c r="BE5" s="1439"/>
      <c r="BF5" s="1439"/>
      <c r="BG5" s="1450"/>
      <c r="BH5" s="1450"/>
      <c r="BI5" s="1450"/>
      <c r="BJ5" s="1450"/>
      <c r="BK5" s="1450"/>
      <c r="BL5" s="1450"/>
      <c r="BM5" s="1450"/>
      <c r="BN5" s="1450"/>
      <c r="BO5" s="1450"/>
      <c r="BP5" s="1450"/>
      <c r="BQ5" s="1450"/>
      <c r="BR5" s="1440"/>
      <c r="BS5" s="1441"/>
      <c r="BT5" s="1442"/>
      <c r="BU5" s="1443"/>
      <c r="BV5" s="1444"/>
      <c r="BW5" s="1443"/>
      <c r="BX5" s="1443"/>
      <c r="BY5" s="1443"/>
      <c r="BZ5" s="1443"/>
      <c r="CA5" s="1443"/>
    </row>
    <row r="6" spans="1:79" ht="12.75" customHeight="1">
      <c r="A6" s="1445"/>
      <c r="B6" s="1446"/>
      <c r="C6" s="1451" t="str">
        <f t="shared" ref="C6:AL6" si="1">IF(ISBLANK(C149),"",C149)</f>
        <v>Fuel Prices</v>
      </c>
      <c r="D6" s="1452" t="str">
        <f t="shared" si="1"/>
        <v/>
      </c>
      <c r="E6" s="1453" t="str">
        <f t="shared" si="1"/>
        <v/>
      </c>
      <c r="F6" s="1454" t="str">
        <f t="shared" si="1"/>
        <v/>
      </c>
      <c r="G6" s="1455" t="str">
        <f t="shared" si="1"/>
        <v/>
      </c>
      <c r="H6" s="1456" t="str">
        <f t="shared" si="1"/>
        <v/>
      </c>
      <c r="I6" s="1456" t="str">
        <f t="shared" si="1"/>
        <v/>
      </c>
      <c r="J6" s="1457" t="str">
        <f t="shared" si="1"/>
        <v/>
      </c>
      <c r="K6" s="1455" t="str">
        <f t="shared" si="1"/>
        <v/>
      </c>
      <c r="L6" s="1456" t="str">
        <f t="shared" si="1"/>
        <v/>
      </c>
      <c r="M6" s="1456" t="str">
        <f t="shared" si="1"/>
        <v/>
      </c>
      <c r="N6" s="1457" t="str">
        <f t="shared" si="1"/>
        <v/>
      </c>
      <c r="O6" s="1455" t="str">
        <f t="shared" si="1"/>
        <v/>
      </c>
      <c r="P6" s="1456" t="str">
        <f t="shared" si="1"/>
        <v/>
      </c>
      <c r="Q6" s="1456" t="str">
        <f t="shared" si="1"/>
        <v/>
      </c>
      <c r="R6" s="1457" t="str">
        <f t="shared" si="1"/>
        <v/>
      </c>
      <c r="S6" s="1455" t="str">
        <f t="shared" si="1"/>
        <v/>
      </c>
      <c r="T6" s="1456" t="str">
        <f t="shared" si="1"/>
        <v/>
      </c>
      <c r="U6" s="1456" t="str">
        <f t="shared" si="1"/>
        <v/>
      </c>
      <c r="V6" s="1457" t="str">
        <f t="shared" si="1"/>
        <v/>
      </c>
      <c r="W6" s="1456" t="str">
        <f t="shared" si="1"/>
        <v/>
      </c>
      <c r="X6" s="1456" t="str">
        <f t="shared" si="1"/>
        <v/>
      </c>
      <c r="Y6" s="1912" t="str">
        <f t="shared" si="1"/>
        <v/>
      </c>
      <c r="Z6" s="1913" t="str">
        <f t="shared" si="1"/>
        <v/>
      </c>
      <c r="AA6" s="1914" t="str">
        <f t="shared" si="1"/>
        <v/>
      </c>
      <c r="AB6" s="1914" t="str">
        <f t="shared" si="1"/>
        <v/>
      </c>
      <c r="AC6" s="1459" t="str">
        <f t="shared" si="1"/>
        <v/>
      </c>
      <c r="AD6" s="1458" t="str">
        <f t="shared" si="1"/>
        <v/>
      </c>
      <c r="AE6" s="1459" t="str">
        <f t="shared" si="1"/>
        <v/>
      </c>
      <c r="AF6" s="1459" t="str">
        <f t="shared" si="1"/>
        <v/>
      </c>
      <c r="AG6" s="1459" t="str">
        <f t="shared" si="1"/>
        <v/>
      </c>
      <c r="AH6" s="1458" t="str">
        <f t="shared" si="1"/>
        <v/>
      </c>
      <c r="AI6" s="1459" t="str">
        <f t="shared" si="1"/>
        <v/>
      </c>
      <c r="AJ6" s="1459" t="str">
        <f t="shared" si="1"/>
        <v/>
      </c>
      <c r="AK6" s="1459" t="str">
        <f t="shared" si="1"/>
        <v/>
      </c>
      <c r="AL6" s="1458" t="str">
        <f t="shared" si="1"/>
        <v/>
      </c>
      <c r="AM6" s="1459" t="str">
        <f t="shared" ref="AM6:AP7" si="2">IF(ISBLANK(AM149),"",AM149)</f>
        <v/>
      </c>
      <c r="AN6" s="1459" t="str">
        <f t="shared" si="2"/>
        <v/>
      </c>
      <c r="AO6" s="1459" t="str">
        <f t="shared" si="2"/>
        <v/>
      </c>
      <c r="AP6" s="1458" t="str">
        <f t="shared" si="2"/>
        <v/>
      </c>
      <c r="AQ6" s="1459" t="str">
        <f t="shared" ref="AQ6:AT7" si="3">IF(ISBLANK(AQ149),"",AQ149)</f>
        <v/>
      </c>
      <c r="AR6" s="1459" t="str">
        <f t="shared" si="3"/>
        <v/>
      </c>
      <c r="AS6" s="1459" t="str">
        <f t="shared" si="3"/>
        <v/>
      </c>
      <c r="AT6" s="1458" t="str">
        <f t="shared" si="3"/>
        <v/>
      </c>
      <c r="AU6" s="1459" t="str">
        <f t="shared" ref="AU6:AX6" si="4">IF(ISBLANK(AU149),"",AU149)</f>
        <v/>
      </c>
      <c r="AV6" s="1459" t="str">
        <f t="shared" si="4"/>
        <v/>
      </c>
      <c r="AW6" s="1459" t="str">
        <f t="shared" si="4"/>
        <v/>
      </c>
      <c r="AX6" s="1458" t="str">
        <f t="shared" si="4"/>
        <v/>
      </c>
      <c r="AY6" s="1459" t="str">
        <f t="shared" ref="AY6:BB6" si="5">IF(ISBLANK(AY149),"",AY149)</f>
        <v/>
      </c>
      <c r="AZ6" s="1459" t="str">
        <f t="shared" si="5"/>
        <v/>
      </c>
      <c r="BA6" s="1459" t="str">
        <f t="shared" si="5"/>
        <v/>
      </c>
      <c r="BB6" s="1458" t="str">
        <f t="shared" si="5"/>
        <v/>
      </c>
      <c r="BC6" s="1460"/>
      <c r="BD6" s="1460"/>
      <c r="BE6" s="1460"/>
      <c r="BF6" s="1460"/>
      <c r="BG6" s="1460"/>
      <c r="BH6" s="1460"/>
      <c r="BI6" s="1460"/>
      <c r="BJ6" s="1460"/>
      <c r="BK6" s="1460"/>
      <c r="BL6" s="1460"/>
      <c r="BM6" s="1460"/>
      <c r="BN6" s="1460"/>
      <c r="BO6" s="1460"/>
      <c r="BP6" s="1460"/>
      <c r="BQ6" s="1460"/>
      <c r="BR6" s="1461"/>
      <c r="BS6" s="1462"/>
      <c r="BT6" s="1463"/>
      <c r="BV6" s="1444"/>
      <c r="BW6" s="1464" t="s">
        <v>145</v>
      </c>
    </row>
    <row r="7" spans="1:79" ht="12.75" customHeight="1">
      <c r="A7" s="1445"/>
      <c r="B7" s="1446"/>
      <c r="C7" s="1465" t="str">
        <f>IF(ISBLANK(C150),"",C150)</f>
        <v/>
      </c>
      <c r="D7" s="1466" t="str">
        <f>IF(ISBLANK(D150),"",D150)</f>
        <v/>
      </c>
      <c r="E7" s="1466" t="str">
        <f>IF(ISBLANK(E150),"",E150)</f>
        <v/>
      </c>
      <c r="F7" s="1467"/>
      <c r="G7" s="1468" t="str">
        <f t="shared" ref="G7:AL8" si="6">IF(ISBLANK(G150),"",G150)</f>
        <v/>
      </c>
      <c r="H7" s="1469" t="str">
        <f t="shared" si="6"/>
        <v/>
      </c>
      <c r="I7" s="1469" t="str">
        <f t="shared" si="6"/>
        <v/>
      </c>
      <c r="J7" s="1470" t="str">
        <f t="shared" si="6"/>
        <v/>
      </c>
      <c r="K7" s="1468" t="str">
        <f t="shared" si="6"/>
        <v/>
      </c>
      <c r="L7" s="1469" t="str">
        <f t="shared" si="6"/>
        <v/>
      </c>
      <c r="M7" s="1469" t="str">
        <f t="shared" si="6"/>
        <v/>
      </c>
      <c r="N7" s="1470" t="str">
        <f t="shared" si="6"/>
        <v/>
      </c>
      <c r="O7" s="1468" t="str">
        <f t="shared" si="6"/>
        <v/>
      </c>
      <c r="P7" s="1469" t="str">
        <f t="shared" si="6"/>
        <v/>
      </c>
      <c r="Q7" s="1469" t="str">
        <f t="shared" si="6"/>
        <v/>
      </c>
      <c r="R7" s="1471" t="str">
        <f t="shared" si="6"/>
        <v/>
      </c>
      <c r="S7" s="1472" t="str">
        <f t="shared" si="6"/>
        <v/>
      </c>
      <c r="T7" s="1473" t="str">
        <f t="shared" si="6"/>
        <v/>
      </c>
      <c r="U7" s="1473" t="str">
        <f t="shared" si="6"/>
        <v/>
      </c>
      <c r="V7" s="1471" t="str">
        <f t="shared" si="6"/>
        <v/>
      </c>
      <c r="W7" s="1473" t="str">
        <f t="shared" si="6"/>
        <v/>
      </c>
      <c r="X7" s="1473" t="str">
        <f t="shared" si="6"/>
        <v/>
      </c>
      <c r="Y7" s="1915" t="str">
        <f t="shared" si="6"/>
        <v/>
      </c>
      <c r="Z7" s="1916" t="str">
        <f t="shared" si="6"/>
        <v/>
      </c>
      <c r="AA7" s="1915" t="str">
        <f t="shared" si="6"/>
        <v/>
      </c>
      <c r="AB7" s="1915" t="str">
        <f t="shared" si="6"/>
        <v/>
      </c>
      <c r="AC7" s="1473" t="str">
        <f t="shared" si="6"/>
        <v/>
      </c>
      <c r="AD7" s="1471" t="str">
        <f t="shared" si="6"/>
        <v/>
      </c>
      <c r="AE7" s="1473" t="str">
        <f t="shared" si="6"/>
        <v/>
      </c>
      <c r="AF7" s="1473" t="str">
        <f t="shared" si="6"/>
        <v/>
      </c>
      <c r="AG7" s="1473" t="str">
        <f t="shared" si="6"/>
        <v/>
      </c>
      <c r="AH7" s="1471" t="str">
        <f t="shared" si="6"/>
        <v/>
      </c>
      <c r="AI7" s="1473" t="str">
        <f t="shared" si="6"/>
        <v/>
      </c>
      <c r="AJ7" s="1473" t="str">
        <f t="shared" si="6"/>
        <v/>
      </c>
      <c r="AK7" s="1473" t="str">
        <f t="shared" si="6"/>
        <v/>
      </c>
      <c r="AL7" s="1471" t="str">
        <f t="shared" si="6"/>
        <v/>
      </c>
      <c r="AM7" s="1473" t="str">
        <f t="shared" si="2"/>
        <v/>
      </c>
      <c r="AN7" s="1473" t="str">
        <f t="shared" si="2"/>
        <v/>
      </c>
      <c r="AO7" s="1473" t="str">
        <f t="shared" si="2"/>
        <v/>
      </c>
      <c r="AP7" s="1471" t="str">
        <f t="shared" si="2"/>
        <v/>
      </c>
      <c r="AQ7" s="1473" t="str">
        <f t="shared" si="3"/>
        <v/>
      </c>
      <c r="AR7" s="1473" t="str">
        <f t="shared" si="3"/>
        <v/>
      </c>
      <c r="AS7" s="1473" t="str">
        <f t="shared" si="3"/>
        <v/>
      </c>
      <c r="AT7" s="1471" t="str">
        <f t="shared" si="3"/>
        <v/>
      </c>
      <c r="AU7" s="1473" t="str">
        <f t="shared" ref="AU7:AX7" si="7">IF(ISBLANK(AU150),"",AU150)</f>
        <v/>
      </c>
      <c r="AV7" s="1473" t="str">
        <f t="shared" si="7"/>
        <v/>
      </c>
      <c r="AW7" s="1473" t="str">
        <f t="shared" si="7"/>
        <v/>
      </c>
      <c r="AX7" s="1471" t="str">
        <f t="shared" si="7"/>
        <v/>
      </c>
      <c r="AY7" s="1473" t="str">
        <f t="shared" ref="AY7:BB7" si="8">IF(ISBLANK(AY150),"",AY150)</f>
        <v/>
      </c>
      <c r="AZ7" s="1473" t="str">
        <f t="shared" si="8"/>
        <v/>
      </c>
      <c r="BA7" s="1473" t="str">
        <f t="shared" si="8"/>
        <v/>
      </c>
      <c r="BB7" s="1471" t="str">
        <f t="shared" si="8"/>
        <v/>
      </c>
      <c r="BC7" s="1474"/>
      <c r="BD7" s="1474"/>
      <c r="BE7" s="1474"/>
      <c r="BF7" s="1474"/>
      <c r="BG7" s="1474"/>
      <c r="BH7" s="1474"/>
      <c r="BI7" s="1474"/>
      <c r="BJ7" s="1475"/>
      <c r="BK7" s="1474"/>
      <c r="BL7" s="1474"/>
      <c r="BM7" s="1474"/>
      <c r="BN7" s="1474"/>
      <c r="BO7" s="1474"/>
      <c r="BP7" s="1474"/>
      <c r="BQ7" s="1474"/>
      <c r="BR7" s="1476"/>
      <c r="BS7" s="1477"/>
      <c r="BV7" s="1444"/>
      <c r="BW7" s="1608" t="s">
        <v>1136</v>
      </c>
      <c r="BX7" s="1478">
        <f>BP8</f>
        <v>2.8552499999999994</v>
      </c>
    </row>
    <row r="8" spans="1:79" ht="12.75" customHeight="1">
      <c r="A8" s="1445"/>
      <c r="B8" s="1446"/>
      <c r="C8" s="1650" t="s">
        <v>920</v>
      </c>
      <c r="D8" s="1649"/>
      <c r="E8" s="1649"/>
      <c r="F8" s="1648"/>
      <c r="G8" s="1647">
        <f t="shared" si="6"/>
        <v>4.8801458333333327</v>
      </c>
      <c r="H8" s="1646">
        <f t="shared" ref="H8:AX8" si="9">IF(ISBLANK(H151),"",H151)</f>
        <v>4.3247460317460309</v>
      </c>
      <c r="I8" s="1646">
        <f t="shared" si="9"/>
        <v>4.2905156250000003</v>
      </c>
      <c r="J8" s="1645">
        <f t="shared" si="9"/>
        <v>3.8051846153846145</v>
      </c>
      <c r="K8" s="1647">
        <f t="shared" si="9"/>
        <v>4.1753749999999998</v>
      </c>
      <c r="L8" s="1646">
        <f t="shared" si="9"/>
        <v>4.3679218749999995</v>
      </c>
      <c r="M8" s="1646">
        <f t="shared" si="9"/>
        <v>4.1250937499999987</v>
      </c>
      <c r="N8" s="1645">
        <f t="shared" si="9"/>
        <v>3.3347142857142864</v>
      </c>
      <c r="O8" s="1647">
        <f t="shared" si="9"/>
        <v>2.4596984126984123</v>
      </c>
      <c r="P8" s="1646">
        <f t="shared" si="9"/>
        <v>2.2776984126984123</v>
      </c>
      <c r="Q8" s="1646">
        <f t="shared" si="9"/>
        <v>2.8780317460317462</v>
      </c>
      <c r="R8" s="1646">
        <f t="shared" si="9"/>
        <v>3.3929375000000004</v>
      </c>
      <c r="S8" s="1647">
        <f t="shared" si="9"/>
        <v>3.4791000000000003</v>
      </c>
      <c r="T8" s="1646">
        <f t="shared" si="9"/>
        <v>4.0243281250000011</v>
      </c>
      <c r="U8" s="1646">
        <f t="shared" si="9"/>
        <v>3.5578281250000003</v>
      </c>
      <c r="V8" s="1646">
        <f t="shared" si="9"/>
        <v>3.8364218749999996</v>
      </c>
      <c r="W8" s="1644">
        <f t="shared" si="9"/>
        <v>5.1762950819672131</v>
      </c>
      <c r="X8" s="1646">
        <f t="shared" si="9"/>
        <v>4.6069687499999992</v>
      </c>
      <c r="Y8" s="1820">
        <f t="shared" si="9"/>
        <v>3.9690625000000006</v>
      </c>
      <c r="Z8" s="1821">
        <f t="shared" si="9"/>
        <v>3.7758906249999988</v>
      </c>
      <c r="AA8" s="1644">
        <f t="shared" si="9"/>
        <v>2.8932580645161292</v>
      </c>
      <c r="AB8" s="1646">
        <f t="shared" si="9"/>
        <v>2.7407301587301576</v>
      </c>
      <c r="AC8" s="1820">
        <f t="shared" si="9"/>
        <v>2.7644218749999996</v>
      </c>
      <c r="AD8" s="1821">
        <f t="shared" si="9"/>
        <v>2.1331111111111114</v>
      </c>
      <c r="AE8" s="1647">
        <f t="shared" si="9"/>
        <v>1.9876885245901643</v>
      </c>
      <c r="AF8" s="1643">
        <f t="shared" si="9"/>
        <v>2.135984375</v>
      </c>
      <c r="AG8" s="1643">
        <f t="shared" si="9"/>
        <v>2.8751562499999994</v>
      </c>
      <c r="AH8" s="1642">
        <f t="shared" si="9"/>
        <v>3.0312419354838709</v>
      </c>
      <c r="AI8" s="1643">
        <f t="shared" si="9"/>
        <v>3.0098387096774188</v>
      </c>
      <c r="AJ8" s="1643">
        <f t="shared" si="9"/>
        <v>3.076171875</v>
      </c>
      <c r="AK8" s="1643">
        <f t="shared" si="9"/>
        <v>2.9540158730158725</v>
      </c>
      <c r="AL8" s="1642">
        <f t="shared" si="9"/>
        <v>2.8899677419354837</v>
      </c>
      <c r="AM8" s="1643">
        <f t="shared" si="9"/>
        <v>3.1108032786885249</v>
      </c>
      <c r="AN8" s="1643">
        <f t="shared" si="9"/>
        <v>2.6796666666666664</v>
      </c>
      <c r="AO8" s="1643">
        <f t="shared" si="9"/>
        <v>2.8149999999999999</v>
      </c>
      <c r="AP8" s="1642">
        <f t="shared" si="9"/>
        <v>2.9016666666666668</v>
      </c>
      <c r="AQ8" s="1643">
        <f t="shared" si="9"/>
        <v>2.9026943643004919</v>
      </c>
      <c r="AR8" s="1643">
        <f t="shared" si="9"/>
        <v>2.5441789597993276</v>
      </c>
      <c r="AS8" s="1643">
        <f t="shared" si="9"/>
        <v>2.5777897789713125</v>
      </c>
      <c r="AT8" s="1642">
        <f t="shared" si="9"/>
        <v>3.0133368969288674</v>
      </c>
      <c r="AU8" s="1643">
        <f t="shared" si="9"/>
        <v>2.9460848852381236</v>
      </c>
      <c r="AV8" s="1643">
        <f t="shared" si="9"/>
        <v>2.5822102633295767</v>
      </c>
      <c r="AW8" s="1643">
        <f t="shared" si="9"/>
        <v>2.6163235091335033</v>
      </c>
      <c r="AX8" s="1642">
        <f t="shared" si="9"/>
        <v>3.0583813422987949</v>
      </c>
      <c r="AY8" s="1643">
        <f t="shared" ref="AY8:BB8" si="10">IF(ISBLANK(AY151),"",AY151)</f>
        <v>3.0034129674466312</v>
      </c>
      <c r="AZ8" s="1643">
        <f t="shared" si="10"/>
        <v>2.632457682539239</v>
      </c>
      <c r="BA8" s="1643">
        <f t="shared" si="10"/>
        <v>2.6672347404993073</v>
      </c>
      <c r="BB8" s="1642">
        <f t="shared" si="10"/>
        <v>3.117894609514821</v>
      </c>
      <c r="BC8" s="1482"/>
      <c r="BD8" s="1482"/>
      <c r="BE8" s="1482">
        <f>AVERAGE(G8:J8)</f>
        <v>4.3251480263659952</v>
      </c>
      <c r="BF8" s="1482">
        <f>AVERAGE(K8:N8)</f>
        <v>4.0007762276785712</v>
      </c>
      <c r="BG8" s="1482">
        <f>AVERAGE(O8:R8)</f>
        <v>2.752091517857143</v>
      </c>
      <c r="BH8" s="1482">
        <f>AVERAGE(S8:V8)</f>
        <v>3.7244195312500001</v>
      </c>
      <c r="BI8" s="1482">
        <f>AVERAGE(W8:Z8)</f>
        <v>4.3820542392418025</v>
      </c>
      <c r="BJ8" s="1482">
        <f>AVERAGE(AA8:AD8)</f>
        <v>2.6328803023393492</v>
      </c>
      <c r="BK8" s="1482">
        <f>AVERAGE(AE8:AH8)</f>
        <v>2.5075177712685086</v>
      </c>
      <c r="BL8" s="1482">
        <f>AVERAGE(AI8:AL8)</f>
        <v>2.9824985499071941</v>
      </c>
      <c r="BM8" s="1482">
        <f>AVERAGE(AM8:AP8)</f>
        <v>2.8767841530054645</v>
      </c>
      <c r="BN8" s="1482">
        <f>AVERAGE(AQ8:AT8)</f>
        <v>2.7594999999999996</v>
      </c>
      <c r="BO8" s="1482">
        <f>AVERAGE(AU8:AX8)</f>
        <v>2.8007499999999994</v>
      </c>
      <c r="BP8" s="1482">
        <f>AVERAGE(AY8:BB8)</f>
        <v>2.8552499999999994</v>
      </c>
      <c r="BQ8" s="1482"/>
      <c r="BR8" s="1476"/>
      <c r="BS8" s="1477"/>
      <c r="BV8" s="1444"/>
      <c r="BW8" s="1483" t="s">
        <v>513</v>
      </c>
      <c r="BX8" s="1484">
        <f>Valuation!$CG$31</f>
        <v>2.75</v>
      </c>
    </row>
    <row r="9" spans="1:79" ht="12.75" customHeight="1">
      <c r="A9" s="1445"/>
      <c r="B9" s="1446"/>
      <c r="C9" s="1649" t="s">
        <v>801</v>
      </c>
      <c r="D9" s="1649"/>
      <c r="E9" s="1649"/>
      <c r="F9" s="1648"/>
      <c r="G9" s="1647">
        <f t="shared" ref="G9:AX9" si="11">IF(ISBLANK(G152),"",G152)</f>
        <v>57.876923076923077</v>
      </c>
      <c r="H9" s="1646">
        <f t="shared" si="11"/>
        <v>62.742307692307698</v>
      </c>
      <c r="I9" s="1646">
        <f t="shared" si="11"/>
        <v>67.830769230769235</v>
      </c>
      <c r="J9" s="1645">
        <f t="shared" si="11"/>
        <v>70.910714285714263</v>
      </c>
      <c r="K9" s="1647">
        <f t="shared" si="11"/>
        <v>77.237500000000026</v>
      </c>
      <c r="L9" s="1646">
        <f t="shared" si="11"/>
        <v>78.430769230769243</v>
      </c>
      <c r="M9" s="1646">
        <f t="shared" si="11"/>
        <v>80.007142857142853</v>
      </c>
      <c r="N9" s="1645">
        <f t="shared" si="11"/>
        <v>78.934615384615398</v>
      </c>
      <c r="O9" s="1647">
        <f t="shared" si="11"/>
        <v>70.069230769230771</v>
      </c>
      <c r="P9" s="1646">
        <f t="shared" si="11"/>
        <v>59.92307692307692</v>
      </c>
      <c r="Q9" s="1646">
        <f t="shared" si="11"/>
        <v>61.334615384615397</v>
      </c>
      <c r="R9" s="1646">
        <f t="shared" si="11"/>
        <v>66.634615384615373</v>
      </c>
      <c r="S9" s="1647">
        <f t="shared" si="11"/>
        <v>66.511538461538478</v>
      </c>
      <c r="T9" s="1646">
        <f t="shared" si="11"/>
        <v>66.914615384615374</v>
      </c>
      <c r="U9" s="1646">
        <f t="shared" si="11"/>
        <v>64.0053846153846</v>
      </c>
      <c r="V9" s="1646">
        <f t="shared" si="11"/>
        <v>62.446153846153841</v>
      </c>
      <c r="W9" s="1644">
        <f t="shared" si="11"/>
        <v>63.813846153846164</v>
      </c>
      <c r="X9" s="1646">
        <f t="shared" si="11"/>
        <v>60.582307692307708</v>
      </c>
      <c r="Y9" s="1820">
        <f t="shared" si="11"/>
        <v>57.336923076923085</v>
      </c>
      <c r="Z9" s="1821">
        <f t="shared" si="11"/>
        <v>56.106923076923081</v>
      </c>
      <c r="AA9" s="1644">
        <f t="shared" si="11"/>
        <v>53.513846153846139</v>
      </c>
      <c r="AB9" s="1646">
        <f t="shared" si="11"/>
        <v>52.858461538461547</v>
      </c>
      <c r="AC9" s="1820">
        <f t="shared" si="11"/>
        <v>50.784615384615385</v>
      </c>
      <c r="AD9" s="1821">
        <f t="shared" si="11"/>
        <v>46.303846153846159</v>
      </c>
      <c r="AE9" s="1647">
        <f t="shared" si="11"/>
        <v>42.380769230769232</v>
      </c>
      <c r="AF9" s="1643">
        <f t="shared" si="11"/>
        <v>41.192307692307693</v>
      </c>
      <c r="AG9" s="1643">
        <f t="shared" si="11"/>
        <v>40.928571428571438</v>
      </c>
      <c r="AH9" s="1642">
        <f t="shared" si="11"/>
        <v>44.896153846153844</v>
      </c>
      <c r="AI9" s="1643">
        <f t="shared" si="11"/>
        <v>50.057692307692314</v>
      </c>
      <c r="AJ9" s="1643">
        <f t="shared" si="11"/>
        <v>52.46153846153846</v>
      </c>
      <c r="AK9" s="1643">
        <f t="shared" si="11"/>
        <v>52.98846153846155</v>
      </c>
      <c r="AL9" s="1642">
        <f t="shared" si="11"/>
        <v>58.261538461538478</v>
      </c>
      <c r="AM9" s="1643">
        <f t="shared" si="11"/>
        <v>60.850000000000009</v>
      </c>
      <c r="AN9" s="1643">
        <f t="shared" si="11"/>
        <v>49</v>
      </c>
      <c r="AO9" s="1643">
        <f t="shared" si="11"/>
        <v>49</v>
      </c>
      <c r="AP9" s="1642">
        <f t="shared" si="11"/>
        <v>49</v>
      </c>
      <c r="AQ9" s="1643">
        <f t="shared" si="11"/>
        <v>48.154286333412259</v>
      </c>
      <c r="AR9" s="1643">
        <f t="shared" si="11"/>
        <v>48.154286333412259</v>
      </c>
      <c r="AS9" s="1643">
        <f t="shared" si="11"/>
        <v>48.154286333412259</v>
      </c>
      <c r="AT9" s="1642">
        <f t="shared" si="11"/>
        <v>55.537140999763238</v>
      </c>
      <c r="AU9" s="1643">
        <f t="shared" si="11"/>
        <v>48.154286333412259</v>
      </c>
      <c r="AV9" s="1643">
        <f t="shared" si="11"/>
        <v>48.154286333412259</v>
      </c>
      <c r="AW9" s="1643">
        <f t="shared" si="11"/>
        <v>48.154286333412259</v>
      </c>
      <c r="AX9" s="1642">
        <f t="shared" si="11"/>
        <v>55.537140999763238</v>
      </c>
      <c r="AY9" s="1643">
        <f t="shared" ref="AY9:BB9" si="12">IF(ISBLANK(AY152),"",AY152)</f>
        <v>48.154286333412259</v>
      </c>
      <c r="AZ9" s="1643">
        <f t="shared" si="12"/>
        <v>48.154286333412259</v>
      </c>
      <c r="BA9" s="1643">
        <f t="shared" si="12"/>
        <v>48.154286333412259</v>
      </c>
      <c r="BB9" s="1642">
        <f t="shared" si="12"/>
        <v>55.537140999763238</v>
      </c>
      <c r="BC9" s="1482"/>
      <c r="BD9" s="1482"/>
      <c r="BE9" s="1482">
        <f>AVERAGE(G9:J9)</f>
        <v>64.840178571428567</v>
      </c>
      <c r="BF9" s="1482">
        <f>AVERAGE(K9:N9)</f>
        <v>78.652506868131894</v>
      </c>
      <c r="BG9" s="1482">
        <f>AVERAGE(O9:R9)</f>
        <v>64.490384615384613</v>
      </c>
      <c r="BH9" s="1482">
        <f>AVERAGE(S9:V9)</f>
        <v>64.969423076923078</v>
      </c>
      <c r="BI9" s="1482">
        <f>AVERAGE(W9:Z9)</f>
        <v>59.460000000000008</v>
      </c>
      <c r="BJ9" s="1482">
        <f>AVERAGE(AA9:AD9)</f>
        <v>50.865192307692311</v>
      </c>
      <c r="BK9" s="1482">
        <f>AVERAGE(AE9:AH9)</f>
        <v>42.349450549450552</v>
      </c>
      <c r="BL9" s="1482">
        <f>AVERAGE(AI9:AL9)</f>
        <v>53.442307692307693</v>
      </c>
      <c r="BM9" s="1482">
        <f>AVERAGE(AM9:AP9)</f>
        <v>51.962500000000006</v>
      </c>
      <c r="BN9" s="1482">
        <f>AVERAGE(AQ9:AT9)</f>
        <v>50.000000000000007</v>
      </c>
      <c r="BO9" s="1482">
        <f>AVERAGE(AU9:AX9)</f>
        <v>50.000000000000007</v>
      </c>
      <c r="BP9" s="1482">
        <f>AVERAGE(AY9:BB9)</f>
        <v>50.000000000000007</v>
      </c>
      <c r="BQ9" s="1482"/>
      <c r="BR9" s="1476"/>
      <c r="BS9" s="1477"/>
      <c r="BV9" s="1444"/>
      <c r="BW9" s="1485" t="s">
        <v>146</v>
      </c>
      <c r="BX9" s="1486">
        <f>(BX8-'Market Prices'!BX7)*75%+'Market Prices'!BX7</f>
        <v>2.7763125</v>
      </c>
      <c r="BY9" s="1487"/>
    </row>
    <row r="10" spans="1:79" ht="12.75" customHeight="1">
      <c r="A10" s="1445"/>
      <c r="B10" s="1446"/>
      <c r="C10" s="1649" t="s">
        <v>802</v>
      </c>
      <c r="D10" s="1649"/>
      <c r="E10" s="1649"/>
      <c r="F10" s="1648"/>
      <c r="G10" s="1647">
        <f t="shared" ref="G10:AX10" si="13">IF(ISBLANK(G153),"",G153)</f>
        <v>10.753846153846155</v>
      </c>
      <c r="H10" s="1646">
        <f t="shared" si="13"/>
        <v>12.153846153846153</v>
      </c>
      <c r="I10" s="1646">
        <f t="shared" si="13"/>
        <v>14.249999999999998</v>
      </c>
      <c r="J10" s="1645">
        <f t="shared" si="13"/>
        <v>13.750000000000002</v>
      </c>
      <c r="K10" s="1647">
        <f t="shared" si="13"/>
        <v>13.887499999999998</v>
      </c>
      <c r="L10" s="1646">
        <f t="shared" si="13"/>
        <v>12.738461538461538</v>
      </c>
      <c r="M10" s="1646">
        <f t="shared" si="13"/>
        <v>14.228571428571428</v>
      </c>
      <c r="N10" s="1645">
        <f t="shared" si="13"/>
        <v>13.626923076923076</v>
      </c>
      <c r="O10" s="1647">
        <f t="shared" si="13"/>
        <v>9.8423076923076955</v>
      </c>
      <c r="P10" s="1646">
        <f t="shared" si="13"/>
        <v>9.1000000000000014</v>
      </c>
      <c r="Q10" s="1646">
        <f t="shared" si="13"/>
        <v>8.8346153846153861</v>
      </c>
      <c r="R10" s="1646">
        <f t="shared" si="13"/>
        <v>10.123076923076923</v>
      </c>
      <c r="S10" s="1647">
        <f t="shared" si="13"/>
        <v>10.238461538461538</v>
      </c>
      <c r="T10" s="1646">
        <f t="shared" si="13"/>
        <v>10.513846153846153</v>
      </c>
      <c r="U10" s="1646">
        <f t="shared" si="13"/>
        <v>10.403846153846152</v>
      </c>
      <c r="V10" s="1646">
        <f t="shared" si="13"/>
        <v>10.982307692307691</v>
      </c>
      <c r="W10" s="1644">
        <f t="shared" si="13"/>
        <v>12.356153846153846</v>
      </c>
      <c r="X10" s="1646">
        <f t="shared" si="13"/>
        <v>12.986153846153845</v>
      </c>
      <c r="Y10" s="1820">
        <f t="shared" si="13"/>
        <v>11.965384615384615</v>
      </c>
      <c r="Z10" s="1821">
        <f t="shared" si="13"/>
        <v>11.526923076923076</v>
      </c>
      <c r="AA10" s="1644">
        <f t="shared" si="13"/>
        <v>11.592307692307692</v>
      </c>
      <c r="AB10" s="1646">
        <f t="shared" si="13"/>
        <v>11.55</v>
      </c>
      <c r="AC10" s="1820">
        <f t="shared" si="13"/>
        <v>11.592307692307692</v>
      </c>
      <c r="AD10" s="1821">
        <f t="shared" si="13"/>
        <v>11.342307692307694</v>
      </c>
      <c r="AE10" s="1647">
        <f t="shared" si="13"/>
        <v>9.7807692307692307</v>
      </c>
      <c r="AF10" s="1643">
        <f t="shared" si="13"/>
        <v>9.1807692307692292</v>
      </c>
      <c r="AG10" s="1643">
        <f t="shared" si="13"/>
        <v>8.6428571428571441</v>
      </c>
      <c r="AH10" s="1642">
        <f t="shared" si="13"/>
        <v>9.3461538461538467</v>
      </c>
      <c r="AI10" s="1643">
        <f t="shared" si="13"/>
        <v>11.473076923076921</v>
      </c>
      <c r="AJ10" s="1643">
        <f t="shared" si="13"/>
        <v>11.597692307692309</v>
      </c>
      <c r="AK10" s="1643">
        <f t="shared" si="13"/>
        <v>11.516153846153847</v>
      </c>
      <c r="AL10" s="1642">
        <f t="shared" si="13"/>
        <v>11.923076923076922</v>
      </c>
      <c r="AM10" s="1643">
        <f t="shared" si="13"/>
        <v>12.296153846153848</v>
      </c>
      <c r="AN10" s="1643">
        <f t="shared" si="13"/>
        <v>11</v>
      </c>
      <c r="AO10" s="1643">
        <f t="shared" si="13"/>
        <v>11.35</v>
      </c>
      <c r="AP10" s="1642">
        <f t="shared" si="13"/>
        <v>11.65</v>
      </c>
      <c r="AQ10" s="1643">
        <f t="shared" si="13"/>
        <v>11.728652443964354</v>
      </c>
      <c r="AR10" s="1643">
        <f t="shared" si="13"/>
        <v>11.728652443964354</v>
      </c>
      <c r="AS10" s="1643">
        <f t="shared" si="13"/>
        <v>11.728652443964354</v>
      </c>
      <c r="AT10" s="1642">
        <f t="shared" si="13"/>
        <v>11.414042668106942</v>
      </c>
      <c r="AU10" s="1643">
        <f t="shared" si="13"/>
        <v>11.728652443964354</v>
      </c>
      <c r="AV10" s="1643">
        <f t="shared" si="13"/>
        <v>11.728652443964354</v>
      </c>
      <c r="AW10" s="1643">
        <f t="shared" si="13"/>
        <v>11.728652443964354</v>
      </c>
      <c r="AX10" s="1642">
        <f t="shared" si="13"/>
        <v>11.414042668106942</v>
      </c>
      <c r="AY10" s="1643">
        <f t="shared" ref="AY10:BB10" si="14">IF(ISBLANK(AY153),"",AY153)</f>
        <v>11.728652443964354</v>
      </c>
      <c r="AZ10" s="1643">
        <f t="shared" si="14"/>
        <v>11.728652443964354</v>
      </c>
      <c r="BA10" s="1643">
        <f t="shared" si="14"/>
        <v>11.728652443964354</v>
      </c>
      <c r="BB10" s="1642">
        <f t="shared" si="14"/>
        <v>11.414042668106942</v>
      </c>
      <c r="BC10" s="1482"/>
      <c r="BD10" s="1482"/>
      <c r="BE10" s="1482">
        <f>AVERAGE(G10:J10)</f>
        <v>12.726923076923077</v>
      </c>
      <c r="BF10" s="1482">
        <f>AVERAGE(K10:N10)</f>
        <v>13.620364010989011</v>
      </c>
      <c r="BG10" s="1482">
        <f>AVERAGE(O10:R10)</f>
        <v>9.4750000000000014</v>
      </c>
      <c r="BH10" s="1482">
        <f>AVERAGE(S10:V10)</f>
        <v>10.534615384615384</v>
      </c>
      <c r="BI10" s="1482">
        <f>AVERAGE(W10:Z10)</f>
        <v>12.208653846153846</v>
      </c>
      <c r="BJ10" s="1482">
        <f>AVERAGE(AA10:AD10)</f>
        <v>11.519230769230768</v>
      </c>
      <c r="BK10" s="1482">
        <f>AVERAGE(AE10:AH10)</f>
        <v>9.2376373626373631</v>
      </c>
      <c r="BL10" s="1482">
        <f>AVERAGE(AI10:AL10)</f>
        <v>11.6275</v>
      </c>
      <c r="BM10" s="1482">
        <f>AVERAGE(AM10:AP10)</f>
        <v>11.574038461538462</v>
      </c>
      <c r="BN10" s="1482">
        <f>AVERAGE(AQ10:AT10)</f>
        <v>11.650000000000002</v>
      </c>
      <c r="BO10" s="1482">
        <f>AVERAGE(AU10:AX10)</f>
        <v>11.650000000000002</v>
      </c>
      <c r="BP10" s="1482">
        <f>AVERAGE(AY10:BB10)</f>
        <v>11.650000000000002</v>
      </c>
      <c r="BQ10" s="1482"/>
      <c r="BR10" s="1476"/>
      <c r="BS10" s="1477"/>
      <c r="BV10" s="1444"/>
      <c r="BW10" s="1443"/>
      <c r="BX10" s="1443"/>
      <c r="BY10" s="1443"/>
    </row>
    <row r="11" spans="1:79" ht="12.75" customHeight="1">
      <c r="A11" s="1445"/>
      <c r="B11" s="1446"/>
      <c r="C11" s="1649" t="s">
        <v>342</v>
      </c>
      <c r="D11" s="1649"/>
      <c r="E11" s="1649"/>
      <c r="F11" s="1648"/>
      <c r="G11" s="1647">
        <f t="shared" ref="G11:AX11" si="15">IF(ISBLANK(G154),"",G154)</f>
        <v>57.360769230769236</v>
      </c>
      <c r="H11" s="1646">
        <f t="shared" si="15"/>
        <v>61.346153846153847</v>
      </c>
      <c r="I11" s="1646">
        <f t="shared" si="15"/>
        <v>65.019230769230774</v>
      </c>
      <c r="J11" s="1645">
        <f t="shared" si="15"/>
        <v>69.714285714285708</v>
      </c>
      <c r="K11" s="1647">
        <f t="shared" si="15"/>
        <v>73.291666666666657</v>
      </c>
      <c r="L11" s="1646">
        <f t="shared" si="15"/>
        <v>77.380769230769218</v>
      </c>
      <c r="M11" s="1646">
        <f t="shared" si="15"/>
        <v>77.203571428571422</v>
      </c>
      <c r="N11" s="1645">
        <f t="shared" si="15"/>
        <v>76.461538461538453</v>
      </c>
      <c r="O11" s="1647">
        <f t="shared" si="15"/>
        <v>70.211538461538439</v>
      </c>
      <c r="P11" s="1646">
        <f t="shared" si="15"/>
        <v>64.988461538461522</v>
      </c>
      <c r="Q11" s="1646">
        <f t="shared" si="15"/>
        <v>64.992307692307705</v>
      </c>
      <c r="R11" s="1646">
        <f t="shared" si="15"/>
        <v>64.276923076923083</v>
      </c>
      <c r="S11" s="1647">
        <f t="shared" si="15"/>
        <v>62.246153846153859</v>
      </c>
      <c r="T11" s="1646">
        <f t="shared" si="15"/>
        <v>64.961538461538467</v>
      </c>
      <c r="U11" s="1646">
        <f t="shared" si="15"/>
        <v>68.230769230769226</v>
      </c>
      <c r="V11" s="1646">
        <f t="shared" si="15"/>
        <v>68.615384615384613</v>
      </c>
      <c r="W11" s="1644">
        <f t="shared" si="15"/>
        <v>68.453846153846143</v>
      </c>
      <c r="X11" s="1646">
        <f t="shared" si="15"/>
        <v>67.120769230769227</v>
      </c>
      <c r="Y11" s="1820">
        <f t="shared" si="15"/>
        <v>63.607692307692297</v>
      </c>
      <c r="Z11" s="1821">
        <f t="shared" si="15"/>
        <v>53.301576923076922</v>
      </c>
      <c r="AA11" s="1644">
        <f t="shared" si="15"/>
        <v>50.83815384615383</v>
      </c>
      <c r="AB11" s="1646">
        <f t="shared" si="15"/>
        <v>50.215538461538465</v>
      </c>
      <c r="AC11" s="1820">
        <f t="shared" si="15"/>
        <v>48.245384615384616</v>
      </c>
      <c r="AD11" s="1821">
        <f t="shared" si="15"/>
        <v>43.988653846153852</v>
      </c>
      <c r="AE11" s="1647">
        <f t="shared" si="15"/>
        <v>40.261730769230766</v>
      </c>
      <c r="AF11" s="1643">
        <f t="shared" si="15"/>
        <v>39.132692307692309</v>
      </c>
      <c r="AG11" s="1643">
        <f t="shared" si="15"/>
        <v>38.882142857142867</v>
      </c>
      <c r="AH11" s="1642">
        <f t="shared" si="15"/>
        <v>42.651346153846148</v>
      </c>
      <c r="AI11" s="1643">
        <f t="shared" si="15"/>
        <v>47.554807692307698</v>
      </c>
      <c r="AJ11" s="1643">
        <f t="shared" si="15"/>
        <v>49.838461538461537</v>
      </c>
      <c r="AK11" s="1643">
        <f t="shared" si="15"/>
        <v>50.339038461538472</v>
      </c>
      <c r="AL11" s="1642">
        <f t="shared" si="15"/>
        <v>55.348461538461549</v>
      </c>
      <c r="AM11" s="1643">
        <f t="shared" si="15"/>
        <v>57.807500000000005</v>
      </c>
      <c r="AN11" s="1643">
        <f t="shared" si="15"/>
        <v>46.55</v>
      </c>
      <c r="AO11" s="1643">
        <f t="shared" si="15"/>
        <v>46.55</v>
      </c>
      <c r="AP11" s="1642">
        <f t="shared" si="15"/>
        <v>46.55</v>
      </c>
      <c r="AQ11" s="1643">
        <f t="shared" si="15"/>
        <v>45.746572016741645</v>
      </c>
      <c r="AR11" s="1643">
        <f t="shared" si="15"/>
        <v>45.746572016741645</v>
      </c>
      <c r="AS11" s="1643">
        <f t="shared" si="15"/>
        <v>45.746572016741645</v>
      </c>
      <c r="AT11" s="1642">
        <f t="shared" si="15"/>
        <v>52.760283949775072</v>
      </c>
      <c r="AU11" s="1643">
        <f t="shared" si="15"/>
        <v>45.746572016741645</v>
      </c>
      <c r="AV11" s="1643">
        <f t="shared" si="15"/>
        <v>45.746572016741645</v>
      </c>
      <c r="AW11" s="1643">
        <f t="shared" si="15"/>
        <v>45.746572016741645</v>
      </c>
      <c r="AX11" s="1642">
        <f t="shared" si="15"/>
        <v>52.760283949775072</v>
      </c>
      <c r="AY11" s="1643">
        <f t="shared" ref="AY11:BB11" si="16">IF(ISBLANK(AY154),"",AY154)</f>
        <v>45.746572016741645</v>
      </c>
      <c r="AZ11" s="1643">
        <f t="shared" si="16"/>
        <v>45.746572016741645</v>
      </c>
      <c r="BA11" s="1643">
        <f t="shared" si="16"/>
        <v>45.746572016741645</v>
      </c>
      <c r="BB11" s="1642">
        <f t="shared" si="16"/>
        <v>52.760283949775072</v>
      </c>
      <c r="BC11" s="1482"/>
      <c r="BD11" s="1482"/>
      <c r="BE11" s="1482">
        <f>AVERAGE(G11:J11)</f>
        <v>63.360109890109896</v>
      </c>
      <c r="BF11" s="1482">
        <f>AVERAGE(K11:N11)</f>
        <v>76.084386446886441</v>
      </c>
      <c r="BG11" s="1482">
        <f>AVERAGE(O11:R11)</f>
        <v>66.117307692307691</v>
      </c>
      <c r="BH11" s="1482">
        <f>AVERAGE(S11:V11)</f>
        <v>66.013461538461542</v>
      </c>
      <c r="BI11" s="1482">
        <f>AVERAGE(W11:Z11)</f>
        <v>63.120971153846142</v>
      </c>
      <c r="BJ11" s="1482">
        <f>AVERAGE(AA11:AD11)</f>
        <v>48.321932692307691</v>
      </c>
      <c r="BK11" s="1482">
        <f>AVERAGE(AE11:AH11)</f>
        <v>40.231978021978023</v>
      </c>
      <c r="BL11" s="1482">
        <f>AVERAGE(AI11:AL11)</f>
        <v>50.770192307692312</v>
      </c>
      <c r="BM11" s="1482">
        <f>AVERAGE(AM11:AP11)</f>
        <v>49.364374999999995</v>
      </c>
      <c r="BN11" s="1482">
        <f>AVERAGE(AQ11:AT11)</f>
        <v>47.5</v>
      </c>
      <c r="BO11" s="1482">
        <f>AVERAGE(AU11:AX11)</f>
        <v>47.5</v>
      </c>
      <c r="BP11" s="1482">
        <f>AVERAGE(AY11:BB11)</f>
        <v>47.5</v>
      </c>
      <c r="BQ11" s="1482"/>
      <c r="BR11" s="1476"/>
      <c r="BS11" s="1477"/>
      <c r="BV11" s="1444"/>
    </row>
    <row r="12" spans="1:79" ht="12.75" customHeight="1">
      <c r="A12" s="1445"/>
      <c r="B12" s="1446"/>
      <c r="C12" s="1649" t="s">
        <v>343</v>
      </c>
      <c r="D12" s="1649"/>
      <c r="E12" s="1649"/>
      <c r="F12" s="1648"/>
      <c r="G12" s="1647">
        <f t="shared" ref="G12:AX12" si="17">IF(ISBLANK(G155),"",G155)</f>
        <v>41.269230769230766</v>
      </c>
      <c r="H12" s="1646">
        <f t="shared" si="17"/>
        <v>41.919230769230765</v>
      </c>
      <c r="I12" s="1646">
        <f t="shared" si="17"/>
        <v>42.634615384615387</v>
      </c>
      <c r="J12" s="1645">
        <f t="shared" si="17"/>
        <v>47.214285714285715</v>
      </c>
      <c r="K12" s="1647">
        <f t="shared" si="17"/>
        <v>47.5</v>
      </c>
      <c r="L12" s="1646">
        <f t="shared" si="17"/>
        <v>47.730769230769234</v>
      </c>
      <c r="M12" s="1646">
        <f t="shared" si="17"/>
        <v>47.8</v>
      </c>
      <c r="N12" s="1645">
        <f t="shared" si="17"/>
        <v>48.323076923076918</v>
      </c>
      <c r="O12" s="1647">
        <f t="shared" si="17"/>
        <v>52.46153846153846</v>
      </c>
      <c r="P12" s="1646">
        <f t="shared" si="17"/>
        <v>48.615384615384613</v>
      </c>
      <c r="Q12" s="1646">
        <f t="shared" si="17"/>
        <v>47.42307692307692</v>
      </c>
      <c r="R12" s="1646">
        <f t="shared" si="17"/>
        <v>47.888461538461527</v>
      </c>
      <c r="S12" s="1647">
        <f t="shared" si="17"/>
        <v>46.630769230769218</v>
      </c>
      <c r="T12" s="1646">
        <f t="shared" si="17"/>
        <v>45.149999999999984</v>
      </c>
      <c r="U12" s="1646">
        <f t="shared" si="17"/>
        <v>45.534615384615371</v>
      </c>
      <c r="V12" s="1646">
        <f t="shared" si="17"/>
        <v>46.149999999999984</v>
      </c>
      <c r="W12" s="1644">
        <f t="shared" si="17"/>
        <v>46.578461538461518</v>
      </c>
      <c r="X12" s="1646">
        <f t="shared" si="17"/>
        <v>46.272307692307692</v>
      </c>
      <c r="Y12" s="1820">
        <f t="shared" si="17"/>
        <v>44.207692307692305</v>
      </c>
      <c r="Z12" s="1821">
        <f t="shared" si="17"/>
        <v>39.274846153846156</v>
      </c>
      <c r="AA12" s="1644">
        <f t="shared" si="17"/>
        <v>37.459692307692293</v>
      </c>
      <c r="AB12" s="1646">
        <f t="shared" si="17"/>
        <v>37.00092307692308</v>
      </c>
      <c r="AC12" s="1820">
        <f t="shared" si="17"/>
        <v>35.549230769230768</v>
      </c>
      <c r="AD12" s="1821">
        <f t="shared" si="17"/>
        <v>32.412692307692311</v>
      </c>
      <c r="AE12" s="1647">
        <f t="shared" si="17"/>
        <v>29.666538461538462</v>
      </c>
      <c r="AF12" s="1643">
        <f t="shared" si="17"/>
        <v>28.834615384615383</v>
      </c>
      <c r="AG12" s="1643">
        <f t="shared" si="17"/>
        <v>28.650000000000006</v>
      </c>
      <c r="AH12" s="1642">
        <f t="shared" si="17"/>
        <v>31.427307692307689</v>
      </c>
      <c r="AI12" s="1643">
        <f t="shared" si="17"/>
        <v>35.040384615384617</v>
      </c>
      <c r="AJ12" s="1643">
        <f t="shared" si="17"/>
        <v>36.723076923076917</v>
      </c>
      <c r="AK12" s="1643">
        <f t="shared" si="17"/>
        <v>37.091923076923081</v>
      </c>
      <c r="AL12" s="1642">
        <f t="shared" si="17"/>
        <v>40.783076923076933</v>
      </c>
      <c r="AM12" s="1643">
        <f t="shared" si="17"/>
        <v>42.595000000000006</v>
      </c>
      <c r="AN12" s="1643">
        <f t="shared" si="17"/>
        <v>34.299999999999997</v>
      </c>
      <c r="AO12" s="1643">
        <f t="shared" si="17"/>
        <v>34.299999999999997</v>
      </c>
      <c r="AP12" s="1642">
        <f t="shared" si="17"/>
        <v>34.299999999999997</v>
      </c>
      <c r="AQ12" s="1643">
        <f t="shared" si="17"/>
        <v>33.708000433388577</v>
      </c>
      <c r="AR12" s="1643">
        <f t="shared" si="17"/>
        <v>33.708000433388577</v>
      </c>
      <c r="AS12" s="1643">
        <f t="shared" si="17"/>
        <v>33.708000433388577</v>
      </c>
      <c r="AT12" s="1642">
        <f t="shared" si="17"/>
        <v>38.875998699834263</v>
      </c>
      <c r="AU12" s="1643">
        <f t="shared" si="17"/>
        <v>33.708000433388577</v>
      </c>
      <c r="AV12" s="1643">
        <f t="shared" si="17"/>
        <v>33.708000433388577</v>
      </c>
      <c r="AW12" s="1643">
        <f t="shared" si="17"/>
        <v>33.708000433388577</v>
      </c>
      <c r="AX12" s="1642">
        <f t="shared" si="17"/>
        <v>38.875998699834263</v>
      </c>
      <c r="AY12" s="1643">
        <f t="shared" ref="AY12:BB12" si="18">IF(ISBLANK(AY155),"",AY155)</f>
        <v>33.708000433388577</v>
      </c>
      <c r="AZ12" s="1643">
        <f t="shared" si="18"/>
        <v>33.708000433388577</v>
      </c>
      <c r="BA12" s="1643">
        <f t="shared" si="18"/>
        <v>33.708000433388577</v>
      </c>
      <c r="BB12" s="1642">
        <f t="shared" si="18"/>
        <v>38.875998699834263</v>
      </c>
      <c r="BC12" s="1482"/>
      <c r="BD12" s="1482"/>
      <c r="BE12" s="1482">
        <f>AVERAGE(G12:J12)</f>
        <v>43.259340659340658</v>
      </c>
      <c r="BF12" s="1482">
        <f>AVERAGE(K12:N12)</f>
        <v>47.838461538461537</v>
      </c>
      <c r="BG12" s="1482">
        <f>AVERAGE(O12:R12)</f>
        <v>49.097115384615378</v>
      </c>
      <c r="BH12" s="1482">
        <f>AVERAGE(S12:V12)</f>
        <v>45.866346153846138</v>
      </c>
      <c r="BI12" s="1482">
        <f>AVERAGE(W12:Z12)</f>
        <v>44.08332692307691</v>
      </c>
      <c r="BJ12" s="1482">
        <f>AVERAGE(AA12:AD12)</f>
        <v>35.605634615384616</v>
      </c>
      <c r="BK12" s="1482">
        <f>AVERAGE(AE12:AH12)</f>
        <v>29.644615384615385</v>
      </c>
      <c r="BL12" s="1482">
        <f>AVERAGE(AI12:AL12)</f>
        <v>37.409615384615392</v>
      </c>
      <c r="BM12" s="1482">
        <f>AVERAGE(AM12:AP12)</f>
        <v>36.373750000000001</v>
      </c>
      <c r="BN12" s="1482">
        <f>AVERAGE(AQ12:AT12)</f>
        <v>35</v>
      </c>
      <c r="BO12" s="1482">
        <f>AVERAGE(AU12:AX12)</f>
        <v>35</v>
      </c>
      <c r="BP12" s="1482">
        <f>AVERAGE(AY12:BB12)</f>
        <v>35</v>
      </c>
      <c r="BQ12" s="1482"/>
      <c r="BR12" s="1476"/>
      <c r="BS12" s="1477"/>
      <c r="BV12" s="1444"/>
    </row>
    <row r="13" spans="1:79" ht="12.75" customHeight="1">
      <c r="A13" s="1445"/>
      <c r="B13" s="1446"/>
      <c r="C13" s="1649"/>
      <c r="D13" s="1649"/>
      <c r="E13" s="1649"/>
      <c r="F13" s="1651"/>
      <c r="G13" s="1647"/>
      <c r="H13" s="1646"/>
      <c r="I13" s="1646"/>
      <c r="J13" s="1645"/>
      <c r="K13" s="1647"/>
      <c r="L13" s="1646"/>
      <c r="M13" s="1646"/>
      <c r="N13" s="1645"/>
      <c r="O13" s="1647"/>
      <c r="P13" s="1646"/>
      <c r="Q13" s="1646"/>
      <c r="R13" s="1643"/>
      <c r="S13" s="1652"/>
      <c r="T13" s="1643"/>
      <c r="U13" s="1643"/>
      <c r="V13" s="1642"/>
      <c r="W13" s="1643"/>
      <c r="X13" s="1643"/>
      <c r="Y13" s="1820"/>
      <c r="Z13" s="1821"/>
      <c r="AA13" s="1643"/>
      <c r="AB13" s="1643"/>
      <c r="AC13" s="1820"/>
      <c r="AD13" s="1821"/>
      <c r="AE13" s="1652"/>
      <c r="AF13" s="1643"/>
      <c r="AG13" s="1643"/>
      <c r="AH13" s="1642"/>
      <c r="AI13" s="1643"/>
      <c r="AJ13" s="1643"/>
      <c r="AK13" s="1643"/>
      <c r="AL13" s="1642"/>
      <c r="AM13" s="1643"/>
      <c r="AN13" s="1643"/>
      <c r="AO13" s="1643"/>
      <c r="AP13" s="1642"/>
      <c r="AQ13" s="1643"/>
      <c r="AR13" s="1643"/>
      <c r="AS13" s="1643"/>
      <c r="AT13" s="1642"/>
      <c r="AU13" s="1643"/>
      <c r="AV13" s="1643"/>
      <c r="AW13" s="1643"/>
      <c r="AX13" s="1642"/>
      <c r="AY13" s="1643" t="str">
        <f t="shared" ref="AY13:BB13" si="19">IF(ISBLANK(AY156),"",AY156)</f>
        <v/>
      </c>
      <c r="AZ13" s="1643" t="str">
        <f t="shared" si="19"/>
        <v/>
      </c>
      <c r="BA13" s="1643" t="str">
        <f t="shared" si="19"/>
        <v/>
      </c>
      <c r="BB13" s="1642" t="str">
        <f t="shared" si="19"/>
        <v/>
      </c>
      <c r="BC13" s="1489"/>
      <c r="BD13" s="1489"/>
      <c r="BE13" s="1489"/>
      <c r="BF13" s="1489"/>
      <c r="BG13" s="1489"/>
      <c r="BH13" s="1489"/>
      <c r="BI13" s="1489"/>
      <c r="BJ13" s="1489"/>
      <c r="BK13" s="1489"/>
      <c r="BL13" s="1489"/>
      <c r="BM13" s="1489"/>
      <c r="BN13" s="1489"/>
      <c r="BO13" s="1489"/>
      <c r="BP13" s="1489"/>
      <c r="BQ13" s="1489"/>
      <c r="BR13" s="1490"/>
      <c r="BS13" s="1491"/>
      <c r="BV13" s="1444"/>
      <c r="BW13" s="1492" t="s">
        <v>811</v>
      </c>
    </row>
    <row r="14" spans="1:79" ht="12.75" customHeight="1">
      <c r="A14" s="1445"/>
      <c r="B14" s="1446"/>
      <c r="C14" s="1649"/>
      <c r="D14" s="1649"/>
      <c r="E14" s="1649"/>
      <c r="F14" s="1651"/>
      <c r="G14" s="1653"/>
      <c r="H14" s="1654"/>
      <c r="I14" s="1654"/>
      <c r="J14" s="1655"/>
      <c r="K14" s="1653"/>
      <c r="L14" s="1654"/>
      <c r="M14" s="1654"/>
      <c r="N14" s="1655"/>
      <c r="O14" s="1653"/>
      <c r="P14" s="1654"/>
      <c r="Q14" s="1654"/>
      <c r="R14" s="1656"/>
      <c r="S14" s="1657"/>
      <c r="T14" s="1656"/>
      <c r="U14" s="1656"/>
      <c r="V14" s="1658"/>
      <c r="W14" s="1656"/>
      <c r="X14" s="1656"/>
      <c r="Y14" s="1827"/>
      <c r="Z14" s="1697"/>
      <c r="AA14" s="1656"/>
      <c r="AB14" s="1656"/>
      <c r="AC14" s="1827"/>
      <c r="AD14" s="1697"/>
      <c r="AE14" s="1657"/>
      <c r="AF14" s="1660"/>
      <c r="AG14" s="1660"/>
      <c r="AH14" s="1659"/>
      <c r="AI14" s="1660"/>
      <c r="AJ14" s="1660"/>
      <c r="AK14" s="1660"/>
      <c r="AL14" s="1659"/>
      <c r="AM14" s="1660"/>
      <c r="AN14" s="1660"/>
      <c r="AO14" s="1660"/>
      <c r="AP14" s="1659"/>
      <c r="AQ14" s="1660"/>
      <c r="AR14" s="1660"/>
      <c r="AS14" s="1660"/>
      <c r="AT14" s="1659"/>
      <c r="AU14" s="1660"/>
      <c r="AV14" s="1660"/>
      <c r="AW14" s="1660"/>
      <c r="AX14" s="1659"/>
      <c r="AY14" s="1660" t="str">
        <f t="shared" ref="AY14:BB14" si="20">IF(ISBLANK(AY157),"",AY157)</f>
        <v/>
      </c>
      <c r="AZ14" s="1660" t="str">
        <f t="shared" si="20"/>
        <v/>
      </c>
      <c r="BA14" s="1660" t="str">
        <f t="shared" si="20"/>
        <v/>
      </c>
      <c r="BB14" s="1659" t="str">
        <f t="shared" si="20"/>
        <v/>
      </c>
      <c r="BC14" s="1494"/>
      <c r="BD14" s="1494"/>
      <c r="BE14" s="1494"/>
      <c r="BF14" s="1494"/>
      <c r="BG14" s="1494"/>
      <c r="BH14" s="1494"/>
      <c r="BI14" s="1494"/>
      <c r="BJ14" s="1494"/>
      <c r="BK14" s="1494"/>
      <c r="BL14" s="1494"/>
      <c r="BM14" s="1494"/>
      <c r="BN14" s="1494"/>
      <c r="BO14" s="1494"/>
      <c r="BP14" s="1494"/>
      <c r="BQ14" s="1494"/>
      <c r="BR14" s="1490"/>
      <c r="BS14" s="1491"/>
      <c r="BV14" s="1444"/>
      <c r="BW14" s="1495" t="s">
        <v>701</v>
      </c>
      <c r="BX14" s="1496"/>
      <c r="BY14" s="1496">
        <v>28</v>
      </c>
      <c r="BZ14" s="1497" t="s">
        <v>921</v>
      </c>
    </row>
    <row r="15" spans="1:79" ht="12.75" customHeight="1">
      <c r="A15" s="1445"/>
      <c r="B15" s="1446"/>
      <c r="C15" s="1661" t="s">
        <v>893</v>
      </c>
      <c r="D15" s="1546"/>
      <c r="E15" s="1546"/>
      <c r="F15" s="1498"/>
      <c r="G15" s="1647"/>
      <c r="H15" s="1646"/>
      <c r="I15" s="1646"/>
      <c r="J15" s="1645"/>
      <c r="K15" s="1647"/>
      <c r="L15" s="1646"/>
      <c r="M15" s="1646"/>
      <c r="N15" s="1645"/>
      <c r="O15" s="1647"/>
      <c r="P15" s="1646"/>
      <c r="Q15" s="1646"/>
      <c r="R15" s="1643"/>
      <c r="S15" s="1652"/>
      <c r="T15" s="1643"/>
      <c r="U15" s="1643"/>
      <c r="V15" s="1642"/>
      <c r="W15" s="1662"/>
      <c r="X15" s="1643"/>
      <c r="Y15" s="1820"/>
      <c r="Z15" s="1821"/>
      <c r="AA15" s="1662"/>
      <c r="AB15" s="1643"/>
      <c r="AC15" s="1820"/>
      <c r="AD15" s="1821"/>
      <c r="AE15" s="1652"/>
      <c r="AF15" s="1643"/>
      <c r="AG15" s="1643"/>
      <c r="AH15" s="1642"/>
      <c r="AI15" s="1643"/>
      <c r="AJ15" s="1643"/>
      <c r="AK15" s="1643"/>
      <c r="AL15" s="1642"/>
      <c r="AM15" s="1643"/>
      <c r="AN15" s="1643"/>
      <c r="AO15" s="1643"/>
      <c r="AP15" s="1642"/>
      <c r="AQ15" s="1643"/>
      <c r="AR15" s="1643"/>
      <c r="AS15" s="1643"/>
      <c r="AT15" s="1642"/>
      <c r="AU15" s="1643"/>
      <c r="AV15" s="1643"/>
      <c r="AW15" s="1643"/>
      <c r="AX15" s="1642"/>
      <c r="AY15" s="1643" t="str">
        <f t="shared" ref="AY15:BB15" si="21">IF(ISBLANK(AY158),"",AY158)</f>
        <v/>
      </c>
      <c r="AZ15" s="1643" t="str">
        <f t="shared" si="21"/>
        <v/>
      </c>
      <c r="BA15" s="1643" t="str">
        <f t="shared" si="21"/>
        <v/>
      </c>
      <c r="BB15" s="1642" t="str">
        <f t="shared" si="21"/>
        <v/>
      </c>
      <c r="BC15" s="1489"/>
      <c r="BD15" s="1489"/>
      <c r="BE15" s="1489"/>
      <c r="BF15" s="1489"/>
      <c r="BG15" s="1489"/>
      <c r="BH15" s="1499"/>
      <c r="BI15" s="1500"/>
      <c r="BJ15" s="1499"/>
      <c r="BK15" s="1499"/>
      <c r="BL15" s="1499"/>
      <c r="BM15" s="1499"/>
      <c r="BN15" s="1499"/>
      <c r="BO15" s="1499"/>
      <c r="BP15" s="1499"/>
      <c r="BQ15" s="1499"/>
      <c r="BR15" s="1490"/>
      <c r="BS15" s="1501"/>
      <c r="BT15" s="1501"/>
      <c r="BV15" s="1444"/>
      <c r="BW15" s="1502" t="s">
        <v>702</v>
      </c>
      <c r="BX15" s="95"/>
      <c r="BY15" s="95">
        <f>($BY$14/$BX$9+7)*1000</f>
        <v>17085.320006303325</v>
      </c>
      <c r="BZ15" s="1503" t="s">
        <v>703</v>
      </c>
    </row>
    <row r="16" spans="1:79" ht="12.75" customHeight="1">
      <c r="A16" s="1445"/>
      <c r="B16" s="1446"/>
      <c r="C16" s="1649" t="s">
        <v>803</v>
      </c>
      <c r="D16" s="1649"/>
      <c r="E16" s="1547"/>
      <c r="F16" s="1663"/>
      <c r="G16" s="1647">
        <f t="shared" ref="G16:AX16" si="22">IF(ISBLANK(G159),"",G159)</f>
        <v>51.133632812499997</v>
      </c>
      <c r="H16" s="1646">
        <f t="shared" si="22"/>
        <v>51.354570312500016</v>
      </c>
      <c r="I16" s="1646">
        <f t="shared" si="22"/>
        <v>67.22877929687499</v>
      </c>
      <c r="J16" s="1645">
        <f t="shared" si="22"/>
        <v>51.534971153846179</v>
      </c>
      <c r="K16" s="1647">
        <f t="shared" si="22"/>
        <v>63.793710937500023</v>
      </c>
      <c r="L16" s="1646">
        <f t="shared" si="22"/>
        <v>48.444853515625013</v>
      </c>
      <c r="M16" s="1646">
        <f t="shared" si="22"/>
        <v>55.141689453125004</v>
      </c>
      <c r="N16" s="1645">
        <f t="shared" si="22"/>
        <v>41.796567460317455</v>
      </c>
      <c r="O16" s="1647">
        <f t="shared" si="22"/>
        <v>33.353476562500006</v>
      </c>
      <c r="P16" s="1646">
        <f t="shared" si="22"/>
        <v>34.616933593750005</v>
      </c>
      <c r="Q16" s="1646">
        <f t="shared" si="22"/>
        <v>46.289513888888905</v>
      </c>
      <c r="R16" s="1646">
        <f t="shared" si="22"/>
        <v>50.846972656250003</v>
      </c>
      <c r="S16" s="1647">
        <f t="shared" si="22"/>
        <v>89.765515873015843</v>
      </c>
      <c r="T16" s="1646">
        <f t="shared" si="22"/>
        <v>45.063007812499997</v>
      </c>
      <c r="U16" s="1646">
        <f t="shared" si="22"/>
        <v>54.984013671875012</v>
      </c>
      <c r="V16" s="1664">
        <f t="shared" si="22"/>
        <v>67.341074218749995</v>
      </c>
      <c r="W16" s="1644">
        <f t="shared" si="22"/>
        <v>167.3350595238096</v>
      </c>
      <c r="X16" s="1646">
        <f t="shared" si="22"/>
        <v>44.335244140625001</v>
      </c>
      <c r="Y16" s="1820">
        <f t="shared" si="22"/>
        <v>41.33302734374999</v>
      </c>
      <c r="Z16" s="1821">
        <f t="shared" si="22"/>
        <v>48.027636718749996</v>
      </c>
      <c r="AA16" s="1644">
        <f t="shared" si="22"/>
        <v>87.659980158730164</v>
      </c>
      <c r="AB16" s="1646">
        <f t="shared" si="22"/>
        <v>28.370332031249998</v>
      </c>
      <c r="AC16" s="1820">
        <f t="shared" si="22"/>
        <v>42.395605769230762</v>
      </c>
      <c r="AD16" s="1821">
        <f t="shared" si="22"/>
        <v>33.065136718749997</v>
      </c>
      <c r="AE16" s="1647">
        <f t="shared" si="22"/>
        <v>30.31946289062499</v>
      </c>
      <c r="AF16" s="1643">
        <f t="shared" si="22"/>
        <v>28.207148437500003</v>
      </c>
      <c r="AG16" s="1643">
        <f t="shared" si="22"/>
        <v>42.730703124999998</v>
      </c>
      <c r="AH16" s="1642">
        <f t="shared" si="22"/>
        <v>38.680972222222231</v>
      </c>
      <c r="AI16" s="1643">
        <f t="shared" si="22"/>
        <v>33.978535156249983</v>
      </c>
      <c r="AJ16" s="1643">
        <f t="shared" si="22"/>
        <v>33.298916015625018</v>
      </c>
      <c r="AK16" s="1643">
        <f t="shared" si="22"/>
        <v>31.712827380952376</v>
      </c>
      <c r="AL16" s="1642">
        <f t="shared" si="22"/>
        <v>52.552301587301585</v>
      </c>
      <c r="AM16" s="1643">
        <f t="shared" si="22"/>
        <v>62.437333984375016</v>
      </c>
      <c r="AN16" s="1643">
        <f t="shared" si="22"/>
        <v>32.65</v>
      </c>
      <c r="AO16" s="1643">
        <f t="shared" si="22"/>
        <v>35.383333333333333</v>
      </c>
      <c r="AP16" s="1642">
        <f t="shared" si="22"/>
        <v>42.35</v>
      </c>
      <c r="AQ16" s="1643">
        <f t="shared" si="22"/>
        <v>73.199444871908256</v>
      </c>
      <c r="AR16" s="1643">
        <f t="shared" si="22"/>
        <v>31.598138616301913</v>
      </c>
      <c r="AS16" s="1643">
        <f t="shared" si="22"/>
        <v>36.852856695587477</v>
      </c>
      <c r="AT16" s="1642">
        <f t="shared" si="22"/>
        <v>38.566226482602346</v>
      </c>
      <c r="AU16" s="1643">
        <f t="shared" si="22"/>
        <v>73.199444871908256</v>
      </c>
      <c r="AV16" s="1643">
        <f t="shared" si="22"/>
        <v>31.598138616301913</v>
      </c>
      <c r="AW16" s="1643">
        <f t="shared" si="22"/>
        <v>36.852856695587477</v>
      </c>
      <c r="AX16" s="1642">
        <f t="shared" si="22"/>
        <v>38.566226482602346</v>
      </c>
      <c r="AY16" s="1643">
        <f t="shared" ref="AY16:BB16" si="23">IF(ISBLANK(AY159),"",AY159)</f>
        <v>73.361914739375962</v>
      </c>
      <c r="AZ16" s="1643">
        <f t="shared" si="23"/>
        <v>31.668272281962913</v>
      </c>
      <c r="BA16" s="1643">
        <f t="shared" si="23"/>
        <v>36.934653473604257</v>
      </c>
      <c r="BB16" s="1642">
        <f t="shared" si="23"/>
        <v>38.651826171456854</v>
      </c>
      <c r="BC16" s="1489"/>
      <c r="BD16" s="1489"/>
      <c r="BE16" s="1489">
        <f t="shared" ref="BE16:BE31" si="24">AVERAGE(G16:J16)</f>
        <v>55.312988393930297</v>
      </c>
      <c r="BF16" s="1489">
        <f t="shared" ref="BF16:BF31" si="25">AVERAGE(K16:N16)</f>
        <v>52.29420534164187</v>
      </c>
      <c r="BG16" s="1489">
        <f t="shared" ref="BG16:BG31" si="26">AVERAGE(O16:R16)</f>
        <v>41.276724175347226</v>
      </c>
      <c r="BH16" s="1499">
        <f t="shared" ref="BH16:BH31" si="27">AVERAGE(S16:V16)</f>
        <v>64.288402894035215</v>
      </c>
      <c r="BI16" s="1499">
        <f t="shared" ref="BI16:BI31" si="28">AVERAGE(W16:Z16)</f>
        <v>75.257741931733648</v>
      </c>
      <c r="BJ16" s="1499">
        <f t="shared" ref="BJ16:BJ31" si="29">AVERAGE(AA16:AD16)</f>
        <v>47.872763669490226</v>
      </c>
      <c r="BK16" s="1499">
        <f t="shared" ref="BK16:BK31" si="30">AVERAGE(AE16:AH16)</f>
        <v>34.984571668836807</v>
      </c>
      <c r="BL16" s="1499">
        <f t="shared" ref="BL16:BL31" si="31">AVERAGE(AI16:AL16)</f>
        <v>37.88564503503224</v>
      </c>
      <c r="BM16" s="1499">
        <f t="shared" ref="BM16:BM31" si="32">AVERAGE(AM16:AP16)</f>
        <v>43.205166829427085</v>
      </c>
      <c r="BN16" s="1499">
        <f t="shared" ref="BN16:BN31" si="33">AVERAGE(AQ16:AT16)</f>
        <v>45.054166666599997</v>
      </c>
      <c r="BO16" s="1499">
        <f t="shared" ref="BO16:BO31" si="34">AVERAGE(AU16:AX16)</f>
        <v>45.054166666599997</v>
      </c>
      <c r="BP16" s="1499">
        <f t="shared" ref="BP16:BP31" si="35">AVERAGE(AY16:BB16)</f>
        <v>45.154166666599998</v>
      </c>
      <c r="BQ16" s="1499"/>
      <c r="BR16" s="1476"/>
      <c r="BS16" s="1504"/>
      <c r="BT16" s="1499"/>
      <c r="BV16" s="1444"/>
      <c r="BW16" s="1502" t="s">
        <v>147</v>
      </c>
      <c r="BX16" s="95"/>
      <c r="BY16" s="95">
        <f>BP230</f>
        <v>13059.517736879347</v>
      </c>
      <c r="BZ16" s="1503" t="s">
        <v>703</v>
      </c>
    </row>
    <row r="17" spans="1:78" ht="12.75" customHeight="1">
      <c r="A17" s="1445"/>
      <c r="B17" s="1446"/>
      <c r="C17" s="1649" t="s">
        <v>804</v>
      </c>
      <c r="D17" s="1649"/>
      <c r="E17" s="1547"/>
      <c r="F17" s="1663"/>
      <c r="G17" s="1647">
        <f t="shared" ref="G17:AX17" si="36">IF(ISBLANK(G160),"",G160)</f>
        <v>35.213945312500009</v>
      </c>
      <c r="H17" s="1646">
        <f t="shared" si="36"/>
        <v>43.142958984374999</v>
      </c>
      <c r="I17" s="1646">
        <f t="shared" si="36"/>
        <v>53.878339843750005</v>
      </c>
      <c r="J17" s="1645">
        <f t="shared" si="36"/>
        <v>42.122894230769219</v>
      </c>
      <c r="K17" s="1647">
        <f t="shared" si="36"/>
        <v>40.630429687500012</v>
      </c>
      <c r="L17" s="1646">
        <f t="shared" si="36"/>
        <v>42.511806640624982</v>
      </c>
      <c r="M17" s="1646">
        <f t="shared" si="36"/>
        <v>47.368398437499991</v>
      </c>
      <c r="N17" s="1645">
        <f t="shared" si="36"/>
        <v>36.792847222222221</v>
      </c>
      <c r="O17" s="1647">
        <f t="shared" si="36"/>
        <v>30.628144531250001</v>
      </c>
      <c r="P17" s="1646">
        <f t="shared" si="36"/>
        <v>34.255439453125</v>
      </c>
      <c r="Q17" s="1646">
        <f t="shared" si="36"/>
        <v>41.418353174603176</v>
      </c>
      <c r="R17" s="1646">
        <f t="shared" si="36"/>
        <v>39.001152343749993</v>
      </c>
      <c r="S17" s="1647">
        <f t="shared" si="36"/>
        <v>45.623531746031745</v>
      </c>
      <c r="T17" s="1646">
        <f t="shared" si="36"/>
        <v>40.663671874999991</v>
      </c>
      <c r="U17" s="1646">
        <f t="shared" si="36"/>
        <v>53.937705078124999</v>
      </c>
      <c r="V17" s="1664">
        <f t="shared" si="36"/>
        <v>46.228017578124991</v>
      </c>
      <c r="W17" s="1644">
        <f t="shared" si="36"/>
        <v>105.87010912698416</v>
      </c>
      <c r="X17" s="1646">
        <f t="shared" si="36"/>
        <v>44.886210937499996</v>
      </c>
      <c r="Y17" s="1820">
        <f t="shared" si="36"/>
        <v>43.024843750000009</v>
      </c>
      <c r="Z17" s="1821">
        <f t="shared" si="36"/>
        <v>39.284560546874999</v>
      </c>
      <c r="AA17" s="1644">
        <f t="shared" si="36"/>
        <v>53.16058531746031</v>
      </c>
      <c r="AB17" s="1646">
        <f t="shared" si="36"/>
        <v>38.357529296875022</v>
      </c>
      <c r="AC17" s="1820">
        <f t="shared" si="36"/>
        <v>40.580288461538458</v>
      </c>
      <c r="AD17" s="1821">
        <f t="shared" si="36"/>
        <v>34.609042968749996</v>
      </c>
      <c r="AE17" s="1647">
        <f t="shared" si="36"/>
        <v>30.752001953124992</v>
      </c>
      <c r="AF17" s="1643">
        <f t="shared" si="36"/>
        <v>35.769550781249997</v>
      </c>
      <c r="AG17" s="1643">
        <f t="shared" si="36"/>
        <v>46.082998046874998</v>
      </c>
      <c r="AH17" s="1642">
        <f t="shared" si="36"/>
        <v>27.32274801587301</v>
      </c>
      <c r="AI17" s="1643">
        <f t="shared" si="36"/>
        <v>27.648046875000006</v>
      </c>
      <c r="AJ17" s="1643">
        <f t="shared" si="36"/>
        <v>33.630214843749989</v>
      </c>
      <c r="AK17" s="1643">
        <f t="shared" si="36"/>
        <v>34.760575396825409</v>
      </c>
      <c r="AL17" s="1642">
        <f t="shared" si="36"/>
        <v>35.233521825396821</v>
      </c>
      <c r="AM17" s="1643">
        <f t="shared" si="36"/>
        <v>36.453183593749991</v>
      </c>
      <c r="AN17" s="1643">
        <f t="shared" si="36"/>
        <v>37.466666666666661</v>
      </c>
      <c r="AO17" s="1643">
        <f t="shared" si="36"/>
        <v>33.733333333333327</v>
      </c>
      <c r="AP17" s="1642">
        <f t="shared" si="36"/>
        <v>37.766666666666666</v>
      </c>
      <c r="AQ17" s="1643">
        <f t="shared" si="36"/>
        <v>52.984877086683952</v>
      </c>
      <c r="AR17" s="1643">
        <f t="shared" si="36"/>
        <v>34.892480032694301</v>
      </c>
      <c r="AS17" s="1643">
        <f t="shared" si="36"/>
        <v>31.661694844481872</v>
      </c>
      <c r="AT17" s="1642">
        <f t="shared" si="36"/>
        <v>28.460948036139868</v>
      </c>
      <c r="AU17" s="1643">
        <f t="shared" si="36"/>
        <v>52.579137036825585</v>
      </c>
      <c r="AV17" s="1643">
        <f t="shared" si="36"/>
        <v>34.625285365714404</v>
      </c>
      <c r="AW17" s="1643">
        <f t="shared" si="36"/>
        <v>31.419240424444556</v>
      </c>
      <c r="AX17" s="1642">
        <f t="shared" si="36"/>
        <v>28.243003839415444</v>
      </c>
      <c r="AY17" s="1643">
        <f t="shared" ref="AY17:BB17" si="37">IF(ISBLANK(AY160),"",AY160)</f>
        <v>52.937142963086963</v>
      </c>
      <c r="AZ17" s="1643">
        <f t="shared" si="37"/>
        <v>34.861045365935311</v>
      </c>
      <c r="BA17" s="1643">
        <f t="shared" si="37"/>
        <v>31.633170795015378</v>
      </c>
      <c r="BB17" s="1642">
        <f t="shared" si="37"/>
        <v>28.435307542362334</v>
      </c>
      <c r="BC17" s="1489"/>
      <c r="BD17" s="1489"/>
      <c r="BE17" s="1489">
        <f t="shared" si="24"/>
        <v>43.589534592848558</v>
      </c>
      <c r="BF17" s="1489">
        <f t="shared" si="25"/>
        <v>41.825870496961798</v>
      </c>
      <c r="BG17" s="1489">
        <f t="shared" si="26"/>
        <v>36.325772375682043</v>
      </c>
      <c r="BH17" s="1499">
        <f t="shared" si="27"/>
        <v>46.613231569320433</v>
      </c>
      <c r="BI17" s="1499">
        <f t="shared" si="28"/>
        <v>58.266431090339793</v>
      </c>
      <c r="BJ17" s="1499">
        <f t="shared" si="29"/>
        <v>41.676861511155948</v>
      </c>
      <c r="BK17" s="1499">
        <f t="shared" si="30"/>
        <v>34.98182469928075</v>
      </c>
      <c r="BL17" s="1499">
        <f t="shared" si="31"/>
        <v>32.818089735243056</v>
      </c>
      <c r="BM17" s="1499">
        <f t="shared" si="32"/>
        <v>36.354962565104159</v>
      </c>
      <c r="BN17" s="1499">
        <f t="shared" si="33"/>
        <v>37</v>
      </c>
      <c r="BO17" s="1499">
        <f t="shared" si="34"/>
        <v>36.716666666599998</v>
      </c>
      <c r="BP17" s="1499">
        <f t="shared" si="35"/>
        <v>36.966666666599998</v>
      </c>
      <c r="BQ17" s="1499"/>
      <c r="BR17" s="1476"/>
      <c r="BS17" s="1504"/>
      <c r="BT17" s="1499"/>
      <c r="BV17" s="1444"/>
      <c r="BW17" s="1846" t="s">
        <v>1150</v>
      </c>
      <c r="BX17" s="1505"/>
      <c r="BY17" s="1505">
        <f>BY15-BY16+CA101</f>
        <v>4025.8022694239789</v>
      </c>
      <c r="BZ17" s="1506" t="s">
        <v>703</v>
      </c>
    </row>
    <row r="18" spans="1:78" ht="12.75" customHeight="1">
      <c r="A18" s="1445"/>
      <c r="B18" s="1446"/>
      <c r="C18" s="1649" t="s">
        <v>805</v>
      </c>
      <c r="D18" s="1649"/>
      <c r="E18" s="1547"/>
      <c r="F18" s="1663"/>
      <c r="G18" s="1647">
        <f t="shared" ref="G18:AX18" si="38">IF(ISBLANK(G161),"",G161)</f>
        <v>50.319440104166667</v>
      </c>
      <c r="H18" s="1646">
        <f t="shared" si="38"/>
        <v>55.080830078125018</v>
      </c>
      <c r="I18" s="1646">
        <f t="shared" si="38"/>
        <v>72.568281249999998</v>
      </c>
      <c r="J18" s="1645">
        <f t="shared" si="38"/>
        <v>55.060048076923088</v>
      </c>
      <c r="K18" s="1647">
        <f t="shared" si="38"/>
        <v>61.319755859375</v>
      </c>
      <c r="L18" s="1646">
        <f t="shared" si="38"/>
        <v>56.261513671875008</v>
      </c>
      <c r="M18" s="1646">
        <f t="shared" si="38"/>
        <v>64.744736328125001</v>
      </c>
      <c r="N18" s="1645">
        <f t="shared" si="38"/>
        <v>42.035863095238099</v>
      </c>
      <c r="O18" s="1647">
        <f t="shared" si="38"/>
        <v>35.479599609374993</v>
      </c>
      <c r="P18" s="1646">
        <f t="shared" si="38"/>
        <v>42.463750000000005</v>
      </c>
      <c r="Q18" s="1646">
        <f t="shared" si="38"/>
        <v>49.926091269841251</v>
      </c>
      <c r="R18" s="1646">
        <f t="shared" si="38"/>
        <v>46.815820312500001</v>
      </c>
      <c r="S18" s="1647">
        <f t="shared" si="38"/>
        <v>71.969464285714295</v>
      </c>
      <c r="T18" s="1646">
        <f t="shared" si="38"/>
        <v>47.40742187499999</v>
      </c>
      <c r="U18" s="1646">
        <f t="shared" si="38"/>
        <v>63.43471679687498</v>
      </c>
      <c r="V18" s="1664">
        <f t="shared" si="38"/>
        <v>49.675136718749997</v>
      </c>
      <c r="W18" s="1644">
        <f t="shared" si="38"/>
        <v>145.08544642857149</v>
      </c>
      <c r="X18" s="1646">
        <f t="shared" si="38"/>
        <v>45.55554687499999</v>
      </c>
      <c r="Y18" s="1820">
        <f t="shared" si="38"/>
        <v>40.321435546875001</v>
      </c>
      <c r="Z18" s="1821">
        <f t="shared" si="38"/>
        <v>42.091767578124994</v>
      </c>
      <c r="AA18" s="1644">
        <f t="shared" si="38"/>
        <v>77.999513888888885</v>
      </c>
      <c r="AB18" s="1646">
        <f t="shared" si="38"/>
        <v>32.442470703124989</v>
      </c>
      <c r="AC18" s="1820">
        <f t="shared" si="38"/>
        <v>38.379144230769235</v>
      </c>
      <c r="AD18" s="1821">
        <f t="shared" si="38"/>
        <v>27.262890625000001</v>
      </c>
      <c r="AE18" s="1647">
        <f t="shared" si="38"/>
        <v>30.82033203124999</v>
      </c>
      <c r="AF18" s="1643">
        <f t="shared" si="38"/>
        <v>28.172070312500008</v>
      </c>
      <c r="AG18" s="1643">
        <f t="shared" si="38"/>
        <v>39.596083984375014</v>
      </c>
      <c r="AH18" s="1642">
        <f t="shared" si="38"/>
        <v>34.996567460317451</v>
      </c>
      <c r="AI18" s="1643">
        <f t="shared" si="38"/>
        <v>34.973046875000001</v>
      </c>
      <c r="AJ18" s="1643">
        <f t="shared" si="38"/>
        <v>33.375703125000008</v>
      </c>
      <c r="AK18" s="1643">
        <f t="shared" si="38"/>
        <v>32.778422619047618</v>
      </c>
      <c r="AL18" s="1642">
        <f t="shared" si="38"/>
        <v>41.835218253968264</v>
      </c>
      <c r="AM18" s="1643">
        <f t="shared" si="38"/>
        <v>50.315361328125007</v>
      </c>
      <c r="AN18" s="1643">
        <f t="shared" si="38"/>
        <v>37.133333333333333</v>
      </c>
      <c r="AO18" s="1643">
        <f t="shared" si="38"/>
        <v>29.216666666666669</v>
      </c>
      <c r="AP18" s="1642">
        <f t="shared" si="38"/>
        <v>41.81666666666667</v>
      </c>
      <c r="AQ18" s="1643">
        <f t="shared" si="38"/>
        <v>72.206176601284838</v>
      </c>
      <c r="AR18" s="1643">
        <f t="shared" si="38"/>
        <v>35.335679660435538</v>
      </c>
      <c r="AS18" s="1643">
        <f t="shared" si="38"/>
        <v>28.167385316684786</v>
      </c>
      <c r="AT18" s="1642">
        <f t="shared" si="38"/>
        <v>29.507425087994822</v>
      </c>
      <c r="AU18" s="1643">
        <f t="shared" si="38"/>
        <v>73.276922890037596</v>
      </c>
      <c r="AV18" s="1643">
        <f t="shared" si="38"/>
        <v>35.859672892564298</v>
      </c>
      <c r="AW18" s="1643">
        <f t="shared" si="38"/>
        <v>28.585079823046065</v>
      </c>
      <c r="AX18" s="1642">
        <f t="shared" si="38"/>
        <v>29.944991060752034</v>
      </c>
      <c r="AY18" s="1643">
        <f t="shared" ref="AY18:BB18" si="39">IF(ISBLANK(AY161),"",AY161)</f>
        <v>73.888777912182022</v>
      </c>
      <c r="AZ18" s="1643">
        <f t="shared" si="39"/>
        <v>36.159097596637878</v>
      </c>
      <c r="BA18" s="1643">
        <f t="shared" si="39"/>
        <v>28.823762398109654</v>
      </c>
      <c r="BB18" s="1642">
        <f t="shared" si="39"/>
        <v>30.195028759470443</v>
      </c>
      <c r="BC18" s="1489"/>
      <c r="BD18" s="1489"/>
      <c r="BE18" s="1489">
        <f t="shared" si="24"/>
        <v>58.257149877303696</v>
      </c>
      <c r="BF18" s="1489">
        <f t="shared" si="25"/>
        <v>56.090467238653275</v>
      </c>
      <c r="BG18" s="1489">
        <f t="shared" si="26"/>
        <v>43.671315297929063</v>
      </c>
      <c r="BH18" s="1499">
        <f t="shared" si="27"/>
        <v>58.121684919084821</v>
      </c>
      <c r="BI18" s="1499">
        <f t="shared" si="28"/>
        <v>68.263549107142865</v>
      </c>
      <c r="BJ18" s="1499">
        <f t="shared" si="29"/>
        <v>44.021004861945784</v>
      </c>
      <c r="BK18" s="1499">
        <f t="shared" si="30"/>
        <v>33.396263447110613</v>
      </c>
      <c r="BL18" s="1499">
        <f t="shared" si="31"/>
        <v>35.740597718253973</v>
      </c>
      <c r="BM18" s="1499">
        <f t="shared" si="32"/>
        <v>39.62050699869792</v>
      </c>
      <c r="BN18" s="1499">
        <f t="shared" si="33"/>
        <v>41.304166666599997</v>
      </c>
      <c r="BO18" s="1499">
        <f t="shared" si="34"/>
        <v>41.916666666600001</v>
      </c>
      <c r="BP18" s="1499">
        <f t="shared" si="35"/>
        <v>42.266666666599995</v>
      </c>
      <c r="BQ18" s="1499"/>
      <c r="BR18" s="1476"/>
      <c r="BS18" s="1504"/>
      <c r="BT18" s="1499"/>
      <c r="BV18" s="1444"/>
      <c r="BW18" s="1570"/>
      <c r="BX18" s="1476"/>
      <c r="BY18" s="1476"/>
      <c r="BZ18" s="1571"/>
    </row>
    <row r="19" spans="1:78" ht="12.75" customHeight="1">
      <c r="A19" s="1445"/>
      <c r="B19" s="1446"/>
      <c r="C19" s="1665" t="s">
        <v>806</v>
      </c>
      <c r="D19" s="1649"/>
      <c r="E19" s="1547"/>
      <c r="F19" s="1663"/>
      <c r="G19" s="1647">
        <f t="shared" ref="G19:AX19" si="40">IF(ISBLANK(G162),"",G162)</f>
        <v>55.422135416666663</v>
      </c>
      <c r="H19" s="1646">
        <f t="shared" si="40"/>
        <v>64.299941406249999</v>
      </c>
      <c r="I19" s="1646">
        <f t="shared" si="40"/>
        <v>80.573457031249987</v>
      </c>
      <c r="J19" s="1645">
        <f t="shared" si="40"/>
        <v>59.753067307692298</v>
      </c>
      <c r="K19" s="1647">
        <f t="shared" si="40"/>
        <v>70.866767578124993</v>
      </c>
      <c r="L19" s="1646">
        <f t="shared" si="40"/>
        <v>61.81411132812498</v>
      </c>
      <c r="M19" s="1646">
        <f t="shared" si="40"/>
        <v>68.602324218750013</v>
      </c>
      <c r="N19" s="1645">
        <f t="shared" si="40"/>
        <v>45.84968253968254</v>
      </c>
      <c r="O19" s="1647">
        <f t="shared" si="40"/>
        <v>40.598867187499984</v>
      </c>
      <c r="P19" s="1646">
        <f t="shared" si="40"/>
        <v>44.787695312499999</v>
      </c>
      <c r="Q19" s="1646">
        <f t="shared" si="40"/>
        <v>52.449682539682534</v>
      </c>
      <c r="R19" s="1646">
        <f t="shared" si="40"/>
        <v>48.760292968750008</v>
      </c>
      <c r="S19" s="1647">
        <f t="shared" si="40"/>
        <v>82.751825396825382</v>
      </c>
      <c r="T19" s="1646">
        <f t="shared" si="40"/>
        <v>51.984208984375009</v>
      </c>
      <c r="U19" s="1646">
        <f t="shared" si="40"/>
        <v>67.099775390625013</v>
      </c>
      <c r="V19" s="1664">
        <f t="shared" si="40"/>
        <v>50.633037109375017</v>
      </c>
      <c r="W19" s="1644">
        <f t="shared" si="40"/>
        <v>156.84135912698406</v>
      </c>
      <c r="X19" s="1646">
        <f t="shared" si="40"/>
        <v>47.093769531249976</v>
      </c>
      <c r="Y19" s="1820">
        <f t="shared" si="40"/>
        <v>41.267587890624995</v>
      </c>
      <c r="Z19" s="1821">
        <f t="shared" si="40"/>
        <v>42.321269531250003</v>
      </c>
      <c r="AA19" s="1644">
        <f t="shared" si="40"/>
        <v>80.378015873015883</v>
      </c>
      <c r="AB19" s="1646">
        <f t="shared" si="40"/>
        <v>34.555751953125004</v>
      </c>
      <c r="AC19" s="1820">
        <f t="shared" si="40"/>
        <v>41.128067307692319</v>
      </c>
      <c r="AD19" s="1821">
        <f t="shared" si="40"/>
        <v>28.156972656249998</v>
      </c>
      <c r="AE19" s="1647">
        <f t="shared" si="40"/>
        <v>32.810527343750003</v>
      </c>
      <c r="AF19" s="1643">
        <f t="shared" si="40"/>
        <v>29.281435546875006</v>
      </c>
      <c r="AG19" s="1643">
        <f t="shared" si="40"/>
        <v>42.594873046874994</v>
      </c>
      <c r="AH19" s="1642">
        <f t="shared" si="40"/>
        <v>35.888214285714291</v>
      </c>
      <c r="AI19" s="1643">
        <f t="shared" si="40"/>
        <v>35.824277343750005</v>
      </c>
      <c r="AJ19" s="1643">
        <f t="shared" si="40"/>
        <v>38.990224609374998</v>
      </c>
      <c r="AK19" s="1643">
        <f t="shared" si="40"/>
        <v>35.719781746031757</v>
      </c>
      <c r="AL19" s="1642">
        <f t="shared" si="40"/>
        <v>42.862331349206364</v>
      </c>
      <c r="AM19" s="1643">
        <f t="shared" si="40"/>
        <v>61.037626953124992</v>
      </c>
      <c r="AN19" s="1643">
        <f t="shared" si="40"/>
        <v>41.31666666666667</v>
      </c>
      <c r="AO19" s="1643">
        <f t="shared" si="40"/>
        <v>34.133333333333333</v>
      </c>
      <c r="AP19" s="1642">
        <f t="shared" si="40"/>
        <v>45.383333333333333</v>
      </c>
      <c r="AQ19" s="1643">
        <f t="shared" si="40"/>
        <v>76.012753062656998</v>
      </c>
      <c r="AR19" s="1643">
        <f t="shared" si="40"/>
        <v>38.217946206964925</v>
      </c>
      <c r="AS19" s="1643">
        <f t="shared" si="40"/>
        <v>32.581730048010407</v>
      </c>
      <c r="AT19" s="1642">
        <f t="shared" si="40"/>
        <v>37.154237348767644</v>
      </c>
      <c r="AU19" s="1643">
        <f t="shared" si="40"/>
        <v>77.355612896616023</v>
      </c>
      <c r="AV19" s="1643">
        <f t="shared" si="40"/>
        <v>38.893113765432851</v>
      </c>
      <c r="AW19" s="1643">
        <f t="shared" si="40"/>
        <v>33.157326837226861</v>
      </c>
      <c r="AX19" s="1642">
        <f t="shared" si="40"/>
        <v>37.810613167124252</v>
      </c>
      <c r="AY19" s="1643">
        <f t="shared" ref="AY19:BB19" si="41">IF(ISBLANK(AY162),"",AY162)</f>
        <v>78.264625707295977</v>
      </c>
      <c r="AZ19" s="1643">
        <f t="shared" si="41"/>
        <v>39.350150266549605</v>
      </c>
      <c r="BA19" s="1643">
        <f t="shared" si="41"/>
        <v>33.546961586850315</v>
      </c>
      <c r="BB19" s="1642">
        <f t="shared" si="41"/>
        <v>38.254929105704107</v>
      </c>
      <c r="BC19" s="1489"/>
      <c r="BD19" s="1489"/>
      <c r="BE19" s="1489">
        <f t="shared" si="24"/>
        <v>65.012150290464731</v>
      </c>
      <c r="BF19" s="1489">
        <f t="shared" si="25"/>
        <v>61.783221416170633</v>
      </c>
      <c r="BG19" s="1489">
        <f t="shared" si="26"/>
        <v>46.649134502108133</v>
      </c>
      <c r="BH19" s="1499">
        <f t="shared" si="27"/>
        <v>63.117211720300105</v>
      </c>
      <c r="BI19" s="1499">
        <f t="shared" si="28"/>
        <v>71.880996520027253</v>
      </c>
      <c r="BJ19" s="1499">
        <f t="shared" si="29"/>
        <v>46.054701947520797</v>
      </c>
      <c r="BK19" s="1499">
        <f t="shared" si="30"/>
        <v>35.143762555803576</v>
      </c>
      <c r="BL19" s="1499">
        <f t="shared" si="31"/>
        <v>38.349153762090779</v>
      </c>
      <c r="BM19" s="1499">
        <f t="shared" si="32"/>
        <v>45.467740071614578</v>
      </c>
      <c r="BN19" s="1499">
        <f t="shared" si="33"/>
        <v>45.991666666599997</v>
      </c>
      <c r="BO19" s="1499">
        <f t="shared" si="34"/>
        <v>46.804166666599997</v>
      </c>
      <c r="BP19" s="1499">
        <f t="shared" si="35"/>
        <v>47.354166666599994</v>
      </c>
      <c r="BQ19" s="1499"/>
      <c r="BR19" s="1476"/>
      <c r="BS19" s="1504"/>
      <c r="BT19" s="1499"/>
      <c r="BV19" s="1444"/>
      <c r="BW19" s="1572" t="s">
        <v>631</v>
      </c>
      <c r="BX19" s="1573"/>
      <c r="BY19" s="1574">
        <f>BY17*BX9*8.76*0.48/365</f>
        <v>128.75771707925944</v>
      </c>
      <c r="BZ19" s="1575" t="s">
        <v>632</v>
      </c>
    </row>
    <row r="20" spans="1:78" ht="12.75" customHeight="1">
      <c r="A20" s="1445"/>
      <c r="B20" s="1446"/>
      <c r="C20" s="1665" t="s">
        <v>807</v>
      </c>
      <c r="D20" s="1665"/>
      <c r="E20" s="1547"/>
      <c r="F20" s="1663"/>
      <c r="G20" s="1647">
        <f t="shared" ref="G20:AX20" si="42">IF(ISBLANK(G163),"",G163)</f>
        <v>45.204388619791672</v>
      </c>
      <c r="H20" s="1646">
        <f t="shared" si="42"/>
        <v>51.584562626953129</v>
      </c>
      <c r="I20" s="1646">
        <f t="shared" si="42"/>
        <v>66.121800654296877</v>
      </c>
      <c r="J20" s="1645">
        <f t="shared" si="42"/>
        <v>49.490597307692312</v>
      </c>
      <c r="K20" s="1647">
        <f t="shared" si="42"/>
        <v>50.059908115234371</v>
      </c>
      <c r="L20" s="1646">
        <f t="shared" si="42"/>
        <v>59.78809870117189</v>
      </c>
      <c r="M20" s="1646">
        <f t="shared" si="42"/>
        <v>57.162939843749975</v>
      </c>
      <c r="N20" s="1645">
        <f t="shared" si="42"/>
        <v>39.320604523809529</v>
      </c>
      <c r="O20" s="1647">
        <f t="shared" si="42"/>
        <v>34.398327744140623</v>
      </c>
      <c r="P20" s="1646">
        <f t="shared" si="42"/>
        <v>38.54343235351562</v>
      </c>
      <c r="Q20" s="1646">
        <f t="shared" si="42"/>
        <v>48.952091091269828</v>
      </c>
      <c r="R20" s="1646">
        <f t="shared" si="42"/>
        <v>41.477144667968737</v>
      </c>
      <c r="S20" s="1647">
        <f t="shared" si="42"/>
        <v>41.997815863095234</v>
      </c>
      <c r="T20" s="1646">
        <f t="shared" si="42"/>
        <v>45.530304316406237</v>
      </c>
      <c r="U20" s="1646">
        <f t="shared" si="42"/>
        <v>48.136464199218764</v>
      </c>
      <c r="V20" s="1664">
        <f t="shared" si="42"/>
        <v>40.193486718750002</v>
      </c>
      <c r="W20" s="1644">
        <f t="shared" si="42"/>
        <v>113.57858770833333</v>
      </c>
      <c r="X20" s="1646">
        <f t="shared" si="42"/>
        <v>50.488559589843774</v>
      </c>
      <c r="Y20" s="1820">
        <f t="shared" si="42"/>
        <v>41.389708935546885</v>
      </c>
      <c r="Z20" s="1821">
        <f t="shared" si="42"/>
        <v>40.371172851562484</v>
      </c>
      <c r="AA20" s="1644">
        <f t="shared" si="42"/>
        <v>56.866776517857168</v>
      </c>
      <c r="AB20" s="1646">
        <f t="shared" si="42"/>
        <v>39.147263818359377</v>
      </c>
      <c r="AC20" s="1820">
        <f t="shared" si="42"/>
        <v>39.464831807692299</v>
      </c>
      <c r="AD20" s="1821">
        <f t="shared" si="42"/>
        <v>31.895178447265625</v>
      </c>
      <c r="AE20" s="1647">
        <f t="shared" si="42"/>
        <v>30.103148642578116</v>
      </c>
      <c r="AF20" s="1643">
        <f t="shared" si="42"/>
        <v>32.701806339843749</v>
      </c>
      <c r="AG20" s="1643">
        <f t="shared" si="42"/>
        <v>38.936782353515625</v>
      </c>
      <c r="AH20" s="1642">
        <f t="shared" si="42"/>
        <v>33.269796091269853</v>
      </c>
      <c r="AI20" s="1643">
        <f t="shared" si="42"/>
        <v>32.144072138671881</v>
      </c>
      <c r="AJ20" s="1643">
        <f t="shared" si="42"/>
        <v>32.803312458984372</v>
      </c>
      <c r="AK20" s="1643">
        <f t="shared" si="42"/>
        <v>35.491018034722238</v>
      </c>
      <c r="AL20" s="1642">
        <f t="shared" si="42"/>
        <v>37.447859950396833</v>
      </c>
      <c r="AM20" s="1643">
        <f t="shared" si="42"/>
        <v>48.149713212890617</v>
      </c>
      <c r="AN20" s="1643">
        <f t="shared" si="42"/>
        <v>34.5</v>
      </c>
      <c r="AO20" s="1643">
        <f t="shared" si="42"/>
        <v>36.9</v>
      </c>
      <c r="AP20" s="1642">
        <f t="shared" si="42"/>
        <v>34.68333333333333</v>
      </c>
      <c r="AQ20" s="1643">
        <f t="shared" si="42"/>
        <v>40.501333218824747</v>
      </c>
      <c r="AR20" s="1643">
        <f t="shared" si="42"/>
        <v>29.678493986239484</v>
      </c>
      <c r="AS20" s="1643">
        <f t="shared" si="42"/>
        <v>32.100602483050345</v>
      </c>
      <c r="AT20" s="1642">
        <f t="shared" si="42"/>
        <v>39.002903645085446</v>
      </c>
      <c r="AU20" s="1643">
        <f t="shared" si="42"/>
        <v>40.405777401430235</v>
      </c>
      <c r="AV20" s="1643">
        <f t="shared" si="42"/>
        <v>29.608472766528742</v>
      </c>
      <c r="AW20" s="1643">
        <f t="shared" si="42"/>
        <v>32.024866721648337</v>
      </c>
      <c r="AX20" s="1642">
        <f t="shared" si="42"/>
        <v>38.910883110392696</v>
      </c>
      <c r="AY20" s="1699">
        <f t="shared" ref="AY20:AZ20" si="43">IF(ISBLANK(AY163),"",IF(Uplift="Yes",AY82/1000*(AY57+AY$8),AY163))</f>
        <v>49.94610554392532</v>
      </c>
      <c r="AZ20" s="1699">
        <f t="shared" si="43"/>
        <v>23.203722321128495</v>
      </c>
      <c r="BA20" s="1699">
        <f>IF(ISBLANK(BA163),"",IF(Uplift="Yes",BA82/1000*(BA57+BA$8),BA163))</f>
        <v>23.417817092198927</v>
      </c>
      <c r="BB20" s="1700">
        <f t="shared" ref="BB20" si="44">IF(ISBLANK(BB163),"",IF(Uplift="Yes",BB82/1000*(BB57+BB$8),BB163))</f>
        <v>52.661075042747214</v>
      </c>
      <c r="BC20" s="1489"/>
      <c r="BD20" s="1489"/>
      <c r="BE20" s="1489">
        <f t="shared" si="24"/>
        <v>53.100337302183505</v>
      </c>
      <c r="BF20" s="1489">
        <f t="shared" si="25"/>
        <v>51.582887795991439</v>
      </c>
      <c r="BG20" s="1489">
        <f t="shared" si="26"/>
        <v>40.842748964223702</v>
      </c>
      <c r="BH20" s="1499">
        <f t="shared" si="27"/>
        <v>43.964517774367557</v>
      </c>
      <c r="BI20" s="1499">
        <f t="shared" si="28"/>
        <v>61.457007271321615</v>
      </c>
      <c r="BJ20" s="1499">
        <f t="shared" si="29"/>
        <v>41.843512647793617</v>
      </c>
      <c r="BK20" s="1499">
        <f t="shared" si="30"/>
        <v>33.752883356801831</v>
      </c>
      <c r="BL20" s="1499">
        <f t="shared" si="31"/>
        <v>34.471565645693829</v>
      </c>
      <c r="BM20" s="1499">
        <f t="shared" si="32"/>
        <v>38.55826163655599</v>
      </c>
      <c r="BN20" s="1499">
        <f t="shared" si="33"/>
        <v>35.320833333300001</v>
      </c>
      <c r="BO20" s="1499">
        <f t="shared" si="34"/>
        <v>35.237500000000004</v>
      </c>
      <c r="BP20" s="1499">
        <f t="shared" si="35"/>
        <v>37.307179999999988</v>
      </c>
      <c r="BQ20" s="1499"/>
      <c r="BR20" s="1508"/>
      <c r="BS20" s="1504"/>
      <c r="BT20" s="1499"/>
      <c r="BV20" s="1444"/>
    </row>
    <row r="21" spans="1:78" ht="12.75" customHeight="1">
      <c r="A21" s="1445"/>
      <c r="B21" s="1446"/>
      <c r="C21" s="1665" t="s">
        <v>693</v>
      </c>
      <c r="D21" s="1665"/>
      <c r="E21" s="1547"/>
      <c r="F21" s="1663"/>
      <c r="G21" s="1647">
        <f t="shared" ref="G21:AX21" si="45">IF(ISBLANK(G164),"",G164)</f>
        <v>48.483129505208346</v>
      </c>
      <c r="H21" s="1646">
        <f t="shared" si="45"/>
        <v>56.777662714843743</v>
      </c>
      <c r="I21" s="1646">
        <f t="shared" si="45"/>
        <v>79.80542767578126</v>
      </c>
      <c r="J21" s="1645">
        <f t="shared" si="45"/>
        <v>53.380955625000034</v>
      </c>
      <c r="K21" s="1647">
        <f t="shared" si="45"/>
        <v>56.349727597656255</v>
      </c>
      <c r="L21" s="1646">
        <f t="shared" si="45"/>
        <v>65.570403749999997</v>
      </c>
      <c r="M21" s="1646">
        <f t="shared" si="45"/>
        <v>66.498248447265624</v>
      </c>
      <c r="N21" s="1645">
        <f t="shared" si="45"/>
        <v>40.979681686507909</v>
      </c>
      <c r="O21" s="1647">
        <f t="shared" si="45"/>
        <v>38.512803037109371</v>
      </c>
      <c r="P21" s="1646">
        <f t="shared" si="45"/>
        <v>36.974501874023439</v>
      </c>
      <c r="Q21" s="1646">
        <f t="shared" si="45"/>
        <v>55.885414017857158</v>
      </c>
      <c r="R21" s="1646">
        <f t="shared" si="45"/>
        <v>46.126044788085935</v>
      </c>
      <c r="S21" s="1647">
        <f t="shared" si="45"/>
        <v>42.607887670634931</v>
      </c>
      <c r="T21" s="1646">
        <f t="shared" si="45"/>
        <v>47.166300820312507</v>
      </c>
      <c r="U21" s="1646">
        <f t="shared" si="45"/>
        <v>55.200128388671871</v>
      </c>
      <c r="V21" s="1664">
        <f t="shared" si="45"/>
        <v>42.192332373046867</v>
      </c>
      <c r="W21" s="1644">
        <f t="shared" si="45"/>
        <v>132.34547472222224</v>
      </c>
      <c r="X21" s="1646">
        <f t="shared" si="45"/>
        <v>53.88701666992187</v>
      </c>
      <c r="Y21" s="1820">
        <f t="shared" si="45"/>
        <v>45.337472450195328</v>
      </c>
      <c r="Z21" s="1821">
        <f t="shared" si="45"/>
        <v>49.12051941503907</v>
      </c>
      <c r="AA21" s="1644">
        <f t="shared" si="45"/>
        <v>67.284598143849209</v>
      </c>
      <c r="AB21" s="1646">
        <f t="shared" si="45"/>
        <v>36.819058058593754</v>
      </c>
      <c r="AC21" s="1820">
        <f t="shared" si="45"/>
        <v>39.89850856153847</v>
      </c>
      <c r="AD21" s="1821">
        <f t="shared" si="45"/>
        <v>30.041686161132823</v>
      </c>
      <c r="AE21" s="1647">
        <f t="shared" si="45"/>
        <v>31.266320479492187</v>
      </c>
      <c r="AF21" s="1643">
        <f t="shared" si="45"/>
        <v>28.707086242187497</v>
      </c>
      <c r="AG21" s="1643">
        <f t="shared" si="45"/>
        <v>40.605906624023433</v>
      </c>
      <c r="AH21" s="1642">
        <f t="shared" si="45"/>
        <v>28.828253920634918</v>
      </c>
      <c r="AI21" s="1643">
        <f t="shared" si="45"/>
        <v>33.256564817382809</v>
      </c>
      <c r="AJ21" s="1643">
        <f t="shared" si="45"/>
        <v>32.387231337890618</v>
      </c>
      <c r="AK21" s="1643">
        <f t="shared" si="45"/>
        <v>34.354411583333331</v>
      </c>
      <c r="AL21" s="1642">
        <f t="shared" si="45"/>
        <v>39.044797251984129</v>
      </c>
      <c r="AM21" s="1643">
        <f t="shared" si="45"/>
        <v>49.504310380859373</v>
      </c>
      <c r="AN21" s="1643">
        <f t="shared" si="45"/>
        <v>34.371333333333332</v>
      </c>
      <c r="AO21" s="1643">
        <f t="shared" si="45"/>
        <v>38.062833333333337</v>
      </c>
      <c r="AP21" s="1642">
        <f t="shared" si="45"/>
        <v>34.614333333333327</v>
      </c>
      <c r="AQ21" s="1643">
        <f t="shared" si="45"/>
        <v>46.510944725679025</v>
      </c>
      <c r="AR21" s="1643">
        <f t="shared" si="45"/>
        <v>30.296280173373429</v>
      </c>
      <c r="AS21" s="1643">
        <f t="shared" si="45"/>
        <v>33.947384063861342</v>
      </c>
      <c r="AT21" s="1642">
        <f t="shared" si="45"/>
        <v>36.41005770348621</v>
      </c>
      <c r="AU21" s="1643">
        <f t="shared" si="45"/>
        <v>46.479340030218317</v>
      </c>
      <c r="AV21" s="1643">
        <f t="shared" si="45"/>
        <v>30.275693519756327</v>
      </c>
      <c r="AW21" s="1643">
        <f t="shared" si="45"/>
        <v>33.924316445231923</v>
      </c>
      <c r="AX21" s="1642">
        <f t="shared" si="45"/>
        <v>36.385316671193436</v>
      </c>
      <c r="AY21" s="1699">
        <f t="shared" ref="AY21:BB21" si="46">IF(ISBLANK(AY164),"",IF(Uplift="Yes",AY83/1000*(AY58+AY$8),AY164))</f>
        <v>50.255029979651923</v>
      </c>
      <c r="AZ21" s="1699">
        <f t="shared" si="46"/>
        <v>23.347240954798689</v>
      </c>
      <c r="BA21" s="1699">
        <f t="shared" si="46"/>
        <v>23.562659935347007</v>
      </c>
      <c r="BB21" s="1700">
        <f t="shared" si="46"/>
        <v>52.986791987345221</v>
      </c>
      <c r="BC21" s="1489"/>
      <c r="BD21" s="1489"/>
      <c r="BE21" s="1489">
        <f t="shared" si="24"/>
        <v>59.611793880208346</v>
      </c>
      <c r="BF21" s="1489">
        <f t="shared" si="25"/>
        <v>57.349515370357445</v>
      </c>
      <c r="BG21" s="1489">
        <f t="shared" si="26"/>
        <v>44.374690929268979</v>
      </c>
      <c r="BH21" s="1499">
        <f t="shared" si="27"/>
        <v>46.791662313166547</v>
      </c>
      <c r="BI21" s="1499">
        <f t="shared" si="28"/>
        <v>70.172620814344626</v>
      </c>
      <c r="BJ21" s="1499">
        <f t="shared" si="29"/>
        <v>43.510962731278561</v>
      </c>
      <c r="BK21" s="1499">
        <f t="shared" si="30"/>
        <v>32.351891816584505</v>
      </c>
      <c r="BL21" s="1499">
        <f t="shared" si="31"/>
        <v>34.760751247647725</v>
      </c>
      <c r="BM21" s="1499">
        <f t="shared" si="32"/>
        <v>39.138202595214842</v>
      </c>
      <c r="BN21" s="1499">
        <f t="shared" si="33"/>
        <v>36.791166666600006</v>
      </c>
      <c r="BO21" s="1499">
        <f t="shared" si="34"/>
        <v>36.7661666666</v>
      </c>
      <c r="BP21" s="1499">
        <f t="shared" si="35"/>
        <v>37.537930714285707</v>
      </c>
      <c r="BQ21" s="1499"/>
      <c r="BR21" s="1508"/>
      <c r="BS21" s="1504"/>
      <c r="BT21" s="1499"/>
      <c r="BV21" s="1444"/>
      <c r="BW21" s="1492" t="s">
        <v>812</v>
      </c>
    </row>
    <row r="22" spans="1:78" ht="12.75" customHeight="1">
      <c r="A22" s="1445"/>
      <c r="B22" s="1509"/>
      <c r="C22" s="1665" t="s">
        <v>808</v>
      </c>
      <c r="D22" s="1649"/>
      <c r="E22" s="1547"/>
      <c r="F22" s="1663"/>
      <c r="G22" s="1647">
        <f t="shared" ref="G22:AX22" si="47">IF(ISBLANK(G165),"",G165)</f>
        <v>39.728964218749987</v>
      </c>
      <c r="H22" s="1646">
        <f t="shared" si="47"/>
        <v>43.07423765625002</v>
      </c>
      <c r="I22" s="1646">
        <f t="shared" si="47"/>
        <v>51.328195917968742</v>
      </c>
      <c r="J22" s="1645">
        <f t="shared" si="47"/>
        <v>38.933001861538465</v>
      </c>
      <c r="K22" s="1647">
        <f t="shared" si="47"/>
        <v>41.451086953125014</v>
      </c>
      <c r="L22" s="1646">
        <f t="shared" si="47"/>
        <v>51.097349746093769</v>
      </c>
      <c r="M22" s="1646">
        <f t="shared" si="47"/>
        <v>50.310268931640643</v>
      </c>
      <c r="N22" s="1645">
        <f t="shared" si="47"/>
        <v>37.410923978174601</v>
      </c>
      <c r="O22" s="1647">
        <f t="shared" si="47"/>
        <v>32.153772558593758</v>
      </c>
      <c r="P22" s="1646">
        <f t="shared" si="47"/>
        <v>34.709669501953115</v>
      </c>
      <c r="Q22" s="1646">
        <f t="shared" si="47"/>
        <v>44.635360783730164</v>
      </c>
      <c r="R22" s="1646">
        <f t="shared" si="47"/>
        <v>38.089502343749999</v>
      </c>
      <c r="S22" s="1647">
        <f t="shared" si="47"/>
        <v>38.017161944444446</v>
      </c>
      <c r="T22" s="1646">
        <f t="shared" si="47"/>
        <v>41.806956083984382</v>
      </c>
      <c r="U22" s="1646">
        <f t="shared" si="47"/>
        <v>41.772417763671875</v>
      </c>
      <c r="V22" s="1664">
        <f t="shared" si="47"/>
        <v>36.018476103515631</v>
      </c>
      <c r="W22" s="1644">
        <f t="shared" si="47"/>
        <v>79.351583283730179</v>
      </c>
      <c r="X22" s="1646">
        <f t="shared" si="47"/>
        <v>50.487840683593745</v>
      </c>
      <c r="Y22" s="1820">
        <f t="shared" si="47"/>
        <v>38.234623320312501</v>
      </c>
      <c r="Z22" s="1821">
        <f t="shared" si="47"/>
        <v>40.068190000000001</v>
      </c>
      <c r="AA22" s="1644">
        <f t="shared" si="47"/>
        <v>43.107304533730151</v>
      </c>
      <c r="AB22" s="1646">
        <f t="shared" si="47"/>
        <v>36.571755771484384</v>
      </c>
      <c r="AC22" s="1820">
        <f t="shared" si="47"/>
        <v>35.906114451923074</v>
      </c>
      <c r="AD22" s="1821">
        <f t="shared" si="47"/>
        <v>30.830603544921882</v>
      </c>
      <c r="AE22" s="1647">
        <f t="shared" si="47"/>
        <v>27.466274697265614</v>
      </c>
      <c r="AF22" s="1643">
        <f t="shared" si="47"/>
        <v>31.331062939453119</v>
      </c>
      <c r="AG22" s="1643">
        <f t="shared" si="47"/>
        <v>37.764263886718759</v>
      </c>
      <c r="AH22" s="1642">
        <f t="shared" si="47"/>
        <v>32.442105446428577</v>
      </c>
      <c r="AI22" s="1643">
        <f t="shared" si="47"/>
        <v>30.987138056640639</v>
      </c>
      <c r="AJ22" s="1643">
        <f t="shared" si="47"/>
        <v>33.05749094726562</v>
      </c>
      <c r="AK22" s="1643">
        <f t="shared" si="47"/>
        <v>36.590803630952387</v>
      </c>
      <c r="AL22" s="1642">
        <f t="shared" si="47"/>
        <v>32.10412905753968</v>
      </c>
      <c r="AM22" s="1643">
        <f t="shared" si="47"/>
        <v>39.582188720703122</v>
      </c>
      <c r="AN22" s="1643">
        <f t="shared" si="47"/>
        <v>35.416666666666664</v>
      </c>
      <c r="AO22" s="1643">
        <f t="shared" si="47"/>
        <v>37.699999999999996</v>
      </c>
      <c r="AP22" s="1642">
        <f t="shared" si="47"/>
        <v>34.06666666666667</v>
      </c>
      <c r="AQ22" s="1643">
        <f t="shared" si="47"/>
        <v>37.104731797582915</v>
      </c>
      <c r="AR22" s="1643">
        <f t="shared" si="47"/>
        <v>31.21709085897621</v>
      </c>
      <c r="AS22" s="1643">
        <f t="shared" si="47"/>
        <v>33.846064219263162</v>
      </c>
      <c r="AT22" s="1642">
        <f t="shared" si="47"/>
        <v>36.098779790577716</v>
      </c>
      <c r="AU22" s="1643">
        <f t="shared" si="47"/>
        <v>36.757952834841539</v>
      </c>
      <c r="AV22" s="1643">
        <f t="shared" si="47"/>
        <v>30.925337493207795</v>
      </c>
      <c r="AW22" s="1643">
        <f t="shared" si="47"/>
        <v>33.52974060030094</v>
      </c>
      <c r="AX22" s="1642">
        <f t="shared" si="47"/>
        <v>35.761402404849747</v>
      </c>
      <c r="AY22" s="1699">
        <f t="shared" ref="AY22:BB22" si="48">IF(ISBLANK(AY165),"",IF(Uplift="Yes",AY84/1000*(AY59+AY$8),AY165))</f>
        <v>39.690447925743193</v>
      </c>
      <c r="AZ22" s="1699">
        <f t="shared" si="48"/>
        <v>34.343127493803138</v>
      </c>
      <c r="BA22" s="1699">
        <f t="shared" si="48"/>
        <v>34.844438784297523</v>
      </c>
      <c r="BB22" s="1700">
        <f t="shared" si="48"/>
        <v>41.340700796156149</v>
      </c>
      <c r="BC22" s="1489"/>
      <c r="BD22" s="1489"/>
      <c r="BE22" s="1489">
        <f t="shared" si="24"/>
        <v>43.266099913626803</v>
      </c>
      <c r="BF22" s="1489">
        <f t="shared" si="25"/>
        <v>45.067407402258503</v>
      </c>
      <c r="BG22" s="1489">
        <f t="shared" si="26"/>
        <v>37.397076297006763</v>
      </c>
      <c r="BH22" s="1499">
        <f t="shared" si="27"/>
        <v>39.403752973904083</v>
      </c>
      <c r="BI22" s="1499">
        <f t="shared" si="28"/>
        <v>52.035559321909105</v>
      </c>
      <c r="BJ22" s="1499">
        <f t="shared" si="29"/>
        <v>36.603944575514873</v>
      </c>
      <c r="BK22" s="1499">
        <f t="shared" si="30"/>
        <v>32.250926742466518</v>
      </c>
      <c r="BL22" s="1499">
        <f t="shared" si="31"/>
        <v>33.184890423099588</v>
      </c>
      <c r="BM22" s="1499">
        <f t="shared" si="32"/>
        <v>36.69138051350911</v>
      </c>
      <c r="BN22" s="1499">
        <f t="shared" si="33"/>
        <v>34.5666666666</v>
      </c>
      <c r="BO22" s="1499">
        <f t="shared" si="34"/>
        <v>34.243608333300003</v>
      </c>
      <c r="BP22" s="1499">
        <f t="shared" si="35"/>
        <v>37.554678750000001</v>
      </c>
      <c r="BQ22" s="1499"/>
      <c r="BR22" s="1586"/>
      <c r="BS22" s="1504"/>
      <c r="BT22" s="1499"/>
      <c r="BV22" s="1444"/>
      <c r="BW22" s="1495" t="s">
        <v>701</v>
      </c>
      <c r="BX22" s="1496"/>
      <c r="BY22" s="1496">
        <v>28</v>
      </c>
      <c r="BZ22" s="1497" t="s">
        <v>921</v>
      </c>
    </row>
    <row r="23" spans="1:78" ht="12.75" customHeight="1">
      <c r="A23" s="1445"/>
      <c r="B23" s="1446"/>
      <c r="C23" s="1665" t="s">
        <v>809</v>
      </c>
      <c r="D23" s="1649"/>
      <c r="E23" s="1547"/>
      <c r="F23" s="1663"/>
      <c r="G23" s="1647">
        <f t="shared" ref="G23:AX23" si="49">IF(ISBLANK(G166),"",G166)</f>
        <v>39.774283945312497</v>
      </c>
      <c r="H23" s="1646">
        <f t="shared" si="49"/>
        <v>43.262810498046875</v>
      </c>
      <c r="I23" s="1646">
        <f t="shared" si="49"/>
        <v>51.606527089843752</v>
      </c>
      <c r="J23" s="1645">
        <f t="shared" si="49"/>
        <v>38.918928847115382</v>
      </c>
      <c r="K23" s="1647">
        <f t="shared" si="49"/>
        <v>41.488797080078136</v>
      </c>
      <c r="L23" s="1646">
        <f t="shared" si="49"/>
        <v>50.985843300781255</v>
      </c>
      <c r="M23" s="1646">
        <f t="shared" si="49"/>
        <v>50.268828780273431</v>
      </c>
      <c r="N23" s="1645">
        <f t="shared" si="49"/>
        <v>37.525041934523813</v>
      </c>
      <c r="O23" s="1647">
        <f t="shared" si="49"/>
        <v>32.221690878906244</v>
      </c>
      <c r="P23" s="1646">
        <f t="shared" si="49"/>
        <v>34.827419687500004</v>
      </c>
      <c r="Q23" s="1646">
        <f t="shared" si="49"/>
        <v>44.932445357142846</v>
      </c>
      <c r="R23" s="1646">
        <f t="shared" si="49"/>
        <v>38.199312265625004</v>
      </c>
      <c r="S23" s="1647">
        <f t="shared" si="49"/>
        <v>37.715632986111103</v>
      </c>
      <c r="T23" s="1646">
        <f t="shared" si="49"/>
        <v>41.987925156249993</v>
      </c>
      <c r="U23" s="1646">
        <f t="shared" si="49"/>
        <v>41.924110576171877</v>
      </c>
      <c r="V23" s="1664">
        <f t="shared" si="49"/>
        <v>36.103588144531251</v>
      </c>
      <c r="W23" s="1644">
        <f t="shared" si="49"/>
        <v>79.291454067460307</v>
      </c>
      <c r="X23" s="1646">
        <f t="shared" si="49"/>
        <v>50.610264160156234</v>
      </c>
      <c r="Y23" s="1820">
        <f t="shared" si="49"/>
        <v>38.224814638671887</v>
      </c>
      <c r="Z23" s="1821">
        <f t="shared" si="49"/>
        <v>39.049467128906258</v>
      </c>
      <c r="AA23" s="1644">
        <f t="shared" si="49"/>
        <v>42.983203065476189</v>
      </c>
      <c r="AB23" s="1646">
        <f t="shared" si="49"/>
        <v>35.431994833984376</v>
      </c>
      <c r="AC23" s="1820">
        <f t="shared" si="49"/>
        <v>35.234762865384596</v>
      </c>
      <c r="AD23" s="1821">
        <f t="shared" si="49"/>
        <v>30.793894384765622</v>
      </c>
      <c r="AE23" s="1647">
        <f t="shared" si="49"/>
        <v>27.255926289062497</v>
      </c>
      <c r="AF23" s="1643">
        <f t="shared" si="49"/>
        <v>31.587512695312501</v>
      </c>
      <c r="AG23" s="1643">
        <f t="shared" si="49"/>
        <v>38.382545029296871</v>
      </c>
      <c r="AH23" s="1642">
        <f t="shared" si="49"/>
        <v>32.453721736111113</v>
      </c>
      <c r="AI23" s="1643">
        <f t="shared" si="49"/>
        <v>31.073804345703124</v>
      </c>
      <c r="AJ23" s="1643">
        <f t="shared" si="49"/>
        <v>33.234170273437506</v>
      </c>
      <c r="AK23" s="1643">
        <f t="shared" si="49"/>
        <v>36.864877966269844</v>
      </c>
      <c r="AL23" s="1642">
        <f t="shared" si="49"/>
        <v>32.037018710317462</v>
      </c>
      <c r="AM23" s="1643">
        <f t="shared" si="49"/>
        <v>38.43211967773437</v>
      </c>
      <c r="AN23" s="1643">
        <f t="shared" si="49"/>
        <v>33.833333333333336</v>
      </c>
      <c r="AO23" s="1643">
        <f t="shared" si="49"/>
        <v>36.31666666666667</v>
      </c>
      <c r="AP23" s="1642">
        <f t="shared" si="49"/>
        <v>33.616666666666667</v>
      </c>
      <c r="AQ23" s="1643">
        <f t="shared" si="49"/>
        <v>34.505559751881279</v>
      </c>
      <c r="AR23" s="1643">
        <f t="shared" si="49"/>
        <v>30.200278902105268</v>
      </c>
      <c r="AS23" s="1643">
        <f t="shared" si="49"/>
        <v>33.302613632090925</v>
      </c>
      <c r="AT23" s="1642">
        <f t="shared" si="49"/>
        <v>36.708214380322516</v>
      </c>
      <c r="AU23" s="1643">
        <f t="shared" si="49"/>
        <v>34.591868474798638</v>
      </c>
      <c r="AV23" s="1643">
        <f t="shared" si="49"/>
        <v>30.275818830236602</v>
      </c>
      <c r="AW23" s="1643">
        <f t="shared" si="49"/>
        <v>33.385913427053367</v>
      </c>
      <c r="AX23" s="1642">
        <f t="shared" si="49"/>
        <v>36.800032601111397</v>
      </c>
      <c r="AY23" s="1699">
        <f t="shared" ref="AY23:BB23" si="50">IF(ISBLANK(AY166),"",IF(Uplift="Yes",AY85/1000*(AY60+AY$8),AY166))</f>
        <v>43.052559700634987</v>
      </c>
      <c r="AZ23" s="1699">
        <f t="shared" si="50"/>
        <v>37.735084307526115</v>
      </c>
      <c r="BA23" s="1699">
        <f t="shared" si="50"/>
        <v>38.233597625630075</v>
      </c>
      <c r="BB23" s="1700">
        <f t="shared" si="50"/>
        <v>44.693602002572455</v>
      </c>
      <c r="BC23" s="1489"/>
      <c r="BD23" s="1489"/>
      <c r="BE23" s="1489">
        <f t="shared" si="24"/>
        <v>43.390637595079625</v>
      </c>
      <c r="BF23" s="1489">
        <f t="shared" si="25"/>
        <v>45.067127773914159</v>
      </c>
      <c r="BG23" s="1489">
        <f t="shared" si="26"/>
        <v>37.545217047293526</v>
      </c>
      <c r="BH23" s="1499">
        <f t="shared" si="27"/>
        <v>39.432814215766051</v>
      </c>
      <c r="BI23" s="1499">
        <f t="shared" si="28"/>
        <v>51.793999998798668</v>
      </c>
      <c r="BJ23" s="1499">
        <f t="shared" si="29"/>
        <v>36.110963787402696</v>
      </c>
      <c r="BK23" s="1499">
        <f t="shared" si="30"/>
        <v>32.419926437445746</v>
      </c>
      <c r="BL23" s="1499">
        <f t="shared" si="31"/>
        <v>33.302467823931984</v>
      </c>
      <c r="BM23" s="1499">
        <f t="shared" si="32"/>
        <v>35.549696586100261</v>
      </c>
      <c r="BN23" s="1499">
        <f t="shared" si="33"/>
        <v>33.679166666599997</v>
      </c>
      <c r="BO23" s="1499">
        <f t="shared" si="34"/>
        <v>33.763408333300006</v>
      </c>
      <c r="BP23" s="1499">
        <f t="shared" si="35"/>
        <v>40.928710909090903</v>
      </c>
      <c r="BQ23" s="1499"/>
      <c r="BR23" s="1586"/>
      <c r="BS23" s="1504"/>
      <c r="BT23" s="1499"/>
      <c r="BV23" s="1444"/>
      <c r="BW23" s="1502" t="s">
        <v>702</v>
      </c>
      <c r="BX23" s="95"/>
      <c r="BY23" s="95">
        <f>($BY$14/$BX$9+7)*1000</f>
        <v>17085.320006303325</v>
      </c>
      <c r="BZ23" s="1503" t="s">
        <v>703</v>
      </c>
    </row>
    <row r="24" spans="1:78" ht="12.75" customHeight="1">
      <c r="A24" s="1445"/>
      <c r="B24" s="1446"/>
      <c r="C24" s="1665" t="s">
        <v>810</v>
      </c>
      <c r="D24" s="1649"/>
      <c r="E24" s="1547"/>
      <c r="F24" s="1663"/>
      <c r="G24" s="1647">
        <f t="shared" ref="G24:AX24" si="51">IF(ISBLANK(G167),"",G167)</f>
        <v>37.965997395833334</v>
      </c>
      <c r="H24" s="1646">
        <f t="shared" si="51"/>
        <v>41.051071525390626</v>
      </c>
      <c r="I24" s="1646">
        <f t="shared" si="51"/>
        <v>50.072542607421866</v>
      </c>
      <c r="J24" s="1645">
        <f t="shared" si="51"/>
        <v>34.412752877884607</v>
      </c>
      <c r="K24" s="1647">
        <f t="shared" si="51"/>
        <v>39.612896863281264</v>
      </c>
      <c r="L24" s="1646">
        <f t="shared" si="51"/>
        <v>45.46599732519531</v>
      </c>
      <c r="M24" s="1646">
        <f t="shared" si="51"/>
        <v>47.308313137695315</v>
      </c>
      <c r="N24" s="1645">
        <f t="shared" si="51"/>
        <v>31.727422125992067</v>
      </c>
      <c r="O24" s="1647">
        <f t="shared" si="51"/>
        <v>30.441801791015621</v>
      </c>
      <c r="P24" s="1646">
        <f t="shared" si="51"/>
        <v>32.770161261718748</v>
      </c>
      <c r="Q24" s="1646">
        <f t="shared" si="51"/>
        <v>44.877897271825397</v>
      </c>
      <c r="R24" s="1646">
        <f t="shared" si="51"/>
        <v>35.019350765624992</v>
      </c>
      <c r="S24" s="1647">
        <f t="shared" si="51"/>
        <v>34.838090073412694</v>
      </c>
      <c r="T24" s="1646">
        <f t="shared" si="51"/>
        <v>39.428378864257809</v>
      </c>
      <c r="U24" s="1646">
        <f t="shared" si="51"/>
        <v>41.11704862597658</v>
      </c>
      <c r="V24" s="1664">
        <f t="shared" si="51"/>
        <v>34.355717211914069</v>
      </c>
      <c r="W24" s="1644">
        <f t="shared" si="51"/>
        <v>72.99622284523808</v>
      </c>
      <c r="X24" s="1646">
        <f t="shared" si="51"/>
        <v>48.442515457031263</v>
      </c>
      <c r="Y24" s="1820">
        <f t="shared" si="51"/>
        <v>37.030601145507809</v>
      </c>
      <c r="Z24" s="1821">
        <f t="shared" si="51"/>
        <v>38.673259170898433</v>
      </c>
      <c r="AA24" s="1644">
        <f t="shared" si="51"/>
        <v>39.963556904761916</v>
      </c>
      <c r="AB24" s="1646">
        <f t="shared" si="51"/>
        <v>30.605513267578125</v>
      </c>
      <c r="AC24" s="1820">
        <f t="shared" si="51"/>
        <v>33.950207826923084</v>
      </c>
      <c r="AD24" s="1821">
        <f t="shared" si="51"/>
        <v>29.947609584960937</v>
      </c>
      <c r="AE24" s="1647">
        <f t="shared" si="51"/>
        <v>26.738570957031257</v>
      </c>
      <c r="AF24" s="1643">
        <f t="shared" si="51"/>
        <v>29.587132090820305</v>
      </c>
      <c r="AG24" s="1643">
        <f t="shared" si="51"/>
        <v>37.576820068359396</v>
      </c>
      <c r="AH24" s="1642">
        <f t="shared" si="51"/>
        <v>31.571357599206348</v>
      </c>
      <c r="AI24" s="1643">
        <f t="shared" si="51"/>
        <v>29.354624452148443</v>
      </c>
      <c r="AJ24" s="1643">
        <f t="shared" si="51"/>
        <v>33.630935440429681</v>
      </c>
      <c r="AK24" s="1643">
        <f t="shared" si="51"/>
        <v>34.552619896825405</v>
      </c>
      <c r="AL24" s="1642">
        <f t="shared" si="51"/>
        <v>30.295690178571437</v>
      </c>
      <c r="AM24" s="1643">
        <f t="shared" si="51"/>
        <v>31.943508934570318</v>
      </c>
      <c r="AN24" s="1643">
        <f t="shared" si="51"/>
        <v>30.066666666666666</v>
      </c>
      <c r="AO24" s="1643">
        <f t="shared" si="51"/>
        <v>34.6</v>
      </c>
      <c r="AP24" s="1642">
        <f t="shared" si="51"/>
        <v>30.166666666666668</v>
      </c>
      <c r="AQ24" s="1643">
        <f t="shared" si="51"/>
        <v>33.929172095569285</v>
      </c>
      <c r="AR24" s="1643">
        <f t="shared" si="51"/>
        <v>28.660363159574629</v>
      </c>
      <c r="AS24" s="1643">
        <f t="shared" si="51"/>
        <v>32.36321030654301</v>
      </c>
      <c r="AT24" s="1642">
        <f t="shared" si="51"/>
        <v>28.947254438313074</v>
      </c>
      <c r="AU24" s="1643">
        <f t="shared" si="51"/>
        <v>33.932622519850185</v>
      </c>
      <c r="AV24" s="1643">
        <f t="shared" si="51"/>
        <v>28.663277772777295</v>
      </c>
      <c r="AW24" s="1643">
        <f t="shared" si="51"/>
        <v>32.366501480472486</v>
      </c>
      <c r="AX24" s="1642">
        <f t="shared" si="51"/>
        <v>28.950198226900017</v>
      </c>
      <c r="AY24" s="1699">
        <f t="shared" ref="AY24:BB24" si="52">IF(ISBLANK(AY167),"",IF(Uplift="Yes",AY86/1000*(AY61+AY$8),AY167))</f>
        <v>37.834812263552692</v>
      </c>
      <c r="AZ24" s="1699">
        <f t="shared" si="52"/>
        <v>33.161787369951121</v>
      </c>
      <c r="BA24" s="1699">
        <f t="shared" si="52"/>
        <v>33.599883453726271</v>
      </c>
      <c r="BB24" s="1700">
        <f t="shared" si="52"/>
        <v>39.276968730951701</v>
      </c>
      <c r="BC24" s="1489"/>
      <c r="BD24" s="1489"/>
      <c r="BE24" s="1489">
        <f t="shared" si="24"/>
        <v>40.875591101632608</v>
      </c>
      <c r="BF24" s="1489">
        <f t="shared" si="25"/>
        <v>41.028657363040985</v>
      </c>
      <c r="BG24" s="1489">
        <f t="shared" si="26"/>
        <v>35.777302772546193</v>
      </c>
      <c r="BH24" s="1499">
        <f t="shared" si="27"/>
        <v>37.43480869389029</v>
      </c>
      <c r="BI24" s="1499">
        <f t="shared" si="28"/>
        <v>49.285649654668894</v>
      </c>
      <c r="BJ24" s="1499">
        <f t="shared" si="29"/>
        <v>33.616721896056013</v>
      </c>
      <c r="BK24" s="1499">
        <f t="shared" si="30"/>
        <v>31.368470178854327</v>
      </c>
      <c r="BL24" s="1499">
        <f t="shared" si="31"/>
        <v>31.958467491993741</v>
      </c>
      <c r="BM24" s="1499">
        <f t="shared" si="32"/>
        <v>31.694210566975915</v>
      </c>
      <c r="BN24" s="1499">
        <f t="shared" si="33"/>
        <v>30.975000000000001</v>
      </c>
      <c r="BO24" s="1499">
        <f t="shared" si="34"/>
        <v>30.978149999999996</v>
      </c>
      <c r="BP24" s="1499">
        <f t="shared" si="35"/>
        <v>35.968362954545448</v>
      </c>
      <c r="BQ24" s="1499"/>
      <c r="BR24" s="1586"/>
      <c r="BS24" s="1504"/>
      <c r="BT24" s="1499"/>
      <c r="BV24" s="1444"/>
      <c r="BW24" s="1502" t="s">
        <v>147</v>
      </c>
      <c r="BX24" s="95"/>
      <c r="BY24" s="95">
        <f>+BY23-BY25</f>
        <v>12303.36322926092</v>
      </c>
      <c r="BZ24" s="1503" t="s">
        <v>703</v>
      </c>
    </row>
    <row r="25" spans="1:78" ht="12.75" customHeight="1">
      <c r="A25" s="1445"/>
      <c r="B25" s="1446"/>
      <c r="C25" s="1665" t="s">
        <v>811</v>
      </c>
      <c r="D25" s="1649"/>
      <c r="E25" s="1547"/>
      <c r="F25" s="1663"/>
      <c r="G25" s="1647">
        <f t="shared" ref="G25:AX25" si="53">IF(ISBLANK(G168),"",G168)</f>
        <v>40.616611328124996</v>
      </c>
      <c r="H25" s="1646">
        <f t="shared" si="53"/>
        <v>39.390153808593752</v>
      </c>
      <c r="I25" s="1646">
        <f t="shared" si="53"/>
        <v>48.872324218750009</v>
      </c>
      <c r="J25" s="1645">
        <f t="shared" si="53"/>
        <v>32.494792444029855</v>
      </c>
      <c r="K25" s="1647">
        <f t="shared" si="53"/>
        <v>49.694167480468757</v>
      </c>
      <c r="L25" s="1646">
        <f t="shared" si="53"/>
        <v>41.930664062500007</v>
      </c>
      <c r="M25" s="1646">
        <f t="shared" si="53"/>
        <v>111.00009521484377</v>
      </c>
      <c r="N25" s="1645">
        <f t="shared" si="53"/>
        <v>29.544866071428554</v>
      </c>
      <c r="O25" s="1647">
        <f t="shared" si="53"/>
        <v>25.356325683593752</v>
      </c>
      <c r="P25" s="1646">
        <f t="shared" si="53"/>
        <v>30.825715332031248</v>
      </c>
      <c r="Q25" s="1646">
        <f t="shared" si="53"/>
        <v>31.618534226190476</v>
      </c>
      <c r="R25" s="1646">
        <f t="shared" si="53"/>
        <v>27.927487792968755</v>
      </c>
      <c r="S25" s="1647">
        <f t="shared" si="53"/>
        <v>28.835245535714289</v>
      </c>
      <c r="T25" s="1646">
        <f t="shared" si="53"/>
        <v>36.626384277343753</v>
      </c>
      <c r="U25" s="1646">
        <f t="shared" si="53"/>
        <v>43.148923339843755</v>
      </c>
      <c r="V25" s="1664">
        <f t="shared" si="53"/>
        <v>36.768386230468735</v>
      </c>
      <c r="W25" s="1644">
        <f t="shared" si="53"/>
        <v>57.726661706349176</v>
      </c>
      <c r="X25" s="1646">
        <f t="shared" si="53"/>
        <v>44.823835449218755</v>
      </c>
      <c r="Y25" s="1820">
        <f t="shared" si="53"/>
        <v>38.568947753906251</v>
      </c>
      <c r="Z25" s="1821">
        <f t="shared" si="53"/>
        <v>33.674279785156259</v>
      </c>
      <c r="AA25" s="1644">
        <f t="shared" si="53"/>
        <v>26.530957341269843</v>
      </c>
      <c r="AB25" s="1646">
        <f t="shared" si="53"/>
        <v>27.875180664062505</v>
      </c>
      <c r="AC25" s="1820">
        <f t="shared" si="53"/>
        <v>34.771600961538461</v>
      </c>
      <c r="AD25" s="1821">
        <f t="shared" si="53"/>
        <v>23.322177734375007</v>
      </c>
      <c r="AE25" s="1647">
        <f t="shared" si="53"/>
        <v>20.53059082031249</v>
      </c>
      <c r="AF25" s="1643">
        <f t="shared" si="53"/>
        <v>24.409040527343741</v>
      </c>
      <c r="AG25" s="1643">
        <f t="shared" si="53"/>
        <v>33.207656250000007</v>
      </c>
      <c r="AH25" s="1642">
        <f t="shared" si="53"/>
        <v>29.754362599206353</v>
      </c>
      <c r="AI25" s="1643">
        <f t="shared" si="53"/>
        <v>27.700273437500005</v>
      </c>
      <c r="AJ25" s="1643">
        <f t="shared" si="53"/>
        <v>46.152717285156264</v>
      </c>
      <c r="AK25" s="1643">
        <f t="shared" si="53"/>
        <v>33.043561507936509</v>
      </c>
      <c r="AL25" s="1642">
        <f t="shared" si="53"/>
        <v>29.19860119047619</v>
      </c>
      <c r="AM25" s="1643">
        <f t="shared" si="53"/>
        <v>33.29329345703124</v>
      </c>
      <c r="AN25" s="1643">
        <f t="shared" si="53"/>
        <v>37.382000000000005</v>
      </c>
      <c r="AO25" s="1643">
        <f t="shared" si="53"/>
        <v>118.87111666666665</v>
      </c>
      <c r="AP25" s="1642">
        <f t="shared" si="53"/>
        <v>27.205766666666666</v>
      </c>
      <c r="AQ25" s="1643">
        <f t="shared" si="53"/>
        <v>24.525092123733586</v>
      </c>
      <c r="AR25" s="1643">
        <f t="shared" si="53"/>
        <v>26.33436343081933</v>
      </c>
      <c r="AS25" s="1643">
        <f t="shared" si="53"/>
        <v>72.001306158597217</v>
      </c>
      <c r="AT25" s="1642">
        <f t="shared" si="53"/>
        <v>45.433288286849844</v>
      </c>
      <c r="AU25" s="1643">
        <f t="shared" si="53"/>
        <v>22.536414554517716</v>
      </c>
      <c r="AV25" s="1643">
        <f t="shared" si="53"/>
        <v>24.198976636338397</v>
      </c>
      <c r="AW25" s="1643">
        <f t="shared" si="53"/>
        <v>66.162902706759411</v>
      </c>
      <c r="AX25" s="1642">
        <f t="shared" si="53"/>
        <v>41.749218075984459</v>
      </c>
      <c r="AY25" s="1643">
        <f t="shared" ref="AY25:BB25" si="54">IF(ISBLANK(AY168),"",AY168)</f>
        <v>21.446763815512227</v>
      </c>
      <c r="AZ25" s="1643">
        <f t="shared" si="54"/>
        <v>23.028939907062984</v>
      </c>
      <c r="BA25" s="1643">
        <f t="shared" si="54"/>
        <v>62.96388204378902</v>
      </c>
      <c r="BB25" s="1642">
        <f t="shared" si="54"/>
        <v>39.730615417635761</v>
      </c>
      <c r="BC25" s="1489"/>
      <c r="BD25" s="1489"/>
      <c r="BE25" s="1489">
        <f t="shared" si="24"/>
        <v>40.343470449874651</v>
      </c>
      <c r="BF25" s="1489">
        <f t="shared" si="25"/>
        <v>58.042448207310272</v>
      </c>
      <c r="BG25" s="1489">
        <f t="shared" si="26"/>
        <v>28.93201575869606</v>
      </c>
      <c r="BH25" s="1499">
        <f t="shared" si="27"/>
        <v>36.34473484584263</v>
      </c>
      <c r="BI25" s="1499">
        <f t="shared" si="28"/>
        <v>43.69843117365761</v>
      </c>
      <c r="BJ25" s="1499">
        <f t="shared" si="29"/>
        <v>28.124979175311452</v>
      </c>
      <c r="BK25" s="1499">
        <f t="shared" si="30"/>
        <v>26.975412549215648</v>
      </c>
      <c r="BL25" s="1499">
        <f t="shared" si="31"/>
        <v>34.023788355267243</v>
      </c>
      <c r="BM25" s="1499">
        <f t="shared" si="32"/>
        <v>54.188044197591147</v>
      </c>
      <c r="BN25" s="1499">
        <f t="shared" si="33"/>
        <v>42.073512499999993</v>
      </c>
      <c r="BO25" s="1499">
        <f t="shared" si="34"/>
        <v>38.661877993399997</v>
      </c>
      <c r="BP25" s="1499">
        <f t="shared" si="35"/>
        <v>36.792550296000002</v>
      </c>
      <c r="BQ25" s="1499"/>
      <c r="BR25" s="1586"/>
      <c r="BS25" s="1504"/>
      <c r="BT25" s="1499"/>
      <c r="BV25" s="1444"/>
      <c r="BW25" s="1846" t="s">
        <v>1150</v>
      </c>
      <c r="BX25" s="1505"/>
      <c r="BY25" s="1505">
        <f>BY23-BP231+CA101</f>
        <v>4781.9567770424055</v>
      </c>
      <c r="BZ25" s="1506" t="s">
        <v>703</v>
      </c>
    </row>
    <row r="26" spans="1:78" ht="12.75" customHeight="1">
      <c r="A26" s="1445"/>
      <c r="B26" s="1446"/>
      <c r="C26" s="1649" t="s">
        <v>812</v>
      </c>
      <c r="D26" s="1649"/>
      <c r="E26" s="1547"/>
      <c r="F26" s="1663"/>
      <c r="G26" s="1647">
        <f t="shared" ref="G26:AX26" si="55">IF(ISBLANK(G169),"",G169)</f>
        <v>40.761767578124989</v>
      </c>
      <c r="H26" s="1646">
        <f t="shared" si="55"/>
        <v>39.232558593749999</v>
      </c>
      <c r="I26" s="1646">
        <f t="shared" si="55"/>
        <v>48.767795410156261</v>
      </c>
      <c r="J26" s="1645">
        <f t="shared" si="55"/>
        <v>32.77672574626866</v>
      </c>
      <c r="K26" s="1647">
        <f t="shared" si="55"/>
        <v>50.755690917968764</v>
      </c>
      <c r="L26" s="1646">
        <f t="shared" si="55"/>
        <v>40.202160644531247</v>
      </c>
      <c r="M26" s="1646">
        <f t="shared" si="55"/>
        <v>106.84378173828125</v>
      </c>
      <c r="N26" s="1645">
        <f t="shared" si="55"/>
        <v>28.962276785714291</v>
      </c>
      <c r="O26" s="1647">
        <f t="shared" si="55"/>
        <v>25.273820800781262</v>
      </c>
      <c r="P26" s="1646">
        <f t="shared" si="55"/>
        <v>31.306391601562503</v>
      </c>
      <c r="Q26" s="1646">
        <f t="shared" si="55"/>
        <v>32.226475694444453</v>
      </c>
      <c r="R26" s="1646">
        <f t="shared" si="55"/>
        <v>28.259047851562507</v>
      </c>
      <c r="S26" s="1647">
        <f t="shared" si="55"/>
        <v>29.044474206349211</v>
      </c>
      <c r="T26" s="1646">
        <f t="shared" si="55"/>
        <v>35.193894042968758</v>
      </c>
      <c r="U26" s="1646">
        <f t="shared" si="55"/>
        <v>38.431984863281251</v>
      </c>
      <c r="V26" s="1664">
        <f t="shared" si="55"/>
        <v>35.855332031250001</v>
      </c>
      <c r="W26" s="1644">
        <f t="shared" si="55"/>
        <v>60.188559027777771</v>
      </c>
      <c r="X26" s="1646">
        <f t="shared" si="55"/>
        <v>40.574257812500001</v>
      </c>
      <c r="Y26" s="1820">
        <f t="shared" si="55"/>
        <v>37.938735351562507</v>
      </c>
      <c r="Z26" s="1821">
        <f t="shared" si="55"/>
        <v>34.462575683593748</v>
      </c>
      <c r="AA26" s="1644">
        <f t="shared" si="55"/>
        <v>26.624528769841273</v>
      </c>
      <c r="AB26" s="1646">
        <f t="shared" si="55"/>
        <v>27.696826171875006</v>
      </c>
      <c r="AC26" s="1820">
        <f t="shared" si="55"/>
        <v>35.113086538461538</v>
      </c>
      <c r="AD26" s="1821">
        <f t="shared" si="55"/>
        <v>20.858798828125007</v>
      </c>
      <c r="AE26" s="1647">
        <f t="shared" si="55"/>
        <v>19.673029785156263</v>
      </c>
      <c r="AF26" s="1643">
        <f t="shared" si="55"/>
        <v>22.350983886718744</v>
      </c>
      <c r="AG26" s="1643">
        <f t="shared" si="55"/>
        <v>30.610273437499995</v>
      </c>
      <c r="AH26" s="1642">
        <f t="shared" si="55"/>
        <v>25.720223214285713</v>
      </c>
      <c r="AI26" s="1643">
        <f t="shared" si="55"/>
        <v>22.746433105468753</v>
      </c>
      <c r="AJ26" s="1643">
        <f t="shared" si="55"/>
        <v>27.890290527343748</v>
      </c>
      <c r="AK26" s="1643">
        <f t="shared" si="55"/>
        <v>29.419799107142854</v>
      </c>
      <c r="AL26" s="1642">
        <f t="shared" si="55"/>
        <v>23.559124503968256</v>
      </c>
      <c r="AM26" s="1643">
        <f t="shared" si="55"/>
        <v>31.786008300781262</v>
      </c>
      <c r="AN26" s="1643">
        <f t="shared" si="55"/>
        <v>35.332000000000001</v>
      </c>
      <c r="AO26" s="1643">
        <f t="shared" si="55"/>
        <v>118.57111666666667</v>
      </c>
      <c r="AP26" s="1642">
        <f t="shared" si="55"/>
        <v>26.272433333333336</v>
      </c>
      <c r="AQ26" s="1643">
        <f t="shared" si="55"/>
        <v>23.582895883834407</v>
      </c>
      <c r="AR26" s="1643">
        <f t="shared" si="55"/>
        <v>24.58750024208658</v>
      </c>
      <c r="AS26" s="1643">
        <f t="shared" si="55"/>
        <v>70.499208350188795</v>
      </c>
      <c r="AT26" s="1642">
        <f t="shared" si="55"/>
        <v>43.541112190290235</v>
      </c>
      <c r="AU26" s="1643">
        <f t="shared" si="55"/>
        <v>21.356595924499164</v>
      </c>
      <c r="AV26" s="1643">
        <f t="shared" si="55"/>
        <v>22.266362453973152</v>
      </c>
      <c r="AW26" s="1643">
        <f t="shared" si="55"/>
        <v>63.843860107279404</v>
      </c>
      <c r="AX26" s="1642">
        <f t="shared" si="55"/>
        <v>39.430693487848274</v>
      </c>
      <c r="AY26" s="1643">
        <f t="shared" ref="AY26:BB26" si="56">IF(ISBLANK(AY169),"",AY169)</f>
        <v>20.153204665518864</v>
      </c>
      <c r="AZ26" s="1643">
        <f t="shared" si="56"/>
        <v>21.011708105446548</v>
      </c>
      <c r="BA26" s="1643">
        <f t="shared" si="56"/>
        <v>60.246416794484098</v>
      </c>
      <c r="BB26" s="1642">
        <f t="shared" si="56"/>
        <v>37.208871618550496</v>
      </c>
      <c r="BC26" s="1489"/>
      <c r="BD26" s="1489"/>
      <c r="BE26" s="1489">
        <f t="shared" si="24"/>
        <v>40.384711832074977</v>
      </c>
      <c r="BF26" s="1489">
        <f t="shared" si="25"/>
        <v>56.690977521623886</v>
      </c>
      <c r="BG26" s="1489">
        <f t="shared" si="26"/>
        <v>29.26643398708768</v>
      </c>
      <c r="BH26" s="1499">
        <f t="shared" si="27"/>
        <v>34.631421285962304</v>
      </c>
      <c r="BI26" s="1499">
        <f t="shared" si="28"/>
        <v>43.291031968858505</v>
      </c>
      <c r="BJ26" s="1499">
        <f t="shared" si="29"/>
        <v>27.573310077075703</v>
      </c>
      <c r="BK26" s="1499">
        <f t="shared" si="30"/>
        <v>24.58862758091518</v>
      </c>
      <c r="BL26" s="1499">
        <f t="shared" si="31"/>
        <v>25.903911810980901</v>
      </c>
      <c r="BM26" s="1499">
        <f t="shared" si="32"/>
        <v>52.990389575195316</v>
      </c>
      <c r="BN26" s="1499">
        <f t="shared" si="33"/>
        <v>40.552679166600001</v>
      </c>
      <c r="BO26" s="1499">
        <f t="shared" si="34"/>
        <v>36.724377993399997</v>
      </c>
      <c r="BP26" s="1499">
        <f t="shared" si="35"/>
        <v>34.655050295999999</v>
      </c>
      <c r="BQ26" s="1499"/>
      <c r="BR26" s="1586"/>
      <c r="BS26" s="1504"/>
      <c r="BT26" s="1499"/>
      <c r="BV26" s="1444"/>
    </row>
    <row r="27" spans="1:78" ht="12.75" customHeight="1">
      <c r="A27" s="1445"/>
      <c r="B27" s="1446"/>
      <c r="C27" s="1649" t="s">
        <v>813</v>
      </c>
      <c r="D27" s="1649"/>
      <c r="E27" s="1547"/>
      <c r="F27" s="1663"/>
      <c r="G27" s="1647">
        <f t="shared" ref="G27:AX27" si="57">IF(ISBLANK(G170),"",G170)</f>
        <v>40.462470703125</v>
      </c>
      <c r="H27" s="1646">
        <f t="shared" si="57"/>
        <v>39.192001953125001</v>
      </c>
      <c r="I27" s="1646">
        <f t="shared" si="57"/>
        <v>48.72686279296876</v>
      </c>
      <c r="J27" s="1645">
        <f t="shared" si="57"/>
        <v>31.765543376865669</v>
      </c>
      <c r="K27" s="1647">
        <f t="shared" si="57"/>
        <v>55.323972167968762</v>
      </c>
      <c r="L27" s="1646">
        <f t="shared" si="57"/>
        <v>39.6252978515625</v>
      </c>
      <c r="M27" s="1646">
        <f t="shared" si="57"/>
        <v>106.81442871093749</v>
      </c>
      <c r="N27" s="1645">
        <f t="shared" si="57"/>
        <v>29.354828869047626</v>
      </c>
      <c r="O27" s="1647">
        <f t="shared" si="57"/>
        <v>25.648288574218743</v>
      </c>
      <c r="P27" s="1646">
        <f t="shared" si="57"/>
        <v>29.951386718749998</v>
      </c>
      <c r="Q27" s="1646">
        <f t="shared" si="57"/>
        <v>31.210275297619049</v>
      </c>
      <c r="R27" s="1646">
        <f t="shared" si="57"/>
        <v>28.586511230468751</v>
      </c>
      <c r="S27" s="1647">
        <f t="shared" si="57"/>
        <v>28.708407738095232</v>
      </c>
      <c r="T27" s="1646">
        <f t="shared" si="57"/>
        <v>36.230866699218758</v>
      </c>
      <c r="U27" s="1646">
        <f t="shared" si="57"/>
        <v>40.352358398437502</v>
      </c>
      <c r="V27" s="1664">
        <f t="shared" si="57"/>
        <v>36.304406738281251</v>
      </c>
      <c r="W27" s="1644">
        <f t="shared" si="57"/>
        <v>59.069300595238097</v>
      </c>
      <c r="X27" s="1646">
        <f t="shared" si="57"/>
        <v>41.673994140624984</v>
      </c>
      <c r="Y27" s="1820">
        <f t="shared" si="57"/>
        <v>38.124675292968753</v>
      </c>
      <c r="Z27" s="1821">
        <f t="shared" si="57"/>
        <v>34.437966308593751</v>
      </c>
      <c r="AA27" s="1644">
        <f t="shared" si="57"/>
        <v>26.435344742063496</v>
      </c>
      <c r="AB27" s="1646">
        <f t="shared" si="57"/>
        <v>27.865429687499994</v>
      </c>
      <c r="AC27" s="1820">
        <f t="shared" si="57"/>
        <v>34.586947115384625</v>
      </c>
      <c r="AD27" s="1821">
        <f t="shared" si="57"/>
        <v>23.201174316406249</v>
      </c>
      <c r="AE27" s="1647">
        <f t="shared" si="57"/>
        <v>20.267778320312491</v>
      </c>
      <c r="AF27" s="1643">
        <f t="shared" si="57"/>
        <v>22.831770019531245</v>
      </c>
      <c r="AG27" s="1643">
        <f t="shared" si="57"/>
        <v>30.974855957031252</v>
      </c>
      <c r="AH27" s="1642">
        <f t="shared" si="57"/>
        <v>28.905121527777784</v>
      </c>
      <c r="AI27" s="1643">
        <f t="shared" si="57"/>
        <v>24.182224121093753</v>
      </c>
      <c r="AJ27" s="1643">
        <f t="shared" si="57"/>
        <v>35.500275878906244</v>
      </c>
      <c r="AK27" s="1643">
        <f t="shared" si="57"/>
        <v>30.679335317460314</v>
      </c>
      <c r="AL27" s="1642">
        <f t="shared" si="57"/>
        <v>26.539970238095233</v>
      </c>
      <c r="AM27" s="1643">
        <f t="shared" si="57"/>
        <v>33.080983886718748</v>
      </c>
      <c r="AN27" s="1643">
        <f t="shared" si="57"/>
        <v>38.148666666666664</v>
      </c>
      <c r="AO27" s="1643">
        <f t="shared" si="57"/>
        <v>119.77111666666667</v>
      </c>
      <c r="AP27" s="1642">
        <f t="shared" si="57"/>
        <v>27.555766666666667</v>
      </c>
      <c r="AQ27" s="1643">
        <f t="shared" si="57"/>
        <v>25.311841025847244</v>
      </c>
      <c r="AR27" s="1643">
        <f t="shared" si="57"/>
        <v>26.536363358265632</v>
      </c>
      <c r="AS27" s="1643">
        <f t="shared" si="57"/>
        <v>72.644761515096988</v>
      </c>
      <c r="AT27" s="1642">
        <f t="shared" si="57"/>
        <v>44.901084100790143</v>
      </c>
      <c r="AU27" s="1643">
        <f t="shared" si="57"/>
        <v>23.143193839184796</v>
      </c>
      <c r="AV27" s="1643">
        <f t="shared" si="57"/>
        <v>24.262802550010321</v>
      </c>
      <c r="AW27" s="1643">
        <f t="shared" si="57"/>
        <v>66.420763129337274</v>
      </c>
      <c r="AX27" s="1642">
        <f t="shared" si="57"/>
        <v>41.054085788267628</v>
      </c>
      <c r="AY27" s="1643">
        <f t="shared" ref="AY27:BB27" si="58">IF(ISBLANK(AY170),"",AY170)</f>
        <v>21.966120391696254</v>
      </c>
      <c r="AZ27" s="1643">
        <f t="shared" si="58"/>
        <v>23.028785290261158</v>
      </c>
      <c r="BA27" s="1643">
        <f t="shared" si="58"/>
        <v>63.042572669337098</v>
      </c>
      <c r="BB27" s="1642">
        <f t="shared" si="58"/>
        <v>38.966056165905499</v>
      </c>
      <c r="BC27" s="1489"/>
      <c r="BD27" s="1489"/>
      <c r="BE27" s="1489">
        <f t="shared" si="24"/>
        <v>40.036719706521104</v>
      </c>
      <c r="BF27" s="1489">
        <f t="shared" si="25"/>
        <v>57.779631899879099</v>
      </c>
      <c r="BG27" s="1489">
        <f t="shared" si="26"/>
        <v>28.849115455264133</v>
      </c>
      <c r="BH27" s="1499">
        <f t="shared" si="27"/>
        <v>35.399009893508186</v>
      </c>
      <c r="BI27" s="1499">
        <f t="shared" si="28"/>
        <v>43.326484084356402</v>
      </c>
      <c r="BJ27" s="1499">
        <f t="shared" si="29"/>
        <v>28.02222396533859</v>
      </c>
      <c r="BK27" s="1499">
        <f t="shared" si="30"/>
        <v>25.744881456163192</v>
      </c>
      <c r="BL27" s="1499">
        <f t="shared" si="31"/>
        <v>29.225451388888885</v>
      </c>
      <c r="BM27" s="1499">
        <f t="shared" si="32"/>
        <v>54.639133471679685</v>
      </c>
      <c r="BN27" s="1499">
        <f t="shared" si="33"/>
        <v>42.348512499999998</v>
      </c>
      <c r="BO27" s="1499">
        <f t="shared" si="34"/>
        <v>38.720211326700003</v>
      </c>
      <c r="BP27" s="1499">
        <f t="shared" si="35"/>
        <v>36.750883629300006</v>
      </c>
      <c r="BQ27" s="1499"/>
      <c r="BR27" s="1586"/>
      <c r="BS27" s="1504"/>
      <c r="BT27" s="1499"/>
      <c r="BV27" s="1444"/>
      <c r="BW27" s="1492" t="s">
        <v>813</v>
      </c>
    </row>
    <row r="28" spans="1:78" ht="12.75" customHeight="1">
      <c r="A28" s="1445"/>
      <c r="B28" s="1446"/>
      <c r="C28" s="1649" t="s">
        <v>814</v>
      </c>
      <c r="D28" s="1649"/>
      <c r="E28" s="1548"/>
      <c r="F28" s="1663"/>
      <c r="G28" s="1647">
        <f t="shared" ref="G28:AX28" si="59">IF(ISBLANK(G171),"",G171)</f>
        <v>43.880888888888897</v>
      </c>
      <c r="H28" s="1646">
        <f t="shared" si="59"/>
        <v>35.874838709677434</v>
      </c>
      <c r="I28" s="1646">
        <f t="shared" si="59"/>
        <v>40.575468749999999</v>
      </c>
      <c r="J28" s="1645">
        <f t="shared" si="59"/>
        <v>34.270317460317472</v>
      </c>
      <c r="K28" s="1647">
        <f t="shared" si="59"/>
        <v>32.430468750000003</v>
      </c>
      <c r="L28" s="1646">
        <f t="shared" si="59"/>
        <v>36.866093749999997</v>
      </c>
      <c r="M28" s="1646">
        <f t="shared" si="59"/>
        <v>42.871093750000007</v>
      </c>
      <c r="N28" s="1645">
        <f t="shared" si="59"/>
        <v>33.560156250000006</v>
      </c>
      <c r="O28" s="1647">
        <f t="shared" si="59"/>
        <v>25.353281250000002</v>
      </c>
      <c r="P28" s="1646">
        <f t="shared" si="59"/>
        <v>25.953076923076935</v>
      </c>
      <c r="Q28" s="1646">
        <f t="shared" si="59"/>
        <v>36.29349206349206</v>
      </c>
      <c r="R28" s="1646">
        <f t="shared" si="59"/>
        <v>31.014769230769229</v>
      </c>
      <c r="S28" s="1647">
        <f t="shared" si="59"/>
        <v>32.511999999999993</v>
      </c>
      <c r="T28" s="1646">
        <f t="shared" si="59"/>
        <v>38.131384615384611</v>
      </c>
      <c r="U28" s="1646">
        <f t="shared" si="59"/>
        <v>42.04296875</v>
      </c>
      <c r="V28" s="1664">
        <f t="shared" si="59"/>
        <v>37.624062500000001</v>
      </c>
      <c r="W28" s="1644">
        <f t="shared" si="59"/>
        <v>47.590967741935479</v>
      </c>
      <c r="X28" s="1646">
        <f t="shared" si="59"/>
        <v>42.762769230769244</v>
      </c>
      <c r="Y28" s="1820">
        <f t="shared" si="59"/>
        <v>43.211212121212121</v>
      </c>
      <c r="Z28" s="1821">
        <f t="shared" si="59"/>
        <v>36.127031249999987</v>
      </c>
      <c r="AA28" s="1644">
        <f t="shared" si="59"/>
        <v>25.419180327868858</v>
      </c>
      <c r="AB28" s="1646">
        <f t="shared" si="59"/>
        <v>26.831111111111106</v>
      </c>
      <c r="AC28" s="1820">
        <f t="shared" si="59"/>
        <v>33.160312500000011</v>
      </c>
      <c r="AD28" s="1821">
        <f t="shared" si="59"/>
        <v>23.980158730158735</v>
      </c>
      <c r="AE28" s="1647">
        <f t="shared" si="59"/>
        <v>19.007377049180324</v>
      </c>
      <c r="AF28" s="1643">
        <f t="shared" si="59"/>
        <v>22.532187499999996</v>
      </c>
      <c r="AG28" s="1643">
        <f t="shared" si="59"/>
        <v>34.896093749999999</v>
      </c>
      <c r="AH28" s="1642">
        <f t="shared" si="59"/>
        <v>25.215322580645164</v>
      </c>
      <c r="AI28" s="1643">
        <f t="shared" si="59"/>
        <v>23.400322580645167</v>
      </c>
      <c r="AJ28" s="1643">
        <f t="shared" si="59"/>
        <v>32.938906250000002</v>
      </c>
      <c r="AK28" s="1643">
        <f t="shared" si="59"/>
        <v>44.240952380952386</v>
      </c>
      <c r="AL28" s="1642">
        <f t="shared" si="59"/>
        <v>30.908548387096779</v>
      </c>
      <c r="AM28" s="1643">
        <f t="shared" si="59"/>
        <v>26.38622950819672</v>
      </c>
      <c r="AN28" s="1643">
        <f t="shared" si="59"/>
        <v>27.183333333333334</v>
      </c>
      <c r="AO28" s="1643">
        <f t="shared" si="59"/>
        <v>42.599999999999994</v>
      </c>
      <c r="AP28" s="1642">
        <f t="shared" si="59"/>
        <v>25.099999999999998</v>
      </c>
      <c r="AQ28" s="1643">
        <f t="shared" si="59"/>
        <v>25.992977359392921</v>
      </c>
      <c r="AR28" s="1643">
        <f t="shared" si="59"/>
        <v>25.589202953810119</v>
      </c>
      <c r="AS28" s="1643">
        <f t="shared" si="59"/>
        <v>40.377440558280256</v>
      </c>
      <c r="AT28" s="1642">
        <f t="shared" si="59"/>
        <v>30.457045794916699</v>
      </c>
      <c r="AU28" s="1643">
        <f t="shared" si="59"/>
        <v>28.466645320489615</v>
      </c>
      <c r="AV28" s="1643">
        <f t="shared" si="59"/>
        <v>28.024445004831527</v>
      </c>
      <c r="AW28" s="1643">
        <f t="shared" si="59"/>
        <v>44.220031565809109</v>
      </c>
      <c r="AX28" s="1642">
        <f t="shared" si="59"/>
        <v>33.355544775269749</v>
      </c>
      <c r="AY28" s="1643">
        <f t="shared" ref="AY28:BB28" si="60">IF(ISBLANK(AY171),"",AY171)</f>
        <v>30.466105117398659</v>
      </c>
      <c r="AZ28" s="1643">
        <f t="shared" si="60"/>
        <v>29.992845232079848</v>
      </c>
      <c r="BA28" s="1643">
        <f t="shared" si="60"/>
        <v>47.325988531881407</v>
      </c>
      <c r="BB28" s="1642">
        <f t="shared" si="60"/>
        <v>35.69839445184008</v>
      </c>
      <c r="BC28" s="1489"/>
      <c r="BD28" s="1489"/>
      <c r="BE28" s="1489">
        <f t="shared" si="24"/>
        <v>38.650378452220949</v>
      </c>
      <c r="BF28" s="1489">
        <f t="shared" si="25"/>
        <v>36.431953125</v>
      </c>
      <c r="BG28" s="1489">
        <f t="shared" si="26"/>
        <v>29.653654866834557</v>
      </c>
      <c r="BH28" s="1499">
        <f t="shared" si="27"/>
        <v>37.577603966346153</v>
      </c>
      <c r="BI28" s="1499">
        <f t="shared" si="28"/>
        <v>42.42299508597921</v>
      </c>
      <c r="BJ28" s="1499">
        <f t="shared" si="29"/>
        <v>27.347690667284677</v>
      </c>
      <c r="BK28" s="1499">
        <f t="shared" si="30"/>
        <v>25.412745219956371</v>
      </c>
      <c r="BL28" s="1499">
        <f t="shared" si="31"/>
        <v>32.872182399673584</v>
      </c>
      <c r="BM28" s="1499">
        <f t="shared" si="32"/>
        <v>30.317390710382512</v>
      </c>
      <c r="BN28" s="1499">
        <f t="shared" si="33"/>
        <v>30.604166666599998</v>
      </c>
      <c r="BO28" s="1499">
        <f t="shared" si="34"/>
        <v>33.516666666600003</v>
      </c>
      <c r="BP28" s="1499">
        <f t="shared" si="35"/>
        <v>35.870833333299998</v>
      </c>
      <c r="BQ28" s="1499"/>
      <c r="BR28" s="1586"/>
      <c r="BS28" s="1504"/>
      <c r="BT28" s="1499"/>
      <c r="BV28" s="1444"/>
      <c r="BW28" s="1495" t="s">
        <v>701</v>
      </c>
      <c r="BX28" s="1496"/>
      <c r="BY28" s="1496">
        <v>28</v>
      </c>
      <c r="BZ28" s="1497" t="s">
        <v>921</v>
      </c>
    </row>
    <row r="29" spans="1:78" ht="12.75" customHeight="1">
      <c r="A29" s="1445"/>
      <c r="B29" s="1446"/>
      <c r="C29" s="1649" t="s">
        <v>815</v>
      </c>
      <c r="D29" s="1649"/>
      <c r="E29" s="1547"/>
      <c r="F29" s="1663"/>
      <c r="G29" s="1647">
        <f t="shared" ref="G29:AX29" si="61">IF(ISBLANK(G172),"",G172)</f>
        <v>58.596430330972908</v>
      </c>
      <c r="H29" s="1646">
        <f t="shared" si="61"/>
        <v>31.946377822646106</v>
      </c>
      <c r="I29" s="1646">
        <f t="shared" si="61"/>
        <v>37.433810982142873</v>
      </c>
      <c r="J29" s="1645">
        <f t="shared" si="61"/>
        <v>33.962447284902595</v>
      </c>
      <c r="K29" s="1647">
        <f t="shared" si="61"/>
        <v>30.515116445312522</v>
      </c>
      <c r="L29" s="1646">
        <f t="shared" si="61"/>
        <v>33.011711513798716</v>
      </c>
      <c r="M29" s="1646">
        <f t="shared" si="61"/>
        <v>42.068564527191569</v>
      </c>
      <c r="N29" s="1645">
        <f t="shared" si="61"/>
        <v>32.950429456168834</v>
      </c>
      <c r="O29" s="1647">
        <f t="shared" si="61"/>
        <v>25.307843413149342</v>
      </c>
      <c r="P29" s="1646">
        <f t="shared" si="61"/>
        <v>22.80274092532467</v>
      </c>
      <c r="Q29" s="1646">
        <f t="shared" si="61"/>
        <v>35.896205914884867</v>
      </c>
      <c r="R29" s="1646">
        <f t="shared" si="61"/>
        <v>42.475329612418847</v>
      </c>
      <c r="S29" s="1647">
        <f t="shared" si="61"/>
        <v>42.911978651315792</v>
      </c>
      <c r="T29" s="1646">
        <f t="shared" si="61"/>
        <v>45.579805629058441</v>
      </c>
      <c r="U29" s="1646">
        <f t="shared" si="61"/>
        <v>48.084160511363628</v>
      </c>
      <c r="V29" s="1664">
        <f t="shared" si="61"/>
        <v>45.337906345373376</v>
      </c>
      <c r="W29" s="1644">
        <f t="shared" si="61"/>
        <v>53.600572129934207</v>
      </c>
      <c r="X29" s="1646">
        <f t="shared" si="61"/>
        <v>40.900113140016224</v>
      </c>
      <c r="Y29" s="1820">
        <f t="shared" si="61"/>
        <v>46.183565756087653</v>
      </c>
      <c r="Z29" s="1821">
        <f t="shared" si="61"/>
        <v>41.445947460091979</v>
      </c>
      <c r="AA29" s="1644">
        <f t="shared" si="61"/>
        <v>28.829850453771133</v>
      </c>
      <c r="AB29" s="1646">
        <f t="shared" si="61"/>
        <v>29.03807379386982</v>
      </c>
      <c r="AC29" s="1820">
        <f t="shared" si="61"/>
        <v>35.943119470128089</v>
      </c>
      <c r="AD29" s="1821">
        <f t="shared" si="61"/>
        <v>32.371010031004026</v>
      </c>
      <c r="AE29" s="1647">
        <f t="shared" si="61"/>
        <v>21.909217117018397</v>
      </c>
      <c r="AF29" s="1643">
        <f t="shared" si="61"/>
        <v>21.147224745129879</v>
      </c>
      <c r="AG29" s="1643">
        <f t="shared" si="61"/>
        <v>35.217113687499996</v>
      </c>
      <c r="AH29" s="1642">
        <f t="shared" si="61"/>
        <v>32.804729900021115</v>
      </c>
      <c r="AI29" s="1643">
        <f t="shared" si="61"/>
        <v>27.142658075794955</v>
      </c>
      <c r="AJ29" s="1643">
        <f t="shared" si="61"/>
        <v>32.083006007440474</v>
      </c>
      <c r="AK29" s="1643">
        <f t="shared" si="61"/>
        <v>43.369349766774882</v>
      </c>
      <c r="AL29" s="1642">
        <f t="shared" si="61"/>
        <v>48.204032704495603</v>
      </c>
      <c r="AM29" s="1643">
        <f t="shared" si="61"/>
        <v>34.474168695211048</v>
      </c>
      <c r="AN29" s="1643">
        <f t="shared" si="61"/>
        <v>27.633333333333336</v>
      </c>
      <c r="AO29" s="1643">
        <f t="shared" si="61"/>
        <v>46.35</v>
      </c>
      <c r="AP29" s="1642">
        <f t="shared" si="61"/>
        <v>39.75</v>
      </c>
      <c r="AQ29" s="1643">
        <f t="shared" si="61"/>
        <v>35.039319558003335</v>
      </c>
      <c r="AR29" s="1643">
        <f t="shared" si="61"/>
        <v>25.220609132408999</v>
      </c>
      <c r="AS29" s="1643">
        <f t="shared" si="61"/>
        <v>40.23746037155329</v>
      </c>
      <c r="AT29" s="1642">
        <f t="shared" si="61"/>
        <v>42.319277604434383</v>
      </c>
      <c r="AU29" s="1643">
        <f t="shared" si="61"/>
        <v>37.701310109094798</v>
      </c>
      <c r="AV29" s="1643">
        <f t="shared" si="61"/>
        <v>27.136657276326481</v>
      </c>
      <c r="AW29" s="1643">
        <f t="shared" si="61"/>
        <v>43.29436160879569</v>
      </c>
      <c r="AX29" s="1642">
        <f t="shared" si="61"/>
        <v>45.534337672183035</v>
      </c>
      <c r="AY29" s="1643">
        <f t="shared" ref="AY29:BB29" si="62">IF(ISBLANK(AY172),"",AY172)</f>
        <v>39.12839874558054</v>
      </c>
      <c r="AZ29" s="1643">
        <f t="shared" si="62"/>
        <v>28.16384744874204</v>
      </c>
      <c r="BA29" s="1643">
        <f t="shared" si="62"/>
        <v>44.93316119684799</v>
      </c>
      <c r="BB29" s="1642">
        <f t="shared" si="62"/>
        <v>47.257925942029424</v>
      </c>
      <c r="BC29" s="1489"/>
      <c r="BD29" s="1489"/>
      <c r="BE29" s="1489">
        <f t="shared" si="24"/>
        <v>40.484766605166115</v>
      </c>
      <c r="BF29" s="1489">
        <f t="shared" si="25"/>
        <v>34.636455485617915</v>
      </c>
      <c r="BG29" s="1489">
        <f t="shared" si="26"/>
        <v>31.62052996644443</v>
      </c>
      <c r="BH29" s="1499">
        <f t="shared" si="27"/>
        <v>45.478462784277809</v>
      </c>
      <c r="BI29" s="1499">
        <f t="shared" si="28"/>
        <v>45.532549621532517</v>
      </c>
      <c r="BJ29" s="1499">
        <f t="shared" si="29"/>
        <v>31.545513437193271</v>
      </c>
      <c r="BK29" s="1499">
        <f t="shared" si="30"/>
        <v>27.769571362417349</v>
      </c>
      <c r="BL29" s="1499">
        <f t="shared" si="31"/>
        <v>37.699761638626477</v>
      </c>
      <c r="BM29" s="1499">
        <f t="shared" si="32"/>
        <v>37.051875507136096</v>
      </c>
      <c r="BN29" s="1499">
        <f t="shared" si="33"/>
        <v>35.704166666600003</v>
      </c>
      <c r="BO29" s="1499">
        <f t="shared" si="34"/>
        <v>38.416666666600001</v>
      </c>
      <c r="BP29" s="1499">
        <f t="shared" si="35"/>
        <v>39.870833333299998</v>
      </c>
      <c r="BQ29" s="1499"/>
      <c r="BR29" s="1586"/>
      <c r="BS29" s="1504"/>
      <c r="BT29" s="1499"/>
      <c r="BV29" s="1444"/>
      <c r="BW29" s="1502" t="s">
        <v>702</v>
      </c>
      <c r="BX29" s="95"/>
      <c r="BY29" s="95">
        <f>($BY$14/$BX$9+7)*1000</f>
        <v>17085.320006303325</v>
      </c>
      <c r="BZ29" s="1503" t="s">
        <v>703</v>
      </c>
    </row>
    <row r="30" spans="1:78" ht="12.75" customHeight="1">
      <c r="A30" s="1445"/>
      <c r="B30" s="1446"/>
      <c r="C30" s="1649" t="s">
        <v>816</v>
      </c>
      <c r="D30" s="1649"/>
      <c r="E30" s="1547"/>
      <c r="F30" s="1663"/>
      <c r="G30" s="1647">
        <f t="shared" ref="G30:AX30" si="63">IF(ISBLANK(G173),"",G173)</f>
        <v>43.232782068657642</v>
      </c>
      <c r="H30" s="1646">
        <f t="shared" si="63"/>
        <v>31.276324283685071</v>
      </c>
      <c r="I30" s="1646">
        <f t="shared" si="63"/>
        <v>35.895895022321419</v>
      </c>
      <c r="J30" s="1645">
        <f t="shared" si="63"/>
        <v>34.310879216720778</v>
      </c>
      <c r="K30" s="1647">
        <f t="shared" si="63"/>
        <v>30.24114454975328</v>
      </c>
      <c r="L30" s="1646">
        <f t="shared" si="63"/>
        <v>31.702068581574675</v>
      </c>
      <c r="M30" s="1646">
        <f t="shared" si="63"/>
        <v>41.130466008522738</v>
      </c>
      <c r="N30" s="1645">
        <f t="shared" si="63"/>
        <v>32.790118090503235</v>
      </c>
      <c r="O30" s="1647">
        <f t="shared" si="63"/>
        <v>25.843621564529215</v>
      </c>
      <c r="P30" s="1646">
        <f t="shared" si="63"/>
        <v>26.883430413961047</v>
      </c>
      <c r="Q30" s="1646">
        <f t="shared" si="63"/>
        <v>32.092331157483542</v>
      </c>
      <c r="R30" s="1646">
        <f t="shared" si="63"/>
        <v>35.354487767857144</v>
      </c>
      <c r="S30" s="1647">
        <f t="shared" si="63"/>
        <v>38.341412275904609</v>
      </c>
      <c r="T30" s="1646">
        <f t="shared" si="63"/>
        <v>53.221846702516224</v>
      </c>
      <c r="U30" s="1646">
        <f t="shared" si="63"/>
        <v>43.118555716314944</v>
      </c>
      <c r="V30" s="1664">
        <f t="shared" si="63"/>
        <v>47.006490310470774</v>
      </c>
      <c r="W30" s="1644">
        <f t="shared" si="63"/>
        <v>54.453317212171072</v>
      </c>
      <c r="X30" s="1646">
        <f t="shared" si="63"/>
        <v>43.800113599161243</v>
      </c>
      <c r="Y30" s="1820">
        <f t="shared" si="63"/>
        <v>46.219888831825891</v>
      </c>
      <c r="Z30" s="1821">
        <f t="shared" si="63"/>
        <v>42.75064843777055</v>
      </c>
      <c r="AA30" s="1644">
        <f t="shared" si="63"/>
        <v>30.826490857906492</v>
      </c>
      <c r="AB30" s="1646">
        <f t="shared" si="63"/>
        <v>36.661938962643021</v>
      </c>
      <c r="AC30" s="1820">
        <f t="shared" si="63"/>
        <v>36.175045137228835</v>
      </c>
      <c r="AD30" s="1821">
        <f t="shared" si="63"/>
        <v>31.309796634826355</v>
      </c>
      <c r="AE30" s="1647">
        <f t="shared" si="63"/>
        <v>23.238426047889615</v>
      </c>
      <c r="AF30" s="1643">
        <f t="shared" si="63"/>
        <v>25.958117773133125</v>
      </c>
      <c r="AG30" s="1643">
        <f t="shared" si="63"/>
        <v>35.980332387929025</v>
      </c>
      <c r="AH30" s="1642">
        <f t="shared" si="63"/>
        <v>36.942520320092108</v>
      </c>
      <c r="AI30" s="1643">
        <f t="shared" si="63"/>
        <v>29.92399809991776</v>
      </c>
      <c r="AJ30" s="1643">
        <f t="shared" si="63"/>
        <v>36.316399976055195</v>
      </c>
      <c r="AK30" s="1643">
        <f t="shared" si="63"/>
        <v>47.946497504058435</v>
      </c>
      <c r="AL30" s="1642">
        <f t="shared" si="63"/>
        <v>48.663296223684213</v>
      </c>
      <c r="AM30" s="1643">
        <f t="shared" si="63"/>
        <v>34.379404778409103</v>
      </c>
      <c r="AN30" s="1643">
        <f t="shared" si="63"/>
        <v>28.966666666666669</v>
      </c>
      <c r="AO30" s="1643">
        <f t="shared" si="63"/>
        <v>44.1</v>
      </c>
      <c r="AP30" s="1642">
        <f t="shared" si="63"/>
        <v>40.25</v>
      </c>
      <c r="AQ30" s="1643">
        <f t="shared" si="63"/>
        <v>38.255538918101109</v>
      </c>
      <c r="AR30" s="1643">
        <f t="shared" si="63"/>
        <v>29.023202192532711</v>
      </c>
      <c r="AS30" s="1643">
        <f t="shared" si="63"/>
        <v>41.520011572445739</v>
      </c>
      <c r="AT30" s="1642">
        <f t="shared" si="63"/>
        <v>42.017913983320447</v>
      </c>
      <c r="AU30" s="1643">
        <f t="shared" si="63"/>
        <v>41.312092640925286</v>
      </c>
      <c r="AV30" s="1643">
        <f t="shared" si="63"/>
        <v>31.342107616915317</v>
      </c>
      <c r="AW30" s="1643">
        <f t="shared" si="63"/>
        <v>44.837391212950912</v>
      </c>
      <c r="AX30" s="1642">
        <f t="shared" si="63"/>
        <v>45.375075195608474</v>
      </c>
      <c r="AY30" s="1643">
        <f t="shared" ref="AY30:BB30" si="64">IF(ISBLANK(AY173),"",AY173)</f>
        <v>42.787524520994573</v>
      </c>
      <c r="AZ30" s="1643">
        <f t="shared" si="64"/>
        <v>32.461468603261217</v>
      </c>
      <c r="BA30" s="1643">
        <f t="shared" si="64"/>
        <v>46.438726613452779</v>
      </c>
      <c r="BB30" s="1642">
        <f t="shared" si="64"/>
        <v>46.995613595491442</v>
      </c>
      <c r="BC30" s="1489"/>
      <c r="BD30" s="1489"/>
      <c r="BE30" s="1489">
        <f t="shared" si="24"/>
        <v>36.178970147846229</v>
      </c>
      <c r="BF30" s="1489">
        <f t="shared" si="25"/>
        <v>33.965949307588481</v>
      </c>
      <c r="BG30" s="1489">
        <f t="shared" si="26"/>
        <v>30.04346772595774</v>
      </c>
      <c r="BH30" s="1499">
        <f t="shared" si="27"/>
        <v>45.42207625130164</v>
      </c>
      <c r="BI30" s="1499">
        <f t="shared" si="28"/>
        <v>46.805992020232196</v>
      </c>
      <c r="BJ30" s="1499">
        <f t="shared" si="29"/>
        <v>33.743317898151176</v>
      </c>
      <c r="BK30" s="1499">
        <f t="shared" si="30"/>
        <v>30.529849132260971</v>
      </c>
      <c r="BL30" s="1499">
        <f t="shared" si="31"/>
        <v>40.712547950928908</v>
      </c>
      <c r="BM30" s="1499">
        <f t="shared" si="32"/>
        <v>36.924017861268943</v>
      </c>
      <c r="BN30" s="1499">
        <f t="shared" si="33"/>
        <v>37.704166666600003</v>
      </c>
      <c r="BO30" s="1499">
        <f t="shared" si="34"/>
        <v>40.716666666599998</v>
      </c>
      <c r="BP30" s="1499">
        <f t="shared" si="35"/>
        <v>42.170833333300003</v>
      </c>
      <c r="BQ30" s="1499"/>
      <c r="BR30" s="1586"/>
      <c r="BS30" s="1504"/>
      <c r="BT30" s="1499"/>
      <c r="BV30" s="1444"/>
      <c r="BW30" s="1502" t="s">
        <v>147</v>
      </c>
      <c r="BX30" s="95"/>
      <c r="BY30" s="95">
        <f>+BY29-BY31</f>
        <v>13048.805132456902</v>
      </c>
      <c r="BZ30" s="1503" t="s">
        <v>703</v>
      </c>
    </row>
    <row r="31" spans="1:78" ht="12.75" customHeight="1">
      <c r="A31" s="1445"/>
      <c r="B31" s="1446"/>
      <c r="C31" s="1649" t="s">
        <v>817</v>
      </c>
      <c r="D31" s="1649"/>
      <c r="E31" s="1649"/>
      <c r="F31" s="1663"/>
      <c r="G31" s="1647">
        <f t="shared" ref="G31:AX31" si="65">IF(ISBLANK(G174),"",G174)</f>
        <v>42.801333333333332</v>
      </c>
      <c r="H31" s="1646">
        <f t="shared" si="65"/>
        <v>28.54564516129032</v>
      </c>
      <c r="I31" s="1646">
        <f t="shared" si="65"/>
        <v>38.119531250000001</v>
      </c>
      <c r="J31" s="1645">
        <f t="shared" si="65"/>
        <v>33.579047619047621</v>
      </c>
      <c r="K31" s="1647">
        <f t="shared" si="65"/>
        <v>26.340468749999999</v>
      </c>
      <c r="L31" s="1646">
        <f t="shared" si="65"/>
        <v>27.286249999999995</v>
      </c>
      <c r="M31" s="1646">
        <f t="shared" si="65"/>
        <v>33.397500000000015</v>
      </c>
      <c r="N31" s="1645">
        <f t="shared" si="65"/>
        <v>30.906093749999997</v>
      </c>
      <c r="O31" s="1647">
        <f t="shared" si="65"/>
        <v>23.229218750000008</v>
      </c>
      <c r="P31" s="1646">
        <f t="shared" si="65"/>
        <v>12.017692307692307</v>
      </c>
      <c r="Q31" s="1646">
        <f t="shared" si="65"/>
        <v>26.9057142857143</v>
      </c>
      <c r="R31" s="1646">
        <f t="shared" si="65"/>
        <v>29.446000000000005</v>
      </c>
      <c r="S31" s="1647">
        <f t="shared" si="65"/>
        <v>30.320000000000007</v>
      </c>
      <c r="T31" s="1646">
        <f t="shared" si="65"/>
        <v>33.439538461538454</v>
      </c>
      <c r="U31" s="1646">
        <f t="shared" si="65"/>
        <v>42.477500000000006</v>
      </c>
      <c r="V31" s="1664">
        <f t="shared" si="65"/>
        <v>43.603750000000005</v>
      </c>
      <c r="W31" s="1644">
        <f t="shared" si="65"/>
        <v>47.446612903225798</v>
      </c>
      <c r="X31" s="1646">
        <f t="shared" si="65"/>
        <v>33.838307692307687</v>
      </c>
      <c r="Y31" s="1820">
        <f t="shared" si="65"/>
        <v>40.372878787878776</v>
      </c>
      <c r="Z31" s="1821">
        <f t="shared" si="65"/>
        <v>32.739843750000006</v>
      </c>
      <c r="AA31" s="1644">
        <f t="shared" si="65"/>
        <v>20.717049180327873</v>
      </c>
      <c r="AB31" s="1646">
        <f t="shared" si="65"/>
        <v>28.650317460317464</v>
      </c>
      <c r="AC31" s="1820">
        <f t="shared" si="65"/>
        <v>33.344531250000003</v>
      </c>
      <c r="AD31" s="1821">
        <f t="shared" si="65"/>
        <v>21.909841269841273</v>
      </c>
      <c r="AE31" s="1647">
        <f t="shared" si="65"/>
        <v>17.523114754098362</v>
      </c>
      <c r="AF31" s="1643">
        <f t="shared" si="65"/>
        <v>16.668125</v>
      </c>
      <c r="AG31" s="1643">
        <f t="shared" si="65"/>
        <v>32.027968749999999</v>
      </c>
      <c r="AH31" s="1642">
        <f t="shared" si="65"/>
        <v>25.693387096774195</v>
      </c>
      <c r="AI31" s="1643">
        <f t="shared" si="65"/>
        <v>23.318548387096779</v>
      </c>
      <c r="AJ31" s="1643">
        <f t="shared" si="65"/>
        <v>16.274843750000002</v>
      </c>
      <c r="AK31" s="1643">
        <f t="shared" si="65"/>
        <v>38.276507936507947</v>
      </c>
      <c r="AL31" s="1642">
        <f t="shared" si="65"/>
        <v>27.148064516129033</v>
      </c>
      <c r="AM31" s="1643">
        <f t="shared" si="65"/>
        <v>21.811311475409838</v>
      </c>
      <c r="AN31" s="1643">
        <f t="shared" si="65"/>
        <v>13.183333333333332</v>
      </c>
      <c r="AO31" s="1643">
        <f t="shared" si="65"/>
        <v>28.649999999999995</v>
      </c>
      <c r="AP31" s="1642">
        <f t="shared" si="65"/>
        <v>23.75</v>
      </c>
      <c r="AQ31" s="1643">
        <f t="shared" si="65"/>
        <v>27.40712890369376</v>
      </c>
      <c r="AR31" s="1643">
        <f t="shared" si="65"/>
        <v>18.328876562466629</v>
      </c>
      <c r="AS31" s="1643">
        <f t="shared" si="65"/>
        <v>32.290998834121375</v>
      </c>
      <c r="AT31" s="1642">
        <f t="shared" si="65"/>
        <v>22.389662366118252</v>
      </c>
      <c r="AU31" s="1643">
        <f t="shared" si="65"/>
        <v>30.859744810408912</v>
      </c>
      <c r="AV31" s="1643">
        <f t="shared" si="65"/>
        <v>20.637858688765235</v>
      </c>
      <c r="AW31" s="1643">
        <f t="shared" si="65"/>
        <v>36.358860761949288</v>
      </c>
      <c r="AX31" s="1642">
        <f t="shared" si="65"/>
        <v>25.210202405276569</v>
      </c>
      <c r="AY31" s="1643">
        <f t="shared" ref="AY31:BB31" si="66">IF(ISBLANK(AY174),"",AY174)</f>
        <v>33.047766221683759</v>
      </c>
      <c r="AZ31" s="1643">
        <f t="shared" si="66"/>
        <v>22.101126676601996</v>
      </c>
      <c r="BA31" s="1643">
        <f t="shared" si="66"/>
        <v>38.936781166847538</v>
      </c>
      <c r="BB31" s="1642">
        <f t="shared" si="66"/>
        <v>26.997659268066712</v>
      </c>
      <c r="BC31" s="1489"/>
      <c r="BD31" s="1489"/>
      <c r="BE31" s="1489">
        <f t="shared" si="24"/>
        <v>35.761389340917823</v>
      </c>
      <c r="BF31" s="1489">
        <f t="shared" si="25"/>
        <v>29.482578125000003</v>
      </c>
      <c r="BG31" s="1489">
        <f t="shared" si="26"/>
        <v>22.899656335851652</v>
      </c>
      <c r="BH31" s="1499">
        <f t="shared" si="27"/>
        <v>37.460197115384616</v>
      </c>
      <c r="BI31" s="1499">
        <f t="shared" si="28"/>
        <v>38.599410783353065</v>
      </c>
      <c r="BJ31" s="1499">
        <f t="shared" si="29"/>
        <v>26.155434790121653</v>
      </c>
      <c r="BK31" s="1499">
        <f t="shared" si="30"/>
        <v>22.978148900218137</v>
      </c>
      <c r="BL31" s="1499">
        <f t="shared" si="31"/>
        <v>26.254491147433441</v>
      </c>
      <c r="BM31" s="1499">
        <f t="shared" si="32"/>
        <v>21.848661202185792</v>
      </c>
      <c r="BN31" s="1499">
        <f t="shared" si="33"/>
        <v>25.104166666600001</v>
      </c>
      <c r="BO31" s="1499">
        <f t="shared" si="34"/>
        <v>28.266666666600003</v>
      </c>
      <c r="BP31" s="1499">
        <f t="shared" si="35"/>
        <v>30.270833333300001</v>
      </c>
      <c r="BQ31" s="1499"/>
      <c r="BR31" s="1586"/>
      <c r="BS31" s="1504"/>
      <c r="BT31" s="1499"/>
      <c r="BV31" s="1444"/>
      <c r="BW31" s="1846" t="s">
        <v>952</v>
      </c>
      <c r="BX31" s="1505"/>
      <c r="BY31" s="1505">
        <f>BY29-BP232+CA101</f>
        <v>4036.5148738464231</v>
      </c>
      <c r="BZ31" s="1506" t="s">
        <v>703</v>
      </c>
    </row>
    <row r="32" spans="1:78" ht="12.75" customHeight="1">
      <c r="A32" s="1445"/>
      <c r="B32" s="1446"/>
      <c r="C32" s="1649"/>
      <c r="D32" s="1649"/>
      <c r="E32" s="1649"/>
      <c r="F32" s="1666"/>
      <c r="G32" s="1647"/>
      <c r="H32" s="1646"/>
      <c r="I32" s="1646"/>
      <c r="J32" s="1645"/>
      <c r="K32" s="1647"/>
      <c r="L32" s="1646"/>
      <c r="M32" s="1646"/>
      <c r="N32" s="1645"/>
      <c r="O32" s="1647"/>
      <c r="P32" s="1646"/>
      <c r="Q32" s="1646"/>
      <c r="R32" s="1646"/>
      <c r="S32" s="1647"/>
      <c r="T32" s="1643"/>
      <c r="U32" s="1643"/>
      <c r="V32" s="1642"/>
      <c r="W32" s="1643"/>
      <c r="X32" s="1643"/>
      <c r="Y32" s="1820"/>
      <c r="Z32" s="1821"/>
      <c r="AA32" s="1643"/>
      <c r="AB32" s="1643"/>
      <c r="AC32" s="1820"/>
      <c r="AD32" s="1821"/>
      <c r="AE32" s="1647"/>
      <c r="AF32" s="1643"/>
      <c r="AG32" s="1643"/>
      <c r="AH32" s="1642"/>
      <c r="AI32" s="1643"/>
      <c r="AJ32" s="1643"/>
      <c r="AK32" s="1643"/>
      <c r="AL32" s="1642"/>
      <c r="AM32" s="1643"/>
      <c r="AN32" s="1643"/>
      <c r="AO32" s="1643"/>
      <c r="AP32" s="1642"/>
      <c r="AQ32" s="1643"/>
      <c r="AR32" s="1643"/>
      <c r="AS32" s="1643"/>
      <c r="AT32" s="1642"/>
      <c r="AU32" s="1643"/>
      <c r="AV32" s="1643"/>
      <c r="AW32" s="1643"/>
      <c r="AX32" s="1642"/>
      <c r="AY32" s="1643">
        <f t="shared" ref="AY32:BB32" si="67">IF(ISBLANK(AY175),"",AY175)</f>
        <v>17.900765357978706</v>
      </c>
      <c r="AZ32" s="1643">
        <f t="shared" si="67"/>
        <v>18.579634987588069</v>
      </c>
      <c r="BA32" s="1643">
        <f t="shared" si="67"/>
        <v>56.619937670904982</v>
      </c>
      <c r="BB32" s="1642">
        <f t="shared" si="67"/>
        <v>34.536529834328249</v>
      </c>
      <c r="BC32" s="1489"/>
      <c r="BD32" s="1489"/>
      <c r="BE32" s="1489"/>
      <c r="BF32" s="1489"/>
      <c r="BG32" s="1489"/>
      <c r="BH32" s="1499"/>
      <c r="BI32" s="1499"/>
      <c r="BJ32" s="1499"/>
      <c r="BK32" s="1499"/>
      <c r="BL32" s="1499"/>
      <c r="BM32" s="1499"/>
      <c r="BN32" s="1499"/>
      <c r="BO32" s="1499"/>
      <c r="BP32" s="1499"/>
      <c r="BQ32" s="1499"/>
      <c r="BR32" s="1586"/>
      <c r="BS32" s="1511"/>
      <c r="BV32" s="1444"/>
      <c r="BW32" s="1443"/>
      <c r="BX32" s="1443"/>
      <c r="BY32" s="1443"/>
    </row>
    <row r="33" spans="1:105" ht="12.75" customHeight="1">
      <c r="A33" s="1445"/>
      <c r="B33" s="1446"/>
      <c r="C33" s="1667" t="s">
        <v>894</v>
      </c>
      <c r="D33" s="1550"/>
      <c r="E33" s="1550"/>
      <c r="F33" s="1512"/>
      <c r="G33" s="1653"/>
      <c r="H33" s="1654"/>
      <c r="I33" s="1654"/>
      <c r="J33" s="1655"/>
      <c r="K33" s="1653"/>
      <c r="L33" s="1654"/>
      <c r="M33" s="1654"/>
      <c r="N33" s="1655"/>
      <c r="O33" s="1653"/>
      <c r="P33" s="1654"/>
      <c r="Q33" s="1654"/>
      <c r="R33" s="1654"/>
      <c r="S33" s="1668"/>
      <c r="T33" s="1656"/>
      <c r="U33" s="1656"/>
      <c r="V33" s="1658"/>
      <c r="W33" s="1656"/>
      <c r="X33" s="1656"/>
      <c r="Y33" s="1827"/>
      <c r="Z33" s="1697"/>
      <c r="AA33" s="1656"/>
      <c r="AB33" s="1656"/>
      <c r="AC33" s="1827"/>
      <c r="AD33" s="1697"/>
      <c r="AE33" s="1668"/>
      <c r="AF33" s="1660"/>
      <c r="AG33" s="1660"/>
      <c r="AH33" s="1659"/>
      <c r="AI33" s="1660"/>
      <c r="AJ33" s="1660"/>
      <c r="AK33" s="1660"/>
      <c r="AL33" s="1659"/>
      <c r="AM33" s="1660"/>
      <c r="AN33" s="1660"/>
      <c r="AO33" s="1660"/>
      <c r="AP33" s="1659"/>
      <c r="AQ33" s="1660"/>
      <c r="AR33" s="1660"/>
      <c r="AS33" s="1660"/>
      <c r="AT33" s="1659"/>
      <c r="AU33" s="1660"/>
      <c r="AV33" s="1660"/>
      <c r="AW33" s="1660"/>
      <c r="AX33" s="1659"/>
      <c r="AY33" s="1660" t="str">
        <f t="shared" ref="AY33:BB33" si="68">IF(ISBLANK(AY176),"",AY176)</f>
        <v/>
      </c>
      <c r="AZ33" s="1660" t="str">
        <f t="shared" si="68"/>
        <v/>
      </c>
      <c r="BA33" s="1660" t="str">
        <f t="shared" si="68"/>
        <v/>
      </c>
      <c r="BB33" s="1659" t="str">
        <f t="shared" si="68"/>
        <v/>
      </c>
      <c r="BC33" s="1494"/>
      <c r="BD33" s="1494"/>
      <c r="BE33" s="1494"/>
      <c r="BF33" s="1494"/>
      <c r="BG33" s="1494"/>
      <c r="BH33" s="1494"/>
      <c r="BI33" s="1494"/>
      <c r="BJ33" s="1513"/>
      <c r="BK33" s="1494"/>
      <c r="BL33" s="1494"/>
      <c r="BM33" s="1494"/>
      <c r="BN33" s="1494"/>
      <c r="BO33" s="1494"/>
      <c r="BP33" s="1494"/>
      <c r="BQ33" s="1494"/>
      <c r="BR33" s="1476"/>
      <c r="BS33" s="1511"/>
      <c r="BV33" s="1444"/>
      <c r="BW33" s="1443"/>
      <c r="BX33" s="1443"/>
      <c r="BY33" s="1443"/>
    </row>
    <row r="34" spans="1:105" ht="12.75" customHeight="1">
      <c r="A34" s="1445"/>
      <c r="B34" s="1446"/>
      <c r="C34" s="1649" t="s">
        <v>803</v>
      </c>
      <c r="D34" s="1649"/>
      <c r="E34" s="1649"/>
      <c r="F34" s="1663"/>
      <c r="G34" s="1647">
        <f t="shared" ref="G34:AX34" si="69">IF(ISBLANK(G177),"",G177)</f>
        <v>39.802860187553279</v>
      </c>
      <c r="H34" s="1646">
        <f t="shared" si="69"/>
        <v>38.409404761904753</v>
      </c>
      <c r="I34" s="1646">
        <f t="shared" si="69"/>
        <v>41.222355072463778</v>
      </c>
      <c r="J34" s="1645">
        <f t="shared" si="69"/>
        <v>42.090868115942037</v>
      </c>
      <c r="K34" s="1647">
        <f t="shared" si="69"/>
        <v>51.30131863929148</v>
      </c>
      <c r="L34" s="1646">
        <f t="shared" si="69"/>
        <v>37.850595238095231</v>
      </c>
      <c r="M34" s="1646">
        <f t="shared" si="69"/>
        <v>39.460384963768135</v>
      </c>
      <c r="N34" s="1645">
        <f t="shared" si="69"/>
        <v>32.516622101449258</v>
      </c>
      <c r="O34" s="1647">
        <f t="shared" si="69"/>
        <v>27.601070632266282</v>
      </c>
      <c r="P34" s="1646">
        <f t="shared" si="69"/>
        <v>22.926753663003662</v>
      </c>
      <c r="Q34" s="1646">
        <f t="shared" si="69"/>
        <v>30.926911231884059</v>
      </c>
      <c r="R34" s="1646">
        <f t="shared" si="69"/>
        <v>38.427999456521725</v>
      </c>
      <c r="S34" s="1647">
        <f t="shared" si="69"/>
        <v>72.617844806763287</v>
      </c>
      <c r="T34" s="1646">
        <f t="shared" si="69"/>
        <v>34.133154761904763</v>
      </c>
      <c r="U34" s="1646">
        <f t="shared" si="69"/>
        <v>30.454148550724629</v>
      </c>
      <c r="V34" s="1664">
        <f t="shared" si="69"/>
        <v>51.12213387681161</v>
      </c>
      <c r="W34" s="1662">
        <f t="shared" si="69"/>
        <v>125.17613546698865</v>
      </c>
      <c r="X34" s="1646">
        <f t="shared" si="69"/>
        <v>32.324491758241756</v>
      </c>
      <c r="Y34" s="1820">
        <f t="shared" si="69"/>
        <v>26.776259057971</v>
      </c>
      <c r="Z34" s="1821">
        <f t="shared" si="69"/>
        <v>31.050057065217377</v>
      </c>
      <c r="AA34" s="1662">
        <f t="shared" si="69"/>
        <v>74.709404790660244</v>
      </c>
      <c r="AB34" s="1646">
        <f t="shared" si="69"/>
        <v>18.747051282051284</v>
      </c>
      <c r="AC34" s="1820">
        <f t="shared" si="69"/>
        <v>22.344044384057977</v>
      </c>
      <c r="AD34" s="1821">
        <f t="shared" si="69"/>
        <v>20.198206884057964</v>
      </c>
      <c r="AE34" s="1647">
        <f t="shared" si="69"/>
        <v>22.403306059882148</v>
      </c>
      <c r="AF34" s="1643">
        <f t="shared" si="69"/>
        <v>18.611707875457874</v>
      </c>
      <c r="AG34" s="1643">
        <f t="shared" si="69"/>
        <v>21.732721920289862</v>
      </c>
      <c r="AH34" s="1642">
        <f t="shared" si="69"/>
        <v>28.745413949275392</v>
      </c>
      <c r="AI34" s="1643">
        <f t="shared" si="69"/>
        <v>30.265937600644122</v>
      </c>
      <c r="AJ34" s="1643">
        <f t="shared" si="69"/>
        <v>22.968333333333337</v>
      </c>
      <c r="AK34" s="1643">
        <f t="shared" si="69"/>
        <v>19.421938405797103</v>
      </c>
      <c r="AL34" s="1642">
        <f t="shared" si="69"/>
        <v>41.756125543478241</v>
      </c>
      <c r="AM34" s="1643">
        <f t="shared" si="69"/>
        <v>55.496529991948492</v>
      </c>
      <c r="AN34" s="1643">
        <f t="shared" si="69"/>
        <v>24.166666666666668</v>
      </c>
      <c r="AO34" s="1643">
        <f t="shared" si="69"/>
        <v>23.3</v>
      </c>
      <c r="AP34" s="1642">
        <f t="shared" si="69"/>
        <v>33.699999999999996</v>
      </c>
      <c r="AQ34" s="1643">
        <f t="shared" si="69"/>
        <v>56.863680246618699</v>
      </c>
      <c r="AR34" s="1643">
        <f t="shared" si="69"/>
        <v>22.402357917897525</v>
      </c>
      <c r="AS34" s="1643">
        <f t="shared" si="69"/>
        <v>23.701528116853666</v>
      </c>
      <c r="AT34" s="1642">
        <f t="shared" si="69"/>
        <v>32.932400385030085</v>
      </c>
      <c r="AU34" s="1643">
        <f t="shared" si="69"/>
        <v>56.696324969164479</v>
      </c>
      <c r="AV34" s="1643">
        <f t="shared" si="69"/>
        <v>22.336425624934453</v>
      </c>
      <c r="AW34" s="1643">
        <f t="shared" si="69"/>
        <v>23.631772241101658</v>
      </c>
      <c r="AX34" s="1642">
        <f t="shared" si="69"/>
        <v>32.8354771647994</v>
      </c>
      <c r="AY34" s="1643">
        <f t="shared" ref="AY34:BB34" si="70">IF(ISBLANK(AY177),"",AY177)</f>
        <v>57.030965787007425</v>
      </c>
      <c r="AZ34" s="1643">
        <f t="shared" si="70"/>
        <v>22.468262736826301</v>
      </c>
      <c r="BA34" s="1643">
        <f t="shared" si="70"/>
        <v>23.771254925281653</v>
      </c>
      <c r="BB34" s="1642">
        <f t="shared" si="70"/>
        <v>33.0292832172846</v>
      </c>
      <c r="BC34" s="1489"/>
      <c r="BD34" s="1489"/>
      <c r="BE34" s="1489">
        <f t="shared" ref="BE34:BE49" si="71">AVERAGE(G34:J34)</f>
        <v>40.381372034465961</v>
      </c>
      <c r="BF34" s="1489">
        <f t="shared" ref="BF34:BF49" si="72">AVERAGE(K34:N34)</f>
        <v>40.282230235651021</v>
      </c>
      <c r="BG34" s="1489">
        <f t="shared" ref="BG34:BG49" si="73">AVERAGE(O34:R34)</f>
        <v>29.970683745918933</v>
      </c>
      <c r="BH34" s="1489">
        <f t="shared" ref="BH34:BH49" si="74">AVERAGE(S34:V34)</f>
        <v>47.081820499051069</v>
      </c>
      <c r="BI34" s="1489">
        <f t="shared" ref="BI34:BI49" si="75">AVERAGE(W34:Z34)</f>
        <v>53.831735837104695</v>
      </c>
      <c r="BJ34" s="1489">
        <f t="shared" ref="BJ34:BJ49" si="76">AVERAGE(AA34:AD34)</f>
        <v>33.99967683520687</v>
      </c>
      <c r="BK34" s="1499">
        <f t="shared" ref="BK34:BK49" si="77">AVERAGE(AE34:AH34)</f>
        <v>22.873287451226318</v>
      </c>
      <c r="BL34" s="1499">
        <f t="shared" ref="BL34:BL49" si="78">AVERAGE(AI34:AL34)</f>
        <v>28.603083720813203</v>
      </c>
      <c r="BM34" s="1499">
        <f t="shared" ref="BM34:BM49" si="79">AVERAGE(AM34:AP34)</f>
        <v>34.165799164653791</v>
      </c>
      <c r="BN34" s="1499">
        <f t="shared" ref="BN34:BN49" si="80">AVERAGE(AQ34:AT34)</f>
        <v>33.974991666599998</v>
      </c>
      <c r="BO34" s="1499">
        <f t="shared" ref="BO34:BO49" si="81">AVERAGE(AU34:AX34)</f>
        <v>33.875</v>
      </c>
      <c r="BP34" s="1499">
        <f t="shared" ref="BP34:BP49" si="82">AVERAGE(AY34:BB34)</f>
        <v>34.074941666599997</v>
      </c>
      <c r="BQ34" s="1499"/>
      <c r="BR34" s="1586"/>
      <c r="BS34" s="1514"/>
      <c r="BT34" s="1515"/>
      <c r="BV34" s="1444"/>
      <c r="BW34" s="1464" t="s">
        <v>148</v>
      </c>
      <c r="BX34" s="1443"/>
      <c r="BY34" s="1443"/>
    </row>
    <row r="35" spans="1:105" ht="12.75" customHeight="1">
      <c r="A35" s="1445"/>
      <c r="B35" s="1446"/>
      <c r="C35" s="1649" t="s">
        <v>804</v>
      </c>
      <c r="D35" s="1649"/>
      <c r="E35" s="1649"/>
      <c r="F35" s="1663"/>
      <c r="G35" s="1647">
        <f t="shared" ref="G35:AX35" si="83">IF(ISBLANK(G178),"",G178)</f>
        <v>29.412255701193526</v>
      </c>
      <c r="H35" s="1646">
        <f t="shared" si="83"/>
        <v>32.835989010988996</v>
      </c>
      <c r="I35" s="1646">
        <f t="shared" si="83"/>
        <v>38.537432065217374</v>
      </c>
      <c r="J35" s="1645">
        <f t="shared" si="83"/>
        <v>34.208417028985515</v>
      </c>
      <c r="K35" s="1647">
        <f t="shared" si="83"/>
        <v>35.779313405797105</v>
      </c>
      <c r="L35" s="1646">
        <f t="shared" si="83"/>
        <v>31.184803113553112</v>
      </c>
      <c r="M35" s="1646">
        <f t="shared" si="83"/>
        <v>33.652490942028983</v>
      </c>
      <c r="N35" s="1645">
        <f t="shared" si="83"/>
        <v>27.712640036231885</v>
      </c>
      <c r="O35" s="1647">
        <f t="shared" si="83"/>
        <v>23.968829033285562</v>
      </c>
      <c r="P35" s="1646">
        <f t="shared" si="83"/>
        <v>20.569913003663</v>
      </c>
      <c r="Q35" s="1646">
        <f t="shared" si="83"/>
        <v>27.271308876811592</v>
      </c>
      <c r="R35" s="1646">
        <f t="shared" si="83"/>
        <v>30.6151650362319</v>
      </c>
      <c r="S35" s="1647">
        <f t="shared" si="83"/>
        <v>35.609952294685982</v>
      </c>
      <c r="T35" s="1646">
        <f t="shared" si="83"/>
        <v>28.352330586080591</v>
      </c>
      <c r="U35" s="1646">
        <f t="shared" si="83"/>
        <v>26.087404891304349</v>
      </c>
      <c r="V35" s="1664">
        <f t="shared" si="83"/>
        <v>29.252230615942018</v>
      </c>
      <c r="W35" s="1662">
        <f t="shared" si="83"/>
        <v>74.738565619967801</v>
      </c>
      <c r="X35" s="1646">
        <f t="shared" si="83"/>
        <v>27.261304945054935</v>
      </c>
      <c r="Y35" s="1820">
        <f t="shared" si="83"/>
        <v>23.849180253623189</v>
      </c>
      <c r="Z35" s="1821">
        <f t="shared" si="83"/>
        <v>21.799227355072471</v>
      </c>
      <c r="AA35" s="1662">
        <f t="shared" si="83"/>
        <v>37.643325281803556</v>
      </c>
      <c r="AB35" s="1646">
        <f t="shared" si="83"/>
        <v>18.227133699633701</v>
      </c>
      <c r="AC35" s="1820">
        <f t="shared" si="83"/>
        <v>20.449230072463759</v>
      </c>
      <c r="AD35" s="1821">
        <f t="shared" si="83"/>
        <v>14.298236956521748</v>
      </c>
      <c r="AE35" s="1647">
        <f t="shared" si="83"/>
        <v>13.624288899506292</v>
      </c>
      <c r="AF35" s="1643">
        <f t="shared" si="83"/>
        <v>15.5952152014652</v>
      </c>
      <c r="AG35" s="1643">
        <f t="shared" si="83"/>
        <v>19.290855978260876</v>
      </c>
      <c r="AH35" s="1642">
        <f t="shared" si="83"/>
        <v>17.244110869565226</v>
      </c>
      <c r="AI35" s="1643">
        <f t="shared" si="83"/>
        <v>19.385393719806771</v>
      </c>
      <c r="AJ35" s="1643">
        <f t="shared" si="83"/>
        <v>14.500613553113546</v>
      </c>
      <c r="AK35" s="1643">
        <f t="shared" si="83"/>
        <v>17.318980978260868</v>
      </c>
      <c r="AL35" s="1642">
        <f t="shared" si="83"/>
        <v>19.652653804347828</v>
      </c>
      <c r="AM35" s="1643">
        <f t="shared" si="83"/>
        <v>32.735488727858289</v>
      </c>
      <c r="AN35" s="1643">
        <f t="shared" si="83"/>
        <v>32.93333333333333</v>
      </c>
      <c r="AO35" s="1643">
        <f t="shared" si="83"/>
        <v>29.3</v>
      </c>
      <c r="AP35" s="1642">
        <f t="shared" si="83"/>
        <v>33.083333333333336</v>
      </c>
      <c r="AQ35" s="1643">
        <f t="shared" si="83"/>
        <v>50.208915257706202</v>
      </c>
      <c r="AR35" s="1643">
        <f t="shared" si="83"/>
        <v>32.014743875122768</v>
      </c>
      <c r="AS35" s="1643">
        <f t="shared" si="83"/>
        <v>27.396223447236203</v>
      </c>
      <c r="AT35" s="1642">
        <f t="shared" si="83"/>
        <v>24.304750753134826</v>
      </c>
      <c r="AU35" s="1643">
        <f t="shared" si="83"/>
        <v>49.683624405377643</v>
      </c>
      <c r="AV35" s="1643">
        <f t="shared" si="83"/>
        <v>31.679802321198988</v>
      </c>
      <c r="AW35" s="1643">
        <f t="shared" si="83"/>
        <v>27.109601330599784</v>
      </c>
      <c r="AX35" s="1642">
        <f t="shared" si="83"/>
        <v>24.050471942823588</v>
      </c>
      <c r="AY35" s="1643">
        <f t="shared" ref="AY35:BB35" si="84">IF(ISBLANK(AY178),"",AY178)</f>
        <v>49.75851777917272</v>
      </c>
      <c r="AZ35" s="1643">
        <f t="shared" si="84"/>
        <v>31.727556632712918</v>
      </c>
      <c r="BA35" s="1643">
        <f t="shared" si="84"/>
        <v>27.150466495534658</v>
      </c>
      <c r="BB35" s="1642">
        <f t="shared" si="84"/>
        <v>24.0867257589797</v>
      </c>
      <c r="BC35" s="1489"/>
      <c r="BD35" s="1489"/>
      <c r="BE35" s="1489">
        <f t="shared" si="71"/>
        <v>33.748523451596355</v>
      </c>
      <c r="BF35" s="1489">
        <f t="shared" si="72"/>
        <v>32.08231187440277</v>
      </c>
      <c r="BG35" s="1489">
        <f t="shared" si="73"/>
        <v>25.606303987498013</v>
      </c>
      <c r="BH35" s="1489">
        <f t="shared" si="74"/>
        <v>29.825479597003238</v>
      </c>
      <c r="BI35" s="1489">
        <f t="shared" si="75"/>
        <v>36.912069543429595</v>
      </c>
      <c r="BJ35" s="1489">
        <f t="shared" si="76"/>
        <v>22.654481502605691</v>
      </c>
      <c r="BK35" s="1499">
        <f t="shared" si="77"/>
        <v>16.438617737199401</v>
      </c>
      <c r="BL35" s="1499">
        <f t="shared" si="78"/>
        <v>17.714410513882253</v>
      </c>
      <c r="BM35" s="1499">
        <f t="shared" si="79"/>
        <v>32.01303884863124</v>
      </c>
      <c r="BN35" s="1499">
        <f t="shared" si="80"/>
        <v>33.481158333300002</v>
      </c>
      <c r="BO35" s="1499">
        <f t="shared" si="81"/>
        <v>33.130875000000003</v>
      </c>
      <c r="BP35" s="1499">
        <f t="shared" si="82"/>
        <v>33.180816666600002</v>
      </c>
      <c r="BQ35" s="1499"/>
      <c r="BR35" s="1586"/>
      <c r="BS35" s="1514"/>
      <c r="BT35" s="1515"/>
      <c r="BV35" s="1444"/>
      <c r="BW35" s="1492" t="s">
        <v>149</v>
      </c>
      <c r="BX35" s="1492" t="s">
        <v>951</v>
      </c>
      <c r="BY35" s="1701">
        <v>2019</v>
      </c>
      <c r="BZ35" s="1701" t="s">
        <v>84</v>
      </c>
      <c r="CA35" s="1701" t="s">
        <v>85</v>
      </c>
      <c r="CB35" s="1701" t="s">
        <v>86</v>
      </c>
      <c r="CC35" s="1701" t="s">
        <v>87</v>
      </c>
      <c r="CD35" s="1701" t="s">
        <v>88</v>
      </c>
    </row>
    <row r="36" spans="1:105" ht="12.75" customHeight="1">
      <c r="A36" s="1445"/>
      <c r="B36" s="1446"/>
      <c r="C36" s="1649" t="s">
        <v>805</v>
      </c>
      <c r="D36" s="1649"/>
      <c r="E36" s="1649"/>
      <c r="F36" s="1663"/>
      <c r="G36" s="1647">
        <f t="shared" ref="G36:AX36" si="85">IF(ISBLANK(G179),"",G179)</f>
        <v>39.81077312446719</v>
      </c>
      <c r="H36" s="1646">
        <f t="shared" si="85"/>
        <v>38.993859890109889</v>
      </c>
      <c r="I36" s="1646">
        <f t="shared" si="85"/>
        <v>43.926820652173916</v>
      </c>
      <c r="J36" s="1645">
        <f t="shared" si="85"/>
        <v>40.879857427536237</v>
      </c>
      <c r="K36" s="1647">
        <f t="shared" si="85"/>
        <v>49.229429347826084</v>
      </c>
      <c r="L36" s="1646">
        <f t="shared" si="85"/>
        <v>35.886799450549439</v>
      </c>
      <c r="M36" s="1646">
        <f t="shared" si="85"/>
        <v>39.740421195652168</v>
      </c>
      <c r="N36" s="1645">
        <f t="shared" si="85"/>
        <v>30.484731521739121</v>
      </c>
      <c r="O36" s="1647">
        <f t="shared" si="85"/>
        <v>27.569314580347193</v>
      </c>
      <c r="P36" s="1646">
        <f t="shared" si="85"/>
        <v>22.281291208791199</v>
      </c>
      <c r="Q36" s="1646">
        <f t="shared" si="85"/>
        <v>30.822210144927531</v>
      </c>
      <c r="R36" s="1646">
        <f t="shared" si="85"/>
        <v>36.205649818840577</v>
      </c>
      <c r="S36" s="1647">
        <f t="shared" si="85"/>
        <v>56.707361111111105</v>
      </c>
      <c r="T36" s="1646">
        <f t="shared" si="85"/>
        <v>33.444134615384613</v>
      </c>
      <c r="U36" s="1646">
        <f t="shared" si="85"/>
        <v>31.241820652173907</v>
      </c>
      <c r="V36" s="1664">
        <f t="shared" si="85"/>
        <v>36.510255434782614</v>
      </c>
      <c r="W36" s="1662">
        <f t="shared" si="85"/>
        <v>104.25991747181963</v>
      </c>
      <c r="X36" s="1646">
        <f t="shared" si="85"/>
        <v>30.387303113553116</v>
      </c>
      <c r="Y36" s="1820">
        <f t="shared" si="85"/>
        <v>25.834510869565232</v>
      </c>
      <c r="Z36" s="1821">
        <f t="shared" si="85"/>
        <v>26.259342210144922</v>
      </c>
      <c r="AA36" s="1662">
        <f t="shared" si="85"/>
        <v>58.731627415458931</v>
      </c>
      <c r="AB36" s="1646">
        <f t="shared" si="85"/>
        <v>19.32760989010988</v>
      </c>
      <c r="AC36" s="1820">
        <f t="shared" si="85"/>
        <v>22.11728713768116</v>
      </c>
      <c r="AD36" s="1821">
        <f t="shared" si="85"/>
        <v>17.28061014492754</v>
      </c>
      <c r="AE36" s="1647">
        <f t="shared" si="85"/>
        <v>20.397999084249086</v>
      </c>
      <c r="AF36" s="1643">
        <f t="shared" si="85"/>
        <v>19.320544871794873</v>
      </c>
      <c r="AG36" s="1643">
        <f t="shared" si="85"/>
        <v>22.198464673913044</v>
      </c>
      <c r="AH36" s="1642">
        <f t="shared" si="85"/>
        <v>25.744134963768118</v>
      </c>
      <c r="AI36" s="1643">
        <f t="shared" si="85"/>
        <v>29.326884259259263</v>
      </c>
      <c r="AJ36" s="1643">
        <f t="shared" si="85"/>
        <v>21.279184981684978</v>
      </c>
      <c r="AK36" s="1643">
        <f t="shared" si="85"/>
        <v>19.207495471014489</v>
      </c>
      <c r="AL36" s="1642">
        <f t="shared" si="85"/>
        <v>28.660226630434785</v>
      </c>
      <c r="AM36" s="1643">
        <f t="shared" si="85"/>
        <v>44.676771739130423</v>
      </c>
      <c r="AN36" s="1643">
        <f t="shared" si="85"/>
        <v>38.200000000000003</v>
      </c>
      <c r="AO36" s="1643">
        <f t="shared" si="85"/>
        <v>32.6</v>
      </c>
      <c r="AP36" s="1642">
        <f t="shared" si="85"/>
        <v>41.800000000000004</v>
      </c>
      <c r="AQ36" s="1643">
        <f t="shared" si="85"/>
        <v>67.7166668198211</v>
      </c>
      <c r="AR36" s="1643">
        <f t="shared" si="85"/>
        <v>38.042079509049643</v>
      </c>
      <c r="AS36" s="1643">
        <f t="shared" si="85"/>
        <v>31.175086966580828</v>
      </c>
      <c r="AT36" s="1642">
        <f t="shared" si="85"/>
        <v>28.982800037748426</v>
      </c>
      <c r="AU36" s="1643">
        <f t="shared" si="85"/>
        <v>68.226851296430993</v>
      </c>
      <c r="AV36" s="1643">
        <f t="shared" si="85"/>
        <v>38.328692529668608</v>
      </c>
      <c r="AW36" s="1643">
        <f t="shared" si="85"/>
        <v>31.409963344498731</v>
      </c>
      <c r="AX36" s="1642">
        <f t="shared" si="85"/>
        <v>29.201159495801665</v>
      </c>
      <c r="AY36" s="1643">
        <f t="shared" ref="AY36:BB36" si="86">IF(ISBLANK(AY179),"",AY179)</f>
        <v>68.716520101812705</v>
      </c>
      <c r="AZ36" s="1643">
        <f t="shared" si="86"/>
        <v>38.603780192754527</v>
      </c>
      <c r="BA36" s="1643">
        <f t="shared" si="86"/>
        <v>31.635394812252667</v>
      </c>
      <c r="BB36" s="1642">
        <f t="shared" si="86"/>
        <v>29.410738226380104</v>
      </c>
      <c r="BC36" s="1489"/>
      <c r="BD36" s="1489"/>
      <c r="BE36" s="1489">
        <f t="shared" si="71"/>
        <v>40.902827773571808</v>
      </c>
      <c r="BF36" s="1489">
        <f t="shared" si="72"/>
        <v>38.835345378941703</v>
      </c>
      <c r="BG36" s="1489">
        <f t="shared" si="73"/>
        <v>29.219616438226623</v>
      </c>
      <c r="BH36" s="1489">
        <f t="shared" si="74"/>
        <v>39.475892953363058</v>
      </c>
      <c r="BI36" s="1489">
        <f t="shared" si="75"/>
        <v>46.685268416270723</v>
      </c>
      <c r="BJ36" s="1489">
        <f t="shared" si="76"/>
        <v>29.364283647044378</v>
      </c>
      <c r="BK36" s="1499">
        <f t="shared" si="77"/>
        <v>21.915285898431279</v>
      </c>
      <c r="BL36" s="1499">
        <f t="shared" si="78"/>
        <v>24.618447835598374</v>
      </c>
      <c r="BM36" s="1499">
        <f t="shared" si="79"/>
        <v>39.319192934782606</v>
      </c>
      <c r="BN36" s="1499">
        <f t="shared" si="80"/>
        <v>41.479158333299999</v>
      </c>
      <c r="BO36" s="1499">
        <f t="shared" si="81"/>
        <v>41.791666666600001</v>
      </c>
      <c r="BP36" s="1499">
        <f t="shared" si="82"/>
        <v>42.091608333300002</v>
      </c>
      <c r="BQ36" s="1499"/>
      <c r="BR36" s="1586"/>
      <c r="BS36" s="1514"/>
      <c r="BT36" s="1515"/>
      <c r="BV36" s="1444"/>
      <c r="BW36" s="1507" t="s">
        <v>807</v>
      </c>
      <c r="BX36" s="1310">
        <f>BY36+CA102</f>
        <v>14319.999999999998</v>
      </c>
      <c r="BY36" s="1310">
        <f>((CA36*4/1000)+CC36)/CB36*1000</f>
        <v>14319.999999999998</v>
      </c>
      <c r="BZ36" s="1924">
        <f>HLOOKUP(CB36,$CA$53:$CY$58,CA54,TRUE)</f>
        <v>0.5357142857142857</v>
      </c>
      <c r="CA36" s="1310">
        <v>11200</v>
      </c>
      <c r="CB36" s="1702">
        <f>$BX$8+$BY$58</f>
        <v>2.5</v>
      </c>
      <c r="CC36" s="1702">
        <f>BZ36*(CB36-4)*CA36/1000</f>
        <v>-9</v>
      </c>
      <c r="CD36" s="1702">
        <f>(BY36*CB36-4*CA36)/1000</f>
        <v>-9.0000000000000071</v>
      </c>
    </row>
    <row r="37" spans="1:105" ht="12.75" customHeight="1">
      <c r="A37" s="1445"/>
      <c r="B37" s="1446"/>
      <c r="C37" s="1665" t="s">
        <v>806</v>
      </c>
      <c r="D37" s="1649"/>
      <c r="E37" s="1649"/>
      <c r="F37" s="1663"/>
      <c r="G37" s="1647">
        <f t="shared" ref="G37:AX37" si="87">IF(ISBLANK(G180),"",G180)</f>
        <v>40.692399563086099</v>
      </c>
      <c r="H37" s="1646">
        <f t="shared" si="87"/>
        <v>41.705434981684988</v>
      </c>
      <c r="I37" s="1646">
        <f t="shared" si="87"/>
        <v>47.003220108695643</v>
      </c>
      <c r="J37" s="1645">
        <f t="shared" si="87"/>
        <v>41.219209057971007</v>
      </c>
      <c r="K37" s="1647">
        <f t="shared" si="87"/>
        <v>51.080749798711743</v>
      </c>
      <c r="L37" s="1646">
        <f t="shared" si="87"/>
        <v>37.080599816849826</v>
      </c>
      <c r="M37" s="1646">
        <f t="shared" si="87"/>
        <v>42.037432065217381</v>
      </c>
      <c r="N37" s="1645">
        <f t="shared" si="87"/>
        <v>30.768373369565197</v>
      </c>
      <c r="O37" s="1647">
        <f t="shared" si="87"/>
        <v>28.248588549132045</v>
      </c>
      <c r="P37" s="1646">
        <f t="shared" si="87"/>
        <v>22.741620879120877</v>
      </c>
      <c r="Q37" s="1646">
        <f t="shared" si="87"/>
        <v>32.049044384057972</v>
      </c>
      <c r="R37" s="1646">
        <f t="shared" si="87"/>
        <v>36.959637137681163</v>
      </c>
      <c r="S37" s="1647">
        <f t="shared" si="87"/>
        <v>58.074166062801964</v>
      </c>
      <c r="T37" s="1646">
        <f t="shared" si="87"/>
        <v>34.010100732600726</v>
      </c>
      <c r="U37" s="1646">
        <f t="shared" si="87"/>
        <v>33.497015398550722</v>
      </c>
      <c r="V37" s="1664">
        <f t="shared" si="87"/>
        <v>35.902980434782606</v>
      </c>
      <c r="W37" s="1662">
        <f t="shared" si="87"/>
        <v>104.53095511272141</v>
      </c>
      <c r="X37" s="1646">
        <f t="shared" si="87"/>
        <v>30.633470695970686</v>
      </c>
      <c r="Y37" s="1820">
        <f t="shared" si="87"/>
        <v>26.27728260869565</v>
      </c>
      <c r="Z37" s="1821">
        <f t="shared" si="87"/>
        <v>26.346719927536238</v>
      </c>
      <c r="AA37" s="1662">
        <f t="shared" si="87"/>
        <v>59.086149154589357</v>
      </c>
      <c r="AB37" s="1646">
        <f t="shared" si="87"/>
        <v>19.830306776556778</v>
      </c>
      <c r="AC37" s="1820">
        <f t="shared" si="87"/>
        <v>23.797971014492759</v>
      </c>
      <c r="AD37" s="1821">
        <f t="shared" si="87"/>
        <v>17.491895833333331</v>
      </c>
      <c r="AE37" s="1647">
        <f t="shared" si="87"/>
        <v>21.25929785793916</v>
      </c>
      <c r="AF37" s="1643">
        <f t="shared" si="87"/>
        <v>20.53872252747253</v>
      </c>
      <c r="AG37" s="1643">
        <f t="shared" si="87"/>
        <v>24.140729166666659</v>
      </c>
      <c r="AH37" s="1642">
        <f t="shared" si="87"/>
        <v>25.848853442028986</v>
      </c>
      <c r="AI37" s="1643">
        <f t="shared" si="87"/>
        <v>29.471096215781014</v>
      </c>
      <c r="AJ37" s="1643">
        <f t="shared" si="87"/>
        <v>22.852271062271065</v>
      </c>
      <c r="AK37" s="1643">
        <f t="shared" si="87"/>
        <v>20.054769021739126</v>
      </c>
      <c r="AL37" s="1642">
        <f t="shared" si="87"/>
        <v>29.040597463768133</v>
      </c>
      <c r="AM37" s="1643">
        <f t="shared" si="87"/>
        <v>46.970595410628015</v>
      </c>
      <c r="AN37" s="1643">
        <f t="shared" si="87"/>
        <v>39.85</v>
      </c>
      <c r="AO37" s="1643">
        <f t="shared" si="87"/>
        <v>34.283333333333331</v>
      </c>
      <c r="AP37" s="1642">
        <f t="shared" si="87"/>
        <v>43.066666666666663</v>
      </c>
      <c r="AQ37" s="1643">
        <f t="shared" si="87"/>
        <v>70.748332973984347</v>
      </c>
      <c r="AR37" s="1643">
        <f t="shared" si="87"/>
        <v>40.060601265759729</v>
      </c>
      <c r="AS37" s="1643">
        <f t="shared" si="87"/>
        <v>33.256854743843881</v>
      </c>
      <c r="AT37" s="1642">
        <f t="shared" si="87"/>
        <v>29.784177682812054</v>
      </c>
      <c r="AU37" s="1643">
        <f t="shared" si="87"/>
        <v>71.419814884174826</v>
      </c>
      <c r="AV37" s="1643">
        <f t="shared" si="87"/>
        <v>40.440821801432321</v>
      </c>
      <c r="AW37" s="1643">
        <f t="shared" si="87"/>
        <v>33.572500009415513</v>
      </c>
      <c r="AX37" s="1642">
        <f t="shared" si="87"/>
        <v>30.066863304977336</v>
      </c>
      <c r="AY37" s="1643">
        <f t="shared" ref="AY37:BB37" si="88">IF(ISBLANK(AY180),"",AY180)</f>
        <v>72.233620953267874</v>
      </c>
      <c r="AZ37" s="1643">
        <f t="shared" si="88"/>
        <v>40.901632100009685</v>
      </c>
      <c r="BA37" s="1643">
        <f t="shared" si="88"/>
        <v>33.955047966261908</v>
      </c>
      <c r="BB37" s="1642">
        <f t="shared" si="88"/>
        <v>30.409465646860522</v>
      </c>
      <c r="BC37" s="1489"/>
      <c r="BD37" s="1489"/>
      <c r="BE37" s="1489">
        <f t="shared" si="71"/>
        <v>42.655065927859432</v>
      </c>
      <c r="BF37" s="1489">
        <f t="shared" si="72"/>
        <v>40.24178876258604</v>
      </c>
      <c r="BG37" s="1489">
        <f t="shared" si="73"/>
        <v>29.999722737498018</v>
      </c>
      <c r="BH37" s="1489">
        <f t="shared" si="74"/>
        <v>40.371065657184005</v>
      </c>
      <c r="BI37" s="1489">
        <f t="shared" si="75"/>
        <v>46.947107086231</v>
      </c>
      <c r="BJ37" s="1489">
        <f t="shared" si="76"/>
        <v>30.051580694743055</v>
      </c>
      <c r="BK37" s="1499">
        <f t="shared" si="77"/>
        <v>22.946900748526833</v>
      </c>
      <c r="BL37" s="1499">
        <f t="shared" si="78"/>
        <v>25.354683440889836</v>
      </c>
      <c r="BM37" s="1499">
        <f t="shared" si="79"/>
        <v>41.042648852657003</v>
      </c>
      <c r="BN37" s="1499">
        <f t="shared" si="80"/>
        <v>43.462491666600002</v>
      </c>
      <c r="BO37" s="1499">
        <f t="shared" si="81"/>
        <v>43.875</v>
      </c>
      <c r="BP37" s="1499">
        <f t="shared" si="82"/>
        <v>44.374941666599995</v>
      </c>
      <c r="BQ37" s="1499"/>
      <c r="BR37" s="1586"/>
      <c r="BS37" s="1514"/>
      <c r="BT37" s="1515"/>
      <c r="BV37" s="1444"/>
      <c r="BW37" s="1507" t="s">
        <v>693</v>
      </c>
      <c r="BX37" s="1310">
        <f>BY37+CA103</f>
        <v>14408.571428571429</v>
      </c>
      <c r="BY37" s="1310">
        <f>((CA37*4/1000)+CC37)/CB37*1000</f>
        <v>14408.571428571429</v>
      </c>
      <c r="BZ37" s="1924">
        <f>HLOOKUP(CB37,$CA$53:$CY$58,CA55,TRUE)</f>
        <v>0.7142857142857143</v>
      </c>
      <c r="CA37" s="1310">
        <v>12300</v>
      </c>
      <c r="CB37" s="1702">
        <f>$BX$8+$BY$58</f>
        <v>2.5</v>
      </c>
      <c r="CC37" s="1702">
        <f>BZ37*(CB37-4)*CA37/1000</f>
        <v>-13.178571428571427</v>
      </c>
      <c r="CD37" s="1702">
        <f>(BY37*CB37-4*CA37)/1000</f>
        <v>-13.178571428571427</v>
      </c>
    </row>
    <row r="38" spans="1:105" ht="12.75" customHeight="1">
      <c r="A38" s="1445"/>
      <c r="B38" s="1446"/>
      <c r="C38" s="1665" t="s">
        <v>807</v>
      </c>
      <c r="D38" s="1649"/>
      <c r="E38" s="1649"/>
      <c r="F38" s="1663"/>
      <c r="G38" s="1647">
        <f t="shared" ref="G38:AX38" si="89">IF(ISBLANK(G181),"",G181)</f>
        <v>35.661723566869142</v>
      </c>
      <c r="H38" s="1646">
        <f t="shared" si="89"/>
        <v>32.95930132783883</v>
      </c>
      <c r="I38" s="1646">
        <f t="shared" si="89"/>
        <v>37.786714411684756</v>
      </c>
      <c r="J38" s="1645">
        <f t="shared" si="89"/>
        <v>38.127121226902197</v>
      </c>
      <c r="K38" s="1647">
        <f t="shared" si="89"/>
        <v>40.858928955797097</v>
      </c>
      <c r="L38" s="1646">
        <f t="shared" si="89"/>
        <v>33.916098321428571</v>
      </c>
      <c r="M38" s="1646">
        <f t="shared" si="89"/>
        <v>34.068597563405802</v>
      </c>
      <c r="N38" s="1645">
        <f t="shared" si="89"/>
        <v>31.114616296105076</v>
      </c>
      <c r="O38" s="1647">
        <f t="shared" si="89"/>
        <v>27.303063772177097</v>
      </c>
      <c r="P38" s="1646">
        <f t="shared" si="89"/>
        <v>22.034301452838829</v>
      </c>
      <c r="Q38" s="1646">
        <f t="shared" si="89"/>
        <v>26.919559772644931</v>
      </c>
      <c r="R38" s="1646">
        <f t="shared" si="89"/>
        <v>30.869201327717395</v>
      </c>
      <c r="S38" s="1647">
        <f t="shared" si="89"/>
        <v>33.486062323832535</v>
      </c>
      <c r="T38" s="1646">
        <f t="shared" si="89"/>
        <v>29.612168522893782</v>
      </c>
      <c r="U38" s="1646">
        <f t="shared" si="89"/>
        <v>28.466996774909425</v>
      </c>
      <c r="V38" s="1664">
        <f t="shared" si="89"/>
        <v>31.005893446105066</v>
      </c>
      <c r="W38" s="1662">
        <f t="shared" si="89"/>
        <v>78.280771197463764</v>
      </c>
      <c r="X38" s="1646">
        <f t="shared" si="89"/>
        <v>30.680673397435903</v>
      </c>
      <c r="Y38" s="1820">
        <f t="shared" si="89"/>
        <v>27.413026009963772</v>
      </c>
      <c r="Z38" s="1821">
        <f t="shared" si="89"/>
        <v>29.952876293025369</v>
      </c>
      <c r="AA38" s="1662">
        <f t="shared" si="89"/>
        <v>44.217764477254434</v>
      </c>
      <c r="AB38" s="1646">
        <f t="shared" si="89"/>
        <v>25.028568056318672</v>
      </c>
      <c r="AC38" s="1820">
        <f t="shared" si="89"/>
        <v>23.224815237318836</v>
      </c>
      <c r="AD38" s="1821">
        <f t="shared" si="89"/>
        <v>22.109061745018124</v>
      </c>
      <c r="AE38" s="1647">
        <f t="shared" si="89"/>
        <v>23.988923446826721</v>
      </c>
      <c r="AF38" s="1643">
        <f t="shared" si="89"/>
        <v>21.266628026098903</v>
      </c>
      <c r="AG38" s="1643">
        <f t="shared" si="89"/>
        <v>22.910100094655796</v>
      </c>
      <c r="AH38" s="1642">
        <f t="shared" si="89"/>
        <v>25.259746692934794</v>
      </c>
      <c r="AI38" s="1643">
        <f t="shared" si="89"/>
        <v>27.075569670692435</v>
      </c>
      <c r="AJ38" s="1643">
        <f t="shared" si="89"/>
        <v>22.121270426282045</v>
      </c>
      <c r="AK38" s="1643">
        <f t="shared" si="89"/>
        <v>21.948979516304348</v>
      </c>
      <c r="AL38" s="1642">
        <f t="shared" si="89"/>
        <v>28.679605414130428</v>
      </c>
      <c r="AM38" s="1643">
        <f t="shared" si="89"/>
        <v>43.803590137359109</v>
      </c>
      <c r="AN38" s="1643">
        <f t="shared" si="89"/>
        <v>24.95</v>
      </c>
      <c r="AO38" s="1643">
        <f t="shared" si="89"/>
        <v>24.783333333333331</v>
      </c>
      <c r="AP38" s="1642">
        <f t="shared" si="89"/>
        <v>25.683333333333334</v>
      </c>
      <c r="AQ38" s="1643">
        <f t="shared" si="89"/>
        <v>32.710239316820804</v>
      </c>
      <c r="AR38" s="1643">
        <f t="shared" si="89"/>
        <v>20.631697104333988</v>
      </c>
      <c r="AS38" s="1643">
        <f t="shared" si="89"/>
        <v>20.527571740433242</v>
      </c>
      <c r="AT38" s="1642">
        <f t="shared" si="89"/>
        <v>31.93845850481198</v>
      </c>
      <c r="AU38" s="1643">
        <f t="shared" si="89"/>
        <v>32.33891227956417</v>
      </c>
      <c r="AV38" s="1643">
        <f t="shared" si="89"/>
        <v>20.397485826173483</v>
      </c>
      <c r="AW38" s="1643">
        <f t="shared" si="89"/>
        <v>20.29454249467874</v>
      </c>
      <c r="AX38" s="1642">
        <f t="shared" si="89"/>
        <v>31.575892732783615</v>
      </c>
      <c r="AY38" s="1643">
        <f t="shared" ref="AY38:BB38" si="90">IF(ISBLANK(AY181),"",AY181)</f>
        <v>32.400669590326544</v>
      </c>
      <c r="AZ38" s="1643">
        <f t="shared" si="90"/>
        <v>20.436438709314643</v>
      </c>
      <c r="BA38" s="1643">
        <f t="shared" si="90"/>
        <v>20.333298787926616</v>
      </c>
      <c r="BB38" s="1642">
        <f t="shared" si="90"/>
        <v>31.636192912432207</v>
      </c>
      <c r="BC38" s="1489"/>
      <c r="BD38" s="1489"/>
      <c r="BE38" s="1489">
        <f t="shared" si="71"/>
        <v>36.133715133323733</v>
      </c>
      <c r="BF38" s="1489">
        <f t="shared" si="72"/>
        <v>34.989560284184137</v>
      </c>
      <c r="BG38" s="1489">
        <f t="shared" si="73"/>
        <v>26.781531581344563</v>
      </c>
      <c r="BH38" s="1489">
        <f t="shared" si="74"/>
        <v>30.642780266935201</v>
      </c>
      <c r="BI38" s="1489">
        <f t="shared" si="75"/>
        <v>41.581836724472197</v>
      </c>
      <c r="BJ38" s="1489">
        <f t="shared" si="76"/>
        <v>28.645052378977518</v>
      </c>
      <c r="BK38" s="1499">
        <f t="shared" si="77"/>
        <v>23.356349565129054</v>
      </c>
      <c r="BL38" s="1499">
        <f t="shared" si="78"/>
        <v>24.956356256852317</v>
      </c>
      <c r="BM38" s="1499">
        <f t="shared" si="79"/>
        <v>29.805064201006445</v>
      </c>
      <c r="BN38" s="1499">
        <f t="shared" si="80"/>
        <v>26.451991666600001</v>
      </c>
      <c r="BO38" s="1499">
        <f t="shared" si="81"/>
        <v>26.1517083333</v>
      </c>
      <c r="BP38" s="1499">
        <f t="shared" si="82"/>
        <v>26.201650000000004</v>
      </c>
      <c r="BQ38" s="1499"/>
      <c r="BR38" s="1586"/>
      <c r="BS38" s="1514"/>
      <c r="BT38" s="1515"/>
      <c r="BV38" s="1444"/>
      <c r="BW38" s="1507" t="s">
        <v>808</v>
      </c>
      <c r="BX38" s="1310">
        <f>BY38+CA104</f>
        <v>14415.000000000002</v>
      </c>
      <c r="BY38" s="1310">
        <f>((CA38*4/1000)+CC38)/CB38*1000</f>
        <v>14415.000000000002</v>
      </c>
      <c r="BZ38" s="1924">
        <f>HLOOKUP(CB38,$CA$53:$CY$58,CA56,TRUE)</f>
        <v>0.37857142857142861</v>
      </c>
      <c r="CA38" s="1310">
        <v>10500</v>
      </c>
      <c r="CB38" s="1702">
        <f>$BX$8+$BY$58</f>
        <v>2.5</v>
      </c>
      <c r="CC38" s="1702">
        <f>BZ38*(CB38-4)*CA38/1000</f>
        <v>-5.9625000000000012</v>
      </c>
      <c r="CD38" s="1702">
        <f>(BY38*CB38-4*CA38)/1000</f>
        <v>-5.9624999999999924</v>
      </c>
    </row>
    <row r="39" spans="1:105" ht="12.75" customHeight="1">
      <c r="A39" s="1445"/>
      <c r="B39" s="1446"/>
      <c r="C39" s="1665" t="s">
        <v>693</v>
      </c>
      <c r="D39" s="1649"/>
      <c r="E39" s="1649"/>
      <c r="F39" s="1663"/>
      <c r="G39" s="1647">
        <f t="shared" ref="G39:AX39" si="91">IF(ISBLANK(G182),"",G182)</f>
        <v>38.454669690110812</v>
      </c>
      <c r="H39" s="1646">
        <f t="shared" si="91"/>
        <v>35.696539456043951</v>
      </c>
      <c r="I39" s="1646">
        <f t="shared" si="91"/>
        <v>41.941960537590575</v>
      </c>
      <c r="J39" s="1645">
        <f t="shared" si="91"/>
        <v>39.099061662771746</v>
      </c>
      <c r="K39" s="1647">
        <f t="shared" si="91"/>
        <v>45.558643104669883</v>
      </c>
      <c r="L39" s="1646">
        <f t="shared" si="91"/>
        <v>35.489017982600728</v>
      </c>
      <c r="M39" s="1646">
        <f t="shared" si="91"/>
        <v>37.110367609148561</v>
      </c>
      <c r="N39" s="1645">
        <f t="shared" si="91"/>
        <v>30.853395797826089</v>
      </c>
      <c r="O39" s="1647">
        <f t="shared" si="91"/>
        <v>28.838922174609813</v>
      </c>
      <c r="P39" s="1646">
        <f t="shared" si="91"/>
        <v>21.591528022435909</v>
      </c>
      <c r="Q39" s="1646">
        <f t="shared" si="91"/>
        <v>30.122786553894926</v>
      </c>
      <c r="R39" s="1646">
        <f t="shared" si="91"/>
        <v>32.447619825815202</v>
      </c>
      <c r="S39" s="1647">
        <f t="shared" si="91"/>
        <v>34.55972632302737</v>
      </c>
      <c r="T39" s="1646">
        <f t="shared" si="91"/>
        <v>31.325106590201472</v>
      </c>
      <c r="U39" s="1646">
        <f t="shared" si="91"/>
        <v>30.007325350543471</v>
      </c>
      <c r="V39" s="1664">
        <f t="shared" si="91"/>
        <v>32.19676385769926</v>
      </c>
      <c r="W39" s="1662">
        <f t="shared" si="91"/>
        <v>90.786707820652168</v>
      </c>
      <c r="X39" s="1646">
        <f t="shared" si="91"/>
        <v>30.634786767857143</v>
      </c>
      <c r="Y39" s="1820">
        <f t="shared" si="91"/>
        <v>26.507552103713767</v>
      </c>
      <c r="Z39" s="1821">
        <f t="shared" si="91"/>
        <v>37.660706784782626</v>
      </c>
      <c r="AA39" s="1662">
        <f t="shared" si="91"/>
        <v>52.91501483514493</v>
      </c>
      <c r="AB39" s="1646">
        <f t="shared" si="91"/>
        <v>25.152664907509156</v>
      </c>
      <c r="AC39" s="1820">
        <f t="shared" si="91"/>
        <v>20.837114357789854</v>
      </c>
      <c r="AD39" s="1821">
        <f t="shared" si="91"/>
        <v>25.347991754166664</v>
      </c>
      <c r="AE39" s="1647">
        <f t="shared" si="91"/>
        <v>25.346020121237455</v>
      </c>
      <c r="AF39" s="1643">
        <f t="shared" si="91"/>
        <v>19.254250642399267</v>
      </c>
      <c r="AG39" s="1643">
        <f t="shared" si="91"/>
        <v>21.072814450181166</v>
      </c>
      <c r="AH39" s="1642">
        <f t="shared" si="91"/>
        <v>21.316599519927536</v>
      </c>
      <c r="AI39" s="1643">
        <f t="shared" si="91"/>
        <v>29.336510980555559</v>
      </c>
      <c r="AJ39" s="1643">
        <f t="shared" si="91"/>
        <v>21.736222810439564</v>
      </c>
      <c r="AK39" s="1643">
        <f t="shared" si="91"/>
        <v>19.181085373188402</v>
      </c>
      <c r="AL39" s="1642">
        <f t="shared" si="91"/>
        <v>33.856300585507235</v>
      </c>
      <c r="AM39" s="1643">
        <f t="shared" si="91"/>
        <v>46.651077805173117</v>
      </c>
      <c r="AN39" s="1643">
        <f t="shared" si="91"/>
        <v>25.158666666666665</v>
      </c>
      <c r="AO39" s="1643">
        <f t="shared" si="91"/>
        <v>25.266666666666666</v>
      </c>
      <c r="AP39" s="1642">
        <f t="shared" si="91"/>
        <v>25.499833333333331</v>
      </c>
      <c r="AQ39" s="1643">
        <f t="shared" si="91"/>
        <v>37.348531597794079</v>
      </c>
      <c r="AR39" s="1643">
        <f t="shared" si="91"/>
        <v>20.745010650110846</v>
      </c>
      <c r="AS39" s="1643">
        <f t="shared" si="91"/>
        <v>21.194398638146534</v>
      </c>
      <c r="AT39" s="1642">
        <f t="shared" si="91"/>
        <v>30.991359113948537</v>
      </c>
      <c r="AU39" s="1643">
        <f t="shared" si="91"/>
        <v>37.020764656216237</v>
      </c>
      <c r="AV39" s="1643">
        <f t="shared" si="91"/>
        <v>20.562954531626438</v>
      </c>
      <c r="AW39" s="1643">
        <f t="shared" si="91"/>
        <v>21.008398736061569</v>
      </c>
      <c r="AX39" s="1642">
        <f t="shared" si="91"/>
        <v>30.719382076095741</v>
      </c>
      <c r="AY39" s="1643">
        <f t="shared" ref="AY39:BB39" si="92">IF(ISBLANK(AY182),"",AY182)</f>
        <v>37.359357818581813</v>
      </c>
      <c r="AZ39" s="1643">
        <f t="shared" si="92"/>
        <v>20.751024007421933</v>
      </c>
      <c r="BA39" s="1643">
        <f t="shared" si="92"/>
        <v>21.200542259576977</v>
      </c>
      <c r="BB39" s="1642">
        <f t="shared" si="92"/>
        <v>31.000342580819272</v>
      </c>
      <c r="BC39" s="1489"/>
      <c r="BD39" s="1489"/>
      <c r="BE39" s="1489">
        <f t="shared" si="71"/>
        <v>38.798057836629269</v>
      </c>
      <c r="BF39" s="1489">
        <f t="shared" si="72"/>
        <v>37.252856123561315</v>
      </c>
      <c r="BG39" s="1489">
        <f t="shared" si="73"/>
        <v>28.250214144188959</v>
      </c>
      <c r="BH39" s="1489">
        <f t="shared" si="74"/>
        <v>32.022230530367892</v>
      </c>
      <c r="BI39" s="1489">
        <f t="shared" si="75"/>
        <v>46.397438369251432</v>
      </c>
      <c r="BJ39" s="1489">
        <f t="shared" si="76"/>
        <v>31.063196463652652</v>
      </c>
      <c r="BK39" s="1499">
        <f t="shared" si="77"/>
        <v>21.747421183436355</v>
      </c>
      <c r="BL39" s="1499">
        <f t="shared" si="78"/>
        <v>26.027529937422692</v>
      </c>
      <c r="BM39" s="1499">
        <f t="shared" si="79"/>
        <v>30.644061117959943</v>
      </c>
      <c r="BN39" s="1499">
        <f t="shared" si="80"/>
        <v>27.569824999999998</v>
      </c>
      <c r="BO39" s="1499">
        <f t="shared" si="81"/>
        <v>27.327874999999995</v>
      </c>
      <c r="BP39" s="1499">
        <f t="shared" si="82"/>
        <v>27.5778166666</v>
      </c>
      <c r="BQ39" s="1499"/>
      <c r="BR39" s="1586"/>
      <c r="BS39" s="1514"/>
      <c r="BT39" s="1515"/>
      <c r="BV39" s="1444"/>
      <c r="BW39" s="1507" t="s">
        <v>809</v>
      </c>
      <c r="BX39" s="1310">
        <f>BY39+CA105</f>
        <v>14334.545454545456</v>
      </c>
      <c r="BY39" s="1310">
        <f>((CA39*4.25/1000)+CC39)/CB39*1000</f>
        <v>14334.545454545456</v>
      </c>
      <c r="BZ39" s="1924">
        <f>HLOOKUP(CB39,$CA$53:$CY$58,CA57,TRUE)</f>
        <v>0.39999999999999997</v>
      </c>
      <c r="CA39" s="1310">
        <v>10800</v>
      </c>
      <c r="CB39" s="1702">
        <f>$BX$8</f>
        <v>2.75</v>
      </c>
      <c r="CC39" s="1702">
        <f>BZ39*(CB39-4.25)*CA39/1000</f>
        <v>-6.48</v>
      </c>
      <c r="CD39" s="1702">
        <f>(BY39*CB39-4.25*CA39)/1000</f>
        <v>-6.48</v>
      </c>
    </row>
    <row r="40" spans="1:105" ht="12.75" customHeight="1">
      <c r="A40" s="1445"/>
      <c r="B40" s="1446"/>
      <c r="C40" s="1665" t="s">
        <v>808</v>
      </c>
      <c r="D40" s="1649"/>
      <c r="E40" s="1649"/>
      <c r="F40" s="1663"/>
      <c r="G40" s="1647">
        <f t="shared" ref="G40:AX40" si="93">IF(ISBLANK(G183),"",G183)</f>
        <v>31.683841477807981</v>
      </c>
      <c r="H40" s="1646">
        <f t="shared" si="93"/>
        <v>27.940983067765572</v>
      </c>
      <c r="I40" s="1646">
        <f t="shared" si="93"/>
        <v>31.064639944746379</v>
      </c>
      <c r="J40" s="1645">
        <f t="shared" si="93"/>
        <v>31.179066678713756</v>
      </c>
      <c r="K40" s="1647">
        <f t="shared" si="93"/>
        <v>33.366856885466987</v>
      </c>
      <c r="L40" s="1646">
        <f t="shared" si="93"/>
        <v>30.988586447802195</v>
      </c>
      <c r="M40" s="1646">
        <f t="shared" si="93"/>
        <v>31.983560708333318</v>
      </c>
      <c r="N40" s="1645">
        <f t="shared" si="93"/>
        <v>30.553551319112341</v>
      </c>
      <c r="O40" s="1647">
        <f t="shared" si="93"/>
        <v>25.678486559862229</v>
      </c>
      <c r="P40" s="1646">
        <f t="shared" si="93"/>
        <v>21.65716656639195</v>
      </c>
      <c r="Q40" s="1646">
        <f t="shared" si="93"/>
        <v>25.59958281884057</v>
      </c>
      <c r="R40" s="1646">
        <f t="shared" si="93"/>
        <v>29.691809545561608</v>
      </c>
      <c r="S40" s="1647">
        <f t="shared" si="93"/>
        <v>30.712843264895323</v>
      </c>
      <c r="T40" s="1646">
        <f t="shared" si="93"/>
        <v>28.683858509157513</v>
      </c>
      <c r="U40" s="1646">
        <f t="shared" si="93"/>
        <v>26.289797765398554</v>
      </c>
      <c r="V40" s="1664">
        <f t="shared" si="93"/>
        <v>28.58454812028986</v>
      </c>
      <c r="W40" s="1662">
        <f t="shared" si="93"/>
        <v>55.582024361513675</v>
      </c>
      <c r="X40" s="1646">
        <f t="shared" si="93"/>
        <v>30.848939755952369</v>
      </c>
      <c r="Y40" s="1820">
        <f t="shared" si="93"/>
        <v>26.474229680253622</v>
      </c>
      <c r="Z40" s="1821">
        <f t="shared" si="93"/>
        <v>30.106497532518123</v>
      </c>
      <c r="AA40" s="1662">
        <f t="shared" si="93"/>
        <v>33.672197658071667</v>
      </c>
      <c r="AB40" s="1646">
        <f t="shared" si="93"/>
        <v>24.408332260531143</v>
      </c>
      <c r="AC40" s="1820">
        <f t="shared" si="93"/>
        <v>22.758183921195638</v>
      </c>
      <c r="AD40" s="1821">
        <f t="shared" si="93"/>
        <v>22.005480128297094</v>
      </c>
      <c r="AE40" s="1647">
        <f t="shared" si="93"/>
        <v>21.940509499422674</v>
      </c>
      <c r="AF40" s="1643">
        <f t="shared" si="93"/>
        <v>21.194626118131868</v>
      </c>
      <c r="AG40" s="1643">
        <f t="shared" si="93"/>
        <v>22.397125852355067</v>
      </c>
      <c r="AH40" s="1642">
        <f t="shared" si="93"/>
        <v>25.119274915036236</v>
      </c>
      <c r="AI40" s="1643">
        <f t="shared" si="93"/>
        <v>25.609943032206107</v>
      </c>
      <c r="AJ40" s="1643">
        <f t="shared" si="93"/>
        <v>22.558270758241754</v>
      </c>
      <c r="AK40" s="1643">
        <f t="shared" si="93"/>
        <v>22.753793536231882</v>
      </c>
      <c r="AL40" s="1642">
        <f t="shared" si="93"/>
        <v>26.193597912862309</v>
      </c>
      <c r="AM40" s="1643">
        <f t="shared" si="93"/>
        <v>34.436698074516897</v>
      </c>
      <c r="AN40" s="1643">
        <f t="shared" si="93"/>
        <v>25.55</v>
      </c>
      <c r="AO40" s="1643">
        <f t="shared" si="93"/>
        <v>25.216666666666669</v>
      </c>
      <c r="AP40" s="1642">
        <f t="shared" si="93"/>
        <v>25.316666666666663</v>
      </c>
      <c r="AQ40" s="1643">
        <f t="shared" si="93"/>
        <v>30.065523917280856</v>
      </c>
      <c r="AR40" s="1643">
        <f t="shared" si="93"/>
        <v>21.597016408139439</v>
      </c>
      <c r="AS40" s="1643">
        <f t="shared" si="93"/>
        <v>21.984059712944806</v>
      </c>
      <c r="AT40" s="1642">
        <f t="shared" si="93"/>
        <v>28.678033294834901</v>
      </c>
      <c r="AU40" s="1643">
        <f t="shared" si="93"/>
        <v>29.607950419373292</v>
      </c>
      <c r="AV40" s="1643">
        <f t="shared" si="93"/>
        <v>21.268326897541574</v>
      </c>
      <c r="AW40" s="1643">
        <f t="shared" si="93"/>
        <v>21.649479709325476</v>
      </c>
      <c r="AX40" s="1642">
        <f t="shared" si="93"/>
        <v>28.241576306959669</v>
      </c>
      <c r="AY40" s="1643">
        <f t="shared" ref="AY40:BB40" si="94">IF(ISBLANK(AY183),"",AY183)</f>
        <v>29.616706401032346</v>
      </c>
      <c r="AZ40" s="1643">
        <f t="shared" si="94"/>
        <v>21.274616596004179</v>
      </c>
      <c r="BA40" s="1643">
        <f t="shared" si="94"/>
        <v>21.65588212639852</v>
      </c>
      <c r="BB40" s="1642">
        <f t="shared" si="94"/>
        <v>28.24992820976496</v>
      </c>
      <c r="BC40" s="1489"/>
      <c r="BD40" s="1489"/>
      <c r="BE40" s="1489">
        <f t="shared" si="71"/>
        <v>30.467132792258422</v>
      </c>
      <c r="BF40" s="1489">
        <f t="shared" si="72"/>
        <v>31.723138840178709</v>
      </c>
      <c r="BG40" s="1489">
        <f t="shared" si="73"/>
        <v>25.656761372664089</v>
      </c>
      <c r="BH40" s="1489">
        <f t="shared" si="74"/>
        <v>28.567761914935311</v>
      </c>
      <c r="BI40" s="1489">
        <f t="shared" si="75"/>
        <v>35.752922832559449</v>
      </c>
      <c r="BJ40" s="1489">
        <f t="shared" si="76"/>
        <v>25.711048492023885</v>
      </c>
      <c r="BK40" s="1499">
        <f t="shared" si="77"/>
        <v>22.662884096236461</v>
      </c>
      <c r="BL40" s="1499">
        <f t="shared" si="78"/>
        <v>24.278901309885512</v>
      </c>
      <c r="BM40" s="1499">
        <f t="shared" si="79"/>
        <v>27.630007851962556</v>
      </c>
      <c r="BN40" s="1499">
        <f t="shared" si="80"/>
        <v>25.581158333300003</v>
      </c>
      <c r="BO40" s="1499">
        <f t="shared" si="81"/>
        <v>25.191833333300004</v>
      </c>
      <c r="BP40" s="1499">
        <f t="shared" si="82"/>
        <v>25.199283333300002</v>
      </c>
      <c r="BQ40" s="1499"/>
      <c r="BR40" s="1586">
        <f>52.5%*BK40+47.5%*BK22</f>
        <v>27.21720435319574</v>
      </c>
      <c r="BS40" s="1514"/>
      <c r="BT40" s="1515"/>
      <c r="BV40" s="1444"/>
      <c r="BW40" s="1507" t="s">
        <v>810</v>
      </c>
      <c r="BX40" s="1310">
        <f>BY40+CA106</f>
        <v>12597.272727272726</v>
      </c>
      <c r="BY40" s="1310">
        <f>((CA40*4.25/1000)+CC40)/CB40*1000</f>
        <v>12597.272727272726</v>
      </c>
      <c r="BZ40" s="1924">
        <f>HLOOKUP(CB40,$CA$53:$CY$58,CA58,TRUE)</f>
        <v>0.34999999999999992</v>
      </c>
      <c r="CA40" s="1310">
        <v>9300</v>
      </c>
      <c r="CB40" s="1702">
        <f>$BX$8</f>
        <v>2.75</v>
      </c>
      <c r="CC40" s="1702">
        <f>BZ40*(CB40-4.25)*CA40/1000</f>
        <v>-4.8824999999999994</v>
      </c>
      <c r="CD40" s="1702">
        <f>(BY40*CB40-4.25*CA40)/1000</f>
        <v>-4.8825000000000003</v>
      </c>
    </row>
    <row r="41" spans="1:105" ht="12.75" customHeight="1">
      <c r="A41" s="1445"/>
      <c r="B41" s="1446"/>
      <c r="C41" s="1665" t="s">
        <v>809</v>
      </c>
      <c r="D41" s="1649"/>
      <c r="E41" s="1649"/>
      <c r="F41" s="1663"/>
      <c r="G41" s="1647">
        <f t="shared" ref="G41:AX41" si="95">IF(ISBLANK(G184),"",G184)</f>
        <v>31.723789428894943</v>
      </c>
      <c r="H41" s="1646">
        <f t="shared" si="95"/>
        <v>28.007368155677657</v>
      </c>
      <c r="I41" s="1646">
        <f t="shared" si="95"/>
        <v>31.199241193840571</v>
      </c>
      <c r="J41" s="1645">
        <f t="shared" si="95"/>
        <v>31.280175134510877</v>
      </c>
      <c r="K41" s="1647">
        <f t="shared" si="95"/>
        <v>33.316046651227865</v>
      </c>
      <c r="L41" s="1646">
        <f t="shared" si="95"/>
        <v>31.034006899725281</v>
      </c>
      <c r="M41" s="1646">
        <f t="shared" si="95"/>
        <v>32.137521466938395</v>
      </c>
      <c r="N41" s="1645">
        <f t="shared" si="95"/>
        <v>30.682761882608698</v>
      </c>
      <c r="O41" s="1647">
        <f t="shared" si="95"/>
        <v>25.679288122073572</v>
      </c>
      <c r="P41" s="1646">
        <f t="shared" si="95"/>
        <v>21.775065671703299</v>
      </c>
      <c r="Q41" s="1646">
        <f t="shared" si="95"/>
        <v>25.7171560271739</v>
      </c>
      <c r="R41" s="1646">
        <f t="shared" si="95"/>
        <v>29.781977215851452</v>
      </c>
      <c r="S41" s="1647">
        <f t="shared" si="95"/>
        <v>30.59628365193236</v>
      </c>
      <c r="T41" s="1646">
        <f t="shared" si="95"/>
        <v>28.85574062912087</v>
      </c>
      <c r="U41" s="1646">
        <f t="shared" si="95"/>
        <v>26.426258410326099</v>
      </c>
      <c r="V41" s="1664">
        <f t="shared" si="95"/>
        <v>28.631262306884061</v>
      </c>
      <c r="W41" s="1662">
        <f t="shared" si="95"/>
        <v>55.245883308574896</v>
      </c>
      <c r="X41" s="1646">
        <f t="shared" si="95"/>
        <v>31.092236393315009</v>
      </c>
      <c r="Y41" s="1820">
        <f t="shared" si="95"/>
        <v>26.565221706068847</v>
      </c>
      <c r="Z41" s="1821">
        <f t="shared" si="95"/>
        <v>29.935611420199269</v>
      </c>
      <c r="AA41" s="1662">
        <f t="shared" si="95"/>
        <v>33.546102769424323</v>
      </c>
      <c r="AB41" s="1646">
        <f t="shared" si="95"/>
        <v>24.350682732600731</v>
      </c>
      <c r="AC41" s="1820">
        <f t="shared" si="95"/>
        <v>22.832639235507255</v>
      </c>
      <c r="AD41" s="1821">
        <f t="shared" si="95"/>
        <v>21.995092569728257</v>
      </c>
      <c r="AE41" s="1647">
        <f t="shared" si="95"/>
        <v>22.062136905279502</v>
      </c>
      <c r="AF41" s="1643">
        <f t="shared" si="95"/>
        <v>21.344116594322344</v>
      </c>
      <c r="AG41" s="1643">
        <f t="shared" si="95"/>
        <v>22.51157196376812</v>
      </c>
      <c r="AH41" s="1642">
        <f t="shared" si="95"/>
        <v>25.05356571974637</v>
      </c>
      <c r="AI41" s="1643">
        <f t="shared" si="95"/>
        <v>25.637689978663452</v>
      </c>
      <c r="AJ41" s="1643">
        <f t="shared" si="95"/>
        <v>22.658216380036624</v>
      </c>
      <c r="AK41" s="1643">
        <f t="shared" si="95"/>
        <v>22.877026026268119</v>
      </c>
      <c r="AL41" s="1642">
        <f t="shared" si="95"/>
        <v>26.103430919021747</v>
      </c>
      <c r="AM41" s="1643">
        <f t="shared" si="95"/>
        <v>33.49635729142512</v>
      </c>
      <c r="AN41" s="1643">
        <f t="shared" si="95"/>
        <v>24.3</v>
      </c>
      <c r="AO41" s="1643">
        <f t="shared" si="95"/>
        <v>24.716666666666669</v>
      </c>
      <c r="AP41" s="1642">
        <f t="shared" si="95"/>
        <v>24.833333333333332</v>
      </c>
      <c r="AQ41" s="1643">
        <f t="shared" si="95"/>
        <v>26.535204784504245</v>
      </c>
      <c r="AR41" s="1643">
        <f t="shared" si="95"/>
        <v>20.510009202701678</v>
      </c>
      <c r="AS41" s="1643">
        <f t="shared" si="95"/>
        <v>20.875172571295771</v>
      </c>
      <c r="AT41" s="1642">
        <f t="shared" si="95"/>
        <v>29.770913441498301</v>
      </c>
      <c r="AU41" s="1643">
        <f t="shared" si="95"/>
        <v>26.434034268000321</v>
      </c>
      <c r="AV41" s="1643">
        <f t="shared" si="95"/>
        <v>20.43181089063328</v>
      </c>
      <c r="AW41" s="1643">
        <f t="shared" si="95"/>
        <v>20.795582004413099</v>
      </c>
      <c r="AX41" s="1642">
        <f t="shared" si="95"/>
        <v>29.657406170153298</v>
      </c>
      <c r="AY41" s="1643">
        <f t="shared" ref="AY41:BB41" si="96">IF(ISBLANK(AY184),"",AY184)</f>
        <v>26.496453235293</v>
      </c>
      <c r="AZ41" s="1643">
        <f t="shared" si="96"/>
        <v>20.480056743792986</v>
      </c>
      <c r="BA41" s="1643">
        <f t="shared" si="96"/>
        <v>20.844686834186923</v>
      </c>
      <c r="BB41" s="1642">
        <f t="shared" si="96"/>
        <v>29.727436519927089</v>
      </c>
      <c r="BC41" s="1489"/>
      <c r="BD41" s="1489"/>
      <c r="BE41" s="1489">
        <f t="shared" si="71"/>
        <v>30.552643478231012</v>
      </c>
      <c r="BF41" s="1489">
        <f t="shared" si="72"/>
        <v>31.792584225125061</v>
      </c>
      <c r="BG41" s="1489">
        <f t="shared" si="73"/>
        <v>25.738371759200557</v>
      </c>
      <c r="BH41" s="1489">
        <f t="shared" si="74"/>
        <v>28.627386249565845</v>
      </c>
      <c r="BI41" s="1489">
        <f t="shared" si="75"/>
        <v>35.709738207039507</v>
      </c>
      <c r="BJ41" s="1489">
        <f t="shared" si="76"/>
        <v>25.681129326815142</v>
      </c>
      <c r="BK41" s="1499">
        <f t="shared" si="77"/>
        <v>22.742847795779085</v>
      </c>
      <c r="BL41" s="1499">
        <f t="shared" si="78"/>
        <v>24.319090825997485</v>
      </c>
      <c r="BM41" s="1499">
        <f t="shared" si="79"/>
        <v>26.83658932285628</v>
      </c>
      <c r="BN41" s="1499">
        <f t="shared" si="80"/>
        <v>24.422824999999996</v>
      </c>
      <c r="BO41" s="1499">
        <f t="shared" si="81"/>
        <v>24.329708333300001</v>
      </c>
      <c r="BP41" s="1499">
        <f t="shared" si="82"/>
        <v>24.3871583333</v>
      </c>
      <c r="BQ41" s="1499"/>
      <c r="BR41" s="1586"/>
      <c r="BS41" s="1514"/>
      <c r="BT41" s="1515"/>
      <c r="BV41" s="1444"/>
      <c r="BW41" s="1443"/>
      <c r="BX41" s="1443"/>
    </row>
    <row r="42" spans="1:105" ht="12.75" customHeight="1">
      <c r="A42" s="1445"/>
      <c r="B42" s="1446"/>
      <c r="C42" s="1665" t="s">
        <v>810</v>
      </c>
      <c r="D42" s="1649"/>
      <c r="E42" s="1649"/>
      <c r="F42" s="1663"/>
      <c r="G42" s="1647">
        <f t="shared" ref="G42:AX42" si="97">IF(ISBLANK(G185),"",G185)</f>
        <v>26.056607898976985</v>
      </c>
      <c r="H42" s="1646">
        <f t="shared" si="97"/>
        <v>22.058756606684991</v>
      </c>
      <c r="I42" s="1646">
        <f t="shared" si="97"/>
        <v>25.77205439356884</v>
      </c>
      <c r="J42" s="1645">
        <f t="shared" si="97"/>
        <v>20.233505312028988</v>
      </c>
      <c r="K42" s="1647">
        <f t="shared" si="97"/>
        <v>28.117182428522533</v>
      </c>
      <c r="L42" s="1646">
        <f t="shared" si="97"/>
        <v>24.030010341117219</v>
      </c>
      <c r="M42" s="1646">
        <f t="shared" si="97"/>
        <v>25.858050654891304</v>
      </c>
      <c r="N42" s="1645">
        <f t="shared" si="97"/>
        <v>19.96068864096015</v>
      </c>
      <c r="O42" s="1647">
        <f t="shared" si="97"/>
        <v>23.311520222746449</v>
      </c>
      <c r="P42" s="1646">
        <f t="shared" si="97"/>
        <v>18.617785842032969</v>
      </c>
      <c r="Q42" s="1646">
        <f t="shared" si="97"/>
        <v>23.770870774456522</v>
      </c>
      <c r="R42" s="1646">
        <f t="shared" si="97"/>
        <v>21.751328907065218</v>
      </c>
      <c r="S42" s="1647">
        <f t="shared" si="97"/>
        <v>27.102873879810776</v>
      </c>
      <c r="T42" s="1646">
        <f t="shared" si="97"/>
        <v>23.983492510531136</v>
      </c>
      <c r="U42" s="1646">
        <f t="shared" si="97"/>
        <v>24.337539511322465</v>
      </c>
      <c r="V42" s="1664">
        <f t="shared" si="97"/>
        <v>25.034081106974629</v>
      </c>
      <c r="W42" s="1662">
        <f t="shared" si="97"/>
        <v>46.659030578200486</v>
      </c>
      <c r="X42" s="1646">
        <f t="shared" si="97"/>
        <v>25.040844436355307</v>
      </c>
      <c r="Y42" s="1820">
        <f t="shared" si="97"/>
        <v>24.573567941576091</v>
      </c>
      <c r="Z42" s="1821">
        <f t="shared" si="97"/>
        <v>25.868583025362319</v>
      </c>
      <c r="AA42" s="1662">
        <f t="shared" si="97"/>
        <v>29.701038306400971</v>
      </c>
      <c r="AB42" s="1646">
        <f t="shared" si="97"/>
        <v>18.405672966575075</v>
      </c>
      <c r="AC42" s="1820">
        <f t="shared" si="97"/>
        <v>21.186602595561595</v>
      </c>
      <c r="AD42" s="1821">
        <f t="shared" si="97"/>
        <v>19.679295579764492</v>
      </c>
      <c r="AE42" s="1647">
        <f t="shared" si="97"/>
        <v>19.228153737279026</v>
      </c>
      <c r="AF42" s="1643">
        <f t="shared" si="97"/>
        <v>18.306781789377293</v>
      </c>
      <c r="AG42" s="1643">
        <f t="shared" si="97"/>
        <v>21.426197764039859</v>
      </c>
      <c r="AH42" s="1642">
        <f t="shared" si="97"/>
        <v>22.45641746277175</v>
      </c>
      <c r="AI42" s="1643">
        <f t="shared" si="97"/>
        <v>23.077807067310793</v>
      </c>
      <c r="AJ42" s="1643">
        <f t="shared" si="97"/>
        <v>19.554939797619053</v>
      </c>
      <c r="AK42" s="1643">
        <f t="shared" si="97"/>
        <v>18.802316540760863</v>
      </c>
      <c r="AL42" s="1642">
        <f t="shared" si="97"/>
        <v>22.818591313496391</v>
      </c>
      <c r="AM42" s="1643">
        <f t="shared" si="97"/>
        <v>25.592786000905793</v>
      </c>
      <c r="AN42" s="1643">
        <f t="shared" si="97"/>
        <v>19.816666666666666</v>
      </c>
      <c r="AO42" s="1643">
        <f t="shared" si="97"/>
        <v>21.45</v>
      </c>
      <c r="AP42" s="1642">
        <f t="shared" si="97"/>
        <v>20.516666666666669</v>
      </c>
      <c r="AQ42" s="1643">
        <f t="shared" si="97"/>
        <v>27.334808227990884</v>
      </c>
      <c r="AR42" s="1643">
        <f t="shared" si="97"/>
        <v>19.223933699175628</v>
      </c>
      <c r="AS42" s="1643">
        <f t="shared" si="97"/>
        <v>19.937159884736072</v>
      </c>
      <c r="AT42" s="1642">
        <f t="shared" si="97"/>
        <v>20.328731521297417</v>
      </c>
      <c r="AU42" s="1643">
        <f t="shared" si="97"/>
        <v>27.753990948397757</v>
      </c>
      <c r="AV42" s="1643">
        <f t="shared" si="97"/>
        <v>19.518735139073424</v>
      </c>
      <c r="AW42" s="1643">
        <f t="shared" si="97"/>
        <v>20.242898737848368</v>
      </c>
      <c r="AX42" s="1642">
        <f t="shared" si="97"/>
        <v>20.640475174680446</v>
      </c>
      <c r="AY42" s="1643">
        <f t="shared" ref="AY42:BB42" si="98">IF(ISBLANK(AY185),"",AY185)</f>
        <v>27.7633728168137</v>
      </c>
      <c r="AZ42" s="1643">
        <f t="shared" si="98"/>
        <v>19.52533318852371</v>
      </c>
      <c r="BA42" s="1643">
        <f t="shared" si="98"/>
        <v>20.24974158119543</v>
      </c>
      <c r="BB42" s="1642">
        <f t="shared" si="98"/>
        <v>20.647452413467164</v>
      </c>
      <c r="BC42" s="1489"/>
      <c r="BD42" s="1489"/>
      <c r="BE42" s="1489">
        <f t="shared" si="71"/>
        <v>23.530231052814948</v>
      </c>
      <c r="BF42" s="1489">
        <f t="shared" si="72"/>
        <v>24.491483016372804</v>
      </c>
      <c r="BG42" s="1489">
        <f t="shared" si="73"/>
        <v>21.862876436575288</v>
      </c>
      <c r="BH42" s="1489">
        <f t="shared" si="74"/>
        <v>25.114496752159749</v>
      </c>
      <c r="BI42" s="1489">
        <f t="shared" si="75"/>
        <v>30.535506495373554</v>
      </c>
      <c r="BJ42" s="1489">
        <f t="shared" si="76"/>
        <v>22.243152362075534</v>
      </c>
      <c r="BK42" s="1499">
        <f t="shared" si="77"/>
        <v>20.354387688366984</v>
      </c>
      <c r="BL42" s="1499">
        <f t="shared" si="78"/>
        <v>21.063413679796774</v>
      </c>
      <c r="BM42" s="1499">
        <f t="shared" si="79"/>
        <v>21.84402983355978</v>
      </c>
      <c r="BN42" s="1499">
        <f t="shared" si="80"/>
        <v>21.706158333299999</v>
      </c>
      <c r="BO42" s="1499">
        <f t="shared" si="81"/>
        <v>22.039024999999999</v>
      </c>
      <c r="BP42" s="1499">
        <f t="shared" si="82"/>
        <v>22.046475000000001</v>
      </c>
      <c r="BQ42" s="1499"/>
      <c r="BR42" s="1586"/>
      <c r="BS42" s="1514"/>
      <c r="BT42" s="1515"/>
      <c r="BV42" s="1444"/>
      <c r="BW42" s="1492" t="s">
        <v>150</v>
      </c>
      <c r="BX42" s="1492"/>
      <c r="BY42" s="1492">
        <v>2021</v>
      </c>
    </row>
    <row r="43" spans="1:105" ht="12.75" customHeight="1">
      <c r="A43" s="1445"/>
      <c r="B43" s="1446"/>
      <c r="C43" s="1665" t="s">
        <v>811</v>
      </c>
      <c r="D43" s="1649"/>
      <c r="E43" s="1649"/>
      <c r="F43" s="1663"/>
      <c r="G43" s="1647">
        <f t="shared" ref="G43:AX43" si="99">IF(ISBLANK(G186),"",G186)</f>
        <v>33.731326126918169</v>
      </c>
      <c r="H43" s="1646">
        <f t="shared" si="99"/>
        <v>28.634282280219779</v>
      </c>
      <c r="I43" s="1646">
        <f t="shared" si="99"/>
        <v>31.990215126811602</v>
      </c>
      <c r="J43" s="1645">
        <f t="shared" si="99"/>
        <v>25.825695788043475</v>
      </c>
      <c r="K43" s="1647">
        <f t="shared" si="99"/>
        <v>29.660326036634473</v>
      </c>
      <c r="L43" s="1646">
        <f t="shared" si="99"/>
        <v>28.345022893772899</v>
      </c>
      <c r="M43" s="1646">
        <f t="shared" si="99"/>
        <v>31.569142889492749</v>
      </c>
      <c r="N43" s="1645">
        <f t="shared" si="99"/>
        <v>23.404596059782612</v>
      </c>
      <c r="O43" s="1647">
        <f t="shared" si="99"/>
        <v>19.561595895046977</v>
      </c>
      <c r="P43" s="1646">
        <f t="shared" si="99"/>
        <v>17.118434065934071</v>
      </c>
      <c r="Q43" s="1646">
        <f t="shared" si="99"/>
        <v>21.168782835144924</v>
      </c>
      <c r="R43" s="1646">
        <f t="shared" si="99"/>
        <v>22.251092119565214</v>
      </c>
      <c r="S43" s="1647">
        <f t="shared" si="99"/>
        <v>23.22272348027375</v>
      </c>
      <c r="T43" s="1646">
        <f t="shared" si="99"/>
        <v>26.715190018315013</v>
      </c>
      <c r="U43" s="1646">
        <f t="shared" si="99"/>
        <v>25.701721014492755</v>
      </c>
      <c r="V43" s="1664">
        <f t="shared" si="99"/>
        <v>27.180492210144916</v>
      </c>
      <c r="W43" s="1662">
        <f t="shared" si="99"/>
        <v>31.78499773550724</v>
      </c>
      <c r="X43" s="1646">
        <f t="shared" si="99"/>
        <v>31.412413003663001</v>
      </c>
      <c r="Y43" s="1820">
        <f t="shared" si="99"/>
        <v>28.854929800724651</v>
      </c>
      <c r="Z43" s="1821">
        <f t="shared" si="99"/>
        <v>25.233000181159419</v>
      </c>
      <c r="AA43" s="1662">
        <f t="shared" si="99"/>
        <v>22.140641555958133</v>
      </c>
      <c r="AB43" s="1646">
        <f t="shared" si="99"/>
        <v>21.621235119047622</v>
      </c>
      <c r="AC43" s="1820">
        <f t="shared" si="99"/>
        <v>20.30612658514492</v>
      </c>
      <c r="AD43" s="1821">
        <f t="shared" si="99"/>
        <v>16.061473550724639</v>
      </c>
      <c r="AE43" s="1647">
        <f t="shared" si="99"/>
        <v>13.842845198279973</v>
      </c>
      <c r="AF43" s="1643">
        <f t="shared" si="99"/>
        <v>14.911001602564097</v>
      </c>
      <c r="AG43" s="1643">
        <f t="shared" si="99"/>
        <v>23.475191349637686</v>
      </c>
      <c r="AH43" s="1642">
        <f t="shared" si="99"/>
        <v>18.614083197463771</v>
      </c>
      <c r="AI43" s="1643">
        <f t="shared" si="99"/>
        <v>19.355630787037047</v>
      </c>
      <c r="AJ43" s="1643">
        <f t="shared" si="99"/>
        <v>24.49456959706961</v>
      </c>
      <c r="AK43" s="1643">
        <f t="shared" si="99"/>
        <v>22.786469655797116</v>
      </c>
      <c r="AL43" s="1642">
        <f t="shared" si="99"/>
        <v>20.007914900362312</v>
      </c>
      <c r="AM43" s="1643">
        <f t="shared" si="99"/>
        <v>20.159236262077297</v>
      </c>
      <c r="AN43" s="1643">
        <f t="shared" si="99"/>
        <v>22.893873333333332</v>
      </c>
      <c r="AO43" s="1643">
        <f t="shared" si="99"/>
        <v>28.907523333333334</v>
      </c>
      <c r="AP43" s="1642">
        <f t="shared" si="99"/>
        <v>20.204750000000001</v>
      </c>
      <c r="AQ43" s="1643">
        <f t="shared" si="99"/>
        <v>20.922026845642609</v>
      </c>
      <c r="AR43" s="1643">
        <f t="shared" si="99"/>
        <v>19.193142488186361</v>
      </c>
      <c r="AS43" s="1643">
        <f t="shared" si="99"/>
        <v>23.750424272466308</v>
      </c>
      <c r="AT43" s="1642">
        <f t="shared" si="99"/>
        <v>20.145536393704717</v>
      </c>
      <c r="AU43" s="1643">
        <f t="shared" si="99"/>
        <v>21.12106749399333</v>
      </c>
      <c r="AV43" s="1643">
        <f t="shared" si="99"/>
        <v>19.375735482303082</v>
      </c>
      <c r="AW43" s="1643">
        <f t="shared" si="99"/>
        <v>23.97637273724332</v>
      </c>
      <c r="AX43" s="1642">
        <f t="shared" si="99"/>
        <v>20.337189939260277</v>
      </c>
      <c r="AY43" s="1643">
        <f t="shared" ref="AY43:BB43" si="100">IF(ISBLANK(AY186),"",AY186)</f>
        <v>20.82675586398943</v>
      </c>
      <c r="AZ43" s="1643">
        <f t="shared" si="100"/>
        <v>19.105744190719797</v>
      </c>
      <c r="BA43" s="1643">
        <f t="shared" si="100"/>
        <v>23.642273840779588</v>
      </c>
      <c r="BB43" s="1642">
        <f t="shared" si="100"/>
        <v>20.053801255311189</v>
      </c>
      <c r="BC43" s="1489"/>
      <c r="BD43" s="1489"/>
      <c r="BE43" s="1489">
        <f t="shared" si="71"/>
        <v>30.045379830498256</v>
      </c>
      <c r="BF43" s="1489">
        <f t="shared" si="72"/>
        <v>28.244771969920684</v>
      </c>
      <c r="BG43" s="1489">
        <f t="shared" si="73"/>
        <v>20.024976228922796</v>
      </c>
      <c r="BH43" s="1489">
        <f t="shared" si="74"/>
        <v>25.705031680806609</v>
      </c>
      <c r="BI43" s="1489">
        <f t="shared" si="75"/>
        <v>29.321335180263574</v>
      </c>
      <c r="BJ43" s="1489">
        <f t="shared" si="76"/>
        <v>20.032369202718829</v>
      </c>
      <c r="BK43" s="1499">
        <f t="shared" si="77"/>
        <v>17.710780336986382</v>
      </c>
      <c r="BL43" s="1499">
        <f t="shared" si="78"/>
        <v>21.661146235066521</v>
      </c>
      <c r="BM43" s="1499">
        <f t="shared" si="79"/>
        <v>23.041345732185992</v>
      </c>
      <c r="BN43" s="1499">
        <f t="shared" si="80"/>
        <v>21.002782499999999</v>
      </c>
      <c r="BO43" s="1499">
        <f t="shared" si="81"/>
        <v>21.202591413200004</v>
      </c>
      <c r="BP43" s="1499">
        <f t="shared" si="82"/>
        <v>20.907143787700001</v>
      </c>
      <c r="BQ43" s="1499"/>
      <c r="BR43" s="1586"/>
      <c r="BS43" s="1514"/>
      <c r="BT43" s="1515"/>
      <c r="BV43" s="1444"/>
      <c r="BW43" s="1507" t="s">
        <v>807</v>
      </c>
      <c r="BX43" s="1516"/>
      <c r="BY43" s="1516">
        <f>+BP225</f>
        <v>13963.315871403218</v>
      </c>
    </row>
    <row r="44" spans="1:105" ht="12.75" customHeight="1">
      <c r="A44" s="1445"/>
      <c r="B44" s="1446"/>
      <c r="C44" s="1649" t="s">
        <v>812</v>
      </c>
      <c r="D44" s="1649"/>
      <c r="E44" s="1649"/>
      <c r="F44" s="1663"/>
      <c r="G44" s="1647">
        <f t="shared" ref="G44:AX44" si="101">IF(ISBLANK(G187),"",G187)</f>
        <v>33.950079656862755</v>
      </c>
      <c r="H44" s="1646">
        <f t="shared" si="101"/>
        <v>28.455611263736266</v>
      </c>
      <c r="I44" s="1646">
        <f t="shared" si="101"/>
        <v>31.678466938405812</v>
      </c>
      <c r="J44" s="1645">
        <f t="shared" si="101"/>
        <v>25.7597316576087</v>
      </c>
      <c r="K44" s="1647">
        <f t="shared" si="101"/>
        <v>30.071405696457326</v>
      </c>
      <c r="L44" s="1646">
        <f t="shared" si="101"/>
        <v>28.042996794871794</v>
      </c>
      <c r="M44" s="1646">
        <f t="shared" si="101"/>
        <v>31.24979846014493</v>
      </c>
      <c r="N44" s="1645">
        <f t="shared" si="101"/>
        <v>23.630269338768127</v>
      </c>
      <c r="O44" s="1647">
        <f t="shared" si="101"/>
        <v>19.53850324494346</v>
      </c>
      <c r="P44" s="1646">
        <f t="shared" si="101"/>
        <v>17.141556776556776</v>
      </c>
      <c r="Q44" s="1646">
        <f t="shared" si="101"/>
        <v>20.815947690217392</v>
      </c>
      <c r="R44" s="1646">
        <f t="shared" si="101"/>
        <v>22.887461865942033</v>
      </c>
      <c r="S44" s="1647">
        <f t="shared" si="101"/>
        <v>23.199066475442827</v>
      </c>
      <c r="T44" s="1646">
        <f t="shared" si="101"/>
        <v>26.300711996337007</v>
      </c>
      <c r="U44" s="1646">
        <f t="shared" si="101"/>
        <v>25.430877490942027</v>
      </c>
      <c r="V44" s="1664">
        <f t="shared" si="101"/>
        <v>26.785470153985496</v>
      </c>
      <c r="W44" s="1662">
        <f t="shared" si="101"/>
        <v>32.004984551127215</v>
      </c>
      <c r="X44" s="1646">
        <f t="shared" si="101"/>
        <v>31.26213713369965</v>
      </c>
      <c r="Y44" s="1820">
        <f t="shared" si="101"/>
        <v>28.32578691123188</v>
      </c>
      <c r="Z44" s="1821">
        <f t="shared" si="101"/>
        <v>25.307324320652167</v>
      </c>
      <c r="AA44" s="1662">
        <f t="shared" si="101"/>
        <v>22.17571215780999</v>
      </c>
      <c r="AB44" s="1646">
        <f t="shared" si="101"/>
        <v>19.319275412087915</v>
      </c>
      <c r="AC44" s="1820">
        <f t="shared" si="101"/>
        <v>19.897398097826084</v>
      </c>
      <c r="AD44" s="1821">
        <f t="shared" si="101"/>
        <v>15.149004076086959</v>
      </c>
      <c r="AE44" s="1647">
        <f t="shared" si="101"/>
        <v>13.804743092052874</v>
      </c>
      <c r="AF44" s="1643">
        <f t="shared" si="101"/>
        <v>14.6552048992674</v>
      </c>
      <c r="AG44" s="1643">
        <f t="shared" si="101"/>
        <v>20.848108016304352</v>
      </c>
      <c r="AH44" s="1642">
        <f t="shared" si="101"/>
        <v>18.255682925724642</v>
      </c>
      <c r="AI44" s="1643">
        <f t="shared" si="101"/>
        <v>17.694403532608696</v>
      </c>
      <c r="AJ44" s="1643">
        <f t="shared" si="101"/>
        <v>19.575868818681322</v>
      </c>
      <c r="AK44" s="1643">
        <f t="shared" si="101"/>
        <v>21.74405457427536</v>
      </c>
      <c r="AL44" s="1642">
        <f t="shared" si="101"/>
        <v>18.065305072463772</v>
      </c>
      <c r="AM44" s="1643">
        <f t="shared" si="101"/>
        <v>19.286005585748793</v>
      </c>
      <c r="AN44" s="1643">
        <f t="shared" si="101"/>
        <v>20.677206666666667</v>
      </c>
      <c r="AO44" s="1643">
        <f t="shared" si="101"/>
        <v>28.640856666666668</v>
      </c>
      <c r="AP44" s="1642">
        <f t="shared" si="101"/>
        <v>19.388083333333331</v>
      </c>
      <c r="AQ44" s="1643">
        <f t="shared" si="101"/>
        <v>20.204147210285914</v>
      </c>
      <c r="AR44" s="1643">
        <f t="shared" si="101"/>
        <v>17.911730019517361</v>
      </c>
      <c r="AS44" s="1643">
        <f t="shared" si="101"/>
        <v>23.181362548745142</v>
      </c>
      <c r="AT44" s="1642">
        <f t="shared" si="101"/>
        <v>18.447223554651586</v>
      </c>
      <c r="AU44" s="1643">
        <f t="shared" si="101"/>
        <v>20.13301243857838</v>
      </c>
      <c r="AV44" s="1643">
        <f t="shared" si="101"/>
        <v>17.848666391413492</v>
      </c>
      <c r="AW44" s="1643">
        <f t="shared" si="101"/>
        <v>23.099745595769516</v>
      </c>
      <c r="AX44" s="1642">
        <f t="shared" si="101"/>
        <v>18.382274560638621</v>
      </c>
      <c r="AY44" s="1643">
        <f t="shared" ref="AY44:BB44" si="102">IF(ISBLANK(AY187),"",AY187)</f>
        <v>19.630903760724049</v>
      </c>
      <c r="AZ44" s="1643">
        <f t="shared" si="102"/>
        <v>17.403528322254854</v>
      </c>
      <c r="BA44" s="1643">
        <f t="shared" si="102"/>
        <v>22.523647867958136</v>
      </c>
      <c r="BB44" s="1642">
        <f t="shared" si="102"/>
        <v>17.923828533062963</v>
      </c>
      <c r="BC44" s="1489"/>
      <c r="BD44" s="1489"/>
      <c r="BE44" s="1489">
        <f t="shared" si="71"/>
        <v>29.960972379153382</v>
      </c>
      <c r="BF44" s="1489">
        <f t="shared" si="72"/>
        <v>28.248617572560544</v>
      </c>
      <c r="BG44" s="1489">
        <f t="shared" si="73"/>
        <v>20.095867394414917</v>
      </c>
      <c r="BH44" s="1489">
        <f t="shared" si="74"/>
        <v>25.429031529176839</v>
      </c>
      <c r="BI44" s="1489">
        <f t="shared" si="75"/>
        <v>29.22505822917773</v>
      </c>
      <c r="BJ44" s="1489">
        <f t="shared" si="76"/>
        <v>19.135347435952735</v>
      </c>
      <c r="BK44" s="1499">
        <f t="shared" si="77"/>
        <v>16.890934733337318</v>
      </c>
      <c r="BL44" s="1499">
        <f t="shared" si="78"/>
        <v>19.269907999507289</v>
      </c>
      <c r="BM44" s="1499">
        <f t="shared" si="79"/>
        <v>21.998038063103863</v>
      </c>
      <c r="BN44" s="1499">
        <f t="shared" si="80"/>
        <v>19.936115833300001</v>
      </c>
      <c r="BO44" s="1499">
        <f t="shared" si="81"/>
        <v>19.865924746600001</v>
      </c>
      <c r="BP44" s="1499">
        <f t="shared" si="82"/>
        <v>19.370477121</v>
      </c>
      <c r="BQ44" s="1499"/>
      <c r="BR44" s="1586"/>
      <c r="BS44" s="1514"/>
      <c r="BT44" s="1515"/>
      <c r="BV44" s="1444"/>
      <c r="BW44" s="1507" t="s">
        <v>693</v>
      </c>
      <c r="BX44" s="1516"/>
      <c r="BY44" s="1516">
        <f>+BP226</f>
        <v>14645.816247987277</v>
      </c>
      <c r="CA44" s="1921"/>
      <c r="CB44" s="1922" t="s">
        <v>996</v>
      </c>
      <c r="CC44" s="1921"/>
      <c r="CD44" s="1921"/>
      <c r="CE44" s="1921"/>
      <c r="CF44" s="1923"/>
      <c r="CG44" s="1923"/>
      <c r="CH44" s="1923"/>
      <c r="CI44" s="1923"/>
      <c r="CJ44" s="1921"/>
      <c r="CK44" s="1921"/>
      <c r="CL44" s="1921"/>
      <c r="CM44" s="1921"/>
      <c r="CN44" s="1921"/>
      <c r="CO44" s="1921"/>
      <c r="CP44" s="1921"/>
      <c r="CQ44" s="1921"/>
      <c r="CR44" s="1921"/>
      <c r="CS44" s="1921"/>
      <c r="CT44" s="1921"/>
      <c r="CU44" s="1921"/>
      <c r="CV44"/>
      <c r="CW44"/>
      <c r="CX44"/>
      <c r="CY44"/>
      <c r="CZ44"/>
      <c r="DA44"/>
    </row>
    <row r="45" spans="1:105" ht="12.75" customHeight="1">
      <c r="A45" s="1445"/>
      <c r="B45" s="1446"/>
      <c r="C45" s="1649" t="s">
        <v>813</v>
      </c>
      <c r="D45" s="1649"/>
      <c r="E45" s="1649"/>
      <c r="F45" s="1663"/>
      <c r="G45" s="1647">
        <f t="shared" ref="G45:AX45" si="103">IF(ISBLANK(G188),"",G188)</f>
        <v>33.499652267156868</v>
      </c>
      <c r="H45" s="1646">
        <f t="shared" si="103"/>
        <v>28.382862866300375</v>
      </c>
      <c r="I45" s="1646">
        <f t="shared" si="103"/>
        <v>31.812933650362325</v>
      </c>
      <c r="J45" s="1645">
        <f t="shared" si="103"/>
        <v>25.415262409420293</v>
      </c>
      <c r="K45" s="1647">
        <f t="shared" si="103"/>
        <v>29.8071865942029</v>
      </c>
      <c r="L45" s="1646">
        <f t="shared" si="103"/>
        <v>27.334835164835152</v>
      </c>
      <c r="M45" s="1646">
        <f t="shared" si="103"/>
        <v>31.034110054347821</v>
      </c>
      <c r="N45" s="1645">
        <f t="shared" si="103"/>
        <v>23.925171286231883</v>
      </c>
      <c r="O45" s="1647">
        <f t="shared" si="103"/>
        <v>19.365880564182188</v>
      </c>
      <c r="P45" s="1646">
        <f t="shared" si="103"/>
        <v>16.926233974358968</v>
      </c>
      <c r="Q45" s="1646">
        <f t="shared" si="103"/>
        <v>21.107855525362321</v>
      </c>
      <c r="R45" s="1646">
        <f t="shared" si="103"/>
        <v>22.343847056159426</v>
      </c>
      <c r="S45" s="1647">
        <f t="shared" si="103"/>
        <v>23.143879981884069</v>
      </c>
      <c r="T45" s="1646">
        <f t="shared" si="103"/>
        <v>26.316911630036625</v>
      </c>
      <c r="U45" s="1646">
        <f t="shared" si="103"/>
        <v>25.562675498188408</v>
      </c>
      <c r="V45" s="1664">
        <f t="shared" si="103"/>
        <v>26.801473958333329</v>
      </c>
      <c r="W45" s="1662">
        <f t="shared" si="103"/>
        <v>31.796791113123987</v>
      </c>
      <c r="X45" s="1646">
        <f t="shared" si="103"/>
        <v>30.898569139194134</v>
      </c>
      <c r="Y45" s="1820">
        <f t="shared" si="103"/>
        <v>28.542640398550727</v>
      </c>
      <c r="Z45" s="1821">
        <f t="shared" si="103"/>
        <v>25.265815081521733</v>
      </c>
      <c r="AA45" s="1662">
        <f t="shared" si="103"/>
        <v>22.23049803743962</v>
      </c>
      <c r="AB45" s="1646">
        <f t="shared" si="103"/>
        <v>20.495057234432235</v>
      </c>
      <c r="AC45" s="1820">
        <f t="shared" si="103"/>
        <v>20.106205842391308</v>
      </c>
      <c r="AD45" s="1821">
        <f t="shared" si="103"/>
        <v>15.567165081521738</v>
      </c>
      <c r="AE45" s="1647">
        <f t="shared" si="103"/>
        <v>13.567103589345434</v>
      </c>
      <c r="AF45" s="1643">
        <f t="shared" si="103"/>
        <v>14.551979166666674</v>
      </c>
      <c r="AG45" s="1643">
        <f t="shared" si="103"/>
        <v>21.434193840579709</v>
      </c>
      <c r="AH45" s="1642">
        <f t="shared" si="103"/>
        <v>18.581885235507244</v>
      </c>
      <c r="AI45" s="1643">
        <f t="shared" si="103"/>
        <v>17.745814764492753</v>
      </c>
      <c r="AJ45" s="1643">
        <f t="shared" si="103"/>
        <v>21.731801739926734</v>
      </c>
      <c r="AK45" s="1643">
        <f t="shared" si="103"/>
        <v>23.207665307971009</v>
      </c>
      <c r="AL45" s="1642">
        <f t="shared" si="103"/>
        <v>19.342823505434787</v>
      </c>
      <c r="AM45" s="1643">
        <f t="shared" si="103"/>
        <v>19.624934933574881</v>
      </c>
      <c r="AN45" s="1643">
        <f t="shared" si="103"/>
        <v>22.243873333333337</v>
      </c>
      <c r="AO45" s="1643">
        <f t="shared" si="103"/>
        <v>29.724189999999997</v>
      </c>
      <c r="AP45" s="1642">
        <f t="shared" si="103"/>
        <v>20.288083333333333</v>
      </c>
      <c r="AQ45" s="1643">
        <f t="shared" si="103"/>
        <v>21.213743053469752</v>
      </c>
      <c r="AR45" s="1643">
        <f t="shared" si="103"/>
        <v>19.267514968052225</v>
      </c>
      <c r="AS45" s="1643">
        <f t="shared" si="103"/>
        <v>24.088177775796659</v>
      </c>
      <c r="AT45" s="1642">
        <f t="shared" si="103"/>
        <v>19.651694202681362</v>
      </c>
      <c r="AU45" s="1643">
        <f t="shared" si="103"/>
        <v>21.193400009991446</v>
      </c>
      <c r="AV45" s="1643">
        <f t="shared" si="103"/>
        <v>19.249038271425608</v>
      </c>
      <c r="AW45" s="1643">
        <f t="shared" si="103"/>
        <v>24.065078276261332</v>
      </c>
      <c r="AX45" s="1642">
        <f t="shared" si="103"/>
        <v>19.632849095121614</v>
      </c>
      <c r="AY45" s="1643">
        <f t="shared" ref="AY45:BB45" si="104">IF(ISBLANK(AY188),"",AY188)</f>
        <v>20.81512679245602</v>
      </c>
      <c r="AZ45" s="1643">
        <f t="shared" si="104"/>
        <v>18.905469252865018</v>
      </c>
      <c r="BA45" s="1643">
        <f t="shared" si="104"/>
        <v>23.635549527428598</v>
      </c>
      <c r="BB45" s="1642">
        <f t="shared" si="104"/>
        <v>19.282429578050358</v>
      </c>
      <c r="BC45" s="1489"/>
      <c r="BD45" s="1489"/>
      <c r="BE45" s="1489">
        <f t="shared" si="71"/>
        <v>29.777677798309966</v>
      </c>
      <c r="BF45" s="1489">
        <f t="shared" si="72"/>
        <v>28.025325774904438</v>
      </c>
      <c r="BG45" s="1489">
        <f t="shared" si="73"/>
        <v>19.935954280015729</v>
      </c>
      <c r="BH45" s="1489">
        <f t="shared" si="74"/>
        <v>25.45623526711061</v>
      </c>
      <c r="BI45" s="1489">
        <f t="shared" si="75"/>
        <v>29.125953933097648</v>
      </c>
      <c r="BJ45" s="1489">
        <f t="shared" si="76"/>
        <v>19.599731548946224</v>
      </c>
      <c r="BK45" s="1499">
        <f t="shared" si="77"/>
        <v>17.033790458024765</v>
      </c>
      <c r="BL45" s="1499">
        <f t="shared" si="78"/>
        <v>20.507026329456323</v>
      </c>
      <c r="BM45" s="1499">
        <f t="shared" si="79"/>
        <v>22.970270400060386</v>
      </c>
      <c r="BN45" s="1499">
        <f t="shared" si="80"/>
        <v>21.055282500000004</v>
      </c>
      <c r="BO45" s="1499">
        <f t="shared" si="81"/>
        <v>21.0350914132</v>
      </c>
      <c r="BP45" s="1499">
        <f t="shared" si="82"/>
        <v>20.659643787699999</v>
      </c>
      <c r="BQ45" s="1499"/>
      <c r="BR45" s="1586"/>
      <c r="BS45" s="1514"/>
      <c r="BT45" s="1515"/>
      <c r="BV45" s="1444"/>
      <c r="BW45" s="1507" t="s">
        <v>808</v>
      </c>
      <c r="BX45" s="1516"/>
      <c r="BY45" s="1516">
        <f>+BP227</f>
        <v>12041.10747540348</v>
      </c>
      <c r="CA45" s="1921">
        <v>1</v>
      </c>
      <c r="CB45" s="1921" t="s">
        <v>945</v>
      </c>
      <c r="CC45" s="1702">
        <f t="shared" ref="CC45:CJ45" si="105">CD45-0.25</f>
        <v>0</v>
      </c>
      <c r="CD45" s="1702">
        <f t="shared" si="105"/>
        <v>0.25</v>
      </c>
      <c r="CE45" s="1702">
        <f t="shared" si="105"/>
        <v>0.5</v>
      </c>
      <c r="CF45" s="1702">
        <f t="shared" si="105"/>
        <v>0.75</v>
      </c>
      <c r="CG45" s="1702">
        <f t="shared" si="105"/>
        <v>1</v>
      </c>
      <c r="CH45" s="1702">
        <f t="shared" si="105"/>
        <v>1.25</v>
      </c>
      <c r="CI45" s="1702">
        <f t="shared" si="105"/>
        <v>1.5</v>
      </c>
      <c r="CJ45" s="1702">
        <f t="shared" si="105"/>
        <v>1.75</v>
      </c>
      <c r="CK45" s="1702">
        <v>2</v>
      </c>
      <c r="CL45" s="1702">
        <f t="shared" ref="CL45:DA45" si="106">CK45+0.25</f>
        <v>2.25</v>
      </c>
      <c r="CM45" s="1702">
        <f t="shared" si="106"/>
        <v>2.5</v>
      </c>
      <c r="CN45" s="1702">
        <f t="shared" si="106"/>
        <v>2.75</v>
      </c>
      <c r="CO45" s="1702">
        <f t="shared" si="106"/>
        <v>3</v>
      </c>
      <c r="CP45" s="1702">
        <f t="shared" si="106"/>
        <v>3.25</v>
      </c>
      <c r="CQ45" s="1702">
        <f t="shared" si="106"/>
        <v>3.5</v>
      </c>
      <c r="CR45" s="1702">
        <f t="shared" si="106"/>
        <v>3.75</v>
      </c>
      <c r="CS45" s="1702">
        <f t="shared" si="106"/>
        <v>4</v>
      </c>
      <c r="CT45" s="1702">
        <f t="shared" si="106"/>
        <v>4.25</v>
      </c>
      <c r="CU45" s="1702">
        <f t="shared" si="106"/>
        <v>4.5</v>
      </c>
      <c r="CV45" s="1702">
        <f t="shared" si="106"/>
        <v>4.75</v>
      </c>
      <c r="CW45" s="1702">
        <f t="shared" si="106"/>
        <v>5</v>
      </c>
      <c r="CX45" s="1702">
        <f t="shared" si="106"/>
        <v>5.25</v>
      </c>
      <c r="CY45" s="1702">
        <f t="shared" si="106"/>
        <v>5.5</v>
      </c>
      <c r="CZ45" s="1702">
        <f t="shared" si="106"/>
        <v>5.75</v>
      </c>
      <c r="DA45" s="1702">
        <f t="shared" si="106"/>
        <v>6</v>
      </c>
    </row>
    <row r="46" spans="1:105" ht="12.75" customHeight="1">
      <c r="A46" s="1445"/>
      <c r="B46" s="1446"/>
      <c r="C46" s="1649" t="s">
        <v>814</v>
      </c>
      <c r="D46" s="1649"/>
      <c r="E46" s="1649"/>
      <c r="F46" s="1663"/>
      <c r="G46" s="1647">
        <f t="shared" ref="G46:AX46" si="107">IF(ISBLANK(G189),"",G189)</f>
        <v>32.764399999999995</v>
      </c>
      <c r="H46" s="1646">
        <f t="shared" si="107"/>
        <v>26.094333333333331</v>
      </c>
      <c r="I46" s="1646">
        <f t="shared" si="107"/>
        <v>27.91</v>
      </c>
      <c r="J46" s="1645">
        <f t="shared" si="107"/>
        <v>25.807647058823527</v>
      </c>
      <c r="K46" s="1647">
        <f t="shared" si="107"/>
        <v>20.458235294117642</v>
      </c>
      <c r="L46" s="1646">
        <f t="shared" si="107"/>
        <v>15.988181818181818</v>
      </c>
      <c r="M46" s="1646">
        <f t="shared" si="107"/>
        <v>24.526097560975611</v>
      </c>
      <c r="N46" s="1645">
        <f t="shared" si="107"/>
        <v>24.08657894736842</v>
      </c>
      <c r="O46" s="1647">
        <f t="shared" si="107"/>
        <v>19.836734693877553</v>
      </c>
      <c r="P46" s="1646">
        <f t="shared" si="107"/>
        <v>16.344545454545454</v>
      </c>
      <c r="Q46" s="1646">
        <f t="shared" si="107"/>
        <v>20.018333333333338</v>
      </c>
      <c r="R46" s="1646">
        <f t="shared" si="107"/>
        <v>25.022727272727277</v>
      </c>
      <c r="S46" s="1647">
        <f t="shared" si="107"/>
        <v>27.013333333333335</v>
      </c>
      <c r="T46" s="1646">
        <f t="shared" si="107"/>
        <v>26.58642857142857</v>
      </c>
      <c r="U46" s="1646">
        <f t="shared" si="107"/>
        <v>24.336666666666662</v>
      </c>
      <c r="V46" s="1664">
        <f t="shared" si="107"/>
        <v>29.902142857142856</v>
      </c>
      <c r="W46" s="1662">
        <f t="shared" si="107"/>
        <v>37.216206896551725</v>
      </c>
      <c r="X46" s="1646">
        <f t="shared" si="107"/>
        <v>31.198387096774194</v>
      </c>
      <c r="Y46" s="1820">
        <f t="shared" si="107"/>
        <v>31.499310344827585</v>
      </c>
      <c r="Z46" s="1821">
        <f t="shared" si="107"/>
        <v>26.848387096774196</v>
      </c>
      <c r="AA46" s="1662">
        <f t="shared" si="107"/>
        <v>21.951388888888893</v>
      </c>
      <c r="AB46" s="1646">
        <f t="shared" si="107"/>
        <v>21.208409090909093</v>
      </c>
      <c r="AC46" s="1820">
        <f t="shared" si="107"/>
        <v>23.832173913043476</v>
      </c>
      <c r="AD46" s="1821">
        <f t="shared" si="107"/>
        <v>19.805555555555557</v>
      </c>
      <c r="AE46" s="1647">
        <f t="shared" si="107"/>
        <v>16.825681818181817</v>
      </c>
      <c r="AF46" s="1643">
        <f t="shared" si="107"/>
        <v>16.068333333333332</v>
      </c>
      <c r="AG46" s="1643">
        <f t="shared" si="107"/>
        <v>22.099565217391302</v>
      </c>
      <c r="AH46" s="1642">
        <f t="shared" si="107"/>
        <v>21.735135135135135</v>
      </c>
      <c r="AI46" s="1643">
        <f t="shared" si="107"/>
        <v>20.877073170731702</v>
      </c>
      <c r="AJ46" s="1643">
        <f t="shared" si="107"/>
        <v>21.894222222222222</v>
      </c>
      <c r="AK46" s="1643">
        <f t="shared" si="107"/>
        <v>23.702653061224492</v>
      </c>
      <c r="AL46" s="1642">
        <f t="shared" si="107"/>
        <v>23.66375</v>
      </c>
      <c r="AM46" s="1643">
        <f t="shared" si="107"/>
        <v>23.66375</v>
      </c>
      <c r="AN46" s="1643">
        <f t="shared" si="107"/>
        <v>21.866666666666664</v>
      </c>
      <c r="AO46" s="1643">
        <f t="shared" si="107"/>
        <v>25.5</v>
      </c>
      <c r="AP46" s="1642">
        <f t="shared" si="107"/>
        <v>21.55</v>
      </c>
      <c r="AQ46" s="1643">
        <f t="shared" si="107"/>
        <v>24.836427915484958</v>
      </c>
      <c r="AR46" s="1643">
        <f t="shared" si="107"/>
        <v>21.765546372753509</v>
      </c>
      <c r="AS46" s="1643">
        <f t="shared" si="107"/>
        <v>25.429054178110412</v>
      </c>
      <c r="AT46" s="1642">
        <f t="shared" si="107"/>
        <v>25.75230486685113</v>
      </c>
      <c r="AU46" s="1643">
        <f t="shared" si="107"/>
        <v>28.091790633507216</v>
      </c>
      <c r="AV46" s="1643">
        <f t="shared" si="107"/>
        <v>24.61840220372709</v>
      </c>
      <c r="AW46" s="1643">
        <f t="shared" si="107"/>
        <v>28.762093663807821</v>
      </c>
      <c r="AX46" s="1642">
        <f t="shared" si="107"/>
        <v>29.127713498557874</v>
      </c>
      <c r="AY46" s="1643">
        <f t="shared" ref="AY46:BB46" si="108">IF(ISBLANK(AY189),"",AY189)</f>
        <v>30.585169880556695</v>
      </c>
      <c r="AZ46" s="1643">
        <f t="shared" si="108"/>
        <v>26.803489439749491</v>
      </c>
      <c r="BA46" s="1643">
        <f t="shared" si="108"/>
        <v>31.314967860353057</v>
      </c>
      <c r="BB46" s="1642">
        <f t="shared" si="108"/>
        <v>31.713039485740765</v>
      </c>
      <c r="BC46" s="1489"/>
      <c r="BD46" s="1489"/>
      <c r="BE46" s="1489">
        <f t="shared" si="71"/>
        <v>28.144095098039216</v>
      </c>
      <c r="BF46" s="1489">
        <f t="shared" si="72"/>
        <v>21.264773405160874</v>
      </c>
      <c r="BG46" s="1489">
        <f t="shared" si="73"/>
        <v>20.305585188620906</v>
      </c>
      <c r="BH46" s="1489">
        <f t="shared" si="74"/>
        <v>26.959642857142853</v>
      </c>
      <c r="BI46" s="1489">
        <f t="shared" si="75"/>
        <v>31.690572858731926</v>
      </c>
      <c r="BJ46" s="1489">
        <f t="shared" si="76"/>
        <v>21.699381862099255</v>
      </c>
      <c r="BK46" s="1499">
        <f t="shared" si="77"/>
        <v>19.182178876010397</v>
      </c>
      <c r="BL46" s="1499">
        <f t="shared" si="78"/>
        <v>22.534424613544601</v>
      </c>
      <c r="BM46" s="1499">
        <f t="shared" si="79"/>
        <v>23.145104166666666</v>
      </c>
      <c r="BN46" s="1499">
        <f t="shared" si="80"/>
        <v>24.445833333300005</v>
      </c>
      <c r="BO46" s="1499">
        <f t="shared" si="81"/>
        <v>27.649999999899997</v>
      </c>
      <c r="BP46" s="1499">
        <f t="shared" si="82"/>
        <v>30.104166666600005</v>
      </c>
      <c r="BQ46" s="1499"/>
      <c r="BR46" s="1586"/>
      <c r="BS46" s="1514"/>
      <c r="BT46" s="1515"/>
      <c r="BV46" s="1444"/>
      <c r="BW46" s="1507" t="s">
        <v>809</v>
      </c>
      <c r="BX46" s="1516"/>
      <c r="BY46" s="1516">
        <f>+BP228</f>
        <v>11910.971532855161</v>
      </c>
      <c r="CA46" s="1921">
        <v>2</v>
      </c>
      <c r="CB46" s="1839" t="s">
        <v>807</v>
      </c>
      <c r="CC46" s="1924">
        <v>0.3</v>
      </c>
      <c r="CD46" s="1924">
        <v>0.3</v>
      </c>
      <c r="CE46" s="1924">
        <v>0.3</v>
      </c>
      <c r="CF46" s="1924">
        <v>0.35</v>
      </c>
      <c r="CG46" s="1924">
        <v>0.35</v>
      </c>
      <c r="CH46" s="1924">
        <v>0.35</v>
      </c>
      <c r="CI46" s="1924">
        <v>0.4</v>
      </c>
      <c r="CJ46" s="1924">
        <v>0.4</v>
      </c>
      <c r="CK46" s="1924">
        <v>0.4</v>
      </c>
      <c r="CL46" s="1924">
        <v>0.45</v>
      </c>
      <c r="CM46" s="1924">
        <v>0.45</v>
      </c>
      <c r="CN46" s="1924">
        <v>0.5</v>
      </c>
      <c r="CO46" s="1924">
        <v>0.5</v>
      </c>
      <c r="CP46" s="1924">
        <v>0.5</v>
      </c>
      <c r="CQ46" s="1924">
        <v>0.55000000000000004</v>
      </c>
      <c r="CR46" s="1924">
        <v>0.6</v>
      </c>
      <c r="CS46" s="1924">
        <v>0.65</v>
      </c>
      <c r="CT46" s="1924">
        <v>0.65</v>
      </c>
      <c r="CU46" s="1924">
        <v>0.65</v>
      </c>
      <c r="CV46" s="1924">
        <v>0.65</v>
      </c>
      <c r="CW46" s="1924">
        <v>0.65</v>
      </c>
      <c r="CX46" s="1924">
        <v>0.65</v>
      </c>
      <c r="CY46" s="1924">
        <v>0.65</v>
      </c>
      <c r="CZ46" s="1924">
        <v>0.65</v>
      </c>
      <c r="DA46" s="1924">
        <v>0.65</v>
      </c>
    </row>
    <row r="47" spans="1:105" ht="12.75" customHeight="1">
      <c r="A47" s="1445"/>
      <c r="B47" s="1446"/>
      <c r="C47" s="1649" t="s">
        <v>815</v>
      </c>
      <c r="D47" s="1649"/>
      <c r="E47" s="1649"/>
      <c r="F47" s="1663"/>
      <c r="G47" s="1647">
        <f t="shared" ref="G47:AX47" si="109">IF(ISBLANK(G190),"",G190)</f>
        <v>38.363481000287337</v>
      </c>
      <c r="H47" s="1646">
        <f t="shared" si="109"/>
        <v>18.396992540064101</v>
      </c>
      <c r="I47" s="1646">
        <f t="shared" si="109"/>
        <v>24.471085883152178</v>
      </c>
      <c r="J47" s="1645">
        <f t="shared" si="109"/>
        <v>26.837953423097826</v>
      </c>
      <c r="K47" s="1647">
        <f t="shared" si="109"/>
        <v>18.974865649255229</v>
      </c>
      <c r="L47" s="1646">
        <f t="shared" si="109"/>
        <v>10.592114644001832</v>
      </c>
      <c r="M47" s="1646">
        <f t="shared" si="109"/>
        <v>23.428638822463746</v>
      </c>
      <c r="N47" s="1645">
        <f t="shared" si="109"/>
        <v>24.040611232563403</v>
      </c>
      <c r="O47" s="1647">
        <f t="shared" si="109"/>
        <v>19.574844206780533</v>
      </c>
      <c r="P47" s="1646">
        <f t="shared" si="109"/>
        <v>14.132461858974361</v>
      </c>
      <c r="Q47" s="1646">
        <f t="shared" si="109"/>
        <v>19.690949210824268</v>
      </c>
      <c r="R47" s="1646">
        <f t="shared" si="109"/>
        <v>27.320213811911241</v>
      </c>
      <c r="S47" s="1647">
        <f t="shared" si="109"/>
        <v>34.906394377365146</v>
      </c>
      <c r="T47" s="1646">
        <f t="shared" si="109"/>
        <v>29.51015124084249</v>
      </c>
      <c r="U47" s="1646">
        <f t="shared" si="109"/>
        <v>32.575099427083344</v>
      </c>
      <c r="V47" s="1664">
        <f t="shared" si="109"/>
        <v>37.361519796557985</v>
      </c>
      <c r="W47" s="1662">
        <f t="shared" si="109"/>
        <v>42.627117423409828</v>
      </c>
      <c r="X47" s="1646">
        <f t="shared" si="109"/>
        <v>21.235009505690744</v>
      </c>
      <c r="Y47" s="1820">
        <f t="shared" si="109"/>
        <v>33.125406867559512</v>
      </c>
      <c r="Z47" s="1821">
        <f t="shared" si="109"/>
        <v>32.544144284297367</v>
      </c>
      <c r="AA47" s="1662">
        <f t="shared" si="109"/>
        <v>24.552941132037905</v>
      </c>
      <c r="AB47" s="1646">
        <f t="shared" si="109"/>
        <v>25.405648776654878</v>
      </c>
      <c r="AC47" s="1820">
        <f t="shared" si="109"/>
        <v>28.41391110280798</v>
      </c>
      <c r="AD47" s="1821">
        <f t="shared" si="109"/>
        <v>25.53134713495729</v>
      </c>
      <c r="AE47" s="1647">
        <f t="shared" si="109"/>
        <v>20.780798292565343</v>
      </c>
      <c r="AF47" s="1643">
        <f t="shared" si="109"/>
        <v>18.439791219093404</v>
      </c>
      <c r="AG47" s="1643">
        <f t="shared" si="109"/>
        <v>27.717085095270448</v>
      </c>
      <c r="AH47" s="1642">
        <f t="shared" si="109"/>
        <v>27.225998677746944</v>
      </c>
      <c r="AI47" s="1643">
        <f t="shared" si="109"/>
        <v>23.502615202110384</v>
      </c>
      <c r="AJ47" s="1643">
        <f t="shared" si="109"/>
        <v>22.058978634484564</v>
      </c>
      <c r="AK47" s="1643">
        <f t="shared" si="109"/>
        <v>29.16276689554218</v>
      </c>
      <c r="AL47" s="1642">
        <f t="shared" si="109"/>
        <v>31.166413735261386</v>
      </c>
      <c r="AM47" s="1643">
        <f t="shared" si="109"/>
        <v>27.79077055530394</v>
      </c>
      <c r="AN47" s="1643">
        <f t="shared" si="109"/>
        <v>23.866666666666671</v>
      </c>
      <c r="AO47" s="1643">
        <f t="shared" si="109"/>
        <v>32.4</v>
      </c>
      <c r="AP47" s="1642">
        <f t="shared" si="109"/>
        <v>31.849999999999998</v>
      </c>
      <c r="AQ47" s="1643">
        <f t="shared" si="109"/>
        <v>32.001911923859012</v>
      </c>
      <c r="AR47" s="1643">
        <f t="shared" si="109"/>
        <v>23.464576991634761</v>
      </c>
      <c r="AS47" s="1643">
        <f t="shared" si="109"/>
        <v>31.792406772147991</v>
      </c>
      <c r="AT47" s="1642">
        <f t="shared" si="109"/>
        <v>34.124437645558224</v>
      </c>
      <c r="AU47" s="1643">
        <f t="shared" si="109"/>
        <v>35.011840479141661</v>
      </c>
      <c r="AV47" s="1643">
        <f t="shared" si="109"/>
        <v>25.671529516621057</v>
      </c>
      <c r="AW47" s="1643">
        <f t="shared" si="109"/>
        <v>34.782630394171832</v>
      </c>
      <c r="AX47" s="1642">
        <f t="shared" si="109"/>
        <v>37.333999610065447</v>
      </c>
      <c r="AY47" s="1643">
        <f t="shared" ref="AY47:BB47" si="110">IF(ISBLANK(AY190),"",AY190)</f>
        <v>36.703552148808996</v>
      </c>
      <c r="AZ47" s="1643">
        <f t="shared" si="110"/>
        <v>26.911933490452423</v>
      </c>
      <c r="BA47" s="1643">
        <f t="shared" si="110"/>
        <v>36.46326702835853</v>
      </c>
      <c r="BB47" s="1642">
        <f t="shared" si="110"/>
        <v>39.137913998780029</v>
      </c>
      <c r="BC47" s="1489"/>
      <c r="BD47" s="1489"/>
      <c r="BE47" s="1489">
        <f t="shared" si="71"/>
        <v>27.017378211650364</v>
      </c>
      <c r="BF47" s="1489">
        <f t="shared" si="72"/>
        <v>19.259057587071052</v>
      </c>
      <c r="BG47" s="1489">
        <f t="shared" si="73"/>
        <v>20.179617272122602</v>
      </c>
      <c r="BH47" s="1489">
        <f t="shared" si="74"/>
        <v>33.588291210462245</v>
      </c>
      <c r="BI47" s="1489">
        <f t="shared" si="75"/>
        <v>32.382919520239362</v>
      </c>
      <c r="BJ47" s="1489">
        <f t="shared" si="76"/>
        <v>25.975962036614511</v>
      </c>
      <c r="BK47" s="1499">
        <f t="shared" si="77"/>
        <v>23.540918321169034</v>
      </c>
      <c r="BL47" s="1499">
        <f t="shared" si="78"/>
        <v>26.472693616849629</v>
      </c>
      <c r="BM47" s="1499">
        <f t="shared" si="79"/>
        <v>28.976859305492653</v>
      </c>
      <c r="BN47" s="1499">
        <f t="shared" si="80"/>
        <v>30.3458333333</v>
      </c>
      <c r="BO47" s="1499">
        <f t="shared" si="81"/>
        <v>33.200000000000003</v>
      </c>
      <c r="BP47" s="1499">
        <f t="shared" si="82"/>
        <v>34.804166666599997</v>
      </c>
      <c r="BQ47" s="1499"/>
      <c r="BR47" s="1586"/>
      <c r="BS47" s="1514"/>
      <c r="BT47" s="1515"/>
      <c r="BV47" s="1444"/>
      <c r="BW47" s="1507" t="s">
        <v>810</v>
      </c>
      <c r="BX47" s="1516"/>
      <c r="BY47" s="1516">
        <f>+BP229</f>
        <v>10978.293662399825</v>
      </c>
      <c r="CA47" s="1921">
        <v>3</v>
      </c>
      <c r="CB47" s="1839" t="s">
        <v>693</v>
      </c>
      <c r="CC47" s="1924">
        <v>0.35</v>
      </c>
      <c r="CD47" s="1924">
        <v>0.35</v>
      </c>
      <c r="CE47" s="1924">
        <v>0.35</v>
      </c>
      <c r="CF47" s="1924">
        <v>0.35</v>
      </c>
      <c r="CG47" s="1924">
        <v>0.4</v>
      </c>
      <c r="CH47" s="1924">
        <v>0.45</v>
      </c>
      <c r="CI47" s="1924">
        <v>0.5</v>
      </c>
      <c r="CJ47" s="1924">
        <v>0.5</v>
      </c>
      <c r="CK47" s="1924">
        <v>0.55000000000000004</v>
      </c>
      <c r="CL47" s="1924">
        <v>0.6</v>
      </c>
      <c r="CM47" s="1924">
        <v>0.65</v>
      </c>
      <c r="CN47" s="1924">
        <v>0.65</v>
      </c>
      <c r="CO47" s="1924">
        <v>0.7</v>
      </c>
      <c r="CP47" s="1924">
        <v>0.75</v>
      </c>
      <c r="CQ47" s="1924">
        <v>0.75</v>
      </c>
      <c r="CR47" s="1924">
        <v>0.75</v>
      </c>
      <c r="CS47" s="1924">
        <v>0.75</v>
      </c>
      <c r="CT47" s="1924">
        <v>0.75</v>
      </c>
      <c r="CU47" s="1924">
        <v>0.8</v>
      </c>
      <c r="CV47" s="1924">
        <v>0.8</v>
      </c>
      <c r="CW47" s="1924">
        <v>0.8</v>
      </c>
      <c r="CX47" s="1924">
        <v>0.8</v>
      </c>
      <c r="CY47" s="1924">
        <v>0.8</v>
      </c>
      <c r="CZ47" s="1924">
        <v>0.8</v>
      </c>
      <c r="DA47" s="1924">
        <v>0.8</v>
      </c>
    </row>
    <row r="48" spans="1:105" ht="12.75" customHeight="1">
      <c r="A48" s="1445"/>
      <c r="B48" s="1446"/>
      <c r="C48" s="1649" t="s">
        <v>816</v>
      </c>
      <c r="D48" s="1649"/>
      <c r="E48" s="1649"/>
      <c r="F48" s="1663"/>
      <c r="G48" s="1647">
        <f t="shared" ref="G48:AX48" si="111">IF(ISBLANK(G191),"",G191)</f>
        <v>35.650621540673335</v>
      </c>
      <c r="H48" s="1646">
        <f t="shared" si="111"/>
        <v>19.113250432692308</v>
      </c>
      <c r="I48" s="1646">
        <f t="shared" si="111"/>
        <v>25.547545279664849</v>
      </c>
      <c r="J48" s="1645">
        <f t="shared" si="111"/>
        <v>27.749613651449284</v>
      </c>
      <c r="K48" s="1647">
        <f t="shared" si="111"/>
        <v>18.722317882447662</v>
      </c>
      <c r="L48" s="1646">
        <f t="shared" si="111"/>
        <v>9.3984892651098875</v>
      </c>
      <c r="M48" s="1646">
        <f t="shared" si="111"/>
        <v>23.640035421195652</v>
      </c>
      <c r="N48" s="1645">
        <f t="shared" si="111"/>
        <v>25.15623199827899</v>
      </c>
      <c r="O48" s="1647">
        <f t="shared" si="111"/>
        <v>20.248332309583525</v>
      </c>
      <c r="P48" s="1646">
        <f t="shared" si="111"/>
        <v>12.638521983745417</v>
      </c>
      <c r="Q48" s="1646">
        <f t="shared" si="111"/>
        <v>18.538177578124998</v>
      </c>
      <c r="R48" s="1646">
        <f t="shared" si="111"/>
        <v>27.611688596331518</v>
      </c>
      <c r="S48" s="1647">
        <f t="shared" si="111"/>
        <v>32.535625475191225</v>
      </c>
      <c r="T48" s="1646">
        <f t="shared" si="111"/>
        <v>29.389078711080582</v>
      </c>
      <c r="U48" s="1646">
        <f t="shared" si="111"/>
        <v>33.408651492300713</v>
      </c>
      <c r="V48" s="1664">
        <f t="shared" si="111"/>
        <v>39.111093514039872</v>
      </c>
      <c r="W48" s="1662">
        <f t="shared" si="111"/>
        <v>43.573062782256443</v>
      </c>
      <c r="X48" s="1646">
        <f t="shared" si="111"/>
        <v>25.133060753891947</v>
      </c>
      <c r="Y48" s="1820">
        <f t="shared" si="111"/>
        <v>33.672098231107654</v>
      </c>
      <c r="Z48" s="1821">
        <f t="shared" si="111"/>
        <v>32.79430912681805</v>
      </c>
      <c r="AA48" s="1662">
        <f t="shared" si="111"/>
        <v>25.992472138601332</v>
      </c>
      <c r="AB48" s="1646">
        <f t="shared" si="111"/>
        <v>27.16867147632129</v>
      </c>
      <c r="AC48" s="1820">
        <f t="shared" si="111"/>
        <v>27.614825502717384</v>
      </c>
      <c r="AD48" s="1821">
        <f t="shared" si="111"/>
        <v>26.110869571577393</v>
      </c>
      <c r="AE48" s="1647">
        <f t="shared" si="111"/>
        <v>20.11139374158903</v>
      </c>
      <c r="AF48" s="1643">
        <f t="shared" si="111"/>
        <v>21.2270874957483</v>
      </c>
      <c r="AG48" s="1643">
        <f t="shared" si="111"/>
        <v>29.189901377458604</v>
      </c>
      <c r="AH48" s="1642">
        <f t="shared" si="111"/>
        <v>28.44518337338728</v>
      </c>
      <c r="AI48" s="1643">
        <f t="shared" si="111"/>
        <v>24.123383839646465</v>
      </c>
      <c r="AJ48" s="1643">
        <f t="shared" si="111"/>
        <v>20.910626551641812</v>
      </c>
      <c r="AK48" s="1643">
        <f t="shared" si="111"/>
        <v>30.198757360248454</v>
      </c>
      <c r="AL48" s="1642">
        <f t="shared" si="111"/>
        <v>30.953927045121635</v>
      </c>
      <c r="AM48" s="1643">
        <f t="shared" si="111"/>
        <v>29.637675953200478</v>
      </c>
      <c r="AN48" s="1643">
        <f t="shared" si="111"/>
        <v>24.700000000000003</v>
      </c>
      <c r="AO48" s="1643">
        <f t="shared" si="111"/>
        <v>32.199999999999996</v>
      </c>
      <c r="AP48" s="1642">
        <f t="shared" si="111"/>
        <v>32.1</v>
      </c>
      <c r="AQ48" s="1643">
        <f t="shared" si="111"/>
        <v>32.382642291161041</v>
      </c>
      <c r="AR48" s="1643">
        <f t="shared" si="111"/>
        <v>24.129274044874869</v>
      </c>
      <c r="AS48" s="1643">
        <f t="shared" si="111"/>
        <v>32.172365393166494</v>
      </c>
      <c r="AT48" s="1642">
        <f t="shared" si="111"/>
        <v>36.099051603997601</v>
      </c>
      <c r="AU48" s="1643">
        <f t="shared" si="111"/>
        <v>35.345392387291405</v>
      </c>
      <c r="AV48" s="1643">
        <f t="shared" si="111"/>
        <v>26.336907639231747</v>
      </c>
      <c r="AW48" s="1643">
        <f t="shared" si="111"/>
        <v>35.115876852309</v>
      </c>
      <c r="AX48" s="1642">
        <f t="shared" si="111"/>
        <v>39.401823121167837</v>
      </c>
      <c r="AY48" s="1643">
        <f t="shared" ref="AY48:BB48" si="112">IF(ISBLANK(AY191),"",AY191)</f>
        <v>37.010587696706686</v>
      </c>
      <c r="AZ48" s="1643">
        <f t="shared" si="112"/>
        <v>27.577694403877224</v>
      </c>
      <c r="BA48" s="1643">
        <f t="shared" si="112"/>
        <v>36.770259205169637</v>
      </c>
      <c r="BB48" s="1642">
        <f t="shared" si="112"/>
        <v>41.258125360646446</v>
      </c>
      <c r="BC48" s="1489"/>
      <c r="BD48" s="1489"/>
      <c r="BE48" s="1489">
        <f t="shared" si="71"/>
        <v>27.015257726119941</v>
      </c>
      <c r="BF48" s="1489">
        <f t="shared" si="72"/>
        <v>19.229268641758047</v>
      </c>
      <c r="BG48" s="1489">
        <f t="shared" si="73"/>
        <v>19.759180116946364</v>
      </c>
      <c r="BH48" s="1489">
        <f t="shared" si="74"/>
        <v>33.611112298153103</v>
      </c>
      <c r="BI48" s="1489">
        <f t="shared" si="75"/>
        <v>33.793132723518525</v>
      </c>
      <c r="BJ48" s="1489">
        <f t="shared" si="76"/>
        <v>26.72170967230435</v>
      </c>
      <c r="BK48" s="1499">
        <f t="shared" si="77"/>
        <v>24.743391497045803</v>
      </c>
      <c r="BL48" s="1499">
        <f t="shared" si="78"/>
        <v>26.54667369916459</v>
      </c>
      <c r="BM48" s="1499">
        <f t="shared" si="79"/>
        <v>29.659418988300118</v>
      </c>
      <c r="BN48" s="1499">
        <f t="shared" si="80"/>
        <v>31.195833333300001</v>
      </c>
      <c r="BO48" s="1499">
        <f t="shared" si="81"/>
        <v>34.049999999999997</v>
      </c>
      <c r="BP48" s="1499">
        <f t="shared" si="82"/>
        <v>35.654166666599998</v>
      </c>
      <c r="BQ48" s="1499"/>
      <c r="BR48" s="1586"/>
      <c r="BS48" s="1514"/>
      <c r="BT48" s="1515"/>
      <c r="BV48" s="1444"/>
      <c r="BW48" s="1443"/>
      <c r="BX48" s="1443"/>
      <c r="CA48" s="1921">
        <v>4</v>
      </c>
      <c r="CB48" s="1839" t="s">
        <v>808</v>
      </c>
      <c r="CC48" s="1924">
        <v>0.2</v>
      </c>
      <c r="CD48" s="1924">
        <v>0.2</v>
      </c>
      <c r="CE48" s="1924">
        <v>0.2</v>
      </c>
      <c r="CF48" s="1924">
        <v>0.2</v>
      </c>
      <c r="CG48" s="1924">
        <v>0.2</v>
      </c>
      <c r="CH48" s="1924">
        <v>0.2</v>
      </c>
      <c r="CI48" s="1924">
        <v>0.2</v>
      </c>
      <c r="CJ48" s="1924">
        <v>0.2</v>
      </c>
      <c r="CK48" s="1924">
        <v>0.25</v>
      </c>
      <c r="CL48" s="1924">
        <v>0.25</v>
      </c>
      <c r="CM48" s="1924">
        <v>0.25</v>
      </c>
      <c r="CN48" s="1924">
        <v>0.35</v>
      </c>
      <c r="CO48" s="1924">
        <v>0.35</v>
      </c>
      <c r="CP48" s="1924">
        <v>0.4</v>
      </c>
      <c r="CQ48" s="1924">
        <v>0.4</v>
      </c>
      <c r="CR48" s="1924">
        <v>0.45</v>
      </c>
      <c r="CS48" s="1924">
        <v>0.45</v>
      </c>
      <c r="CT48" s="1924">
        <v>0.5</v>
      </c>
      <c r="CU48" s="1924">
        <v>0.5</v>
      </c>
      <c r="CV48" s="1924">
        <v>0.5</v>
      </c>
      <c r="CW48" s="1924">
        <v>0.5</v>
      </c>
      <c r="CX48" s="1924">
        <v>0.55000000000000004</v>
      </c>
      <c r="CY48" s="1924">
        <v>0.55000000000000004</v>
      </c>
      <c r="CZ48" s="1924">
        <v>0.55000000000000004</v>
      </c>
      <c r="DA48" s="1924">
        <v>0.55000000000000004</v>
      </c>
    </row>
    <row r="49" spans="1:105" ht="13.5" customHeight="1">
      <c r="A49" s="1445"/>
      <c r="B49" s="1446"/>
      <c r="C49" s="1649" t="s">
        <v>817</v>
      </c>
      <c r="D49" s="1649"/>
      <c r="E49" s="1649"/>
      <c r="F49" s="1663"/>
      <c r="G49" s="1669">
        <f t="shared" ref="G49:AX49" si="113">IF(ISBLANK(G192),"",G192)</f>
        <v>37.191702127659582</v>
      </c>
      <c r="H49" s="1670">
        <f t="shared" si="113"/>
        <v>20.846551724137928</v>
      </c>
      <c r="I49" s="1670">
        <f t="shared" si="113"/>
        <v>25.973666666666677</v>
      </c>
      <c r="J49" s="1671">
        <f t="shared" si="113"/>
        <v>29.371206896551723</v>
      </c>
      <c r="K49" s="1669">
        <f t="shared" si="113"/>
        <v>16.248095238095239</v>
      </c>
      <c r="L49" s="1670">
        <f t="shared" si="113"/>
        <v>8.8706896551724146</v>
      </c>
      <c r="M49" s="1670">
        <f t="shared" si="113"/>
        <v>19.931132075471702</v>
      </c>
      <c r="N49" s="1671">
        <f t="shared" si="113"/>
        <v>27.305689655172419</v>
      </c>
      <c r="O49" s="1669">
        <f t="shared" si="113"/>
        <v>19.371833333333331</v>
      </c>
      <c r="P49" s="1670">
        <f t="shared" si="113"/>
        <v>7.370967741935433E-2</v>
      </c>
      <c r="Q49" s="1670">
        <f t="shared" si="113"/>
        <v>13.051400000000001</v>
      </c>
      <c r="R49" s="1670">
        <f t="shared" si="113"/>
        <v>25.025692307692317</v>
      </c>
      <c r="S49" s="1669">
        <f t="shared" si="113"/>
        <v>26.816410256410261</v>
      </c>
      <c r="T49" s="1670">
        <f t="shared" si="113"/>
        <v>17.528181818181817</v>
      </c>
      <c r="U49" s="1670">
        <f t="shared" si="113"/>
        <v>23.521739130434778</v>
      </c>
      <c r="V49" s="1672">
        <f t="shared" si="113"/>
        <v>37.909999999999997</v>
      </c>
      <c r="W49" s="1673">
        <f t="shared" si="113"/>
        <v>24.855277777777776</v>
      </c>
      <c r="X49" s="1670">
        <f t="shared" si="113"/>
        <v>13.964473684210526</v>
      </c>
      <c r="Y49" s="1822">
        <f t="shared" si="113"/>
        <v>27.640666666666668</v>
      </c>
      <c r="Z49" s="1823">
        <f t="shared" si="113"/>
        <v>27.14555555555555</v>
      </c>
      <c r="AA49" s="1673">
        <f t="shared" si="113"/>
        <v>15.056279069767442</v>
      </c>
      <c r="AB49" s="1670">
        <f t="shared" si="113"/>
        <v>22.67235294117647</v>
      </c>
      <c r="AC49" s="1822">
        <f t="shared" si="113"/>
        <v>22.541666666666668</v>
      </c>
      <c r="AD49" s="1823">
        <f t="shared" si="113"/>
        <v>19.292727272727276</v>
      </c>
      <c r="AE49" s="1669">
        <f t="shared" si="113"/>
        <v>14.811363636363636</v>
      </c>
      <c r="AF49" s="1674">
        <f t="shared" si="113"/>
        <v>10.678222222222219</v>
      </c>
      <c r="AG49" s="1674">
        <f t="shared" si="113"/>
        <v>23.4837037037037</v>
      </c>
      <c r="AH49" s="1675">
        <f t="shared" si="113"/>
        <v>18.550377358490564</v>
      </c>
      <c r="AI49" s="1674">
        <f t="shared" si="113"/>
        <v>17.034905660377362</v>
      </c>
      <c r="AJ49" s="1674">
        <f t="shared" si="113"/>
        <v>3.7259375000000001</v>
      </c>
      <c r="AK49" s="1674">
        <f t="shared" si="113"/>
        <v>23.68</v>
      </c>
      <c r="AL49" s="1675">
        <f t="shared" si="113"/>
        <v>22.81</v>
      </c>
      <c r="AM49" s="1674">
        <f t="shared" si="113"/>
        <v>17.439166666666669</v>
      </c>
      <c r="AN49" s="1674">
        <f t="shared" si="113"/>
        <v>5.3999999999999995</v>
      </c>
      <c r="AO49" s="1674">
        <f t="shared" si="113"/>
        <v>17.400000000000002</v>
      </c>
      <c r="AP49" s="1675">
        <f t="shared" si="113"/>
        <v>20.55</v>
      </c>
      <c r="AQ49" s="1674">
        <f t="shared" si="113"/>
        <v>24.123736367380481</v>
      </c>
      <c r="AR49" s="1674">
        <f t="shared" si="113"/>
        <v>9.8099081391649516</v>
      </c>
      <c r="AS49" s="1674">
        <f t="shared" si="113"/>
        <v>22.519600445252877</v>
      </c>
      <c r="AT49" s="1675">
        <f t="shared" si="113"/>
        <v>19.730088381401686</v>
      </c>
      <c r="AU49" s="1674">
        <f t="shared" si="113"/>
        <v>28.308843114166567</v>
      </c>
      <c r="AV49" s="1674">
        <f t="shared" si="113"/>
        <v>11.511780192205842</v>
      </c>
      <c r="AW49" s="1674">
        <f t="shared" si="113"/>
        <v>26.426413648774417</v>
      </c>
      <c r="AX49" s="1675">
        <f t="shared" si="113"/>
        <v>23.152963044853177</v>
      </c>
      <c r="AY49" s="1674">
        <f t="shared" ref="AY49:BB49" si="114">IF(ISBLANK(AY192),"",AY192)</f>
        <v>30.974011975501607</v>
      </c>
      <c r="AZ49" s="1674">
        <f t="shared" si="114"/>
        <v>12.59557008722444</v>
      </c>
      <c r="BA49" s="1674">
        <f t="shared" si="114"/>
        <v>28.914359005263648</v>
      </c>
      <c r="BB49" s="1675">
        <f t="shared" si="114"/>
        <v>25.332725598410299</v>
      </c>
      <c r="BC49" s="1489"/>
      <c r="BD49" s="1489"/>
      <c r="BE49" s="1489">
        <f t="shared" si="71"/>
        <v>28.345781853753977</v>
      </c>
      <c r="BF49" s="1489">
        <f t="shared" si="72"/>
        <v>18.088901655977942</v>
      </c>
      <c r="BG49" s="1489">
        <f t="shared" si="73"/>
        <v>14.380658829611251</v>
      </c>
      <c r="BH49" s="1489">
        <f t="shared" si="74"/>
        <v>26.444082801256712</v>
      </c>
      <c r="BI49" s="1489">
        <f t="shared" si="75"/>
        <v>23.401493421052628</v>
      </c>
      <c r="BJ49" s="1489">
        <f t="shared" si="76"/>
        <v>19.890756487584465</v>
      </c>
      <c r="BK49" s="1499">
        <f t="shared" si="77"/>
        <v>16.880916730195029</v>
      </c>
      <c r="BL49" s="1499">
        <f t="shared" si="78"/>
        <v>16.812710790094339</v>
      </c>
      <c r="BM49" s="1499">
        <f t="shared" si="79"/>
        <v>15.197291666666668</v>
      </c>
      <c r="BN49" s="1499">
        <f t="shared" si="80"/>
        <v>19.045833333299999</v>
      </c>
      <c r="BO49" s="1499">
        <f t="shared" si="81"/>
        <v>22.35</v>
      </c>
      <c r="BP49" s="1499">
        <f t="shared" si="82"/>
        <v>24.454166666599995</v>
      </c>
      <c r="BQ49" s="1499"/>
      <c r="BR49" s="1586"/>
      <c r="BS49" s="1514"/>
      <c r="BT49" s="1515"/>
      <c r="BV49" s="1444"/>
      <c r="BW49" s="1492" t="s">
        <v>151</v>
      </c>
      <c r="BX49" s="1492"/>
      <c r="BY49" s="1492">
        <v>2021</v>
      </c>
      <c r="CA49" s="1921">
        <v>5</v>
      </c>
      <c r="CB49" s="1839" t="s">
        <v>809</v>
      </c>
      <c r="CC49" s="1924">
        <v>0.2</v>
      </c>
      <c r="CD49" s="1924">
        <v>0.2</v>
      </c>
      <c r="CE49" s="1924">
        <v>0.2</v>
      </c>
      <c r="CF49" s="1924">
        <v>0.2</v>
      </c>
      <c r="CG49" s="1924">
        <v>0.2</v>
      </c>
      <c r="CH49" s="1924">
        <v>0.2</v>
      </c>
      <c r="CI49" s="1924">
        <v>0.2</v>
      </c>
      <c r="CJ49" s="1924">
        <v>0.2</v>
      </c>
      <c r="CK49" s="1924">
        <v>0.25</v>
      </c>
      <c r="CL49" s="1924">
        <v>0.25</v>
      </c>
      <c r="CM49" s="1924">
        <v>0.25</v>
      </c>
      <c r="CN49" s="1924">
        <v>0.35</v>
      </c>
      <c r="CO49" s="1924">
        <v>0.35</v>
      </c>
      <c r="CP49" s="1924">
        <v>0.4</v>
      </c>
      <c r="CQ49" s="1924">
        <v>0.4</v>
      </c>
      <c r="CR49" s="1924">
        <v>0.45</v>
      </c>
      <c r="CS49" s="1924">
        <v>0.45</v>
      </c>
      <c r="CT49" s="1924">
        <v>0.5</v>
      </c>
      <c r="CU49" s="1924">
        <v>0.5</v>
      </c>
      <c r="CV49" s="1924">
        <v>0.5</v>
      </c>
      <c r="CW49" s="1924">
        <v>0.5</v>
      </c>
      <c r="CX49" s="1924">
        <v>0.55000000000000004</v>
      </c>
      <c r="CY49" s="1924">
        <v>0.55000000000000004</v>
      </c>
      <c r="CZ49" s="1924">
        <v>0.55000000000000004</v>
      </c>
      <c r="DA49" s="1924">
        <v>0.55000000000000004</v>
      </c>
    </row>
    <row r="50" spans="1:105" ht="13.5" customHeight="1">
      <c r="A50" s="1445"/>
      <c r="B50" s="1446"/>
      <c r="C50" s="1649"/>
      <c r="D50" s="1649"/>
      <c r="E50" s="1649"/>
      <c r="F50" s="1666"/>
      <c r="G50" s="1647"/>
      <c r="H50" s="1646"/>
      <c r="I50" s="1646"/>
      <c r="J50" s="1645"/>
      <c r="K50" s="1647"/>
      <c r="L50" s="1646"/>
      <c r="M50" s="1646"/>
      <c r="N50" s="1645"/>
      <c r="O50" s="1647"/>
      <c r="P50" s="1646"/>
      <c r="Q50" s="1646"/>
      <c r="R50" s="1646"/>
      <c r="S50" s="1647"/>
      <c r="T50" s="1643"/>
      <c r="U50" s="1643"/>
      <c r="V50" s="1642"/>
      <c r="W50" s="1643"/>
      <c r="X50" s="1643"/>
      <c r="Y50" s="1820"/>
      <c r="Z50" s="1821"/>
      <c r="AA50" s="1643"/>
      <c r="AB50" s="1643"/>
      <c r="AC50" s="1820"/>
      <c r="AD50" s="1821"/>
      <c r="AE50" s="1647"/>
      <c r="AF50" s="1643"/>
      <c r="AG50" s="1643"/>
      <c r="AH50" s="1642"/>
      <c r="AI50" s="1643"/>
      <c r="AJ50" s="1643"/>
      <c r="AK50" s="1643"/>
      <c r="AL50" s="1642"/>
      <c r="AM50" s="1643"/>
      <c r="AN50" s="1643"/>
      <c r="AO50" s="1643"/>
      <c r="AP50" s="1642"/>
      <c r="AQ50" s="1643"/>
      <c r="AR50" s="1643"/>
      <c r="AS50" s="1643"/>
      <c r="AT50" s="1642"/>
      <c r="AU50" s="1643"/>
      <c r="AV50" s="1643"/>
      <c r="AW50" s="1643"/>
      <c r="AX50" s="1642"/>
      <c r="AY50" s="1643">
        <f t="shared" ref="AY50:BB56" si="115">IF(ISBLANK(AY193),"",AY193)</f>
        <v>15.71573988720429</v>
      </c>
      <c r="AZ50" s="1643">
        <f t="shared" si="115"/>
        <v>13.576712699595451</v>
      </c>
      <c r="BA50" s="1643">
        <f t="shared" si="115"/>
        <v>19.380101843588751</v>
      </c>
      <c r="BB50" s="1642">
        <f t="shared" si="115"/>
        <v>15.409354053611498</v>
      </c>
      <c r="BC50" s="1489"/>
      <c r="BD50" s="1489"/>
      <c r="BE50" s="1489"/>
      <c r="BF50" s="1489"/>
      <c r="BG50" s="1489"/>
      <c r="BH50" s="1489"/>
      <c r="BI50" s="1489"/>
      <c r="BJ50" s="1489"/>
      <c r="BK50" s="1489"/>
      <c r="BL50" s="1489"/>
      <c r="BM50" s="1489"/>
      <c r="BN50" s="1489"/>
      <c r="BO50" s="1489"/>
      <c r="BP50" s="1489"/>
      <c r="BQ50" s="1489"/>
      <c r="BR50" s="1586"/>
      <c r="BS50" s="1477"/>
      <c r="BV50" s="1444"/>
      <c r="BW50" s="1507" t="s">
        <v>807</v>
      </c>
      <c r="BX50" s="1516"/>
      <c r="BY50" s="1516">
        <f>+BY36-BY43</f>
        <v>356.68412859678028</v>
      </c>
      <c r="CA50" s="1921">
        <v>6</v>
      </c>
      <c r="CB50" s="1839" t="s">
        <v>810</v>
      </c>
      <c r="CC50" s="1924">
        <v>0.2</v>
      </c>
      <c r="CD50" s="1924">
        <v>0.2</v>
      </c>
      <c r="CE50" s="1924">
        <v>0.2</v>
      </c>
      <c r="CF50" s="1924">
        <v>0.2</v>
      </c>
      <c r="CG50" s="1924">
        <v>0.2</v>
      </c>
      <c r="CH50" s="1924">
        <v>0.2</v>
      </c>
      <c r="CI50" s="1924">
        <v>0.2</v>
      </c>
      <c r="CJ50" s="1924">
        <v>0.2</v>
      </c>
      <c r="CK50" s="1924">
        <v>0.25</v>
      </c>
      <c r="CL50" s="1924">
        <v>0.25</v>
      </c>
      <c r="CM50" s="1924">
        <v>0.3</v>
      </c>
      <c r="CN50" s="1924">
        <v>0.3</v>
      </c>
      <c r="CO50" s="1924">
        <v>0.3</v>
      </c>
      <c r="CP50" s="1924">
        <v>0.35</v>
      </c>
      <c r="CQ50" s="1924">
        <v>0.35</v>
      </c>
      <c r="CR50" s="1924">
        <v>0.4</v>
      </c>
      <c r="CS50" s="1924">
        <v>0.4</v>
      </c>
      <c r="CT50" s="1924">
        <v>0.4</v>
      </c>
      <c r="CU50" s="1924">
        <v>0.45</v>
      </c>
      <c r="CV50" s="1924">
        <v>0.5</v>
      </c>
      <c r="CW50" s="1924">
        <v>0.5</v>
      </c>
      <c r="CX50" s="1924">
        <v>0.5</v>
      </c>
      <c r="CY50" s="1924">
        <v>0.5</v>
      </c>
      <c r="CZ50" s="1924">
        <v>0.5</v>
      </c>
      <c r="DA50" s="1924">
        <v>0.5</v>
      </c>
    </row>
    <row r="51" spans="1:105" ht="12.75" customHeight="1">
      <c r="B51" s="1446"/>
      <c r="C51" s="1667" t="s">
        <v>818</v>
      </c>
      <c r="D51" s="1546"/>
      <c r="E51" s="1546"/>
      <c r="F51" s="1498"/>
      <c r="G51" s="1647"/>
      <c r="H51" s="1646"/>
      <c r="I51" s="1646"/>
      <c r="J51" s="1645"/>
      <c r="K51" s="1647"/>
      <c r="L51" s="1646"/>
      <c r="M51" s="1646"/>
      <c r="N51" s="1645"/>
      <c r="O51" s="1647"/>
      <c r="P51" s="1646"/>
      <c r="Q51" s="1646"/>
      <c r="R51" s="1646"/>
      <c r="S51" s="1647"/>
      <c r="T51" s="1643"/>
      <c r="U51" s="1643"/>
      <c r="V51" s="1642"/>
      <c r="W51" s="1643"/>
      <c r="X51" s="1643"/>
      <c r="Y51" s="1820"/>
      <c r="Z51" s="1821"/>
      <c r="AA51" s="1643"/>
      <c r="AB51" s="1643"/>
      <c r="AC51" s="1820"/>
      <c r="AD51" s="1821"/>
      <c r="AE51" s="1647"/>
      <c r="AF51" s="1643"/>
      <c r="AG51" s="1643"/>
      <c r="AH51" s="1642"/>
      <c r="AI51" s="1643"/>
      <c r="AJ51" s="1643"/>
      <c r="AK51" s="1643"/>
      <c r="AL51" s="1642"/>
      <c r="AM51" s="1643"/>
      <c r="AN51" s="1643"/>
      <c r="AO51" s="1643"/>
      <c r="AP51" s="1642"/>
      <c r="AQ51" s="1643"/>
      <c r="AR51" s="1643"/>
      <c r="AS51" s="1643"/>
      <c r="AT51" s="1642"/>
      <c r="AU51" s="1643"/>
      <c r="AV51" s="1643"/>
      <c r="AW51" s="1643"/>
      <c r="AX51" s="1642"/>
      <c r="AY51" s="1643"/>
      <c r="AZ51" s="1643"/>
      <c r="BA51" s="1643"/>
      <c r="BB51" s="1642" t="str">
        <f t="shared" si="115"/>
        <v/>
      </c>
      <c r="BC51" s="1306"/>
      <c r="BD51" s="1306"/>
      <c r="BE51" s="1306"/>
      <c r="BF51" s="1306"/>
      <c r="BG51" s="1306"/>
      <c r="BH51" s="1306"/>
      <c r="BI51" s="1306"/>
      <c r="BJ51" s="1306"/>
      <c r="BK51" s="1306"/>
      <c r="BL51" s="1306"/>
      <c r="BM51" s="1306"/>
      <c r="BN51" s="1306"/>
      <c r="BO51" s="1306"/>
      <c r="BP51" s="1306"/>
      <c r="BQ51" s="1306"/>
      <c r="BR51" s="1476"/>
      <c r="BS51" s="1511"/>
      <c r="BV51" s="1444"/>
      <c r="BW51" s="1507" t="s">
        <v>693</v>
      </c>
      <c r="BX51" s="1516"/>
      <c r="BY51" s="1516">
        <f>+BY37-BY44</f>
        <v>-237.24481941584781</v>
      </c>
      <c r="CA51" s="1921"/>
      <c r="CB51" s="1921"/>
      <c r="CC51" s="1921"/>
      <c r="CD51" s="1921"/>
      <c r="CE51" s="1921"/>
      <c r="CF51" s="1921"/>
      <c r="CG51" s="1921"/>
      <c r="CH51" s="1921"/>
      <c r="CI51" s="1921"/>
      <c r="CJ51" s="1921"/>
      <c r="CK51" s="1921"/>
      <c r="CL51" s="1921"/>
      <c r="CM51" s="1921"/>
      <c r="CN51" s="1921"/>
      <c r="CO51" s="1921"/>
      <c r="CP51" s="1921"/>
      <c r="CQ51" s="1921"/>
      <c r="CR51" s="1921"/>
      <c r="CS51" s="1921"/>
      <c r="CT51" s="1921"/>
      <c r="CU51" s="1921"/>
      <c r="CV51" s="1921"/>
      <c r="CW51" s="1921"/>
      <c r="CX51" s="1921"/>
      <c r="CY51" s="1921"/>
      <c r="CZ51"/>
      <c r="DA51"/>
    </row>
    <row r="52" spans="1:105" ht="13.5" customHeight="1">
      <c r="A52" s="1445"/>
      <c r="B52" s="1446"/>
      <c r="C52" s="1518" t="s">
        <v>872</v>
      </c>
      <c r="D52" s="1649"/>
      <c r="E52" s="1649"/>
      <c r="F52" s="1666"/>
      <c r="G52" s="1647"/>
      <c r="H52" s="1646"/>
      <c r="I52" s="1646"/>
      <c r="J52" s="1645"/>
      <c r="K52" s="1647"/>
      <c r="L52" s="1646"/>
      <c r="M52" s="1646"/>
      <c r="N52" s="1645"/>
      <c r="O52" s="1647"/>
      <c r="P52" s="1646"/>
      <c r="Q52" s="1646"/>
      <c r="R52" s="1646"/>
      <c r="S52" s="1647"/>
      <c r="T52" s="1643"/>
      <c r="U52" s="1643"/>
      <c r="V52" s="1642"/>
      <c r="W52" s="1643"/>
      <c r="X52" s="1643"/>
      <c r="Y52" s="1820"/>
      <c r="Z52" s="1821"/>
      <c r="AA52" s="1643"/>
      <c r="AB52" s="1643"/>
      <c r="AC52" s="1820"/>
      <c r="AD52" s="1821"/>
      <c r="AE52" s="1647"/>
      <c r="AF52" s="1643"/>
      <c r="AG52" s="1643"/>
      <c r="AH52" s="1642"/>
      <c r="AI52" s="1643"/>
      <c r="AJ52" s="1643"/>
      <c r="AK52" s="1643"/>
      <c r="AL52" s="1642"/>
      <c r="AM52" s="1643"/>
      <c r="AN52" s="1643"/>
      <c r="AO52" s="1643"/>
      <c r="AP52" s="1642"/>
      <c r="AQ52" s="1643"/>
      <c r="AR52" s="1643"/>
      <c r="AS52" s="1643"/>
      <c r="AT52" s="1642"/>
      <c r="AU52" s="1643"/>
      <c r="AV52" s="1643"/>
      <c r="AW52" s="1643"/>
      <c r="AX52" s="1642"/>
      <c r="AY52" s="1643" t="str">
        <f t="shared" ref="AY52:BA52" si="116">IF(ISBLANK(AY195),"",AY195)</f>
        <v/>
      </c>
      <c r="AZ52" s="1643" t="str">
        <f t="shared" si="116"/>
        <v/>
      </c>
      <c r="BA52" s="1643" t="str">
        <f t="shared" si="116"/>
        <v/>
      </c>
      <c r="BB52" s="1642" t="str">
        <f t="shared" si="115"/>
        <v/>
      </c>
      <c r="BC52" s="1489"/>
      <c r="BD52" s="1489"/>
      <c r="BE52" s="1489"/>
      <c r="BF52" s="1489"/>
      <c r="BG52" s="1489"/>
      <c r="BH52" s="1499"/>
      <c r="BI52" s="1499"/>
      <c r="BJ52" s="1499"/>
      <c r="BK52" s="1499"/>
      <c r="BL52" s="1499"/>
      <c r="BM52" s="1499"/>
      <c r="BN52" s="1499"/>
      <c r="BO52" s="1499"/>
      <c r="BP52" s="1499"/>
      <c r="BQ52" s="1499"/>
      <c r="BR52" s="1586"/>
      <c r="BS52" s="1511"/>
      <c r="BV52" s="1444"/>
      <c r="BW52" s="1507" t="s">
        <v>808</v>
      </c>
      <c r="BX52" s="1516"/>
      <c r="BY52" s="1516">
        <f>+BY38-BY45</f>
        <v>2373.892524596522</v>
      </c>
      <c r="CA52" s="1921"/>
      <c r="CB52" s="1921"/>
      <c r="CC52" s="1640"/>
      <c r="CD52" s="1640"/>
      <c r="CE52" s="1640"/>
      <c r="CF52" s="1640"/>
      <c r="CG52" s="1702"/>
      <c r="CH52" s="1702"/>
      <c r="CI52" s="1702"/>
      <c r="CJ52" s="1702"/>
      <c r="CK52" s="1702"/>
      <c r="CL52" s="1702"/>
      <c r="CM52" s="1702"/>
      <c r="CN52" s="1702"/>
      <c r="CO52" s="1702"/>
      <c r="CP52" s="1702"/>
      <c r="CQ52" s="1702"/>
      <c r="CR52" s="1702"/>
      <c r="CS52" s="1702"/>
      <c r="CT52" s="1702"/>
      <c r="CU52" s="1702"/>
      <c r="CV52" s="1921"/>
      <c r="CW52" s="1921"/>
      <c r="CX52" s="1921"/>
      <c r="CY52" s="1921"/>
      <c r="CZ52"/>
      <c r="DA52"/>
    </row>
    <row r="53" spans="1:105" ht="13.5" customHeight="1">
      <c r="A53" s="1445"/>
      <c r="B53" s="1446"/>
      <c r="C53" s="1649" t="s">
        <v>281</v>
      </c>
      <c r="D53" s="1649"/>
      <c r="E53" s="1649"/>
      <c r="F53" s="1666"/>
      <c r="G53" s="1647">
        <f t="shared" ref="G53:AX53" si="117">IF(ISBLANK(G196),"",G196)</f>
        <v>0.92945833333333372</v>
      </c>
      <c r="H53" s="1646">
        <f t="shared" si="117"/>
        <v>0.36958730158730102</v>
      </c>
      <c r="I53" s="1646">
        <f t="shared" si="117"/>
        <v>0.37103124999999881</v>
      </c>
      <c r="J53" s="1645">
        <f t="shared" si="117"/>
        <v>2.0107384615384656</v>
      </c>
      <c r="K53" s="1647">
        <f t="shared" si="117"/>
        <v>2.7836406250000012</v>
      </c>
      <c r="L53" s="1646">
        <f t="shared" si="117"/>
        <v>0.38664062500000007</v>
      </c>
      <c r="M53" s="1646">
        <f t="shared" si="117"/>
        <v>0.58382812500000192</v>
      </c>
      <c r="N53" s="1645">
        <f t="shared" si="117"/>
        <v>0.35206349206349286</v>
      </c>
      <c r="O53" s="1647">
        <f t="shared" si="117"/>
        <v>0.80777777777777793</v>
      </c>
      <c r="P53" s="1646">
        <f t="shared" si="117"/>
        <v>0.20609523809523767</v>
      </c>
      <c r="Q53" s="1646">
        <f t="shared" si="117"/>
        <v>0.18090476190476101</v>
      </c>
      <c r="R53" s="1646">
        <f t="shared" si="117"/>
        <v>0.52926562499999807</v>
      </c>
      <c r="S53" s="1647">
        <f t="shared" si="117"/>
        <v>4.3436166666666658</v>
      </c>
      <c r="T53" s="1646">
        <f t="shared" si="117"/>
        <v>0.30776562499999827</v>
      </c>
      <c r="U53" s="1646">
        <f t="shared" si="117"/>
        <v>0.20923437499999897</v>
      </c>
      <c r="V53" s="1645">
        <f t="shared" si="117"/>
        <v>0.48042187499999889</v>
      </c>
      <c r="W53" s="1647">
        <f t="shared" si="117"/>
        <v>11.865918032786885</v>
      </c>
      <c r="X53" s="1646">
        <f t="shared" si="117"/>
        <v>-0.87728124999999935</v>
      </c>
      <c r="Y53" s="1820">
        <f t="shared" si="117"/>
        <v>-1.3732187500000017</v>
      </c>
      <c r="Z53" s="1821">
        <f t="shared" si="117"/>
        <v>-0.57965624999999754</v>
      </c>
      <c r="AA53" s="1647">
        <f t="shared" si="117"/>
        <v>6.0189193548387117</v>
      </c>
      <c r="AB53" s="1646">
        <f t="shared" si="117"/>
        <v>-0.25368253968253818</v>
      </c>
      <c r="AC53" s="1820">
        <f t="shared" si="117"/>
        <v>-0.4931562499999993</v>
      </c>
      <c r="AD53" s="1821">
        <f t="shared" si="117"/>
        <v>-0.2235238095238099</v>
      </c>
      <c r="AE53" s="1647">
        <f t="shared" si="117"/>
        <v>0.49621311475409802</v>
      </c>
      <c r="AF53" s="1643">
        <f t="shared" si="117"/>
        <v>-0.43893749999999998</v>
      </c>
      <c r="AG53" s="1643">
        <f t="shared" si="117"/>
        <v>-0.95798437499999922</v>
      </c>
      <c r="AH53" s="1642">
        <f t="shared" si="117"/>
        <v>-0.3514999999999997</v>
      </c>
      <c r="AI53" s="1643">
        <f t="shared" si="117"/>
        <v>0.30054838709677556</v>
      </c>
      <c r="AJ53" s="1643">
        <f t="shared" si="117"/>
        <v>-0.38845312499999896</v>
      </c>
      <c r="AK53" s="1643">
        <f t="shared" si="117"/>
        <v>-0.54298412698412557</v>
      </c>
      <c r="AL53" s="1642">
        <f t="shared" si="117"/>
        <v>0.63106451612903358</v>
      </c>
      <c r="AM53" s="1643">
        <f t="shared" si="117"/>
        <v>4.698950819672131</v>
      </c>
      <c r="AN53" s="1643">
        <f t="shared" si="117"/>
        <v>-0.19166666666666643</v>
      </c>
      <c r="AO53" s="1643">
        <f t="shared" si="117"/>
        <v>-0.30999999999999961</v>
      </c>
      <c r="AP53" s="1642">
        <f t="shared" si="117"/>
        <v>0.25666666666666638</v>
      </c>
      <c r="AQ53" s="1643">
        <f t="shared" si="117"/>
        <v>1.637734667576852</v>
      </c>
      <c r="AR53" s="1643">
        <f t="shared" si="117"/>
        <v>-0.69677150590554215</v>
      </c>
      <c r="AS53" s="1643">
        <f t="shared" si="117"/>
        <v>-0.82532002718121711</v>
      </c>
      <c r="AT53" s="1642">
        <f t="shared" si="117"/>
        <v>1.5445568651099078</v>
      </c>
      <c r="AU53" s="1643">
        <f t="shared" si="117"/>
        <v>1.6691288195742207</v>
      </c>
      <c r="AV53" s="1643">
        <f t="shared" si="117"/>
        <v>-0.704374459769459</v>
      </c>
      <c r="AW53" s="1643">
        <f t="shared" si="117"/>
        <v>-0.83498911122825525</v>
      </c>
      <c r="AX53" s="1642">
        <f t="shared" si="117"/>
        <v>1.5745847514234943</v>
      </c>
      <c r="AY53" s="1643">
        <f t="shared" ref="AY53:BA53" si="118">IF(ISBLANK(AY196),"",AY196)</f>
        <v>1.7632770950378909</v>
      </c>
      <c r="AZ53" s="1643">
        <f t="shared" si="118"/>
        <v>-0.69298925565485447</v>
      </c>
      <c r="BA53" s="1643">
        <f t="shared" si="118"/>
        <v>-0.82743500086795607</v>
      </c>
      <c r="BB53" s="1642">
        <f t="shared" si="115"/>
        <v>1.6671304946849221</v>
      </c>
      <c r="BC53" s="1489"/>
      <c r="BD53" s="1489"/>
      <c r="BE53" s="1489">
        <f t="shared" ref="BE53:BE68" si="119">AVERAGE(G53:J53)</f>
        <v>0.92020383661477478</v>
      </c>
      <c r="BF53" s="1489">
        <f t="shared" ref="BF53:BF68" si="120">AVERAGE(K53:N53)</f>
        <v>1.0265432167658739</v>
      </c>
      <c r="BG53" s="1489">
        <f t="shared" ref="BG53:BG68" si="121">AVERAGE(O53:R53)</f>
        <v>0.43101085069444367</v>
      </c>
      <c r="BH53" s="1499">
        <f t="shared" ref="BH53:BH68" si="122">AVERAGE(S53:V53)</f>
        <v>1.3352596354166657</v>
      </c>
      <c r="BI53" s="1499">
        <f t="shared" ref="BI53:BI68" si="123">AVERAGE(W53:Z53)</f>
        <v>2.2589404456967217</v>
      </c>
      <c r="BJ53" s="1499">
        <f t="shared" ref="BJ53:BJ68" si="124">AVERAGE(AA53:AD53)</f>
        <v>1.2621391889080911</v>
      </c>
      <c r="BK53" s="1499">
        <f t="shared" ref="BK53:BK68" si="125">AVERAGE(AE53:AH53)</f>
        <v>-0.31305219006147522</v>
      </c>
      <c r="BL53" s="1499">
        <f t="shared" ref="BL53:BL68" si="126">AVERAGE(AI53:AL53)</f>
        <v>4.3912810421153914E-5</v>
      </c>
      <c r="BM53" s="1499">
        <f t="shared" ref="BM53:BM68" si="127">AVERAGE(AM53:AP53)</f>
        <v>1.113487704918033</v>
      </c>
      <c r="BN53" s="1499">
        <f t="shared" ref="BN53:BN68" si="128">AVERAGE(AQ53:AT53)</f>
        <v>0.41504999990000013</v>
      </c>
      <c r="BO53" s="1499">
        <f t="shared" ref="BO53:BO68" si="129">AVERAGE(AU53:AX53)</f>
        <v>0.42608750000000017</v>
      </c>
      <c r="BP53" s="1499">
        <f t="shared" ref="BP53:BP68" si="130">AVERAGE(AY53:BB53)</f>
        <v>0.47749583330000062</v>
      </c>
      <c r="BQ53" s="1499"/>
      <c r="BR53" s="1586"/>
      <c r="BS53" s="1514"/>
      <c r="BT53" s="1515"/>
      <c r="BV53" s="1444"/>
      <c r="BW53" s="1507" t="s">
        <v>809</v>
      </c>
      <c r="BX53" s="1516"/>
      <c r="BY53" s="1516">
        <f>+BY39-BY46</f>
        <v>2423.5739216902948</v>
      </c>
      <c r="CA53" s="1921">
        <v>1</v>
      </c>
      <c r="CB53" s="1921" t="s">
        <v>945</v>
      </c>
      <c r="CC53" s="1702">
        <f t="shared" ref="CC53:CJ53" si="131">CD53-0.25</f>
        <v>0</v>
      </c>
      <c r="CD53" s="1702">
        <f t="shared" si="131"/>
        <v>0.25</v>
      </c>
      <c r="CE53" s="1702">
        <f t="shared" si="131"/>
        <v>0.5</v>
      </c>
      <c r="CF53" s="1702">
        <f t="shared" si="131"/>
        <v>0.75</v>
      </c>
      <c r="CG53" s="1702">
        <f t="shared" si="131"/>
        <v>1</v>
      </c>
      <c r="CH53" s="1702">
        <f t="shared" si="131"/>
        <v>1.25</v>
      </c>
      <c r="CI53" s="1702">
        <f t="shared" si="131"/>
        <v>1.5</v>
      </c>
      <c r="CJ53" s="1702">
        <f t="shared" si="131"/>
        <v>1.75</v>
      </c>
      <c r="CK53" s="1702">
        <v>2</v>
      </c>
      <c r="CL53" s="1702">
        <f t="shared" ref="CL53:DA53" si="132">CK53+0.25</f>
        <v>2.25</v>
      </c>
      <c r="CM53" s="1702">
        <f t="shared" si="132"/>
        <v>2.5</v>
      </c>
      <c r="CN53" s="1702">
        <f t="shared" si="132"/>
        <v>2.75</v>
      </c>
      <c r="CO53" s="1702">
        <f t="shared" si="132"/>
        <v>3</v>
      </c>
      <c r="CP53" s="1702">
        <f t="shared" si="132"/>
        <v>3.25</v>
      </c>
      <c r="CQ53" s="1702">
        <f t="shared" si="132"/>
        <v>3.5</v>
      </c>
      <c r="CR53" s="1702">
        <f t="shared" si="132"/>
        <v>3.75</v>
      </c>
      <c r="CS53" s="1702">
        <f t="shared" si="132"/>
        <v>4</v>
      </c>
      <c r="CT53" s="1702">
        <f t="shared" si="132"/>
        <v>4.25</v>
      </c>
      <c r="CU53" s="1702">
        <f t="shared" si="132"/>
        <v>4.5</v>
      </c>
      <c r="CV53" s="1702">
        <f t="shared" si="132"/>
        <v>4.75</v>
      </c>
      <c r="CW53" s="1702">
        <f t="shared" si="132"/>
        <v>5</v>
      </c>
      <c r="CX53" s="1702">
        <f t="shared" si="132"/>
        <v>5.25</v>
      </c>
      <c r="CY53" s="1702">
        <f t="shared" si="132"/>
        <v>5.5</v>
      </c>
      <c r="CZ53" s="1702">
        <f t="shared" si="132"/>
        <v>5.75</v>
      </c>
      <c r="DA53" s="1702">
        <f t="shared" si="132"/>
        <v>6</v>
      </c>
    </row>
    <row r="54" spans="1:105" ht="13.5" customHeight="1">
      <c r="A54" s="1445"/>
      <c r="B54" s="1446"/>
      <c r="C54" s="1649" t="s">
        <v>819</v>
      </c>
      <c r="D54" s="1649"/>
      <c r="E54" s="1649"/>
      <c r="F54" s="1666"/>
      <c r="G54" s="1647">
        <f t="shared" ref="G54:AX54" si="133">IF(ISBLANK(G197),"",G197)</f>
        <v>0.61162500000000009</v>
      </c>
      <c r="H54" s="1646">
        <f t="shared" si="133"/>
        <v>0.34730158730158944</v>
      </c>
      <c r="I54" s="1646">
        <f t="shared" si="133"/>
        <v>0.35659375000000004</v>
      </c>
      <c r="J54" s="1645">
        <f t="shared" si="133"/>
        <v>1.4691538461538483</v>
      </c>
      <c r="K54" s="1647">
        <f t="shared" si="133"/>
        <v>1.7646250000000014</v>
      </c>
      <c r="L54" s="1646">
        <f t="shared" si="133"/>
        <v>0.28798437500000063</v>
      </c>
      <c r="M54" s="1646">
        <f t="shared" si="133"/>
        <v>0.25414062500000068</v>
      </c>
      <c r="N54" s="1645">
        <f t="shared" si="133"/>
        <v>0.24365079365079412</v>
      </c>
      <c r="O54" s="1647">
        <f t="shared" si="133"/>
        <v>0.31452380952380965</v>
      </c>
      <c r="P54" s="1646">
        <f t="shared" si="133"/>
        <v>0.1599206349206348</v>
      </c>
      <c r="Q54" s="1646">
        <f t="shared" si="133"/>
        <v>0.16882539682539655</v>
      </c>
      <c r="R54" s="1646">
        <f t="shared" si="133"/>
        <v>0.26892187499999887</v>
      </c>
      <c r="S54" s="1647">
        <f t="shared" si="133"/>
        <v>0.819599999999999</v>
      </c>
      <c r="T54" s="1646">
        <f t="shared" si="133"/>
        <v>0.11882812499999851</v>
      </c>
      <c r="U54" s="1646">
        <f t="shared" si="133"/>
        <v>-1.3265625000001169E-2</v>
      </c>
      <c r="V54" s="1645">
        <f t="shared" si="133"/>
        <v>0.14118750000000091</v>
      </c>
      <c r="W54" s="1647">
        <f t="shared" si="133"/>
        <v>7.5181639344262283</v>
      </c>
      <c r="X54" s="1646">
        <f t="shared" si="133"/>
        <v>-0.89420312500000065</v>
      </c>
      <c r="Y54" s="1820">
        <f t="shared" si="133"/>
        <v>-1.4395156250000012</v>
      </c>
      <c r="Z54" s="1821">
        <f t="shared" si="133"/>
        <v>-1.017578125</v>
      </c>
      <c r="AA54" s="1647">
        <f t="shared" si="133"/>
        <v>3.554258064516127</v>
      </c>
      <c r="AB54" s="1646">
        <f t="shared" si="133"/>
        <v>-1.1179206349206339</v>
      </c>
      <c r="AC54" s="1820">
        <f t="shared" si="133"/>
        <v>-1.3916093749999998</v>
      </c>
      <c r="AD54" s="1821">
        <f t="shared" si="133"/>
        <v>-0.84366666666666723</v>
      </c>
      <c r="AE54" s="1647">
        <f t="shared" si="133"/>
        <v>-0.15401639344262286</v>
      </c>
      <c r="AF54" s="1643">
        <f t="shared" si="133"/>
        <v>-0.55339062499999958</v>
      </c>
      <c r="AG54" s="1643">
        <f t="shared" si="133"/>
        <v>-1.5273593749999999</v>
      </c>
      <c r="AH54" s="1642">
        <f t="shared" si="133"/>
        <v>-0.79788709677419334</v>
      </c>
      <c r="AI54" s="1643">
        <f t="shared" si="133"/>
        <v>-1.6838709677418517E-2</v>
      </c>
      <c r="AJ54" s="1643">
        <f t="shared" si="133"/>
        <v>-0.56160937500000019</v>
      </c>
      <c r="AK54" s="1643">
        <f t="shared" si="133"/>
        <v>-1.2109841269841268</v>
      </c>
      <c r="AL54" s="1642">
        <f t="shared" si="133"/>
        <v>-0.13975806451612982</v>
      </c>
      <c r="AM54" s="1643">
        <f t="shared" si="133"/>
        <v>3.4441967213114757</v>
      </c>
      <c r="AN54" s="1643">
        <f t="shared" si="133"/>
        <v>-0.46333333333333293</v>
      </c>
      <c r="AO54" s="1643">
        <f t="shared" si="133"/>
        <v>-0.59499999999999975</v>
      </c>
      <c r="AP54" s="1642">
        <f t="shared" si="133"/>
        <v>-0.21666666666666679</v>
      </c>
      <c r="AQ54" s="1643">
        <f t="shared" si="133"/>
        <v>0.74457975965344758</v>
      </c>
      <c r="AR54" s="1643">
        <f t="shared" si="133"/>
        <v>-0.76430483819771866</v>
      </c>
      <c r="AS54" s="1643">
        <f t="shared" si="133"/>
        <v>-0.78296558457066712</v>
      </c>
      <c r="AT54" s="1642">
        <f t="shared" si="133"/>
        <v>0.8235214539149398</v>
      </c>
      <c r="AU54" s="1643">
        <f t="shared" si="133"/>
        <v>0.64485745238273218</v>
      </c>
      <c r="AV54" s="1643">
        <f t="shared" si="133"/>
        <v>-0.82982612063011629</v>
      </c>
      <c r="AW54" s="1643">
        <f t="shared" si="133"/>
        <v>-0.84922019602346377</v>
      </c>
      <c r="AX54" s="1642">
        <f t="shared" si="133"/>
        <v>0.71921711267084909</v>
      </c>
      <c r="AY54" s="1643">
        <f t="shared" ref="AY54:BA54" si="134">IF(ISBLANK(AY197),"",AY197)</f>
        <v>0.64402689825038939</v>
      </c>
      <c r="AZ54" s="1643">
        <f t="shared" si="134"/>
        <v>-0.85250267876937125</v>
      </c>
      <c r="BA54" s="1643">
        <f t="shared" si="134"/>
        <v>-0.87232898455971686</v>
      </c>
      <c r="BB54" s="1642">
        <f t="shared" si="115"/>
        <v>0.71913809827870034</v>
      </c>
      <c r="BC54" s="1489"/>
      <c r="BD54" s="1489"/>
      <c r="BE54" s="1489">
        <f t="shared" si="119"/>
        <v>0.69616854586385946</v>
      </c>
      <c r="BF54" s="1489">
        <f t="shared" si="120"/>
        <v>0.63760019841269922</v>
      </c>
      <c r="BG54" s="1489">
        <f t="shared" si="121"/>
        <v>0.22804792906745996</v>
      </c>
      <c r="BH54" s="1499">
        <f t="shared" si="122"/>
        <v>0.26658749999999931</v>
      </c>
      <c r="BI54" s="1499">
        <f t="shared" si="123"/>
        <v>1.0417167648565566</v>
      </c>
      <c r="BJ54" s="1499">
        <f t="shared" si="124"/>
        <v>5.0265346982206582E-2</v>
      </c>
      <c r="BK54" s="1499">
        <f t="shared" si="125"/>
        <v>-0.75816337255420385</v>
      </c>
      <c r="BL54" s="1499">
        <f t="shared" si="126"/>
        <v>-0.48229756904441884</v>
      </c>
      <c r="BM54" s="1499">
        <f t="shared" si="127"/>
        <v>0.54229918032786906</v>
      </c>
      <c r="BN54" s="1499">
        <f t="shared" si="128"/>
        <v>5.2076977000004021E-3</v>
      </c>
      <c r="BO54" s="1499">
        <f t="shared" si="129"/>
        <v>-7.8742937899999699E-2</v>
      </c>
      <c r="BP54" s="1499">
        <f t="shared" si="130"/>
        <v>-9.0416666699999593E-2</v>
      </c>
      <c r="BQ54" s="1499"/>
      <c r="BR54" s="1586"/>
      <c r="BS54" s="1477"/>
      <c r="BV54" s="1444"/>
      <c r="BW54" s="1507" t="s">
        <v>810</v>
      </c>
      <c r="BX54" s="1516"/>
      <c r="BY54" s="1516">
        <f>+BY40-BY47</f>
        <v>1618.9790648729013</v>
      </c>
      <c r="CA54" s="1921">
        <v>2</v>
      </c>
      <c r="CB54" s="1839" t="s">
        <v>807</v>
      </c>
      <c r="CC54" s="1925">
        <f>AVERAGE(CC46:$CS46)</f>
        <v>0.43235294117647055</v>
      </c>
      <c r="CD54" s="1925">
        <f>AVERAGE(CD46:$CS46)</f>
        <v>0.44062499999999999</v>
      </c>
      <c r="CE54" s="1925">
        <f>AVERAGE(CE46:$CS46)</f>
        <v>0.45</v>
      </c>
      <c r="CF54" s="1925">
        <f>AVERAGE(CF46:$CS46)</f>
        <v>0.46071428571428574</v>
      </c>
      <c r="CG54" s="1925">
        <f>AVERAGE(CG46:$CS46)</f>
        <v>0.46923076923076928</v>
      </c>
      <c r="CH54" s="1925">
        <f>AVERAGE(CH46:$CS46)</f>
        <v>0.47916666666666669</v>
      </c>
      <c r="CI54" s="1925">
        <f>AVERAGE(CI46:$CS46)</f>
        <v>0.49090909090909096</v>
      </c>
      <c r="CJ54" s="1925">
        <f>AVERAGE(CJ46:$CS46)</f>
        <v>0.5</v>
      </c>
      <c r="CK54" s="1925">
        <f>AVERAGE(CK46:$CS46)</f>
        <v>0.51111111111111107</v>
      </c>
      <c r="CL54" s="1925">
        <f>AVERAGE(CL46:$CS46)</f>
        <v>0.52500000000000002</v>
      </c>
      <c r="CM54" s="1925">
        <f>AVERAGE(CM46:$CS46)</f>
        <v>0.5357142857142857</v>
      </c>
      <c r="CN54" s="1925">
        <f>AVERAGE(CN46:$CS46)</f>
        <v>0.54999999999999993</v>
      </c>
      <c r="CO54" s="1925">
        <f>AVERAGE(CO46:$CS46)</f>
        <v>0.55999999999999994</v>
      </c>
      <c r="CP54" s="1925">
        <f>AVERAGE(CP46:$CS46)</f>
        <v>0.57499999999999996</v>
      </c>
      <c r="CQ54" s="1925">
        <f>AVERAGE(CQ46:$CS46)</f>
        <v>0.6</v>
      </c>
      <c r="CR54" s="1925">
        <f>AVERAGE(CR46:$CS46)</f>
        <v>0.625</v>
      </c>
      <c r="CS54" s="1925">
        <f>AVERAGE(CS46:$CS46)</f>
        <v>0.65</v>
      </c>
      <c r="CT54" s="1925">
        <f>AVERAGE($CS46:CT46)</f>
        <v>0.65</v>
      </c>
      <c r="CU54" s="1925">
        <f>AVERAGE($CS46:CU46)</f>
        <v>0.65</v>
      </c>
      <c r="CV54" s="1925">
        <f>AVERAGE($CS46:CV46)</f>
        <v>0.65</v>
      </c>
      <c r="CW54" s="1925">
        <f>AVERAGE($CS46:CW46)</f>
        <v>0.65</v>
      </c>
      <c r="CX54" s="1925">
        <f>AVERAGE($CS46:CX46)</f>
        <v>0.65</v>
      </c>
      <c r="CY54" s="1925">
        <f>AVERAGE($CS46:CY46)</f>
        <v>0.65</v>
      </c>
      <c r="CZ54" s="1925">
        <f>AVERAGE($CS46:CZ46)</f>
        <v>0.65</v>
      </c>
      <c r="DA54" s="1925">
        <f>AVERAGE($CS46:DA46)</f>
        <v>0.65</v>
      </c>
    </row>
    <row r="55" spans="1:105" ht="12.75" customHeight="1">
      <c r="A55" s="1445"/>
      <c r="B55" s="1446"/>
      <c r="C55" s="1649" t="s">
        <v>733</v>
      </c>
      <c r="D55" s="1649"/>
      <c r="E55" s="1649"/>
      <c r="F55" s="1666"/>
      <c r="G55" s="1647">
        <f t="shared" ref="G55:AX55" si="135">IF(ISBLANK(G198),"",G198)</f>
        <v>0.92945833333333372</v>
      </c>
      <c r="H55" s="1646">
        <f t="shared" si="135"/>
        <v>0.36958730158730102</v>
      </c>
      <c r="I55" s="1646">
        <f t="shared" si="135"/>
        <v>0.37103124999999881</v>
      </c>
      <c r="J55" s="1645">
        <f t="shared" si="135"/>
        <v>2.0107384615384656</v>
      </c>
      <c r="K55" s="1647">
        <f t="shared" si="135"/>
        <v>2.7836406250000012</v>
      </c>
      <c r="L55" s="1646">
        <f t="shared" si="135"/>
        <v>0.38664062500000007</v>
      </c>
      <c r="M55" s="1646">
        <f t="shared" si="135"/>
        <v>0.58382812500000192</v>
      </c>
      <c r="N55" s="1645">
        <f t="shared" si="135"/>
        <v>0.35206349206349286</v>
      </c>
      <c r="O55" s="1647">
        <f t="shared" si="135"/>
        <v>0.80777777777777793</v>
      </c>
      <c r="P55" s="1646">
        <f t="shared" si="135"/>
        <v>0.20609523809523767</v>
      </c>
      <c r="Q55" s="1646">
        <f t="shared" si="135"/>
        <v>0.18090476190476101</v>
      </c>
      <c r="R55" s="1646">
        <f t="shared" si="135"/>
        <v>0.52926562499999807</v>
      </c>
      <c r="S55" s="1647">
        <f t="shared" si="135"/>
        <v>4.3436166666666658</v>
      </c>
      <c r="T55" s="1646">
        <f t="shared" si="135"/>
        <v>0.30776562499999827</v>
      </c>
      <c r="U55" s="1646">
        <f t="shared" si="135"/>
        <v>0.20923437499999897</v>
      </c>
      <c r="V55" s="1645">
        <f t="shared" si="135"/>
        <v>0.48042187499999889</v>
      </c>
      <c r="W55" s="1647">
        <f t="shared" si="135"/>
        <v>11.865918032786885</v>
      </c>
      <c r="X55" s="1646">
        <f t="shared" si="135"/>
        <v>-0.87728124999999935</v>
      </c>
      <c r="Y55" s="1820">
        <f t="shared" si="135"/>
        <v>-1.3732187500000017</v>
      </c>
      <c r="Z55" s="1821">
        <f t="shared" si="135"/>
        <v>-0.57965624999999754</v>
      </c>
      <c r="AA55" s="1647">
        <f t="shared" si="135"/>
        <v>6.0189193548387117</v>
      </c>
      <c r="AB55" s="1646">
        <f t="shared" si="135"/>
        <v>-0.25368253968253818</v>
      </c>
      <c r="AC55" s="1820">
        <f t="shared" si="135"/>
        <v>-0.4931562499999993</v>
      </c>
      <c r="AD55" s="1821">
        <f t="shared" si="135"/>
        <v>-0.2235238095238099</v>
      </c>
      <c r="AE55" s="1647">
        <f t="shared" si="135"/>
        <v>0.49621311475409802</v>
      </c>
      <c r="AF55" s="1643">
        <f t="shared" si="135"/>
        <v>-0.43893749999999998</v>
      </c>
      <c r="AG55" s="1643">
        <f t="shared" si="135"/>
        <v>-0.95798437499999922</v>
      </c>
      <c r="AH55" s="1642">
        <f t="shared" si="135"/>
        <v>-0.3514999999999997</v>
      </c>
      <c r="AI55" s="1643">
        <f t="shared" si="135"/>
        <v>0.30054838709677556</v>
      </c>
      <c r="AJ55" s="1643">
        <f t="shared" si="135"/>
        <v>-0.38845312499999896</v>
      </c>
      <c r="AK55" s="1643">
        <f t="shared" si="135"/>
        <v>-0.54298412698412557</v>
      </c>
      <c r="AL55" s="1642">
        <f t="shared" si="135"/>
        <v>0.63106451612903358</v>
      </c>
      <c r="AM55" s="1643">
        <f t="shared" si="135"/>
        <v>4.698950819672131</v>
      </c>
      <c r="AN55" s="1643">
        <f t="shared" si="135"/>
        <v>-0.19166666666666643</v>
      </c>
      <c r="AO55" s="1643">
        <f t="shared" si="135"/>
        <v>-0.30999999999999961</v>
      </c>
      <c r="AP55" s="1642">
        <f t="shared" si="135"/>
        <v>0.25666666666666638</v>
      </c>
      <c r="AQ55" s="1643">
        <f t="shared" si="135"/>
        <v>1.637734667576852</v>
      </c>
      <c r="AR55" s="1643">
        <f t="shared" si="135"/>
        <v>-0.69677150590554215</v>
      </c>
      <c r="AS55" s="1643">
        <f t="shared" si="135"/>
        <v>-0.82532002718121711</v>
      </c>
      <c r="AT55" s="1642">
        <f t="shared" si="135"/>
        <v>1.5445568651099078</v>
      </c>
      <c r="AU55" s="1643">
        <f t="shared" si="135"/>
        <v>1.6691288195742207</v>
      </c>
      <c r="AV55" s="1643">
        <f t="shared" si="135"/>
        <v>-0.704374459769459</v>
      </c>
      <c r="AW55" s="1643">
        <f t="shared" si="135"/>
        <v>-0.83498911122825525</v>
      </c>
      <c r="AX55" s="1642">
        <f t="shared" si="135"/>
        <v>1.5745847514234943</v>
      </c>
      <c r="AY55" s="1643">
        <f t="shared" ref="AY55:BA55" si="136">IF(ISBLANK(AY198),"",AY198)</f>
        <v>1.7632770950378909</v>
      </c>
      <c r="AZ55" s="1643">
        <f t="shared" si="136"/>
        <v>-0.69298925565485447</v>
      </c>
      <c r="BA55" s="1643">
        <f t="shared" si="136"/>
        <v>-0.82743500086795607</v>
      </c>
      <c r="BB55" s="1642">
        <f t="shared" si="115"/>
        <v>1.6671304946849221</v>
      </c>
      <c r="BC55" s="1489"/>
      <c r="BD55" s="1489"/>
      <c r="BE55" s="1489">
        <f t="shared" si="119"/>
        <v>0.92020383661477478</v>
      </c>
      <c r="BF55" s="1489">
        <f t="shared" si="120"/>
        <v>1.0265432167658739</v>
      </c>
      <c r="BG55" s="1489">
        <f t="shared" si="121"/>
        <v>0.43101085069444367</v>
      </c>
      <c r="BH55" s="1499">
        <f t="shared" si="122"/>
        <v>1.3352596354166657</v>
      </c>
      <c r="BI55" s="1499">
        <f t="shared" si="123"/>
        <v>2.2589404456967217</v>
      </c>
      <c r="BJ55" s="1499">
        <f t="shared" si="124"/>
        <v>1.2621391889080911</v>
      </c>
      <c r="BK55" s="1499">
        <f t="shared" si="125"/>
        <v>-0.31305219006147522</v>
      </c>
      <c r="BL55" s="1499">
        <f t="shared" si="126"/>
        <v>4.3912810421153914E-5</v>
      </c>
      <c r="BM55" s="1499">
        <f t="shared" si="127"/>
        <v>1.113487704918033</v>
      </c>
      <c r="BN55" s="1499">
        <f t="shared" si="128"/>
        <v>0.41504999990000013</v>
      </c>
      <c r="BO55" s="1499">
        <f t="shared" si="129"/>
        <v>0.42608750000000017</v>
      </c>
      <c r="BP55" s="1499">
        <f t="shared" si="130"/>
        <v>0.47749583330000062</v>
      </c>
      <c r="BQ55" s="1499"/>
      <c r="BR55" s="1586"/>
      <c r="BS55" s="1477"/>
      <c r="BV55" s="1444"/>
      <c r="BW55" s="1443"/>
      <c r="BX55" s="1443"/>
      <c r="BY55" s="1443"/>
      <c r="CA55" s="1921">
        <v>3</v>
      </c>
      <c r="CB55" s="1839" t="s">
        <v>693</v>
      </c>
      <c r="CC55" s="1925">
        <f>AVERAGE(CC47:$CS47)</f>
        <v>0.55294117647058827</v>
      </c>
      <c r="CD55" s="1925">
        <f>AVERAGE(CD47:$CS47)</f>
        <v>0.56562500000000004</v>
      </c>
      <c r="CE55" s="1925">
        <f>AVERAGE(CE47:$CS47)</f>
        <v>0.57999999999999996</v>
      </c>
      <c r="CF55" s="1925">
        <f>AVERAGE(CF47:$CS47)</f>
        <v>0.59642857142857153</v>
      </c>
      <c r="CG55" s="1925">
        <f>AVERAGE(CG47:$CS47)</f>
        <v>0.61538461538461542</v>
      </c>
      <c r="CH55" s="1925">
        <f>AVERAGE(CH47:$CS47)</f>
        <v>0.6333333333333333</v>
      </c>
      <c r="CI55" s="1925">
        <f>AVERAGE(CI47:$CS47)</f>
        <v>0.64999999999999991</v>
      </c>
      <c r="CJ55" s="1925">
        <f>AVERAGE(CJ47:$CS47)</f>
        <v>0.66499999999999992</v>
      </c>
      <c r="CK55" s="1925">
        <f>AVERAGE(CK47:$CS47)</f>
        <v>0.68333333333333324</v>
      </c>
      <c r="CL55" s="1925">
        <f>AVERAGE(CL47:$CS47)</f>
        <v>0.7</v>
      </c>
      <c r="CM55" s="1925">
        <f>AVERAGE(CM47:$CS47)</f>
        <v>0.7142857142857143</v>
      </c>
      <c r="CN55" s="1925">
        <f>AVERAGE(CN47:$CS47)</f>
        <v>0.72499999999999998</v>
      </c>
      <c r="CO55" s="1925">
        <f>AVERAGE(CO47:$CS47)</f>
        <v>0.74</v>
      </c>
      <c r="CP55" s="1925">
        <f>AVERAGE(CP47:$CS47)</f>
        <v>0.75</v>
      </c>
      <c r="CQ55" s="1925">
        <f>AVERAGE(CQ47:$CS47)</f>
        <v>0.75</v>
      </c>
      <c r="CR55" s="1925">
        <f>AVERAGE(CR47:$CS47)</f>
        <v>0.75</v>
      </c>
      <c r="CS55" s="1925">
        <f>AVERAGE(CS47:$CS47)</f>
        <v>0.75</v>
      </c>
      <c r="CT55" s="1925">
        <f>AVERAGE($CS47:CT47)</f>
        <v>0.75</v>
      </c>
      <c r="CU55" s="1925">
        <f>AVERAGE($CS47:CU47)</f>
        <v>0.76666666666666661</v>
      </c>
      <c r="CV55" s="1925">
        <f>AVERAGE($CS47:CV47)</f>
        <v>0.77499999999999991</v>
      </c>
      <c r="CW55" s="1925">
        <f>AVERAGE($CS47:CW47)</f>
        <v>0.77999999999999992</v>
      </c>
      <c r="CX55" s="1925">
        <f>AVERAGE($CS47:CX47)</f>
        <v>0.78333333333333321</v>
      </c>
      <c r="CY55" s="1925">
        <f>AVERAGE($CS47:CY47)</f>
        <v>0.78571428571428559</v>
      </c>
      <c r="CZ55" s="1925">
        <f>AVERAGE($CS47:CZ47)</f>
        <v>0.78749999999999987</v>
      </c>
      <c r="DA55" s="1925">
        <f>AVERAGE($CS47:DA47)</f>
        <v>0.78888888888888875</v>
      </c>
    </row>
    <row r="56" spans="1:105" ht="12.75" customHeight="1">
      <c r="A56" s="1445"/>
      <c r="B56" s="1446"/>
      <c r="C56" s="1649" t="s">
        <v>732</v>
      </c>
      <c r="D56" s="1649"/>
      <c r="E56" s="1649"/>
      <c r="F56" s="1666"/>
      <c r="G56" s="1647">
        <f t="shared" ref="G56:AX56" si="137">IF(ISBLANK(G199),"",G199)</f>
        <v>0.92945833333333372</v>
      </c>
      <c r="H56" s="1646">
        <f t="shared" si="137"/>
        <v>0.36958730158730102</v>
      </c>
      <c r="I56" s="1646">
        <f t="shared" si="137"/>
        <v>0.37103124999999881</v>
      </c>
      <c r="J56" s="1645">
        <f t="shared" si="137"/>
        <v>2.0107384615384656</v>
      </c>
      <c r="K56" s="1647">
        <f t="shared" si="137"/>
        <v>2.7836406250000012</v>
      </c>
      <c r="L56" s="1646">
        <f t="shared" si="137"/>
        <v>0.38664062500000007</v>
      </c>
      <c r="M56" s="1646">
        <f t="shared" si="137"/>
        <v>0.58382812500000192</v>
      </c>
      <c r="N56" s="1645">
        <f t="shared" si="137"/>
        <v>0.35206349206349286</v>
      </c>
      <c r="O56" s="1647">
        <f t="shared" si="137"/>
        <v>0.80777777777777793</v>
      </c>
      <c r="P56" s="1646">
        <f t="shared" si="137"/>
        <v>0.20609523809523767</v>
      </c>
      <c r="Q56" s="1646">
        <f t="shared" si="137"/>
        <v>0.18090476190476101</v>
      </c>
      <c r="R56" s="1646">
        <f t="shared" si="137"/>
        <v>0.52926562499999807</v>
      </c>
      <c r="S56" s="1647">
        <f t="shared" si="137"/>
        <v>4.3436166666666658</v>
      </c>
      <c r="T56" s="1646">
        <f t="shared" si="137"/>
        <v>0.30776562499999827</v>
      </c>
      <c r="U56" s="1646">
        <f t="shared" si="137"/>
        <v>0.20923437499999897</v>
      </c>
      <c r="V56" s="1645">
        <f t="shared" si="137"/>
        <v>0.48042187499999889</v>
      </c>
      <c r="W56" s="1647">
        <f t="shared" si="137"/>
        <v>11.865918032786885</v>
      </c>
      <c r="X56" s="1646">
        <f t="shared" si="137"/>
        <v>-0.87728124999999935</v>
      </c>
      <c r="Y56" s="1820">
        <f t="shared" si="137"/>
        <v>-1.3732187500000017</v>
      </c>
      <c r="Z56" s="1821">
        <f t="shared" si="137"/>
        <v>-0.57965624999999754</v>
      </c>
      <c r="AA56" s="1647">
        <f t="shared" si="137"/>
        <v>6.0189193548387117</v>
      </c>
      <c r="AB56" s="1646">
        <f t="shared" si="137"/>
        <v>-0.25368253968253818</v>
      </c>
      <c r="AC56" s="1820">
        <f t="shared" si="137"/>
        <v>-0.4931562499999993</v>
      </c>
      <c r="AD56" s="1821">
        <f t="shared" si="137"/>
        <v>-0.2235238095238099</v>
      </c>
      <c r="AE56" s="1647">
        <f t="shared" si="137"/>
        <v>0.49621311475409802</v>
      </c>
      <c r="AF56" s="1643">
        <f t="shared" si="137"/>
        <v>-0.43893749999999998</v>
      </c>
      <c r="AG56" s="1643">
        <f t="shared" si="137"/>
        <v>-0.95798437499999922</v>
      </c>
      <c r="AH56" s="1642">
        <f t="shared" si="137"/>
        <v>-0.3514999999999997</v>
      </c>
      <c r="AI56" s="1643">
        <f t="shared" si="137"/>
        <v>0.30054838709677556</v>
      </c>
      <c r="AJ56" s="1643">
        <f t="shared" si="137"/>
        <v>-0.38845312499999896</v>
      </c>
      <c r="AK56" s="1643">
        <f t="shared" si="137"/>
        <v>-0.54298412698412557</v>
      </c>
      <c r="AL56" s="1642">
        <f t="shared" si="137"/>
        <v>0.63106451612903358</v>
      </c>
      <c r="AM56" s="1643">
        <f t="shared" si="137"/>
        <v>4.698950819672131</v>
      </c>
      <c r="AN56" s="1643">
        <f t="shared" si="137"/>
        <v>-0.19166666666666643</v>
      </c>
      <c r="AO56" s="1643">
        <f t="shared" si="137"/>
        <v>-0.30999999999999961</v>
      </c>
      <c r="AP56" s="1642">
        <f t="shared" si="137"/>
        <v>0.25666666666666638</v>
      </c>
      <c r="AQ56" s="1643">
        <f t="shared" si="137"/>
        <v>1.637734667576852</v>
      </c>
      <c r="AR56" s="1643">
        <f t="shared" si="137"/>
        <v>-0.69677150590554215</v>
      </c>
      <c r="AS56" s="1643">
        <f t="shared" si="137"/>
        <v>-0.82532002718121711</v>
      </c>
      <c r="AT56" s="1642">
        <f t="shared" si="137"/>
        <v>1.5445568651099078</v>
      </c>
      <c r="AU56" s="1643">
        <f t="shared" si="137"/>
        <v>1.6691288195742207</v>
      </c>
      <c r="AV56" s="1643">
        <f t="shared" si="137"/>
        <v>-0.704374459769459</v>
      </c>
      <c r="AW56" s="1643">
        <f t="shared" si="137"/>
        <v>-0.83498911122825525</v>
      </c>
      <c r="AX56" s="1642">
        <f t="shared" si="137"/>
        <v>1.5745847514234943</v>
      </c>
      <c r="AY56" s="1643">
        <f t="shared" ref="AY56:BA56" si="138">IF(ISBLANK(AY199),"",AY199)</f>
        <v>1.7632770950378909</v>
      </c>
      <c r="AZ56" s="1643">
        <f t="shared" si="138"/>
        <v>-0.69298925565485447</v>
      </c>
      <c r="BA56" s="1643">
        <f t="shared" si="138"/>
        <v>-0.82743500086795607</v>
      </c>
      <c r="BB56" s="1642">
        <f t="shared" si="115"/>
        <v>1.6671304946849221</v>
      </c>
      <c r="BC56" s="1489"/>
      <c r="BD56" s="1489"/>
      <c r="BE56" s="1489">
        <f t="shared" si="119"/>
        <v>0.92020383661477478</v>
      </c>
      <c r="BF56" s="1489">
        <f t="shared" si="120"/>
        <v>1.0265432167658739</v>
      </c>
      <c r="BG56" s="1489">
        <f t="shared" si="121"/>
        <v>0.43101085069444367</v>
      </c>
      <c r="BH56" s="1499">
        <f t="shared" si="122"/>
        <v>1.3352596354166657</v>
      </c>
      <c r="BI56" s="1499">
        <f t="shared" si="123"/>
        <v>2.2589404456967217</v>
      </c>
      <c r="BJ56" s="1499">
        <f t="shared" si="124"/>
        <v>1.2621391889080911</v>
      </c>
      <c r="BK56" s="1499">
        <f t="shared" si="125"/>
        <v>-0.31305219006147522</v>
      </c>
      <c r="BL56" s="1499">
        <f t="shared" si="126"/>
        <v>4.3912810421153914E-5</v>
      </c>
      <c r="BM56" s="1499">
        <f t="shared" si="127"/>
        <v>1.113487704918033</v>
      </c>
      <c r="BN56" s="1499">
        <f t="shared" si="128"/>
        <v>0.41504999990000013</v>
      </c>
      <c r="BO56" s="1499">
        <f t="shared" si="129"/>
        <v>0.42608750000000017</v>
      </c>
      <c r="BP56" s="1499">
        <f t="shared" si="130"/>
        <v>0.47749583330000062</v>
      </c>
      <c r="BQ56" s="1499"/>
      <c r="BR56" s="1586"/>
      <c r="BS56" s="1477"/>
      <c r="BV56" s="1444"/>
      <c r="BW56" s="1443"/>
      <c r="BX56" s="1443"/>
      <c r="BY56" s="1443"/>
      <c r="CA56" s="1921">
        <v>4</v>
      </c>
      <c r="CB56" s="1839" t="s">
        <v>808</v>
      </c>
      <c r="CC56" s="1925">
        <f>AVERAGE(CC48:$CS48)</f>
        <v>0.27941176470588236</v>
      </c>
      <c r="CD56" s="1925">
        <f>AVERAGE(CD48:$CS48)</f>
        <v>0.28437499999999999</v>
      </c>
      <c r="CE56" s="1925">
        <f>AVERAGE(CE48:$CS48)</f>
        <v>0.28999999999999998</v>
      </c>
      <c r="CF56" s="1925">
        <f>AVERAGE(CF48:$CS48)</f>
        <v>0.29642857142857143</v>
      </c>
      <c r="CG56" s="1925">
        <f>AVERAGE(CG48:$CS48)</f>
        <v>0.30384615384615388</v>
      </c>
      <c r="CH56" s="1925">
        <f>AVERAGE(CH48:$CS48)</f>
        <v>0.31250000000000006</v>
      </c>
      <c r="CI56" s="1925">
        <f>AVERAGE(CI48:$CS48)</f>
        <v>0.32272727272727275</v>
      </c>
      <c r="CJ56" s="1925">
        <f>AVERAGE(CJ48:$CS48)</f>
        <v>0.33500000000000002</v>
      </c>
      <c r="CK56" s="1925">
        <f>AVERAGE(CK48:$CS48)</f>
        <v>0.35000000000000003</v>
      </c>
      <c r="CL56" s="1925">
        <f>AVERAGE(CL48:$CS48)</f>
        <v>0.36250000000000004</v>
      </c>
      <c r="CM56" s="1925">
        <f>AVERAGE(CM48:$CS48)</f>
        <v>0.37857142857142861</v>
      </c>
      <c r="CN56" s="1925">
        <f>AVERAGE(CN48:$CS48)</f>
        <v>0.39999999999999997</v>
      </c>
      <c r="CO56" s="1925">
        <f>AVERAGE(CO48:$CS48)</f>
        <v>0.41</v>
      </c>
      <c r="CP56" s="1925">
        <f>AVERAGE(CP48:$CS48)</f>
        <v>0.42499999999999999</v>
      </c>
      <c r="CQ56" s="1925">
        <f>AVERAGE(CQ48:$CS48)</f>
        <v>0.43333333333333335</v>
      </c>
      <c r="CR56" s="1925">
        <f>AVERAGE(CR48:$CS48)</f>
        <v>0.45</v>
      </c>
      <c r="CS56" s="1925">
        <f>AVERAGE(CS48:$CS48)</f>
        <v>0.45</v>
      </c>
      <c r="CT56" s="1925">
        <f>AVERAGE($CS48:CT48)</f>
        <v>0.47499999999999998</v>
      </c>
      <c r="CU56" s="1925">
        <f>AVERAGE($CS48:CU48)</f>
        <v>0.48333333333333334</v>
      </c>
      <c r="CV56" s="1925">
        <f>AVERAGE($CS48:CV48)</f>
        <v>0.48749999999999999</v>
      </c>
      <c r="CW56" s="1925">
        <f>AVERAGE($CS48:CW48)</f>
        <v>0.49000000000000005</v>
      </c>
      <c r="CX56" s="1925">
        <f>AVERAGE($CS48:CX48)</f>
        <v>0.5</v>
      </c>
      <c r="CY56" s="1925">
        <f>AVERAGE($CS48:CY48)</f>
        <v>0.50714285714285712</v>
      </c>
      <c r="CZ56" s="1925">
        <f>AVERAGE($CS48:CZ48)</f>
        <v>0.51249999999999996</v>
      </c>
      <c r="DA56" s="1925">
        <f>AVERAGE($CS48:DA48)</f>
        <v>0.51666666666666661</v>
      </c>
    </row>
    <row r="57" spans="1:105" ht="12.75" customHeight="1">
      <c r="A57" s="1445"/>
      <c r="B57" s="1446"/>
      <c r="C57" s="1665" t="s">
        <v>820</v>
      </c>
      <c r="D57" s="1548"/>
      <c r="E57" s="1548"/>
      <c r="F57" s="1521"/>
      <c r="G57" s="1647">
        <f t="shared" ref="G57:AX57" si="139">IF(ISBLANK(G200),"",G200)</f>
        <v>0.61162500000000009</v>
      </c>
      <c r="H57" s="1646">
        <f t="shared" si="139"/>
        <v>0.34730158730158944</v>
      </c>
      <c r="I57" s="1646">
        <f t="shared" si="139"/>
        <v>0.35659375000000004</v>
      </c>
      <c r="J57" s="1645">
        <f t="shared" si="139"/>
        <v>1.4691538461538483</v>
      </c>
      <c r="K57" s="1647">
        <f t="shared" si="139"/>
        <v>1.7646250000000014</v>
      </c>
      <c r="L57" s="1646">
        <f t="shared" si="139"/>
        <v>0.28798437500000063</v>
      </c>
      <c r="M57" s="1646">
        <f t="shared" si="139"/>
        <v>0.25414062500000068</v>
      </c>
      <c r="N57" s="1645">
        <f t="shared" si="139"/>
        <v>0.24365079365079412</v>
      </c>
      <c r="O57" s="1647">
        <f t="shared" si="139"/>
        <v>0.31452380952380965</v>
      </c>
      <c r="P57" s="1646">
        <f t="shared" si="139"/>
        <v>0.1599206349206348</v>
      </c>
      <c r="Q57" s="1646">
        <f t="shared" si="139"/>
        <v>0.16882539682539655</v>
      </c>
      <c r="R57" s="1646">
        <f t="shared" si="139"/>
        <v>0.26892187499999887</v>
      </c>
      <c r="S57" s="1647">
        <f t="shared" si="139"/>
        <v>0.819599999999999</v>
      </c>
      <c r="T57" s="1646">
        <f t="shared" si="139"/>
        <v>0.11882812499999851</v>
      </c>
      <c r="U57" s="1646">
        <f t="shared" si="139"/>
        <v>-1.3265625000001169E-2</v>
      </c>
      <c r="V57" s="1645">
        <f t="shared" si="139"/>
        <v>0.14118750000000091</v>
      </c>
      <c r="W57" s="1647">
        <f t="shared" si="139"/>
        <v>7.5181639344262283</v>
      </c>
      <c r="X57" s="1646">
        <f t="shared" si="139"/>
        <v>-0.89420312500000065</v>
      </c>
      <c r="Y57" s="1820">
        <f t="shared" si="139"/>
        <v>-1.4395156250000012</v>
      </c>
      <c r="Z57" s="1821">
        <f t="shared" si="139"/>
        <v>-1.017578125</v>
      </c>
      <c r="AA57" s="1647">
        <f t="shared" si="139"/>
        <v>3.554258064516127</v>
      </c>
      <c r="AB57" s="1646">
        <f t="shared" si="139"/>
        <v>-1.1179206349206339</v>
      </c>
      <c r="AC57" s="1820">
        <f t="shared" si="139"/>
        <v>-1.3916093749999998</v>
      </c>
      <c r="AD57" s="1821">
        <f t="shared" si="139"/>
        <v>-0.84366666666666723</v>
      </c>
      <c r="AE57" s="1647">
        <f t="shared" si="139"/>
        <v>-0.15401639344262286</v>
      </c>
      <c r="AF57" s="1643">
        <f t="shared" si="139"/>
        <v>-0.55339062499999958</v>
      </c>
      <c r="AG57" s="1643">
        <f t="shared" si="139"/>
        <v>-1.5273593749999999</v>
      </c>
      <c r="AH57" s="1642">
        <f t="shared" si="139"/>
        <v>-0.79788709677419334</v>
      </c>
      <c r="AI57" s="1643">
        <f t="shared" si="139"/>
        <v>-1.6838709677418517E-2</v>
      </c>
      <c r="AJ57" s="1643">
        <f t="shared" si="139"/>
        <v>-0.56160937500000019</v>
      </c>
      <c r="AK57" s="1643">
        <f t="shared" si="139"/>
        <v>-1.2109841269841268</v>
      </c>
      <c r="AL57" s="1642">
        <f t="shared" si="139"/>
        <v>-0.13975806451612982</v>
      </c>
      <c r="AM57" s="1643">
        <f t="shared" si="139"/>
        <v>3.4441967213114757</v>
      </c>
      <c r="AN57" s="1643">
        <f t="shared" si="139"/>
        <v>-0.46333333333333293</v>
      </c>
      <c r="AO57" s="1643">
        <f t="shared" si="139"/>
        <v>-0.59499999999999975</v>
      </c>
      <c r="AP57" s="1642">
        <f t="shared" si="139"/>
        <v>-0.21666666666666679</v>
      </c>
      <c r="AQ57" s="1643">
        <f t="shared" si="139"/>
        <v>0.74457975965344758</v>
      </c>
      <c r="AR57" s="1643">
        <f t="shared" si="139"/>
        <v>-0.76430483819771866</v>
      </c>
      <c r="AS57" s="1643">
        <f t="shared" si="139"/>
        <v>-0.78296558457066712</v>
      </c>
      <c r="AT57" s="1642">
        <f t="shared" si="139"/>
        <v>0.8235214539149398</v>
      </c>
      <c r="AU57" s="1643">
        <f t="shared" si="139"/>
        <v>0.64485745238273218</v>
      </c>
      <c r="AV57" s="1643">
        <f t="shared" si="139"/>
        <v>-0.82982612063011629</v>
      </c>
      <c r="AW57" s="1643">
        <f t="shared" si="139"/>
        <v>-0.84922019602346377</v>
      </c>
      <c r="AX57" s="1642">
        <f t="shared" si="139"/>
        <v>0.71921711267084909</v>
      </c>
      <c r="AY57" s="1699">
        <f t="shared" ref="AY57:BB58" si="140">IF(ISBLANK(AY200),"",IF(Uplift="Yes",AY200+$BY$60,AY200))</f>
        <v>0.48444356495038898</v>
      </c>
      <c r="AZ57" s="1699">
        <f t="shared" si="140"/>
        <v>-1.0120860120693718</v>
      </c>
      <c r="BA57" s="1699">
        <f t="shared" si="140"/>
        <v>-1.0319123178597174</v>
      </c>
      <c r="BB57" s="1700">
        <f t="shared" si="140"/>
        <v>0.55955476497869994</v>
      </c>
      <c r="BC57" s="1489"/>
      <c r="BD57" s="1489"/>
      <c r="BE57" s="1489">
        <f t="shared" si="119"/>
        <v>0.69616854586385946</v>
      </c>
      <c r="BF57" s="1489">
        <f t="shared" si="120"/>
        <v>0.63760019841269922</v>
      </c>
      <c r="BG57" s="1489">
        <f t="shared" si="121"/>
        <v>0.22804792906745996</v>
      </c>
      <c r="BH57" s="1499">
        <f t="shared" si="122"/>
        <v>0.26658749999999931</v>
      </c>
      <c r="BI57" s="1499">
        <f t="shared" si="123"/>
        <v>1.0417167648565566</v>
      </c>
      <c r="BJ57" s="1499">
        <f t="shared" si="124"/>
        <v>5.0265346982206582E-2</v>
      </c>
      <c r="BK57" s="1499">
        <f t="shared" si="125"/>
        <v>-0.75816337255420385</v>
      </c>
      <c r="BL57" s="1499">
        <f t="shared" si="126"/>
        <v>-0.48229756904441884</v>
      </c>
      <c r="BM57" s="1499">
        <f t="shared" si="127"/>
        <v>0.54229918032786906</v>
      </c>
      <c r="BN57" s="1499">
        <f t="shared" si="128"/>
        <v>5.2076977000004021E-3</v>
      </c>
      <c r="BO57" s="1499">
        <f t="shared" si="129"/>
        <v>-7.8742937899999699E-2</v>
      </c>
      <c r="BP57" s="1499">
        <f t="shared" si="130"/>
        <v>-0.25000000000000011</v>
      </c>
      <c r="BQ57" s="1499"/>
      <c r="BR57" s="1586"/>
      <c r="BS57" s="1477"/>
      <c r="BV57" s="1444"/>
      <c r="BW57" s="1464" t="s">
        <v>152</v>
      </c>
      <c r="BX57" s="1443"/>
      <c r="BY57" s="1443"/>
      <c r="CA57" s="1921">
        <v>5</v>
      </c>
      <c r="CB57" s="1839" t="s">
        <v>809</v>
      </c>
      <c r="CC57" s="1925">
        <f>AVERAGE(CC49:$CS49)</f>
        <v>0.27941176470588236</v>
      </c>
      <c r="CD57" s="1925">
        <f>AVERAGE(CD49:$CS49)</f>
        <v>0.28437499999999999</v>
      </c>
      <c r="CE57" s="1925">
        <f>AVERAGE(CE49:$CS49)</f>
        <v>0.28999999999999998</v>
      </c>
      <c r="CF57" s="1925">
        <f>AVERAGE(CF49:$CS49)</f>
        <v>0.29642857142857143</v>
      </c>
      <c r="CG57" s="1925">
        <f>AVERAGE(CG49:$CS49)</f>
        <v>0.30384615384615388</v>
      </c>
      <c r="CH57" s="1925">
        <f>AVERAGE(CH49:$CS49)</f>
        <v>0.31250000000000006</v>
      </c>
      <c r="CI57" s="1925">
        <f>AVERAGE(CI49:$CS49)</f>
        <v>0.32272727272727275</v>
      </c>
      <c r="CJ57" s="1925">
        <f>AVERAGE(CJ49:$CS49)</f>
        <v>0.33500000000000002</v>
      </c>
      <c r="CK57" s="1925">
        <f>AVERAGE(CK49:$CS49)</f>
        <v>0.35000000000000003</v>
      </c>
      <c r="CL57" s="1925">
        <f>AVERAGE(CL49:$CS49)</f>
        <v>0.36250000000000004</v>
      </c>
      <c r="CM57" s="1925">
        <f>AVERAGE(CM49:$CS49)</f>
        <v>0.37857142857142861</v>
      </c>
      <c r="CN57" s="1925">
        <f>AVERAGE(CN49:$CS49)</f>
        <v>0.39999999999999997</v>
      </c>
      <c r="CO57" s="1925">
        <f>AVERAGE(CO49:$CS49)</f>
        <v>0.41</v>
      </c>
      <c r="CP57" s="1925">
        <f>AVERAGE(CP49:$CS49)</f>
        <v>0.42499999999999999</v>
      </c>
      <c r="CQ57" s="1925">
        <f>AVERAGE(CQ49:$CS49)</f>
        <v>0.43333333333333335</v>
      </c>
      <c r="CR57" s="1925">
        <f>AVERAGE(CR49:$CS49)</f>
        <v>0.45</v>
      </c>
      <c r="CS57" s="1925">
        <f>AVERAGE(CS49:$CS49)</f>
        <v>0.45</v>
      </c>
      <c r="CT57" s="1925">
        <f>AVERAGE($CS49:CT49)</f>
        <v>0.47499999999999998</v>
      </c>
      <c r="CU57" s="1925">
        <f>AVERAGE($CS49:CU49)</f>
        <v>0.48333333333333334</v>
      </c>
      <c r="CV57" s="1925">
        <f>AVERAGE($CS49:CV49)</f>
        <v>0.48749999999999999</v>
      </c>
      <c r="CW57" s="1925">
        <f>AVERAGE($CS49:CW49)</f>
        <v>0.49000000000000005</v>
      </c>
      <c r="CX57" s="1925">
        <f>AVERAGE($CS49:CX49)</f>
        <v>0.5</v>
      </c>
      <c r="CY57" s="1925">
        <f>AVERAGE($CS49:CY49)</f>
        <v>0.50714285714285712</v>
      </c>
      <c r="CZ57" s="1925">
        <f>AVERAGE($CS49:CZ49)</f>
        <v>0.51249999999999996</v>
      </c>
      <c r="DA57" s="1925">
        <f>AVERAGE($CS49:DA49)</f>
        <v>0.51666666666666661</v>
      </c>
    </row>
    <row r="58" spans="1:105" ht="12.75" customHeight="1">
      <c r="A58" s="1445"/>
      <c r="B58" s="1446"/>
      <c r="C58" s="1665" t="s">
        <v>282</v>
      </c>
      <c r="D58" s="1548"/>
      <c r="E58" s="1548"/>
      <c r="F58" s="1521"/>
      <c r="G58" s="1647">
        <f t="shared" ref="G58:AX58" si="141">IF(ISBLANK(G201),"",G201)</f>
        <v>0.61162500000000009</v>
      </c>
      <c r="H58" s="1646">
        <f t="shared" si="141"/>
        <v>0.34730158730158944</v>
      </c>
      <c r="I58" s="1646">
        <f t="shared" si="141"/>
        <v>0.35659375000000004</v>
      </c>
      <c r="J58" s="1645">
        <f t="shared" si="141"/>
        <v>1.4691538461538483</v>
      </c>
      <c r="K58" s="1647">
        <f t="shared" si="141"/>
        <v>1.7646250000000014</v>
      </c>
      <c r="L58" s="1646">
        <f t="shared" si="141"/>
        <v>0.28798437500000063</v>
      </c>
      <c r="M58" s="1646">
        <f t="shared" si="141"/>
        <v>0.25414062500000068</v>
      </c>
      <c r="N58" s="1645">
        <f t="shared" si="141"/>
        <v>0.24365079365079412</v>
      </c>
      <c r="O58" s="1647">
        <f t="shared" si="141"/>
        <v>0.31452380952380965</v>
      </c>
      <c r="P58" s="1646">
        <f t="shared" si="141"/>
        <v>0.1599206349206348</v>
      </c>
      <c r="Q58" s="1646">
        <f t="shared" si="141"/>
        <v>0.16882539682539655</v>
      </c>
      <c r="R58" s="1646">
        <f t="shared" si="141"/>
        <v>0.26892187499999887</v>
      </c>
      <c r="S58" s="1647">
        <f t="shared" si="141"/>
        <v>0.819599999999999</v>
      </c>
      <c r="T58" s="1646">
        <f t="shared" si="141"/>
        <v>0.11882812499999851</v>
      </c>
      <c r="U58" s="1646">
        <f t="shared" si="141"/>
        <v>-1.3265625000001169E-2</v>
      </c>
      <c r="V58" s="1645">
        <f t="shared" si="141"/>
        <v>0.14118750000000091</v>
      </c>
      <c r="W58" s="1647">
        <f t="shared" si="141"/>
        <v>7.5181639344262283</v>
      </c>
      <c r="X58" s="1646">
        <f t="shared" si="141"/>
        <v>-0.89420312500000065</v>
      </c>
      <c r="Y58" s="1820">
        <f t="shared" si="141"/>
        <v>-1.4395156250000012</v>
      </c>
      <c r="Z58" s="1821">
        <f t="shared" si="141"/>
        <v>-1.017578125</v>
      </c>
      <c r="AA58" s="1647">
        <f t="shared" si="141"/>
        <v>3.554258064516127</v>
      </c>
      <c r="AB58" s="1646">
        <f t="shared" si="141"/>
        <v>-1.1179206349206339</v>
      </c>
      <c r="AC58" s="1820">
        <f t="shared" si="141"/>
        <v>-1.3916093749999998</v>
      </c>
      <c r="AD58" s="1821">
        <f t="shared" si="141"/>
        <v>-0.84366666666666723</v>
      </c>
      <c r="AE58" s="1647">
        <f t="shared" si="141"/>
        <v>-0.15401639344262286</v>
      </c>
      <c r="AF58" s="1643">
        <f t="shared" si="141"/>
        <v>-0.55339062499999958</v>
      </c>
      <c r="AG58" s="1643">
        <f t="shared" si="141"/>
        <v>-1.5273593749999999</v>
      </c>
      <c r="AH58" s="1642">
        <f t="shared" si="141"/>
        <v>-0.79788709677419334</v>
      </c>
      <c r="AI58" s="1643">
        <f t="shared" si="141"/>
        <v>-1.6838709677418517E-2</v>
      </c>
      <c r="AJ58" s="1643">
        <f t="shared" si="141"/>
        <v>-0.56160937500000019</v>
      </c>
      <c r="AK58" s="1643">
        <f t="shared" si="141"/>
        <v>-1.2109841269841268</v>
      </c>
      <c r="AL58" s="1642">
        <f t="shared" si="141"/>
        <v>-0.13975806451612982</v>
      </c>
      <c r="AM58" s="1643">
        <f t="shared" si="141"/>
        <v>3.4441967213114757</v>
      </c>
      <c r="AN58" s="1643">
        <f t="shared" si="141"/>
        <v>-0.46333333333333293</v>
      </c>
      <c r="AO58" s="1643">
        <f t="shared" si="141"/>
        <v>-0.59499999999999975</v>
      </c>
      <c r="AP58" s="1642">
        <f t="shared" si="141"/>
        <v>-0.21666666666666679</v>
      </c>
      <c r="AQ58" s="1643">
        <f t="shared" si="141"/>
        <v>0.74457975965344758</v>
      </c>
      <c r="AR58" s="1643">
        <f t="shared" si="141"/>
        <v>-0.76430483819771866</v>
      </c>
      <c r="AS58" s="1643">
        <f t="shared" si="141"/>
        <v>-0.78296558457066712</v>
      </c>
      <c r="AT58" s="1642">
        <f t="shared" si="141"/>
        <v>0.8235214539149398</v>
      </c>
      <c r="AU58" s="1643">
        <f t="shared" si="141"/>
        <v>0.64485745238273218</v>
      </c>
      <c r="AV58" s="1643">
        <f t="shared" si="141"/>
        <v>-0.82982612063011629</v>
      </c>
      <c r="AW58" s="1643">
        <f t="shared" si="141"/>
        <v>-0.84922019602346377</v>
      </c>
      <c r="AX58" s="1642">
        <f t="shared" si="141"/>
        <v>0.71921711267084909</v>
      </c>
      <c r="AY58" s="1699">
        <f t="shared" si="140"/>
        <v>0.48444356495038898</v>
      </c>
      <c r="AZ58" s="1699">
        <f t="shared" si="140"/>
        <v>-1.0120860120693718</v>
      </c>
      <c r="BA58" s="1699">
        <f t="shared" si="140"/>
        <v>-1.0319123178597174</v>
      </c>
      <c r="BB58" s="1700">
        <f t="shared" si="140"/>
        <v>0.55955476497869994</v>
      </c>
      <c r="BC58" s="1489"/>
      <c r="BD58" s="1489"/>
      <c r="BE58" s="1489">
        <f t="shared" si="119"/>
        <v>0.69616854586385946</v>
      </c>
      <c r="BF58" s="1489">
        <f t="shared" si="120"/>
        <v>0.63760019841269922</v>
      </c>
      <c r="BG58" s="1489">
        <f t="shared" si="121"/>
        <v>0.22804792906745996</v>
      </c>
      <c r="BH58" s="1499">
        <f t="shared" si="122"/>
        <v>0.26658749999999931</v>
      </c>
      <c r="BI58" s="1499">
        <f t="shared" si="123"/>
        <v>1.0417167648565566</v>
      </c>
      <c r="BJ58" s="1499">
        <f t="shared" si="124"/>
        <v>5.0265346982206582E-2</v>
      </c>
      <c r="BK58" s="1499">
        <f t="shared" si="125"/>
        <v>-0.75816337255420385</v>
      </c>
      <c r="BL58" s="1499">
        <f t="shared" si="126"/>
        <v>-0.48229756904441884</v>
      </c>
      <c r="BM58" s="1499">
        <f t="shared" si="127"/>
        <v>0.54229918032786906</v>
      </c>
      <c r="BN58" s="1499">
        <f t="shared" si="128"/>
        <v>5.2076977000004021E-3</v>
      </c>
      <c r="BO58" s="1499">
        <f t="shared" si="129"/>
        <v>-7.8742937899999699E-2</v>
      </c>
      <c r="BP58" s="1499">
        <f t="shared" si="130"/>
        <v>-0.25000000000000011</v>
      </c>
      <c r="BQ58" s="1499"/>
      <c r="BR58" s="1586"/>
      <c r="BS58" s="1477"/>
      <c r="BV58" s="1444"/>
      <c r="BW58" s="1519" t="s">
        <v>153</v>
      </c>
      <c r="BX58" s="1492"/>
      <c r="BY58" s="1520">
        <f>Valuation!$CG$32</f>
        <v>-0.25</v>
      </c>
      <c r="CA58" s="1921">
        <v>6</v>
      </c>
      <c r="CB58" s="1839" t="s">
        <v>810</v>
      </c>
      <c r="CC58" s="1925">
        <f>AVERAGE(CC50:$CS50)</f>
        <v>0.26470588235294118</v>
      </c>
      <c r="CD58" s="1925">
        <f>AVERAGE(CD50:$CS50)</f>
        <v>0.26874999999999999</v>
      </c>
      <c r="CE58" s="1925">
        <f>AVERAGE(CE50:$CS50)</f>
        <v>0.27333333333333332</v>
      </c>
      <c r="CF58" s="1925">
        <f>AVERAGE(CF50:$CS50)</f>
        <v>0.27857142857142858</v>
      </c>
      <c r="CG58" s="1925">
        <f>AVERAGE(CG50:$CS50)</f>
        <v>0.2846153846153846</v>
      </c>
      <c r="CH58" s="1925">
        <f>AVERAGE(CH50:$CS50)</f>
        <v>0.29166666666666669</v>
      </c>
      <c r="CI58" s="1925">
        <f>AVERAGE(CI50:$CS50)</f>
        <v>0.3</v>
      </c>
      <c r="CJ58" s="1925">
        <f>AVERAGE(CJ50:$CS50)</f>
        <v>0.31</v>
      </c>
      <c r="CK58" s="1925">
        <f>AVERAGE(CK50:$CS50)</f>
        <v>0.32222222222222219</v>
      </c>
      <c r="CL58" s="1925">
        <f>AVERAGE(CL50:$CS50)</f>
        <v>0.33124999999999999</v>
      </c>
      <c r="CM58" s="1925">
        <f>AVERAGE(CM50:$CS50)</f>
        <v>0.34285714285714286</v>
      </c>
      <c r="CN58" s="1925">
        <f>AVERAGE(CN50:$CS50)</f>
        <v>0.34999999999999992</v>
      </c>
      <c r="CO58" s="1925">
        <f>AVERAGE(CO50:$CS50)</f>
        <v>0.36</v>
      </c>
      <c r="CP58" s="1925">
        <f>AVERAGE(CP50:$CS50)</f>
        <v>0.375</v>
      </c>
      <c r="CQ58" s="1925">
        <f>AVERAGE(CQ50:$CS50)</f>
        <v>0.3833333333333333</v>
      </c>
      <c r="CR58" s="1925">
        <f>AVERAGE(CR50:$CS50)</f>
        <v>0.4</v>
      </c>
      <c r="CS58" s="1925">
        <f>AVERAGE(CS50:$CS50)</f>
        <v>0.4</v>
      </c>
      <c r="CT58" s="1925">
        <f>AVERAGE($CS50:CT50)</f>
        <v>0.4</v>
      </c>
      <c r="CU58" s="1925">
        <f>AVERAGE($CS50:CU50)</f>
        <v>0.41666666666666669</v>
      </c>
      <c r="CV58" s="1925">
        <f>AVERAGE($CS50:CV50)</f>
        <v>0.4375</v>
      </c>
      <c r="CW58" s="1925">
        <f>AVERAGE($CS50:CW50)</f>
        <v>0.45</v>
      </c>
      <c r="CX58" s="1925">
        <f>AVERAGE($CS50:CX50)</f>
        <v>0.45833333333333331</v>
      </c>
      <c r="CY58" s="1925">
        <f>AVERAGE($CS50:CY50)</f>
        <v>0.4642857142857143</v>
      </c>
      <c r="CZ58" s="1925">
        <f>AVERAGE($CS50:CZ50)</f>
        <v>0.46875</v>
      </c>
      <c r="DA58" s="1925">
        <f>AVERAGE($CS50:DA50)</f>
        <v>0.47222222222222221</v>
      </c>
    </row>
    <row r="59" spans="1:105" ht="12.75" customHeight="1">
      <c r="A59" s="1445"/>
      <c r="B59" s="1446"/>
      <c r="C59" s="1649" t="s">
        <v>744</v>
      </c>
      <c r="D59" s="1649"/>
      <c r="E59" s="1649"/>
      <c r="F59" s="1666"/>
      <c r="G59" s="1647">
        <f t="shared" ref="G59:AX59" si="142">IF(ISBLANK(G202),"",G202)</f>
        <v>0.61162500000000009</v>
      </c>
      <c r="H59" s="1646">
        <f t="shared" si="142"/>
        <v>0.34730158730158944</v>
      </c>
      <c r="I59" s="1646">
        <f t="shared" si="142"/>
        <v>0.35659375000000004</v>
      </c>
      <c r="J59" s="1645">
        <f t="shared" si="142"/>
        <v>1.4691538461538483</v>
      </c>
      <c r="K59" s="1647">
        <f t="shared" si="142"/>
        <v>1.7646250000000014</v>
      </c>
      <c r="L59" s="1646">
        <f t="shared" si="142"/>
        <v>0.28798437500000063</v>
      </c>
      <c r="M59" s="1646">
        <f t="shared" si="142"/>
        <v>0.25414062500000068</v>
      </c>
      <c r="N59" s="1645">
        <f t="shared" si="142"/>
        <v>0.24365079365079412</v>
      </c>
      <c r="O59" s="1647">
        <f t="shared" si="142"/>
        <v>0.31452380952380965</v>
      </c>
      <c r="P59" s="1646">
        <f t="shared" si="142"/>
        <v>0.1599206349206348</v>
      </c>
      <c r="Q59" s="1646">
        <f t="shared" si="142"/>
        <v>0.16882539682539655</v>
      </c>
      <c r="R59" s="1646">
        <f t="shared" si="142"/>
        <v>0.26892187499999887</v>
      </c>
      <c r="S59" s="1647">
        <f t="shared" si="142"/>
        <v>0.819599999999999</v>
      </c>
      <c r="T59" s="1646">
        <f t="shared" si="142"/>
        <v>0.11882812499999851</v>
      </c>
      <c r="U59" s="1646">
        <f t="shared" si="142"/>
        <v>-1.3265625000001169E-2</v>
      </c>
      <c r="V59" s="1645">
        <f t="shared" si="142"/>
        <v>0.14118750000000091</v>
      </c>
      <c r="W59" s="1647">
        <f t="shared" si="142"/>
        <v>7.5181639344262283</v>
      </c>
      <c r="X59" s="1646">
        <f t="shared" si="142"/>
        <v>-0.89420312500000065</v>
      </c>
      <c r="Y59" s="1820">
        <f t="shared" si="142"/>
        <v>-1.4395156250000012</v>
      </c>
      <c r="Z59" s="1821">
        <f t="shared" si="142"/>
        <v>-1.017578125</v>
      </c>
      <c r="AA59" s="1647">
        <f t="shared" si="142"/>
        <v>3.554258064516127</v>
      </c>
      <c r="AB59" s="1646">
        <f t="shared" si="142"/>
        <v>-1.1179206349206339</v>
      </c>
      <c r="AC59" s="1820">
        <f t="shared" si="142"/>
        <v>-1.3916093749999998</v>
      </c>
      <c r="AD59" s="1821">
        <f t="shared" si="142"/>
        <v>-0.84366666666666723</v>
      </c>
      <c r="AE59" s="1647">
        <f t="shared" si="142"/>
        <v>-0.15401639344262286</v>
      </c>
      <c r="AF59" s="1643">
        <f t="shared" si="142"/>
        <v>-0.55339062499999958</v>
      </c>
      <c r="AG59" s="1643">
        <f t="shared" si="142"/>
        <v>-1.5273593749999999</v>
      </c>
      <c r="AH59" s="1642">
        <f t="shared" si="142"/>
        <v>-0.79788709677419334</v>
      </c>
      <c r="AI59" s="1643">
        <f t="shared" si="142"/>
        <v>-1.6838709677418517E-2</v>
      </c>
      <c r="AJ59" s="1643">
        <f t="shared" si="142"/>
        <v>-0.56160937500000019</v>
      </c>
      <c r="AK59" s="1643">
        <f t="shared" si="142"/>
        <v>-1.2109841269841268</v>
      </c>
      <c r="AL59" s="1642">
        <f t="shared" si="142"/>
        <v>-0.13975806451612982</v>
      </c>
      <c r="AM59" s="1643">
        <f t="shared" si="142"/>
        <v>3.4441967213114757</v>
      </c>
      <c r="AN59" s="1643">
        <f t="shared" si="142"/>
        <v>0</v>
      </c>
      <c r="AO59" s="1643">
        <f t="shared" si="142"/>
        <v>0</v>
      </c>
      <c r="AP59" s="1642">
        <f t="shared" si="142"/>
        <v>0</v>
      </c>
      <c r="AQ59" s="1643">
        <f t="shared" si="142"/>
        <v>0</v>
      </c>
      <c r="AR59" s="1643">
        <f t="shared" si="142"/>
        <v>0</v>
      </c>
      <c r="AS59" s="1643">
        <f t="shared" si="142"/>
        <v>0</v>
      </c>
      <c r="AT59" s="1642">
        <f t="shared" si="142"/>
        <v>0</v>
      </c>
      <c r="AU59" s="1643">
        <f t="shared" si="142"/>
        <v>0</v>
      </c>
      <c r="AV59" s="1643">
        <f t="shared" si="142"/>
        <v>0</v>
      </c>
      <c r="AW59" s="1643">
        <f t="shared" si="142"/>
        <v>0</v>
      </c>
      <c r="AX59" s="1642">
        <f t="shared" si="142"/>
        <v>0</v>
      </c>
      <c r="AY59" s="1699">
        <f>IF(ISBLANK(AY202),"",IF(Uplift="Yes",AY202+$BY$63,AY202))</f>
        <v>-0.25</v>
      </c>
      <c r="AZ59" s="1699">
        <f>IF(ISBLANK(AZ202),"",IF(Uplift="Yes",AZ202+$BY$63,AZ202))</f>
        <v>-0.25</v>
      </c>
      <c r="BA59" s="1699">
        <f>IF(ISBLANK(BA202),"",IF(Uplift="Yes",BA202+$BY$63,BA202))</f>
        <v>-0.25</v>
      </c>
      <c r="BB59" s="1700">
        <f>IF(ISBLANK(BB202),"",IF(Uplift="Yes",BB202+$BY$63,BB202))</f>
        <v>-0.25</v>
      </c>
      <c r="BC59" s="1489"/>
      <c r="BD59" s="1489"/>
      <c r="BE59" s="1489">
        <f t="shared" si="119"/>
        <v>0.69616854586385946</v>
      </c>
      <c r="BF59" s="1489">
        <f t="shared" si="120"/>
        <v>0.63760019841269922</v>
      </c>
      <c r="BG59" s="1489">
        <f t="shared" si="121"/>
        <v>0.22804792906745996</v>
      </c>
      <c r="BH59" s="1499">
        <f t="shared" si="122"/>
        <v>0.26658749999999931</v>
      </c>
      <c r="BI59" s="1499">
        <f t="shared" si="123"/>
        <v>1.0417167648565566</v>
      </c>
      <c r="BJ59" s="1499">
        <f t="shared" si="124"/>
        <v>5.0265346982206582E-2</v>
      </c>
      <c r="BK59" s="1499">
        <f t="shared" si="125"/>
        <v>-0.75816337255420385</v>
      </c>
      <c r="BL59" s="1499">
        <f t="shared" si="126"/>
        <v>-0.48229756904441884</v>
      </c>
      <c r="BM59" s="1499">
        <f t="shared" si="127"/>
        <v>0.86104918032786892</v>
      </c>
      <c r="BN59" s="1499">
        <f t="shared" si="128"/>
        <v>0</v>
      </c>
      <c r="BO59" s="1499">
        <f t="shared" si="129"/>
        <v>0</v>
      </c>
      <c r="BP59" s="1499">
        <f t="shared" si="130"/>
        <v>-0.25</v>
      </c>
      <c r="BQ59" s="1499"/>
      <c r="BR59" s="1586"/>
      <c r="BS59" s="1477"/>
      <c r="BV59" s="1444"/>
      <c r="BW59" s="1519" t="s">
        <v>154</v>
      </c>
      <c r="BX59" s="1443"/>
      <c r="BY59" s="1522">
        <f>+BP200</f>
        <v>-9.0416666699999593E-2</v>
      </c>
    </row>
    <row r="60" spans="1:105" ht="12.75" customHeight="1">
      <c r="A60" s="1445"/>
      <c r="B60" s="1446"/>
      <c r="C60" s="1649" t="s">
        <v>436</v>
      </c>
      <c r="D60" s="1649"/>
      <c r="E60" s="1649"/>
      <c r="F60" s="1666"/>
      <c r="G60" s="1647">
        <f t="shared" ref="G60:AX60" si="143">IF(ISBLANK(G203),"",G203)</f>
        <v>0</v>
      </c>
      <c r="H60" s="1646">
        <f t="shared" si="143"/>
        <v>0</v>
      </c>
      <c r="I60" s="1646">
        <f t="shared" si="143"/>
        <v>0</v>
      </c>
      <c r="J60" s="1645">
        <f t="shared" si="143"/>
        <v>0</v>
      </c>
      <c r="K60" s="1647">
        <f t="shared" si="143"/>
        <v>0</v>
      </c>
      <c r="L60" s="1646">
        <f t="shared" si="143"/>
        <v>0</v>
      </c>
      <c r="M60" s="1646">
        <f t="shared" si="143"/>
        <v>0</v>
      </c>
      <c r="N60" s="1645">
        <f t="shared" si="143"/>
        <v>0</v>
      </c>
      <c r="O60" s="1647">
        <f t="shared" si="143"/>
        <v>0</v>
      </c>
      <c r="P60" s="1646">
        <f t="shared" si="143"/>
        <v>0</v>
      </c>
      <c r="Q60" s="1646">
        <f t="shared" si="143"/>
        <v>0</v>
      </c>
      <c r="R60" s="1646">
        <f t="shared" si="143"/>
        <v>0</v>
      </c>
      <c r="S60" s="1647">
        <f t="shared" si="143"/>
        <v>0</v>
      </c>
      <c r="T60" s="1646">
        <f t="shared" si="143"/>
        <v>0</v>
      </c>
      <c r="U60" s="1646">
        <f t="shared" si="143"/>
        <v>0</v>
      </c>
      <c r="V60" s="1645">
        <f t="shared" si="143"/>
        <v>0</v>
      </c>
      <c r="W60" s="1647">
        <f t="shared" si="143"/>
        <v>0</v>
      </c>
      <c r="X60" s="1646">
        <f t="shared" si="143"/>
        <v>0</v>
      </c>
      <c r="Y60" s="1820">
        <f t="shared" si="143"/>
        <v>0</v>
      </c>
      <c r="Z60" s="1821">
        <f t="shared" si="143"/>
        <v>0</v>
      </c>
      <c r="AA60" s="1647">
        <f t="shared" si="143"/>
        <v>0</v>
      </c>
      <c r="AB60" s="1646">
        <f t="shared" si="143"/>
        <v>0</v>
      </c>
      <c r="AC60" s="1820">
        <f t="shared" si="143"/>
        <v>0</v>
      </c>
      <c r="AD60" s="1821">
        <f t="shared" si="143"/>
        <v>0</v>
      </c>
      <c r="AE60" s="1647">
        <f t="shared" si="143"/>
        <v>0</v>
      </c>
      <c r="AF60" s="1643">
        <f t="shared" si="143"/>
        <v>0</v>
      </c>
      <c r="AG60" s="1643">
        <f t="shared" si="143"/>
        <v>0</v>
      </c>
      <c r="AH60" s="1642">
        <f t="shared" si="143"/>
        <v>0</v>
      </c>
      <c r="AI60" s="1643">
        <f t="shared" si="143"/>
        <v>0</v>
      </c>
      <c r="AJ60" s="1643">
        <f t="shared" si="143"/>
        <v>0</v>
      </c>
      <c r="AK60" s="1643">
        <f t="shared" si="143"/>
        <v>0</v>
      </c>
      <c r="AL60" s="1642">
        <f t="shared" si="143"/>
        <v>0</v>
      </c>
      <c r="AM60" s="1643">
        <f t="shared" si="143"/>
        <v>0</v>
      </c>
      <c r="AN60" s="1643">
        <f t="shared" si="143"/>
        <v>0</v>
      </c>
      <c r="AO60" s="1643">
        <f t="shared" si="143"/>
        <v>0</v>
      </c>
      <c r="AP60" s="1642">
        <f t="shared" si="143"/>
        <v>0</v>
      </c>
      <c r="AQ60" s="1643">
        <f t="shared" si="143"/>
        <v>0</v>
      </c>
      <c r="AR60" s="1643">
        <f t="shared" si="143"/>
        <v>0</v>
      </c>
      <c r="AS60" s="1643">
        <f t="shared" si="143"/>
        <v>0</v>
      </c>
      <c r="AT60" s="1642">
        <f t="shared" si="143"/>
        <v>0</v>
      </c>
      <c r="AU60" s="1643">
        <f t="shared" si="143"/>
        <v>0</v>
      </c>
      <c r="AV60" s="1643">
        <f t="shared" si="143"/>
        <v>0</v>
      </c>
      <c r="AW60" s="1643">
        <f t="shared" si="143"/>
        <v>0</v>
      </c>
      <c r="AX60" s="1642">
        <f t="shared" si="143"/>
        <v>0</v>
      </c>
      <c r="AY60" s="1643">
        <f t="shared" ref="AY60:BB60" si="144">IF(ISBLANK(AY203),"",AY203)</f>
        <v>0</v>
      </c>
      <c r="AZ60" s="1643">
        <f t="shared" si="144"/>
        <v>0</v>
      </c>
      <c r="BA60" s="1643">
        <f t="shared" si="144"/>
        <v>0</v>
      </c>
      <c r="BB60" s="1642">
        <f t="shared" si="144"/>
        <v>0</v>
      </c>
      <c r="BC60" s="1489"/>
      <c r="BD60" s="1489"/>
      <c r="BE60" s="1489">
        <f t="shared" si="119"/>
        <v>0</v>
      </c>
      <c r="BF60" s="1489">
        <f t="shared" si="120"/>
        <v>0</v>
      </c>
      <c r="BG60" s="1489">
        <f t="shared" si="121"/>
        <v>0</v>
      </c>
      <c r="BH60" s="1499">
        <f t="shared" si="122"/>
        <v>0</v>
      </c>
      <c r="BI60" s="1499">
        <f t="shared" si="123"/>
        <v>0</v>
      </c>
      <c r="BJ60" s="1499">
        <f t="shared" si="124"/>
        <v>0</v>
      </c>
      <c r="BK60" s="1499">
        <f t="shared" si="125"/>
        <v>0</v>
      </c>
      <c r="BL60" s="1499">
        <f t="shared" si="126"/>
        <v>0</v>
      </c>
      <c r="BM60" s="1499">
        <f t="shared" si="127"/>
        <v>0</v>
      </c>
      <c r="BN60" s="1499">
        <f t="shared" si="128"/>
        <v>0</v>
      </c>
      <c r="BO60" s="1499">
        <f t="shared" si="129"/>
        <v>0</v>
      </c>
      <c r="BP60" s="1499">
        <f t="shared" si="130"/>
        <v>0</v>
      </c>
      <c r="BQ60" s="1499"/>
      <c r="BR60" s="1586"/>
      <c r="BS60" s="1477"/>
      <c r="BV60" s="1444"/>
      <c r="BW60" s="1492" t="s">
        <v>155</v>
      </c>
      <c r="BX60" s="1443"/>
      <c r="BY60" s="1523">
        <f>+BY58-BY59</f>
        <v>-0.15958333330000041</v>
      </c>
    </row>
    <row r="61" spans="1:105" ht="12.75" customHeight="1">
      <c r="A61" s="1445"/>
      <c r="B61" s="1446"/>
      <c r="C61" s="1649" t="s">
        <v>437</v>
      </c>
      <c r="D61" s="1649"/>
      <c r="E61" s="1649"/>
      <c r="F61" s="1666"/>
      <c r="G61" s="1647">
        <f t="shared" ref="G61:AX61" si="145">IF(ISBLANK(G204),"",G204)</f>
        <v>0</v>
      </c>
      <c r="H61" s="1646">
        <f t="shared" si="145"/>
        <v>0</v>
      </c>
      <c r="I61" s="1646">
        <f t="shared" si="145"/>
        <v>0</v>
      </c>
      <c r="J61" s="1645">
        <f t="shared" si="145"/>
        <v>0</v>
      </c>
      <c r="K61" s="1647">
        <f t="shared" si="145"/>
        <v>0</v>
      </c>
      <c r="L61" s="1646">
        <f t="shared" si="145"/>
        <v>0</v>
      </c>
      <c r="M61" s="1646">
        <f t="shared" si="145"/>
        <v>0</v>
      </c>
      <c r="N61" s="1645">
        <f t="shared" si="145"/>
        <v>0</v>
      </c>
      <c r="O61" s="1647">
        <f t="shared" si="145"/>
        <v>0</v>
      </c>
      <c r="P61" s="1646">
        <f t="shared" si="145"/>
        <v>0</v>
      </c>
      <c r="Q61" s="1646">
        <f t="shared" si="145"/>
        <v>0</v>
      </c>
      <c r="R61" s="1646">
        <f t="shared" si="145"/>
        <v>0</v>
      </c>
      <c r="S61" s="1647">
        <f t="shared" si="145"/>
        <v>0</v>
      </c>
      <c r="T61" s="1646">
        <f t="shared" si="145"/>
        <v>0</v>
      </c>
      <c r="U61" s="1646">
        <f t="shared" si="145"/>
        <v>0</v>
      </c>
      <c r="V61" s="1645">
        <f t="shared" si="145"/>
        <v>0</v>
      </c>
      <c r="W61" s="1647">
        <f t="shared" si="145"/>
        <v>0</v>
      </c>
      <c r="X61" s="1646">
        <f t="shared" si="145"/>
        <v>0</v>
      </c>
      <c r="Y61" s="1820">
        <f t="shared" si="145"/>
        <v>0</v>
      </c>
      <c r="Z61" s="1821">
        <f t="shared" si="145"/>
        <v>0</v>
      </c>
      <c r="AA61" s="1647">
        <f t="shared" si="145"/>
        <v>0</v>
      </c>
      <c r="AB61" s="1646">
        <f t="shared" si="145"/>
        <v>0</v>
      </c>
      <c r="AC61" s="1820">
        <f t="shared" si="145"/>
        <v>0</v>
      </c>
      <c r="AD61" s="1821">
        <f t="shared" si="145"/>
        <v>0</v>
      </c>
      <c r="AE61" s="1647">
        <f t="shared" si="145"/>
        <v>0</v>
      </c>
      <c r="AF61" s="1643">
        <f t="shared" si="145"/>
        <v>0</v>
      </c>
      <c r="AG61" s="1643">
        <f t="shared" si="145"/>
        <v>0</v>
      </c>
      <c r="AH61" s="1642">
        <f t="shared" si="145"/>
        <v>0</v>
      </c>
      <c r="AI61" s="1643">
        <f t="shared" si="145"/>
        <v>0</v>
      </c>
      <c r="AJ61" s="1643">
        <f t="shared" si="145"/>
        <v>0</v>
      </c>
      <c r="AK61" s="1643">
        <f t="shared" si="145"/>
        <v>0</v>
      </c>
      <c r="AL61" s="1642">
        <f t="shared" si="145"/>
        <v>0</v>
      </c>
      <c r="AM61" s="1643">
        <f t="shared" si="145"/>
        <v>0</v>
      </c>
      <c r="AN61" s="1643">
        <f t="shared" si="145"/>
        <v>0</v>
      </c>
      <c r="AO61" s="1643">
        <f t="shared" si="145"/>
        <v>0</v>
      </c>
      <c r="AP61" s="1642">
        <f t="shared" si="145"/>
        <v>0</v>
      </c>
      <c r="AQ61" s="1643">
        <f t="shared" si="145"/>
        <v>0</v>
      </c>
      <c r="AR61" s="1643">
        <f t="shared" si="145"/>
        <v>0</v>
      </c>
      <c r="AS61" s="1643">
        <f t="shared" si="145"/>
        <v>0</v>
      </c>
      <c r="AT61" s="1642">
        <f t="shared" si="145"/>
        <v>0</v>
      </c>
      <c r="AU61" s="1643">
        <f t="shared" si="145"/>
        <v>0</v>
      </c>
      <c r="AV61" s="1643">
        <f t="shared" si="145"/>
        <v>0</v>
      </c>
      <c r="AW61" s="1643">
        <f t="shared" si="145"/>
        <v>0</v>
      </c>
      <c r="AX61" s="1642">
        <f t="shared" si="145"/>
        <v>0</v>
      </c>
      <c r="AY61" s="1643">
        <f t="shared" ref="AY61:BB61" si="146">IF(ISBLANK(AY204),"",AY204)</f>
        <v>0</v>
      </c>
      <c r="AZ61" s="1643">
        <f t="shared" si="146"/>
        <v>0</v>
      </c>
      <c r="BA61" s="1643">
        <f t="shared" si="146"/>
        <v>0</v>
      </c>
      <c r="BB61" s="1642">
        <f t="shared" si="146"/>
        <v>0</v>
      </c>
      <c r="BC61" s="1489"/>
      <c r="BD61" s="1489"/>
      <c r="BE61" s="1489">
        <f t="shared" si="119"/>
        <v>0</v>
      </c>
      <c r="BF61" s="1489">
        <f t="shared" si="120"/>
        <v>0</v>
      </c>
      <c r="BG61" s="1489">
        <f t="shared" si="121"/>
        <v>0</v>
      </c>
      <c r="BH61" s="1499">
        <f t="shared" si="122"/>
        <v>0</v>
      </c>
      <c r="BI61" s="1499">
        <f t="shared" si="123"/>
        <v>0</v>
      </c>
      <c r="BJ61" s="1499">
        <f t="shared" si="124"/>
        <v>0</v>
      </c>
      <c r="BK61" s="1499">
        <f t="shared" si="125"/>
        <v>0</v>
      </c>
      <c r="BL61" s="1499">
        <f t="shared" si="126"/>
        <v>0</v>
      </c>
      <c r="BM61" s="1499">
        <f t="shared" si="127"/>
        <v>0</v>
      </c>
      <c r="BN61" s="1499">
        <f t="shared" si="128"/>
        <v>0</v>
      </c>
      <c r="BO61" s="1499">
        <f t="shared" si="129"/>
        <v>0</v>
      </c>
      <c r="BP61" s="1499">
        <f t="shared" si="130"/>
        <v>0</v>
      </c>
      <c r="BQ61" s="1499"/>
      <c r="BR61" s="1586"/>
      <c r="BS61" s="1477"/>
      <c r="BV61" s="1444"/>
      <c r="BW61" s="1443"/>
      <c r="BX61" s="1443"/>
      <c r="BY61" s="1443"/>
    </row>
    <row r="62" spans="1:105" ht="12.75" customHeight="1">
      <c r="A62" s="1445"/>
      <c r="B62" s="1446"/>
      <c r="C62" s="1649" t="s">
        <v>438</v>
      </c>
      <c r="D62" s="1649"/>
      <c r="E62" s="1649"/>
      <c r="F62" s="1666"/>
      <c r="G62" s="1647">
        <f t="shared" ref="G62:AX62" si="147">IF(ISBLANK(G205),"",G205)</f>
        <v>0</v>
      </c>
      <c r="H62" s="1646">
        <f t="shared" si="147"/>
        <v>0</v>
      </c>
      <c r="I62" s="1646">
        <f t="shared" si="147"/>
        <v>0</v>
      </c>
      <c r="J62" s="1645">
        <f t="shared" si="147"/>
        <v>0</v>
      </c>
      <c r="K62" s="1647">
        <f t="shared" si="147"/>
        <v>0</v>
      </c>
      <c r="L62" s="1646">
        <f t="shared" si="147"/>
        <v>0</v>
      </c>
      <c r="M62" s="1646">
        <f t="shared" si="147"/>
        <v>0</v>
      </c>
      <c r="N62" s="1645">
        <f t="shared" si="147"/>
        <v>0</v>
      </c>
      <c r="O62" s="1647">
        <f t="shared" si="147"/>
        <v>0</v>
      </c>
      <c r="P62" s="1646">
        <f t="shared" si="147"/>
        <v>0</v>
      </c>
      <c r="Q62" s="1646">
        <f t="shared" si="147"/>
        <v>0</v>
      </c>
      <c r="R62" s="1646">
        <f t="shared" si="147"/>
        <v>0</v>
      </c>
      <c r="S62" s="1647">
        <f t="shared" si="147"/>
        <v>0</v>
      </c>
      <c r="T62" s="1646">
        <f t="shared" si="147"/>
        <v>0</v>
      </c>
      <c r="U62" s="1646">
        <f t="shared" si="147"/>
        <v>0</v>
      </c>
      <c r="V62" s="1645">
        <f t="shared" si="147"/>
        <v>0</v>
      </c>
      <c r="W62" s="1647">
        <f t="shared" si="147"/>
        <v>0</v>
      </c>
      <c r="X62" s="1646">
        <f t="shared" si="147"/>
        <v>0</v>
      </c>
      <c r="Y62" s="1820">
        <f t="shared" si="147"/>
        <v>0</v>
      </c>
      <c r="Z62" s="1821">
        <f t="shared" si="147"/>
        <v>0</v>
      </c>
      <c r="AA62" s="1647">
        <f t="shared" si="147"/>
        <v>0</v>
      </c>
      <c r="AB62" s="1646">
        <f t="shared" si="147"/>
        <v>0</v>
      </c>
      <c r="AC62" s="1820">
        <f t="shared" si="147"/>
        <v>0</v>
      </c>
      <c r="AD62" s="1821">
        <f t="shared" si="147"/>
        <v>0</v>
      </c>
      <c r="AE62" s="1647">
        <f t="shared" si="147"/>
        <v>0</v>
      </c>
      <c r="AF62" s="1643">
        <f t="shared" si="147"/>
        <v>0</v>
      </c>
      <c r="AG62" s="1643">
        <f t="shared" si="147"/>
        <v>0</v>
      </c>
      <c r="AH62" s="1642">
        <f t="shared" si="147"/>
        <v>0</v>
      </c>
      <c r="AI62" s="1643">
        <f t="shared" si="147"/>
        <v>0</v>
      </c>
      <c r="AJ62" s="1643">
        <f t="shared" si="147"/>
        <v>0</v>
      </c>
      <c r="AK62" s="1643">
        <f t="shared" si="147"/>
        <v>0</v>
      </c>
      <c r="AL62" s="1642">
        <f t="shared" si="147"/>
        <v>0</v>
      </c>
      <c r="AM62" s="1643">
        <f t="shared" si="147"/>
        <v>0</v>
      </c>
      <c r="AN62" s="1643">
        <f t="shared" si="147"/>
        <v>0</v>
      </c>
      <c r="AO62" s="1643">
        <f t="shared" si="147"/>
        <v>0</v>
      </c>
      <c r="AP62" s="1642">
        <f t="shared" si="147"/>
        <v>0</v>
      </c>
      <c r="AQ62" s="1643">
        <f t="shared" si="147"/>
        <v>0</v>
      </c>
      <c r="AR62" s="1643">
        <f t="shared" si="147"/>
        <v>0</v>
      </c>
      <c r="AS62" s="1643">
        <f t="shared" si="147"/>
        <v>0</v>
      </c>
      <c r="AT62" s="1642">
        <f t="shared" si="147"/>
        <v>0</v>
      </c>
      <c r="AU62" s="1643">
        <f t="shared" si="147"/>
        <v>0</v>
      </c>
      <c r="AV62" s="1643">
        <f t="shared" si="147"/>
        <v>0</v>
      </c>
      <c r="AW62" s="1643">
        <f t="shared" si="147"/>
        <v>0</v>
      </c>
      <c r="AX62" s="1642">
        <f t="shared" si="147"/>
        <v>0</v>
      </c>
      <c r="AY62" s="1643">
        <f t="shared" ref="AY62:BB62" si="148">IF(ISBLANK(AY205),"",AY205)</f>
        <v>0</v>
      </c>
      <c r="AZ62" s="1643">
        <f t="shared" si="148"/>
        <v>0</v>
      </c>
      <c r="BA62" s="1643">
        <f t="shared" si="148"/>
        <v>0</v>
      </c>
      <c r="BB62" s="1642">
        <f t="shared" si="148"/>
        <v>0</v>
      </c>
      <c r="BC62" s="1489"/>
      <c r="BD62" s="1489"/>
      <c r="BE62" s="1489">
        <f t="shared" si="119"/>
        <v>0</v>
      </c>
      <c r="BF62" s="1489">
        <f t="shared" si="120"/>
        <v>0</v>
      </c>
      <c r="BG62" s="1489">
        <f t="shared" si="121"/>
        <v>0</v>
      </c>
      <c r="BH62" s="1499">
        <f t="shared" si="122"/>
        <v>0</v>
      </c>
      <c r="BI62" s="1499">
        <f t="shared" si="123"/>
        <v>0</v>
      </c>
      <c r="BJ62" s="1499">
        <f t="shared" si="124"/>
        <v>0</v>
      </c>
      <c r="BK62" s="1499">
        <f t="shared" si="125"/>
        <v>0</v>
      </c>
      <c r="BL62" s="1499">
        <f t="shared" si="126"/>
        <v>0</v>
      </c>
      <c r="BM62" s="1499">
        <f t="shared" si="127"/>
        <v>0</v>
      </c>
      <c r="BN62" s="1499">
        <f t="shared" si="128"/>
        <v>0</v>
      </c>
      <c r="BO62" s="1499">
        <f t="shared" si="129"/>
        <v>0</v>
      </c>
      <c r="BP62" s="1499">
        <f t="shared" si="130"/>
        <v>0</v>
      </c>
      <c r="BQ62" s="1499"/>
      <c r="BR62" s="1586"/>
      <c r="BS62" s="1477"/>
      <c r="BV62" s="1444"/>
      <c r="BW62" s="1519" t="s">
        <v>156</v>
      </c>
      <c r="BX62" s="1443"/>
      <c r="BY62" s="1522">
        <f>+BP202</f>
        <v>0</v>
      </c>
    </row>
    <row r="63" spans="1:105" ht="12.75" customHeight="1">
      <c r="A63" s="1445"/>
      <c r="B63" s="1446"/>
      <c r="C63" s="1649" t="s">
        <v>439</v>
      </c>
      <c r="D63" s="1649"/>
      <c r="E63" s="1649"/>
      <c r="F63" s="1666"/>
      <c r="G63" s="1647">
        <f t="shared" ref="G63:AX63" si="149">IF(ISBLANK(G206),"",G206)</f>
        <v>0</v>
      </c>
      <c r="H63" s="1646">
        <f t="shared" si="149"/>
        <v>0</v>
      </c>
      <c r="I63" s="1646">
        <f t="shared" si="149"/>
        <v>0</v>
      </c>
      <c r="J63" s="1645">
        <f t="shared" si="149"/>
        <v>0</v>
      </c>
      <c r="K63" s="1647">
        <f t="shared" si="149"/>
        <v>0</v>
      </c>
      <c r="L63" s="1646">
        <f t="shared" si="149"/>
        <v>0</v>
      </c>
      <c r="M63" s="1646">
        <f t="shared" si="149"/>
        <v>0</v>
      </c>
      <c r="N63" s="1645">
        <f t="shared" si="149"/>
        <v>0</v>
      </c>
      <c r="O63" s="1647">
        <f t="shared" si="149"/>
        <v>0</v>
      </c>
      <c r="P63" s="1646">
        <f t="shared" si="149"/>
        <v>0</v>
      </c>
      <c r="Q63" s="1646">
        <f t="shared" si="149"/>
        <v>0</v>
      </c>
      <c r="R63" s="1646">
        <f t="shared" si="149"/>
        <v>0</v>
      </c>
      <c r="S63" s="1647">
        <f t="shared" si="149"/>
        <v>0</v>
      </c>
      <c r="T63" s="1646">
        <f t="shared" si="149"/>
        <v>0</v>
      </c>
      <c r="U63" s="1646">
        <f t="shared" si="149"/>
        <v>0</v>
      </c>
      <c r="V63" s="1645">
        <f t="shared" si="149"/>
        <v>0</v>
      </c>
      <c r="W63" s="1647">
        <f t="shared" si="149"/>
        <v>0</v>
      </c>
      <c r="X63" s="1646">
        <f t="shared" si="149"/>
        <v>0</v>
      </c>
      <c r="Y63" s="1820">
        <f t="shared" si="149"/>
        <v>0</v>
      </c>
      <c r="Z63" s="1821">
        <f t="shared" si="149"/>
        <v>0</v>
      </c>
      <c r="AA63" s="1647">
        <f t="shared" si="149"/>
        <v>0</v>
      </c>
      <c r="AB63" s="1646">
        <f t="shared" si="149"/>
        <v>0</v>
      </c>
      <c r="AC63" s="1820">
        <f t="shared" si="149"/>
        <v>0</v>
      </c>
      <c r="AD63" s="1821">
        <f t="shared" si="149"/>
        <v>0</v>
      </c>
      <c r="AE63" s="1647">
        <f t="shared" si="149"/>
        <v>0</v>
      </c>
      <c r="AF63" s="1643">
        <f t="shared" si="149"/>
        <v>0</v>
      </c>
      <c r="AG63" s="1643">
        <f t="shared" si="149"/>
        <v>0</v>
      </c>
      <c r="AH63" s="1642">
        <f t="shared" si="149"/>
        <v>0</v>
      </c>
      <c r="AI63" s="1643">
        <f t="shared" si="149"/>
        <v>0</v>
      </c>
      <c r="AJ63" s="1643">
        <f t="shared" si="149"/>
        <v>0</v>
      </c>
      <c r="AK63" s="1643">
        <f t="shared" si="149"/>
        <v>0</v>
      </c>
      <c r="AL63" s="1642">
        <f t="shared" si="149"/>
        <v>0</v>
      </c>
      <c r="AM63" s="1643">
        <f t="shared" si="149"/>
        <v>0</v>
      </c>
      <c r="AN63" s="1643">
        <f t="shared" si="149"/>
        <v>0</v>
      </c>
      <c r="AO63" s="1643">
        <f t="shared" si="149"/>
        <v>0</v>
      </c>
      <c r="AP63" s="1642">
        <f t="shared" si="149"/>
        <v>0</v>
      </c>
      <c r="AQ63" s="1643">
        <f t="shared" si="149"/>
        <v>0</v>
      </c>
      <c r="AR63" s="1643">
        <f t="shared" si="149"/>
        <v>0</v>
      </c>
      <c r="AS63" s="1643">
        <f t="shared" si="149"/>
        <v>0</v>
      </c>
      <c r="AT63" s="1642">
        <f t="shared" si="149"/>
        <v>0</v>
      </c>
      <c r="AU63" s="1643">
        <f t="shared" si="149"/>
        <v>0</v>
      </c>
      <c r="AV63" s="1643">
        <f t="shared" si="149"/>
        <v>0</v>
      </c>
      <c r="AW63" s="1643">
        <f t="shared" si="149"/>
        <v>0</v>
      </c>
      <c r="AX63" s="1642">
        <f t="shared" si="149"/>
        <v>0</v>
      </c>
      <c r="AY63" s="1643">
        <f t="shared" ref="AY63:BB63" si="150">IF(ISBLANK(AY206),"",AY206)</f>
        <v>0</v>
      </c>
      <c r="AZ63" s="1643">
        <f t="shared" si="150"/>
        <v>0</v>
      </c>
      <c r="BA63" s="1643">
        <f t="shared" si="150"/>
        <v>0</v>
      </c>
      <c r="BB63" s="1642">
        <f t="shared" si="150"/>
        <v>0</v>
      </c>
      <c r="BC63" s="1489"/>
      <c r="BD63" s="1489"/>
      <c r="BE63" s="1489">
        <f t="shared" si="119"/>
        <v>0</v>
      </c>
      <c r="BF63" s="1489">
        <f t="shared" si="120"/>
        <v>0</v>
      </c>
      <c r="BG63" s="1489">
        <f t="shared" si="121"/>
        <v>0</v>
      </c>
      <c r="BH63" s="1499">
        <f t="shared" si="122"/>
        <v>0</v>
      </c>
      <c r="BI63" s="1499">
        <f t="shared" si="123"/>
        <v>0</v>
      </c>
      <c r="BJ63" s="1499">
        <f t="shared" si="124"/>
        <v>0</v>
      </c>
      <c r="BK63" s="1499">
        <f t="shared" si="125"/>
        <v>0</v>
      </c>
      <c r="BL63" s="1499">
        <f t="shared" si="126"/>
        <v>0</v>
      </c>
      <c r="BM63" s="1499">
        <f t="shared" si="127"/>
        <v>0</v>
      </c>
      <c r="BN63" s="1499">
        <f t="shared" si="128"/>
        <v>0</v>
      </c>
      <c r="BO63" s="1499">
        <f t="shared" si="129"/>
        <v>0</v>
      </c>
      <c r="BP63" s="1499">
        <f t="shared" si="130"/>
        <v>0</v>
      </c>
      <c r="BQ63" s="1499"/>
      <c r="BR63" s="1586"/>
      <c r="BS63" s="1477"/>
      <c r="BV63" s="1444"/>
      <c r="BW63" s="1492" t="s">
        <v>157</v>
      </c>
      <c r="BX63" s="1443"/>
      <c r="BY63" s="1523">
        <f>+BY58-BY62</f>
        <v>-0.25</v>
      </c>
    </row>
    <row r="64" spans="1:105" ht="12.75" customHeight="1">
      <c r="A64" s="1445"/>
      <c r="B64" s="1446"/>
      <c r="C64" s="1649" t="s">
        <v>440</v>
      </c>
      <c r="D64" s="1649"/>
      <c r="E64" s="1649"/>
      <c r="F64" s="1666"/>
      <c r="G64" s="1647">
        <f t="shared" ref="G64:AX64" si="151">IF(ISBLANK(G207),"",G207)</f>
        <v>0</v>
      </c>
      <c r="H64" s="1646">
        <f t="shared" si="151"/>
        <v>0</v>
      </c>
      <c r="I64" s="1646">
        <f t="shared" si="151"/>
        <v>0</v>
      </c>
      <c r="J64" s="1645">
        <f t="shared" si="151"/>
        <v>0</v>
      </c>
      <c r="K64" s="1647">
        <f t="shared" si="151"/>
        <v>0</v>
      </c>
      <c r="L64" s="1646">
        <f t="shared" si="151"/>
        <v>0</v>
      </c>
      <c r="M64" s="1646">
        <f t="shared" si="151"/>
        <v>0</v>
      </c>
      <c r="N64" s="1645">
        <f t="shared" si="151"/>
        <v>0</v>
      </c>
      <c r="O64" s="1647">
        <f t="shared" si="151"/>
        <v>0</v>
      </c>
      <c r="P64" s="1646">
        <f t="shared" si="151"/>
        <v>0</v>
      </c>
      <c r="Q64" s="1646">
        <f t="shared" si="151"/>
        <v>0</v>
      </c>
      <c r="R64" s="1646">
        <f t="shared" si="151"/>
        <v>0</v>
      </c>
      <c r="S64" s="1647">
        <f t="shared" si="151"/>
        <v>0</v>
      </c>
      <c r="T64" s="1646">
        <f t="shared" si="151"/>
        <v>0</v>
      </c>
      <c r="U64" s="1646">
        <f t="shared" si="151"/>
        <v>0</v>
      </c>
      <c r="V64" s="1645">
        <f t="shared" si="151"/>
        <v>0</v>
      </c>
      <c r="W64" s="1647">
        <f t="shared" si="151"/>
        <v>0</v>
      </c>
      <c r="X64" s="1646">
        <f t="shared" si="151"/>
        <v>0</v>
      </c>
      <c r="Y64" s="1820">
        <f t="shared" si="151"/>
        <v>0</v>
      </c>
      <c r="Z64" s="1821">
        <f t="shared" si="151"/>
        <v>0</v>
      </c>
      <c r="AA64" s="1647">
        <f t="shared" si="151"/>
        <v>0</v>
      </c>
      <c r="AB64" s="1646">
        <f t="shared" si="151"/>
        <v>0</v>
      </c>
      <c r="AC64" s="1820">
        <f t="shared" si="151"/>
        <v>0</v>
      </c>
      <c r="AD64" s="1821">
        <f t="shared" si="151"/>
        <v>0</v>
      </c>
      <c r="AE64" s="1647">
        <f t="shared" si="151"/>
        <v>0</v>
      </c>
      <c r="AF64" s="1643">
        <f t="shared" si="151"/>
        <v>0</v>
      </c>
      <c r="AG64" s="1643">
        <f t="shared" si="151"/>
        <v>0</v>
      </c>
      <c r="AH64" s="1642">
        <f t="shared" si="151"/>
        <v>0</v>
      </c>
      <c r="AI64" s="1643">
        <f t="shared" si="151"/>
        <v>0</v>
      </c>
      <c r="AJ64" s="1643">
        <f t="shared" si="151"/>
        <v>0</v>
      </c>
      <c r="AK64" s="1643">
        <f t="shared" si="151"/>
        <v>0</v>
      </c>
      <c r="AL64" s="1642">
        <f t="shared" si="151"/>
        <v>0</v>
      </c>
      <c r="AM64" s="1643">
        <f t="shared" si="151"/>
        <v>0</v>
      </c>
      <c r="AN64" s="1643">
        <f t="shared" si="151"/>
        <v>0</v>
      </c>
      <c r="AO64" s="1643">
        <f t="shared" si="151"/>
        <v>0</v>
      </c>
      <c r="AP64" s="1642">
        <f t="shared" si="151"/>
        <v>0</v>
      </c>
      <c r="AQ64" s="1643">
        <f t="shared" si="151"/>
        <v>0</v>
      </c>
      <c r="AR64" s="1643">
        <f t="shared" si="151"/>
        <v>0</v>
      </c>
      <c r="AS64" s="1643">
        <f t="shared" si="151"/>
        <v>0</v>
      </c>
      <c r="AT64" s="1642">
        <f t="shared" si="151"/>
        <v>0</v>
      </c>
      <c r="AU64" s="1643">
        <f t="shared" si="151"/>
        <v>0</v>
      </c>
      <c r="AV64" s="1643">
        <f t="shared" si="151"/>
        <v>0</v>
      </c>
      <c r="AW64" s="1643">
        <f t="shared" si="151"/>
        <v>0</v>
      </c>
      <c r="AX64" s="1642">
        <f t="shared" si="151"/>
        <v>0</v>
      </c>
      <c r="AY64" s="1643">
        <f t="shared" ref="AY64:BB64" si="152">IF(ISBLANK(AY207),"",AY207)</f>
        <v>0</v>
      </c>
      <c r="AZ64" s="1643">
        <f t="shared" si="152"/>
        <v>0</v>
      </c>
      <c r="BA64" s="1643">
        <f t="shared" si="152"/>
        <v>0</v>
      </c>
      <c r="BB64" s="1642">
        <f t="shared" si="152"/>
        <v>0</v>
      </c>
      <c r="BC64" s="1489"/>
      <c r="BD64" s="1489"/>
      <c r="BE64" s="1489">
        <f t="shared" si="119"/>
        <v>0</v>
      </c>
      <c r="BF64" s="1489">
        <f t="shared" si="120"/>
        <v>0</v>
      </c>
      <c r="BG64" s="1489">
        <f t="shared" si="121"/>
        <v>0</v>
      </c>
      <c r="BH64" s="1499">
        <f t="shared" si="122"/>
        <v>0</v>
      </c>
      <c r="BI64" s="1499">
        <f t="shared" si="123"/>
        <v>0</v>
      </c>
      <c r="BJ64" s="1499">
        <f t="shared" si="124"/>
        <v>0</v>
      </c>
      <c r="BK64" s="1499">
        <f t="shared" si="125"/>
        <v>0</v>
      </c>
      <c r="BL64" s="1499">
        <f t="shared" si="126"/>
        <v>0</v>
      </c>
      <c r="BM64" s="1499">
        <f t="shared" si="127"/>
        <v>0</v>
      </c>
      <c r="BN64" s="1499">
        <f t="shared" si="128"/>
        <v>0</v>
      </c>
      <c r="BO64" s="1499">
        <f t="shared" si="129"/>
        <v>0</v>
      </c>
      <c r="BP64" s="1499">
        <f t="shared" si="130"/>
        <v>0</v>
      </c>
      <c r="BQ64" s="1499"/>
      <c r="BR64" s="1586"/>
      <c r="BS64" s="1477"/>
      <c r="BV64" s="1444"/>
    </row>
    <row r="65" spans="1:78" ht="12.75" customHeight="1">
      <c r="A65" s="1445"/>
      <c r="B65" s="1446"/>
      <c r="C65" s="1649" t="s">
        <v>441</v>
      </c>
      <c r="D65" s="1649"/>
      <c r="E65" s="1649"/>
      <c r="F65" s="1666"/>
      <c r="G65" s="1647">
        <f t="shared" ref="G65:AX65" si="153">IF(ISBLANK(G208),"",G208)</f>
        <v>0.12785416666666727</v>
      </c>
      <c r="H65" s="1646">
        <f t="shared" si="153"/>
        <v>-0.1638730158730155</v>
      </c>
      <c r="I65" s="1646">
        <f t="shared" si="153"/>
        <v>-0.31553124999999982</v>
      </c>
      <c r="J65" s="1645">
        <f t="shared" si="153"/>
        <v>2.7430769230770924E-2</v>
      </c>
      <c r="K65" s="1647">
        <f t="shared" si="153"/>
        <v>-4.0562500000001833E-2</v>
      </c>
      <c r="L65" s="1646">
        <f t="shared" si="153"/>
        <v>2.5078125000001172E-2</v>
      </c>
      <c r="M65" s="1646">
        <f t="shared" si="153"/>
        <v>0.14203125000000227</v>
      </c>
      <c r="N65" s="1645">
        <f t="shared" si="153"/>
        <v>0.29906349206349114</v>
      </c>
      <c r="O65" s="1647">
        <f t="shared" si="153"/>
        <v>0.31830158730158775</v>
      </c>
      <c r="P65" s="1646">
        <f t="shared" si="153"/>
        <v>0.28319047619047666</v>
      </c>
      <c r="Q65" s="1646">
        <f t="shared" si="153"/>
        <v>0.20952380952380834</v>
      </c>
      <c r="R65" s="1646">
        <f t="shared" si="153"/>
        <v>0.32709374999999907</v>
      </c>
      <c r="S65" s="1647">
        <f t="shared" si="153"/>
        <v>0.26973333333333294</v>
      </c>
      <c r="T65" s="1646">
        <f t="shared" si="153"/>
        <v>0.15754687499999775</v>
      </c>
      <c r="U65" s="1646">
        <f t="shared" si="153"/>
        <v>0.23087499999999972</v>
      </c>
      <c r="V65" s="1645">
        <f t="shared" si="153"/>
        <v>0.29959375000000188</v>
      </c>
      <c r="W65" s="1647">
        <f t="shared" si="153"/>
        <v>0.30404918032786998</v>
      </c>
      <c r="X65" s="1646">
        <f t="shared" si="153"/>
        <v>0.30642187499999984</v>
      </c>
      <c r="Y65" s="1820">
        <f t="shared" si="153"/>
        <v>0.50754687499999829</v>
      </c>
      <c r="Z65" s="1821">
        <f t="shared" si="153"/>
        <v>0.25204687500000134</v>
      </c>
      <c r="AA65" s="1647">
        <f t="shared" si="153"/>
        <v>-3.7548387096775215E-2</v>
      </c>
      <c r="AB65" s="1646">
        <f t="shared" si="153"/>
        <v>6.8507936507938183E-2</v>
      </c>
      <c r="AC65" s="1820">
        <f t="shared" si="153"/>
        <v>0.26343749999999932</v>
      </c>
      <c r="AD65" s="1821">
        <f t="shared" si="153"/>
        <v>0.35907936507936444</v>
      </c>
      <c r="AE65" s="1647">
        <f t="shared" si="153"/>
        <v>0.10468852459016342</v>
      </c>
      <c r="AF65" s="1643">
        <f t="shared" si="153"/>
        <v>7.9562500000000203E-2</v>
      </c>
      <c r="AG65" s="1643">
        <f t="shared" si="153"/>
        <v>3.6515625000000718E-2</v>
      </c>
      <c r="AH65" s="1642">
        <f t="shared" si="153"/>
        <v>4.9693548387096609E-2</v>
      </c>
      <c r="AI65" s="1643">
        <f t="shared" si="153"/>
        <v>0.15672580645161371</v>
      </c>
      <c r="AJ65" s="1643">
        <f t="shared" si="153"/>
        <v>0.10859375000000027</v>
      </c>
      <c r="AK65" s="1643">
        <f t="shared" si="153"/>
        <v>0.25880952380952404</v>
      </c>
      <c r="AL65" s="1642">
        <f t="shared" si="153"/>
        <v>1.4901290322580647</v>
      </c>
      <c r="AM65" s="1643">
        <f t="shared" si="153"/>
        <v>0.7802950819672132</v>
      </c>
      <c r="AN65" s="1643">
        <f t="shared" si="153"/>
        <v>-0.66499999999999959</v>
      </c>
      <c r="AO65" s="1643">
        <f t="shared" si="153"/>
        <v>-0.37199999999999989</v>
      </c>
      <c r="AP65" s="1642">
        <f t="shared" si="153"/>
        <v>-0.49500000000000055</v>
      </c>
      <c r="AQ65" s="1643">
        <f t="shared" si="153"/>
        <v>-0.30713417480557936</v>
      </c>
      <c r="AR65" s="1643">
        <f t="shared" si="153"/>
        <v>-0.75064523540322092</v>
      </c>
      <c r="AS65" s="1643">
        <f t="shared" si="153"/>
        <v>-0.53237727470099783</v>
      </c>
      <c r="AT65" s="1642">
        <f t="shared" si="153"/>
        <v>-0.20050998189020053</v>
      </c>
      <c r="AU65" s="1643">
        <f t="shared" si="153"/>
        <v>-0.26491667997570767</v>
      </c>
      <c r="AV65" s="1643">
        <f t="shared" si="153"/>
        <v>-0.72952134616272168</v>
      </c>
      <c r="AW65" s="1643">
        <f t="shared" si="153"/>
        <v>-0.50344822491097485</v>
      </c>
      <c r="AX65" s="1642">
        <f t="shared" si="153"/>
        <v>-0.15278041575059387</v>
      </c>
      <c r="AY65" s="1643">
        <f t="shared" ref="AY65:BB65" si="154">IF(ISBLANK(AY208),"",AY208)</f>
        <v>-0.18976284925876685</v>
      </c>
      <c r="AZ65" s="1643">
        <f t="shared" si="154"/>
        <v>-0.6882236801665047</v>
      </c>
      <c r="BA65" s="1643">
        <f t="shared" si="154"/>
        <v>-0.44995803943269674</v>
      </c>
      <c r="BB65" s="1642">
        <f t="shared" si="154"/>
        <v>-6.8722097942030214E-2</v>
      </c>
      <c r="BC65" s="1489"/>
      <c r="BD65" s="1489"/>
      <c r="BE65" s="1489">
        <f t="shared" si="119"/>
        <v>-8.1029832493894283E-2</v>
      </c>
      <c r="BF65" s="1489">
        <f t="shared" si="120"/>
        <v>0.10640259176587319</v>
      </c>
      <c r="BG65" s="1489">
        <f t="shared" si="121"/>
        <v>0.28452740575396795</v>
      </c>
      <c r="BH65" s="1499">
        <f t="shared" si="122"/>
        <v>0.23943723958333307</v>
      </c>
      <c r="BI65" s="1499">
        <f t="shared" si="123"/>
        <v>0.34251620133196736</v>
      </c>
      <c r="BJ65" s="1499">
        <f t="shared" si="124"/>
        <v>0.16336910362263168</v>
      </c>
      <c r="BK65" s="1499">
        <f t="shared" si="125"/>
        <v>6.7615049494315238E-2</v>
      </c>
      <c r="BL65" s="1499">
        <f t="shared" si="126"/>
        <v>0.50356452812980068</v>
      </c>
      <c r="BM65" s="1499">
        <f t="shared" si="127"/>
        <v>-0.18792622950819671</v>
      </c>
      <c r="BN65" s="1499">
        <f t="shared" si="128"/>
        <v>-0.44766666669999966</v>
      </c>
      <c r="BO65" s="1499">
        <f t="shared" si="129"/>
        <v>-0.41266666669999952</v>
      </c>
      <c r="BP65" s="1499">
        <f t="shared" si="130"/>
        <v>-0.34916666669999963</v>
      </c>
      <c r="BQ65" s="1499"/>
      <c r="BR65" s="1586"/>
      <c r="BS65" s="1477"/>
      <c r="BV65" s="1444"/>
      <c r="BW65" s="1443"/>
      <c r="BX65" s="1443"/>
      <c r="BY65" s="1443"/>
    </row>
    <row r="66" spans="1:78" ht="12.75" customHeight="1">
      <c r="A66" s="1445"/>
      <c r="B66" s="1446"/>
      <c r="C66" s="1649" t="s">
        <v>442</v>
      </c>
      <c r="D66" s="1649"/>
      <c r="E66" s="1649"/>
      <c r="F66" s="1666"/>
      <c r="G66" s="1647">
        <f t="shared" ref="G66:AX66" si="155">IF(ISBLANK(G209),"",G209)</f>
        <v>0.12785416666666727</v>
      </c>
      <c r="H66" s="1646">
        <f t="shared" si="155"/>
        <v>-0.1638730158730155</v>
      </c>
      <c r="I66" s="1646">
        <f t="shared" si="155"/>
        <v>-0.31553124999999982</v>
      </c>
      <c r="J66" s="1645">
        <f t="shared" si="155"/>
        <v>2.7430769230770924E-2</v>
      </c>
      <c r="K66" s="1647">
        <f t="shared" si="155"/>
        <v>-4.0562500000001833E-2</v>
      </c>
      <c r="L66" s="1646">
        <f t="shared" si="155"/>
        <v>2.5078125000001172E-2</v>
      </c>
      <c r="M66" s="1646">
        <f t="shared" si="155"/>
        <v>0.14203125000000227</v>
      </c>
      <c r="N66" s="1645">
        <f t="shared" si="155"/>
        <v>0.29906349206349114</v>
      </c>
      <c r="O66" s="1647">
        <f t="shared" si="155"/>
        <v>0.31830158730158775</v>
      </c>
      <c r="P66" s="1646">
        <f t="shared" si="155"/>
        <v>0.28319047619047666</v>
      </c>
      <c r="Q66" s="1646">
        <f t="shared" si="155"/>
        <v>0.20952380952380834</v>
      </c>
      <c r="R66" s="1646">
        <f t="shared" si="155"/>
        <v>0.32709374999999907</v>
      </c>
      <c r="S66" s="1647">
        <f t="shared" si="155"/>
        <v>0.26973333333333294</v>
      </c>
      <c r="T66" s="1646">
        <f t="shared" si="155"/>
        <v>0.15754687499999775</v>
      </c>
      <c r="U66" s="1646">
        <f t="shared" si="155"/>
        <v>0.23087499999999972</v>
      </c>
      <c r="V66" s="1645">
        <f t="shared" si="155"/>
        <v>0.29959375000000188</v>
      </c>
      <c r="W66" s="1647">
        <f t="shared" si="155"/>
        <v>0.30404918032786998</v>
      </c>
      <c r="X66" s="1646">
        <f t="shared" si="155"/>
        <v>0.30642187499999984</v>
      </c>
      <c r="Y66" s="1820">
        <f t="shared" si="155"/>
        <v>0.50754687499999829</v>
      </c>
      <c r="Z66" s="1821">
        <f t="shared" si="155"/>
        <v>0.25204687500000134</v>
      </c>
      <c r="AA66" s="1647">
        <f t="shared" si="155"/>
        <v>-3.7548387096775215E-2</v>
      </c>
      <c r="AB66" s="1646">
        <f t="shared" si="155"/>
        <v>6.8507936507938183E-2</v>
      </c>
      <c r="AC66" s="1820">
        <f t="shared" si="155"/>
        <v>0.26343749999999932</v>
      </c>
      <c r="AD66" s="1821">
        <f t="shared" si="155"/>
        <v>0.35907936507936444</v>
      </c>
      <c r="AE66" s="1647">
        <f t="shared" si="155"/>
        <v>0.10468852459016342</v>
      </c>
      <c r="AF66" s="1643">
        <f t="shared" si="155"/>
        <v>7.9562500000000203E-2</v>
      </c>
      <c r="AG66" s="1643">
        <f t="shared" si="155"/>
        <v>3.6515625000000718E-2</v>
      </c>
      <c r="AH66" s="1642">
        <f t="shared" si="155"/>
        <v>4.9693548387096609E-2</v>
      </c>
      <c r="AI66" s="1643">
        <f t="shared" si="155"/>
        <v>0.15672580645161371</v>
      </c>
      <c r="AJ66" s="1643">
        <f t="shared" si="155"/>
        <v>0.10859375000000027</v>
      </c>
      <c r="AK66" s="1643">
        <f t="shared" si="155"/>
        <v>0.25880952380952404</v>
      </c>
      <c r="AL66" s="1642">
        <f t="shared" si="155"/>
        <v>1.4901290322580647</v>
      </c>
      <c r="AM66" s="1643">
        <f t="shared" si="155"/>
        <v>0.7802950819672132</v>
      </c>
      <c r="AN66" s="1643">
        <f t="shared" si="155"/>
        <v>-0.66499999999999959</v>
      </c>
      <c r="AO66" s="1643">
        <f t="shared" si="155"/>
        <v>-0.37199999999999989</v>
      </c>
      <c r="AP66" s="1642">
        <f t="shared" si="155"/>
        <v>-0.49500000000000055</v>
      </c>
      <c r="AQ66" s="1643">
        <f t="shared" si="155"/>
        <v>-0.30713417480557936</v>
      </c>
      <c r="AR66" s="1643">
        <f t="shared" si="155"/>
        <v>-0.75064523540322092</v>
      </c>
      <c r="AS66" s="1643">
        <f t="shared" si="155"/>
        <v>-0.53237727470099783</v>
      </c>
      <c r="AT66" s="1642">
        <f t="shared" si="155"/>
        <v>-0.20050998189020053</v>
      </c>
      <c r="AU66" s="1643">
        <f t="shared" si="155"/>
        <v>-0.26491667997570767</v>
      </c>
      <c r="AV66" s="1643">
        <f t="shared" si="155"/>
        <v>-0.72952134616272168</v>
      </c>
      <c r="AW66" s="1643">
        <f t="shared" si="155"/>
        <v>-0.50344822491097485</v>
      </c>
      <c r="AX66" s="1642">
        <f t="shared" si="155"/>
        <v>-0.15278041575059387</v>
      </c>
      <c r="AY66" s="1643">
        <f t="shared" ref="AY66:BB66" si="156">IF(ISBLANK(AY209),"",AY209)</f>
        <v>-0.18976284925876685</v>
      </c>
      <c r="AZ66" s="1643">
        <f t="shared" si="156"/>
        <v>-0.6882236801665047</v>
      </c>
      <c r="BA66" s="1643">
        <f t="shared" si="156"/>
        <v>-0.44995803943269674</v>
      </c>
      <c r="BB66" s="1642">
        <f t="shared" si="156"/>
        <v>-6.8722097942030214E-2</v>
      </c>
      <c r="BC66" s="1489"/>
      <c r="BD66" s="1489"/>
      <c r="BE66" s="1489">
        <f t="shared" si="119"/>
        <v>-8.1029832493894283E-2</v>
      </c>
      <c r="BF66" s="1489">
        <f t="shared" si="120"/>
        <v>0.10640259176587319</v>
      </c>
      <c r="BG66" s="1489">
        <f t="shared" si="121"/>
        <v>0.28452740575396795</v>
      </c>
      <c r="BH66" s="1499">
        <f t="shared" si="122"/>
        <v>0.23943723958333307</v>
      </c>
      <c r="BI66" s="1499">
        <f t="shared" si="123"/>
        <v>0.34251620133196736</v>
      </c>
      <c r="BJ66" s="1499">
        <f t="shared" si="124"/>
        <v>0.16336910362263168</v>
      </c>
      <c r="BK66" s="1499">
        <f t="shared" si="125"/>
        <v>6.7615049494315238E-2</v>
      </c>
      <c r="BL66" s="1499">
        <f t="shared" si="126"/>
        <v>0.50356452812980068</v>
      </c>
      <c r="BM66" s="1499">
        <f t="shared" si="127"/>
        <v>-0.18792622950819671</v>
      </c>
      <c r="BN66" s="1499">
        <f t="shared" si="128"/>
        <v>-0.44766666669999966</v>
      </c>
      <c r="BO66" s="1499">
        <f t="shared" si="129"/>
        <v>-0.41266666669999952</v>
      </c>
      <c r="BP66" s="1499">
        <f t="shared" si="130"/>
        <v>-0.34916666669999963</v>
      </c>
      <c r="BQ66" s="1499"/>
      <c r="BR66" s="1586"/>
      <c r="BS66" s="1477"/>
      <c r="BV66" s="1444"/>
      <c r="BW66" s="1464" t="s">
        <v>197</v>
      </c>
      <c r="BX66" s="1524" t="s">
        <v>297</v>
      </c>
      <c r="BY66" s="1524" t="s">
        <v>158</v>
      </c>
      <c r="BZ66" s="1524" t="s">
        <v>159</v>
      </c>
    </row>
    <row r="67" spans="1:78" ht="12.75" customHeight="1">
      <c r="A67" s="1445"/>
      <c r="B67" s="1446"/>
      <c r="C67" s="1649" t="s">
        <v>443</v>
      </c>
      <c r="D67" s="1649"/>
      <c r="E67" s="1649"/>
      <c r="F67" s="1666"/>
      <c r="G67" s="1647">
        <f t="shared" ref="G67:AX67" si="157">IF(ISBLANK(G210),"",G210)</f>
        <v>0.12785416666666727</v>
      </c>
      <c r="H67" s="1646">
        <f t="shared" si="157"/>
        <v>-0.1638730158730155</v>
      </c>
      <c r="I67" s="1646">
        <f t="shared" si="157"/>
        <v>-0.31553124999999982</v>
      </c>
      <c r="J67" s="1645">
        <f t="shared" si="157"/>
        <v>2.7430769230770924E-2</v>
      </c>
      <c r="K67" s="1647">
        <f t="shared" si="157"/>
        <v>-4.0562500000001833E-2</v>
      </c>
      <c r="L67" s="1646">
        <f t="shared" si="157"/>
        <v>2.5078125000001172E-2</v>
      </c>
      <c r="M67" s="1646">
        <f t="shared" si="157"/>
        <v>0.14203125000000227</v>
      </c>
      <c r="N67" s="1645">
        <f t="shared" si="157"/>
        <v>0.29906349206349114</v>
      </c>
      <c r="O67" s="1647">
        <f t="shared" si="157"/>
        <v>0.31830158730158775</v>
      </c>
      <c r="P67" s="1646">
        <f t="shared" si="157"/>
        <v>0.28319047619047666</v>
      </c>
      <c r="Q67" s="1646">
        <f t="shared" si="157"/>
        <v>0.20952380952380834</v>
      </c>
      <c r="R67" s="1646">
        <f t="shared" si="157"/>
        <v>0.32709374999999907</v>
      </c>
      <c r="S67" s="1647">
        <f t="shared" si="157"/>
        <v>0.26973333333333294</v>
      </c>
      <c r="T67" s="1646">
        <f t="shared" si="157"/>
        <v>0.15754687499999775</v>
      </c>
      <c r="U67" s="1646">
        <f t="shared" si="157"/>
        <v>0.23087499999999972</v>
      </c>
      <c r="V67" s="1645">
        <f t="shared" si="157"/>
        <v>0.29959375000000188</v>
      </c>
      <c r="W67" s="1647">
        <f t="shared" si="157"/>
        <v>0.30404918032786998</v>
      </c>
      <c r="X67" s="1646">
        <f t="shared" si="157"/>
        <v>0.30642187499999984</v>
      </c>
      <c r="Y67" s="1820">
        <f t="shared" si="157"/>
        <v>0.50754687499999829</v>
      </c>
      <c r="Z67" s="1821">
        <f t="shared" si="157"/>
        <v>0.25204687500000134</v>
      </c>
      <c r="AA67" s="1647">
        <f t="shared" si="157"/>
        <v>-3.7548387096775215E-2</v>
      </c>
      <c r="AB67" s="1646">
        <f t="shared" si="157"/>
        <v>6.8507936507938183E-2</v>
      </c>
      <c r="AC67" s="1820">
        <f t="shared" si="157"/>
        <v>0.26343749999999932</v>
      </c>
      <c r="AD67" s="1821">
        <f t="shared" si="157"/>
        <v>0.35907936507936444</v>
      </c>
      <c r="AE67" s="1647">
        <f t="shared" si="157"/>
        <v>0.10468852459016342</v>
      </c>
      <c r="AF67" s="1643">
        <f t="shared" si="157"/>
        <v>7.9562500000000203E-2</v>
      </c>
      <c r="AG67" s="1643">
        <f t="shared" si="157"/>
        <v>3.6515625000000718E-2</v>
      </c>
      <c r="AH67" s="1642">
        <f t="shared" si="157"/>
        <v>4.9693548387096609E-2</v>
      </c>
      <c r="AI67" s="1643">
        <f t="shared" si="157"/>
        <v>0.15672580645161371</v>
      </c>
      <c r="AJ67" s="1643">
        <f t="shared" si="157"/>
        <v>0.10859375000000027</v>
      </c>
      <c r="AK67" s="1643">
        <f t="shared" si="157"/>
        <v>0.25880952380952404</v>
      </c>
      <c r="AL67" s="1642">
        <f t="shared" si="157"/>
        <v>1.4901290322580647</v>
      </c>
      <c r="AM67" s="1643">
        <f t="shared" si="157"/>
        <v>0.7802950819672132</v>
      </c>
      <c r="AN67" s="1643">
        <f t="shared" si="157"/>
        <v>-0.66499999999999959</v>
      </c>
      <c r="AO67" s="1643">
        <f t="shared" si="157"/>
        <v>-0.37199999999999989</v>
      </c>
      <c r="AP67" s="1642">
        <f t="shared" si="157"/>
        <v>-0.49500000000000055</v>
      </c>
      <c r="AQ67" s="1643">
        <f t="shared" si="157"/>
        <v>-0.30713417480557936</v>
      </c>
      <c r="AR67" s="1643">
        <f t="shared" si="157"/>
        <v>-0.75064523540322092</v>
      </c>
      <c r="AS67" s="1643">
        <f t="shared" si="157"/>
        <v>-0.53237727470099783</v>
      </c>
      <c r="AT67" s="1642">
        <f t="shared" si="157"/>
        <v>-0.20050998189020053</v>
      </c>
      <c r="AU67" s="1643">
        <f t="shared" si="157"/>
        <v>-0.26491667997570767</v>
      </c>
      <c r="AV67" s="1643">
        <f t="shared" si="157"/>
        <v>-0.72952134616272168</v>
      </c>
      <c r="AW67" s="1643">
        <f t="shared" si="157"/>
        <v>-0.50344822491097485</v>
      </c>
      <c r="AX67" s="1642">
        <f t="shared" si="157"/>
        <v>-0.15278041575059387</v>
      </c>
      <c r="AY67" s="1643">
        <f t="shared" ref="AY67:BB67" si="158">IF(ISBLANK(AY210),"",AY210)</f>
        <v>-0.18976284925876685</v>
      </c>
      <c r="AZ67" s="1643">
        <f t="shared" si="158"/>
        <v>-0.6882236801665047</v>
      </c>
      <c r="BA67" s="1643">
        <f t="shared" si="158"/>
        <v>-0.44995803943269674</v>
      </c>
      <c r="BB67" s="1642">
        <f t="shared" si="158"/>
        <v>-6.8722097942030214E-2</v>
      </c>
      <c r="BC67" s="1489"/>
      <c r="BD67" s="1489"/>
      <c r="BE67" s="1489">
        <f t="shared" si="119"/>
        <v>-8.1029832493894283E-2</v>
      </c>
      <c r="BF67" s="1489">
        <f t="shared" si="120"/>
        <v>0.10640259176587319</v>
      </c>
      <c r="BG67" s="1489">
        <f t="shared" si="121"/>
        <v>0.28452740575396795</v>
      </c>
      <c r="BH67" s="1499">
        <f t="shared" si="122"/>
        <v>0.23943723958333307</v>
      </c>
      <c r="BI67" s="1499">
        <f t="shared" si="123"/>
        <v>0.34251620133196736</v>
      </c>
      <c r="BJ67" s="1499">
        <f t="shared" si="124"/>
        <v>0.16336910362263168</v>
      </c>
      <c r="BK67" s="1499">
        <f t="shared" si="125"/>
        <v>6.7615049494315238E-2</v>
      </c>
      <c r="BL67" s="1499">
        <f t="shared" si="126"/>
        <v>0.50356452812980068</v>
      </c>
      <c r="BM67" s="1499">
        <f t="shared" si="127"/>
        <v>-0.18792622950819671</v>
      </c>
      <c r="BN67" s="1499">
        <f t="shared" si="128"/>
        <v>-0.44766666669999966</v>
      </c>
      <c r="BO67" s="1499">
        <f t="shared" si="129"/>
        <v>-0.41266666669999952</v>
      </c>
      <c r="BP67" s="1499">
        <f t="shared" si="130"/>
        <v>-0.34916666669999963</v>
      </c>
      <c r="BQ67" s="1499"/>
      <c r="BR67" s="1586"/>
      <c r="BS67" s="1477"/>
      <c r="BV67" s="1444"/>
      <c r="BW67" s="1519" t="str">
        <f t="shared" ref="BW67:BW74" si="159">+C82</f>
        <v>PJM West</v>
      </c>
      <c r="BX67" s="1516">
        <f t="shared" ref="BX67:BX74" si="160">+BP82</f>
        <v>14319.999999999998</v>
      </c>
      <c r="BY67" s="1525">
        <f>+BX36</f>
        <v>14319.999999999998</v>
      </c>
      <c r="BZ67" s="1525">
        <f t="shared" ref="BZ67:BZ74" si="161">+BX67-BY67</f>
        <v>0</v>
      </c>
    </row>
    <row r="68" spans="1:78" ht="12.75" customHeight="1">
      <c r="A68" s="1445"/>
      <c r="B68" s="1446"/>
      <c r="C68" s="1649" t="s">
        <v>444</v>
      </c>
      <c r="D68" s="1649"/>
      <c r="E68" s="1649"/>
      <c r="F68" s="1666"/>
      <c r="G68" s="1647">
        <f t="shared" ref="G68:AX68" si="162">IF(ISBLANK(G211),"",G211)</f>
        <v>0.12785416666666727</v>
      </c>
      <c r="H68" s="1646">
        <f t="shared" si="162"/>
        <v>-0.1638730158730155</v>
      </c>
      <c r="I68" s="1646">
        <f t="shared" si="162"/>
        <v>-0.31553124999999982</v>
      </c>
      <c r="J68" s="1645">
        <f t="shared" si="162"/>
        <v>2.7430769230770924E-2</v>
      </c>
      <c r="K68" s="1647">
        <f t="shared" si="162"/>
        <v>-4.0562500000001833E-2</v>
      </c>
      <c r="L68" s="1646">
        <f t="shared" si="162"/>
        <v>2.5078125000001172E-2</v>
      </c>
      <c r="M68" s="1646">
        <f t="shared" si="162"/>
        <v>0.14203125000000227</v>
      </c>
      <c r="N68" s="1645">
        <f t="shared" si="162"/>
        <v>0.29906349206349114</v>
      </c>
      <c r="O68" s="1647">
        <f t="shared" si="162"/>
        <v>0.31830158730158775</v>
      </c>
      <c r="P68" s="1646">
        <f t="shared" si="162"/>
        <v>0.28319047619047666</v>
      </c>
      <c r="Q68" s="1646">
        <f t="shared" si="162"/>
        <v>0.20952380952380834</v>
      </c>
      <c r="R68" s="1646">
        <f t="shared" si="162"/>
        <v>0.32709374999999907</v>
      </c>
      <c r="S68" s="1647">
        <f t="shared" si="162"/>
        <v>0.26973333333333294</v>
      </c>
      <c r="T68" s="1646">
        <f t="shared" si="162"/>
        <v>0.15754687499999775</v>
      </c>
      <c r="U68" s="1646">
        <f t="shared" si="162"/>
        <v>0.23087499999999972</v>
      </c>
      <c r="V68" s="1645">
        <f t="shared" si="162"/>
        <v>0.29959375000000188</v>
      </c>
      <c r="W68" s="1647">
        <f t="shared" si="162"/>
        <v>0.30404918032786998</v>
      </c>
      <c r="X68" s="1646">
        <f t="shared" si="162"/>
        <v>0.30642187499999984</v>
      </c>
      <c r="Y68" s="1820">
        <f t="shared" si="162"/>
        <v>0.50754687499999829</v>
      </c>
      <c r="Z68" s="1821">
        <f t="shared" si="162"/>
        <v>0.25204687500000134</v>
      </c>
      <c r="AA68" s="1647">
        <f t="shared" si="162"/>
        <v>-3.7548387096775215E-2</v>
      </c>
      <c r="AB68" s="1646">
        <f t="shared" si="162"/>
        <v>6.8507936507938183E-2</v>
      </c>
      <c r="AC68" s="1820">
        <f t="shared" si="162"/>
        <v>0.26343749999999932</v>
      </c>
      <c r="AD68" s="1821">
        <f t="shared" si="162"/>
        <v>0.35907936507936444</v>
      </c>
      <c r="AE68" s="1647">
        <f t="shared" si="162"/>
        <v>0.10468852459016342</v>
      </c>
      <c r="AF68" s="1643">
        <f t="shared" si="162"/>
        <v>7.9562500000000203E-2</v>
      </c>
      <c r="AG68" s="1643">
        <f t="shared" si="162"/>
        <v>3.6515625000000718E-2</v>
      </c>
      <c r="AH68" s="1642">
        <f t="shared" si="162"/>
        <v>4.9693548387096609E-2</v>
      </c>
      <c r="AI68" s="1643">
        <f t="shared" si="162"/>
        <v>0.15672580645161371</v>
      </c>
      <c r="AJ68" s="1643">
        <f t="shared" si="162"/>
        <v>0.10859375000000027</v>
      </c>
      <c r="AK68" s="1643">
        <f t="shared" si="162"/>
        <v>0.25880952380952404</v>
      </c>
      <c r="AL68" s="1642">
        <f t="shared" si="162"/>
        <v>1.4901290322580647</v>
      </c>
      <c r="AM68" s="1643">
        <f t="shared" si="162"/>
        <v>0.7802950819672132</v>
      </c>
      <c r="AN68" s="1643">
        <f t="shared" si="162"/>
        <v>-0.66499999999999959</v>
      </c>
      <c r="AO68" s="1643">
        <f t="shared" si="162"/>
        <v>-0.37199999999999989</v>
      </c>
      <c r="AP68" s="1642">
        <f t="shared" si="162"/>
        <v>-0.49500000000000055</v>
      </c>
      <c r="AQ68" s="1643">
        <f t="shared" si="162"/>
        <v>-0.30713417480557936</v>
      </c>
      <c r="AR68" s="1643">
        <f t="shared" si="162"/>
        <v>-0.75064523540322092</v>
      </c>
      <c r="AS68" s="1643">
        <f t="shared" si="162"/>
        <v>-0.53237727470099783</v>
      </c>
      <c r="AT68" s="1642">
        <f t="shared" si="162"/>
        <v>-0.20050998189020053</v>
      </c>
      <c r="AU68" s="1643">
        <f t="shared" si="162"/>
        <v>-0.26491667997570767</v>
      </c>
      <c r="AV68" s="1643">
        <f t="shared" si="162"/>
        <v>-0.72952134616272168</v>
      </c>
      <c r="AW68" s="1643">
        <f t="shared" si="162"/>
        <v>-0.50344822491097485</v>
      </c>
      <c r="AX68" s="1642">
        <f t="shared" si="162"/>
        <v>-0.15278041575059387</v>
      </c>
      <c r="AY68" s="1643">
        <f t="shared" ref="AY68:BB68" si="163">IF(ISBLANK(AY211),"",AY211)</f>
        <v>-0.18976284925876685</v>
      </c>
      <c r="AZ68" s="1643">
        <f t="shared" si="163"/>
        <v>-0.6882236801665047</v>
      </c>
      <c r="BA68" s="1643">
        <f t="shared" si="163"/>
        <v>-0.44995803943269674</v>
      </c>
      <c r="BB68" s="1642">
        <f t="shared" si="163"/>
        <v>-6.8722097942030214E-2</v>
      </c>
      <c r="BC68" s="1489"/>
      <c r="BD68" s="1489"/>
      <c r="BE68" s="1489">
        <f t="shared" si="119"/>
        <v>-8.1029832493894283E-2</v>
      </c>
      <c r="BF68" s="1489">
        <f t="shared" si="120"/>
        <v>0.10640259176587319</v>
      </c>
      <c r="BG68" s="1489">
        <f t="shared" si="121"/>
        <v>0.28452740575396795</v>
      </c>
      <c r="BH68" s="1499">
        <f t="shared" si="122"/>
        <v>0.23943723958333307</v>
      </c>
      <c r="BI68" s="1499">
        <f t="shared" si="123"/>
        <v>0.34251620133196736</v>
      </c>
      <c r="BJ68" s="1499">
        <f t="shared" si="124"/>
        <v>0.16336910362263168</v>
      </c>
      <c r="BK68" s="1499">
        <f t="shared" si="125"/>
        <v>6.7615049494315238E-2</v>
      </c>
      <c r="BL68" s="1499">
        <f t="shared" si="126"/>
        <v>0.50356452812980068</v>
      </c>
      <c r="BM68" s="1499">
        <f t="shared" si="127"/>
        <v>-0.18792622950819671</v>
      </c>
      <c r="BN68" s="1499">
        <f t="shared" si="128"/>
        <v>-0.44766666669999966</v>
      </c>
      <c r="BO68" s="1499">
        <f t="shared" si="129"/>
        <v>-0.41266666669999952</v>
      </c>
      <c r="BP68" s="1499">
        <f t="shared" si="130"/>
        <v>-0.34916666669999963</v>
      </c>
      <c r="BQ68" s="1499"/>
      <c r="BR68" s="1586"/>
      <c r="BS68" s="1477"/>
      <c r="BV68" s="1444"/>
      <c r="BW68" s="1519" t="str">
        <f t="shared" si="159"/>
        <v>PJM East</v>
      </c>
      <c r="BX68" s="1516">
        <f t="shared" si="160"/>
        <v>14408.571428571429</v>
      </c>
      <c r="BY68" s="1525">
        <f>+BX37</f>
        <v>14408.571428571429</v>
      </c>
      <c r="BZ68" s="1525">
        <f t="shared" si="161"/>
        <v>0</v>
      </c>
    </row>
    <row r="69" spans="1:78" ht="12.75" customHeight="1">
      <c r="A69" s="1445"/>
      <c r="B69" s="1446"/>
      <c r="C69" s="1649"/>
      <c r="D69" s="1649"/>
      <c r="E69" s="1649"/>
      <c r="F69" s="1651"/>
      <c r="G69" s="1647">
        <f t="shared" ref="G69:AX69" si="164">IF(ISBLANK(G212),"",G212)</f>
        <v>-8.8041666666665463E-2</v>
      </c>
      <c r="H69" s="1646">
        <f t="shared" si="164"/>
        <v>-0.16344444444444317</v>
      </c>
      <c r="I69" s="1646">
        <f t="shared" si="164"/>
        <v>-0.26625000000000032</v>
      </c>
      <c r="J69" s="1645">
        <f t="shared" si="164"/>
        <v>-0.10644615384615275</v>
      </c>
      <c r="K69" s="1647">
        <f t="shared" si="164"/>
        <v>-3.8796875000000064E-2</v>
      </c>
      <c r="L69" s="1646">
        <f t="shared" si="164"/>
        <v>-0.11246874999999878</v>
      </c>
      <c r="M69" s="1646">
        <f t="shared" si="164"/>
        <v>-8.0437500000000384E-2</v>
      </c>
      <c r="N69" s="1645">
        <f t="shared" si="164"/>
        <v>-7.6968253968253908E-2</v>
      </c>
      <c r="O69" s="1647">
        <f t="shared" si="164"/>
        <v>-6.4174603174603106E-2</v>
      </c>
      <c r="P69" s="1646">
        <f t="shared" si="164"/>
        <v>-5.0873015873015071E-2</v>
      </c>
      <c r="Q69" s="1646">
        <f t="shared" si="164"/>
        <v>-6.5730158730158195E-2</v>
      </c>
      <c r="R69" s="1646">
        <f t="shared" si="164"/>
        <v>-7.0828125000001574E-2</v>
      </c>
      <c r="S69" s="1647">
        <f t="shared" si="164"/>
        <v>-6.5516666666667334E-2</v>
      </c>
      <c r="T69" s="1643">
        <f t="shared" si="164"/>
        <v>-0.10400000000000054</v>
      </c>
      <c r="U69" s="1643">
        <f t="shared" si="164"/>
        <v>-6.8781250000001126E-2</v>
      </c>
      <c r="V69" s="1642">
        <f t="shared" si="164"/>
        <v>-4.9484375000000469E-2</v>
      </c>
      <c r="W69" s="1643">
        <f t="shared" si="164"/>
        <v>0.13100000000000023</v>
      </c>
      <c r="X69" s="1643">
        <f t="shared" si="164"/>
        <v>-0.1406093749999977</v>
      </c>
      <c r="Y69" s="1820">
        <f t="shared" si="164"/>
        <v>-8.2046874999999631E-2</v>
      </c>
      <c r="Z69" s="1821">
        <f t="shared" si="164"/>
        <v>-0.13220312499999887</v>
      </c>
      <c r="AA69" s="1643">
        <f t="shared" si="164"/>
        <v>-0.18638709677419296</v>
      </c>
      <c r="AB69" s="1643">
        <f t="shared" si="164"/>
        <v>-0.1698571428571416</v>
      </c>
      <c r="AC69" s="1820">
        <f t="shared" si="164"/>
        <v>-9.4734374999999815E-2</v>
      </c>
      <c r="AD69" s="1821">
        <f t="shared" si="164"/>
        <v>-7.3825396825397682E-2</v>
      </c>
      <c r="AE69" s="1647">
        <f t="shared" si="164"/>
        <v>-0.13737704918032856</v>
      </c>
      <c r="AF69" s="1643">
        <f t="shared" si="164"/>
        <v>-0.15981249999999947</v>
      </c>
      <c r="AG69" s="1643">
        <f t="shared" si="164"/>
        <v>-0.16378125000000088</v>
      </c>
      <c r="AH69" s="1642">
        <f t="shared" si="164"/>
        <v>-0.1974516129032251</v>
      </c>
      <c r="AI69" s="1643">
        <f t="shared" si="164"/>
        <v>-0.2175806451612905</v>
      </c>
      <c r="AJ69" s="1643">
        <f t="shared" si="164"/>
        <v>-0.31395312499999983</v>
      </c>
      <c r="AK69" s="1643">
        <f t="shared" si="164"/>
        <v>-0.23814285714285521</v>
      </c>
      <c r="AL69" s="1642">
        <f t="shared" si="164"/>
        <v>-0.332435483870968</v>
      </c>
      <c r="AM69" s="1643">
        <f t="shared" si="164"/>
        <v>-0.44990163934426253</v>
      </c>
      <c r="AN69" s="1643">
        <f t="shared" si="164"/>
        <v>-0.37966666666666615</v>
      </c>
      <c r="AO69" s="1643">
        <f t="shared" si="164"/>
        <v>-0.39166666666666661</v>
      </c>
      <c r="AP69" s="1642">
        <f t="shared" si="164"/>
        <v>-0.37166666666666703</v>
      </c>
      <c r="AQ69" s="1643">
        <f t="shared" si="164"/>
        <v>-0.19602769763382533</v>
      </c>
      <c r="AR69" s="1643">
        <f t="shared" si="164"/>
        <v>-0.300845626465994</v>
      </c>
      <c r="AS69" s="1643">
        <f t="shared" si="164"/>
        <v>-0.18112311230464595</v>
      </c>
      <c r="AT69" s="1642">
        <f t="shared" si="164"/>
        <v>-0.4933368969288674</v>
      </c>
      <c r="AU69" s="1643">
        <f t="shared" si="164"/>
        <v>-0.21941821857145705</v>
      </c>
      <c r="AV69" s="1643">
        <f t="shared" si="164"/>
        <v>-0.28887692999624326</v>
      </c>
      <c r="AW69" s="1643">
        <f t="shared" si="164"/>
        <v>-0.1563235091335029</v>
      </c>
      <c r="AX69" s="1642">
        <f t="shared" si="164"/>
        <v>-0.48504800896546163</v>
      </c>
      <c r="AY69" s="1643">
        <f t="shared" ref="AY69:BB69" si="165">IF(ISBLANK(AY212),"",AY212)</f>
        <v>-0.2167463007799646</v>
      </c>
      <c r="AZ69" s="1643">
        <f t="shared" si="165"/>
        <v>-0.28245768253923886</v>
      </c>
      <c r="BA69" s="1643">
        <f t="shared" si="165"/>
        <v>-0.14056807383264047</v>
      </c>
      <c r="BB69" s="1642">
        <f t="shared" si="165"/>
        <v>-0.47456127618148791</v>
      </c>
      <c r="BC69" s="1489"/>
      <c r="BD69" s="1489"/>
      <c r="BE69" s="1489"/>
      <c r="BF69" s="1489"/>
      <c r="BG69" s="1489"/>
      <c r="BH69" s="1499"/>
      <c r="BI69" s="1499"/>
      <c r="BJ69" s="1499"/>
      <c r="BK69" s="1499"/>
      <c r="BL69" s="1499"/>
      <c r="BM69" s="1499"/>
      <c r="BN69" s="1499"/>
      <c r="BO69" s="1499"/>
      <c r="BP69" s="1499"/>
      <c r="BQ69" s="1499"/>
      <c r="BR69" s="1586"/>
      <c r="BS69" s="1511"/>
      <c r="BV69" s="1444"/>
      <c r="BW69" s="1519" t="str">
        <f t="shared" si="159"/>
        <v>AEP Dayton</v>
      </c>
      <c r="BX69" s="1516">
        <f t="shared" si="160"/>
        <v>14415.000000000002</v>
      </c>
      <c r="BY69" s="1525">
        <f>+BX38</f>
        <v>14415.000000000002</v>
      </c>
      <c r="BZ69" s="1525">
        <f t="shared" si="161"/>
        <v>0</v>
      </c>
    </row>
    <row r="70" spans="1:78" ht="12.75" customHeight="1">
      <c r="A70" s="1445"/>
      <c r="B70" s="1446"/>
      <c r="C70" s="1649"/>
      <c r="D70" s="1649"/>
      <c r="E70" s="1649"/>
      <c r="F70" s="1651"/>
      <c r="G70" s="1647" t="str">
        <f t="shared" ref="G70:AX70" si="166">IF(ISBLANK(G213),"",G213)</f>
        <v/>
      </c>
      <c r="H70" s="1646" t="str">
        <f t="shared" si="166"/>
        <v/>
      </c>
      <c r="I70" s="1646" t="str">
        <f t="shared" si="166"/>
        <v/>
      </c>
      <c r="J70" s="1645" t="str">
        <f t="shared" si="166"/>
        <v/>
      </c>
      <c r="K70" s="1647" t="str">
        <f t="shared" si="166"/>
        <v/>
      </c>
      <c r="L70" s="1646" t="str">
        <f t="shared" si="166"/>
        <v/>
      </c>
      <c r="M70" s="1646" t="str">
        <f t="shared" si="166"/>
        <v/>
      </c>
      <c r="N70" s="1645" t="str">
        <f t="shared" si="166"/>
        <v/>
      </c>
      <c r="O70" s="1647" t="str">
        <f t="shared" si="166"/>
        <v/>
      </c>
      <c r="P70" s="1646" t="str">
        <f t="shared" si="166"/>
        <v/>
      </c>
      <c r="Q70" s="1646" t="str">
        <f t="shared" si="166"/>
        <v/>
      </c>
      <c r="R70" s="1646" t="str">
        <f t="shared" si="166"/>
        <v/>
      </c>
      <c r="S70" s="1647" t="str">
        <f t="shared" si="166"/>
        <v/>
      </c>
      <c r="T70" s="1643" t="str">
        <f t="shared" si="166"/>
        <v/>
      </c>
      <c r="U70" s="1643" t="str">
        <f t="shared" si="166"/>
        <v/>
      </c>
      <c r="V70" s="1642" t="str">
        <f t="shared" si="166"/>
        <v/>
      </c>
      <c r="W70" s="1643" t="str">
        <f t="shared" si="166"/>
        <v/>
      </c>
      <c r="X70" s="1643" t="str">
        <f t="shared" si="166"/>
        <v/>
      </c>
      <c r="Y70" s="1820" t="str">
        <f t="shared" si="166"/>
        <v/>
      </c>
      <c r="Z70" s="1821" t="str">
        <f t="shared" si="166"/>
        <v/>
      </c>
      <c r="AA70" s="1643" t="str">
        <f t="shared" si="166"/>
        <v/>
      </c>
      <c r="AB70" s="1643" t="str">
        <f t="shared" si="166"/>
        <v/>
      </c>
      <c r="AC70" s="1820" t="str">
        <f t="shared" si="166"/>
        <v/>
      </c>
      <c r="AD70" s="1821" t="str">
        <f t="shared" si="166"/>
        <v/>
      </c>
      <c r="AE70" s="1647" t="str">
        <f t="shared" si="166"/>
        <v/>
      </c>
      <c r="AF70" s="1643" t="str">
        <f t="shared" si="166"/>
        <v/>
      </c>
      <c r="AG70" s="1643" t="str">
        <f t="shared" si="166"/>
        <v/>
      </c>
      <c r="AH70" s="1642" t="str">
        <f t="shared" si="166"/>
        <v/>
      </c>
      <c r="AI70" s="1643" t="str">
        <f t="shared" si="166"/>
        <v/>
      </c>
      <c r="AJ70" s="1643" t="str">
        <f t="shared" si="166"/>
        <v/>
      </c>
      <c r="AK70" s="1643" t="str">
        <f t="shared" si="166"/>
        <v/>
      </c>
      <c r="AL70" s="1642" t="str">
        <f t="shared" si="166"/>
        <v/>
      </c>
      <c r="AM70" s="1643" t="str">
        <f t="shared" si="166"/>
        <v/>
      </c>
      <c r="AN70" s="1643" t="str">
        <f t="shared" si="166"/>
        <v/>
      </c>
      <c r="AO70" s="1643" t="str">
        <f t="shared" si="166"/>
        <v/>
      </c>
      <c r="AP70" s="1642" t="str">
        <f t="shared" si="166"/>
        <v/>
      </c>
      <c r="AQ70" s="1643" t="str">
        <f t="shared" si="166"/>
        <v/>
      </c>
      <c r="AR70" s="1643" t="str">
        <f t="shared" si="166"/>
        <v/>
      </c>
      <c r="AS70" s="1643" t="str">
        <f t="shared" si="166"/>
        <v/>
      </c>
      <c r="AT70" s="1642" t="str">
        <f t="shared" si="166"/>
        <v/>
      </c>
      <c r="AU70" s="1643" t="str">
        <f t="shared" si="166"/>
        <v/>
      </c>
      <c r="AV70" s="1643" t="str">
        <f t="shared" si="166"/>
        <v/>
      </c>
      <c r="AW70" s="1643" t="str">
        <f t="shared" si="166"/>
        <v/>
      </c>
      <c r="AX70" s="1642" t="str">
        <f t="shared" si="166"/>
        <v/>
      </c>
      <c r="AY70" s="1643" t="str">
        <f t="shared" ref="AY70:BB70" si="167">IF(ISBLANK(AY213),"",AY213)</f>
        <v/>
      </c>
      <c r="AZ70" s="1643" t="str">
        <f t="shared" si="167"/>
        <v/>
      </c>
      <c r="BA70" s="1643" t="str">
        <f t="shared" si="167"/>
        <v/>
      </c>
      <c r="BB70" s="1642" t="str">
        <f t="shared" si="167"/>
        <v/>
      </c>
      <c r="BC70" s="1489"/>
      <c r="BD70" s="1489"/>
      <c r="BE70" s="1489"/>
      <c r="BF70" s="1489"/>
      <c r="BG70" s="1489"/>
      <c r="BH70" s="1499"/>
      <c r="BI70" s="1499"/>
      <c r="BJ70" s="1499"/>
      <c r="BK70" s="1499"/>
      <c r="BL70" s="1499"/>
      <c r="BM70" s="1499"/>
      <c r="BN70" s="1499"/>
      <c r="BO70" s="1499"/>
      <c r="BP70" s="1499"/>
      <c r="BQ70" s="1499"/>
      <c r="BR70" s="1586"/>
      <c r="BS70" s="1477"/>
      <c r="BV70" s="1444"/>
      <c r="BW70" s="1519" t="str">
        <f t="shared" si="159"/>
        <v>Cinergy</v>
      </c>
      <c r="BX70" s="1516">
        <f t="shared" si="160"/>
        <v>14334.545454545456</v>
      </c>
      <c r="BY70" s="1525">
        <f>+BX39</f>
        <v>14334.545454545456</v>
      </c>
      <c r="BZ70" s="1525">
        <f t="shared" si="161"/>
        <v>0</v>
      </c>
    </row>
    <row r="71" spans="1:78" ht="12.75" customHeight="1">
      <c r="A71" s="1445"/>
      <c r="B71" s="1446"/>
      <c r="C71" s="1661" t="s">
        <v>895</v>
      </c>
      <c r="D71" s="1676"/>
      <c r="E71" s="1676"/>
      <c r="F71" s="1517"/>
      <c r="G71" s="1647" t="str">
        <f t="shared" ref="G71:AX71" si="168">IF(ISBLANK(G214),"",G214)</f>
        <v/>
      </c>
      <c r="H71" s="1646" t="str">
        <f t="shared" si="168"/>
        <v/>
      </c>
      <c r="I71" s="1646" t="str">
        <f t="shared" si="168"/>
        <v/>
      </c>
      <c r="J71" s="1645" t="str">
        <f t="shared" si="168"/>
        <v/>
      </c>
      <c r="K71" s="1647" t="str">
        <f t="shared" si="168"/>
        <v/>
      </c>
      <c r="L71" s="1646" t="str">
        <f t="shared" si="168"/>
        <v/>
      </c>
      <c r="M71" s="1646" t="str">
        <f t="shared" si="168"/>
        <v/>
      </c>
      <c r="N71" s="1645" t="str">
        <f t="shared" si="168"/>
        <v/>
      </c>
      <c r="O71" s="1647" t="str">
        <f t="shared" si="168"/>
        <v/>
      </c>
      <c r="P71" s="1646" t="str">
        <f t="shared" si="168"/>
        <v/>
      </c>
      <c r="Q71" s="1646" t="str">
        <f t="shared" si="168"/>
        <v/>
      </c>
      <c r="R71" s="1646" t="str">
        <f t="shared" si="168"/>
        <v/>
      </c>
      <c r="S71" s="1647" t="str">
        <f t="shared" si="168"/>
        <v/>
      </c>
      <c r="T71" s="1643" t="str">
        <f t="shared" si="168"/>
        <v/>
      </c>
      <c r="U71" s="1643" t="str">
        <f t="shared" si="168"/>
        <v/>
      </c>
      <c r="V71" s="1642" t="str">
        <f t="shared" si="168"/>
        <v/>
      </c>
      <c r="W71" s="1643" t="str">
        <f t="shared" si="168"/>
        <v/>
      </c>
      <c r="X71" s="1643" t="str">
        <f t="shared" si="168"/>
        <v/>
      </c>
      <c r="Y71" s="1643" t="str">
        <f t="shared" si="168"/>
        <v/>
      </c>
      <c r="Z71" s="1642" t="str">
        <f t="shared" si="168"/>
        <v/>
      </c>
      <c r="AA71" s="1643" t="str">
        <f t="shared" si="168"/>
        <v/>
      </c>
      <c r="AB71" s="1643" t="str">
        <f t="shared" si="168"/>
        <v/>
      </c>
      <c r="AC71" s="1643" t="str">
        <f t="shared" si="168"/>
        <v/>
      </c>
      <c r="AD71" s="1642" t="str">
        <f t="shared" si="168"/>
        <v/>
      </c>
      <c r="AE71" s="1647" t="str">
        <f t="shared" si="168"/>
        <v/>
      </c>
      <c r="AF71" s="1643" t="str">
        <f t="shared" si="168"/>
        <v/>
      </c>
      <c r="AG71" s="1643" t="str">
        <f t="shared" si="168"/>
        <v/>
      </c>
      <c r="AH71" s="1642" t="str">
        <f t="shared" si="168"/>
        <v/>
      </c>
      <c r="AI71" s="1643" t="str">
        <f t="shared" si="168"/>
        <v/>
      </c>
      <c r="AJ71" s="1643" t="str">
        <f t="shared" si="168"/>
        <v/>
      </c>
      <c r="AK71" s="1643" t="str">
        <f t="shared" si="168"/>
        <v/>
      </c>
      <c r="AL71" s="1642" t="str">
        <f t="shared" si="168"/>
        <v/>
      </c>
      <c r="AM71" s="1643" t="str">
        <f t="shared" si="168"/>
        <v/>
      </c>
      <c r="AN71" s="1643" t="str">
        <f t="shared" si="168"/>
        <v/>
      </c>
      <c r="AO71" s="1643" t="str">
        <f t="shared" si="168"/>
        <v/>
      </c>
      <c r="AP71" s="1642" t="str">
        <f t="shared" si="168"/>
        <v/>
      </c>
      <c r="AQ71" s="1643" t="str">
        <f t="shared" si="168"/>
        <v/>
      </c>
      <c r="AR71" s="1643" t="str">
        <f t="shared" si="168"/>
        <v/>
      </c>
      <c r="AS71" s="1643" t="str">
        <f t="shared" si="168"/>
        <v/>
      </c>
      <c r="AT71" s="1642" t="str">
        <f t="shared" si="168"/>
        <v/>
      </c>
      <c r="AU71" s="1643" t="str">
        <f t="shared" si="168"/>
        <v/>
      </c>
      <c r="AV71" s="1643" t="str">
        <f t="shared" si="168"/>
        <v/>
      </c>
      <c r="AW71" s="1643" t="str">
        <f t="shared" si="168"/>
        <v/>
      </c>
      <c r="AX71" s="1642" t="str">
        <f t="shared" si="168"/>
        <v/>
      </c>
      <c r="AY71" s="1643" t="str">
        <f t="shared" ref="AY71:BB71" si="169">IF(ISBLANK(AY214),"",AY214)</f>
        <v/>
      </c>
      <c r="AZ71" s="1643" t="str">
        <f t="shared" si="169"/>
        <v/>
      </c>
      <c r="BA71" s="1643" t="str">
        <f t="shared" si="169"/>
        <v/>
      </c>
      <c r="BB71" s="1642" t="str">
        <f t="shared" si="169"/>
        <v/>
      </c>
      <c r="BC71" s="1489"/>
      <c r="BD71" s="1489"/>
      <c r="BE71" s="1489"/>
      <c r="BF71" s="1489"/>
      <c r="BG71" s="1489"/>
      <c r="BH71" s="1489"/>
      <c r="BI71" s="1489"/>
      <c r="BJ71" s="1489"/>
      <c r="BK71" s="1489"/>
      <c r="BL71" s="1489"/>
      <c r="BM71" s="1489"/>
      <c r="BN71" s="1489"/>
      <c r="BO71" s="1489"/>
      <c r="BP71" s="1489"/>
      <c r="BQ71" s="1489"/>
      <c r="BR71" s="1586"/>
      <c r="BS71" s="1477"/>
      <c r="BV71" s="1444"/>
      <c r="BW71" s="1519" t="str">
        <f t="shared" si="159"/>
        <v>NI Hub</v>
      </c>
      <c r="BX71" s="1516">
        <f t="shared" si="160"/>
        <v>12597.272727272726</v>
      </c>
      <c r="BY71" s="1525">
        <f>+BX40</f>
        <v>12597.272727272726</v>
      </c>
      <c r="BZ71" s="1525">
        <f t="shared" si="161"/>
        <v>0</v>
      </c>
    </row>
    <row r="72" spans="1:78" ht="12.75" customHeight="1">
      <c r="A72" s="1445"/>
      <c r="B72" s="1446"/>
      <c r="C72" s="1649" t="s">
        <v>672</v>
      </c>
      <c r="D72" s="1649"/>
      <c r="E72" s="1649"/>
      <c r="F72" s="1651"/>
      <c r="G72" s="1652">
        <f t="shared" ref="G72:AX72" si="170">IF(ISBLANK(G215),"",G215)</f>
        <v>5</v>
      </c>
      <c r="H72" s="1643">
        <f t="shared" si="170"/>
        <v>5</v>
      </c>
      <c r="I72" s="1643">
        <f t="shared" si="170"/>
        <v>5</v>
      </c>
      <c r="J72" s="1642">
        <f t="shared" si="170"/>
        <v>5</v>
      </c>
      <c r="K72" s="1652">
        <f t="shared" si="170"/>
        <v>5</v>
      </c>
      <c r="L72" s="1643">
        <f t="shared" si="170"/>
        <v>5</v>
      </c>
      <c r="M72" s="1643">
        <f t="shared" si="170"/>
        <v>5</v>
      </c>
      <c r="N72" s="1642">
        <f t="shared" si="170"/>
        <v>5</v>
      </c>
      <c r="O72" s="1652">
        <f t="shared" si="170"/>
        <v>5</v>
      </c>
      <c r="P72" s="1643">
        <f t="shared" si="170"/>
        <v>5</v>
      </c>
      <c r="Q72" s="1643">
        <f t="shared" si="170"/>
        <v>5</v>
      </c>
      <c r="R72" s="1643">
        <f t="shared" si="170"/>
        <v>5</v>
      </c>
      <c r="S72" s="1652">
        <f t="shared" si="170"/>
        <v>5</v>
      </c>
      <c r="T72" s="1643">
        <f t="shared" si="170"/>
        <v>5</v>
      </c>
      <c r="U72" s="1643">
        <f t="shared" si="170"/>
        <v>5</v>
      </c>
      <c r="V72" s="1642">
        <f t="shared" si="170"/>
        <v>5</v>
      </c>
      <c r="W72" s="1643">
        <f t="shared" si="170"/>
        <v>5</v>
      </c>
      <c r="X72" s="1643">
        <f t="shared" si="170"/>
        <v>5</v>
      </c>
      <c r="Y72" s="1643">
        <f t="shared" si="170"/>
        <v>5</v>
      </c>
      <c r="Z72" s="1642">
        <f t="shared" si="170"/>
        <v>5</v>
      </c>
      <c r="AA72" s="1643">
        <f t="shared" si="170"/>
        <v>5</v>
      </c>
      <c r="AB72" s="1643">
        <f t="shared" si="170"/>
        <v>5</v>
      </c>
      <c r="AC72" s="1643">
        <f t="shared" si="170"/>
        <v>5</v>
      </c>
      <c r="AD72" s="1642">
        <f t="shared" si="170"/>
        <v>5</v>
      </c>
      <c r="AE72" s="1652">
        <f t="shared" si="170"/>
        <v>5</v>
      </c>
      <c r="AF72" s="1643">
        <f t="shared" si="170"/>
        <v>5</v>
      </c>
      <c r="AG72" s="1643">
        <f t="shared" si="170"/>
        <v>5</v>
      </c>
      <c r="AH72" s="1642">
        <f t="shared" si="170"/>
        <v>5</v>
      </c>
      <c r="AI72" s="1643">
        <f t="shared" si="170"/>
        <v>5</v>
      </c>
      <c r="AJ72" s="1643">
        <f t="shared" si="170"/>
        <v>5</v>
      </c>
      <c r="AK72" s="1643">
        <f t="shared" si="170"/>
        <v>5</v>
      </c>
      <c r="AL72" s="1642">
        <f t="shared" si="170"/>
        <v>5</v>
      </c>
      <c r="AM72" s="1643">
        <f t="shared" si="170"/>
        <v>5</v>
      </c>
      <c r="AN72" s="1643">
        <f t="shared" si="170"/>
        <v>5</v>
      </c>
      <c r="AO72" s="1643">
        <f t="shared" si="170"/>
        <v>5</v>
      </c>
      <c r="AP72" s="1642">
        <f t="shared" si="170"/>
        <v>5</v>
      </c>
      <c r="AQ72" s="1643">
        <f t="shared" si="170"/>
        <v>5</v>
      </c>
      <c r="AR72" s="1643">
        <f t="shared" si="170"/>
        <v>5</v>
      </c>
      <c r="AS72" s="1643">
        <f t="shared" si="170"/>
        <v>5</v>
      </c>
      <c r="AT72" s="1642">
        <f t="shared" si="170"/>
        <v>5</v>
      </c>
      <c r="AU72" s="1643">
        <f t="shared" si="170"/>
        <v>5</v>
      </c>
      <c r="AV72" s="1643">
        <f t="shared" si="170"/>
        <v>5</v>
      </c>
      <c r="AW72" s="1643">
        <f t="shared" si="170"/>
        <v>5</v>
      </c>
      <c r="AX72" s="1642">
        <f t="shared" si="170"/>
        <v>5</v>
      </c>
      <c r="AY72" s="1643">
        <f t="shared" ref="AY72:BB72" si="171">IF(ISBLANK(AY215),"",AY215)</f>
        <v>5</v>
      </c>
      <c r="AZ72" s="1643">
        <f t="shared" si="171"/>
        <v>5</v>
      </c>
      <c r="BA72" s="1643">
        <f t="shared" si="171"/>
        <v>5</v>
      </c>
      <c r="BB72" s="1642">
        <f t="shared" si="171"/>
        <v>5</v>
      </c>
      <c r="BC72" s="1489"/>
      <c r="BD72" s="1489"/>
      <c r="BE72" s="1489">
        <f>AVERAGE(G72:J72)</f>
        <v>5</v>
      </c>
      <c r="BF72" s="1489">
        <f>AVERAGE(K72:N72)</f>
        <v>5</v>
      </c>
      <c r="BG72" s="1489">
        <f>AVERAGE(O72:R72)</f>
        <v>5</v>
      </c>
      <c r="BH72" s="1489">
        <f>AVERAGE(S72:V72)</f>
        <v>5</v>
      </c>
      <c r="BI72" s="1489">
        <f>AVERAGE(W72:Z72)</f>
        <v>5</v>
      </c>
      <c r="BJ72" s="1489">
        <f>AVERAGE(AA72:AD72)</f>
        <v>5</v>
      </c>
      <c r="BK72" s="1489">
        <f>AVERAGE(AE72:AH72)</f>
        <v>5</v>
      </c>
      <c r="BL72" s="1489">
        <f>AVERAGE(AI72:AL72)</f>
        <v>5</v>
      </c>
      <c r="BM72" s="1489">
        <f>AVERAGE(AM72:AP72)</f>
        <v>5</v>
      </c>
      <c r="BN72" s="1489">
        <f>AVERAGE(AQ72:AT72)</f>
        <v>5</v>
      </c>
      <c r="BO72" s="1489">
        <f>AVERAGE(AU72:AX72)</f>
        <v>5</v>
      </c>
      <c r="BP72" s="1489">
        <f>AVERAGE(AY72:BB72)</f>
        <v>5</v>
      </c>
      <c r="BQ72" s="1489"/>
      <c r="BR72" s="1586"/>
      <c r="BS72" s="1477"/>
      <c r="BV72" s="1444"/>
      <c r="BW72" s="1519" t="str">
        <f t="shared" si="159"/>
        <v>ERCOT Houston</v>
      </c>
      <c r="BX72" s="1516">
        <f t="shared" si="160"/>
        <v>13059.517736879347</v>
      </c>
      <c r="BY72" s="1525">
        <f>+BY15</f>
        <v>17085.320006303325</v>
      </c>
      <c r="BZ72" s="1525">
        <f t="shared" si="161"/>
        <v>-4025.8022694239789</v>
      </c>
    </row>
    <row r="73" spans="1:78" ht="12.75" customHeight="1">
      <c r="A73" s="1445"/>
      <c r="B73" s="1446"/>
      <c r="C73" s="1649" t="s">
        <v>821</v>
      </c>
      <c r="D73" s="1649"/>
      <c r="E73" s="1649"/>
      <c r="F73" s="1651"/>
      <c r="G73" s="1652">
        <f t="shared" ref="G73:AX73" si="172">IF(ISBLANK(G216),"",G216)</f>
        <v>15</v>
      </c>
      <c r="H73" s="1643">
        <f t="shared" si="172"/>
        <v>15</v>
      </c>
      <c r="I73" s="1643">
        <f t="shared" si="172"/>
        <v>15</v>
      </c>
      <c r="J73" s="1642">
        <f t="shared" si="172"/>
        <v>15</v>
      </c>
      <c r="K73" s="1652">
        <f t="shared" si="172"/>
        <v>15</v>
      </c>
      <c r="L73" s="1643">
        <f t="shared" si="172"/>
        <v>15</v>
      </c>
      <c r="M73" s="1643">
        <f t="shared" si="172"/>
        <v>15</v>
      </c>
      <c r="N73" s="1642">
        <f t="shared" si="172"/>
        <v>15</v>
      </c>
      <c r="O73" s="1652">
        <f t="shared" si="172"/>
        <v>15</v>
      </c>
      <c r="P73" s="1643">
        <f t="shared" si="172"/>
        <v>15</v>
      </c>
      <c r="Q73" s="1643">
        <f t="shared" si="172"/>
        <v>15</v>
      </c>
      <c r="R73" s="1643">
        <f t="shared" si="172"/>
        <v>15</v>
      </c>
      <c r="S73" s="1652">
        <f t="shared" si="172"/>
        <v>15</v>
      </c>
      <c r="T73" s="1643">
        <f t="shared" si="172"/>
        <v>15</v>
      </c>
      <c r="U73" s="1643">
        <f t="shared" si="172"/>
        <v>15</v>
      </c>
      <c r="V73" s="1642">
        <f t="shared" si="172"/>
        <v>15</v>
      </c>
      <c r="W73" s="1643">
        <f t="shared" si="172"/>
        <v>15</v>
      </c>
      <c r="X73" s="1643">
        <f t="shared" si="172"/>
        <v>15</v>
      </c>
      <c r="Y73" s="1643">
        <f t="shared" si="172"/>
        <v>15</v>
      </c>
      <c r="Z73" s="1642">
        <f t="shared" si="172"/>
        <v>15</v>
      </c>
      <c r="AA73" s="1643">
        <f t="shared" si="172"/>
        <v>15</v>
      </c>
      <c r="AB73" s="1643">
        <f t="shared" si="172"/>
        <v>15</v>
      </c>
      <c r="AC73" s="1643">
        <f t="shared" si="172"/>
        <v>15</v>
      </c>
      <c r="AD73" s="1642">
        <f t="shared" si="172"/>
        <v>15</v>
      </c>
      <c r="AE73" s="1652">
        <f t="shared" si="172"/>
        <v>15</v>
      </c>
      <c r="AF73" s="1643">
        <f t="shared" si="172"/>
        <v>15</v>
      </c>
      <c r="AG73" s="1643">
        <f t="shared" si="172"/>
        <v>15</v>
      </c>
      <c r="AH73" s="1642">
        <f t="shared" si="172"/>
        <v>15</v>
      </c>
      <c r="AI73" s="1643">
        <f t="shared" si="172"/>
        <v>15</v>
      </c>
      <c r="AJ73" s="1643">
        <f t="shared" si="172"/>
        <v>15</v>
      </c>
      <c r="AK73" s="1643">
        <f t="shared" si="172"/>
        <v>15</v>
      </c>
      <c r="AL73" s="1642">
        <f t="shared" si="172"/>
        <v>15</v>
      </c>
      <c r="AM73" s="1643">
        <f t="shared" si="172"/>
        <v>15</v>
      </c>
      <c r="AN73" s="1643">
        <f t="shared" si="172"/>
        <v>15</v>
      </c>
      <c r="AO73" s="1643">
        <f t="shared" si="172"/>
        <v>15</v>
      </c>
      <c r="AP73" s="1642">
        <f t="shared" si="172"/>
        <v>15</v>
      </c>
      <c r="AQ73" s="1643">
        <f t="shared" si="172"/>
        <v>15</v>
      </c>
      <c r="AR73" s="1643">
        <f t="shared" si="172"/>
        <v>15</v>
      </c>
      <c r="AS73" s="1643">
        <f t="shared" si="172"/>
        <v>15</v>
      </c>
      <c r="AT73" s="1642">
        <f t="shared" si="172"/>
        <v>15</v>
      </c>
      <c r="AU73" s="1643">
        <f t="shared" si="172"/>
        <v>15</v>
      </c>
      <c r="AV73" s="1643">
        <f t="shared" si="172"/>
        <v>15</v>
      </c>
      <c r="AW73" s="1643">
        <f t="shared" si="172"/>
        <v>15</v>
      </c>
      <c r="AX73" s="1642">
        <f t="shared" si="172"/>
        <v>15</v>
      </c>
      <c r="AY73" s="1643">
        <f t="shared" ref="AY73:BB73" si="173">IF(ISBLANK(AY216),"",AY216)</f>
        <v>15</v>
      </c>
      <c r="AZ73" s="1643">
        <f t="shared" si="173"/>
        <v>15</v>
      </c>
      <c r="BA73" s="1643">
        <f t="shared" si="173"/>
        <v>15</v>
      </c>
      <c r="BB73" s="1642">
        <f t="shared" si="173"/>
        <v>15</v>
      </c>
      <c r="BC73" s="1489"/>
      <c r="BD73" s="1489"/>
      <c r="BE73" s="1489">
        <f>AVERAGE(G73:J73)</f>
        <v>15</v>
      </c>
      <c r="BF73" s="1489">
        <f>AVERAGE(K73:N73)</f>
        <v>15</v>
      </c>
      <c r="BG73" s="1489">
        <f>AVERAGE(O73:R73)</f>
        <v>15</v>
      </c>
      <c r="BH73" s="1489">
        <f>AVERAGE(S73:V73)</f>
        <v>15</v>
      </c>
      <c r="BI73" s="1489">
        <f>AVERAGE(W73:Z73)</f>
        <v>15</v>
      </c>
      <c r="BJ73" s="1489">
        <f>AVERAGE(AA73:AD73)</f>
        <v>15</v>
      </c>
      <c r="BK73" s="1489">
        <f>AVERAGE(AE73:AH73)</f>
        <v>15</v>
      </c>
      <c r="BL73" s="1489">
        <f>AVERAGE(AI73:AL73)</f>
        <v>15</v>
      </c>
      <c r="BM73" s="1489">
        <f>AVERAGE(AM73:AP73)</f>
        <v>15</v>
      </c>
      <c r="BN73" s="1489">
        <f>AVERAGE(AQ73:AT73)</f>
        <v>15</v>
      </c>
      <c r="BO73" s="1489">
        <f>AVERAGE(AU73:AX73)</f>
        <v>15</v>
      </c>
      <c r="BP73" s="1489">
        <f>AVERAGE(AY73:BB73)</f>
        <v>15</v>
      </c>
      <c r="BQ73" s="1489"/>
      <c r="BR73" s="1586"/>
      <c r="BS73" s="1477"/>
      <c r="BV73" s="1444"/>
      <c r="BW73" s="1519" t="str">
        <f t="shared" si="159"/>
        <v>ERCOT North</v>
      </c>
      <c r="BX73" s="1516">
        <f t="shared" si="160"/>
        <v>12303.36322926092</v>
      </c>
      <c r="BY73" s="1525">
        <f>+BY23</f>
        <v>17085.320006303325</v>
      </c>
      <c r="BZ73" s="1525">
        <f t="shared" si="161"/>
        <v>-4781.9567770424055</v>
      </c>
    </row>
    <row r="74" spans="1:78" ht="12.75" customHeight="1">
      <c r="A74" s="1445"/>
      <c r="B74" s="1446"/>
      <c r="C74" s="1649" t="s">
        <v>822</v>
      </c>
      <c r="D74" s="1649"/>
      <c r="E74" s="1649"/>
      <c r="F74" s="1651"/>
      <c r="G74" s="1652">
        <f t="shared" ref="G74:AX74" si="174">IF(ISBLANK(G217),"",G217)</f>
        <v>25</v>
      </c>
      <c r="H74" s="1643">
        <f t="shared" si="174"/>
        <v>25</v>
      </c>
      <c r="I74" s="1643">
        <f t="shared" si="174"/>
        <v>25</v>
      </c>
      <c r="J74" s="1642">
        <f t="shared" si="174"/>
        <v>25</v>
      </c>
      <c r="K74" s="1652">
        <f t="shared" si="174"/>
        <v>25</v>
      </c>
      <c r="L74" s="1643">
        <f t="shared" si="174"/>
        <v>25</v>
      </c>
      <c r="M74" s="1643">
        <f t="shared" si="174"/>
        <v>25</v>
      </c>
      <c r="N74" s="1642">
        <f t="shared" si="174"/>
        <v>25</v>
      </c>
      <c r="O74" s="1652">
        <f t="shared" si="174"/>
        <v>25</v>
      </c>
      <c r="P74" s="1643">
        <f t="shared" si="174"/>
        <v>25</v>
      </c>
      <c r="Q74" s="1643">
        <f t="shared" si="174"/>
        <v>25</v>
      </c>
      <c r="R74" s="1643">
        <f t="shared" si="174"/>
        <v>25</v>
      </c>
      <c r="S74" s="1652">
        <f t="shared" si="174"/>
        <v>25</v>
      </c>
      <c r="T74" s="1643">
        <f t="shared" si="174"/>
        <v>25</v>
      </c>
      <c r="U74" s="1643">
        <f t="shared" si="174"/>
        <v>25</v>
      </c>
      <c r="V74" s="1642">
        <f t="shared" si="174"/>
        <v>25</v>
      </c>
      <c r="W74" s="1643">
        <f t="shared" si="174"/>
        <v>25</v>
      </c>
      <c r="X74" s="1643">
        <f t="shared" si="174"/>
        <v>25</v>
      </c>
      <c r="Y74" s="1643">
        <f t="shared" si="174"/>
        <v>25</v>
      </c>
      <c r="Z74" s="1642">
        <f t="shared" si="174"/>
        <v>25</v>
      </c>
      <c r="AA74" s="1643">
        <f t="shared" si="174"/>
        <v>25</v>
      </c>
      <c r="AB74" s="1643">
        <f t="shared" si="174"/>
        <v>25</v>
      </c>
      <c r="AC74" s="1643">
        <f t="shared" si="174"/>
        <v>25</v>
      </c>
      <c r="AD74" s="1642">
        <f t="shared" si="174"/>
        <v>25</v>
      </c>
      <c r="AE74" s="1652">
        <f t="shared" si="174"/>
        <v>25</v>
      </c>
      <c r="AF74" s="1643">
        <f t="shared" si="174"/>
        <v>25</v>
      </c>
      <c r="AG74" s="1643">
        <f t="shared" si="174"/>
        <v>25</v>
      </c>
      <c r="AH74" s="1642">
        <f t="shared" si="174"/>
        <v>25</v>
      </c>
      <c r="AI74" s="1643">
        <f t="shared" si="174"/>
        <v>25</v>
      </c>
      <c r="AJ74" s="1643">
        <f t="shared" si="174"/>
        <v>25</v>
      </c>
      <c r="AK74" s="1643">
        <f t="shared" si="174"/>
        <v>25</v>
      </c>
      <c r="AL74" s="1642">
        <f t="shared" si="174"/>
        <v>25</v>
      </c>
      <c r="AM74" s="1643">
        <f t="shared" si="174"/>
        <v>25</v>
      </c>
      <c r="AN74" s="1643">
        <f t="shared" si="174"/>
        <v>25</v>
      </c>
      <c r="AO74" s="1643">
        <f t="shared" si="174"/>
        <v>25</v>
      </c>
      <c r="AP74" s="1642">
        <f t="shared" si="174"/>
        <v>25</v>
      </c>
      <c r="AQ74" s="1643">
        <f t="shared" si="174"/>
        <v>25</v>
      </c>
      <c r="AR74" s="1643">
        <f t="shared" si="174"/>
        <v>25</v>
      </c>
      <c r="AS74" s="1643">
        <f t="shared" si="174"/>
        <v>25</v>
      </c>
      <c r="AT74" s="1642">
        <f t="shared" si="174"/>
        <v>25</v>
      </c>
      <c r="AU74" s="1643">
        <f t="shared" si="174"/>
        <v>25</v>
      </c>
      <c r="AV74" s="1643">
        <f t="shared" si="174"/>
        <v>25</v>
      </c>
      <c r="AW74" s="1643">
        <f t="shared" si="174"/>
        <v>25</v>
      </c>
      <c r="AX74" s="1642">
        <f t="shared" si="174"/>
        <v>25</v>
      </c>
      <c r="AY74" s="1643">
        <f t="shared" ref="AY74:BB74" si="175">IF(ISBLANK(AY217),"",AY217)</f>
        <v>25</v>
      </c>
      <c r="AZ74" s="1643">
        <f t="shared" si="175"/>
        <v>25</v>
      </c>
      <c r="BA74" s="1643">
        <f t="shared" si="175"/>
        <v>25</v>
      </c>
      <c r="BB74" s="1642">
        <f t="shared" si="175"/>
        <v>25</v>
      </c>
      <c r="BC74" s="1489"/>
      <c r="BD74" s="1489"/>
      <c r="BE74" s="1489">
        <f>AVERAGE(G74:J74)</f>
        <v>25</v>
      </c>
      <c r="BF74" s="1489">
        <f>AVERAGE(K74:N74)</f>
        <v>25</v>
      </c>
      <c r="BG74" s="1489">
        <f>AVERAGE(O74:R74)</f>
        <v>25</v>
      </c>
      <c r="BH74" s="1489">
        <f>AVERAGE(S74:V74)</f>
        <v>25</v>
      </c>
      <c r="BI74" s="1489">
        <f>AVERAGE(W74:Z74)</f>
        <v>25</v>
      </c>
      <c r="BJ74" s="1489">
        <f>AVERAGE(AA74:AD74)</f>
        <v>25</v>
      </c>
      <c r="BK74" s="1489">
        <f>AVERAGE(AE74:AH74)</f>
        <v>25</v>
      </c>
      <c r="BL74" s="1489">
        <f>AVERAGE(AI74:AL74)</f>
        <v>25</v>
      </c>
      <c r="BM74" s="1489">
        <f>AVERAGE(AM74:AP74)</f>
        <v>25</v>
      </c>
      <c r="BN74" s="1489">
        <f>AVERAGE(AQ74:AT74)</f>
        <v>25</v>
      </c>
      <c r="BO74" s="1489">
        <f>AVERAGE(AU74:AX74)</f>
        <v>25</v>
      </c>
      <c r="BP74" s="1489">
        <f>AVERAGE(AY74:BB74)</f>
        <v>25</v>
      </c>
      <c r="BQ74" s="1489"/>
      <c r="BR74" s="1586"/>
      <c r="BS74" s="1477"/>
      <c r="BV74" s="1444"/>
      <c r="BW74" s="1519" t="str">
        <f t="shared" si="159"/>
        <v>ERCOT South</v>
      </c>
      <c r="BX74" s="1516">
        <f t="shared" si="160"/>
        <v>13048.805132456902</v>
      </c>
      <c r="BY74" s="1525">
        <f>+BY29</f>
        <v>17085.320006303325</v>
      </c>
      <c r="BZ74" s="1525">
        <f t="shared" si="161"/>
        <v>-4036.5148738464231</v>
      </c>
    </row>
    <row r="75" spans="1:78" ht="12.75" customHeight="1">
      <c r="A75" s="1445"/>
      <c r="B75" s="1446"/>
      <c r="C75" s="1649"/>
      <c r="D75" s="1649"/>
      <c r="E75" s="1649"/>
      <c r="F75" s="1651"/>
      <c r="G75" s="1647" t="str">
        <f t="shared" ref="G75:AX75" si="176">IF(ISBLANK(G218),"",G218)</f>
        <v/>
      </c>
      <c r="H75" s="1646" t="str">
        <f t="shared" si="176"/>
        <v/>
      </c>
      <c r="I75" s="1646" t="str">
        <f t="shared" si="176"/>
        <v/>
      </c>
      <c r="J75" s="1645" t="str">
        <f t="shared" si="176"/>
        <v/>
      </c>
      <c r="K75" s="1647" t="str">
        <f t="shared" si="176"/>
        <v/>
      </c>
      <c r="L75" s="1646" t="str">
        <f t="shared" si="176"/>
        <v/>
      </c>
      <c r="M75" s="1646" t="str">
        <f t="shared" si="176"/>
        <v/>
      </c>
      <c r="N75" s="1645" t="str">
        <f t="shared" si="176"/>
        <v/>
      </c>
      <c r="O75" s="1647" t="str">
        <f t="shared" si="176"/>
        <v/>
      </c>
      <c r="P75" s="1646" t="str">
        <f t="shared" si="176"/>
        <v/>
      </c>
      <c r="Q75" s="1646" t="str">
        <f t="shared" si="176"/>
        <v/>
      </c>
      <c r="R75" s="1646" t="str">
        <f t="shared" si="176"/>
        <v/>
      </c>
      <c r="S75" s="1647" t="str">
        <f t="shared" si="176"/>
        <v/>
      </c>
      <c r="T75" s="1643" t="str">
        <f t="shared" si="176"/>
        <v/>
      </c>
      <c r="U75" s="1643" t="str">
        <f t="shared" si="176"/>
        <v/>
      </c>
      <c r="V75" s="1642" t="str">
        <f t="shared" si="176"/>
        <v/>
      </c>
      <c r="W75" s="1643" t="str">
        <f t="shared" si="176"/>
        <v/>
      </c>
      <c r="X75" s="1643" t="str">
        <f t="shared" si="176"/>
        <v/>
      </c>
      <c r="Y75" s="1643" t="str">
        <f t="shared" si="176"/>
        <v/>
      </c>
      <c r="Z75" s="1642" t="str">
        <f t="shared" si="176"/>
        <v/>
      </c>
      <c r="AA75" s="1643" t="str">
        <f t="shared" si="176"/>
        <v/>
      </c>
      <c r="AB75" s="1643" t="str">
        <f t="shared" si="176"/>
        <v/>
      </c>
      <c r="AC75" s="1643" t="str">
        <f t="shared" si="176"/>
        <v/>
      </c>
      <c r="AD75" s="1642" t="str">
        <f t="shared" si="176"/>
        <v/>
      </c>
      <c r="AE75" s="1647" t="str">
        <f t="shared" si="176"/>
        <v/>
      </c>
      <c r="AF75" s="1643" t="str">
        <f t="shared" si="176"/>
        <v/>
      </c>
      <c r="AG75" s="1643" t="str">
        <f t="shared" si="176"/>
        <v/>
      </c>
      <c r="AH75" s="1642" t="str">
        <f t="shared" si="176"/>
        <v/>
      </c>
      <c r="AI75" s="1643" t="str">
        <f t="shared" si="176"/>
        <v/>
      </c>
      <c r="AJ75" s="1643" t="str">
        <f t="shared" si="176"/>
        <v/>
      </c>
      <c r="AK75" s="1643" t="str">
        <f t="shared" si="176"/>
        <v/>
      </c>
      <c r="AL75" s="1642" t="str">
        <f t="shared" si="176"/>
        <v/>
      </c>
      <c r="AM75" s="1643" t="str">
        <f t="shared" si="176"/>
        <v/>
      </c>
      <c r="AN75" s="1643" t="str">
        <f t="shared" si="176"/>
        <v/>
      </c>
      <c r="AO75" s="1643" t="str">
        <f t="shared" si="176"/>
        <v/>
      </c>
      <c r="AP75" s="1642" t="str">
        <f t="shared" si="176"/>
        <v/>
      </c>
      <c r="AQ75" s="1643" t="str">
        <f t="shared" si="176"/>
        <v/>
      </c>
      <c r="AR75" s="1643" t="str">
        <f t="shared" si="176"/>
        <v/>
      </c>
      <c r="AS75" s="1643" t="str">
        <f t="shared" si="176"/>
        <v/>
      </c>
      <c r="AT75" s="1642" t="str">
        <f t="shared" si="176"/>
        <v/>
      </c>
      <c r="AU75" s="1643" t="str">
        <f t="shared" si="176"/>
        <v/>
      </c>
      <c r="AV75" s="1643" t="str">
        <f t="shared" si="176"/>
        <v/>
      </c>
      <c r="AW75" s="1643" t="str">
        <f t="shared" si="176"/>
        <v/>
      </c>
      <c r="AX75" s="1642" t="str">
        <f t="shared" si="176"/>
        <v/>
      </c>
      <c r="AY75" s="1643" t="str">
        <f t="shared" ref="AY75:BB75" si="177">IF(ISBLANK(AY218),"",AY218)</f>
        <v/>
      </c>
      <c r="AZ75" s="1643" t="str">
        <f t="shared" si="177"/>
        <v/>
      </c>
      <c r="BA75" s="1643" t="str">
        <f t="shared" si="177"/>
        <v/>
      </c>
      <c r="BB75" s="1642" t="str">
        <f t="shared" si="177"/>
        <v/>
      </c>
      <c r="BC75" s="1489"/>
      <c r="BD75" s="1489"/>
      <c r="BE75" s="1489"/>
      <c r="BF75" s="1489"/>
      <c r="BG75" s="1489"/>
      <c r="BH75" s="1499"/>
      <c r="BI75" s="1499"/>
      <c r="BJ75" s="1499"/>
      <c r="BK75" s="1499"/>
      <c r="BL75" s="1499"/>
      <c r="BM75" s="1499"/>
      <c r="BN75" s="1499"/>
      <c r="BO75" s="1499"/>
      <c r="BP75" s="1499"/>
      <c r="BQ75" s="1499"/>
      <c r="BR75" s="1586"/>
      <c r="BS75" s="1511"/>
      <c r="BV75" s="1444"/>
      <c r="BW75" s="1443"/>
      <c r="BX75" s="1443"/>
      <c r="BY75" s="1443"/>
    </row>
    <row r="76" spans="1:78" ht="12.75" customHeight="1">
      <c r="A76" s="1445"/>
      <c r="B76" s="1446"/>
      <c r="C76" s="1649"/>
      <c r="D76" s="1649"/>
      <c r="E76" s="1649"/>
      <c r="F76" s="1651"/>
      <c r="G76" s="1653" t="str">
        <f t="shared" ref="G76:AX76" si="178">IF(ISBLANK(G219),"",G219)</f>
        <v/>
      </c>
      <c r="H76" s="1654" t="str">
        <f t="shared" si="178"/>
        <v/>
      </c>
      <c r="I76" s="1654" t="str">
        <f t="shared" si="178"/>
        <v/>
      </c>
      <c r="J76" s="1655" t="str">
        <f t="shared" si="178"/>
        <v/>
      </c>
      <c r="K76" s="1653" t="str">
        <f t="shared" si="178"/>
        <v/>
      </c>
      <c r="L76" s="1654" t="str">
        <f t="shared" si="178"/>
        <v/>
      </c>
      <c r="M76" s="1654" t="str">
        <f t="shared" si="178"/>
        <v/>
      </c>
      <c r="N76" s="1655" t="str">
        <f t="shared" si="178"/>
        <v/>
      </c>
      <c r="O76" s="1653" t="str">
        <f t="shared" si="178"/>
        <v/>
      </c>
      <c r="P76" s="1654" t="str">
        <f t="shared" si="178"/>
        <v/>
      </c>
      <c r="Q76" s="1654" t="str">
        <f t="shared" si="178"/>
        <v/>
      </c>
      <c r="R76" s="1654" t="str">
        <f t="shared" si="178"/>
        <v/>
      </c>
      <c r="S76" s="1668" t="str">
        <f t="shared" si="178"/>
        <v/>
      </c>
      <c r="T76" s="1656" t="str">
        <f t="shared" si="178"/>
        <v/>
      </c>
      <c r="U76" s="1656" t="str">
        <f t="shared" si="178"/>
        <v/>
      </c>
      <c r="V76" s="1658" t="str">
        <f t="shared" si="178"/>
        <v/>
      </c>
      <c r="W76" s="1656" t="str">
        <f t="shared" si="178"/>
        <v/>
      </c>
      <c r="X76" s="1656" t="str">
        <f t="shared" si="178"/>
        <v/>
      </c>
      <c r="Y76" s="1656" t="str">
        <f t="shared" si="178"/>
        <v/>
      </c>
      <c r="Z76" s="1659" t="str">
        <f t="shared" si="178"/>
        <v/>
      </c>
      <c r="AA76" s="1656" t="str">
        <f t="shared" si="178"/>
        <v/>
      </c>
      <c r="AB76" s="1656" t="str">
        <f t="shared" si="178"/>
        <v/>
      </c>
      <c r="AC76" s="1656" t="str">
        <f t="shared" si="178"/>
        <v/>
      </c>
      <c r="AD76" s="1659" t="str">
        <f t="shared" si="178"/>
        <v/>
      </c>
      <c r="AE76" s="1668" t="str">
        <f t="shared" si="178"/>
        <v/>
      </c>
      <c r="AF76" s="1660" t="str">
        <f t="shared" si="178"/>
        <v/>
      </c>
      <c r="AG76" s="1660" t="str">
        <f t="shared" si="178"/>
        <v/>
      </c>
      <c r="AH76" s="1659" t="str">
        <f t="shared" si="178"/>
        <v/>
      </c>
      <c r="AI76" s="1660" t="str">
        <f t="shared" si="178"/>
        <v/>
      </c>
      <c r="AJ76" s="1660" t="str">
        <f t="shared" si="178"/>
        <v/>
      </c>
      <c r="AK76" s="1660" t="str">
        <f t="shared" si="178"/>
        <v/>
      </c>
      <c r="AL76" s="1659" t="str">
        <f t="shared" si="178"/>
        <v/>
      </c>
      <c r="AM76" s="1660" t="str">
        <f t="shared" si="178"/>
        <v/>
      </c>
      <c r="AN76" s="1660" t="str">
        <f t="shared" si="178"/>
        <v/>
      </c>
      <c r="AO76" s="1660" t="str">
        <f t="shared" si="178"/>
        <v/>
      </c>
      <c r="AP76" s="1659" t="str">
        <f t="shared" si="178"/>
        <v/>
      </c>
      <c r="AQ76" s="1660" t="str">
        <f t="shared" si="178"/>
        <v/>
      </c>
      <c r="AR76" s="1660" t="str">
        <f t="shared" si="178"/>
        <v/>
      </c>
      <c r="AS76" s="1660" t="str">
        <f t="shared" si="178"/>
        <v/>
      </c>
      <c r="AT76" s="1659" t="str">
        <f t="shared" si="178"/>
        <v/>
      </c>
      <c r="AU76" s="1660" t="str">
        <f t="shared" si="178"/>
        <v/>
      </c>
      <c r="AV76" s="1660" t="str">
        <f t="shared" si="178"/>
        <v/>
      </c>
      <c r="AW76" s="1660" t="str">
        <f t="shared" si="178"/>
        <v/>
      </c>
      <c r="AX76" s="1659" t="str">
        <f t="shared" si="178"/>
        <v/>
      </c>
      <c r="AY76" s="1660" t="str">
        <f t="shared" ref="AY76:BB76" si="179">IF(ISBLANK(AY219),"",AY219)</f>
        <v/>
      </c>
      <c r="AZ76" s="1660" t="str">
        <f t="shared" si="179"/>
        <v/>
      </c>
      <c r="BA76" s="1660" t="str">
        <f t="shared" si="179"/>
        <v/>
      </c>
      <c r="BB76" s="1659" t="str">
        <f t="shared" si="179"/>
        <v/>
      </c>
      <c r="BC76" s="1494"/>
      <c r="BD76" s="1494"/>
      <c r="BE76" s="1494"/>
      <c r="BF76" s="1494"/>
      <c r="BG76" s="1494"/>
      <c r="BH76" s="1494"/>
      <c r="BI76" s="1494"/>
      <c r="BJ76" s="1494"/>
      <c r="BK76" s="1494"/>
      <c r="BL76" s="1494"/>
      <c r="BM76" s="1494"/>
      <c r="BN76" s="1494"/>
      <c r="BO76" s="1494"/>
      <c r="BP76" s="1494"/>
      <c r="BQ76" s="1494"/>
      <c r="BR76" s="1476"/>
      <c r="BS76" s="1511"/>
      <c r="BV76" s="1444"/>
      <c r="BW76" s="1519" t="str">
        <f>C57</f>
        <v>PJM West / Tetco M3</v>
      </c>
      <c r="BX76" s="1522">
        <f>BP57</f>
        <v>-0.25000000000000011</v>
      </c>
      <c r="BY76" s="1522">
        <f>$BY$58</f>
        <v>-0.25</v>
      </c>
      <c r="BZ76" s="1525">
        <f>+BX76-BY76</f>
        <v>0</v>
      </c>
    </row>
    <row r="77" spans="1:78" ht="12.75" customHeight="1">
      <c r="A77" s="1445"/>
      <c r="B77" s="1446"/>
      <c r="C77" s="1661" t="s">
        <v>896</v>
      </c>
      <c r="D77" s="1546"/>
      <c r="E77" s="1546"/>
      <c r="F77" s="1498"/>
      <c r="G77" s="1647" t="str">
        <f t="shared" ref="G77:AX77" si="180">IF(ISBLANK(G220),"",G220)</f>
        <v/>
      </c>
      <c r="H77" s="1646" t="str">
        <f t="shared" si="180"/>
        <v/>
      </c>
      <c r="I77" s="1646" t="str">
        <f t="shared" si="180"/>
        <v/>
      </c>
      <c r="J77" s="1645" t="str">
        <f t="shared" si="180"/>
        <v/>
      </c>
      <c r="K77" s="1647" t="str">
        <f t="shared" si="180"/>
        <v/>
      </c>
      <c r="L77" s="1646" t="str">
        <f t="shared" si="180"/>
        <v/>
      </c>
      <c r="M77" s="1646" t="str">
        <f t="shared" si="180"/>
        <v/>
      </c>
      <c r="N77" s="1645" t="str">
        <f t="shared" si="180"/>
        <v/>
      </c>
      <c r="O77" s="1647" t="str">
        <f t="shared" si="180"/>
        <v/>
      </c>
      <c r="P77" s="1646" t="str">
        <f t="shared" si="180"/>
        <v/>
      </c>
      <c r="Q77" s="1646" t="str">
        <f t="shared" si="180"/>
        <v/>
      </c>
      <c r="R77" s="1646" t="str">
        <f t="shared" si="180"/>
        <v/>
      </c>
      <c r="S77" s="1647" t="str">
        <f t="shared" si="180"/>
        <v/>
      </c>
      <c r="T77" s="1643" t="str">
        <f t="shared" si="180"/>
        <v/>
      </c>
      <c r="U77" s="1643" t="str">
        <f t="shared" si="180"/>
        <v/>
      </c>
      <c r="V77" s="1642" t="str">
        <f t="shared" si="180"/>
        <v/>
      </c>
      <c r="W77" s="1643" t="str">
        <f t="shared" si="180"/>
        <v/>
      </c>
      <c r="X77" s="1643" t="str">
        <f t="shared" si="180"/>
        <v/>
      </c>
      <c r="Y77" s="1643" t="str">
        <f t="shared" si="180"/>
        <v/>
      </c>
      <c r="Z77" s="1642" t="str">
        <f t="shared" si="180"/>
        <v/>
      </c>
      <c r="AA77" s="1643" t="str">
        <f t="shared" si="180"/>
        <v/>
      </c>
      <c r="AB77" s="1643" t="str">
        <f t="shared" si="180"/>
        <v/>
      </c>
      <c r="AC77" s="1643" t="str">
        <f t="shared" si="180"/>
        <v/>
      </c>
      <c r="AD77" s="1642" t="str">
        <f t="shared" si="180"/>
        <v/>
      </c>
      <c r="AE77" s="1647" t="str">
        <f t="shared" si="180"/>
        <v/>
      </c>
      <c r="AF77" s="1643" t="str">
        <f t="shared" si="180"/>
        <v/>
      </c>
      <c r="AG77" s="1643" t="str">
        <f t="shared" si="180"/>
        <v/>
      </c>
      <c r="AH77" s="1642" t="str">
        <f t="shared" si="180"/>
        <v/>
      </c>
      <c r="AI77" s="1643" t="str">
        <f t="shared" si="180"/>
        <v/>
      </c>
      <c r="AJ77" s="1643" t="str">
        <f t="shared" si="180"/>
        <v/>
      </c>
      <c r="AK77" s="1643" t="str">
        <f t="shared" si="180"/>
        <v/>
      </c>
      <c r="AL77" s="1642" t="str">
        <f t="shared" si="180"/>
        <v/>
      </c>
      <c r="AM77" s="1643" t="str">
        <f t="shared" si="180"/>
        <v/>
      </c>
      <c r="AN77" s="1643" t="str">
        <f t="shared" si="180"/>
        <v/>
      </c>
      <c r="AO77" s="1643" t="str">
        <f t="shared" si="180"/>
        <v/>
      </c>
      <c r="AP77" s="1642" t="str">
        <f t="shared" si="180"/>
        <v/>
      </c>
      <c r="AQ77" s="1643" t="str">
        <f t="shared" si="180"/>
        <v/>
      </c>
      <c r="AR77" s="1643" t="str">
        <f t="shared" si="180"/>
        <v/>
      </c>
      <c r="AS77" s="1643" t="str">
        <f t="shared" si="180"/>
        <v/>
      </c>
      <c r="AT77" s="1642" t="str">
        <f t="shared" si="180"/>
        <v/>
      </c>
      <c r="AU77" s="1643" t="str">
        <f t="shared" si="180"/>
        <v/>
      </c>
      <c r="AV77" s="1643" t="str">
        <f t="shared" si="180"/>
        <v/>
      </c>
      <c r="AW77" s="1643" t="str">
        <f t="shared" si="180"/>
        <v/>
      </c>
      <c r="AX77" s="1642" t="str">
        <f t="shared" si="180"/>
        <v/>
      </c>
      <c r="AY77" s="1643" t="str">
        <f t="shared" ref="AY77:BB77" si="181">IF(ISBLANK(AY220),"",AY220)</f>
        <v/>
      </c>
      <c r="AZ77" s="1643" t="str">
        <f t="shared" si="181"/>
        <v/>
      </c>
      <c r="BA77" s="1643" t="str">
        <f t="shared" si="181"/>
        <v/>
      </c>
      <c r="BB77" s="1642" t="str">
        <f t="shared" si="181"/>
        <v/>
      </c>
      <c r="BC77" s="1489"/>
      <c r="BD77" s="1489"/>
      <c r="BE77" s="1489"/>
      <c r="BF77" s="1489"/>
      <c r="BG77" s="1489"/>
      <c r="BH77" s="1489"/>
      <c r="BI77" s="1489"/>
      <c r="BJ77" s="1489"/>
      <c r="BK77" s="1489"/>
      <c r="BL77" s="1489"/>
      <c r="BM77" s="1489"/>
      <c r="BN77" s="1489"/>
      <c r="BO77" s="1489"/>
      <c r="BP77" s="1489"/>
      <c r="BQ77" s="1489"/>
      <c r="BR77" s="1586"/>
      <c r="BS77" s="1511"/>
      <c r="BV77" s="1444"/>
      <c r="BW77" s="1519" t="str">
        <f>C58</f>
        <v>PJM East / Tetco M3</v>
      </c>
      <c r="BX77" s="1522">
        <f>BP58</f>
        <v>-0.25000000000000011</v>
      </c>
      <c r="BY77" s="1522">
        <f>$BY$58</f>
        <v>-0.25</v>
      </c>
      <c r="BZ77" s="1525">
        <f>+BX77-BY77</f>
        <v>0</v>
      </c>
    </row>
    <row r="78" spans="1:78" ht="12.75" customHeight="1">
      <c r="A78" s="1445"/>
      <c r="B78" s="1446"/>
      <c r="C78" s="1649" t="s">
        <v>803</v>
      </c>
      <c r="D78" s="1649"/>
      <c r="E78" s="1649"/>
      <c r="F78" s="1651"/>
      <c r="G78" s="1677">
        <f t="shared" ref="G78:AX78" si="182">IF(ISBLANK(G221),"",G221)</f>
        <v>8801.5691509389981</v>
      </c>
      <c r="H78" s="1678">
        <f t="shared" si="182"/>
        <v>10939.694023823055</v>
      </c>
      <c r="I78" s="1678">
        <f t="shared" si="182"/>
        <v>14421.989330928911</v>
      </c>
      <c r="J78" s="1679">
        <f t="shared" si="182"/>
        <v>8861.0131998359921</v>
      </c>
      <c r="K78" s="1677">
        <f t="shared" si="182"/>
        <v>9167.0595922106477</v>
      </c>
      <c r="L78" s="1678">
        <f t="shared" si="182"/>
        <v>10189.12960248709</v>
      </c>
      <c r="M78" s="1678">
        <f t="shared" si="182"/>
        <v>11710.045508691945</v>
      </c>
      <c r="N78" s="1679">
        <f t="shared" si="182"/>
        <v>11336.882768537926</v>
      </c>
      <c r="O78" s="1677">
        <f t="shared" si="182"/>
        <v>10207.718317800258</v>
      </c>
      <c r="P78" s="1678">
        <f t="shared" si="182"/>
        <v>13937.121379905617</v>
      </c>
      <c r="Q78" s="1678">
        <f t="shared" si="182"/>
        <v>15132.551384701612</v>
      </c>
      <c r="R78" s="1678">
        <f t="shared" si="182"/>
        <v>12963.880511989042</v>
      </c>
      <c r="S78" s="1677">
        <f t="shared" si="182"/>
        <v>11474.979818138521</v>
      </c>
      <c r="T78" s="1678">
        <f t="shared" si="182"/>
        <v>10402.131258701407</v>
      </c>
      <c r="U78" s="1678">
        <f t="shared" si="182"/>
        <v>14595.99188276675</v>
      </c>
      <c r="V78" s="1678">
        <f t="shared" si="182"/>
        <v>15599.608908418337</v>
      </c>
      <c r="W78" s="1677">
        <f t="shared" si="182"/>
        <v>9818.857351275652</v>
      </c>
      <c r="X78" s="1678">
        <f t="shared" si="182"/>
        <v>11887.120339338082</v>
      </c>
      <c r="Y78" s="1825">
        <f t="shared" si="182"/>
        <v>15922.771678283798</v>
      </c>
      <c r="Z78" s="1826">
        <f t="shared" si="182"/>
        <v>15026.318812665288</v>
      </c>
      <c r="AA78" s="1677">
        <f t="shared" si="182"/>
        <v>9835.9779023649571</v>
      </c>
      <c r="AB78" s="1678">
        <f t="shared" si="182"/>
        <v>11407.233144218615</v>
      </c>
      <c r="AC78" s="1825">
        <f t="shared" si="182"/>
        <v>18666.071155473397</v>
      </c>
      <c r="AD78" s="1826">
        <f t="shared" si="182"/>
        <v>17315.33127145606</v>
      </c>
      <c r="AE78" s="1677">
        <f t="shared" si="182"/>
        <v>12206.386279703562</v>
      </c>
      <c r="AF78" s="1680">
        <f t="shared" si="182"/>
        <v>16621.31367909328</v>
      </c>
      <c r="AG78" s="1680">
        <f t="shared" si="182"/>
        <v>22288.404958475618</v>
      </c>
      <c r="AH78" s="1681">
        <f t="shared" si="182"/>
        <v>14434.588536316558</v>
      </c>
      <c r="AI78" s="1680">
        <f t="shared" si="182"/>
        <v>10264.218099859183</v>
      </c>
      <c r="AJ78" s="1680">
        <f t="shared" si="182"/>
        <v>12389.285901147583</v>
      </c>
      <c r="AK78" s="1680">
        <f t="shared" si="182"/>
        <v>13153.218506204936</v>
      </c>
      <c r="AL78" s="1681">
        <f t="shared" si="182"/>
        <v>14925.254225358662</v>
      </c>
      <c r="AM78" s="1680">
        <f t="shared" si="182"/>
        <v>7994.7887216424933</v>
      </c>
      <c r="AN78" s="1680">
        <f t="shared" si="182"/>
        <v>13122.990353697749</v>
      </c>
      <c r="AO78" s="1680">
        <f t="shared" si="182"/>
        <v>14125.083166999331</v>
      </c>
      <c r="AP78" s="1681">
        <f t="shared" si="182"/>
        <v>13408.970976253298</v>
      </c>
      <c r="AQ78" s="1680">
        <f t="shared" si="182"/>
        <v>16121.702235183328</v>
      </c>
      <c r="AR78" s="1680">
        <f t="shared" si="182"/>
        <v>17104.044129356756</v>
      </c>
      <c r="AS78" s="1680">
        <f t="shared" si="182"/>
        <v>21029.097168692006</v>
      </c>
      <c r="AT78" s="1681">
        <f t="shared" si="182"/>
        <v>8461.414086437906</v>
      </c>
      <c r="AU78" s="1680">
        <f t="shared" si="182"/>
        <v>15860.467045238278</v>
      </c>
      <c r="AV78" s="1680">
        <f t="shared" si="182"/>
        <v>16826.891124557431</v>
      </c>
      <c r="AW78" s="1680">
        <f t="shared" si="182"/>
        <v>20688.34281700529</v>
      </c>
      <c r="AX78" s="1681">
        <f t="shared" si="182"/>
        <v>8324.3057908107585</v>
      </c>
      <c r="AY78" s="1680">
        <f t="shared" ref="AY78:BB78" si="183">IF(ISBLANK(AY221),"",AY221)</f>
        <v>15390.53594374832</v>
      </c>
      <c r="AZ78" s="1680">
        <f t="shared" si="183"/>
        <v>16328.325763382341</v>
      </c>
      <c r="BA78" s="1680">
        <f t="shared" si="183"/>
        <v>20075.366181432888</v>
      </c>
      <c r="BB78" s="1681">
        <f t="shared" si="183"/>
        <v>8077.6642399499096</v>
      </c>
      <c r="BC78" s="1529"/>
      <c r="BD78" s="1529"/>
      <c r="BE78" s="1529">
        <f t="shared" ref="BE78:BE93" si="184">AVERAGE(G78:J78)</f>
        <v>10756.06642638174</v>
      </c>
      <c r="BF78" s="1529">
        <f t="shared" ref="BF78:BF93" si="185">AVERAGE(K78:N78)</f>
        <v>10600.779367981901</v>
      </c>
      <c r="BG78" s="1529">
        <f t="shared" ref="BG78:BG93" si="186">AVERAGE(O78:R78)</f>
        <v>13060.317898599133</v>
      </c>
      <c r="BH78" s="1529">
        <f t="shared" ref="BH78:BH93" si="187">AVERAGE(S78:V78)</f>
        <v>13018.177967006253</v>
      </c>
      <c r="BI78" s="1529">
        <f t="shared" ref="BI78:BI93" si="188">AVERAGE(W78:Z78)</f>
        <v>13163.767045390705</v>
      </c>
      <c r="BJ78" s="1529">
        <f t="shared" ref="BJ78:BJ93" si="189">AVERAGE(AA78:AD78)</f>
        <v>14306.153368378258</v>
      </c>
      <c r="BK78" s="1529">
        <f t="shared" ref="BK78:BK93" si="190">AVERAGE(AE78:AH78)</f>
        <v>16387.673363397254</v>
      </c>
      <c r="BL78" s="1529">
        <f t="shared" ref="BL78:BL93" si="191">AVERAGE(AI78:AL78)</f>
        <v>12682.994183142589</v>
      </c>
      <c r="BM78" s="1529">
        <f t="shared" ref="BM78:BM93" si="192">AVERAGE(AM78:AP78)</f>
        <v>12162.958304648218</v>
      </c>
      <c r="BN78" s="1529">
        <f t="shared" ref="BN78:BN93" si="193">AVERAGE(AQ78:AT78)</f>
        <v>15679.064404917501</v>
      </c>
      <c r="BO78" s="1529">
        <f t="shared" ref="BO78:BO93" si="194">AVERAGE(AU78:AX78)</f>
        <v>15425.001694402939</v>
      </c>
      <c r="BP78" s="1529">
        <f t="shared" ref="BP78:BP93" si="195">AVERAGE(AY78:BB78)</f>
        <v>14967.973032128364</v>
      </c>
      <c r="BQ78" s="1529"/>
      <c r="BR78" s="1587"/>
      <c r="BS78" s="1530"/>
      <c r="BV78" s="1444"/>
      <c r="BW78" s="1519" t="str">
        <f>C59</f>
        <v>AEP-Dayton / Tetco M3</v>
      </c>
      <c r="BX78" s="1522">
        <f>BP59</f>
        <v>-0.25</v>
      </c>
      <c r="BY78" s="1522">
        <f>$BY$58</f>
        <v>-0.25</v>
      </c>
      <c r="BZ78" s="1525">
        <f>+BX78-BY78</f>
        <v>0</v>
      </c>
    </row>
    <row r="79" spans="1:78" ht="12.75" customHeight="1">
      <c r="A79" s="1445"/>
      <c r="B79" s="1446"/>
      <c r="C79" s="1649" t="s">
        <v>804</v>
      </c>
      <c r="D79" s="1649"/>
      <c r="E79" s="1649"/>
      <c r="F79" s="1651"/>
      <c r="G79" s="1677">
        <f t="shared" ref="G79:AX79" si="196">IF(ISBLANK(G222),"",G222)</f>
        <v>6412.1294171203144</v>
      </c>
      <c r="H79" s="1678">
        <f t="shared" si="196"/>
        <v>9234.2721012697057</v>
      </c>
      <c r="I79" s="1678">
        <f t="shared" si="196"/>
        <v>11593.947010070106</v>
      </c>
      <c r="J79" s="1679">
        <f t="shared" si="196"/>
        <v>7986.3843661035107</v>
      </c>
      <c r="K79" s="1677">
        <f t="shared" si="196"/>
        <v>6840.1396780303039</v>
      </c>
      <c r="L79" s="1678">
        <f t="shared" si="196"/>
        <v>9130.7265133667552</v>
      </c>
      <c r="M79" s="1678">
        <f t="shared" si="196"/>
        <v>10816.593582639658</v>
      </c>
      <c r="N79" s="1679">
        <f t="shared" si="196"/>
        <v>10282.027240426369</v>
      </c>
      <c r="O79" s="1677">
        <f t="shared" si="196"/>
        <v>11040.263568617833</v>
      </c>
      <c r="P79" s="1678">
        <f t="shared" si="196"/>
        <v>14052.827281024129</v>
      </c>
      <c r="Q79" s="1678">
        <f t="shared" si="196"/>
        <v>13593.795584312746</v>
      </c>
      <c r="R79" s="1678">
        <f t="shared" si="196"/>
        <v>10650.641750476832</v>
      </c>
      <c r="S79" s="1677">
        <f t="shared" si="196"/>
        <v>10613.332343739214</v>
      </c>
      <c r="T79" s="1678">
        <f t="shared" si="196"/>
        <v>9814.6604717116315</v>
      </c>
      <c r="U79" s="1678">
        <f t="shared" si="196"/>
        <v>15217.027511328975</v>
      </c>
      <c r="V79" s="1678">
        <f t="shared" si="196"/>
        <v>11622.060695219723</v>
      </c>
      <c r="W79" s="1677">
        <f t="shared" si="196"/>
        <v>8339.8677320762581</v>
      </c>
      <c r="X79" s="1678">
        <f t="shared" si="196"/>
        <v>12089.696865123291</v>
      </c>
      <c r="Y79" s="1825">
        <f t="shared" si="196"/>
        <v>17008.913404698229</v>
      </c>
      <c r="Z79" s="1826">
        <f t="shared" si="196"/>
        <v>14242.244323975263</v>
      </c>
      <c r="AA79" s="1677">
        <f t="shared" si="196"/>
        <v>8245.126379457306</v>
      </c>
      <c r="AB79" s="1678">
        <f t="shared" si="196"/>
        <v>23636.495062483507</v>
      </c>
      <c r="AC79" s="1825">
        <f t="shared" si="196"/>
        <v>29559.964278835214</v>
      </c>
      <c r="AD79" s="1826">
        <f t="shared" si="196"/>
        <v>26840.274598772085</v>
      </c>
      <c r="AE79" s="1677">
        <f t="shared" si="196"/>
        <v>16770.720038090938</v>
      </c>
      <c r="AF79" s="1680">
        <f t="shared" si="196"/>
        <v>22601.852674604575</v>
      </c>
      <c r="AG79" s="1680">
        <f t="shared" si="196"/>
        <v>34191.352496551095</v>
      </c>
      <c r="AH79" s="1681">
        <f t="shared" si="196"/>
        <v>12233.948471734455</v>
      </c>
      <c r="AI79" s="1680">
        <f t="shared" si="196"/>
        <v>9237.5699548947559</v>
      </c>
      <c r="AJ79" s="1680">
        <f t="shared" si="196"/>
        <v>13374.181331245492</v>
      </c>
      <c r="AK79" s="1680">
        <f t="shared" si="196"/>
        <v>19942.594548815701</v>
      </c>
      <c r="AL79" s="1681">
        <f t="shared" si="196"/>
        <v>12811.212946664498</v>
      </c>
      <c r="AM79" s="1680">
        <f t="shared" si="196"/>
        <v>5561.1264063691815</v>
      </c>
      <c r="AN79" s="1680">
        <f t="shared" si="196"/>
        <v>16904.797713941942</v>
      </c>
      <c r="AO79" s="1680">
        <f t="shared" si="196"/>
        <v>15195.195195195192</v>
      </c>
      <c r="AP79" s="1681">
        <f t="shared" si="196"/>
        <v>14065.797641216635</v>
      </c>
      <c r="AQ79" s="1680">
        <f t="shared" si="196"/>
        <v>14527.253857531297</v>
      </c>
      <c r="AR79" s="1680">
        <f t="shared" si="196"/>
        <v>19603.903225075555</v>
      </c>
      <c r="AS79" s="1680">
        <f t="shared" si="196"/>
        <v>17640.554959788038</v>
      </c>
      <c r="AT79" s="1681">
        <f t="shared" si="196"/>
        <v>7417.7739790369633</v>
      </c>
      <c r="AU79" s="1680">
        <f t="shared" si="196"/>
        <v>14642.155761170308</v>
      </c>
      <c r="AV79" s="1680">
        <f t="shared" si="196"/>
        <v>19758.958393891811</v>
      </c>
      <c r="AW79" s="1680">
        <f t="shared" si="196"/>
        <v>17780.081216161496</v>
      </c>
      <c r="AX79" s="1681">
        <f t="shared" si="196"/>
        <v>7476.4441419813102</v>
      </c>
      <c r="AY79" s="1680">
        <f t="shared" ref="AY79:BB79" si="197">IF(ISBLANK(AY222),"",AY222)</f>
        <v>14513.506709443927</v>
      </c>
      <c r="AZ79" s="1680">
        <f t="shared" si="197"/>
        <v>19585.352040979196</v>
      </c>
      <c r="BA79" s="1680">
        <f t="shared" si="197"/>
        <v>17623.861693204144</v>
      </c>
      <c r="BB79" s="1681">
        <f t="shared" si="197"/>
        <v>7410.7545355572447</v>
      </c>
      <c r="BC79" s="1529"/>
      <c r="BD79" s="1529"/>
      <c r="BE79" s="1529">
        <f t="shared" si="184"/>
        <v>8806.68322364091</v>
      </c>
      <c r="BF79" s="1529">
        <f t="shared" si="185"/>
        <v>9267.371753615771</v>
      </c>
      <c r="BG79" s="1529">
        <f t="shared" si="186"/>
        <v>12334.382046107885</v>
      </c>
      <c r="BH79" s="1529">
        <f t="shared" si="187"/>
        <v>11816.770255499887</v>
      </c>
      <c r="BI79" s="1529">
        <f t="shared" si="188"/>
        <v>12920.180581468259</v>
      </c>
      <c r="BJ79" s="1529">
        <f t="shared" si="189"/>
        <v>22070.465079887028</v>
      </c>
      <c r="BK79" s="1529">
        <f t="shared" si="190"/>
        <v>21449.468420245266</v>
      </c>
      <c r="BL79" s="1529">
        <f t="shared" si="191"/>
        <v>13841.389695405112</v>
      </c>
      <c r="BM79" s="1529">
        <f t="shared" si="192"/>
        <v>12931.729239180739</v>
      </c>
      <c r="BN79" s="1529">
        <f t="shared" si="193"/>
        <v>14797.371505357962</v>
      </c>
      <c r="BO79" s="1529">
        <f t="shared" si="194"/>
        <v>14914.40987830123</v>
      </c>
      <c r="BP79" s="1529">
        <f t="shared" si="195"/>
        <v>14783.368744796129</v>
      </c>
      <c r="BQ79" s="1529"/>
      <c r="BR79" s="1587"/>
      <c r="BS79" s="1477"/>
      <c r="BV79" s="1444"/>
    </row>
    <row r="80" spans="1:78" ht="12.75" customHeight="1">
      <c r="A80" s="1445"/>
      <c r="B80" s="1446"/>
      <c r="C80" s="1649" t="s">
        <v>805</v>
      </c>
      <c r="D80" s="1649"/>
      <c r="E80" s="1649"/>
      <c r="F80" s="1651"/>
      <c r="G80" s="1677">
        <f t="shared" ref="G80:AX80" si="198">IF(ISBLANK(G223),"",G223)</f>
        <v>8661.4231642287741</v>
      </c>
      <c r="H80" s="1678">
        <f t="shared" si="198"/>
        <v>11733.472288175466</v>
      </c>
      <c r="I80" s="1678">
        <f t="shared" si="198"/>
        <v>15567.424976285371</v>
      </c>
      <c r="J80" s="1679">
        <f t="shared" si="198"/>
        <v>9467.1210998981551</v>
      </c>
      <c r="K80" s="1677">
        <f t="shared" si="198"/>
        <v>8811.5559963805918</v>
      </c>
      <c r="L80" s="1678">
        <f t="shared" si="198"/>
        <v>11833.163129494042</v>
      </c>
      <c r="M80" s="1678">
        <f t="shared" si="198"/>
        <v>13749.375769400505</v>
      </c>
      <c r="N80" s="1679">
        <f t="shared" si="198"/>
        <v>11401.789212415018</v>
      </c>
      <c r="O80" s="1677">
        <f t="shared" si="198"/>
        <v>10858.411061353236</v>
      </c>
      <c r="P80" s="1678">
        <f t="shared" si="198"/>
        <v>17096.327622236855</v>
      </c>
      <c r="Q80" s="1678">
        <f t="shared" si="198"/>
        <v>16321.388541509912</v>
      </c>
      <c r="R80" s="1678">
        <f t="shared" si="198"/>
        <v>11936.102955529621</v>
      </c>
      <c r="S80" s="1677">
        <f t="shared" si="198"/>
        <v>9200.0602031750641</v>
      </c>
      <c r="T80" s="1678">
        <f t="shared" si="198"/>
        <v>10943.30469533352</v>
      </c>
      <c r="U80" s="1678">
        <f t="shared" si="198"/>
        <v>16839.305638511436</v>
      </c>
      <c r="V80" s="1678">
        <f t="shared" si="198"/>
        <v>11507.281614895146</v>
      </c>
      <c r="W80" s="1677">
        <f t="shared" si="198"/>
        <v>8513.2984461369888</v>
      </c>
      <c r="X80" s="1678">
        <f t="shared" si="198"/>
        <v>12214.306661080853</v>
      </c>
      <c r="Y80" s="1825">
        <f t="shared" si="198"/>
        <v>15533.074957564382</v>
      </c>
      <c r="Z80" s="1826">
        <f t="shared" si="198"/>
        <v>13169.174296902111</v>
      </c>
      <c r="AA80" s="1677">
        <f t="shared" si="198"/>
        <v>8752.0153850948955</v>
      </c>
      <c r="AB80" s="1678">
        <f t="shared" si="198"/>
        <v>13044.571585464208</v>
      </c>
      <c r="AC80" s="1825">
        <f t="shared" si="198"/>
        <v>16897.690788927091</v>
      </c>
      <c r="AD80" s="1826">
        <f t="shared" si="198"/>
        <v>14276.849559241589</v>
      </c>
      <c r="AE80" s="1677">
        <f t="shared" si="198"/>
        <v>12408.032404772037</v>
      </c>
      <c r="AF80" s="1680">
        <f t="shared" si="198"/>
        <v>16600.643581221062</v>
      </c>
      <c r="AG80" s="1680">
        <f t="shared" si="198"/>
        <v>20653.382464404767</v>
      </c>
      <c r="AH80" s="1681">
        <f t="shared" si="198"/>
        <v>13059.678246218231</v>
      </c>
      <c r="AI80" s="1680">
        <f t="shared" si="198"/>
        <v>10564.639678870024</v>
      </c>
      <c r="AJ80" s="1680">
        <f t="shared" si="198"/>
        <v>12417.855523387629</v>
      </c>
      <c r="AK80" s="1680">
        <f t="shared" si="198"/>
        <v>13595.184996214484</v>
      </c>
      <c r="AL80" s="1681">
        <f t="shared" si="198"/>
        <v>11881.520868816107</v>
      </c>
      <c r="AM80" s="1680">
        <f t="shared" si="198"/>
        <v>6442.6306762573604</v>
      </c>
      <c r="AN80" s="1680">
        <f t="shared" si="198"/>
        <v>14924.97320471597</v>
      </c>
      <c r="AO80" s="1680">
        <f t="shared" si="198"/>
        <v>11663.33998669328</v>
      </c>
      <c r="AP80" s="1681">
        <f t="shared" si="198"/>
        <v>13240.105540897099</v>
      </c>
      <c r="AQ80" s="1680">
        <f t="shared" si="198"/>
        <v>15902.941350771327</v>
      </c>
      <c r="AR80" s="1680">
        <f t="shared" si="198"/>
        <v>19127.171748689459</v>
      </c>
      <c r="AS80" s="1680">
        <f t="shared" si="198"/>
        <v>16072.965189791517</v>
      </c>
      <c r="AT80" s="1681">
        <f t="shared" si="198"/>
        <v>6473.9168195960674</v>
      </c>
      <c r="AU80" s="1680">
        <f t="shared" si="198"/>
        <v>15877.25457081885</v>
      </c>
      <c r="AV80" s="1680">
        <f t="shared" si="198"/>
        <v>19096.277121023737</v>
      </c>
      <c r="AW80" s="1680">
        <f t="shared" si="198"/>
        <v>16047.003783602089</v>
      </c>
      <c r="AX80" s="1681">
        <f t="shared" si="198"/>
        <v>6463.460007041228</v>
      </c>
      <c r="AY80" s="1680">
        <f t="shared" ref="AY80:BB80" si="199">IF(ISBLANK(AY223),"",AY223)</f>
        <v>15501.066136796249</v>
      </c>
      <c r="AZ80" s="1680">
        <f t="shared" si="199"/>
        <v>18643.818633709263</v>
      </c>
      <c r="BA80" s="1680">
        <f t="shared" si="199"/>
        <v>15666.79338909201</v>
      </c>
      <c r="BB80" s="1681">
        <f t="shared" si="199"/>
        <v>6310.3177312421476</v>
      </c>
      <c r="BC80" s="1529"/>
      <c r="BD80" s="1529"/>
      <c r="BE80" s="1529">
        <f t="shared" si="184"/>
        <v>11357.360382146942</v>
      </c>
      <c r="BF80" s="1529">
        <f t="shared" si="185"/>
        <v>11448.971026922538</v>
      </c>
      <c r="BG80" s="1529">
        <f t="shared" si="186"/>
        <v>14053.057545157406</v>
      </c>
      <c r="BH80" s="1529">
        <f t="shared" si="187"/>
        <v>12122.488037978792</v>
      </c>
      <c r="BI80" s="1529">
        <f t="shared" si="188"/>
        <v>12357.463590421085</v>
      </c>
      <c r="BJ80" s="1529">
        <f t="shared" si="189"/>
        <v>13242.781829681946</v>
      </c>
      <c r="BK80" s="1529">
        <f t="shared" si="190"/>
        <v>15680.434174154023</v>
      </c>
      <c r="BL80" s="1529">
        <f t="shared" si="191"/>
        <v>12114.800266822062</v>
      </c>
      <c r="BM80" s="1529">
        <f t="shared" si="192"/>
        <v>11567.762352140928</v>
      </c>
      <c r="BN80" s="1529">
        <f t="shared" si="193"/>
        <v>14394.248777212093</v>
      </c>
      <c r="BO80" s="1529">
        <f t="shared" si="194"/>
        <v>14370.998870621475</v>
      </c>
      <c r="BP80" s="1529">
        <f t="shared" si="195"/>
        <v>14030.498972709916</v>
      </c>
      <c r="BQ80" s="1529"/>
      <c r="BR80" s="1587"/>
      <c r="BS80" s="1477"/>
      <c r="BV80" s="1444"/>
      <c r="BW80" s="1443"/>
      <c r="BX80" s="1443"/>
      <c r="BY80" s="1443"/>
    </row>
    <row r="81" spans="1:101" ht="12.75" customHeight="1">
      <c r="A81" s="1445"/>
      <c r="B81" s="1446"/>
      <c r="C81" s="1649" t="s">
        <v>806</v>
      </c>
      <c r="D81" s="1649"/>
      <c r="E81" s="1649"/>
      <c r="F81" s="1651"/>
      <c r="G81" s="1677">
        <f t="shared" ref="G81:AX81" si="200">IF(ISBLANK(G224),"",G224)</f>
        <v>9539.7438150189519</v>
      </c>
      <c r="H81" s="1678">
        <f t="shared" si="200"/>
        <v>13697.35313631684</v>
      </c>
      <c r="I81" s="1678">
        <f t="shared" si="200"/>
        <v>17284.703810095227</v>
      </c>
      <c r="J81" s="1679">
        <f t="shared" si="200"/>
        <v>10274.047045908441</v>
      </c>
      <c r="K81" s="1677">
        <f t="shared" si="200"/>
        <v>10183.447113344422</v>
      </c>
      <c r="L81" s="1678">
        <f t="shared" si="200"/>
        <v>13001.009310136313</v>
      </c>
      <c r="M81" s="1678">
        <f t="shared" si="200"/>
        <v>14568.584070796462</v>
      </c>
      <c r="N81" s="1679">
        <f t="shared" si="200"/>
        <v>12436.247938794573</v>
      </c>
      <c r="O81" s="1677">
        <f t="shared" si="200"/>
        <v>12425.14553153737</v>
      </c>
      <c r="P81" s="1678">
        <f t="shared" si="200"/>
        <v>18031.971093165863</v>
      </c>
      <c r="Q81" s="1678">
        <f t="shared" si="200"/>
        <v>17146.378293109447</v>
      </c>
      <c r="R81" s="1678">
        <f t="shared" si="200"/>
        <v>12431.863270403677</v>
      </c>
      <c r="S81" s="1677">
        <f t="shared" si="200"/>
        <v>10578.39992459892</v>
      </c>
      <c r="T81" s="1678">
        <f t="shared" si="200"/>
        <v>11999.78855129232</v>
      </c>
      <c r="U81" s="1678">
        <f t="shared" si="200"/>
        <v>17812.227801005432</v>
      </c>
      <c r="V81" s="1678">
        <f t="shared" si="200"/>
        <v>11729.179938323001</v>
      </c>
      <c r="W81" s="1677">
        <f t="shared" si="200"/>
        <v>9203.1098350249158</v>
      </c>
      <c r="X81" s="1678">
        <f t="shared" si="200"/>
        <v>12626.733347297857</v>
      </c>
      <c r="Y81" s="1825">
        <f t="shared" si="200"/>
        <v>15897.562359300329</v>
      </c>
      <c r="Z81" s="1826">
        <f t="shared" si="200"/>
        <v>13240.978153002308</v>
      </c>
      <c r="AA81" s="1677">
        <f t="shared" si="200"/>
        <v>9018.8976375690818</v>
      </c>
      <c r="AB81" s="1678">
        <f t="shared" si="200"/>
        <v>13894.286417546622</v>
      </c>
      <c r="AC81" s="1825">
        <f t="shared" si="200"/>
        <v>18107.995319874713</v>
      </c>
      <c r="AD81" s="1826">
        <f t="shared" si="200"/>
        <v>14745.056501394383</v>
      </c>
      <c r="AE81" s="1677">
        <f t="shared" si="200"/>
        <v>13209.269974318235</v>
      </c>
      <c r="AF81" s="1680">
        <f t="shared" si="200"/>
        <v>17254.346935393285</v>
      </c>
      <c r="AG81" s="1680">
        <f t="shared" si="200"/>
        <v>22217.55576655066</v>
      </c>
      <c r="AH81" s="1681">
        <f t="shared" si="200"/>
        <v>13392.414325610831</v>
      </c>
      <c r="AI81" s="1680">
        <f t="shared" si="200"/>
        <v>10821.778932940791</v>
      </c>
      <c r="AJ81" s="1680">
        <f t="shared" si="200"/>
        <v>14506.809765484199</v>
      </c>
      <c r="AK81" s="1680">
        <f t="shared" si="200"/>
        <v>14815.14368478225</v>
      </c>
      <c r="AL81" s="1681">
        <f t="shared" si="200"/>
        <v>12173.228816928658</v>
      </c>
      <c r="AM81" s="1680">
        <f t="shared" si="200"/>
        <v>7815.56322828876</v>
      </c>
      <c r="AN81" s="1680">
        <f t="shared" si="200"/>
        <v>16606.377277599146</v>
      </c>
      <c r="AO81" s="1680">
        <f t="shared" si="200"/>
        <v>13626.081170991349</v>
      </c>
      <c r="AP81" s="1681">
        <f t="shared" si="200"/>
        <v>14369.39313984169</v>
      </c>
      <c r="AQ81" s="1680">
        <f t="shared" si="200"/>
        <v>16741.315089166317</v>
      </c>
      <c r="AR81" s="1680">
        <f t="shared" si="200"/>
        <v>20687.340048570692</v>
      </c>
      <c r="AS81" s="1680">
        <f t="shared" si="200"/>
        <v>18591.892964046394</v>
      </c>
      <c r="AT81" s="1681">
        <f t="shared" si="200"/>
        <v>8151.6242564083632</v>
      </c>
      <c r="AU81" s="1680">
        <f t="shared" si="200"/>
        <v>16761.003464683836</v>
      </c>
      <c r="AV81" s="1680">
        <f t="shared" si="200"/>
        <v>20711.669088264731</v>
      </c>
      <c r="AW81" s="1680">
        <f t="shared" si="200"/>
        <v>18613.757684249551</v>
      </c>
      <c r="AX81" s="1681">
        <f t="shared" si="200"/>
        <v>8161.210853314461</v>
      </c>
      <c r="AY81" s="1680">
        <f t="shared" ref="AY81:BB81" si="201">IF(ISBLANK(AY224),"",AY224)</f>
        <v>16419.071657976107</v>
      </c>
      <c r="AZ81" s="1680">
        <f t="shared" si="201"/>
        <v>20289.14197369161</v>
      </c>
      <c r="BA81" s="1680">
        <f t="shared" si="201"/>
        <v>18234.028880541242</v>
      </c>
      <c r="BB81" s="1681">
        <f t="shared" si="201"/>
        <v>7994.7185798729333</v>
      </c>
      <c r="BC81" s="1529"/>
      <c r="BD81" s="1529"/>
      <c r="BE81" s="1529">
        <f t="shared" si="184"/>
        <v>12698.961951834865</v>
      </c>
      <c r="BF81" s="1529">
        <f t="shared" si="185"/>
        <v>12547.322108267941</v>
      </c>
      <c r="BG81" s="1529">
        <f t="shared" si="186"/>
        <v>15008.839547054089</v>
      </c>
      <c r="BH81" s="1529">
        <f t="shared" si="187"/>
        <v>13029.89905380492</v>
      </c>
      <c r="BI81" s="1529">
        <f t="shared" si="188"/>
        <v>12742.095923656352</v>
      </c>
      <c r="BJ81" s="1529">
        <f t="shared" si="189"/>
        <v>13941.558969096201</v>
      </c>
      <c r="BK81" s="1529">
        <f t="shared" si="190"/>
        <v>16518.396750468255</v>
      </c>
      <c r="BL81" s="1529">
        <f t="shared" si="191"/>
        <v>13079.240300033973</v>
      </c>
      <c r="BM81" s="1529">
        <f t="shared" si="192"/>
        <v>13104.353704180236</v>
      </c>
      <c r="BN81" s="1529">
        <f t="shared" si="193"/>
        <v>16043.04308954794</v>
      </c>
      <c r="BO81" s="1529">
        <f t="shared" si="194"/>
        <v>16061.910272628145</v>
      </c>
      <c r="BP81" s="1529">
        <f t="shared" si="195"/>
        <v>15734.240273020474</v>
      </c>
      <c r="BQ81" s="1529"/>
      <c r="BR81" s="1587"/>
      <c r="BS81" s="1477"/>
      <c r="BV81" s="1444"/>
      <c r="BW81" s="1444"/>
      <c r="BX81" s="1832" t="s">
        <v>941</v>
      </c>
    </row>
    <row r="82" spans="1:101" ht="12.75" customHeight="1">
      <c r="A82" s="1445"/>
      <c r="B82" s="1446"/>
      <c r="C82" s="1649" t="s">
        <v>807</v>
      </c>
      <c r="D82" s="1649"/>
      <c r="E82" s="1649"/>
      <c r="F82" s="1651"/>
      <c r="G82" s="1677">
        <f t="shared" ref="G82:AX82" si="202">IF(ISBLANK(G225),"",G225)</f>
        <v>8231.2955131731214</v>
      </c>
      <c r="H82" s="1678">
        <f t="shared" si="202"/>
        <v>11041.103779988538</v>
      </c>
      <c r="I82" s="1678">
        <f t="shared" si="202"/>
        <v>14228.587132037725</v>
      </c>
      <c r="J82" s="1679">
        <f t="shared" si="202"/>
        <v>9383.2805134876544</v>
      </c>
      <c r="K82" s="1677">
        <f t="shared" si="202"/>
        <v>8427.5939587936628</v>
      </c>
      <c r="L82" s="1678">
        <f t="shared" si="202"/>
        <v>12841.345055255759</v>
      </c>
      <c r="M82" s="1678">
        <f t="shared" si="202"/>
        <v>13053.181206760597</v>
      </c>
      <c r="N82" s="1679">
        <f t="shared" si="202"/>
        <v>10988.427298979313</v>
      </c>
      <c r="O82" s="1677">
        <f t="shared" si="202"/>
        <v>12399.269052277541</v>
      </c>
      <c r="P82" s="1678">
        <f t="shared" si="202"/>
        <v>15811.917941469588</v>
      </c>
      <c r="Q82" s="1678">
        <f t="shared" si="202"/>
        <v>16066.421494696588</v>
      </c>
      <c r="R82" s="1678">
        <f t="shared" si="202"/>
        <v>11326.798880136883</v>
      </c>
      <c r="S82" s="1677">
        <f t="shared" si="202"/>
        <v>9769.8876086014934</v>
      </c>
      <c r="T82" s="1678">
        <f t="shared" si="202"/>
        <v>10989.280048611789</v>
      </c>
      <c r="U82" s="1678">
        <f t="shared" si="202"/>
        <v>13580.3682962901</v>
      </c>
      <c r="V82" s="1678">
        <f t="shared" si="202"/>
        <v>10104.935635805112</v>
      </c>
      <c r="W82" s="1677">
        <f t="shared" si="202"/>
        <v>8947.0994834564881</v>
      </c>
      <c r="X82" s="1678">
        <f t="shared" si="202"/>
        <v>13598.639044134061</v>
      </c>
      <c r="Y82" s="1825">
        <f t="shared" si="202"/>
        <v>16362.499285784888</v>
      </c>
      <c r="Z82" s="1826">
        <f t="shared" si="202"/>
        <v>14636.185295017334</v>
      </c>
      <c r="AA82" s="1677">
        <f t="shared" si="202"/>
        <v>8819.9510291713868</v>
      </c>
      <c r="AB82" s="1678">
        <f t="shared" si="202"/>
        <v>24123.141529550368</v>
      </c>
      <c r="AC82" s="1825">
        <f t="shared" si="202"/>
        <v>28747.430408517044</v>
      </c>
      <c r="AD82" s="1826">
        <f t="shared" si="202"/>
        <v>24735.597244755765</v>
      </c>
      <c r="AE82" s="1677">
        <f t="shared" si="202"/>
        <v>16416.865442427312</v>
      </c>
      <c r="AF82" s="1680">
        <f t="shared" si="202"/>
        <v>20663.424419465664</v>
      </c>
      <c r="AG82" s="1680">
        <f t="shared" si="202"/>
        <v>28889.206582791372</v>
      </c>
      <c r="AH82" s="1681">
        <f t="shared" si="202"/>
        <v>14896.780177793647</v>
      </c>
      <c r="AI82" s="1680">
        <f t="shared" si="202"/>
        <v>10739.7501298603</v>
      </c>
      <c r="AJ82" s="1680">
        <f t="shared" si="202"/>
        <v>13045.335901964805</v>
      </c>
      <c r="AK82" s="1680">
        <f t="shared" si="202"/>
        <v>20361.658997618648</v>
      </c>
      <c r="AL82" s="1681">
        <f t="shared" si="202"/>
        <v>13616.365420376185</v>
      </c>
      <c r="AM82" s="1680">
        <f t="shared" si="202"/>
        <v>7345.4940065431902</v>
      </c>
      <c r="AN82" s="1680">
        <f t="shared" si="202"/>
        <v>15566.250563994585</v>
      </c>
      <c r="AO82" s="1680">
        <f t="shared" si="202"/>
        <v>16621.62162162162</v>
      </c>
      <c r="AP82" s="1681">
        <f t="shared" si="202"/>
        <v>12917.442582247049</v>
      </c>
      <c r="AQ82" s="1680">
        <f t="shared" si="202"/>
        <v>11104.548723888633</v>
      </c>
      <c r="AR82" s="1680">
        <f t="shared" si="202"/>
        <v>16674.490418195121</v>
      </c>
      <c r="AS82" s="1680">
        <f t="shared" si="202"/>
        <v>17885.095700846545</v>
      </c>
      <c r="AT82" s="1681">
        <f t="shared" si="202"/>
        <v>10165.322792411107</v>
      </c>
      <c r="AU82" s="1680">
        <f t="shared" si="202"/>
        <v>11252.137629199777</v>
      </c>
      <c r="AV82" s="1680">
        <f t="shared" si="202"/>
        <v>16896.108590048279</v>
      </c>
      <c r="AW82" s="1680">
        <f t="shared" si="202"/>
        <v>18122.803847436458</v>
      </c>
      <c r="AX82" s="1681">
        <f t="shared" si="202"/>
        <v>10300.428585574848</v>
      </c>
      <c r="AY82" s="1830">
        <f t="shared" ref="AY82:BB86" si="203">IF(ISBLANK(AY225),"",IF(Uplift="Yes",$BX36,AY225))</f>
        <v>14319.999999999998</v>
      </c>
      <c r="AZ82" s="1830">
        <f t="shared" si="203"/>
        <v>14319.999999999998</v>
      </c>
      <c r="BA82" s="1830">
        <f t="shared" si="203"/>
        <v>14319.999999999998</v>
      </c>
      <c r="BB82" s="1831">
        <f t="shared" si="203"/>
        <v>14319.999999999998</v>
      </c>
      <c r="BC82" s="1529"/>
      <c r="BD82" s="1529"/>
      <c r="BE82" s="1529">
        <f t="shared" si="184"/>
        <v>10721.06673467176</v>
      </c>
      <c r="BF82" s="1529">
        <f t="shared" si="185"/>
        <v>11327.636879947331</v>
      </c>
      <c r="BG82" s="1529">
        <f t="shared" si="186"/>
        <v>13901.10184214515</v>
      </c>
      <c r="BH82" s="1529">
        <f t="shared" si="187"/>
        <v>11111.117897327124</v>
      </c>
      <c r="BI82" s="1529">
        <f t="shared" si="188"/>
        <v>13386.105777098193</v>
      </c>
      <c r="BJ82" s="1529">
        <f t="shared" si="189"/>
        <v>21606.530052998642</v>
      </c>
      <c r="BK82" s="1529">
        <f t="shared" si="190"/>
        <v>20216.569155619502</v>
      </c>
      <c r="BL82" s="1529">
        <f t="shared" si="191"/>
        <v>14440.777612454986</v>
      </c>
      <c r="BM82" s="1529">
        <f t="shared" si="192"/>
        <v>13112.702193601612</v>
      </c>
      <c r="BN82" s="1529">
        <f t="shared" si="193"/>
        <v>13957.364408835352</v>
      </c>
      <c r="BO82" s="1529">
        <f t="shared" si="194"/>
        <v>14142.869663064841</v>
      </c>
      <c r="BP82" s="1529">
        <f t="shared" si="195"/>
        <v>14319.999999999998</v>
      </c>
      <c r="BQ82" s="1529"/>
      <c r="BR82" s="1587"/>
      <c r="BS82" s="1477"/>
      <c r="BV82" s="1444"/>
      <c r="BW82" s="1444"/>
      <c r="BX82" s="1833" t="s">
        <v>942</v>
      </c>
      <c r="BY82" s="1834">
        <f>Valuation!CG37</f>
        <v>0</v>
      </c>
    </row>
    <row r="83" spans="1:101" ht="12.75" customHeight="1">
      <c r="A83" s="1445"/>
      <c r="B83" s="1446"/>
      <c r="C83" s="1649" t="s">
        <v>693</v>
      </c>
      <c r="D83" s="1649"/>
      <c r="E83" s="1649"/>
      <c r="F83" s="1651"/>
      <c r="G83" s="1677">
        <f t="shared" ref="G83:AX83" si="204">IF(ISBLANK(G226),"",G226)</f>
        <v>8828.3235001232933</v>
      </c>
      <c r="H83" s="1678">
        <f t="shared" si="204"/>
        <v>12152.629284719847</v>
      </c>
      <c r="I83" s="1678">
        <f t="shared" si="204"/>
        <v>17173.13306743103</v>
      </c>
      <c r="J83" s="1679">
        <f t="shared" si="204"/>
        <v>10120.881701897726</v>
      </c>
      <c r="K83" s="1677">
        <f t="shared" si="204"/>
        <v>9486.4861275515559</v>
      </c>
      <c r="L83" s="1678">
        <f t="shared" si="204"/>
        <v>14083.274067213015</v>
      </c>
      <c r="M83" s="1678">
        <f t="shared" si="204"/>
        <v>15184.902828423206</v>
      </c>
      <c r="N83" s="1679">
        <f t="shared" si="204"/>
        <v>11452.068410464995</v>
      </c>
      <c r="O83" s="1677">
        <f t="shared" si="204"/>
        <v>13882.378537887873</v>
      </c>
      <c r="P83" s="1678">
        <f t="shared" si="204"/>
        <v>15168.285590046735</v>
      </c>
      <c r="Q83" s="1678">
        <f t="shared" si="204"/>
        <v>18341.98697135222</v>
      </c>
      <c r="R83" s="1678">
        <f t="shared" si="204"/>
        <v>12596.345207299488</v>
      </c>
      <c r="S83" s="1677">
        <f t="shared" si="204"/>
        <v>9911.8076792134689</v>
      </c>
      <c r="T83" s="1678">
        <f t="shared" si="204"/>
        <v>11384.147247720264</v>
      </c>
      <c r="U83" s="1678">
        <f t="shared" si="204"/>
        <v>15573.185234756584</v>
      </c>
      <c r="V83" s="1678">
        <f t="shared" si="204"/>
        <v>10607.460008072527</v>
      </c>
      <c r="W83" s="1677">
        <f t="shared" si="204"/>
        <v>10425.452124530333</v>
      </c>
      <c r="X83" s="1678">
        <f t="shared" si="204"/>
        <v>14513.982866861383</v>
      </c>
      <c r="Y83" s="1825">
        <f t="shared" si="204"/>
        <v>17923.159637116962</v>
      </c>
      <c r="Z83" s="1826">
        <f t="shared" si="204"/>
        <v>17808.177795314739</v>
      </c>
      <c r="AA83" s="1677">
        <f t="shared" si="204"/>
        <v>10435.739406819961</v>
      </c>
      <c r="AB83" s="1678">
        <f t="shared" si="204"/>
        <v>22688.465601410513</v>
      </c>
      <c r="AC83" s="1825">
        <f t="shared" si="204"/>
        <v>29063.334258348081</v>
      </c>
      <c r="AD83" s="1826">
        <f t="shared" si="204"/>
        <v>23298.162468780309</v>
      </c>
      <c r="AE83" s="1677">
        <f t="shared" si="204"/>
        <v>17051.205582715174</v>
      </c>
      <c r="AF83" s="1680">
        <f t="shared" si="204"/>
        <v>18139.264256659353</v>
      </c>
      <c r="AG83" s="1680">
        <f t="shared" si="204"/>
        <v>30127.615946596885</v>
      </c>
      <c r="AH83" s="1681">
        <f t="shared" si="204"/>
        <v>12908.049102170644</v>
      </c>
      <c r="AI83" s="1680">
        <f t="shared" si="204"/>
        <v>11111.448318537523</v>
      </c>
      <c r="AJ83" s="1680">
        <f t="shared" si="204"/>
        <v>12879.867308086643</v>
      </c>
      <c r="AK83" s="1680">
        <f t="shared" si="204"/>
        <v>19709.573082387014</v>
      </c>
      <c r="AL83" s="1681">
        <f t="shared" si="204"/>
        <v>14197.025620468919</v>
      </c>
      <c r="AM83" s="1680">
        <f t="shared" si="204"/>
        <v>7552.144985638347</v>
      </c>
      <c r="AN83" s="1680">
        <f t="shared" si="204"/>
        <v>15508.196721311475</v>
      </c>
      <c r="AO83" s="1680">
        <f t="shared" si="204"/>
        <v>17145.420420420422</v>
      </c>
      <c r="AP83" s="1681">
        <f t="shared" si="204"/>
        <v>12891.744258224702</v>
      </c>
      <c r="AQ83" s="1680">
        <f t="shared" si="204"/>
        <v>12752.248157113403</v>
      </c>
      <c r="AR83" s="1680">
        <f t="shared" si="204"/>
        <v>17021.585855808447</v>
      </c>
      <c r="AS83" s="1680">
        <f t="shared" si="204"/>
        <v>18914.044155281495</v>
      </c>
      <c r="AT83" s="1681">
        <f t="shared" si="204"/>
        <v>9489.5496195419528</v>
      </c>
      <c r="AU83" s="1680">
        <f t="shared" si="204"/>
        <v>12943.493840954505</v>
      </c>
      <c r="AV83" s="1680">
        <f t="shared" si="204"/>
        <v>17276.858870177937</v>
      </c>
      <c r="AW83" s="1680">
        <f t="shared" si="204"/>
        <v>19197.698399153764</v>
      </c>
      <c r="AX83" s="1681">
        <f t="shared" si="204"/>
        <v>9631.864557580624</v>
      </c>
      <c r="AY83" s="1830">
        <f t="shared" si="203"/>
        <v>14408.571428571429</v>
      </c>
      <c r="AZ83" s="1830">
        <f t="shared" si="203"/>
        <v>14408.571428571429</v>
      </c>
      <c r="BA83" s="1830">
        <f t="shared" si="203"/>
        <v>14408.571428571429</v>
      </c>
      <c r="BB83" s="1831">
        <f t="shared" si="203"/>
        <v>14408.571428571429</v>
      </c>
      <c r="BC83" s="1529"/>
      <c r="BD83" s="1529"/>
      <c r="BE83" s="1529">
        <f t="shared" si="184"/>
        <v>12068.741888542974</v>
      </c>
      <c r="BF83" s="1529">
        <f t="shared" si="185"/>
        <v>12551.682858413194</v>
      </c>
      <c r="BG83" s="1529">
        <f t="shared" si="186"/>
        <v>14997.249076646578</v>
      </c>
      <c r="BH83" s="1529">
        <f t="shared" si="187"/>
        <v>11869.150042440711</v>
      </c>
      <c r="BI83" s="1529">
        <f t="shared" si="188"/>
        <v>15167.693105955856</v>
      </c>
      <c r="BJ83" s="1529">
        <f t="shared" si="189"/>
        <v>21371.425433839719</v>
      </c>
      <c r="BK83" s="1529">
        <f t="shared" si="190"/>
        <v>19556.533722035514</v>
      </c>
      <c r="BL83" s="1529">
        <f t="shared" si="191"/>
        <v>14474.478582370026</v>
      </c>
      <c r="BM83" s="1529">
        <f t="shared" si="192"/>
        <v>13274.376596398735</v>
      </c>
      <c r="BN83" s="1529">
        <f t="shared" si="193"/>
        <v>14544.356946936325</v>
      </c>
      <c r="BO83" s="1529">
        <f t="shared" si="194"/>
        <v>14762.478916966707</v>
      </c>
      <c r="BP83" s="1529">
        <f t="shared" si="195"/>
        <v>14408.571428571429</v>
      </c>
      <c r="BQ83" s="1529"/>
      <c r="BR83" s="1587"/>
      <c r="BS83" s="1477"/>
      <c r="BV83" s="1444"/>
      <c r="BW83" s="1444"/>
      <c r="BX83" s="1833" t="s">
        <v>943</v>
      </c>
      <c r="BY83" s="1835">
        <v>1</v>
      </c>
      <c r="BZ83" s="1836">
        <f>BY82*BY83</f>
        <v>0</v>
      </c>
    </row>
    <row r="84" spans="1:101" ht="12.75" customHeight="1">
      <c r="A84" s="1445"/>
      <c r="B84" s="1446"/>
      <c r="C84" s="1649" t="s">
        <v>808</v>
      </c>
      <c r="D84" s="1649"/>
      <c r="E84" s="1649"/>
      <c r="F84" s="1651"/>
      <c r="G84" s="1677">
        <f t="shared" ref="G84:AX84" si="205">IF(ISBLANK(G227),"",G227)</f>
        <v>7234.2720452950425</v>
      </c>
      <c r="H84" s="1678">
        <f t="shared" si="205"/>
        <v>9219.5630628076833</v>
      </c>
      <c r="I84" s="1678">
        <f t="shared" si="205"/>
        <v>11045.187830976916</v>
      </c>
      <c r="J84" s="1679">
        <f t="shared" si="205"/>
        <v>7381.5895861529834</v>
      </c>
      <c r="K84" s="1677">
        <f t="shared" si="205"/>
        <v>6978.2974668560619</v>
      </c>
      <c r="L84" s="1678">
        <f t="shared" si="205"/>
        <v>10974.737677781584</v>
      </c>
      <c r="M84" s="1678">
        <f t="shared" si="205"/>
        <v>11488.370939644137</v>
      </c>
      <c r="N84" s="1679">
        <f t="shared" si="205"/>
        <v>10454.753259779891</v>
      </c>
      <c r="O84" s="1677">
        <f t="shared" si="205"/>
        <v>11590.193568861898</v>
      </c>
      <c r="P84" s="1678">
        <f t="shared" si="205"/>
        <v>14239.168969349786</v>
      </c>
      <c r="Q84" s="1678">
        <f t="shared" si="205"/>
        <v>14649.640167203261</v>
      </c>
      <c r="R84" s="1678">
        <f t="shared" si="205"/>
        <v>10401.683528262198</v>
      </c>
      <c r="S84" s="1677">
        <f t="shared" si="205"/>
        <v>8843.8741816001238</v>
      </c>
      <c r="T84" s="1678">
        <f t="shared" si="205"/>
        <v>10090.605702834497</v>
      </c>
      <c r="U84" s="1678">
        <f t="shared" si="205"/>
        <v>11784.929103005486</v>
      </c>
      <c r="V84" s="1678">
        <f t="shared" si="205"/>
        <v>9055.3075246398785</v>
      </c>
      <c r="W84" s="1677">
        <f t="shared" si="205"/>
        <v>6250.8834115149521</v>
      </c>
      <c r="X84" s="1678">
        <f t="shared" si="205"/>
        <v>13598.445413206973</v>
      </c>
      <c r="Y84" s="1825">
        <f t="shared" si="205"/>
        <v>15115.206481521522</v>
      </c>
      <c r="Z84" s="1826">
        <f t="shared" si="205"/>
        <v>14526.341739741243</v>
      </c>
      <c r="AA84" s="1677">
        <f t="shared" si="205"/>
        <v>6685.8777350899572</v>
      </c>
      <c r="AB84" s="1678">
        <f t="shared" si="205"/>
        <v>22536.074157139941</v>
      </c>
      <c r="AC84" s="1825">
        <f t="shared" si="205"/>
        <v>26155.148246335953</v>
      </c>
      <c r="AD84" s="1826">
        <f t="shared" si="205"/>
        <v>23909.989823722273</v>
      </c>
      <c r="AE84" s="1677">
        <f t="shared" si="205"/>
        <v>14978.836309235272</v>
      </c>
      <c r="AF84" s="1680">
        <f t="shared" si="205"/>
        <v>19797.287168266088</v>
      </c>
      <c r="AG84" s="1680">
        <f t="shared" si="205"/>
        <v>28019.254671976272</v>
      </c>
      <c r="AH84" s="1681">
        <f t="shared" si="205"/>
        <v>14526.175995021027</v>
      </c>
      <c r="AI84" s="1680">
        <f t="shared" si="205"/>
        <v>10353.203493698842</v>
      </c>
      <c r="AJ84" s="1680">
        <f t="shared" si="205"/>
        <v>13146.418491195038</v>
      </c>
      <c r="AK84" s="1680">
        <f t="shared" si="205"/>
        <v>20992.620308985443</v>
      </c>
      <c r="AL84" s="1681">
        <f t="shared" si="205"/>
        <v>11673.338698911291</v>
      </c>
      <c r="AM84" s="1680">
        <f t="shared" si="205"/>
        <v>6038.4727262704982</v>
      </c>
      <c r="AN84" s="1680">
        <f t="shared" si="205"/>
        <v>13216.818012190572</v>
      </c>
      <c r="AO84" s="1680">
        <f t="shared" si="205"/>
        <v>13392.53996447602</v>
      </c>
      <c r="AP84" s="1681">
        <f t="shared" si="205"/>
        <v>11740.379092475589</v>
      </c>
      <c r="AQ84" s="1680">
        <f t="shared" si="205"/>
        <v>12782.858661912423</v>
      </c>
      <c r="AR84" s="1680">
        <f t="shared" si="205"/>
        <v>12270.005904552587</v>
      </c>
      <c r="AS84" s="1680">
        <f t="shared" si="205"/>
        <v>13129.877577825491</v>
      </c>
      <c r="AT84" s="1681">
        <f t="shared" si="205"/>
        <v>11979.669391553554</v>
      </c>
      <c r="AU84" s="1680">
        <f t="shared" si="205"/>
        <v>12476.88178267494</v>
      </c>
      <c r="AV84" s="1680">
        <f t="shared" si="205"/>
        <v>11976.304924654652</v>
      </c>
      <c r="AW84" s="1680">
        <f t="shared" si="205"/>
        <v>12815.594280772109</v>
      </c>
      <c r="AX84" s="1681">
        <f t="shared" si="205"/>
        <v>11692.918051210097</v>
      </c>
      <c r="AY84" s="1830">
        <f t="shared" si="203"/>
        <v>14415.000000000002</v>
      </c>
      <c r="AZ84" s="1830">
        <f t="shared" si="203"/>
        <v>14415.000000000002</v>
      </c>
      <c r="BA84" s="1830">
        <f t="shared" si="203"/>
        <v>14415.000000000002</v>
      </c>
      <c r="BB84" s="1831">
        <f t="shared" si="203"/>
        <v>14415.000000000002</v>
      </c>
      <c r="BC84" s="1529"/>
      <c r="BD84" s="1529"/>
      <c r="BE84" s="1529">
        <f t="shared" si="184"/>
        <v>8720.1531313081559</v>
      </c>
      <c r="BF84" s="1529">
        <f t="shared" si="185"/>
        <v>9974.0398360154177</v>
      </c>
      <c r="BG84" s="1529">
        <f t="shared" si="186"/>
        <v>12720.171558419286</v>
      </c>
      <c r="BH84" s="1529">
        <f t="shared" si="187"/>
        <v>9943.6791280199977</v>
      </c>
      <c r="BI84" s="1529">
        <f t="shared" si="188"/>
        <v>12372.719261496171</v>
      </c>
      <c r="BJ84" s="1529">
        <f t="shared" si="189"/>
        <v>19821.772490572032</v>
      </c>
      <c r="BK84" s="1529">
        <f t="shared" si="190"/>
        <v>19330.388536124665</v>
      </c>
      <c r="BL84" s="1529">
        <f t="shared" si="191"/>
        <v>14041.395248197652</v>
      </c>
      <c r="BM84" s="1529">
        <f t="shared" si="192"/>
        <v>11097.05244885317</v>
      </c>
      <c r="BN84" s="1529">
        <f t="shared" si="193"/>
        <v>12540.602883961015</v>
      </c>
      <c r="BO84" s="1529">
        <f t="shared" si="194"/>
        <v>12240.424759827951</v>
      </c>
      <c r="BP84" s="1529">
        <f t="shared" si="195"/>
        <v>14415.000000000002</v>
      </c>
      <c r="BQ84" s="1529"/>
      <c r="BR84" s="1587"/>
      <c r="BS84" s="1477"/>
      <c r="BV84" s="1444"/>
      <c r="BW84" s="1444"/>
      <c r="BX84" s="1833" t="s">
        <v>944</v>
      </c>
      <c r="BY84" s="1835">
        <v>0.4</v>
      </c>
      <c r="BZ84" s="1836">
        <f>BY84*BY82</f>
        <v>0</v>
      </c>
    </row>
    <row r="85" spans="1:101" ht="12.75" customHeight="1">
      <c r="A85" s="1445"/>
      <c r="B85" s="1446"/>
      <c r="C85" s="1649" t="s">
        <v>809</v>
      </c>
      <c r="D85" s="1649"/>
      <c r="E85" s="1649"/>
      <c r="F85" s="1651"/>
      <c r="G85" s="1677">
        <f t="shared" ref="G85:AX85" si="206">IF(ISBLANK(G228),"",G228)</f>
        <v>8150.2244612524382</v>
      </c>
      <c r="H85" s="1678">
        <f t="shared" si="206"/>
        <v>10003.549383125364</v>
      </c>
      <c r="I85" s="1678">
        <f t="shared" si="206"/>
        <v>12028.047815312115</v>
      </c>
      <c r="J85" s="1679">
        <f t="shared" si="206"/>
        <v>10227.868758263019</v>
      </c>
      <c r="K85" s="1677">
        <f t="shared" si="206"/>
        <v>9936.5439224208931</v>
      </c>
      <c r="L85" s="1678">
        <f t="shared" si="206"/>
        <v>11672.791950011986</v>
      </c>
      <c r="M85" s="1678">
        <f t="shared" si="206"/>
        <v>12186.105777662253</v>
      </c>
      <c r="N85" s="1679">
        <f t="shared" si="206"/>
        <v>11252.850685073325</v>
      </c>
      <c r="O85" s="1677">
        <f t="shared" si="206"/>
        <v>13099.854320578041</v>
      </c>
      <c r="P85" s="1678">
        <f t="shared" si="206"/>
        <v>15290.619466270606</v>
      </c>
      <c r="Q85" s="1678">
        <f t="shared" si="206"/>
        <v>15612.213249244409</v>
      </c>
      <c r="R85" s="1678">
        <f t="shared" si="206"/>
        <v>11258.478019599537</v>
      </c>
      <c r="S85" s="1677">
        <f t="shared" si="206"/>
        <v>10840.629181716851</v>
      </c>
      <c r="T85" s="1678">
        <f t="shared" si="206"/>
        <v>10433.524268414367</v>
      </c>
      <c r="U85" s="1678">
        <f t="shared" si="206"/>
        <v>11783.624476286885</v>
      </c>
      <c r="V85" s="1678">
        <f t="shared" si="206"/>
        <v>9410.7450433957438</v>
      </c>
      <c r="W85" s="1677">
        <f t="shared" si="206"/>
        <v>15318.186620328099</v>
      </c>
      <c r="X85" s="1678">
        <f t="shared" si="206"/>
        <v>10985.588769221897</v>
      </c>
      <c r="Y85" s="1825">
        <f t="shared" si="206"/>
        <v>9630.6910356468015</v>
      </c>
      <c r="Z85" s="1826">
        <f t="shared" si="206"/>
        <v>10341.789794005559</v>
      </c>
      <c r="AA85" s="1677">
        <f t="shared" si="206"/>
        <v>14856.332241024871</v>
      </c>
      <c r="AB85" s="1678">
        <f t="shared" si="206"/>
        <v>12927.939921820258</v>
      </c>
      <c r="AC85" s="1825">
        <f t="shared" si="206"/>
        <v>12745.79802165131</v>
      </c>
      <c r="AD85" s="1826">
        <f t="shared" si="206"/>
        <v>14436.141757625302</v>
      </c>
      <c r="AE85" s="1677">
        <f t="shared" si="206"/>
        <v>13712.372915511156</v>
      </c>
      <c r="AF85" s="1680">
        <f t="shared" si="206"/>
        <v>14788.269551509478</v>
      </c>
      <c r="AG85" s="1680">
        <f t="shared" si="206"/>
        <v>13349.72491644476</v>
      </c>
      <c r="AH85" s="1681">
        <f t="shared" si="206"/>
        <v>10706.4109123743</v>
      </c>
      <c r="AI85" s="1680">
        <f t="shared" si="206"/>
        <v>10324.076252256546</v>
      </c>
      <c r="AJ85" s="1680">
        <f t="shared" si="206"/>
        <v>10803.742971428574</v>
      </c>
      <c r="AK85" s="1680">
        <f t="shared" si="206"/>
        <v>12479.580188793305</v>
      </c>
      <c r="AL85" s="1681">
        <f t="shared" si="206"/>
        <v>11085.597339180495</v>
      </c>
      <c r="AM85" s="1680">
        <f t="shared" si="206"/>
        <v>12354.403745497164</v>
      </c>
      <c r="AN85" s="1680">
        <f t="shared" si="206"/>
        <v>12625.948501057348</v>
      </c>
      <c r="AO85" s="1680">
        <f t="shared" si="206"/>
        <v>12901.124925991713</v>
      </c>
      <c r="AP85" s="1681">
        <f t="shared" si="206"/>
        <v>11585.295807007466</v>
      </c>
      <c r="AQ85" s="1680">
        <f t="shared" si="206"/>
        <v>11887.424379313399</v>
      </c>
      <c r="AR85" s="1680">
        <f t="shared" si="206"/>
        <v>11870.343784498289</v>
      </c>
      <c r="AS85" s="1680">
        <f t="shared" si="206"/>
        <v>12919.05721085627</v>
      </c>
      <c r="AT85" s="1681">
        <f t="shared" si="206"/>
        <v>12181.915144547824</v>
      </c>
      <c r="AU85" s="1680">
        <f t="shared" si="206"/>
        <v>11741.640116388797</v>
      </c>
      <c r="AV85" s="1680">
        <f t="shared" si="206"/>
        <v>11724.768993520336</v>
      </c>
      <c r="AW85" s="1680">
        <f t="shared" si="206"/>
        <v>12760.621272753231</v>
      </c>
      <c r="AX85" s="1681">
        <f t="shared" si="206"/>
        <v>12032.519323915016</v>
      </c>
      <c r="AY85" s="1830">
        <f t="shared" si="203"/>
        <v>14334.545454545456</v>
      </c>
      <c r="AZ85" s="1830">
        <f t="shared" si="203"/>
        <v>14334.545454545456</v>
      </c>
      <c r="BA85" s="1830">
        <f t="shared" si="203"/>
        <v>14334.545454545456</v>
      </c>
      <c r="BB85" s="1831">
        <f t="shared" si="203"/>
        <v>14334.545454545456</v>
      </c>
      <c r="BC85" s="1529"/>
      <c r="BD85" s="1529"/>
      <c r="BE85" s="1529">
        <f t="shared" si="184"/>
        <v>10102.422604488234</v>
      </c>
      <c r="BF85" s="1529">
        <f t="shared" si="185"/>
        <v>11262.073083792115</v>
      </c>
      <c r="BG85" s="1529">
        <f t="shared" si="186"/>
        <v>13815.291263923147</v>
      </c>
      <c r="BH85" s="1529">
        <f t="shared" si="187"/>
        <v>10617.130742453461</v>
      </c>
      <c r="BI85" s="1529">
        <f t="shared" si="188"/>
        <v>11569.06405480059</v>
      </c>
      <c r="BJ85" s="1529">
        <f t="shared" si="189"/>
        <v>13741.552985530434</v>
      </c>
      <c r="BK85" s="1529">
        <f t="shared" si="190"/>
        <v>13139.194573959921</v>
      </c>
      <c r="BL85" s="1529">
        <f t="shared" si="191"/>
        <v>11173.249187914729</v>
      </c>
      <c r="BM85" s="1529">
        <f t="shared" si="192"/>
        <v>12366.693244888422</v>
      </c>
      <c r="BN85" s="1529">
        <f t="shared" si="193"/>
        <v>12214.685129803944</v>
      </c>
      <c r="BO85" s="1529">
        <f t="shared" si="194"/>
        <v>12064.887426644345</v>
      </c>
      <c r="BP85" s="1529">
        <f t="shared" si="195"/>
        <v>14334.545454545456</v>
      </c>
      <c r="BQ85" s="1529"/>
      <c r="BR85" s="1587"/>
      <c r="BS85" s="1477"/>
      <c r="BV85" s="1444"/>
      <c r="BW85" s="1444"/>
      <c r="BX85" s="1837" t="s">
        <v>945</v>
      </c>
      <c r="BY85" s="1838">
        <f t="shared" ref="BY85:CF85" si="207">BZ85-0.25</f>
        <v>0</v>
      </c>
      <c r="BZ85" s="1838">
        <f t="shared" si="207"/>
        <v>0.25</v>
      </c>
      <c r="CA85" s="1838">
        <f t="shared" si="207"/>
        <v>0.5</v>
      </c>
      <c r="CB85" s="1838">
        <f t="shared" si="207"/>
        <v>0.75</v>
      </c>
      <c r="CC85" s="1838">
        <f t="shared" si="207"/>
        <v>1</v>
      </c>
      <c r="CD85" s="1838">
        <f t="shared" si="207"/>
        <v>1.25</v>
      </c>
      <c r="CE85" s="1838">
        <f t="shared" si="207"/>
        <v>1.5</v>
      </c>
      <c r="CF85" s="1838">
        <f t="shared" si="207"/>
        <v>1.75</v>
      </c>
      <c r="CG85" s="1838">
        <v>2</v>
      </c>
      <c r="CH85" s="1838">
        <f t="shared" ref="CH85:CW85" si="208">CG85+0.25</f>
        <v>2.25</v>
      </c>
      <c r="CI85" s="1838">
        <f t="shared" si="208"/>
        <v>2.5</v>
      </c>
      <c r="CJ85" s="1838">
        <f t="shared" si="208"/>
        <v>2.75</v>
      </c>
      <c r="CK85" s="1838">
        <f t="shared" si="208"/>
        <v>3</v>
      </c>
      <c r="CL85" s="1838">
        <f t="shared" si="208"/>
        <v>3.25</v>
      </c>
      <c r="CM85" s="1838">
        <f t="shared" si="208"/>
        <v>3.5</v>
      </c>
      <c r="CN85" s="1838">
        <f t="shared" si="208"/>
        <v>3.75</v>
      </c>
      <c r="CO85" s="1838">
        <f t="shared" si="208"/>
        <v>4</v>
      </c>
      <c r="CP85" s="1838">
        <f t="shared" si="208"/>
        <v>4.25</v>
      </c>
      <c r="CQ85" s="1838">
        <f t="shared" si="208"/>
        <v>4.5</v>
      </c>
      <c r="CR85" s="1838">
        <f t="shared" si="208"/>
        <v>4.75</v>
      </c>
      <c r="CS85" s="1838">
        <f t="shared" si="208"/>
        <v>5</v>
      </c>
      <c r="CT85" s="1838">
        <f t="shared" si="208"/>
        <v>5.25</v>
      </c>
      <c r="CU85" s="1838">
        <f t="shared" si="208"/>
        <v>5.5</v>
      </c>
      <c r="CV85" s="1838">
        <f t="shared" si="208"/>
        <v>5.75</v>
      </c>
      <c r="CW85" s="1838">
        <f t="shared" si="208"/>
        <v>6</v>
      </c>
    </row>
    <row r="86" spans="1:101" ht="12.75" customHeight="1">
      <c r="A86" s="1445"/>
      <c r="B86" s="1446"/>
      <c r="C86" s="1649" t="s">
        <v>810</v>
      </c>
      <c r="D86" s="1649"/>
      <c r="E86" s="1649"/>
      <c r="F86" s="1651"/>
      <c r="G86" s="1677">
        <f t="shared" ref="G86:AX86" si="209">IF(ISBLANK(G229),"",G229)</f>
        <v>7779.6850119745413</v>
      </c>
      <c r="H86" s="1678">
        <f t="shared" si="209"/>
        <v>9492.1346187852487</v>
      </c>
      <c r="I86" s="1678">
        <f t="shared" si="209"/>
        <v>11670.518647143224</v>
      </c>
      <c r="J86" s="1679">
        <f t="shared" si="209"/>
        <v>9043.648694139978</v>
      </c>
      <c r="K86" s="1677">
        <f t="shared" si="209"/>
        <v>9487.2668594512506</v>
      </c>
      <c r="L86" s="1678">
        <f t="shared" si="209"/>
        <v>10409.06834561809</v>
      </c>
      <c r="M86" s="1678">
        <f t="shared" si="209"/>
        <v>11468.42132683538</v>
      </c>
      <c r="N86" s="1679">
        <f t="shared" si="209"/>
        <v>9514.2850054382216</v>
      </c>
      <c r="O86" s="1677">
        <f t="shared" si="209"/>
        <v>12376.233457669894</v>
      </c>
      <c r="P86" s="1678">
        <f t="shared" si="209"/>
        <v>14387.401369304029</v>
      </c>
      <c r="Q86" s="1678">
        <f t="shared" si="209"/>
        <v>15593.259988776501</v>
      </c>
      <c r="R86" s="1678">
        <f t="shared" si="209"/>
        <v>10321.248406616682</v>
      </c>
      <c r="S86" s="1677">
        <f t="shared" si="209"/>
        <v>10013.535130755854</v>
      </c>
      <c r="T86" s="1678">
        <f t="shared" si="209"/>
        <v>9797.5059785309622</v>
      </c>
      <c r="U86" s="1678">
        <f t="shared" si="209"/>
        <v>11556.783290642117</v>
      </c>
      <c r="V86" s="1678">
        <f t="shared" si="209"/>
        <v>8955.14579243558</v>
      </c>
      <c r="W86" s="1677">
        <f t="shared" si="209"/>
        <v>14102.021173316958</v>
      </c>
      <c r="X86" s="1678">
        <f t="shared" si="209"/>
        <v>10515.051888952205</v>
      </c>
      <c r="Y86" s="1825">
        <f t="shared" si="209"/>
        <v>9329.8105397704876</v>
      </c>
      <c r="Z86" s="1826">
        <f t="shared" si="209"/>
        <v>10242.15556320529</v>
      </c>
      <c r="AA86" s="1677">
        <f t="shared" si="209"/>
        <v>13812.6485828859</v>
      </c>
      <c r="AB86" s="1678">
        <f t="shared" si="209"/>
        <v>11166.919578014331</v>
      </c>
      <c r="AC86" s="1825">
        <f t="shared" si="209"/>
        <v>12281.123997010438</v>
      </c>
      <c r="AD86" s="1826">
        <f t="shared" si="209"/>
        <v>14039.404430911989</v>
      </c>
      <c r="AE86" s="1677">
        <f t="shared" si="209"/>
        <v>13452.093034820135</v>
      </c>
      <c r="AF86" s="1680">
        <f t="shared" si="209"/>
        <v>13851.754927196182</v>
      </c>
      <c r="AG86" s="1680">
        <f t="shared" si="209"/>
        <v>13069.487986386619</v>
      </c>
      <c r="AH86" s="1681">
        <f t="shared" si="209"/>
        <v>10415.320938137747</v>
      </c>
      <c r="AI86" s="1680">
        <f t="shared" si="209"/>
        <v>9752.8895345008495</v>
      </c>
      <c r="AJ86" s="1680">
        <f t="shared" si="209"/>
        <v>10932.723139999998</v>
      </c>
      <c r="AK86" s="1680">
        <f t="shared" si="209"/>
        <v>11696.829462716889</v>
      </c>
      <c r="AL86" s="1681">
        <f t="shared" si="209"/>
        <v>10483.05478949106</v>
      </c>
      <c r="AM86" s="1680">
        <f t="shared" si="209"/>
        <v>10268.572478822029</v>
      </c>
      <c r="AN86" s="1680">
        <f t="shared" si="209"/>
        <v>11220.301032466725</v>
      </c>
      <c r="AO86" s="1680">
        <f t="shared" si="209"/>
        <v>12291.296625222027</v>
      </c>
      <c r="AP86" s="1681">
        <f t="shared" si="209"/>
        <v>10396.323951751867</v>
      </c>
      <c r="AQ86" s="1680">
        <f t="shared" si="209"/>
        <v>11688.854504578794</v>
      </c>
      <c r="AR86" s="1680">
        <f t="shared" si="209"/>
        <v>11265.073570860448</v>
      </c>
      <c r="AS86" s="1680">
        <f t="shared" si="209"/>
        <v>12554.63520359593</v>
      </c>
      <c r="AT86" s="1681">
        <f t="shared" si="209"/>
        <v>9606.3783866369322</v>
      </c>
      <c r="AU86" s="1680">
        <f t="shared" si="209"/>
        <v>11517.869933034026</v>
      </c>
      <c r="AV86" s="1680">
        <f t="shared" si="209"/>
        <v>11100.28806709878</v>
      </c>
      <c r="AW86" s="1680">
        <f t="shared" si="209"/>
        <v>12370.985991404368</v>
      </c>
      <c r="AX86" s="1681">
        <f t="shared" si="209"/>
        <v>9465.8562771442867</v>
      </c>
      <c r="AY86" s="1830">
        <f t="shared" si="203"/>
        <v>12597.272727272726</v>
      </c>
      <c r="AZ86" s="1830">
        <f t="shared" si="203"/>
        <v>12597.272727272726</v>
      </c>
      <c r="BA86" s="1830">
        <f t="shared" si="203"/>
        <v>12597.272727272726</v>
      </c>
      <c r="BB86" s="1831">
        <f t="shared" si="203"/>
        <v>12597.272727272726</v>
      </c>
      <c r="BC86" s="1529"/>
      <c r="BD86" s="1529"/>
      <c r="BE86" s="1529">
        <f t="shared" si="184"/>
        <v>9496.4967430107481</v>
      </c>
      <c r="BF86" s="1529">
        <f t="shared" si="185"/>
        <v>10219.760384335736</v>
      </c>
      <c r="BG86" s="1529">
        <f t="shared" si="186"/>
        <v>13169.535805591777</v>
      </c>
      <c r="BH86" s="1529">
        <f t="shared" si="187"/>
        <v>10080.742548091128</v>
      </c>
      <c r="BI86" s="1529">
        <f t="shared" si="188"/>
        <v>11047.259791311235</v>
      </c>
      <c r="BJ86" s="1529">
        <f t="shared" si="189"/>
        <v>12825.024147205666</v>
      </c>
      <c r="BK86" s="1529">
        <f t="shared" si="190"/>
        <v>12697.16422163517</v>
      </c>
      <c r="BL86" s="1529">
        <f t="shared" si="191"/>
        <v>10716.3742316772</v>
      </c>
      <c r="BM86" s="1529">
        <f t="shared" si="192"/>
        <v>11044.123522065662</v>
      </c>
      <c r="BN86" s="1529">
        <f t="shared" si="193"/>
        <v>11278.735416418027</v>
      </c>
      <c r="BO86" s="1529">
        <f t="shared" si="194"/>
        <v>11113.750067170366</v>
      </c>
      <c r="BP86" s="1529">
        <f t="shared" si="195"/>
        <v>12597.272727272726</v>
      </c>
      <c r="BQ86" s="1529"/>
      <c r="BR86" s="1587"/>
      <c r="BS86" s="1477"/>
      <c r="BV86" s="1444"/>
      <c r="BW86" s="1444"/>
      <c r="BX86" s="1839" t="s">
        <v>946</v>
      </c>
      <c r="BY86" s="1840">
        <v>0.35</v>
      </c>
      <c r="BZ86" s="1840">
        <v>0.35</v>
      </c>
      <c r="CA86" s="1840">
        <v>0.35</v>
      </c>
      <c r="CB86" s="1840">
        <v>0.35</v>
      </c>
      <c r="CC86" s="1840">
        <v>0.35</v>
      </c>
      <c r="CD86" s="1840">
        <v>0.35</v>
      </c>
      <c r="CE86" s="1840">
        <v>0.35</v>
      </c>
      <c r="CF86" s="1840">
        <v>0.4</v>
      </c>
      <c r="CG86" s="1840">
        <v>0.45</v>
      </c>
      <c r="CH86" s="1840">
        <v>0.5</v>
      </c>
      <c r="CI86" s="1840">
        <v>0.55000000000000004</v>
      </c>
      <c r="CJ86" s="1840">
        <v>0.65</v>
      </c>
      <c r="CK86" s="1840">
        <v>0.7</v>
      </c>
      <c r="CL86" s="1840">
        <v>0.75</v>
      </c>
      <c r="CM86" s="1840">
        <v>0.75</v>
      </c>
      <c r="CN86" s="1840">
        <v>0.75</v>
      </c>
      <c r="CO86" s="1840">
        <v>0.75</v>
      </c>
      <c r="CP86" s="1840">
        <v>0.75</v>
      </c>
      <c r="CQ86" s="1840">
        <v>0.75</v>
      </c>
      <c r="CR86" s="1840">
        <v>0.75</v>
      </c>
      <c r="CS86" s="1840">
        <v>0.75</v>
      </c>
      <c r="CT86" s="1840">
        <v>0.75</v>
      </c>
      <c r="CU86" s="1840">
        <v>0.75</v>
      </c>
      <c r="CV86" s="1840">
        <v>0.75</v>
      </c>
      <c r="CW86" s="1840">
        <v>0.75</v>
      </c>
    </row>
    <row r="87" spans="1:101" ht="12.75" customHeight="1">
      <c r="A87" s="1445"/>
      <c r="B87" s="1446"/>
      <c r="C87" s="1649" t="s">
        <v>811</v>
      </c>
      <c r="D87" s="1649"/>
      <c r="E87" s="1649"/>
      <c r="F87" s="1651"/>
      <c r="G87" s="1677">
        <f t="shared" ref="G87:AX87" si="210">IF(ISBLANK(G230),"",G230)</f>
        <v>8322.8273734562244</v>
      </c>
      <c r="H87" s="1678">
        <f t="shared" si="210"/>
        <v>9108.0848492485366</v>
      </c>
      <c r="I87" s="1678">
        <f t="shared" si="210"/>
        <v>11390.781083275977</v>
      </c>
      <c r="J87" s="1679">
        <f t="shared" si="210"/>
        <v>8539.6099607496708</v>
      </c>
      <c r="K87" s="1677">
        <f t="shared" si="210"/>
        <v>11901.725588831843</v>
      </c>
      <c r="L87" s="1678">
        <f t="shared" si="210"/>
        <v>9599.6827009411682</v>
      </c>
      <c r="M87" s="1678">
        <f t="shared" si="210"/>
        <v>26908.502434603772</v>
      </c>
      <c r="N87" s="1679">
        <f t="shared" si="210"/>
        <v>8859.7893372745511</v>
      </c>
      <c r="O87" s="1677">
        <f t="shared" si="210"/>
        <v>10308.713276672239</v>
      </c>
      <c r="P87" s="1678">
        <f t="shared" si="210"/>
        <v>13533.712435401714</v>
      </c>
      <c r="Q87" s="1678">
        <f t="shared" si="210"/>
        <v>10986.165899589667</v>
      </c>
      <c r="R87" s="1678">
        <f t="shared" si="210"/>
        <v>8231.0646137657277</v>
      </c>
      <c r="S87" s="1677">
        <f t="shared" si="210"/>
        <v>8288.1335792918544</v>
      </c>
      <c r="T87" s="1678">
        <f t="shared" si="210"/>
        <v>9101.2420308902474</v>
      </c>
      <c r="U87" s="1678">
        <f t="shared" si="210"/>
        <v>12127.883029718798</v>
      </c>
      <c r="V87" s="1678">
        <f t="shared" si="210"/>
        <v>9584.0310133954554</v>
      </c>
      <c r="W87" s="1677">
        <f t="shared" si="210"/>
        <v>11152.119574375303</v>
      </c>
      <c r="X87" s="1678">
        <f t="shared" si="210"/>
        <v>9729.5722809534491</v>
      </c>
      <c r="Y87" s="1825">
        <f t="shared" si="210"/>
        <v>9717.3949147704898</v>
      </c>
      <c r="Z87" s="1826">
        <f t="shared" si="210"/>
        <v>8918.234962157112</v>
      </c>
      <c r="AA87" s="1677">
        <f t="shared" si="210"/>
        <v>9169.9242686486396</v>
      </c>
      <c r="AB87" s="1678">
        <f t="shared" si="210"/>
        <v>10170.713295240166</v>
      </c>
      <c r="AC87" s="1825">
        <f t="shared" si="210"/>
        <v>12578.254164458334</v>
      </c>
      <c r="AD87" s="1826">
        <f t="shared" si="210"/>
        <v>10933.409709833057</v>
      </c>
      <c r="AE87" s="1677">
        <f t="shared" si="210"/>
        <v>10328.87726941304</v>
      </c>
      <c r="AF87" s="1680">
        <f t="shared" si="210"/>
        <v>11427.537023693696</v>
      </c>
      <c r="AG87" s="1680">
        <f t="shared" si="210"/>
        <v>11549.861420574975</v>
      </c>
      <c r="AH87" s="1681">
        <f t="shared" si="210"/>
        <v>9815.8983124706374</v>
      </c>
      <c r="AI87" s="1680">
        <f t="shared" si="210"/>
        <v>9203.2418044317055</v>
      </c>
      <c r="AJ87" s="1680">
        <f t="shared" si="210"/>
        <v>15003.296031746037</v>
      </c>
      <c r="AK87" s="1680">
        <f t="shared" si="210"/>
        <v>11185.979672546924</v>
      </c>
      <c r="AL87" s="1681">
        <f t="shared" si="210"/>
        <v>10103.434985375012</v>
      </c>
      <c r="AM87" s="1680">
        <f t="shared" si="210"/>
        <v>10702.474722563386</v>
      </c>
      <c r="AN87" s="1680">
        <f t="shared" si="210"/>
        <v>13950.242567483521</v>
      </c>
      <c r="AO87" s="1680">
        <f t="shared" si="210"/>
        <v>42227.750148016574</v>
      </c>
      <c r="AP87" s="1681">
        <f t="shared" si="210"/>
        <v>9375.9103963239504</v>
      </c>
      <c r="AQ87" s="1680">
        <f t="shared" si="210"/>
        <v>8449.0783547043502</v>
      </c>
      <c r="AR87" s="1680">
        <f t="shared" si="210"/>
        <v>10350.829814619823</v>
      </c>
      <c r="AS87" s="1680">
        <f t="shared" si="210"/>
        <v>27931.411143747304</v>
      </c>
      <c r="AT87" s="1681">
        <f t="shared" si="210"/>
        <v>15077.400848592317</v>
      </c>
      <c r="AU87" s="1680">
        <f t="shared" si="210"/>
        <v>7649.6148048687883</v>
      </c>
      <c r="AV87" s="1680">
        <f t="shared" si="210"/>
        <v>9371.419895580284</v>
      </c>
      <c r="AW87" s="1680">
        <f t="shared" si="210"/>
        <v>25288.502158004081</v>
      </c>
      <c r="AX87" s="1681">
        <f t="shared" si="210"/>
        <v>13650.756201842432</v>
      </c>
      <c r="AY87" s="1680">
        <f t="shared" ref="AY87:BB87" si="211">IF(ISBLANK(AY230),"",AY230)</f>
        <v>7140.7975020316026</v>
      </c>
      <c r="AZ87" s="1680">
        <f t="shared" si="211"/>
        <v>8748.076012697582</v>
      </c>
      <c r="BA87" s="1680">
        <f t="shared" si="211"/>
        <v>23606.426943885024</v>
      </c>
      <c r="BB87" s="1681">
        <f t="shared" si="211"/>
        <v>12742.770488903179</v>
      </c>
      <c r="BC87" s="1529"/>
      <c r="BD87" s="1529"/>
      <c r="BE87" s="1529">
        <f t="shared" si="184"/>
        <v>9340.3258166826035</v>
      </c>
      <c r="BF87" s="1529">
        <f t="shared" si="185"/>
        <v>14317.425015412833</v>
      </c>
      <c r="BG87" s="1529">
        <f t="shared" si="186"/>
        <v>10764.914056357338</v>
      </c>
      <c r="BH87" s="1529">
        <f t="shared" si="187"/>
        <v>9775.3224133240892</v>
      </c>
      <c r="BI87" s="1529">
        <f t="shared" si="188"/>
        <v>9879.3304330640894</v>
      </c>
      <c r="BJ87" s="1529">
        <f t="shared" si="189"/>
        <v>10713.075359545048</v>
      </c>
      <c r="BK87" s="1529">
        <f t="shared" si="190"/>
        <v>10780.543506538086</v>
      </c>
      <c r="BL87" s="1529">
        <f t="shared" si="191"/>
        <v>11373.988123524918</v>
      </c>
      <c r="BM87" s="1529">
        <f t="shared" si="192"/>
        <v>19064.094458596857</v>
      </c>
      <c r="BN87" s="1529">
        <f t="shared" si="193"/>
        <v>15452.180040415949</v>
      </c>
      <c r="BO87" s="1529">
        <f t="shared" si="194"/>
        <v>13990.073265073897</v>
      </c>
      <c r="BP87" s="1529">
        <f t="shared" si="195"/>
        <v>13059.517736879347</v>
      </c>
      <c r="BQ87" s="1529"/>
      <c r="BR87" s="1587"/>
      <c r="BS87" s="1477"/>
      <c r="BV87" s="1444"/>
      <c r="BW87" s="1444"/>
      <c r="BX87" s="1839" t="s">
        <v>807</v>
      </c>
      <c r="BY87" s="1840">
        <v>0.3</v>
      </c>
      <c r="BZ87" s="1840">
        <v>0.3</v>
      </c>
      <c r="CA87" s="1840">
        <v>0.3</v>
      </c>
      <c r="CB87" s="1840">
        <v>0.35</v>
      </c>
      <c r="CC87" s="1840">
        <v>0.35</v>
      </c>
      <c r="CD87" s="1840">
        <v>0.35</v>
      </c>
      <c r="CE87" s="1840">
        <v>0.4</v>
      </c>
      <c r="CF87" s="1840">
        <v>0.4</v>
      </c>
      <c r="CG87" s="1840">
        <v>0.4</v>
      </c>
      <c r="CH87" s="1840">
        <v>0.45</v>
      </c>
      <c r="CI87" s="1840">
        <v>0.45</v>
      </c>
      <c r="CJ87" s="1840">
        <v>0.5</v>
      </c>
      <c r="CK87" s="1840">
        <v>0.5</v>
      </c>
      <c r="CL87" s="1840">
        <v>0.5</v>
      </c>
      <c r="CM87" s="1840">
        <v>0.55000000000000004</v>
      </c>
      <c r="CN87" s="1840">
        <v>0.6</v>
      </c>
      <c r="CO87" s="1840">
        <v>0.65</v>
      </c>
      <c r="CP87" s="1840">
        <v>0.65</v>
      </c>
      <c r="CQ87" s="1840">
        <v>0.65</v>
      </c>
      <c r="CR87" s="1840">
        <v>0.65</v>
      </c>
      <c r="CS87" s="1840">
        <v>0.65</v>
      </c>
      <c r="CT87" s="1840">
        <v>0.65</v>
      </c>
      <c r="CU87" s="1840">
        <v>0.65</v>
      </c>
      <c r="CV87" s="1840">
        <v>0.65</v>
      </c>
      <c r="CW87" s="1840">
        <v>0.65</v>
      </c>
    </row>
    <row r="88" spans="1:101" ht="12.75" customHeight="1">
      <c r="A88" s="1445"/>
      <c r="B88" s="1446"/>
      <c r="C88" s="1649" t="s">
        <v>812</v>
      </c>
      <c r="D88" s="1649"/>
      <c r="E88" s="1649"/>
      <c r="F88" s="1651"/>
      <c r="G88" s="1677">
        <f t="shared" ref="G88:AX88" si="212">IF(ISBLANK(G231),"",G231)</f>
        <v>8352.5716177795221</v>
      </c>
      <c r="H88" s="1678">
        <f t="shared" si="212"/>
        <v>9071.6445094720693</v>
      </c>
      <c r="I88" s="1678">
        <f t="shared" si="212"/>
        <v>11366.418321843603</v>
      </c>
      <c r="J88" s="1679">
        <f t="shared" si="212"/>
        <v>8613.7018460944528</v>
      </c>
      <c r="K88" s="1677">
        <f t="shared" si="212"/>
        <v>12155.959864196333</v>
      </c>
      <c r="L88" s="1678">
        <f t="shared" si="212"/>
        <v>9203.9559760970442</v>
      </c>
      <c r="M88" s="1678">
        <f t="shared" si="212"/>
        <v>25900.934188048766</v>
      </c>
      <c r="N88" s="1679">
        <f t="shared" si="212"/>
        <v>8685.0849291008017</v>
      </c>
      <c r="O88" s="1677">
        <f t="shared" si="212"/>
        <v>10275.170594208994</v>
      </c>
      <c r="P88" s="1678">
        <f t="shared" si="212"/>
        <v>13744.748394706701</v>
      </c>
      <c r="Q88" s="1678">
        <f t="shared" si="212"/>
        <v>11197.401049824619</v>
      </c>
      <c r="R88" s="1678">
        <f t="shared" si="212"/>
        <v>8328.7852639674329</v>
      </c>
      <c r="S88" s="1677">
        <f t="shared" si="212"/>
        <v>8348.2723136297336</v>
      </c>
      <c r="T88" s="1678">
        <f t="shared" si="212"/>
        <v>8745.2844176240596</v>
      </c>
      <c r="U88" s="1678">
        <f t="shared" si="212"/>
        <v>10802.091476322017</v>
      </c>
      <c r="V88" s="1678">
        <f t="shared" si="212"/>
        <v>9346.0347165938329</v>
      </c>
      <c r="W88" s="1677">
        <f t="shared" si="212"/>
        <v>11627.729500479627</v>
      </c>
      <c r="X88" s="1678">
        <f t="shared" si="212"/>
        <v>8807.1484775102963</v>
      </c>
      <c r="Y88" s="1825">
        <f t="shared" si="212"/>
        <v>9558.6137410440133</v>
      </c>
      <c r="Z88" s="1826">
        <f t="shared" si="212"/>
        <v>9127.0058129911431</v>
      </c>
      <c r="AA88" s="1677">
        <f t="shared" si="212"/>
        <v>9202.2654654879479</v>
      </c>
      <c r="AB88" s="1678">
        <f t="shared" si="212"/>
        <v>10105.637756293225</v>
      </c>
      <c r="AC88" s="1825">
        <f t="shared" si="212"/>
        <v>12701.782913818659</v>
      </c>
      <c r="AD88" s="1826">
        <f t="shared" si="212"/>
        <v>9778.5805528245146</v>
      </c>
      <c r="AE88" s="1677">
        <f t="shared" si="212"/>
        <v>9897.4409429729876</v>
      </c>
      <c r="AF88" s="1680">
        <f t="shared" si="212"/>
        <v>10464.020312282828</v>
      </c>
      <c r="AG88" s="1680">
        <f t="shared" si="212"/>
        <v>10646.473017770773</v>
      </c>
      <c r="AH88" s="1681">
        <f t="shared" si="212"/>
        <v>8485.0446654235948</v>
      </c>
      <c r="AI88" s="1680">
        <f t="shared" si="212"/>
        <v>7557.3594798727981</v>
      </c>
      <c r="AJ88" s="1680">
        <f t="shared" si="212"/>
        <v>9066.5579365079357</v>
      </c>
      <c r="AK88" s="1680">
        <f t="shared" si="212"/>
        <v>9959.2555936766203</v>
      </c>
      <c r="AL88" s="1681">
        <f t="shared" si="212"/>
        <v>8152.0371878580636</v>
      </c>
      <c r="AM88" s="1680">
        <f t="shared" si="212"/>
        <v>10217.942265440148</v>
      </c>
      <c r="AN88" s="1680">
        <f t="shared" si="212"/>
        <v>13185.222042542606</v>
      </c>
      <c r="AO88" s="1680">
        <f t="shared" si="212"/>
        <v>42121.178211959741</v>
      </c>
      <c r="AP88" s="1681">
        <f t="shared" si="212"/>
        <v>9054.2561746122919</v>
      </c>
      <c r="AQ88" s="1680">
        <f t="shared" si="212"/>
        <v>8124.4846766764404</v>
      </c>
      <c r="AR88" s="1680">
        <f t="shared" si="212"/>
        <v>9664.2180564318169</v>
      </c>
      <c r="AS88" s="1680">
        <f t="shared" si="212"/>
        <v>27348.703499911488</v>
      </c>
      <c r="AT88" s="1681">
        <f t="shared" si="212"/>
        <v>14449.467045874115</v>
      </c>
      <c r="AU88" s="1680">
        <f t="shared" si="212"/>
        <v>7249.1447994286054</v>
      </c>
      <c r="AV88" s="1680">
        <f t="shared" si="212"/>
        <v>8622.9858080039758</v>
      </c>
      <c r="AW88" s="1680">
        <f t="shared" si="212"/>
        <v>24402.127597906943</v>
      </c>
      <c r="AX88" s="1681">
        <f t="shared" si="212"/>
        <v>12892.66741936461</v>
      </c>
      <c r="AY88" s="1680">
        <f t="shared" ref="AY88:BB88" si="213">IF(ISBLANK(AY231),"",AY231)</f>
        <v>6710.1011029636156</v>
      </c>
      <c r="AZ88" s="1680">
        <f t="shared" si="213"/>
        <v>7981.783807889703</v>
      </c>
      <c r="BA88" s="1680">
        <f t="shared" si="213"/>
        <v>22587.594514911703</v>
      </c>
      <c r="BB88" s="1681">
        <f t="shared" si="213"/>
        <v>11933.973491278659</v>
      </c>
      <c r="BC88" s="1529"/>
      <c r="BD88" s="1529"/>
      <c r="BE88" s="1529">
        <f t="shared" si="184"/>
        <v>9351.0840737974122</v>
      </c>
      <c r="BF88" s="1529">
        <f t="shared" si="185"/>
        <v>13986.483739360738</v>
      </c>
      <c r="BG88" s="1529">
        <f t="shared" si="186"/>
        <v>10886.526325676936</v>
      </c>
      <c r="BH88" s="1529">
        <f t="shared" si="187"/>
        <v>9310.4207310424099</v>
      </c>
      <c r="BI88" s="1529">
        <f t="shared" si="188"/>
        <v>9780.1243830062704</v>
      </c>
      <c r="BJ88" s="1529">
        <f t="shared" si="189"/>
        <v>10447.066672106088</v>
      </c>
      <c r="BK88" s="1529">
        <f t="shared" si="190"/>
        <v>9873.2447346125464</v>
      </c>
      <c r="BL88" s="1529">
        <f t="shared" si="191"/>
        <v>8683.8025494788544</v>
      </c>
      <c r="BM88" s="1529">
        <f t="shared" si="192"/>
        <v>18644.649673638698</v>
      </c>
      <c r="BN88" s="1529">
        <f t="shared" si="193"/>
        <v>14896.718319723466</v>
      </c>
      <c r="BO88" s="1529">
        <f t="shared" si="194"/>
        <v>13291.731406176033</v>
      </c>
      <c r="BP88" s="1529">
        <f t="shared" si="195"/>
        <v>12303.36322926092</v>
      </c>
      <c r="BQ88" s="1529"/>
      <c r="BR88" s="1587"/>
      <c r="BS88" s="1477"/>
      <c r="BV88" s="1444"/>
      <c r="BW88" s="1444"/>
      <c r="BX88" s="1839" t="s">
        <v>693</v>
      </c>
      <c r="BY88" s="1840">
        <v>0.35</v>
      </c>
      <c r="BZ88" s="1840">
        <v>0.35</v>
      </c>
      <c r="CA88" s="1840">
        <v>0.35</v>
      </c>
      <c r="CB88" s="1840">
        <v>0.35</v>
      </c>
      <c r="CC88" s="1840">
        <v>0.4</v>
      </c>
      <c r="CD88" s="1840">
        <v>0.45</v>
      </c>
      <c r="CE88" s="1840">
        <v>0.5</v>
      </c>
      <c r="CF88" s="1840">
        <v>0.5</v>
      </c>
      <c r="CG88" s="1840">
        <v>0.55000000000000004</v>
      </c>
      <c r="CH88" s="1840">
        <v>0.6</v>
      </c>
      <c r="CI88" s="1840">
        <v>0.65</v>
      </c>
      <c r="CJ88" s="1840">
        <v>0.65</v>
      </c>
      <c r="CK88" s="1840">
        <v>0.7</v>
      </c>
      <c r="CL88" s="1840">
        <v>0.75</v>
      </c>
      <c r="CM88" s="1840">
        <v>0.75</v>
      </c>
      <c r="CN88" s="1840">
        <v>0.75</v>
      </c>
      <c r="CO88" s="1840">
        <v>0.75</v>
      </c>
      <c r="CP88" s="1840">
        <v>0.75</v>
      </c>
      <c r="CQ88" s="1840">
        <v>0.8</v>
      </c>
      <c r="CR88" s="1840">
        <v>0.8</v>
      </c>
      <c r="CS88" s="1840">
        <v>0.8</v>
      </c>
      <c r="CT88" s="1840">
        <v>0.8</v>
      </c>
      <c r="CU88" s="1840">
        <v>0.8</v>
      </c>
      <c r="CV88" s="1840">
        <v>0.8</v>
      </c>
      <c r="CW88" s="1840">
        <v>0.8</v>
      </c>
    </row>
    <row r="89" spans="1:101" ht="12.75" customHeight="1">
      <c r="A89" s="1445"/>
      <c r="B89" s="1446"/>
      <c r="C89" s="1649" t="s">
        <v>813</v>
      </c>
      <c r="D89" s="1649"/>
      <c r="E89" s="1649"/>
      <c r="F89" s="1651"/>
      <c r="G89" s="1677">
        <f t="shared" ref="G89:AX89" si="214">IF(ISBLANK(G232),"",G232)</f>
        <v>8291.2421236984901</v>
      </c>
      <c r="H89" s="1678">
        <f t="shared" si="214"/>
        <v>9062.2667008499466</v>
      </c>
      <c r="I89" s="1678">
        <f t="shared" si="214"/>
        <v>11356.87806590117</v>
      </c>
      <c r="J89" s="1679">
        <f t="shared" si="214"/>
        <v>8347.9637882575953</v>
      </c>
      <c r="K89" s="1677">
        <f t="shared" si="214"/>
        <v>13250.060693463165</v>
      </c>
      <c r="L89" s="1678">
        <f t="shared" si="214"/>
        <v>9071.8879562291859</v>
      </c>
      <c r="M89" s="1678">
        <f t="shared" si="214"/>
        <v>25893.818464353088</v>
      </c>
      <c r="N89" s="1679">
        <f t="shared" si="214"/>
        <v>8802.8017856887855</v>
      </c>
      <c r="O89" s="1677">
        <f t="shared" si="214"/>
        <v>10427.411930587574</v>
      </c>
      <c r="P89" s="1678">
        <f t="shared" si="214"/>
        <v>13149.847473997354</v>
      </c>
      <c r="Q89" s="1678">
        <f t="shared" si="214"/>
        <v>10844.312381422489</v>
      </c>
      <c r="R89" s="1678">
        <f t="shared" si="214"/>
        <v>8425.2985003315698</v>
      </c>
      <c r="S89" s="1677">
        <f t="shared" si="214"/>
        <v>8251.6765077448854</v>
      </c>
      <c r="T89" s="1678">
        <f t="shared" si="214"/>
        <v>9002.9603883800482</v>
      </c>
      <c r="U89" s="1678">
        <f t="shared" si="214"/>
        <v>11341.851539958103</v>
      </c>
      <c r="V89" s="1678">
        <f t="shared" si="214"/>
        <v>9463.0903276979279</v>
      </c>
      <c r="W89" s="1677">
        <f t="shared" si="214"/>
        <v>11411.501790347942</v>
      </c>
      <c r="X89" s="1678">
        <f t="shared" si="214"/>
        <v>9045.8599574014897</v>
      </c>
      <c r="Y89" s="1825">
        <f t="shared" si="214"/>
        <v>9605.4610611369171</v>
      </c>
      <c r="Z89" s="1826">
        <f t="shared" si="214"/>
        <v>9120.4883109117491</v>
      </c>
      <c r="AA89" s="1677">
        <f t="shared" si="214"/>
        <v>9136.8775797345152</v>
      </c>
      <c r="AB89" s="1678">
        <f t="shared" si="214"/>
        <v>10167.155492757694</v>
      </c>
      <c r="AC89" s="1825">
        <f t="shared" si="214"/>
        <v>12511.457613677228</v>
      </c>
      <c r="AD89" s="1826">
        <f t="shared" si="214"/>
        <v>10876.683448674665</v>
      </c>
      <c r="AE89" s="1677">
        <f t="shared" si="214"/>
        <v>10196.657106772524</v>
      </c>
      <c r="AF89" s="1680">
        <f t="shared" si="214"/>
        <v>10689.109099653992</v>
      </c>
      <c r="AG89" s="1680">
        <f t="shared" si="214"/>
        <v>10773.277437367538</v>
      </c>
      <c r="AH89" s="1681">
        <f t="shared" si="214"/>
        <v>9535.7355641636423</v>
      </c>
      <c r="AI89" s="1680">
        <f t="shared" si="214"/>
        <v>8034.3920235132791</v>
      </c>
      <c r="AJ89" s="1680">
        <f t="shared" si="214"/>
        <v>11540.407142857141</v>
      </c>
      <c r="AK89" s="1680">
        <f t="shared" si="214"/>
        <v>10385.636582967496</v>
      </c>
      <c r="AL89" s="1681">
        <f t="shared" si="214"/>
        <v>9183.4832108958926</v>
      </c>
      <c r="AM89" s="1680">
        <f t="shared" si="214"/>
        <v>10634.225607691036</v>
      </c>
      <c r="AN89" s="1680">
        <f t="shared" si="214"/>
        <v>14236.347804453289</v>
      </c>
      <c r="AO89" s="1680">
        <f t="shared" si="214"/>
        <v>42547.465956187094</v>
      </c>
      <c r="AP89" s="1681">
        <f t="shared" si="214"/>
        <v>9496.5307294658251</v>
      </c>
      <c r="AQ89" s="1680">
        <f t="shared" si="214"/>
        <v>8720.1192578699338</v>
      </c>
      <c r="AR89" s="1680">
        <f t="shared" si="214"/>
        <v>10430.226716582347</v>
      </c>
      <c r="AS89" s="1680">
        <f t="shared" si="214"/>
        <v>28181.026283720643</v>
      </c>
      <c r="AT89" s="1681">
        <f t="shared" si="214"/>
        <v>14900.784624033387</v>
      </c>
      <c r="AU89" s="1680">
        <f t="shared" si="214"/>
        <v>7855.5760409850509</v>
      </c>
      <c r="AV89" s="1680">
        <f t="shared" si="214"/>
        <v>9396.1374465010304</v>
      </c>
      <c r="AW89" s="1680">
        <f t="shared" si="214"/>
        <v>25387.06046766177</v>
      </c>
      <c r="AX89" s="1681">
        <f t="shared" si="214"/>
        <v>13423.468558505469</v>
      </c>
      <c r="AY89" s="1680">
        <f t="shared" ref="AY89:BB89" si="215">IF(ISBLANK(AY232),"",AY232)</f>
        <v>7313.7196348895295</v>
      </c>
      <c r="AZ89" s="1680">
        <f t="shared" si="215"/>
        <v>8748.0172779255663</v>
      </c>
      <c r="BA89" s="1680">
        <f t="shared" si="215"/>
        <v>23635.929643573669</v>
      </c>
      <c r="BB89" s="1681">
        <f t="shared" si="215"/>
        <v>12497.553973438842</v>
      </c>
      <c r="BC89" s="1529"/>
      <c r="BD89" s="1529"/>
      <c r="BE89" s="1529">
        <f t="shared" si="184"/>
        <v>9264.5876696767991</v>
      </c>
      <c r="BF89" s="1529">
        <f t="shared" si="185"/>
        <v>14254.642224933556</v>
      </c>
      <c r="BG89" s="1529">
        <f t="shared" si="186"/>
        <v>10711.717571584746</v>
      </c>
      <c r="BH89" s="1529">
        <f t="shared" si="187"/>
        <v>9514.8946909452407</v>
      </c>
      <c r="BI89" s="1529">
        <f t="shared" si="188"/>
        <v>9795.8277799495245</v>
      </c>
      <c r="BJ89" s="1529">
        <f t="shared" si="189"/>
        <v>10673.043533711027</v>
      </c>
      <c r="BK89" s="1529">
        <f t="shared" si="190"/>
        <v>10298.694801989424</v>
      </c>
      <c r="BL89" s="1529">
        <f t="shared" si="191"/>
        <v>9785.9797400584521</v>
      </c>
      <c r="BM89" s="1529">
        <f t="shared" si="192"/>
        <v>19228.642524449311</v>
      </c>
      <c r="BN89" s="1529">
        <f t="shared" si="193"/>
        <v>15558.039220551578</v>
      </c>
      <c r="BO89" s="1529">
        <f t="shared" si="194"/>
        <v>14015.56062841333</v>
      </c>
      <c r="BP89" s="1529">
        <f t="shared" si="195"/>
        <v>13048.805132456902</v>
      </c>
      <c r="BQ89" s="1529"/>
      <c r="BR89" s="1587"/>
      <c r="BS89" s="1477"/>
      <c r="BV89" s="1444"/>
      <c r="BW89" s="1444"/>
      <c r="BX89" s="1885" t="s">
        <v>685</v>
      </c>
      <c r="BY89" s="1840">
        <f>BY87</f>
        <v>0.3</v>
      </c>
      <c r="BZ89" s="1840">
        <f t="shared" ref="BZ89:CW89" si="216">BZ87</f>
        <v>0.3</v>
      </c>
      <c r="CA89" s="1840">
        <f t="shared" si="216"/>
        <v>0.3</v>
      </c>
      <c r="CB89" s="1840">
        <f t="shared" si="216"/>
        <v>0.35</v>
      </c>
      <c r="CC89" s="1840">
        <f t="shared" si="216"/>
        <v>0.35</v>
      </c>
      <c r="CD89" s="1840">
        <f t="shared" si="216"/>
        <v>0.35</v>
      </c>
      <c r="CE89" s="1840">
        <f t="shared" si="216"/>
        <v>0.4</v>
      </c>
      <c r="CF89" s="1840">
        <f t="shared" si="216"/>
        <v>0.4</v>
      </c>
      <c r="CG89" s="1840">
        <f t="shared" si="216"/>
        <v>0.4</v>
      </c>
      <c r="CH89" s="1840">
        <f t="shared" si="216"/>
        <v>0.45</v>
      </c>
      <c r="CI89" s="1840">
        <f t="shared" si="216"/>
        <v>0.45</v>
      </c>
      <c r="CJ89" s="1840">
        <f t="shared" si="216"/>
        <v>0.5</v>
      </c>
      <c r="CK89" s="1840">
        <f t="shared" si="216"/>
        <v>0.5</v>
      </c>
      <c r="CL89" s="1840">
        <f t="shared" si="216"/>
        <v>0.5</v>
      </c>
      <c r="CM89" s="1840">
        <f t="shared" si="216"/>
        <v>0.55000000000000004</v>
      </c>
      <c r="CN89" s="1840">
        <f t="shared" si="216"/>
        <v>0.6</v>
      </c>
      <c r="CO89" s="1840">
        <f t="shared" si="216"/>
        <v>0.65</v>
      </c>
      <c r="CP89" s="1840">
        <f t="shared" si="216"/>
        <v>0.65</v>
      </c>
      <c r="CQ89" s="1840">
        <f t="shared" si="216"/>
        <v>0.65</v>
      </c>
      <c r="CR89" s="1840">
        <f t="shared" si="216"/>
        <v>0.65</v>
      </c>
      <c r="CS89" s="1840">
        <f t="shared" si="216"/>
        <v>0.65</v>
      </c>
      <c r="CT89" s="1840">
        <f t="shared" si="216"/>
        <v>0.65</v>
      </c>
      <c r="CU89" s="1840">
        <f t="shared" si="216"/>
        <v>0.65</v>
      </c>
      <c r="CV89" s="1840">
        <f t="shared" si="216"/>
        <v>0.65</v>
      </c>
      <c r="CW89" s="1840">
        <f t="shared" si="216"/>
        <v>0.65</v>
      </c>
    </row>
    <row r="90" spans="1:101" ht="12.75" customHeight="1">
      <c r="A90" s="1445"/>
      <c r="B90" s="1446"/>
      <c r="C90" s="1649" t="s">
        <v>814</v>
      </c>
      <c r="D90" s="1649"/>
      <c r="E90" s="1649"/>
      <c r="F90" s="1651"/>
      <c r="G90" s="1677">
        <f t="shared" ref="G90:AX90" si="217">IF(ISBLANK(G233),"",G233)</f>
        <v>8762.1583244586454</v>
      </c>
      <c r="H90" s="1678">
        <f t="shared" si="217"/>
        <v>8621.9499063828898</v>
      </c>
      <c r="I90" s="1678">
        <f t="shared" si="217"/>
        <v>10207.705218967056</v>
      </c>
      <c r="J90" s="1679">
        <f t="shared" si="217"/>
        <v>8941.757526174677</v>
      </c>
      <c r="K90" s="1677">
        <f t="shared" si="217"/>
        <v>7843.2743322702108</v>
      </c>
      <c r="L90" s="1678">
        <f t="shared" si="217"/>
        <v>8392.0085932164784</v>
      </c>
      <c r="M90" s="1678">
        <f t="shared" si="217"/>
        <v>10046.833347980197</v>
      </c>
      <c r="N90" s="1679">
        <f t="shared" si="217"/>
        <v>9235.6105140044056</v>
      </c>
      <c r="O90" s="1677">
        <f t="shared" si="217"/>
        <v>9126.4511339092878</v>
      </c>
      <c r="P90" s="1678">
        <f t="shared" si="217"/>
        <v>10134.401783568745</v>
      </c>
      <c r="Q90" s="1678">
        <f t="shared" si="217"/>
        <v>11754.765674803102</v>
      </c>
      <c r="R90" s="1678">
        <f t="shared" si="217"/>
        <v>8337.2335194144489</v>
      </c>
      <c r="S90" s="1677">
        <f t="shared" si="217"/>
        <v>8672.5647979371352</v>
      </c>
      <c r="T90" s="1678">
        <f t="shared" si="217"/>
        <v>9118.2506926640854</v>
      </c>
      <c r="U90" s="1678">
        <f t="shared" si="217"/>
        <v>11096.928780874063</v>
      </c>
      <c r="V90" s="1678">
        <f t="shared" si="217"/>
        <v>9096.6925445307006</v>
      </c>
      <c r="W90" s="1677">
        <f t="shared" si="217"/>
        <v>8683.9376258463581</v>
      </c>
      <c r="X90" s="1678">
        <f t="shared" si="217"/>
        <v>8703.3115203962152</v>
      </c>
      <c r="Y90" s="1825">
        <f t="shared" si="217"/>
        <v>9652.6653325011466</v>
      </c>
      <c r="Z90" s="1826">
        <f t="shared" si="217"/>
        <v>8969.1141558179552</v>
      </c>
      <c r="AA90" s="1677">
        <f t="shared" si="217"/>
        <v>8901.1780605231725</v>
      </c>
      <c r="AB90" s="1678">
        <f t="shared" si="217"/>
        <v>9551.0277881366437</v>
      </c>
      <c r="AC90" s="1825">
        <f t="shared" si="217"/>
        <v>10951.734672288083</v>
      </c>
      <c r="AD90" s="1826">
        <f t="shared" si="217"/>
        <v>9622.1211658004722</v>
      </c>
      <c r="AE90" s="1677">
        <f t="shared" si="217"/>
        <v>9084.1070239354394</v>
      </c>
      <c r="AF90" s="1680">
        <f t="shared" si="217"/>
        <v>10170.034204309035</v>
      </c>
      <c r="AG90" s="1680">
        <f t="shared" si="217"/>
        <v>11984.899139776866</v>
      </c>
      <c r="AH90" s="1681">
        <f t="shared" si="217"/>
        <v>8184.3072380613366</v>
      </c>
      <c r="AI90" s="1680">
        <f t="shared" si="217"/>
        <v>7389.8139328772922</v>
      </c>
      <c r="AJ90" s="1680">
        <f t="shared" si="217"/>
        <v>10342.646878449652</v>
      </c>
      <c r="AK90" s="1680">
        <f t="shared" si="217"/>
        <v>13770.107900873485</v>
      </c>
      <c r="AL90" s="1681">
        <f t="shared" si="217"/>
        <v>7056.5902948086296</v>
      </c>
      <c r="AM90" s="1680">
        <f t="shared" si="217"/>
        <v>6781.1777196375069</v>
      </c>
      <c r="AN90" s="1680">
        <f t="shared" si="217"/>
        <v>13492.720052945069</v>
      </c>
      <c r="AO90" s="1680">
        <f t="shared" si="217"/>
        <v>17437.576749897667</v>
      </c>
      <c r="AP90" s="1681">
        <f t="shared" si="217"/>
        <v>10429.362880886429</v>
      </c>
      <c r="AQ90" s="1680">
        <f t="shared" si="217"/>
        <v>10014.399767955705</v>
      </c>
      <c r="AR90" s="1680">
        <f t="shared" si="217"/>
        <v>14267.477999292238</v>
      </c>
      <c r="AS90" s="1680">
        <f t="shared" si="217"/>
        <v>19740.487786195776</v>
      </c>
      <c r="AT90" s="1681">
        <f t="shared" si="217"/>
        <v>10827.913239907981</v>
      </c>
      <c r="AU90" s="1680">
        <f t="shared" si="217"/>
        <v>10617.254547706931</v>
      </c>
      <c r="AV90" s="1680">
        <f t="shared" si="217"/>
        <v>15126.362955572005</v>
      </c>
      <c r="AW90" s="1680">
        <f t="shared" si="217"/>
        <v>20928.841326325935</v>
      </c>
      <c r="AX90" s="1681">
        <f t="shared" si="217"/>
        <v>11479.740548849391</v>
      </c>
      <c r="AY90" s="1680">
        <f t="shared" ref="AY90:BB90" si="218">IF(ISBLANK(AY233),"",AY233)</f>
        <v>10827.965041019528</v>
      </c>
      <c r="AZ90" s="1680">
        <f t="shared" si="218"/>
        <v>15426.561409520005</v>
      </c>
      <c r="BA90" s="1680">
        <f t="shared" si="218"/>
        <v>21344.196017175243</v>
      </c>
      <c r="BB90" s="1681">
        <f t="shared" si="218"/>
        <v>11707.567976672637</v>
      </c>
      <c r="BC90" s="1529"/>
      <c r="BD90" s="1529"/>
      <c r="BE90" s="1529">
        <f t="shared" si="184"/>
        <v>9133.392743995817</v>
      </c>
      <c r="BF90" s="1529">
        <f t="shared" si="185"/>
        <v>8879.4316968678213</v>
      </c>
      <c r="BG90" s="1529">
        <f t="shared" si="186"/>
        <v>9838.2130279238954</v>
      </c>
      <c r="BH90" s="1529">
        <f t="shared" si="187"/>
        <v>9496.1092040014955</v>
      </c>
      <c r="BI90" s="1529">
        <f t="shared" si="188"/>
        <v>9002.2571586404192</v>
      </c>
      <c r="BJ90" s="1529">
        <f t="shared" si="189"/>
        <v>9756.5154216870942</v>
      </c>
      <c r="BK90" s="1529">
        <f t="shared" si="190"/>
        <v>9855.8369015206681</v>
      </c>
      <c r="BL90" s="1529">
        <f t="shared" si="191"/>
        <v>9639.7897517522651</v>
      </c>
      <c r="BM90" s="1529">
        <f t="shared" si="192"/>
        <v>12035.209350841669</v>
      </c>
      <c r="BN90" s="1529">
        <f t="shared" si="193"/>
        <v>13712.569698337924</v>
      </c>
      <c r="BO90" s="1529">
        <f t="shared" si="194"/>
        <v>14538.049844613566</v>
      </c>
      <c r="BP90" s="1529">
        <f t="shared" si="195"/>
        <v>14826.572611096854</v>
      </c>
      <c r="BQ90" s="1529"/>
      <c r="BR90" s="1587"/>
      <c r="BS90" s="1477"/>
      <c r="BV90" s="1444"/>
      <c r="BW90" s="1444"/>
      <c r="BX90" s="1839" t="s">
        <v>809</v>
      </c>
      <c r="BY90" s="1840">
        <v>0.2</v>
      </c>
      <c r="BZ90" s="1840">
        <v>0.2</v>
      </c>
      <c r="CA90" s="1840">
        <v>0.2</v>
      </c>
      <c r="CB90" s="1840">
        <v>0.2</v>
      </c>
      <c r="CC90" s="1840">
        <v>0.2</v>
      </c>
      <c r="CD90" s="1840">
        <v>0.2</v>
      </c>
      <c r="CE90" s="1840">
        <v>0.2</v>
      </c>
      <c r="CF90" s="1840">
        <v>0.2</v>
      </c>
      <c r="CG90" s="1840">
        <v>0.25</v>
      </c>
      <c r="CH90" s="1840">
        <v>0.25</v>
      </c>
      <c r="CI90" s="1840">
        <v>0.25</v>
      </c>
      <c r="CJ90" s="1840">
        <v>0.35</v>
      </c>
      <c r="CK90" s="1840">
        <v>0.35</v>
      </c>
      <c r="CL90" s="1840">
        <v>0.4</v>
      </c>
      <c r="CM90" s="1840">
        <v>0.4</v>
      </c>
      <c r="CN90" s="1840">
        <v>0.45</v>
      </c>
      <c r="CO90" s="1840">
        <v>0.45</v>
      </c>
      <c r="CP90" s="1840">
        <v>0.5</v>
      </c>
      <c r="CQ90" s="1840">
        <v>0.5</v>
      </c>
      <c r="CR90" s="1840">
        <v>0.5</v>
      </c>
      <c r="CS90" s="1840">
        <v>0.5</v>
      </c>
      <c r="CT90" s="1840">
        <v>0.55000000000000004</v>
      </c>
      <c r="CU90" s="1840">
        <v>0.55000000000000004</v>
      </c>
      <c r="CV90" s="1840">
        <v>0.55000000000000004</v>
      </c>
      <c r="CW90" s="1840">
        <v>0.55000000000000004</v>
      </c>
    </row>
    <row r="91" spans="1:101" ht="12.75" customHeight="1">
      <c r="A91" s="1445"/>
      <c r="B91" s="1446"/>
      <c r="C91" s="1649" t="s">
        <v>815</v>
      </c>
      <c r="D91" s="1649"/>
      <c r="E91" s="1649"/>
      <c r="F91" s="1651"/>
      <c r="G91" s="1677">
        <f t="shared" ref="G91:AX91" si="219">IF(ISBLANK(G234),"",G234)</f>
        <v>11700.565161935485</v>
      </c>
      <c r="H91" s="1678">
        <f t="shared" si="219"/>
        <v>7677.8064845469125</v>
      </c>
      <c r="I91" s="1678">
        <f t="shared" si="219"/>
        <v>9417.3479567810555</v>
      </c>
      <c r="J91" s="1679">
        <f t="shared" si="219"/>
        <v>8861.4285224737796</v>
      </c>
      <c r="K91" s="1677">
        <f t="shared" si="219"/>
        <v>7380.0484170231503</v>
      </c>
      <c r="L91" s="1678">
        <f t="shared" si="219"/>
        <v>7514.6167798312563</v>
      </c>
      <c r="M91" s="1678">
        <f t="shared" si="219"/>
        <v>9858.7607644940235</v>
      </c>
      <c r="N91" s="1679">
        <f t="shared" si="219"/>
        <v>9067.8163253889288</v>
      </c>
      <c r="O91" s="1677">
        <f t="shared" si="219"/>
        <v>9110.09482114807</v>
      </c>
      <c r="P91" s="1678">
        <f t="shared" si="219"/>
        <v>8904.2289277994641</v>
      </c>
      <c r="Q91" s="1678">
        <f t="shared" si="219"/>
        <v>11626.092314450982</v>
      </c>
      <c r="R91" s="1678">
        <f t="shared" si="219"/>
        <v>11418.003440809496</v>
      </c>
      <c r="S91" s="1677">
        <f t="shared" si="219"/>
        <v>11446.755519845941</v>
      </c>
      <c r="T91" s="1678">
        <f t="shared" si="219"/>
        <v>10899.370648108434</v>
      </c>
      <c r="U91" s="1678">
        <f t="shared" si="219"/>
        <v>12691.456396801643</v>
      </c>
      <c r="V91" s="1678">
        <f t="shared" si="219"/>
        <v>10961.734784397329</v>
      </c>
      <c r="W91" s="1677">
        <f t="shared" si="219"/>
        <v>9780.5118738082929</v>
      </c>
      <c r="X91" s="1678">
        <f t="shared" si="219"/>
        <v>8324.2136157281893</v>
      </c>
      <c r="Y91" s="1825">
        <f t="shared" si="219"/>
        <v>10316.639645621897</v>
      </c>
      <c r="Z91" s="1826">
        <f t="shared" si="219"/>
        <v>10289.620298252388</v>
      </c>
      <c r="AA91" s="1677">
        <f t="shared" si="219"/>
        <v>10095.511697752157</v>
      </c>
      <c r="AB91" s="1678">
        <f t="shared" si="219"/>
        <v>10336.636771049025</v>
      </c>
      <c r="AC91" s="1825">
        <f t="shared" si="219"/>
        <v>11870.802114159645</v>
      </c>
      <c r="AD91" s="1826">
        <f t="shared" si="219"/>
        <v>12988.979109047015</v>
      </c>
      <c r="AE91" s="1677">
        <f t="shared" si="219"/>
        <v>10470.96990745581</v>
      </c>
      <c r="AF91" s="1680">
        <f t="shared" si="219"/>
        <v>9544.9231897338559</v>
      </c>
      <c r="AG91" s="1680">
        <f t="shared" si="219"/>
        <v>12095.15192624512</v>
      </c>
      <c r="AH91" s="1681">
        <f t="shared" si="219"/>
        <v>10647.652335388861</v>
      </c>
      <c r="AI91" s="1680">
        <f t="shared" si="219"/>
        <v>8571.6422127332826</v>
      </c>
      <c r="AJ91" s="1680">
        <f t="shared" si="219"/>
        <v>10073.898611437213</v>
      </c>
      <c r="AK91" s="1680">
        <f t="shared" si="219"/>
        <v>13498.819391065657</v>
      </c>
      <c r="AL91" s="1681">
        <f t="shared" si="219"/>
        <v>11005.243762763848</v>
      </c>
      <c r="AM91" s="1680">
        <f t="shared" si="219"/>
        <v>8859.7525685270448</v>
      </c>
      <c r="AN91" s="1680">
        <f t="shared" si="219"/>
        <v>13716.08206485771</v>
      </c>
      <c r="AO91" s="1680">
        <f t="shared" si="219"/>
        <v>18972.574703233728</v>
      </c>
      <c r="AP91" s="1681">
        <f t="shared" si="219"/>
        <v>16516.620498614961</v>
      </c>
      <c r="AQ91" s="1680">
        <f t="shared" si="219"/>
        <v>13499.713741880851</v>
      </c>
      <c r="AR91" s="1680">
        <f t="shared" si="219"/>
        <v>14061.965375588867</v>
      </c>
      <c r="AS91" s="1680">
        <f t="shared" si="219"/>
        <v>19672.051621639861</v>
      </c>
      <c r="AT91" s="1681">
        <f t="shared" si="219"/>
        <v>15045.105469581529</v>
      </c>
      <c r="AU91" s="1680">
        <f t="shared" si="219"/>
        <v>14061.523642976674</v>
      </c>
      <c r="AV91" s="1680">
        <f t="shared" si="219"/>
        <v>14647.174182821826</v>
      </c>
      <c r="AW91" s="1680">
        <f t="shared" si="219"/>
        <v>20490.732194222554</v>
      </c>
      <c r="AX91" s="1681">
        <f t="shared" si="219"/>
        <v>15671.229058381727</v>
      </c>
      <c r="AY91" s="1680">
        <f t="shared" ref="AY91:BB91" si="220">IF(ISBLANK(AY234),"",AY234)</f>
        <v>13906.632702001074</v>
      </c>
      <c r="AZ91" s="1680">
        <f t="shared" si="220"/>
        <v>14485.832165454884</v>
      </c>
      <c r="BA91" s="1680">
        <f t="shared" si="220"/>
        <v>20265.02203141047</v>
      </c>
      <c r="BB91" s="1681">
        <f t="shared" si="220"/>
        <v>15498.606839287475</v>
      </c>
      <c r="BC91" s="1529"/>
      <c r="BD91" s="1529"/>
      <c r="BE91" s="1529">
        <f t="shared" si="184"/>
        <v>9414.287031434309</v>
      </c>
      <c r="BF91" s="1529">
        <f t="shared" si="185"/>
        <v>8455.3105716843402</v>
      </c>
      <c r="BG91" s="1529">
        <f t="shared" si="186"/>
        <v>10264.604876052003</v>
      </c>
      <c r="BH91" s="1529">
        <f t="shared" si="187"/>
        <v>11499.829337288338</v>
      </c>
      <c r="BI91" s="1529">
        <f t="shared" si="188"/>
        <v>9677.7463583526915</v>
      </c>
      <c r="BJ91" s="1529">
        <f t="shared" si="189"/>
        <v>11322.982423001962</v>
      </c>
      <c r="BK91" s="1529">
        <f t="shared" si="190"/>
        <v>10689.674339705913</v>
      </c>
      <c r="BL91" s="1529">
        <f t="shared" si="191"/>
        <v>10787.4009945</v>
      </c>
      <c r="BM91" s="1529">
        <f t="shared" si="192"/>
        <v>14516.257458808361</v>
      </c>
      <c r="BN91" s="1529">
        <f t="shared" si="193"/>
        <v>15569.709052172777</v>
      </c>
      <c r="BO91" s="1529">
        <f t="shared" si="194"/>
        <v>16217.664769600695</v>
      </c>
      <c r="BP91" s="1529">
        <f t="shared" si="195"/>
        <v>16039.023434538474</v>
      </c>
      <c r="BQ91" s="1529"/>
      <c r="BR91" s="1587"/>
      <c r="BS91" s="1477"/>
      <c r="BV91" s="1444"/>
      <c r="BW91" s="1444"/>
      <c r="BX91" s="1839" t="s">
        <v>810</v>
      </c>
      <c r="BY91" s="1840">
        <v>0.2</v>
      </c>
      <c r="BZ91" s="1840">
        <v>0.2</v>
      </c>
      <c r="CA91" s="1840">
        <v>0.2</v>
      </c>
      <c r="CB91" s="1840">
        <v>0.2</v>
      </c>
      <c r="CC91" s="1840">
        <v>0.2</v>
      </c>
      <c r="CD91" s="1840">
        <v>0.2</v>
      </c>
      <c r="CE91" s="1840">
        <v>0.2</v>
      </c>
      <c r="CF91" s="1840">
        <v>0.2</v>
      </c>
      <c r="CG91" s="1840">
        <v>0.25</v>
      </c>
      <c r="CH91" s="1840">
        <v>0.25</v>
      </c>
      <c r="CI91" s="1840">
        <v>0.3</v>
      </c>
      <c r="CJ91" s="1840">
        <v>0.3</v>
      </c>
      <c r="CK91" s="1840">
        <v>0.3</v>
      </c>
      <c r="CL91" s="1840">
        <v>0.35</v>
      </c>
      <c r="CM91" s="1840">
        <v>0.35</v>
      </c>
      <c r="CN91" s="1840">
        <v>0.4</v>
      </c>
      <c r="CO91" s="1840">
        <v>0.4</v>
      </c>
      <c r="CP91" s="1840">
        <v>0.4</v>
      </c>
      <c r="CQ91" s="1840">
        <v>0.45</v>
      </c>
      <c r="CR91" s="1840">
        <v>0.5</v>
      </c>
      <c r="CS91" s="1840">
        <v>0.5</v>
      </c>
      <c r="CT91" s="1840">
        <v>0.5</v>
      </c>
      <c r="CU91" s="1840">
        <v>0.5</v>
      </c>
      <c r="CV91" s="1840">
        <v>0.5</v>
      </c>
      <c r="CW91" s="1840">
        <v>0.5</v>
      </c>
    </row>
    <row r="92" spans="1:101" ht="12.75" customHeight="1">
      <c r="A92" s="1445"/>
      <c r="B92" s="1446"/>
      <c r="C92" s="1649" t="s">
        <v>816</v>
      </c>
      <c r="D92" s="1649"/>
      <c r="E92" s="1649"/>
      <c r="F92" s="1651"/>
      <c r="G92" s="1677">
        <f t="shared" ref="G92:AX92" si="221">IF(ISBLANK(G235),"",G235)</f>
        <v>8632.7440232942572</v>
      </c>
      <c r="H92" s="1678">
        <f t="shared" si="221"/>
        <v>7516.769717405763</v>
      </c>
      <c r="I92" s="1678">
        <f t="shared" si="221"/>
        <v>9030.4493391427277</v>
      </c>
      <c r="J92" s="1679">
        <f t="shared" si="221"/>
        <v>8952.3408360904396</v>
      </c>
      <c r="K92" s="1677">
        <f t="shared" si="221"/>
        <v>7313.7886058323793</v>
      </c>
      <c r="L92" s="1678">
        <f t="shared" si="221"/>
        <v>7216.4963764112617</v>
      </c>
      <c r="M92" s="1678">
        <f t="shared" si="221"/>
        <v>9638.9175401523808</v>
      </c>
      <c r="N92" s="1679">
        <f t="shared" si="221"/>
        <v>9023.6993277436741</v>
      </c>
      <c r="O92" s="1677">
        <f t="shared" si="221"/>
        <v>9302.9595264683994</v>
      </c>
      <c r="P92" s="1678">
        <f t="shared" si="221"/>
        <v>10497.69497247698</v>
      </c>
      <c r="Q92" s="1678">
        <f t="shared" si="221"/>
        <v>10394.090269805383</v>
      </c>
      <c r="R92" s="1678">
        <f t="shared" si="221"/>
        <v>9503.8147240986618</v>
      </c>
      <c r="S92" s="1677">
        <f t="shared" si="221"/>
        <v>10227.558514001141</v>
      </c>
      <c r="T92" s="1678">
        <f t="shared" si="221"/>
        <v>12726.79042355791</v>
      </c>
      <c r="U92" s="1678">
        <f t="shared" si="221"/>
        <v>11380.821957728594</v>
      </c>
      <c r="V92" s="1678">
        <f t="shared" si="221"/>
        <v>11365.162652273772</v>
      </c>
      <c r="W92" s="1677">
        <f t="shared" si="221"/>
        <v>9936.1125151956894</v>
      </c>
      <c r="X92" s="1678">
        <f t="shared" si="221"/>
        <v>8914.437491759827</v>
      </c>
      <c r="Y92" s="1825">
        <f t="shared" si="221"/>
        <v>10324.753615972111</v>
      </c>
      <c r="Z92" s="1826">
        <f t="shared" si="221"/>
        <v>10613.533213405261</v>
      </c>
      <c r="AA92" s="1677">
        <f t="shared" si="221"/>
        <v>10794.686554329206</v>
      </c>
      <c r="AB92" s="1678">
        <f t="shared" si="221"/>
        <v>13050.491884183193</v>
      </c>
      <c r="AC92" s="1825">
        <f t="shared" si="221"/>
        <v>11947.399352794859</v>
      </c>
      <c r="AD92" s="1826">
        <f t="shared" si="221"/>
        <v>12563.163583983367</v>
      </c>
      <c r="AE92" s="1677">
        <f t="shared" si="221"/>
        <v>11106.232529645211</v>
      </c>
      <c r="AF92" s="1680">
        <f t="shared" si="221"/>
        <v>11716.347808318487</v>
      </c>
      <c r="AG92" s="1680">
        <f t="shared" si="221"/>
        <v>12357.27579637696</v>
      </c>
      <c r="AH92" s="1681">
        <f t="shared" si="221"/>
        <v>11990.682866775438</v>
      </c>
      <c r="AI92" s="1680">
        <f t="shared" si="221"/>
        <v>9449.9884488374046</v>
      </c>
      <c r="AJ92" s="1680">
        <f t="shared" si="221"/>
        <v>11403.16250934641</v>
      </c>
      <c r="AK92" s="1680">
        <f t="shared" si="221"/>
        <v>14923.468157166129</v>
      </c>
      <c r="AL92" s="1681">
        <f t="shared" si="221"/>
        <v>11110.096130842672</v>
      </c>
      <c r="AM92" s="1680">
        <f t="shared" si="221"/>
        <v>8835.3985409444631</v>
      </c>
      <c r="AN92" s="1680">
        <f t="shared" si="221"/>
        <v>14377.895433487756</v>
      </c>
      <c r="AO92" s="1680">
        <f t="shared" si="221"/>
        <v>18051.575931232092</v>
      </c>
      <c r="AP92" s="1681">
        <f t="shared" si="221"/>
        <v>16724.376731301942</v>
      </c>
      <c r="AQ92" s="1680">
        <f t="shared" si="221"/>
        <v>14738.837139255675</v>
      </c>
      <c r="AR92" s="1680">
        <f t="shared" si="221"/>
        <v>16182.133515390124</v>
      </c>
      <c r="AS92" s="1680">
        <f t="shared" si="221"/>
        <v>20299.089540990994</v>
      </c>
      <c r="AT92" s="1681">
        <f t="shared" si="221"/>
        <v>14937.966413316562</v>
      </c>
      <c r="AU92" s="1680">
        <f t="shared" si="221"/>
        <v>15408.24352602746</v>
      </c>
      <c r="AV92" s="1680">
        <f t="shared" si="221"/>
        <v>16917.091329527619</v>
      </c>
      <c r="AW92" s="1680">
        <f t="shared" si="221"/>
        <v>21221.030672167504</v>
      </c>
      <c r="AX92" s="1681">
        <f t="shared" si="221"/>
        <v>15616.416824836715</v>
      </c>
      <c r="AY92" s="1680">
        <f t="shared" ref="AY92:BB92" si="222">IF(ISBLANK(AY235),"",AY235)</f>
        <v>15207.123389084334</v>
      </c>
      <c r="AZ92" s="1680">
        <f t="shared" si="222"/>
        <v>16696.27656117802</v>
      </c>
      <c r="BA92" s="1680">
        <f t="shared" si="222"/>
        <v>20944.037607536149</v>
      </c>
      <c r="BB92" s="1681">
        <f t="shared" si="222"/>
        <v>15412.579451351106</v>
      </c>
      <c r="BC92" s="1529"/>
      <c r="BD92" s="1529"/>
      <c r="BE92" s="1529">
        <f t="shared" si="184"/>
        <v>8533.0759789832955</v>
      </c>
      <c r="BF92" s="1529">
        <f t="shared" si="185"/>
        <v>8298.2254625349233</v>
      </c>
      <c r="BG92" s="1529">
        <f t="shared" si="186"/>
        <v>9924.6398732123562</v>
      </c>
      <c r="BH92" s="1529">
        <f t="shared" si="187"/>
        <v>11425.083386890354</v>
      </c>
      <c r="BI92" s="1529">
        <f t="shared" si="188"/>
        <v>9947.2092090832211</v>
      </c>
      <c r="BJ92" s="1529">
        <f t="shared" si="189"/>
        <v>12088.935343822655</v>
      </c>
      <c r="BK92" s="1529">
        <f t="shared" si="190"/>
        <v>11792.634750279025</v>
      </c>
      <c r="BL92" s="1529">
        <f t="shared" si="191"/>
        <v>11721.678811548154</v>
      </c>
      <c r="BM92" s="1529">
        <f t="shared" si="192"/>
        <v>14497.311659241563</v>
      </c>
      <c r="BN92" s="1529">
        <f t="shared" si="193"/>
        <v>16539.506652238339</v>
      </c>
      <c r="BO92" s="1529">
        <f t="shared" si="194"/>
        <v>17290.695588139824</v>
      </c>
      <c r="BP92" s="1529">
        <f t="shared" si="195"/>
        <v>17065.004252287403</v>
      </c>
      <c r="BQ92" s="1529"/>
      <c r="BR92" s="1587"/>
      <c r="BS92" s="1477"/>
      <c r="BV92" s="1444"/>
      <c r="BW92" s="1841">
        <v>1</v>
      </c>
      <c r="BX92" s="1519" t="s">
        <v>947</v>
      </c>
      <c r="BY92" s="1838">
        <f t="shared" ref="BY92:CF92" si="223">BZ92-0.25</f>
        <v>0</v>
      </c>
      <c r="BZ92" s="1838">
        <f t="shared" si="223"/>
        <v>0.25</v>
      </c>
      <c r="CA92" s="1838">
        <f t="shared" si="223"/>
        <v>0.5</v>
      </c>
      <c r="CB92" s="1838">
        <f t="shared" si="223"/>
        <v>0.75</v>
      </c>
      <c r="CC92" s="1838">
        <f t="shared" si="223"/>
        <v>1</v>
      </c>
      <c r="CD92" s="1838">
        <f t="shared" si="223"/>
        <v>1.25</v>
      </c>
      <c r="CE92" s="1838">
        <f t="shared" si="223"/>
        <v>1.5</v>
      </c>
      <c r="CF92" s="1838">
        <f t="shared" si="223"/>
        <v>1.75</v>
      </c>
      <c r="CG92" s="1838">
        <v>2</v>
      </c>
      <c r="CH92" s="1838">
        <f t="shared" ref="CH92:CW92" si="224">CG92+0.25</f>
        <v>2.25</v>
      </c>
      <c r="CI92" s="1838">
        <f t="shared" si="224"/>
        <v>2.5</v>
      </c>
      <c r="CJ92" s="1838">
        <f t="shared" si="224"/>
        <v>2.75</v>
      </c>
      <c r="CK92" s="1838">
        <f t="shared" si="224"/>
        <v>3</v>
      </c>
      <c r="CL92" s="1838">
        <f t="shared" si="224"/>
        <v>3.25</v>
      </c>
      <c r="CM92" s="1838">
        <f t="shared" si="224"/>
        <v>3.5</v>
      </c>
      <c r="CN92" s="1838">
        <f t="shared" si="224"/>
        <v>3.75</v>
      </c>
      <c r="CO92" s="1838">
        <f t="shared" si="224"/>
        <v>4</v>
      </c>
      <c r="CP92" s="1838">
        <f t="shared" si="224"/>
        <v>4.25</v>
      </c>
      <c r="CQ92" s="1838">
        <f t="shared" si="224"/>
        <v>4.5</v>
      </c>
      <c r="CR92" s="1838">
        <f t="shared" si="224"/>
        <v>4.75</v>
      </c>
      <c r="CS92" s="1838">
        <f t="shared" si="224"/>
        <v>5</v>
      </c>
      <c r="CT92" s="1838">
        <f t="shared" si="224"/>
        <v>5.25</v>
      </c>
      <c r="CU92" s="1838">
        <f t="shared" si="224"/>
        <v>5.5</v>
      </c>
      <c r="CV92" s="1838">
        <f t="shared" si="224"/>
        <v>5.75</v>
      </c>
      <c r="CW92" s="1838">
        <f t="shared" si="224"/>
        <v>6</v>
      </c>
    </row>
    <row r="93" spans="1:101" ht="12.75" customHeight="1">
      <c r="A93" s="1445"/>
      <c r="B93" s="1446"/>
      <c r="C93" s="1649" t="s">
        <v>817</v>
      </c>
      <c r="D93" s="1649"/>
      <c r="E93" s="1649"/>
      <c r="F93" s="1651"/>
      <c r="G93" s="1677">
        <f t="shared" ref="G93:AX93" si="225">IF(ISBLANK(G236),"",G236)</f>
        <v>8546.5921192758251</v>
      </c>
      <c r="H93" s="1678">
        <f t="shared" si="225"/>
        <v>6860.4941925393041</v>
      </c>
      <c r="I93" s="1678">
        <f t="shared" si="225"/>
        <v>9589.8568783682331</v>
      </c>
      <c r="J93" s="1679">
        <f t="shared" si="225"/>
        <v>8761.3924824907463</v>
      </c>
      <c r="K93" s="1677">
        <f t="shared" si="225"/>
        <v>6370.4143174569617</v>
      </c>
      <c r="L93" s="1678">
        <f t="shared" si="225"/>
        <v>6211.3020714773484</v>
      </c>
      <c r="M93" s="1678">
        <f t="shared" si="225"/>
        <v>7826.6983038931385</v>
      </c>
      <c r="N93" s="1679">
        <f t="shared" si="225"/>
        <v>8505.2239404965749</v>
      </c>
      <c r="O93" s="1677">
        <f t="shared" si="225"/>
        <v>8361.8498020158422</v>
      </c>
      <c r="P93" s="1678">
        <f t="shared" si="225"/>
        <v>4692.7816196299354</v>
      </c>
      <c r="Q93" s="1678">
        <f t="shared" si="225"/>
        <v>8714.24458656358</v>
      </c>
      <c r="R93" s="1678">
        <f t="shared" si="225"/>
        <v>7915.5249031846197</v>
      </c>
      <c r="S93" s="1677">
        <f t="shared" si="225"/>
        <v>8087.8495531943299</v>
      </c>
      <c r="T93" s="1678">
        <f t="shared" si="225"/>
        <v>7996.3027258199882</v>
      </c>
      <c r="U93" s="1678">
        <f t="shared" si="225"/>
        <v>11211.620071182011</v>
      </c>
      <c r="V93" s="1678">
        <f t="shared" si="225"/>
        <v>10542.452919287505</v>
      </c>
      <c r="W93" s="1677">
        <f t="shared" si="225"/>
        <v>8657.5971567442921</v>
      </c>
      <c r="X93" s="1678">
        <f t="shared" si="225"/>
        <v>6886.9565387563089</v>
      </c>
      <c r="Y93" s="1825">
        <f t="shared" si="225"/>
        <v>9018.6289233419629</v>
      </c>
      <c r="Z93" s="1826">
        <f t="shared" si="225"/>
        <v>8128.1906062345806</v>
      </c>
      <c r="AA93" s="1677">
        <f t="shared" si="225"/>
        <v>7254.6062172011279</v>
      </c>
      <c r="AB93" s="1678">
        <f t="shared" si="225"/>
        <v>10198.607768021606</v>
      </c>
      <c r="AC93" s="1825">
        <f t="shared" si="225"/>
        <v>11012.575922552551</v>
      </c>
      <c r="AD93" s="1826">
        <f t="shared" si="225"/>
        <v>8791.3991643737936</v>
      </c>
      <c r="AE93" s="1677">
        <f t="shared" si="225"/>
        <v>8374.7404708739778</v>
      </c>
      <c r="AF93" s="1680">
        <f t="shared" si="225"/>
        <v>7523.2554039282049</v>
      </c>
      <c r="AG93" s="1680">
        <f t="shared" si="225"/>
        <v>10999.855109017048</v>
      </c>
      <c r="AH93" s="1681">
        <f t="shared" si="225"/>
        <v>8339.4758609136315</v>
      </c>
      <c r="AI93" s="1680">
        <f t="shared" si="225"/>
        <v>7363.9896702949682</v>
      </c>
      <c r="AJ93" s="1680">
        <f t="shared" si="225"/>
        <v>5110.2170980007359</v>
      </c>
      <c r="AK93" s="1680">
        <f t="shared" si="225"/>
        <v>11913.659539148653</v>
      </c>
      <c r="AL93" s="1681">
        <f t="shared" si="225"/>
        <v>6198.0513024458141</v>
      </c>
      <c r="AM93" s="1680">
        <f t="shared" si="225"/>
        <v>5605.4382217503589</v>
      </c>
      <c r="AN93" s="1680">
        <f t="shared" si="225"/>
        <v>6543.6796823295826</v>
      </c>
      <c r="AO93" s="1680">
        <f t="shared" si="225"/>
        <v>11727.384363487512</v>
      </c>
      <c r="AP93" s="1681">
        <f t="shared" si="225"/>
        <v>9868.4210526315801</v>
      </c>
      <c r="AQ93" s="1680">
        <f t="shared" si="225"/>
        <v>10559.234578577465</v>
      </c>
      <c r="AR93" s="1680">
        <f t="shared" si="225"/>
        <v>10219.421198025182</v>
      </c>
      <c r="AS93" s="1680">
        <f t="shared" si="225"/>
        <v>15787.035019442665</v>
      </c>
      <c r="AT93" s="1681">
        <f t="shared" si="225"/>
        <v>7959.8436172566526</v>
      </c>
      <c r="AU93" s="1680">
        <f t="shared" si="225"/>
        <v>11509.813054563114</v>
      </c>
      <c r="AV93" s="1680">
        <f t="shared" si="225"/>
        <v>11139.408509187173</v>
      </c>
      <c r="AW93" s="1680">
        <f t="shared" si="225"/>
        <v>17208.238003185412</v>
      </c>
      <c r="AX93" s="1681">
        <f t="shared" si="225"/>
        <v>8676.4160125822291</v>
      </c>
      <c r="AY93" s="1680">
        <f t="shared" ref="AY93:BB93" si="226">IF(ISBLANK(AY236),"",AY236)</f>
        <v>11745.513775169822</v>
      </c>
      <c r="AZ93" s="1680">
        <f t="shared" si="226"/>
        <v>11367.523996406751</v>
      </c>
      <c r="BA93" s="1680">
        <f t="shared" si="226"/>
        <v>17560.632440740112</v>
      </c>
      <c r="BB93" s="1681">
        <f t="shared" si="226"/>
        <v>8854.0937469428645</v>
      </c>
      <c r="BC93" s="1529"/>
      <c r="BD93" s="1529"/>
      <c r="BE93" s="1529">
        <f t="shared" si="184"/>
        <v>8439.583918168526</v>
      </c>
      <c r="BF93" s="1529">
        <f t="shared" si="185"/>
        <v>7228.4096583310056</v>
      </c>
      <c r="BG93" s="1529">
        <f t="shared" si="186"/>
        <v>7421.1002278484939</v>
      </c>
      <c r="BH93" s="1529">
        <f t="shared" si="187"/>
        <v>9459.5563173709579</v>
      </c>
      <c r="BI93" s="1529">
        <f t="shared" si="188"/>
        <v>8172.8433062692857</v>
      </c>
      <c r="BJ93" s="1529">
        <f t="shared" si="189"/>
        <v>9314.2972680372695</v>
      </c>
      <c r="BK93" s="1529">
        <f t="shared" si="190"/>
        <v>8809.3317111832148</v>
      </c>
      <c r="BL93" s="1529">
        <f t="shared" si="191"/>
        <v>7646.4794024725434</v>
      </c>
      <c r="BM93" s="1529">
        <f t="shared" si="192"/>
        <v>8436.2308300497589</v>
      </c>
      <c r="BN93" s="1529">
        <f t="shared" si="193"/>
        <v>11131.38360332549</v>
      </c>
      <c r="BO93" s="1529">
        <f t="shared" si="194"/>
        <v>12133.468894879483</v>
      </c>
      <c r="BP93" s="1529">
        <f t="shared" si="195"/>
        <v>12381.940989814888</v>
      </c>
      <c r="BQ93" s="1529"/>
      <c r="BR93" s="1587"/>
      <c r="BS93" s="1477"/>
      <c r="BV93" s="1444"/>
      <c r="BW93" s="1841">
        <v>2</v>
      </c>
      <c r="BX93" s="1839" t="s">
        <v>946</v>
      </c>
      <c r="BY93" s="1836">
        <f>BY86*$BZ$84+(1-BY86)*$BZ$83</f>
        <v>0</v>
      </c>
      <c r="BZ93" s="1836">
        <f t="shared" ref="BZ93:CW93" si="227">BZ86*$BZ$84+(1-BZ86)*$BZ$83</f>
        <v>0</v>
      </c>
      <c r="CA93" s="1836">
        <f t="shared" si="227"/>
        <v>0</v>
      </c>
      <c r="CB93" s="1836">
        <f t="shared" si="227"/>
        <v>0</v>
      </c>
      <c r="CC93" s="1836">
        <f t="shared" si="227"/>
        <v>0</v>
      </c>
      <c r="CD93" s="1836">
        <f t="shared" si="227"/>
        <v>0</v>
      </c>
      <c r="CE93" s="1836">
        <f t="shared" si="227"/>
        <v>0</v>
      </c>
      <c r="CF93" s="1836">
        <f t="shared" si="227"/>
        <v>0</v>
      </c>
      <c r="CG93" s="1836">
        <f t="shared" si="227"/>
        <v>0</v>
      </c>
      <c r="CH93" s="1836">
        <f t="shared" si="227"/>
        <v>0</v>
      </c>
      <c r="CI93" s="1836">
        <f t="shared" si="227"/>
        <v>0</v>
      </c>
      <c r="CJ93" s="1836">
        <f t="shared" si="227"/>
        <v>0</v>
      </c>
      <c r="CK93" s="1836">
        <f t="shared" si="227"/>
        <v>0</v>
      </c>
      <c r="CL93" s="1836">
        <f t="shared" si="227"/>
        <v>0</v>
      </c>
      <c r="CM93" s="1836">
        <f t="shared" si="227"/>
        <v>0</v>
      </c>
      <c r="CN93" s="1836">
        <f t="shared" si="227"/>
        <v>0</v>
      </c>
      <c r="CO93" s="1836">
        <f t="shared" si="227"/>
        <v>0</v>
      </c>
      <c r="CP93" s="1836">
        <f t="shared" si="227"/>
        <v>0</v>
      </c>
      <c r="CQ93" s="1836">
        <f t="shared" si="227"/>
        <v>0</v>
      </c>
      <c r="CR93" s="1836">
        <f t="shared" si="227"/>
        <v>0</v>
      </c>
      <c r="CS93" s="1836">
        <f t="shared" si="227"/>
        <v>0</v>
      </c>
      <c r="CT93" s="1836">
        <f t="shared" si="227"/>
        <v>0</v>
      </c>
      <c r="CU93" s="1836">
        <f t="shared" si="227"/>
        <v>0</v>
      </c>
      <c r="CV93" s="1836">
        <f t="shared" si="227"/>
        <v>0</v>
      </c>
      <c r="CW93" s="1836">
        <f t="shared" si="227"/>
        <v>0</v>
      </c>
    </row>
    <row r="94" spans="1:101" ht="12.75" customHeight="1">
      <c r="A94" s="1445"/>
      <c r="B94" s="1446"/>
      <c r="C94" s="1649"/>
      <c r="D94" s="1649"/>
      <c r="E94" s="1649"/>
      <c r="F94" s="1651"/>
      <c r="G94" s="1677">
        <f t="shared" ref="G94:AX94" si="228">IF(ISBLANK(G237),"",G237)</f>
        <v>0</v>
      </c>
      <c r="H94" s="1678">
        <f t="shared" si="228"/>
        <v>0</v>
      </c>
      <c r="I94" s="1678">
        <f t="shared" si="228"/>
        <v>0</v>
      </c>
      <c r="J94" s="1679">
        <f t="shared" si="228"/>
        <v>7045.0118387558323</v>
      </c>
      <c r="K94" s="1653">
        <f t="shared" si="228"/>
        <v>10647.814160821332</v>
      </c>
      <c r="L94" s="1678">
        <f t="shared" si="228"/>
        <v>7643.6811086143116</v>
      </c>
      <c r="M94" s="1678">
        <f t="shared" si="228"/>
        <v>26701.729930116137</v>
      </c>
      <c r="N94" s="1679">
        <f t="shared" si="228"/>
        <v>7717.4624704002181</v>
      </c>
      <c r="O94" s="1677">
        <f t="shared" si="228"/>
        <v>9345.1720004820509</v>
      </c>
      <c r="P94" s="1678">
        <f t="shared" si="228"/>
        <v>13807.306134001437</v>
      </c>
      <c r="Q94" s="1678">
        <f t="shared" si="228"/>
        <v>11418.664456046279</v>
      </c>
      <c r="R94" s="1678">
        <f t="shared" si="228"/>
        <v>8673.5340286433238</v>
      </c>
      <c r="S94" s="1677">
        <f t="shared" si="228"/>
        <v>7845.0122816990479</v>
      </c>
      <c r="T94" s="1678">
        <f t="shared" si="228"/>
        <v>8620.1610645234541</v>
      </c>
      <c r="U94" s="1680">
        <f t="shared" si="228"/>
        <v>11174.409787997261</v>
      </c>
      <c r="V94" s="1681">
        <f t="shared" si="228"/>
        <v>9641.3794179416109</v>
      </c>
      <c r="W94" s="1680">
        <f t="shared" si="228"/>
        <v>11434.96156525798</v>
      </c>
      <c r="X94" s="1680">
        <f t="shared" si="228"/>
        <v>9116.0759733353843</v>
      </c>
      <c r="Y94" s="1825">
        <f t="shared" si="228"/>
        <v>9563.9321770397437</v>
      </c>
      <c r="Z94" s="1826">
        <f t="shared" si="228"/>
        <v>9368.9160620250805</v>
      </c>
      <c r="AA94" s="1680">
        <f t="shared" si="228"/>
        <v>9823.1629948743193</v>
      </c>
      <c r="AB94" s="1680">
        <f t="shared" si="228"/>
        <v>10996.392826599309</v>
      </c>
      <c r="AC94" s="1825">
        <f t="shared" si="228"/>
        <v>13165.051909345491</v>
      </c>
      <c r="AD94" s="1826">
        <f t="shared" si="228"/>
        <v>9966.0748691142107</v>
      </c>
      <c r="AE94" s="1677">
        <f t="shared" si="228"/>
        <v>10081.840893466653</v>
      </c>
      <c r="AF94" s="1680">
        <f t="shared" si="228"/>
        <v>10532.235866772089</v>
      </c>
      <c r="AG94" s="1680">
        <f t="shared" si="228"/>
        <v>11115.580950912827</v>
      </c>
      <c r="AH94" s="1681">
        <f t="shared" si="228"/>
        <v>9206.0011555017081</v>
      </c>
      <c r="AI94" s="1680">
        <f t="shared" si="228"/>
        <v>7599.395244266987</v>
      </c>
      <c r="AJ94" s="1680">
        <f t="shared" si="228"/>
        <v>9658.4255255059925</v>
      </c>
      <c r="AK94" s="1680">
        <f t="shared" si="228"/>
        <v>10542.679719462296</v>
      </c>
      <c r="AL94" s="1681">
        <f t="shared" si="228"/>
        <v>9173.459524044767</v>
      </c>
      <c r="AM94" s="1680">
        <f t="shared" si="228"/>
        <v>11552.579721769785</v>
      </c>
      <c r="AN94" s="1680">
        <f t="shared" si="228"/>
        <v>14542.898550724636</v>
      </c>
      <c r="AO94" s="1680">
        <f t="shared" si="228"/>
        <v>48571.299862448417</v>
      </c>
      <c r="AP94" s="1681">
        <f t="shared" si="228"/>
        <v>9541.1462450592899</v>
      </c>
      <c r="AQ94" s="1680">
        <f t="shared" si="228"/>
        <v>8001.7503919318342</v>
      </c>
      <c r="AR94" s="1680">
        <f t="shared" si="228"/>
        <v>10020.549611895432</v>
      </c>
      <c r="AS94" s="1680">
        <f t="shared" si="228"/>
        <v>28583.139290052815</v>
      </c>
      <c r="AT94" s="1681">
        <f t="shared" si="228"/>
        <v>16581.596089097558</v>
      </c>
      <c r="AU94" s="1680">
        <f t="shared" si="228"/>
        <v>7062.8307008244701</v>
      </c>
      <c r="AV94" s="1680">
        <f t="shared" si="228"/>
        <v>8715.8398035065438</v>
      </c>
      <c r="AW94" s="1680">
        <f t="shared" si="228"/>
        <v>24761.304736514343</v>
      </c>
      <c r="AX94" s="1681">
        <f t="shared" si="228"/>
        <v>14438.494039488984</v>
      </c>
      <c r="AY94" s="1680">
        <f t="shared" ref="AY94:BB94" si="229">IF(ISBLANK(AY237),"",AY237)</f>
        <v>6423.7196260689134</v>
      </c>
      <c r="AZ94" s="1680">
        <f t="shared" si="229"/>
        <v>7906.2276542927948</v>
      </c>
      <c r="BA94" s="1680">
        <f t="shared" si="229"/>
        <v>22408.946307746035</v>
      </c>
      <c r="BB94" s="1681">
        <f t="shared" si="229"/>
        <v>13065.522005420524</v>
      </c>
      <c r="BC94" s="1529"/>
      <c r="BD94" s="1529"/>
      <c r="BE94" s="1529"/>
      <c r="BF94" s="1529"/>
      <c r="BG94" s="1529"/>
      <c r="BH94" s="1529"/>
      <c r="BI94" s="1529"/>
      <c r="BJ94" s="1529"/>
      <c r="BK94" s="1529"/>
      <c r="BL94" s="1529"/>
      <c r="BM94" s="1529"/>
      <c r="BN94" s="1529"/>
      <c r="BO94" s="1529"/>
      <c r="BP94" s="1529"/>
      <c r="BQ94" s="1529"/>
      <c r="BR94" s="1587"/>
      <c r="BS94" s="1477"/>
      <c r="BV94" s="1444"/>
      <c r="BW94" s="1841">
        <v>3</v>
      </c>
      <c r="BX94" s="1839" t="s">
        <v>807</v>
      </c>
      <c r="BY94" s="1836">
        <f t="shared" ref="BY94:CW94" si="230">BY87*$BZ$84+(1-BY87)*$BZ$83</f>
        <v>0</v>
      </c>
      <c r="BZ94" s="1836">
        <f t="shared" si="230"/>
        <v>0</v>
      </c>
      <c r="CA94" s="1836">
        <f t="shared" si="230"/>
        <v>0</v>
      </c>
      <c r="CB94" s="1836">
        <f t="shared" si="230"/>
        <v>0</v>
      </c>
      <c r="CC94" s="1836">
        <f t="shared" si="230"/>
        <v>0</v>
      </c>
      <c r="CD94" s="1836">
        <f t="shared" si="230"/>
        <v>0</v>
      </c>
      <c r="CE94" s="1836">
        <f t="shared" si="230"/>
        <v>0</v>
      </c>
      <c r="CF94" s="1836">
        <f t="shared" si="230"/>
        <v>0</v>
      </c>
      <c r="CG94" s="1836">
        <f t="shared" si="230"/>
        <v>0</v>
      </c>
      <c r="CH94" s="1836">
        <f t="shared" si="230"/>
        <v>0</v>
      </c>
      <c r="CI94" s="1836">
        <f t="shared" si="230"/>
        <v>0</v>
      </c>
      <c r="CJ94" s="1836">
        <f t="shared" si="230"/>
        <v>0</v>
      </c>
      <c r="CK94" s="1836">
        <f t="shared" si="230"/>
        <v>0</v>
      </c>
      <c r="CL94" s="1836">
        <f t="shared" si="230"/>
        <v>0</v>
      </c>
      <c r="CM94" s="1836">
        <f t="shared" si="230"/>
        <v>0</v>
      </c>
      <c r="CN94" s="1836">
        <f t="shared" si="230"/>
        <v>0</v>
      </c>
      <c r="CO94" s="1836">
        <f t="shared" si="230"/>
        <v>0</v>
      </c>
      <c r="CP94" s="1836">
        <f t="shared" si="230"/>
        <v>0</v>
      </c>
      <c r="CQ94" s="1836">
        <f t="shared" si="230"/>
        <v>0</v>
      </c>
      <c r="CR94" s="1836">
        <f t="shared" si="230"/>
        <v>0</v>
      </c>
      <c r="CS94" s="1836">
        <f t="shared" si="230"/>
        <v>0</v>
      </c>
      <c r="CT94" s="1836">
        <f t="shared" si="230"/>
        <v>0</v>
      </c>
      <c r="CU94" s="1836">
        <f t="shared" si="230"/>
        <v>0</v>
      </c>
      <c r="CV94" s="1836">
        <f t="shared" si="230"/>
        <v>0</v>
      </c>
      <c r="CW94" s="1836">
        <f t="shared" si="230"/>
        <v>0</v>
      </c>
    </row>
    <row r="95" spans="1:101" ht="12.75" customHeight="1">
      <c r="A95" s="1445"/>
      <c r="B95" s="1446"/>
      <c r="C95" s="1667" t="s">
        <v>897</v>
      </c>
      <c r="D95" s="1550"/>
      <c r="E95" s="1550"/>
      <c r="F95" s="1512"/>
      <c r="G95" s="1653" t="str">
        <f t="shared" ref="G95:AX95" si="231">IF(ISBLANK(G238),"",G238)</f>
        <v/>
      </c>
      <c r="H95" s="1654" t="str">
        <f t="shared" si="231"/>
        <v/>
      </c>
      <c r="I95" s="1654" t="str">
        <f t="shared" si="231"/>
        <v/>
      </c>
      <c r="J95" s="1655" t="str">
        <f t="shared" si="231"/>
        <v/>
      </c>
      <c r="K95" s="1677" t="str">
        <f t="shared" si="231"/>
        <v/>
      </c>
      <c r="L95" s="1654" t="str">
        <f t="shared" si="231"/>
        <v/>
      </c>
      <c r="M95" s="1654" t="str">
        <f t="shared" si="231"/>
        <v/>
      </c>
      <c r="N95" s="1655" t="str">
        <f t="shared" si="231"/>
        <v/>
      </c>
      <c r="O95" s="1653" t="str">
        <f t="shared" si="231"/>
        <v/>
      </c>
      <c r="P95" s="1654" t="str">
        <f t="shared" si="231"/>
        <v/>
      </c>
      <c r="Q95" s="1654" t="str">
        <f t="shared" si="231"/>
        <v/>
      </c>
      <c r="R95" s="1654" t="str">
        <f t="shared" si="231"/>
        <v/>
      </c>
      <c r="S95" s="1668" t="str">
        <f t="shared" si="231"/>
        <v/>
      </c>
      <c r="T95" s="1654" t="str">
        <f t="shared" si="231"/>
        <v/>
      </c>
      <c r="U95" s="1656" t="str">
        <f t="shared" si="231"/>
        <v/>
      </c>
      <c r="V95" s="1658" t="str">
        <f t="shared" si="231"/>
        <v/>
      </c>
      <c r="W95" s="1656" t="str">
        <f t="shared" si="231"/>
        <v/>
      </c>
      <c r="X95" s="1654" t="str">
        <f t="shared" si="231"/>
        <v/>
      </c>
      <c r="Y95" s="1827" t="str">
        <f t="shared" si="231"/>
        <v/>
      </c>
      <c r="Z95" s="1697" t="str">
        <f t="shared" si="231"/>
        <v/>
      </c>
      <c r="AA95" s="1656" t="str">
        <f t="shared" si="231"/>
        <v/>
      </c>
      <c r="AB95" s="1654" t="str">
        <f t="shared" si="231"/>
        <v/>
      </c>
      <c r="AC95" s="1827" t="str">
        <f t="shared" si="231"/>
        <v/>
      </c>
      <c r="AD95" s="1697" t="str">
        <f t="shared" si="231"/>
        <v/>
      </c>
      <c r="AE95" s="1668" t="str">
        <f t="shared" si="231"/>
        <v/>
      </c>
      <c r="AF95" s="1660" t="str">
        <f t="shared" si="231"/>
        <v/>
      </c>
      <c r="AG95" s="1660" t="str">
        <f t="shared" si="231"/>
        <v/>
      </c>
      <c r="AH95" s="1659" t="str">
        <f t="shared" si="231"/>
        <v/>
      </c>
      <c r="AI95" s="1660" t="str">
        <f t="shared" si="231"/>
        <v/>
      </c>
      <c r="AJ95" s="1660" t="str">
        <f t="shared" si="231"/>
        <v/>
      </c>
      <c r="AK95" s="1660" t="str">
        <f t="shared" si="231"/>
        <v/>
      </c>
      <c r="AL95" s="1659" t="str">
        <f t="shared" si="231"/>
        <v/>
      </c>
      <c r="AM95" s="1660" t="str">
        <f t="shared" si="231"/>
        <v/>
      </c>
      <c r="AN95" s="1660" t="str">
        <f t="shared" si="231"/>
        <v/>
      </c>
      <c r="AO95" s="1660" t="str">
        <f t="shared" si="231"/>
        <v/>
      </c>
      <c r="AP95" s="1659" t="str">
        <f t="shared" si="231"/>
        <v/>
      </c>
      <c r="AQ95" s="1660" t="str">
        <f t="shared" si="231"/>
        <v/>
      </c>
      <c r="AR95" s="1660" t="str">
        <f t="shared" si="231"/>
        <v/>
      </c>
      <c r="AS95" s="1660" t="str">
        <f t="shared" si="231"/>
        <v/>
      </c>
      <c r="AT95" s="1659" t="str">
        <f t="shared" si="231"/>
        <v/>
      </c>
      <c r="AU95" s="1660" t="str">
        <f t="shared" si="231"/>
        <v/>
      </c>
      <c r="AV95" s="1660" t="str">
        <f t="shared" si="231"/>
        <v/>
      </c>
      <c r="AW95" s="1660" t="str">
        <f t="shared" si="231"/>
        <v/>
      </c>
      <c r="AX95" s="1659" t="str">
        <f t="shared" si="231"/>
        <v/>
      </c>
      <c r="AY95" s="1660" t="str">
        <f t="shared" ref="AY95:BB95" si="232">IF(ISBLANK(AY238),"",AY238)</f>
        <v/>
      </c>
      <c r="AZ95" s="1660" t="str">
        <f t="shared" si="232"/>
        <v/>
      </c>
      <c r="BA95" s="1660" t="str">
        <f t="shared" si="232"/>
        <v/>
      </c>
      <c r="BB95" s="1659" t="str">
        <f t="shared" si="232"/>
        <v/>
      </c>
      <c r="BC95" s="1494"/>
      <c r="BD95" s="1494"/>
      <c r="BE95" s="1494"/>
      <c r="BF95" s="1494"/>
      <c r="BG95" s="1494"/>
      <c r="BH95" s="1494"/>
      <c r="BI95" s="1494"/>
      <c r="BJ95" s="1494"/>
      <c r="BK95" s="1494"/>
      <c r="BL95" s="1494"/>
      <c r="BM95" s="1494"/>
      <c r="BN95" s="1494"/>
      <c r="BO95" s="1494"/>
      <c r="BP95" s="1494"/>
      <c r="BQ95" s="1494"/>
      <c r="BR95" s="1476"/>
      <c r="BS95" s="1477"/>
      <c r="BV95" s="1444"/>
      <c r="BW95" s="1841">
        <v>4</v>
      </c>
      <c r="BX95" s="1839" t="s">
        <v>693</v>
      </c>
      <c r="BY95" s="1836">
        <f t="shared" ref="BY95:CW95" si="233">BY88*$BZ$84+(1-BY88)*$BZ$83</f>
        <v>0</v>
      </c>
      <c r="BZ95" s="1836">
        <f t="shared" si="233"/>
        <v>0</v>
      </c>
      <c r="CA95" s="1836">
        <f t="shared" si="233"/>
        <v>0</v>
      </c>
      <c r="CB95" s="1836">
        <f t="shared" si="233"/>
        <v>0</v>
      </c>
      <c r="CC95" s="1836">
        <f t="shared" si="233"/>
        <v>0</v>
      </c>
      <c r="CD95" s="1836">
        <f t="shared" si="233"/>
        <v>0</v>
      </c>
      <c r="CE95" s="1836">
        <f t="shared" si="233"/>
        <v>0</v>
      </c>
      <c r="CF95" s="1836">
        <f t="shared" si="233"/>
        <v>0</v>
      </c>
      <c r="CG95" s="1836">
        <f t="shared" si="233"/>
        <v>0</v>
      </c>
      <c r="CH95" s="1836">
        <f t="shared" si="233"/>
        <v>0</v>
      </c>
      <c r="CI95" s="1836">
        <f t="shared" si="233"/>
        <v>0</v>
      </c>
      <c r="CJ95" s="1836">
        <f t="shared" si="233"/>
        <v>0</v>
      </c>
      <c r="CK95" s="1836">
        <f t="shared" si="233"/>
        <v>0</v>
      </c>
      <c r="CL95" s="1836">
        <f t="shared" si="233"/>
        <v>0</v>
      </c>
      <c r="CM95" s="1836">
        <f t="shared" si="233"/>
        <v>0</v>
      </c>
      <c r="CN95" s="1836">
        <f t="shared" si="233"/>
        <v>0</v>
      </c>
      <c r="CO95" s="1836">
        <f t="shared" si="233"/>
        <v>0</v>
      </c>
      <c r="CP95" s="1836">
        <f t="shared" si="233"/>
        <v>0</v>
      </c>
      <c r="CQ95" s="1836">
        <f t="shared" si="233"/>
        <v>0</v>
      </c>
      <c r="CR95" s="1836">
        <f t="shared" si="233"/>
        <v>0</v>
      </c>
      <c r="CS95" s="1836">
        <f t="shared" si="233"/>
        <v>0</v>
      </c>
      <c r="CT95" s="1836">
        <f t="shared" si="233"/>
        <v>0</v>
      </c>
      <c r="CU95" s="1836">
        <f t="shared" si="233"/>
        <v>0</v>
      </c>
      <c r="CV95" s="1836">
        <f t="shared" si="233"/>
        <v>0</v>
      </c>
      <c r="CW95" s="1836">
        <f t="shared" si="233"/>
        <v>0</v>
      </c>
    </row>
    <row r="96" spans="1:101" ht="12.75" customHeight="1">
      <c r="A96" s="1445"/>
      <c r="B96" s="1446"/>
      <c r="C96" s="1649" t="s">
        <v>803</v>
      </c>
      <c r="D96" s="1649"/>
      <c r="E96" s="1649"/>
      <c r="F96" s="1651"/>
      <c r="G96" s="1677">
        <f t="shared" ref="G96:AX96" si="234">IF(ISBLANK(G239),"",G239)</f>
        <v>6851.2172336847298</v>
      </c>
      <c r="H96" s="1678">
        <f t="shared" si="234"/>
        <v>8182.0786967062631</v>
      </c>
      <c r="I96" s="1678">
        <f t="shared" si="234"/>
        <v>8843.0635104283465</v>
      </c>
      <c r="J96" s="1679">
        <f t="shared" si="234"/>
        <v>7237.1775828593409</v>
      </c>
      <c r="K96" s="1677">
        <f t="shared" si="234"/>
        <v>7371.9217492476137</v>
      </c>
      <c r="L96" s="1678">
        <f t="shared" si="234"/>
        <v>7960.8997122438159</v>
      </c>
      <c r="M96" s="1678">
        <f t="shared" si="234"/>
        <v>8379.919228064944</v>
      </c>
      <c r="N96" s="1679">
        <f t="shared" si="234"/>
        <v>8819.7944279269213</v>
      </c>
      <c r="O96" s="1677">
        <f t="shared" si="234"/>
        <v>8447.2140034917284</v>
      </c>
      <c r="P96" s="1678">
        <f t="shared" si="234"/>
        <v>9230.5387992588858</v>
      </c>
      <c r="Q96" s="1678">
        <f t="shared" si="234"/>
        <v>10110.347551066592</v>
      </c>
      <c r="R96" s="1678">
        <f t="shared" si="234"/>
        <v>9797.5546476884065</v>
      </c>
      <c r="S96" s="1677">
        <f t="shared" si="234"/>
        <v>9282.9445192863459</v>
      </c>
      <c r="T96" s="1678">
        <f t="shared" si="234"/>
        <v>7879.1357555234736</v>
      </c>
      <c r="U96" s="1678">
        <f t="shared" si="234"/>
        <v>8084.3226123072382</v>
      </c>
      <c r="V96" s="1678">
        <f t="shared" si="234"/>
        <v>11842.479560862408</v>
      </c>
      <c r="W96" s="1677">
        <f t="shared" si="234"/>
        <v>7345.0633802143266</v>
      </c>
      <c r="X96" s="1678">
        <f t="shared" si="234"/>
        <v>8666.8096880078447</v>
      </c>
      <c r="Y96" s="1825">
        <f t="shared" si="234"/>
        <v>10315.050379273025</v>
      </c>
      <c r="Z96" s="1826">
        <f t="shared" si="234"/>
        <v>9714.574534358846</v>
      </c>
      <c r="AA96" s="1677">
        <f t="shared" si="234"/>
        <v>8382.8453222230091</v>
      </c>
      <c r="AB96" s="1678">
        <f t="shared" si="234"/>
        <v>7537.8738784383268</v>
      </c>
      <c r="AC96" s="1825">
        <f t="shared" si="234"/>
        <v>9837.7064039165271</v>
      </c>
      <c r="AD96" s="1826">
        <f t="shared" si="234"/>
        <v>10577.262881497305</v>
      </c>
      <c r="AE96" s="1677">
        <f t="shared" si="234"/>
        <v>9019.4014549612002</v>
      </c>
      <c r="AF96" s="1680">
        <f t="shared" si="234"/>
        <v>10967.114786064982</v>
      </c>
      <c r="AG96" s="1680">
        <f t="shared" si="234"/>
        <v>11335.823461467095</v>
      </c>
      <c r="AH96" s="1681">
        <f t="shared" si="234"/>
        <v>10726.933653066462</v>
      </c>
      <c r="AI96" s="1680">
        <f t="shared" si="234"/>
        <v>9142.7185751590077</v>
      </c>
      <c r="AJ96" s="1680">
        <f t="shared" si="234"/>
        <v>8545.6610120881614</v>
      </c>
      <c r="AK96" s="1680">
        <f t="shared" si="234"/>
        <v>8055.4469835426908</v>
      </c>
      <c r="AL96" s="1681">
        <f t="shared" si="234"/>
        <v>11859.057936160812</v>
      </c>
      <c r="AM96" s="1680">
        <f t="shared" si="234"/>
        <v>7106.0534420152553</v>
      </c>
      <c r="AN96" s="1680">
        <f t="shared" si="234"/>
        <v>9713.2904608788867</v>
      </c>
      <c r="AO96" s="1680">
        <f t="shared" si="234"/>
        <v>9301.3972055888225</v>
      </c>
      <c r="AP96" s="1681">
        <f t="shared" si="234"/>
        <v>10670.184696569921</v>
      </c>
      <c r="AQ96" s="1680">
        <f t="shared" si="234"/>
        <v>12523.856192309457</v>
      </c>
      <c r="AR96" s="1680">
        <f t="shared" si="234"/>
        <v>12126.37627431892</v>
      </c>
      <c r="AS96" s="1680">
        <f t="shared" si="234"/>
        <v>13524.643202910216</v>
      </c>
      <c r="AT96" s="1681">
        <f t="shared" si="234"/>
        <v>7225.3549785020023</v>
      </c>
      <c r="AU96" s="1680">
        <f t="shared" si="234"/>
        <v>12284.65865189438</v>
      </c>
      <c r="AV96" s="1680">
        <f t="shared" si="234"/>
        <v>11894.770342853019</v>
      </c>
      <c r="AW96" s="1680">
        <f t="shared" si="234"/>
        <v>13266.331278894815</v>
      </c>
      <c r="AX96" s="1681">
        <f t="shared" si="234"/>
        <v>7087.3553789421785</v>
      </c>
      <c r="AY96" s="1680">
        <f t="shared" ref="AY96:BB96" si="235">IF(ISBLANK(AY239),"",AY239)</f>
        <v>11964.479552774072</v>
      </c>
      <c r="AZ96" s="1680">
        <f t="shared" si="235"/>
        <v>11584.75303097351</v>
      </c>
      <c r="BA96" s="1680">
        <f t="shared" si="235"/>
        <v>12920.56652320475</v>
      </c>
      <c r="BB96" s="1681">
        <f t="shared" si="235"/>
        <v>6902.6353045243814</v>
      </c>
      <c r="BC96" s="1529"/>
      <c r="BD96" s="1529"/>
      <c r="BE96" s="1529">
        <f t="shared" ref="BE96:BE111" si="236">AVERAGE(G96:J96)</f>
        <v>7778.3842559196701</v>
      </c>
      <c r="BF96" s="1529">
        <f t="shared" ref="BF96:BF111" si="237">AVERAGE(K96:N96)</f>
        <v>8133.1337793708235</v>
      </c>
      <c r="BG96" s="1529">
        <f t="shared" ref="BG96:BG111" si="238">AVERAGE(O96:R96)</f>
        <v>9396.4137503764032</v>
      </c>
      <c r="BH96" s="1529">
        <f t="shared" ref="BH96:BH111" si="239">AVERAGE(S96:V96)</f>
        <v>9272.2206119948678</v>
      </c>
      <c r="BI96" s="1529">
        <f t="shared" ref="BI96:BI111" si="240">AVERAGE(W96:Z96)</f>
        <v>9010.3744954635113</v>
      </c>
      <c r="BJ96" s="1529">
        <f t="shared" ref="BJ96:BJ111" si="241">AVERAGE(AA96:AD96)</f>
        <v>9083.9221215187918</v>
      </c>
      <c r="BK96" s="1529">
        <f t="shared" ref="BK96:BK111" si="242">AVERAGE(AE96:AH96)</f>
        <v>10512.318338889934</v>
      </c>
      <c r="BL96" s="1529">
        <f t="shared" ref="BL96:BL111" si="243">AVERAGE(AI96:AL96)</f>
        <v>9400.7211267376679</v>
      </c>
      <c r="BM96" s="1529">
        <f t="shared" ref="BM96:BM111" si="244">AVERAGE(AM96:AP96)</f>
        <v>9197.731451263222</v>
      </c>
      <c r="BN96" s="1529">
        <f t="shared" ref="BN96:BN111" si="245">AVERAGE(AQ96:AT96)</f>
        <v>11350.057662010147</v>
      </c>
      <c r="BO96" s="1529">
        <f t="shared" ref="BO96:BO111" si="246">AVERAGE(AU96:AX96)</f>
        <v>11133.278913146098</v>
      </c>
      <c r="BP96" s="1529">
        <f t="shared" ref="BP96:BP111" si="247">AVERAGE(AY96:BB96)</f>
        <v>10843.108602869177</v>
      </c>
      <c r="BQ96" s="1529"/>
      <c r="BR96" s="1587"/>
      <c r="BS96" s="1477"/>
      <c r="BV96" s="1444"/>
      <c r="BW96" s="1841">
        <v>5</v>
      </c>
      <c r="BX96" s="1885" t="s">
        <v>685</v>
      </c>
      <c r="BY96" s="1836">
        <f t="shared" ref="BY96:CW96" si="248">BY89*$BZ$84+(1-BY89)*$BZ$83</f>
        <v>0</v>
      </c>
      <c r="BZ96" s="1836">
        <f t="shared" si="248"/>
        <v>0</v>
      </c>
      <c r="CA96" s="1836">
        <f t="shared" si="248"/>
        <v>0</v>
      </c>
      <c r="CB96" s="1836">
        <f t="shared" si="248"/>
        <v>0</v>
      </c>
      <c r="CC96" s="1836">
        <f t="shared" si="248"/>
        <v>0</v>
      </c>
      <c r="CD96" s="1836">
        <f t="shared" si="248"/>
        <v>0</v>
      </c>
      <c r="CE96" s="1836">
        <f t="shared" si="248"/>
        <v>0</v>
      </c>
      <c r="CF96" s="1836">
        <f t="shared" si="248"/>
        <v>0</v>
      </c>
      <c r="CG96" s="1836">
        <f t="shared" si="248"/>
        <v>0</v>
      </c>
      <c r="CH96" s="1836">
        <f t="shared" si="248"/>
        <v>0</v>
      </c>
      <c r="CI96" s="1836">
        <f t="shared" si="248"/>
        <v>0</v>
      </c>
      <c r="CJ96" s="1836">
        <f>CJ89*$BZ$84+(1-CJ89)*$BZ$83</f>
        <v>0</v>
      </c>
      <c r="CK96" s="1836">
        <f t="shared" si="248"/>
        <v>0</v>
      </c>
      <c r="CL96" s="1836">
        <f t="shared" si="248"/>
        <v>0</v>
      </c>
      <c r="CM96" s="1836">
        <f t="shared" si="248"/>
        <v>0</v>
      </c>
      <c r="CN96" s="1836">
        <f t="shared" si="248"/>
        <v>0</v>
      </c>
      <c r="CO96" s="1836">
        <f t="shared" si="248"/>
        <v>0</v>
      </c>
      <c r="CP96" s="1836">
        <f t="shared" si="248"/>
        <v>0</v>
      </c>
      <c r="CQ96" s="1836">
        <f t="shared" si="248"/>
        <v>0</v>
      </c>
      <c r="CR96" s="1836">
        <f t="shared" si="248"/>
        <v>0</v>
      </c>
      <c r="CS96" s="1836">
        <f t="shared" si="248"/>
        <v>0</v>
      </c>
      <c r="CT96" s="1836">
        <f t="shared" si="248"/>
        <v>0</v>
      </c>
      <c r="CU96" s="1836">
        <f t="shared" si="248"/>
        <v>0</v>
      </c>
      <c r="CV96" s="1836">
        <f t="shared" si="248"/>
        <v>0</v>
      </c>
      <c r="CW96" s="1836">
        <f t="shared" si="248"/>
        <v>0</v>
      </c>
    </row>
    <row r="97" spans="1:101" ht="12.75" customHeight="1">
      <c r="A97" s="1445"/>
      <c r="B97" s="1446"/>
      <c r="C97" s="1649" t="s">
        <v>804</v>
      </c>
      <c r="D97" s="1649"/>
      <c r="E97" s="1649"/>
      <c r="F97" s="1651"/>
      <c r="G97" s="1677">
        <f t="shared" ref="G97:AX97" si="249">IF(ISBLANK(G240),"",G240)</f>
        <v>5355.6961122030661</v>
      </c>
      <c r="H97" s="1678">
        <f t="shared" si="249"/>
        <v>7028.1794383085698</v>
      </c>
      <c r="I97" s="1678">
        <f t="shared" si="249"/>
        <v>8292.7749177879778</v>
      </c>
      <c r="J97" s="1679">
        <f t="shared" si="249"/>
        <v>6485.8213553112255</v>
      </c>
      <c r="K97" s="1677">
        <f t="shared" si="249"/>
        <v>6023.4534353193767</v>
      </c>
      <c r="L97" s="1678">
        <f t="shared" si="249"/>
        <v>6697.9018560678951</v>
      </c>
      <c r="M97" s="1678">
        <f t="shared" si="249"/>
        <v>7684.5603729599397</v>
      </c>
      <c r="N97" s="1679">
        <f t="shared" si="249"/>
        <v>7744.4976746612501</v>
      </c>
      <c r="O97" s="1677">
        <f t="shared" si="249"/>
        <v>8639.8374439110084</v>
      </c>
      <c r="P97" s="1678">
        <f t="shared" si="249"/>
        <v>8438.5265301215695</v>
      </c>
      <c r="Q97" s="1678">
        <f t="shared" si="249"/>
        <v>8950.6358841748479</v>
      </c>
      <c r="R97" s="1678">
        <f t="shared" si="249"/>
        <v>8360.5518128974873</v>
      </c>
      <c r="S97" s="1677">
        <f t="shared" si="249"/>
        <v>8283.8886860413586</v>
      </c>
      <c r="T97" s="1678">
        <f t="shared" si="249"/>
        <v>6843.1719383213203</v>
      </c>
      <c r="U97" s="1678">
        <f t="shared" si="249"/>
        <v>7359.8377490323146</v>
      </c>
      <c r="V97" s="1678">
        <f t="shared" si="249"/>
        <v>7354.2240723278701</v>
      </c>
      <c r="W97" s="1677">
        <f t="shared" si="249"/>
        <v>5887.49512865822</v>
      </c>
      <c r="X97" s="1678">
        <f t="shared" si="249"/>
        <v>7342.5870896590586</v>
      </c>
      <c r="Y97" s="1825">
        <f t="shared" si="249"/>
        <v>9428.2420655372098</v>
      </c>
      <c r="Z97" s="1826">
        <f t="shared" si="249"/>
        <v>7903.1028409842911</v>
      </c>
      <c r="AA97" s="1677">
        <f t="shared" si="249"/>
        <v>5838.4228171684554</v>
      </c>
      <c r="AB97" s="1678">
        <f t="shared" si="249"/>
        <v>11231.838014387387</v>
      </c>
      <c r="AC97" s="1825">
        <f t="shared" si="249"/>
        <v>14895.865292939685</v>
      </c>
      <c r="AD97" s="1826">
        <f t="shared" si="249"/>
        <v>11088.680104153016</v>
      </c>
      <c r="AE97" s="1677">
        <f t="shared" si="249"/>
        <v>7430.0572431015753</v>
      </c>
      <c r="AF97" s="1680">
        <f t="shared" si="249"/>
        <v>9854.2125554743252</v>
      </c>
      <c r="AG97" s="1680">
        <f t="shared" si="249"/>
        <v>14312.880773121604</v>
      </c>
      <c r="AH97" s="1681">
        <f t="shared" si="249"/>
        <v>7721.1693236924348</v>
      </c>
      <c r="AI97" s="1680">
        <f t="shared" si="249"/>
        <v>6476.9106982314634</v>
      </c>
      <c r="AJ97" s="1680">
        <f t="shared" si="249"/>
        <v>5766.6546578633643</v>
      </c>
      <c r="AK97" s="1680">
        <f t="shared" si="249"/>
        <v>9936.1248110884608</v>
      </c>
      <c r="AL97" s="1681">
        <f t="shared" si="249"/>
        <v>7145.8747184646672</v>
      </c>
      <c r="AM97" s="1680">
        <f t="shared" si="249"/>
        <v>4993.9723459738043</v>
      </c>
      <c r="AN97" s="1680">
        <f t="shared" si="249"/>
        <v>14859.377349977438</v>
      </c>
      <c r="AO97" s="1680">
        <f t="shared" si="249"/>
        <v>13198.198198198197</v>
      </c>
      <c r="AP97" s="1681">
        <f t="shared" si="249"/>
        <v>12321.539416511485</v>
      </c>
      <c r="AQ97" s="1680">
        <f t="shared" si="249"/>
        <v>13766.147964572425</v>
      </c>
      <c r="AR97" s="1680">
        <f t="shared" si="249"/>
        <v>17987.083179969206</v>
      </c>
      <c r="AS97" s="1680">
        <f t="shared" si="249"/>
        <v>15264.015012002199</v>
      </c>
      <c r="AT97" s="1681">
        <f t="shared" si="249"/>
        <v>6334.5447057720257</v>
      </c>
      <c r="AU97" s="1680">
        <f t="shared" si="249"/>
        <v>13835.817936941603</v>
      </c>
      <c r="AV97" s="1680">
        <f t="shared" si="249"/>
        <v>18078.115151394733</v>
      </c>
      <c r="AW97" s="1680">
        <f t="shared" si="249"/>
        <v>15341.265634824622</v>
      </c>
      <c r="AX97" s="1681">
        <f t="shared" si="249"/>
        <v>6366.603605310097</v>
      </c>
      <c r="AY97" s="1680">
        <f t="shared" ref="AY97:BB97" si="250">IF(ISBLANK(AY240),"",AY240)</f>
        <v>13642.039241588413</v>
      </c>
      <c r="AZ97" s="1680">
        <f t="shared" si="250"/>
        <v>17824.920610642024</v>
      </c>
      <c r="BA97" s="1680">
        <f t="shared" si="250"/>
        <v>15126.402266910129</v>
      </c>
      <c r="BB97" s="1681">
        <f t="shared" si="250"/>
        <v>6277.4356106103478</v>
      </c>
      <c r="BC97" s="1529"/>
      <c r="BD97" s="1529"/>
      <c r="BE97" s="1529">
        <f t="shared" si="236"/>
        <v>6790.6179559027096</v>
      </c>
      <c r="BF97" s="1529">
        <f t="shared" si="237"/>
        <v>7037.6033347521152</v>
      </c>
      <c r="BG97" s="1529">
        <f t="shared" si="238"/>
        <v>8597.3879177762283</v>
      </c>
      <c r="BH97" s="1529">
        <f t="shared" si="239"/>
        <v>7460.2806114307159</v>
      </c>
      <c r="BI97" s="1529">
        <f t="shared" si="240"/>
        <v>7640.3567812096953</v>
      </c>
      <c r="BJ97" s="1529">
        <f t="shared" si="241"/>
        <v>10763.701557162136</v>
      </c>
      <c r="BK97" s="1529">
        <f t="shared" si="242"/>
        <v>9829.5799738474852</v>
      </c>
      <c r="BL97" s="1529">
        <f t="shared" si="243"/>
        <v>7331.3912214119891</v>
      </c>
      <c r="BM97" s="1529">
        <f t="shared" si="244"/>
        <v>11343.27182766523</v>
      </c>
      <c r="BN97" s="1529">
        <f t="shared" si="245"/>
        <v>13337.947715578963</v>
      </c>
      <c r="BO97" s="1529">
        <f t="shared" si="246"/>
        <v>13405.450582117764</v>
      </c>
      <c r="BP97" s="1529">
        <f t="shared" si="247"/>
        <v>13217.69943243773</v>
      </c>
      <c r="BQ97" s="1529"/>
      <c r="BR97" s="1587"/>
      <c r="BS97" s="1477"/>
      <c r="BV97" s="1444"/>
      <c r="BW97" s="1841">
        <v>6</v>
      </c>
      <c r="BX97" s="1839" t="s">
        <v>809</v>
      </c>
      <c r="BY97" s="1836">
        <f t="shared" ref="BY97:CW97" si="251">BY90*$BZ$84+(1-BY90)*$BZ$83</f>
        <v>0</v>
      </c>
      <c r="BZ97" s="1836">
        <f t="shared" si="251"/>
        <v>0</v>
      </c>
      <c r="CA97" s="1836">
        <f t="shared" si="251"/>
        <v>0</v>
      </c>
      <c r="CB97" s="1836">
        <f t="shared" si="251"/>
        <v>0</v>
      </c>
      <c r="CC97" s="1836">
        <f t="shared" si="251"/>
        <v>0</v>
      </c>
      <c r="CD97" s="1836">
        <f t="shared" si="251"/>
        <v>0</v>
      </c>
      <c r="CE97" s="1836">
        <f t="shared" si="251"/>
        <v>0</v>
      </c>
      <c r="CF97" s="1836">
        <f t="shared" si="251"/>
        <v>0</v>
      </c>
      <c r="CG97" s="1836">
        <f t="shared" si="251"/>
        <v>0</v>
      </c>
      <c r="CH97" s="1836">
        <f t="shared" si="251"/>
        <v>0</v>
      </c>
      <c r="CI97" s="1836">
        <f t="shared" si="251"/>
        <v>0</v>
      </c>
      <c r="CJ97" s="1836">
        <f t="shared" si="251"/>
        <v>0</v>
      </c>
      <c r="CK97" s="1836">
        <f t="shared" si="251"/>
        <v>0</v>
      </c>
      <c r="CL97" s="1836">
        <f t="shared" si="251"/>
        <v>0</v>
      </c>
      <c r="CM97" s="1836">
        <f t="shared" si="251"/>
        <v>0</v>
      </c>
      <c r="CN97" s="1836">
        <f t="shared" si="251"/>
        <v>0</v>
      </c>
      <c r="CO97" s="1836">
        <f t="shared" si="251"/>
        <v>0</v>
      </c>
      <c r="CP97" s="1836">
        <f t="shared" si="251"/>
        <v>0</v>
      </c>
      <c r="CQ97" s="1836">
        <f t="shared" si="251"/>
        <v>0</v>
      </c>
      <c r="CR97" s="1836">
        <f t="shared" si="251"/>
        <v>0</v>
      </c>
      <c r="CS97" s="1836">
        <f t="shared" si="251"/>
        <v>0</v>
      </c>
      <c r="CT97" s="1836">
        <f t="shared" si="251"/>
        <v>0</v>
      </c>
      <c r="CU97" s="1836">
        <f t="shared" si="251"/>
        <v>0</v>
      </c>
      <c r="CV97" s="1836">
        <f t="shared" si="251"/>
        <v>0</v>
      </c>
      <c r="CW97" s="1836">
        <f t="shared" si="251"/>
        <v>0</v>
      </c>
    </row>
    <row r="98" spans="1:101" ht="12.75" customHeight="1">
      <c r="A98" s="1445"/>
      <c r="B98" s="1446"/>
      <c r="C98" s="1649" t="s">
        <v>805</v>
      </c>
      <c r="D98" s="1649"/>
      <c r="E98" s="1649"/>
      <c r="F98" s="1651"/>
      <c r="G98" s="1677">
        <f t="shared" ref="G98:AX98" si="252">IF(ISBLANK(G241),"",G241)</f>
        <v>6852.579277756392</v>
      </c>
      <c r="H98" s="1678">
        <f t="shared" si="252"/>
        <v>8306.5809607562096</v>
      </c>
      <c r="I98" s="1678">
        <f t="shared" si="252"/>
        <v>9423.2283467435736</v>
      </c>
      <c r="J98" s="1679">
        <f t="shared" si="252"/>
        <v>7028.9542841002922</v>
      </c>
      <c r="K98" s="1677">
        <f t="shared" si="252"/>
        <v>7074.1943976919974</v>
      </c>
      <c r="L98" s="1678">
        <f t="shared" si="252"/>
        <v>7547.8657501188482</v>
      </c>
      <c r="M98" s="1678">
        <f t="shared" si="252"/>
        <v>8439.3885162200022</v>
      </c>
      <c r="N98" s="1679">
        <f t="shared" si="252"/>
        <v>8268.6653113423945</v>
      </c>
      <c r="O98" s="1677">
        <f t="shared" si="252"/>
        <v>8437.495171565226</v>
      </c>
      <c r="P98" s="1678">
        <f t="shared" si="252"/>
        <v>8970.6692026012824</v>
      </c>
      <c r="Q98" s="1678">
        <f t="shared" si="252"/>
        <v>10076.119613780258</v>
      </c>
      <c r="R98" s="1678">
        <f t="shared" si="252"/>
        <v>9230.9471653996989</v>
      </c>
      <c r="S98" s="1677">
        <f t="shared" si="252"/>
        <v>7249.062381710246</v>
      </c>
      <c r="T98" s="1678">
        <f t="shared" si="252"/>
        <v>7720.0856088085848</v>
      </c>
      <c r="U98" s="1678">
        <f t="shared" si="252"/>
        <v>8293.4171259897885</v>
      </c>
      <c r="V98" s="1678">
        <f t="shared" si="252"/>
        <v>8457.6272733481783</v>
      </c>
      <c r="W98" s="1677">
        <f t="shared" si="252"/>
        <v>6117.7451995103747</v>
      </c>
      <c r="X98" s="1678">
        <f t="shared" si="252"/>
        <v>8147.412648795138</v>
      </c>
      <c r="Y98" s="1825">
        <f t="shared" si="252"/>
        <v>9952.2595955805282</v>
      </c>
      <c r="Z98" s="1826">
        <f t="shared" si="252"/>
        <v>8215.7123443567598</v>
      </c>
      <c r="AA98" s="1677">
        <f t="shared" si="252"/>
        <v>6590.0424387770508</v>
      </c>
      <c r="AB98" s="1678">
        <f t="shared" si="252"/>
        <v>7771.3067261298047</v>
      </c>
      <c r="AC98" s="1825">
        <f t="shared" si="252"/>
        <v>9737.8690075852119</v>
      </c>
      <c r="AD98" s="1826">
        <f t="shared" si="252"/>
        <v>9049.3951916015685</v>
      </c>
      <c r="AE98" s="1677">
        <f t="shared" si="252"/>
        <v>8212.0800442138498</v>
      </c>
      <c r="AF98" s="1680">
        <f t="shared" si="252"/>
        <v>11384.80330532701</v>
      </c>
      <c r="AG98" s="1680">
        <f t="shared" si="252"/>
        <v>11578.755646993332</v>
      </c>
      <c r="AH98" s="1681">
        <f t="shared" si="252"/>
        <v>9606.9455878853478</v>
      </c>
      <c r="AI98" s="1680">
        <f t="shared" si="252"/>
        <v>8859.0498337299687</v>
      </c>
      <c r="AJ98" s="1680">
        <f t="shared" si="252"/>
        <v>7917.1918496624576</v>
      </c>
      <c r="AK98" s="1680">
        <f t="shared" si="252"/>
        <v>7966.5045898410899</v>
      </c>
      <c r="AL98" s="1681">
        <f t="shared" si="252"/>
        <v>8139.7228227011701</v>
      </c>
      <c r="AM98" s="1680">
        <f t="shared" si="252"/>
        <v>5720.6374459995504</v>
      </c>
      <c r="AN98" s="1680">
        <f t="shared" si="252"/>
        <v>15353.697749196142</v>
      </c>
      <c r="AO98" s="1680">
        <f t="shared" si="252"/>
        <v>13013.972055888224</v>
      </c>
      <c r="AP98" s="1681">
        <f t="shared" si="252"/>
        <v>13234.828496042217</v>
      </c>
      <c r="AQ98" s="1680">
        <f t="shared" si="252"/>
        <v>14914.155984907466</v>
      </c>
      <c r="AR98" s="1680">
        <f t="shared" si="252"/>
        <v>20592.143562519603</v>
      </c>
      <c r="AS98" s="1680">
        <f t="shared" si="252"/>
        <v>17789.229705526392</v>
      </c>
      <c r="AT98" s="1681">
        <f t="shared" si="252"/>
        <v>6358.814301275911</v>
      </c>
      <c r="AU98" s="1680">
        <f t="shared" si="252"/>
        <v>14783.03187245478</v>
      </c>
      <c r="AV98" s="1680">
        <f t="shared" si="252"/>
        <v>20411.099019947695</v>
      </c>
      <c r="AW98" s="1680">
        <f t="shared" si="252"/>
        <v>17632.828166028303</v>
      </c>
      <c r="AX98" s="1681">
        <f t="shared" si="252"/>
        <v>6302.9080949609152</v>
      </c>
      <c r="AY98" s="1680">
        <f t="shared" ref="AY98:BB98" si="253">IF(ISBLANK(AY241),"",AY241)</f>
        <v>14415.982411492447</v>
      </c>
      <c r="AZ98" s="1680">
        <f t="shared" si="253"/>
        <v>19904.309684880362</v>
      </c>
      <c r="BA98" s="1680">
        <f t="shared" si="253"/>
        <v>17195.020811662678</v>
      </c>
      <c r="BB98" s="1681">
        <f t="shared" si="253"/>
        <v>6146.4125236389573</v>
      </c>
      <c r="BC98" s="1529"/>
      <c r="BD98" s="1529"/>
      <c r="BE98" s="1529">
        <f t="shared" si="236"/>
        <v>7902.8357173391169</v>
      </c>
      <c r="BF98" s="1529">
        <f t="shared" si="237"/>
        <v>7832.5284938433106</v>
      </c>
      <c r="BG98" s="1529">
        <f t="shared" si="238"/>
        <v>9178.8077883366168</v>
      </c>
      <c r="BH98" s="1529">
        <f t="shared" si="239"/>
        <v>7930.0480974641996</v>
      </c>
      <c r="BI98" s="1529">
        <f t="shared" si="240"/>
        <v>8108.2824470607011</v>
      </c>
      <c r="BJ98" s="1529">
        <f t="shared" si="241"/>
        <v>8287.1533410234078</v>
      </c>
      <c r="BK98" s="1529">
        <f t="shared" si="242"/>
        <v>10195.646146104886</v>
      </c>
      <c r="BL98" s="1529">
        <f t="shared" si="243"/>
        <v>8220.6172739836711</v>
      </c>
      <c r="BM98" s="1529">
        <f t="shared" si="244"/>
        <v>11830.783936781534</v>
      </c>
      <c r="BN98" s="1529">
        <f t="shared" si="245"/>
        <v>14913.585888557343</v>
      </c>
      <c r="BO98" s="1529">
        <f t="shared" si="246"/>
        <v>14782.466788347923</v>
      </c>
      <c r="BP98" s="1529">
        <f t="shared" si="247"/>
        <v>14415.431357918611</v>
      </c>
      <c r="BQ98" s="1529"/>
      <c r="BR98" s="1587"/>
      <c r="BS98" s="1477"/>
      <c r="BV98" s="1444"/>
      <c r="BW98" s="1841">
        <v>7</v>
      </c>
      <c r="BX98" s="1839" t="s">
        <v>810</v>
      </c>
      <c r="BY98" s="1836">
        <f t="shared" ref="BY98:CW98" si="254">BY91*$BZ$84+(1-BY91)*$BZ$83</f>
        <v>0</v>
      </c>
      <c r="BZ98" s="1836">
        <f t="shared" si="254"/>
        <v>0</v>
      </c>
      <c r="CA98" s="1836">
        <f t="shared" si="254"/>
        <v>0</v>
      </c>
      <c r="CB98" s="1836">
        <f t="shared" si="254"/>
        <v>0</v>
      </c>
      <c r="CC98" s="1836">
        <f t="shared" si="254"/>
        <v>0</v>
      </c>
      <c r="CD98" s="1836">
        <f t="shared" si="254"/>
        <v>0</v>
      </c>
      <c r="CE98" s="1836">
        <f t="shared" si="254"/>
        <v>0</v>
      </c>
      <c r="CF98" s="1836">
        <f t="shared" si="254"/>
        <v>0</v>
      </c>
      <c r="CG98" s="1836">
        <f t="shared" si="254"/>
        <v>0</v>
      </c>
      <c r="CH98" s="1836">
        <f t="shared" si="254"/>
        <v>0</v>
      </c>
      <c r="CI98" s="1836">
        <f t="shared" si="254"/>
        <v>0</v>
      </c>
      <c r="CJ98" s="1836">
        <f t="shared" si="254"/>
        <v>0</v>
      </c>
      <c r="CK98" s="1836">
        <f t="shared" si="254"/>
        <v>0</v>
      </c>
      <c r="CL98" s="1836">
        <f t="shared" si="254"/>
        <v>0</v>
      </c>
      <c r="CM98" s="1836">
        <f t="shared" si="254"/>
        <v>0</v>
      </c>
      <c r="CN98" s="1836">
        <f t="shared" si="254"/>
        <v>0</v>
      </c>
      <c r="CO98" s="1836">
        <f t="shared" si="254"/>
        <v>0</v>
      </c>
      <c r="CP98" s="1836">
        <f t="shared" si="254"/>
        <v>0</v>
      </c>
      <c r="CQ98" s="1836">
        <f t="shared" si="254"/>
        <v>0</v>
      </c>
      <c r="CR98" s="1836">
        <f t="shared" si="254"/>
        <v>0</v>
      </c>
      <c r="CS98" s="1836">
        <f t="shared" si="254"/>
        <v>0</v>
      </c>
      <c r="CT98" s="1836">
        <f t="shared" si="254"/>
        <v>0</v>
      </c>
      <c r="CU98" s="1836">
        <f t="shared" si="254"/>
        <v>0</v>
      </c>
      <c r="CV98" s="1836">
        <f t="shared" si="254"/>
        <v>0</v>
      </c>
      <c r="CW98" s="1836">
        <f t="shared" si="254"/>
        <v>0</v>
      </c>
    </row>
    <row r="99" spans="1:101" ht="12.75" customHeight="1">
      <c r="A99" s="1445"/>
      <c r="B99" s="1446"/>
      <c r="C99" s="1649" t="s">
        <v>806</v>
      </c>
      <c r="D99" s="1649"/>
      <c r="E99" s="1649"/>
      <c r="F99" s="1651"/>
      <c r="G99" s="1677">
        <f t="shared" ref="G99:AX99" si="255">IF(ISBLANK(G242),"",G242)</f>
        <v>7004.3325492920585</v>
      </c>
      <c r="H99" s="1678">
        <f t="shared" si="255"/>
        <v>8884.2082613828734</v>
      </c>
      <c r="I99" s="1678">
        <f t="shared" si="255"/>
        <v>10083.180834408246</v>
      </c>
      <c r="J99" s="1679">
        <f t="shared" si="255"/>
        <v>7087.3029977862207</v>
      </c>
      <c r="K99" s="1677">
        <f t="shared" si="255"/>
        <v>7340.2263410942887</v>
      </c>
      <c r="L99" s="1678">
        <f t="shared" si="255"/>
        <v>7798.9509690638888</v>
      </c>
      <c r="M99" s="1678">
        <f t="shared" si="255"/>
        <v>8927.1882569122845</v>
      </c>
      <c r="N99" s="1679">
        <f t="shared" si="255"/>
        <v>8345.6002027089799</v>
      </c>
      <c r="O99" s="1677">
        <f t="shared" si="255"/>
        <v>8645.3846646133316</v>
      </c>
      <c r="P99" s="1678">
        <f t="shared" si="255"/>
        <v>9156.0025011957878</v>
      </c>
      <c r="Q99" s="1678">
        <f t="shared" si="255"/>
        <v>10477.185224637948</v>
      </c>
      <c r="R99" s="1678">
        <f t="shared" si="255"/>
        <v>9423.1828285744832</v>
      </c>
      <c r="S99" s="1677">
        <f t="shared" si="255"/>
        <v>7423.784925032689</v>
      </c>
      <c r="T99" s="1678">
        <f t="shared" si="255"/>
        <v>7850.7305463093289</v>
      </c>
      <c r="U99" s="1678">
        <f t="shared" si="255"/>
        <v>8892.078482518069</v>
      </c>
      <c r="V99" s="1678">
        <f t="shared" si="255"/>
        <v>8316.9515771291517</v>
      </c>
      <c r="W99" s="1677">
        <f t="shared" si="255"/>
        <v>6133.6490987913385</v>
      </c>
      <c r="X99" s="1678">
        <f t="shared" si="255"/>
        <v>8213.4148493595476</v>
      </c>
      <c r="Y99" s="1825">
        <f t="shared" si="255"/>
        <v>10122.829083489969</v>
      </c>
      <c r="Z99" s="1826">
        <f t="shared" si="255"/>
        <v>8243.0500509012982</v>
      </c>
      <c r="AA99" s="1677">
        <f t="shared" si="255"/>
        <v>6629.8219138086515</v>
      </c>
      <c r="AB99" s="1678">
        <f t="shared" si="255"/>
        <v>7973.4326856799471</v>
      </c>
      <c r="AC99" s="1825">
        <f t="shared" si="255"/>
        <v>10477.845810963989</v>
      </c>
      <c r="AD99" s="1826">
        <f t="shared" si="255"/>
        <v>9160.039878142039</v>
      </c>
      <c r="AE99" s="1677">
        <f t="shared" si="255"/>
        <v>8558.8324115569685</v>
      </c>
      <c r="AF99" s="1680">
        <f t="shared" si="255"/>
        <v>12102.625348797468</v>
      </c>
      <c r="AG99" s="1680">
        <f t="shared" si="255"/>
        <v>12591.843997641919</v>
      </c>
      <c r="AH99" s="1681">
        <f t="shared" si="255"/>
        <v>9646.0234098480669</v>
      </c>
      <c r="AI99" s="1680">
        <f t="shared" si="255"/>
        <v>8902.6133060085667</v>
      </c>
      <c r="AJ99" s="1680">
        <f t="shared" si="255"/>
        <v>8502.4785656129588</v>
      </c>
      <c r="AK99" s="1680">
        <f t="shared" si="255"/>
        <v>8317.9199339646766</v>
      </c>
      <c r="AL99" s="1681">
        <f t="shared" si="255"/>
        <v>8247.7510387057664</v>
      </c>
      <c r="AM99" s="1680">
        <f t="shared" si="255"/>
        <v>6014.3501087297491</v>
      </c>
      <c r="AN99" s="1680">
        <f t="shared" si="255"/>
        <v>16016.881028938908</v>
      </c>
      <c r="AO99" s="1680">
        <f t="shared" si="255"/>
        <v>13685.961410512306</v>
      </c>
      <c r="AP99" s="1681">
        <f t="shared" si="255"/>
        <v>13635.883905013192</v>
      </c>
      <c r="AQ99" s="1680">
        <f t="shared" si="255"/>
        <v>15581.860761896291</v>
      </c>
      <c r="AR99" s="1680">
        <f t="shared" si="255"/>
        <v>21684.767581360513</v>
      </c>
      <c r="AS99" s="1680">
        <f t="shared" si="255"/>
        <v>18977.134817803846</v>
      </c>
      <c r="AT99" s="1681">
        <f t="shared" si="255"/>
        <v>6534.6362240548142</v>
      </c>
      <c r="AU99" s="1680">
        <f t="shared" si="255"/>
        <v>15474.866268858676</v>
      </c>
      <c r="AV99" s="1680">
        <f t="shared" si="255"/>
        <v>21535.866833917054</v>
      </c>
      <c r="AW99" s="1680">
        <f t="shared" si="255"/>
        <v>18846.826316774066</v>
      </c>
      <c r="AX99" s="1681">
        <f t="shared" si="255"/>
        <v>6489.7654540831209</v>
      </c>
      <c r="AY99" s="1680">
        <f t="shared" ref="AY99:BB99" si="256">IF(ISBLANK(AY242),"",AY242)</f>
        <v>15153.832115448648</v>
      </c>
      <c r="AZ99" s="1680">
        <f t="shared" si="256"/>
        <v>21089.09406981953</v>
      </c>
      <c r="BA99" s="1680">
        <f t="shared" si="256"/>
        <v>18455.83909750179</v>
      </c>
      <c r="BB99" s="1681">
        <f t="shared" si="256"/>
        <v>6355.1318926562371</v>
      </c>
      <c r="BC99" s="1529"/>
      <c r="BD99" s="1529"/>
      <c r="BE99" s="1529">
        <f t="shared" si="236"/>
        <v>8264.7561607173484</v>
      </c>
      <c r="BF99" s="1529">
        <f t="shared" si="237"/>
        <v>8102.9914424448598</v>
      </c>
      <c r="BG99" s="1529">
        <f t="shared" si="238"/>
        <v>9425.4388047553875</v>
      </c>
      <c r="BH99" s="1529">
        <f t="shared" si="239"/>
        <v>8120.8863827473097</v>
      </c>
      <c r="BI99" s="1529">
        <f t="shared" si="240"/>
        <v>8178.2357706355378</v>
      </c>
      <c r="BJ99" s="1529">
        <f t="shared" si="241"/>
        <v>8560.2850721486557</v>
      </c>
      <c r="BK99" s="1529">
        <f t="shared" si="242"/>
        <v>10724.831291961105</v>
      </c>
      <c r="BL99" s="1529">
        <f t="shared" si="243"/>
        <v>8492.6907110729917</v>
      </c>
      <c r="BM99" s="1529">
        <f t="shared" si="244"/>
        <v>12338.269113298538</v>
      </c>
      <c r="BN99" s="1529">
        <f t="shared" si="245"/>
        <v>15694.599846278865</v>
      </c>
      <c r="BO99" s="1529">
        <f t="shared" si="246"/>
        <v>15586.83121840823</v>
      </c>
      <c r="BP99" s="1529">
        <f t="shared" si="247"/>
        <v>15263.474293856552</v>
      </c>
      <c r="BQ99" s="1529"/>
      <c r="BR99" s="1587"/>
      <c r="BS99" s="1477"/>
      <c r="BV99" s="1444"/>
      <c r="BW99" s="1444"/>
    </row>
    <row r="100" spans="1:101" ht="12.75" customHeight="1">
      <c r="A100" s="1445"/>
      <c r="B100" s="1446"/>
      <c r="C100" s="1649" t="s">
        <v>807</v>
      </c>
      <c r="D100" s="1649"/>
      <c r="E100" s="1649"/>
      <c r="F100" s="1651"/>
      <c r="G100" s="1677">
        <f t="shared" ref="G100:AX100" si="257">IF(ISBLANK(G243),"",G243)</f>
        <v>6493.6656406734282</v>
      </c>
      <c r="H100" s="1678">
        <f t="shared" si="257"/>
        <v>7054.57307272854</v>
      </c>
      <c r="I100" s="1678">
        <f t="shared" si="257"/>
        <v>8131.2298382658046</v>
      </c>
      <c r="J100" s="1679">
        <f t="shared" si="257"/>
        <v>7228.7968443687932</v>
      </c>
      <c r="K100" s="1677">
        <f t="shared" si="257"/>
        <v>6878.6075683160079</v>
      </c>
      <c r="L100" s="1678">
        <f t="shared" si="257"/>
        <v>7284.5320546195644</v>
      </c>
      <c r="M100" s="1678">
        <f t="shared" si="257"/>
        <v>7779.5784938790375</v>
      </c>
      <c r="N100" s="1679">
        <f t="shared" si="257"/>
        <v>8695.2045434184238</v>
      </c>
      <c r="O100" s="1677">
        <f t="shared" si="257"/>
        <v>9841.700334411802</v>
      </c>
      <c r="P100" s="1678">
        <f t="shared" si="257"/>
        <v>9039.2719380663311</v>
      </c>
      <c r="Q100" s="1678">
        <f t="shared" si="257"/>
        <v>8835.1893477360536</v>
      </c>
      <c r="R100" s="1678">
        <f t="shared" si="257"/>
        <v>8429.9253921288018</v>
      </c>
      <c r="S100" s="1677">
        <f t="shared" si="257"/>
        <v>7789.8114136442509</v>
      </c>
      <c r="T100" s="1678">
        <f t="shared" si="257"/>
        <v>7147.248796830625</v>
      </c>
      <c r="U100" s="1678">
        <f t="shared" si="257"/>
        <v>8031.1736003835267</v>
      </c>
      <c r="V100" s="1678">
        <f t="shared" si="257"/>
        <v>7795.107694833674</v>
      </c>
      <c r="W100" s="1677">
        <f t="shared" si="257"/>
        <v>6166.530696296164</v>
      </c>
      <c r="X100" s="1678">
        <f t="shared" si="257"/>
        <v>8263.5632022788723</v>
      </c>
      <c r="Y100" s="1825">
        <f t="shared" si="257"/>
        <v>10837.129084616699</v>
      </c>
      <c r="Z100" s="1826">
        <f t="shared" si="257"/>
        <v>10859.130824743526</v>
      </c>
      <c r="AA100" s="1677">
        <f t="shared" si="257"/>
        <v>6858.1083928038697</v>
      </c>
      <c r="AB100" s="1678">
        <f t="shared" si="257"/>
        <v>15422.985685691838</v>
      </c>
      <c r="AC100" s="1825">
        <f t="shared" si="257"/>
        <v>16917.689223633119</v>
      </c>
      <c r="AD100" s="1826">
        <f t="shared" si="257"/>
        <v>17146.191788467313</v>
      </c>
      <c r="AE100" s="1677">
        <f t="shared" si="257"/>
        <v>13082.44971352325</v>
      </c>
      <c r="AF100" s="1680">
        <f t="shared" si="257"/>
        <v>13437.831424583155</v>
      </c>
      <c r="AG100" s="1680">
        <f t="shared" si="257"/>
        <v>16998.184607495699</v>
      </c>
      <c r="AH100" s="1681">
        <f t="shared" si="257"/>
        <v>11310.225430871806</v>
      </c>
      <c r="AI100" s="1680">
        <f t="shared" si="257"/>
        <v>9046.2979187077945</v>
      </c>
      <c r="AJ100" s="1680">
        <f t="shared" si="257"/>
        <v>8797.2641070890259</v>
      </c>
      <c r="AK100" s="1680">
        <f t="shared" si="257"/>
        <v>12592.415236425988</v>
      </c>
      <c r="AL100" s="1681">
        <f t="shared" si="257"/>
        <v>10428.152314932511</v>
      </c>
      <c r="AM100" s="1680">
        <f t="shared" si="257"/>
        <v>6682.4698912828535</v>
      </c>
      <c r="AN100" s="1680">
        <f t="shared" si="257"/>
        <v>11257.331929613474</v>
      </c>
      <c r="AO100" s="1680">
        <f t="shared" si="257"/>
        <v>11163.663663663663</v>
      </c>
      <c r="AP100" s="1681">
        <f t="shared" si="257"/>
        <v>9565.4872749844817</v>
      </c>
      <c r="AQ100" s="1680">
        <f t="shared" si="257"/>
        <v>8968.4071460360283</v>
      </c>
      <c r="AR100" s="1680">
        <f t="shared" si="257"/>
        <v>11591.660811253709</v>
      </c>
      <c r="AS100" s="1680">
        <f t="shared" si="257"/>
        <v>11437.093284386061</v>
      </c>
      <c r="AT100" s="1681">
        <f t="shared" si="257"/>
        <v>8324.117177218186</v>
      </c>
      <c r="AU100" s="1680">
        <f t="shared" si="257"/>
        <v>9005.6896599988304</v>
      </c>
      <c r="AV100" s="1680">
        <f t="shared" si="257"/>
        <v>11639.848437998402</v>
      </c>
      <c r="AW100" s="1680">
        <f t="shared" si="257"/>
        <v>11484.6383593504</v>
      </c>
      <c r="AX100" s="1681">
        <f t="shared" si="257"/>
        <v>8358.7213170430405</v>
      </c>
      <c r="AY100" s="1830">
        <f t="shared" ref="AY100:BB100" si="258">IF(ISBLANK(AY243),"",IF(Uplift="Yes",AY243+$CA$102,AY243))</f>
        <v>8883.1264622192248</v>
      </c>
      <c r="AZ100" s="1830">
        <f t="shared" si="258"/>
        <v>11481.435579006858</v>
      </c>
      <c r="BA100" s="1830">
        <f>IF(ISBLANK(BA243),"",IF(Uplift="Yes",BA243+$CA$102,BA243))</f>
        <v>11328.337836480232</v>
      </c>
      <c r="BB100" s="1831">
        <f t="shared" si="258"/>
        <v>8244.9630539179179</v>
      </c>
      <c r="BC100" s="1529"/>
      <c r="BD100" s="1529"/>
      <c r="BE100" s="1529">
        <f t="shared" si="236"/>
        <v>7227.066349009141</v>
      </c>
      <c r="BF100" s="1529">
        <f t="shared" si="237"/>
        <v>7659.4806650582577</v>
      </c>
      <c r="BG100" s="1529">
        <f t="shared" si="238"/>
        <v>9036.5217530857462</v>
      </c>
      <c r="BH100" s="1529">
        <f t="shared" si="239"/>
        <v>7690.8353764230187</v>
      </c>
      <c r="BI100" s="1529">
        <f t="shared" si="240"/>
        <v>9031.5884519838146</v>
      </c>
      <c r="BJ100" s="1529">
        <f t="shared" si="241"/>
        <v>14086.243772649035</v>
      </c>
      <c r="BK100" s="1529">
        <f t="shared" si="242"/>
        <v>13707.172794118478</v>
      </c>
      <c r="BL100" s="1529">
        <f t="shared" si="243"/>
        <v>10216.032394288828</v>
      </c>
      <c r="BM100" s="1529">
        <f t="shared" si="244"/>
        <v>9667.2381898861167</v>
      </c>
      <c r="BN100" s="1529">
        <f t="shared" si="245"/>
        <v>10080.319604723496</v>
      </c>
      <c r="BO100" s="1529">
        <f t="shared" si="246"/>
        <v>10122.224443597668</v>
      </c>
      <c r="BP100" s="1529">
        <f t="shared" si="247"/>
        <v>9984.4657329060592</v>
      </c>
      <c r="BQ100" s="1529"/>
      <c r="BR100" s="1587"/>
      <c r="BS100" s="1477"/>
      <c r="BV100" s="1444"/>
      <c r="BW100" s="1444"/>
      <c r="BX100" s="1835" t="s">
        <v>948</v>
      </c>
      <c r="CA100" s="1519" t="s">
        <v>949</v>
      </c>
    </row>
    <row r="101" spans="1:101" ht="12.75" customHeight="1">
      <c r="A101" s="1445"/>
      <c r="B101" s="1446"/>
      <c r="C101" s="1649" t="s">
        <v>693</v>
      </c>
      <c r="D101" s="1649"/>
      <c r="E101" s="1649"/>
      <c r="F101" s="1651"/>
      <c r="G101" s="1677">
        <f t="shared" ref="G101:AX101" si="259">IF(ISBLANK(G244),"",G244)</f>
        <v>7002.234954288876</v>
      </c>
      <c r="H101" s="1678">
        <f t="shared" si="259"/>
        <v>7640.4485499059529</v>
      </c>
      <c r="I101" s="1678">
        <f t="shared" si="259"/>
        <v>9025.3869993302178</v>
      </c>
      <c r="J101" s="1679">
        <f t="shared" si="259"/>
        <v>7413.0740656652906</v>
      </c>
      <c r="K101" s="1677">
        <f t="shared" si="259"/>
        <v>7669.8052364764089</v>
      </c>
      <c r="L101" s="1678">
        <f t="shared" si="259"/>
        <v>7622.3652447041277</v>
      </c>
      <c r="M101" s="1678">
        <f t="shared" si="259"/>
        <v>8474.1679552486985</v>
      </c>
      <c r="N101" s="1679">
        <f t="shared" si="259"/>
        <v>8622.2045860397502</v>
      </c>
      <c r="O101" s="1677">
        <f t="shared" si="259"/>
        <v>10395.317989886589</v>
      </c>
      <c r="P101" s="1678">
        <f t="shared" si="259"/>
        <v>8857.6301713450721</v>
      </c>
      <c r="Q101" s="1678">
        <f t="shared" si="259"/>
        <v>9886.5109657382072</v>
      </c>
      <c r="R101" s="1678">
        <f t="shared" si="259"/>
        <v>8860.9682958716039</v>
      </c>
      <c r="S101" s="1677">
        <f t="shared" si="259"/>
        <v>8039.5762260747151</v>
      </c>
      <c r="T101" s="1678">
        <f t="shared" si="259"/>
        <v>7560.6867566728806</v>
      </c>
      <c r="U101" s="1678">
        <f t="shared" si="259"/>
        <v>8465.7345865797197</v>
      </c>
      <c r="V101" s="1678">
        <f t="shared" si="259"/>
        <v>8094.5011996556996</v>
      </c>
      <c r="W101" s="1677">
        <f t="shared" si="259"/>
        <v>7151.6799340099105</v>
      </c>
      <c r="X101" s="1678">
        <f t="shared" si="259"/>
        <v>8251.2040516581637</v>
      </c>
      <c r="Y101" s="1825">
        <f t="shared" si="259"/>
        <v>10479.170149283662</v>
      </c>
      <c r="Z101" s="1826">
        <f t="shared" si="259"/>
        <v>13653.53156496323</v>
      </c>
      <c r="AA101" s="1677">
        <f t="shared" si="259"/>
        <v>8207.0387690658226</v>
      </c>
      <c r="AB101" s="1678">
        <f t="shared" si="259"/>
        <v>15499.45605967582</v>
      </c>
      <c r="AC101" s="1825">
        <f t="shared" si="259"/>
        <v>15178.412461854665</v>
      </c>
      <c r="AD101" s="1826">
        <f t="shared" si="259"/>
        <v>19658.072019603624</v>
      </c>
      <c r="AE101" s="1677">
        <f t="shared" si="259"/>
        <v>13822.547494014379</v>
      </c>
      <c r="AF101" s="1680">
        <f t="shared" si="259"/>
        <v>12166.262278237393</v>
      </c>
      <c r="AG101" s="1680">
        <f t="shared" si="259"/>
        <v>15635.007649191331</v>
      </c>
      <c r="AH101" s="1681">
        <f t="shared" si="259"/>
        <v>9544.6541456185332</v>
      </c>
      <c r="AI101" s="1680">
        <f t="shared" si="259"/>
        <v>9801.7076446894607</v>
      </c>
      <c r="AJ101" s="1680">
        <f t="shared" si="259"/>
        <v>8644.1370259993801</v>
      </c>
      <c r="AK101" s="1680">
        <f t="shared" si="259"/>
        <v>11004.438339609598</v>
      </c>
      <c r="AL101" s="1681">
        <f t="shared" si="259"/>
        <v>12310.44340491018</v>
      </c>
      <c r="AM101" s="1680">
        <f t="shared" si="259"/>
        <v>7116.8692303849139</v>
      </c>
      <c r="AN101" s="1680">
        <f t="shared" si="259"/>
        <v>11351.481425778313</v>
      </c>
      <c r="AO101" s="1680">
        <f t="shared" si="259"/>
        <v>11381.381381381379</v>
      </c>
      <c r="AP101" s="1681">
        <f t="shared" si="259"/>
        <v>9497.1446306641828</v>
      </c>
      <c r="AQ101" s="1680">
        <f t="shared" si="259"/>
        <v>10240.121890620401</v>
      </c>
      <c r="AR101" s="1680">
        <f t="shared" si="259"/>
        <v>11655.324608823219</v>
      </c>
      <c r="AS101" s="1680">
        <f t="shared" si="259"/>
        <v>11808.620980409776</v>
      </c>
      <c r="AT101" s="1681">
        <f t="shared" si="259"/>
        <v>8077.2747597348434</v>
      </c>
      <c r="AU101" s="1680">
        <f t="shared" si="259"/>
        <v>10309.484579678321</v>
      </c>
      <c r="AV101" s="1680">
        <f t="shared" si="259"/>
        <v>11734.273342573297</v>
      </c>
      <c r="AW101" s="1680">
        <f t="shared" si="259"/>
        <v>11888.608085447777</v>
      </c>
      <c r="AX101" s="1681">
        <f t="shared" si="259"/>
        <v>8131.9871453469759</v>
      </c>
      <c r="AY101" s="1830">
        <f t="shared" ref="AY101:BB101" si="260">IF(ISBLANK(AY244),"",IF(Uplift="Yes",AY244+$CA$103,AY244))</f>
        <v>10242.624743435623</v>
      </c>
      <c r="AZ101" s="1830">
        <f t="shared" si="260"/>
        <v>11658.173360265939</v>
      </c>
      <c r="BA101" s="1830">
        <f t="shared" si="260"/>
        <v>11811.507199986107</v>
      </c>
      <c r="BB101" s="1831">
        <f t="shared" si="260"/>
        <v>8079.2489774333872</v>
      </c>
      <c r="BC101" s="1529"/>
      <c r="BD101" s="1529"/>
      <c r="BE101" s="1529">
        <f t="shared" si="236"/>
        <v>7770.2861422975839</v>
      </c>
      <c r="BF101" s="1529">
        <f t="shared" si="237"/>
        <v>8097.1357556172461</v>
      </c>
      <c r="BG101" s="1529">
        <f t="shared" si="238"/>
        <v>9500.1068557103681</v>
      </c>
      <c r="BH101" s="1529">
        <f t="shared" si="239"/>
        <v>8040.124692245754</v>
      </c>
      <c r="BI101" s="1529">
        <f t="shared" si="240"/>
        <v>9883.8964249787423</v>
      </c>
      <c r="BJ101" s="1529">
        <f t="shared" si="241"/>
        <v>14635.744827549981</v>
      </c>
      <c r="BK101" s="1529">
        <f t="shared" si="242"/>
        <v>12792.117891765411</v>
      </c>
      <c r="BL101" s="1529">
        <f t="shared" si="243"/>
        <v>10440.181603802155</v>
      </c>
      <c r="BM101" s="1529">
        <f t="shared" si="244"/>
        <v>9836.719167052197</v>
      </c>
      <c r="BN101" s="1529">
        <f t="shared" si="245"/>
        <v>10445.335559897059</v>
      </c>
      <c r="BO101" s="1529">
        <f t="shared" si="246"/>
        <v>10516.088288261593</v>
      </c>
      <c r="BP101" s="1529">
        <f t="shared" si="247"/>
        <v>10447.888570280264</v>
      </c>
      <c r="BQ101" s="1529"/>
      <c r="BR101" s="1587"/>
      <c r="BS101" s="1477"/>
      <c r="BV101" s="1444"/>
      <c r="BW101" s="1444"/>
      <c r="BX101" s="1839" t="s">
        <v>946</v>
      </c>
      <c r="BY101" s="1842">
        <f>HLOOKUP(BX8,$BY$92:$CW$98,BW93,TRUE)</f>
        <v>0</v>
      </c>
      <c r="CA101" s="188">
        <f>BY101/BX9*1000</f>
        <v>0</v>
      </c>
    </row>
    <row r="102" spans="1:101" ht="12.75" customHeight="1">
      <c r="A102" s="1445"/>
      <c r="B102" s="1446"/>
      <c r="C102" s="1649" t="s">
        <v>808</v>
      </c>
      <c r="D102" s="1649"/>
      <c r="E102" s="1649"/>
      <c r="F102" s="1651"/>
      <c r="G102" s="1677">
        <f t="shared" ref="G102:AX102" si="261">IF(ISBLANK(G245),"",G245)</f>
        <v>5769.3305928748814</v>
      </c>
      <c r="H102" s="1678">
        <f t="shared" si="261"/>
        <v>5980.4576806649147</v>
      </c>
      <c r="I102" s="1678">
        <f t="shared" si="261"/>
        <v>6684.7232199578648</v>
      </c>
      <c r="J102" s="1679">
        <f t="shared" si="261"/>
        <v>5911.4648985987124</v>
      </c>
      <c r="K102" s="1677">
        <f t="shared" si="261"/>
        <v>5617.3159739843395</v>
      </c>
      <c r="L102" s="1678">
        <f t="shared" si="261"/>
        <v>6655.7582528218209</v>
      </c>
      <c r="M102" s="1678">
        <f t="shared" si="261"/>
        <v>7303.4594565022162</v>
      </c>
      <c r="N102" s="1679">
        <f t="shared" si="261"/>
        <v>8538.4108780017341</v>
      </c>
      <c r="O102" s="1677">
        <f t="shared" si="261"/>
        <v>9256.1029733562991</v>
      </c>
      <c r="P102" s="1678">
        <f t="shared" si="261"/>
        <v>8884.5574896313938</v>
      </c>
      <c r="Q102" s="1678">
        <f t="shared" si="261"/>
        <v>8401.9636033328952</v>
      </c>
      <c r="R102" s="1678">
        <f t="shared" si="261"/>
        <v>8108.3969931427564</v>
      </c>
      <c r="S102" s="1677">
        <f t="shared" si="261"/>
        <v>7144.68170956227</v>
      </c>
      <c r="T102" s="1678">
        <f t="shared" si="261"/>
        <v>6923.1901425772967</v>
      </c>
      <c r="U102" s="1678">
        <f t="shared" si="261"/>
        <v>7416.937285038297</v>
      </c>
      <c r="V102" s="1678">
        <f t="shared" si="261"/>
        <v>7186.3638244491658</v>
      </c>
      <c r="W102" s="1677">
        <f t="shared" si="261"/>
        <v>4378.4476589144797</v>
      </c>
      <c r="X102" s="1678">
        <f t="shared" si="261"/>
        <v>8308.8842312669221</v>
      </c>
      <c r="Y102" s="1825">
        <f t="shared" si="261"/>
        <v>10465.996871575519</v>
      </c>
      <c r="Z102" s="1826">
        <f t="shared" si="261"/>
        <v>10914.824746114929</v>
      </c>
      <c r="AA102" s="1677">
        <f t="shared" si="261"/>
        <v>5222.5069289009616</v>
      </c>
      <c r="AB102" s="1678">
        <f t="shared" si="261"/>
        <v>15040.786920718157</v>
      </c>
      <c r="AC102" s="1825">
        <f t="shared" si="261"/>
        <v>16577.780229416356</v>
      </c>
      <c r="AD102" s="1826">
        <f t="shared" si="261"/>
        <v>17065.861366193356</v>
      </c>
      <c r="AE102" s="1677">
        <f t="shared" si="261"/>
        <v>11965.339455583016</v>
      </c>
      <c r="AF102" s="1680">
        <f t="shared" si="261"/>
        <v>13392.335283854029</v>
      </c>
      <c r="AG102" s="1680">
        <f t="shared" si="261"/>
        <v>16617.582565885587</v>
      </c>
      <c r="AH102" s="1681">
        <f t="shared" si="261"/>
        <v>11247.328225526811</v>
      </c>
      <c r="AI102" s="1680">
        <f t="shared" si="261"/>
        <v>8556.6131079873394</v>
      </c>
      <c r="AJ102" s="1680">
        <f t="shared" si="261"/>
        <v>8971.0519258287495</v>
      </c>
      <c r="AK102" s="1680">
        <f t="shared" si="261"/>
        <v>13054.147515117875</v>
      </c>
      <c r="AL102" s="1681">
        <f t="shared" si="261"/>
        <v>9524.2185088378228</v>
      </c>
      <c r="AM102" s="1680">
        <f t="shared" si="261"/>
        <v>5253.5008504221041</v>
      </c>
      <c r="AN102" s="1680">
        <f t="shared" si="261"/>
        <v>9534.7680059708928</v>
      </c>
      <c r="AO102" s="1680">
        <f t="shared" si="261"/>
        <v>8957.9632918886928</v>
      </c>
      <c r="AP102" s="1681">
        <f t="shared" si="261"/>
        <v>8724.870763928775</v>
      </c>
      <c r="AQ102" s="1680">
        <f t="shared" si="261"/>
        <v>10357.798701457919</v>
      </c>
      <c r="AR102" s="1680">
        <f t="shared" si="261"/>
        <v>8488.7960907604192</v>
      </c>
      <c r="AS102" s="1680">
        <f t="shared" si="261"/>
        <v>8528.2593221072202</v>
      </c>
      <c r="AT102" s="1681">
        <f t="shared" si="261"/>
        <v>9517.0351924681836</v>
      </c>
      <c r="AU102" s="1680">
        <f t="shared" si="261"/>
        <v>10049.931204538312</v>
      </c>
      <c r="AV102" s="1680">
        <f t="shared" si="261"/>
        <v>8236.4814359143529</v>
      </c>
      <c r="AW102" s="1680">
        <f t="shared" si="261"/>
        <v>8274.7716915541296</v>
      </c>
      <c r="AX102" s="1681">
        <f t="shared" si="261"/>
        <v>9234.1579241168911</v>
      </c>
      <c r="AY102" s="1830">
        <f t="shared" ref="AY102:BB102" si="262">IF(ISBLANK(AY245),"",IF(Uplift="Yes",AY245+$CA$104,AY245))</f>
        <v>9861.0170236466547</v>
      </c>
      <c r="AZ102" s="1830">
        <f t="shared" si="262"/>
        <v>8081.6556851477762</v>
      </c>
      <c r="BA102" s="1830">
        <f t="shared" si="262"/>
        <v>8119.2261774246881</v>
      </c>
      <c r="BB102" s="1831">
        <f t="shared" si="262"/>
        <v>9060.5782900920312</v>
      </c>
      <c r="BC102" s="1529"/>
      <c r="BD102" s="1529"/>
      <c r="BE102" s="1529">
        <f t="shared" si="236"/>
        <v>6086.4940980240926</v>
      </c>
      <c r="BF102" s="1529">
        <f t="shared" si="237"/>
        <v>7028.7361403275281</v>
      </c>
      <c r="BG102" s="1529">
        <f t="shared" si="238"/>
        <v>8662.7552648658366</v>
      </c>
      <c r="BH102" s="1529">
        <f t="shared" si="239"/>
        <v>7167.7932404067578</v>
      </c>
      <c r="BI102" s="1529">
        <f t="shared" si="240"/>
        <v>8517.0383769679629</v>
      </c>
      <c r="BJ102" s="1529">
        <f t="shared" si="241"/>
        <v>13476.733861307208</v>
      </c>
      <c r="BK102" s="1529">
        <f t="shared" si="242"/>
        <v>13305.646382712363</v>
      </c>
      <c r="BL102" s="1529">
        <f t="shared" si="243"/>
        <v>10026.507764442948</v>
      </c>
      <c r="BM102" s="1529">
        <f t="shared" si="244"/>
        <v>8117.7757280526166</v>
      </c>
      <c r="BN102" s="1529">
        <f t="shared" si="245"/>
        <v>9222.9723266984365</v>
      </c>
      <c r="BO102" s="1529">
        <f t="shared" si="246"/>
        <v>8948.8355640309201</v>
      </c>
      <c r="BP102" s="1529">
        <f t="shared" si="247"/>
        <v>8780.6192940777873</v>
      </c>
      <c r="BQ102" s="1529"/>
      <c r="BR102" s="1587"/>
      <c r="BS102" s="1477"/>
      <c r="BV102" s="1444"/>
      <c r="BW102" s="1444"/>
      <c r="BX102" s="1839" t="s">
        <v>807</v>
      </c>
      <c r="BY102" s="1842">
        <f>HLOOKUP(CB36,$BY$92:$CW$98,BW94,TRUE)</f>
        <v>0</v>
      </c>
      <c r="CA102" s="188">
        <f>BY102/CB36*1000</f>
        <v>0</v>
      </c>
    </row>
    <row r="103" spans="1:101" ht="12.75" customHeight="1">
      <c r="A103" s="1445"/>
      <c r="B103" s="1446"/>
      <c r="C103" s="1649" t="s">
        <v>809</v>
      </c>
      <c r="D103" s="1649"/>
      <c r="E103" s="1649"/>
      <c r="F103" s="1651"/>
      <c r="G103" s="1677">
        <f t="shared" ref="G103:AX103" si="263">IF(ISBLANK(G246),"",G246)</f>
        <v>6500.5822596957805</v>
      </c>
      <c r="H103" s="1678">
        <f t="shared" si="263"/>
        <v>6476.0723404537666</v>
      </c>
      <c r="I103" s="1678">
        <f t="shared" si="263"/>
        <v>7271.6763952678921</v>
      </c>
      <c r="J103" s="1679">
        <f t="shared" si="263"/>
        <v>8220.4093352115033</v>
      </c>
      <c r="K103" s="1677">
        <f t="shared" si="263"/>
        <v>7979.1747211275315</v>
      </c>
      <c r="L103" s="1678">
        <f t="shared" si="263"/>
        <v>7104.9821374667526</v>
      </c>
      <c r="M103" s="1678">
        <f t="shared" si="263"/>
        <v>7790.7372328055353</v>
      </c>
      <c r="N103" s="1679">
        <f t="shared" si="263"/>
        <v>9201.0167150006782</v>
      </c>
      <c r="O103" s="1677">
        <f t="shared" si="263"/>
        <v>10440.014917886665</v>
      </c>
      <c r="P103" s="1678">
        <f t="shared" si="263"/>
        <v>9560.11803419846</v>
      </c>
      <c r="Q103" s="1678">
        <f t="shared" si="263"/>
        <v>8935.6748974826023</v>
      </c>
      <c r="R103" s="1678">
        <f t="shared" si="263"/>
        <v>8777.6380248240494</v>
      </c>
      <c r="S103" s="1677">
        <f t="shared" si="263"/>
        <v>8794.3099226617105</v>
      </c>
      <c r="T103" s="1678">
        <f t="shared" si="263"/>
        <v>7170.3250164574647</v>
      </c>
      <c r="U103" s="1678">
        <f t="shared" si="263"/>
        <v>7427.6377278135369</v>
      </c>
      <c r="V103" s="1678">
        <f t="shared" si="263"/>
        <v>7463.0119522202085</v>
      </c>
      <c r="W103" s="1677">
        <f t="shared" si="263"/>
        <v>10672.862043942654</v>
      </c>
      <c r="X103" s="1678">
        <f t="shared" si="263"/>
        <v>6748.9575207808848</v>
      </c>
      <c r="Y103" s="1825">
        <f t="shared" si="263"/>
        <v>6693.0721564774667</v>
      </c>
      <c r="Z103" s="1826">
        <f t="shared" si="263"/>
        <v>7928.0928377524915</v>
      </c>
      <c r="AA103" s="1677">
        <f t="shared" si="263"/>
        <v>11594.576778630564</v>
      </c>
      <c r="AB103" s="1678">
        <f t="shared" si="263"/>
        <v>8884.7428686240874</v>
      </c>
      <c r="AC103" s="1825">
        <f t="shared" si="263"/>
        <v>8259.4626536542146</v>
      </c>
      <c r="AD103" s="1826">
        <f t="shared" si="263"/>
        <v>10311.27373307398</v>
      </c>
      <c r="AE103" s="1677">
        <f t="shared" si="263"/>
        <v>11099.393407137786</v>
      </c>
      <c r="AF103" s="1680">
        <f t="shared" si="263"/>
        <v>9992.6370455412834</v>
      </c>
      <c r="AG103" s="1680">
        <f t="shared" si="263"/>
        <v>7829.6864609595132</v>
      </c>
      <c r="AH103" s="1681">
        <f t="shared" si="263"/>
        <v>8265.1158346907469</v>
      </c>
      <c r="AI103" s="1680">
        <f t="shared" si="263"/>
        <v>8517.9614097697577</v>
      </c>
      <c r="AJ103" s="1680">
        <f t="shared" si="263"/>
        <v>7365.7185946531754</v>
      </c>
      <c r="AK103" s="1680">
        <f t="shared" si="263"/>
        <v>7744.3815502968346</v>
      </c>
      <c r="AL103" s="1681">
        <f t="shared" si="263"/>
        <v>9032.4298573449232</v>
      </c>
      <c r="AM103" s="1680">
        <f t="shared" si="263"/>
        <v>10767.751699666062</v>
      </c>
      <c r="AN103" s="1680">
        <f t="shared" si="263"/>
        <v>9068.2920761288733</v>
      </c>
      <c r="AO103" s="1680">
        <f t="shared" si="263"/>
        <v>8780.343398460629</v>
      </c>
      <c r="AP103" s="1681">
        <f t="shared" si="263"/>
        <v>8558.2998276852377</v>
      </c>
      <c r="AQ103" s="1680">
        <f t="shared" si="263"/>
        <v>9141.5772569286164</v>
      </c>
      <c r="AR103" s="1680">
        <f t="shared" si="263"/>
        <v>8061.5434396640903</v>
      </c>
      <c r="AS103" s="1680">
        <f t="shared" si="263"/>
        <v>8098.0895888361283</v>
      </c>
      <c r="AT103" s="1681">
        <f t="shared" si="263"/>
        <v>9879.7162281589626</v>
      </c>
      <c r="AU103" s="1680">
        <f t="shared" si="263"/>
        <v>8972.5976330324702</v>
      </c>
      <c r="AV103" s="1680">
        <f t="shared" si="263"/>
        <v>7912.5279535865184</v>
      </c>
      <c r="AW103" s="1680">
        <f t="shared" si="263"/>
        <v>7948.3985569125425</v>
      </c>
      <c r="AX103" s="1681">
        <f t="shared" si="263"/>
        <v>9697.0923017277073</v>
      </c>
      <c r="AY103" s="1830">
        <f t="shared" ref="AY103:BB103" si="264">IF(ISBLANK(AY246),"",IF(Uplift="Yes",AY246+$CA$105,AY246))</f>
        <v>8822.1145485094949</v>
      </c>
      <c r="AZ103" s="1830">
        <f t="shared" si="264"/>
        <v>7779.8237288426817</v>
      </c>
      <c r="BA103" s="1830">
        <f t="shared" si="264"/>
        <v>7815.092731689896</v>
      </c>
      <c r="BB103" s="1831">
        <f t="shared" si="264"/>
        <v>9534.4584224266036</v>
      </c>
      <c r="BC103" s="1529"/>
      <c r="BD103" s="1529"/>
      <c r="BE103" s="1529">
        <f t="shared" si="236"/>
        <v>7117.1850826572354</v>
      </c>
      <c r="BF103" s="1529">
        <f t="shared" si="237"/>
        <v>8018.9777016001244</v>
      </c>
      <c r="BG103" s="1529">
        <f t="shared" si="238"/>
        <v>9428.3614685979446</v>
      </c>
      <c r="BH103" s="1529">
        <f t="shared" si="239"/>
        <v>7713.8211547882302</v>
      </c>
      <c r="BI103" s="1529">
        <f t="shared" si="240"/>
        <v>8010.746139738374</v>
      </c>
      <c r="BJ103" s="1529">
        <f t="shared" si="241"/>
        <v>9762.5140084957129</v>
      </c>
      <c r="BK103" s="1529">
        <f t="shared" si="242"/>
        <v>9296.7081870823331</v>
      </c>
      <c r="BL103" s="1529">
        <f t="shared" si="243"/>
        <v>8165.1228530161725</v>
      </c>
      <c r="BM103" s="1529">
        <f t="shared" si="244"/>
        <v>9293.6717504852004</v>
      </c>
      <c r="BN103" s="1529">
        <f t="shared" si="245"/>
        <v>8795.2316283969485</v>
      </c>
      <c r="BO103" s="1529">
        <f t="shared" si="246"/>
        <v>8632.6541113148105</v>
      </c>
      <c r="BP103" s="1529">
        <f t="shared" si="247"/>
        <v>8487.8723578671688</v>
      </c>
      <c r="BQ103" s="1529"/>
      <c r="BR103" s="1587"/>
      <c r="BS103" s="1477"/>
      <c r="BV103" s="1444"/>
      <c r="BW103" s="1444"/>
      <c r="BX103" s="1839" t="s">
        <v>693</v>
      </c>
      <c r="BY103" s="1842">
        <f>HLOOKUP(CB37,$BY$92:$CW$98,BW95,TRUE)</f>
        <v>0</v>
      </c>
      <c r="CA103" s="188">
        <f>BY103/CB37*1000</f>
        <v>0</v>
      </c>
    </row>
    <row r="104" spans="1:101" ht="12.75" customHeight="1">
      <c r="A104" s="1445"/>
      <c r="B104" s="1446"/>
      <c r="C104" s="1649" t="s">
        <v>810</v>
      </c>
      <c r="D104" s="1649"/>
      <c r="E104" s="1649"/>
      <c r="F104" s="1651"/>
      <c r="G104" s="1677">
        <f t="shared" ref="G104:AX104" si="265">IF(ISBLANK(G247),"",G247)</f>
        <v>5339.309272481165</v>
      </c>
      <c r="H104" s="1678">
        <f t="shared" si="265"/>
        <v>5100.5900565632073</v>
      </c>
      <c r="I104" s="1678">
        <f t="shared" si="265"/>
        <v>6006.74992147799</v>
      </c>
      <c r="J104" s="1679">
        <f t="shared" si="265"/>
        <v>5317.3518126357339</v>
      </c>
      <c r="K104" s="1677">
        <f t="shared" si="265"/>
        <v>6734.0496191414031</v>
      </c>
      <c r="L104" s="1678">
        <f t="shared" si="265"/>
        <v>5501.4743918965405</v>
      </c>
      <c r="M104" s="1678">
        <f t="shared" si="265"/>
        <v>6268.4758752189118</v>
      </c>
      <c r="N104" s="1679">
        <f t="shared" si="265"/>
        <v>5985.7267911888366</v>
      </c>
      <c r="O104" s="1677">
        <f t="shared" si="265"/>
        <v>9477.3896272805832</v>
      </c>
      <c r="P104" s="1678">
        <f t="shared" si="265"/>
        <v>8173.946883501706</v>
      </c>
      <c r="Q104" s="1678">
        <f t="shared" si="265"/>
        <v>8259.4192392880977</v>
      </c>
      <c r="R104" s="1678">
        <f t="shared" si="265"/>
        <v>6410.7661597259648</v>
      </c>
      <c r="S104" s="1677">
        <f t="shared" si="265"/>
        <v>7790.1968554542191</v>
      </c>
      <c r="T104" s="1678">
        <f t="shared" si="265"/>
        <v>5959.6264930636416</v>
      </c>
      <c r="U104" s="1678">
        <f t="shared" si="265"/>
        <v>6840.5607736665088</v>
      </c>
      <c r="V104" s="1678">
        <f t="shared" si="265"/>
        <v>6525.372318959221</v>
      </c>
      <c r="W104" s="1677">
        <f t="shared" si="265"/>
        <v>9013.981977331181</v>
      </c>
      <c r="X104" s="1678">
        <f t="shared" si="265"/>
        <v>5435.4274567969042</v>
      </c>
      <c r="Y104" s="1825">
        <f t="shared" si="265"/>
        <v>6191.277648456301</v>
      </c>
      <c r="Z104" s="1826">
        <f t="shared" si="265"/>
        <v>6850.9884407370319</v>
      </c>
      <c r="AA104" s="1677">
        <f t="shared" si="265"/>
        <v>10265.602875410354</v>
      </c>
      <c r="AB104" s="1678">
        <f t="shared" si="265"/>
        <v>6715.6093086897836</v>
      </c>
      <c r="AC104" s="1825">
        <f t="shared" si="265"/>
        <v>7664.0265319712089</v>
      </c>
      <c r="AD104" s="1826">
        <f t="shared" si="265"/>
        <v>9225.6308062235858</v>
      </c>
      <c r="AE104" s="1677">
        <f t="shared" si="265"/>
        <v>9673.625167828357</v>
      </c>
      <c r="AF104" s="1680">
        <f t="shared" si="265"/>
        <v>8570.6534203356659</v>
      </c>
      <c r="AG104" s="1680">
        <f t="shared" si="265"/>
        <v>7452.1855165401403</v>
      </c>
      <c r="AH104" s="1681">
        <f t="shared" si="265"/>
        <v>7408.3223776683062</v>
      </c>
      <c r="AI104" s="1680">
        <f t="shared" si="265"/>
        <v>7667.4563966200603</v>
      </c>
      <c r="AJ104" s="1680">
        <f t="shared" si="265"/>
        <v>6356.9074135752089</v>
      </c>
      <c r="AK104" s="1680">
        <f t="shared" si="265"/>
        <v>6365.0018649239109</v>
      </c>
      <c r="AL104" s="1681">
        <f t="shared" si="265"/>
        <v>7895.7944693923155</v>
      </c>
      <c r="AM104" s="1680">
        <f t="shared" si="265"/>
        <v>8227.0666796054647</v>
      </c>
      <c r="AN104" s="1680">
        <f t="shared" si="265"/>
        <v>7395.1984077621601</v>
      </c>
      <c r="AO104" s="1680">
        <f t="shared" si="265"/>
        <v>7619.8934280639423</v>
      </c>
      <c r="AP104" s="1681">
        <f t="shared" si="265"/>
        <v>7070.6490522688118</v>
      </c>
      <c r="AQ104" s="1680">
        <f t="shared" si="265"/>
        <v>9417.0466461005399</v>
      </c>
      <c r="AR104" s="1680">
        <f t="shared" si="265"/>
        <v>7556.0461755771757</v>
      </c>
      <c r="AS104" s="1680">
        <f t="shared" si="265"/>
        <v>7734.2070510855065</v>
      </c>
      <c r="AT104" s="1681">
        <f t="shared" si="265"/>
        <v>6746.2524824277207</v>
      </c>
      <c r="AU104" s="1680">
        <f t="shared" si="265"/>
        <v>9420.6351919674853</v>
      </c>
      <c r="AV104" s="1680">
        <f t="shared" si="265"/>
        <v>7558.9255515952455</v>
      </c>
      <c r="AW104" s="1680">
        <f t="shared" si="265"/>
        <v>7737.1543187151901</v>
      </c>
      <c r="AX104" s="1681">
        <f t="shared" si="265"/>
        <v>6748.8232710595485</v>
      </c>
      <c r="AY104" s="1830">
        <f t="shared" ref="AY104:BB104" si="266">IF(ISBLANK(AY247),"",IF(Uplift="Yes",AY247+$CA$105,AY247))</f>
        <v>9243.941182160137</v>
      </c>
      <c r="AZ104" s="1830">
        <f t="shared" si="266"/>
        <v>7417.1498816610774</v>
      </c>
      <c r="BA104" s="1830">
        <f t="shared" si="266"/>
        <v>7592.0357791248134</v>
      </c>
      <c r="BB104" s="1831">
        <f t="shared" si="266"/>
        <v>6622.2419290433099</v>
      </c>
      <c r="BC104" s="1529"/>
      <c r="BD104" s="1529"/>
      <c r="BE104" s="1529">
        <f t="shared" si="236"/>
        <v>5441.0002657895238</v>
      </c>
      <c r="BF104" s="1529">
        <f t="shared" si="237"/>
        <v>6122.4316693614228</v>
      </c>
      <c r="BG104" s="1529">
        <f t="shared" si="238"/>
        <v>8080.3804774490882</v>
      </c>
      <c r="BH104" s="1529">
        <f t="shared" si="239"/>
        <v>6778.9391102858972</v>
      </c>
      <c r="BI104" s="1529">
        <f t="shared" si="240"/>
        <v>6872.9188808303552</v>
      </c>
      <c r="BJ104" s="1529">
        <f t="shared" si="241"/>
        <v>8467.717380573733</v>
      </c>
      <c r="BK104" s="1529">
        <f t="shared" si="242"/>
        <v>8276.1966205931167</v>
      </c>
      <c r="BL104" s="1529">
        <f t="shared" si="243"/>
        <v>7071.2900361278744</v>
      </c>
      <c r="BM104" s="1529">
        <f t="shared" si="244"/>
        <v>7578.201891925095</v>
      </c>
      <c r="BN104" s="1529">
        <f t="shared" si="245"/>
        <v>7863.3880887977357</v>
      </c>
      <c r="BO104" s="1529">
        <f t="shared" si="246"/>
        <v>7866.3845833343676</v>
      </c>
      <c r="BP104" s="1529">
        <f t="shared" si="247"/>
        <v>7718.8421929973347</v>
      </c>
      <c r="BQ104" s="1529"/>
      <c r="BR104" s="1587"/>
      <c r="BS104" s="1477"/>
      <c r="BV104" s="1444"/>
      <c r="BW104" s="1444"/>
      <c r="BX104" s="1885" t="s">
        <v>685</v>
      </c>
      <c r="BY104" s="1842">
        <f>HLOOKUP(CB38,$BY$92:$CW$98,BW96,TRUE)</f>
        <v>0</v>
      </c>
      <c r="CA104" s="188">
        <f>BY104/CB38*1000</f>
        <v>0</v>
      </c>
    </row>
    <row r="105" spans="1:101" ht="12.75" customHeight="1">
      <c r="A105" s="1445"/>
      <c r="B105" s="1446"/>
      <c r="C105" s="1649" t="s">
        <v>811</v>
      </c>
      <c r="D105" s="1649"/>
      <c r="E105" s="1649"/>
      <c r="F105" s="1651"/>
      <c r="G105" s="1677">
        <f t="shared" ref="G105:AX105" si="267">IF(ISBLANK(G248),"",G248)</f>
        <v>6911.9504373250129</v>
      </c>
      <c r="H105" s="1678">
        <f t="shared" si="267"/>
        <v>6621.032095301849</v>
      </c>
      <c r="I105" s="1678">
        <f t="shared" si="267"/>
        <v>7456.0304454809211</v>
      </c>
      <c r="J105" s="1679">
        <f t="shared" si="267"/>
        <v>6786.9757708018869</v>
      </c>
      <c r="K105" s="1677">
        <f t="shared" si="267"/>
        <v>7103.6316586257462</v>
      </c>
      <c r="L105" s="1678">
        <f t="shared" si="267"/>
        <v>6489.3612351463817</v>
      </c>
      <c r="M105" s="1678">
        <f t="shared" si="267"/>
        <v>7652.9516182493453</v>
      </c>
      <c r="N105" s="1679">
        <f t="shared" si="267"/>
        <v>7018.4711655947503</v>
      </c>
      <c r="O105" s="1677">
        <f t="shared" si="267"/>
        <v>7952.8432404796031</v>
      </c>
      <c r="P105" s="1678">
        <f t="shared" si="267"/>
        <v>7515.6719478298664</v>
      </c>
      <c r="Q105" s="1678">
        <f t="shared" si="267"/>
        <v>7355.2985870752173</v>
      </c>
      <c r="R105" s="1678">
        <f t="shared" si="267"/>
        <v>6558.0613022094312</v>
      </c>
      <c r="S105" s="1677">
        <f t="shared" si="267"/>
        <v>6674.9226754832425</v>
      </c>
      <c r="T105" s="1678">
        <f t="shared" si="267"/>
        <v>6638.422412018157</v>
      </c>
      <c r="U105" s="1678">
        <f t="shared" si="267"/>
        <v>7223.9917476319215</v>
      </c>
      <c r="V105" s="1678">
        <f t="shared" si="267"/>
        <v>7084.8548714796698</v>
      </c>
      <c r="W105" s="1677">
        <f t="shared" si="267"/>
        <v>6140.4918444926798</v>
      </c>
      <c r="X105" s="1678">
        <f t="shared" si="267"/>
        <v>6818.4558455411725</v>
      </c>
      <c r="Y105" s="1825">
        <f t="shared" si="267"/>
        <v>7269.96105521761</v>
      </c>
      <c r="Z105" s="1826">
        <f t="shared" si="267"/>
        <v>6682.661837208123</v>
      </c>
      <c r="AA105" s="1677">
        <f t="shared" si="267"/>
        <v>7652.4945449900451</v>
      </c>
      <c r="AB105" s="1678">
        <f t="shared" si="267"/>
        <v>7888.8594888397292</v>
      </c>
      <c r="AC105" s="1825">
        <f t="shared" si="267"/>
        <v>7345.5237671149316</v>
      </c>
      <c r="AD105" s="1826">
        <f t="shared" si="267"/>
        <v>7529.6000602417816</v>
      </c>
      <c r="AE105" s="1677">
        <f t="shared" si="267"/>
        <v>6964.2929599013441</v>
      </c>
      <c r="AF105" s="1680">
        <f t="shared" si="267"/>
        <v>6980.8570592020815</v>
      </c>
      <c r="AG105" s="1680">
        <f t="shared" si="267"/>
        <v>8164.8402063845024</v>
      </c>
      <c r="AH105" s="1681">
        <f t="shared" si="267"/>
        <v>6140.7448147131954</v>
      </c>
      <c r="AI105" s="1680">
        <f t="shared" si="267"/>
        <v>6430.7867145184991</v>
      </c>
      <c r="AJ105" s="1680">
        <f t="shared" si="267"/>
        <v>7962.6791325077083</v>
      </c>
      <c r="AK105" s="1680">
        <f t="shared" si="267"/>
        <v>7713.7262070746765</v>
      </c>
      <c r="AL105" s="1681">
        <f t="shared" si="267"/>
        <v>6923.2312215922902</v>
      </c>
      <c r="AM105" s="1680">
        <f t="shared" si="267"/>
        <v>6480.3957229260004</v>
      </c>
      <c r="AN105" s="1680">
        <f t="shared" si="267"/>
        <v>8543.5526806816761</v>
      </c>
      <c r="AO105" s="1680">
        <f t="shared" si="267"/>
        <v>10269.102427471877</v>
      </c>
      <c r="AP105" s="1681">
        <f t="shared" si="267"/>
        <v>6963.1533601378515</v>
      </c>
      <c r="AQ105" s="1680">
        <f t="shared" si="267"/>
        <v>7207.7953169845769</v>
      </c>
      <c r="AR105" s="1680">
        <f t="shared" si="267"/>
        <v>7543.9435635063273</v>
      </c>
      <c r="AS105" s="1680">
        <f t="shared" si="267"/>
        <v>9213.4837628008991</v>
      </c>
      <c r="AT105" s="1681">
        <f t="shared" si="267"/>
        <v>6685.4577110965065</v>
      </c>
      <c r="AU105" s="1680">
        <f t="shared" si="267"/>
        <v>7169.198552229147</v>
      </c>
      <c r="AV105" s="1680">
        <f t="shared" si="267"/>
        <v>7503.5467705559522</v>
      </c>
      <c r="AW105" s="1680">
        <f t="shared" si="267"/>
        <v>9164.1468088875699</v>
      </c>
      <c r="AX105" s="1681">
        <f t="shared" si="267"/>
        <v>6649.6579932619125</v>
      </c>
      <c r="AY105" s="1680">
        <f t="shared" ref="AY105:BB105" si="268">IF(ISBLANK(AY248),"",AY248)</f>
        <v>6934.3630362278864</v>
      </c>
      <c r="AZ105" s="1680">
        <f t="shared" si="268"/>
        <v>7257.7592861020321</v>
      </c>
      <c r="BA105" s="1680">
        <f t="shared" si="268"/>
        <v>8863.9644204520755</v>
      </c>
      <c r="BB105" s="1681">
        <f t="shared" si="268"/>
        <v>6431.8406382670464</v>
      </c>
      <c r="BC105" s="1529"/>
      <c r="BD105" s="1529"/>
      <c r="BE105" s="1529">
        <f t="shared" si="236"/>
        <v>6943.9971872274182</v>
      </c>
      <c r="BF105" s="1529">
        <f t="shared" si="237"/>
        <v>7066.1039194040559</v>
      </c>
      <c r="BG105" s="1529">
        <f t="shared" si="238"/>
        <v>7345.4687693985288</v>
      </c>
      <c r="BH105" s="1529">
        <f t="shared" si="239"/>
        <v>6905.5479266532475</v>
      </c>
      <c r="BI105" s="1529">
        <f t="shared" si="240"/>
        <v>6727.8926456148965</v>
      </c>
      <c r="BJ105" s="1529">
        <f t="shared" si="241"/>
        <v>7604.1194652966215</v>
      </c>
      <c r="BK105" s="1529">
        <f t="shared" si="242"/>
        <v>7062.6837600502804</v>
      </c>
      <c r="BL105" s="1529">
        <f t="shared" si="243"/>
        <v>7257.6058189232936</v>
      </c>
      <c r="BM105" s="1529">
        <f t="shared" si="244"/>
        <v>8064.0510478043507</v>
      </c>
      <c r="BN105" s="1529">
        <f t="shared" si="245"/>
        <v>7662.6700885970777</v>
      </c>
      <c r="BO105" s="1529">
        <f t="shared" si="246"/>
        <v>7621.6375312336459</v>
      </c>
      <c r="BP105" s="1529">
        <f t="shared" si="247"/>
        <v>7371.9818452622603</v>
      </c>
      <c r="BQ105" s="1529"/>
      <c r="BR105" s="1587"/>
      <c r="BS105" s="1477"/>
      <c r="BV105" s="1444"/>
      <c r="BW105" s="1444"/>
      <c r="BX105" s="1839" t="s">
        <v>809</v>
      </c>
      <c r="BY105" s="1842">
        <f>HLOOKUP(CB39,$BY$92:$CW$98,BW97,TRUE)</f>
        <v>0</v>
      </c>
      <c r="CA105" s="188">
        <f>BY105/CB39*1000</f>
        <v>0</v>
      </c>
    </row>
    <row r="106" spans="1:101" ht="12.75" customHeight="1">
      <c r="A106" s="1445"/>
      <c r="B106" s="1446"/>
      <c r="C106" s="1649" t="s">
        <v>812</v>
      </c>
      <c r="D106" s="1649"/>
      <c r="E106" s="1649"/>
      <c r="F106" s="1651"/>
      <c r="G106" s="1677">
        <f t="shared" ref="G106:AX106" si="269">IF(ISBLANK(G249),"",G249)</f>
        <v>6956.775640795453</v>
      </c>
      <c r="H106" s="1678">
        <f t="shared" si="269"/>
        <v>6579.7184516400084</v>
      </c>
      <c r="I106" s="1678">
        <f t="shared" si="269"/>
        <v>7383.37060324907</v>
      </c>
      <c r="J106" s="1679">
        <f t="shared" si="269"/>
        <v>6769.6404409553197</v>
      </c>
      <c r="K106" s="1677">
        <f t="shared" si="269"/>
        <v>7202.0850094799453</v>
      </c>
      <c r="L106" s="1678">
        <f t="shared" si="269"/>
        <v>6420.214829248016</v>
      </c>
      <c r="M106" s="1678">
        <f t="shared" si="269"/>
        <v>7575.5365463257504</v>
      </c>
      <c r="N106" s="1679">
        <f t="shared" si="269"/>
        <v>7086.1451129407897</v>
      </c>
      <c r="O106" s="1677">
        <f t="shared" si="269"/>
        <v>7943.4548333544453</v>
      </c>
      <c r="P106" s="1678">
        <f t="shared" si="269"/>
        <v>7525.8237354826097</v>
      </c>
      <c r="Q106" s="1678">
        <f t="shared" si="269"/>
        <v>7232.7025992394247</v>
      </c>
      <c r="R106" s="1678">
        <f t="shared" si="269"/>
        <v>6745.6184695244247</v>
      </c>
      <c r="S106" s="1677">
        <f t="shared" si="269"/>
        <v>6668.1229270336653</v>
      </c>
      <c r="T106" s="1678">
        <f t="shared" si="269"/>
        <v>6535.4293137657605</v>
      </c>
      <c r="U106" s="1678">
        <f t="shared" si="269"/>
        <v>7147.865663393176</v>
      </c>
      <c r="V106" s="1678">
        <f t="shared" si="269"/>
        <v>6981.8886000345046</v>
      </c>
      <c r="W106" s="1677">
        <f t="shared" si="269"/>
        <v>6182.9907384190228</v>
      </c>
      <c r="X106" s="1678">
        <f t="shared" si="269"/>
        <v>6785.8365945503001</v>
      </c>
      <c r="Y106" s="1825">
        <f t="shared" si="269"/>
        <v>7136.6442103725694</v>
      </c>
      <c r="Z106" s="1826">
        <f t="shared" si="269"/>
        <v>6702.3457070216837</v>
      </c>
      <c r="AA106" s="1677">
        <f t="shared" si="269"/>
        <v>7664.6160360806507</v>
      </c>
      <c r="AB106" s="1678">
        <f t="shared" si="269"/>
        <v>7048.9520285495655</v>
      </c>
      <c r="AC106" s="1825">
        <f t="shared" si="269"/>
        <v>7197.670615244313</v>
      </c>
      <c r="AD106" s="1826">
        <f t="shared" si="269"/>
        <v>7101.8354351902599</v>
      </c>
      <c r="AE106" s="1677">
        <f t="shared" si="269"/>
        <v>6945.1239071268637</v>
      </c>
      <c r="AF106" s="1680">
        <f t="shared" si="269"/>
        <v>6861.101172272105</v>
      </c>
      <c r="AG106" s="1680">
        <f t="shared" si="269"/>
        <v>7251.121749054284</v>
      </c>
      <c r="AH106" s="1681">
        <f t="shared" si="269"/>
        <v>6022.5093589603321</v>
      </c>
      <c r="AI106" s="1680">
        <f t="shared" si="269"/>
        <v>5878.8543969869743</v>
      </c>
      <c r="AJ106" s="1680">
        <f t="shared" si="269"/>
        <v>6363.7110064538647</v>
      </c>
      <c r="AK106" s="1680">
        <f t="shared" si="269"/>
        <v>7360.8455434858543</v>
      </c>
      <c r="AL106" s="1681">
        <f t="shared" si="269"/>
        <v>6251.0403871722756</v>
      </c>
      <c r="AM106" s="1680">
        <f t="shared" si="269"/>
        <v>6199.6866590289592</v>
      </c>
      <c r="AN106" s="1680">
        <f t="shared" si="269"/>
        <v>7716.3353650951622</v>
      </c>
      <c r="AO106" s="1680">
        <f t="shared" si="269"/>
        <v>10174.371817643576</v>
      </c>
      <c r="AP106" s="1681">
        <f t="shared" si="269"/>
        <v>6681.7059161401476</v>
      </c>
      <c r="AQ106" s="1680">
        <f t="shared" si="269"/>
        <v>6960.4803932414106</v>
      </c>
      <c r="AR106" s="1680">
        <f t="shared" si="269"/>
        <v>7040.2791244410537</v>
      </c>
      <c r="AS106" s="1680">
        <f t="shared" si="269"/>
        <v>8992.7280873911477</v>
      </c>
      <c r="AT106" s="1681">
        <f t="shared" si="269"/>
        <v>6121.8589841224284</v>
      </c>
      <c r="AU106" s="1680">
        <f t="shared" si="269"/>
        <v>6833.8195343448451</v>
      </c>
      <c r="AV106" s="1680">
        <f t="shared" si="269"/>
        <v>6912.1661566006269</v>
      </c>
      <c r="AW106" s="1680">
        <f t="shared" si="269"/>
        <v>8829.0861260578167</v>
      </c>
      <c r="AX106" s="1681">
        <f t="shared" si="269"/>
        <v>6010.4586391511948</v>
      </c>
      <c r="AY106" s="1680">
        <f t="shared" ref="AY106:BB106" si="270">IF(ISBLANK(AY249),"",AY249)</f>
        <v>6536.1986425108153</v>
      </c>
      <c r="AZ106" s="1680">
        <f t="shared" si="270"/>
        <v>6611.1331770650186</v>
      </c>
      <c r="BA106" s="1680">
        <f t="shared" si="270"/>
        <v>8444.5690234754893</v>
      </c>
      <c r="BB106" s="1681">
        <f t="shared" si="270"/>
        <v>5748.6960843272727</v>
      </c>
      <c r="BC106" s="1529"/>
      <c r="BD106" s="1529"/>
      <c r="BE106" s="1529">
        <f t="shared" si="236"/>
        <v>6922.3762841599637</v>
      </c>
      <c r="BF106" s="1529">
        <f t="shared" si="237"/>
        <v>7070.995374498626</v>
      </c>
      <c r="BG106" s="1529">
        <f t="shared" si="238"/>
        <v>7361.8999094002265</v>
      </c>
      <c r="BH106" s="1529">
        <f t="shared" si="239"/>
        <v>6833.3266260567761</v>
      </c>
      <c r="BI106" s="1529">
        <f t="shared" si="240"/>
        <v>6701.9543125908931</v>
      </c>
      <c r="BJ106" s="1529">
        <f t="shared" si="241"/>
        <v>7253.2685287661971</v>
      </c>
      <c r="BK106" s="1529">
        <f t="shared" si="242"/>
        <v>6769.9640468533962</v>
      </c>
      <c r="BL106" s="1529">
        <f t="shared" si="243"/>
        <v>6463.6128335247431</v>
      </c>
      <c r="BM106" s="1529">
        <f t="shared" si="244"/>
        <v>7693.0249394769617</v>
      </c>
      <c r="BN106" s="1529">
        <f t="shared" si="245"/>
        <v>7278.8366472990101</v>
      </c>
      <c r="BO106" s="1529">
        <f t="shared" si="246"/>
        <v>7146.3826140386209</v>
      </c>
      <c r="BP106" s="1529">
        <f t="shared" si="247"/>
        <v>6835.1492318446481</v>
      </c>
      <c r="BQ106" s="1529"/>
      <c r="BR106" s="1587"/>
      <c r="BS106" s="1477"/>
      <c r="BV106" s="1444"/>
      <c r="BW106" s="1444"/>
      <c r="BX106" s="1839" t="s">
        <v>810</v>
      </c>
      <c r="BY106" s="1843">
        <v>0</v>
      </c>
      <c r="CA106" s="188">
        <f>BY106/CB40*1000</f>
        <v>0</v>
      </c>
    </row>
    <row r="107" spans="1:101" ht="12.75" customHeight="1">
      <c r="A107" s="1445"/>
      <c r="B107" s="1446"/>
      <c r="C107" s="1649" t="s">
        <v>813</v>
      </c>
      <c r="D107" s="1649"/>
      <c r="E107" s="1649"/>
      <c r="F107" s="1651"/>
      <c r="G107" s="1677">
        <f t="shared" ref="G107:AX107" si="271">IF(ISBLANK(G250),"",G250)</f>
        <v>6864.4777044040256</v>
      </c>
      <c r="H107" s="1678">
        <f t="shared" si="271"/>
        <v>6562.8970251557994</v>
      </c>
      <c r="I107" s="1678">
        <f t="shared" si="271"/>
        <v>7414.7110582687419</v>
      </c>
      <c r="J107" s="1679">
        <f t="shared" si="271"/>
        <v>6679.1141503791168</v>
      </c>
      <c r="K107" s="1677">
        <f t="shared" si="271"/>
        <v>7138.8046808257704</v>
      </c>
      <c r="L107" s="1678">
        <f t="shared" si="271"/>
        <v>6258.087014167384</v>
      </c>
      <c r="M107" s="1678">
        <f t="shared" si="271"/>
        <v>7523.249636289559</v>
      </c>
      <c r="N107" s="1679">
        <f t="shared" si="271"/>
        <v>7174.579060258885</v>
      </c>
      <c r="O107" s="1677">
        <f t="shared" si="271"/>
        <v>7873.2744080347829</v>
      </c>
      <c r="P107" s="1678">
        <f t="shared" si="271"/>
        <v>7431.2884796307553</v>
      </c>
      <c r="Q107" s="1678">
        <f t="shared" si="271"/>
        <v>7334.1288032927387</v>
      </c>
      <c r="R107" s="1678">
        <f t="shared" si="271"/>
        <v>6585.3989518402341</v>
      </c>
      <c r="S107" s="1677">
        <f t="shared" si="271"/>
        <v>6652.2606369130135</v>
      </c>
      <c r="T107" s="1678">
        <f t="shared" si="271"/>
        <v>6539.4547394260053</v>
      </c>
      <c r="U107" s="1678">
        <f t="shared" si="271"/>
        <v>7184.9101755550391</v>
      </c>
      <c r="V107" s="1678">
        <f t="shared" si="271"/>
        <v>6986.060144475985</v>
      </c>
      <c r="W107" s="1677">
        <f t="shared" si="271"/>
        <v>6142.7701878695543</v>
      </c>
      <c r="X107" s="1678">
        <f t="shared" si="271"/>
        <v>6706.9196289195888</v>
      </c>
      <c r="Y107" s="1825">
        <f t="shared" si="271"/>
        <v>7191.2801571027721</v>
      </c>
      <c r="Z107" s="1826">
        <f t="shared" si="271"/>
        <v>6691.3524756882343</v>
      </c>
      <c r="AA107" s="1677">
        <f t="shared" si="271"/>
        <v>7683.5517405383844</v>
      </c>
      <c r="AB107" s="1678">
        <f t="shared" si="271"/>
        <v>7477.9551606525392</v>
      </c>
      <c r="AC107" s="1825">
        <f t="shared" si="271"/>
        <v>7273.2045800322394</v>
      </c>
      <c r="AD107" s="1826">
        <f t="shared" si="271"/>
        <v>7297.8688266327545</v>
      </c>
      <c r="AE107" s="1677">
        <f t="shared" si="271"/>
        <v>6825.5682022125657</v>
      </c>
      <c r="AF107" s="1680">
        <f t="shared" si="271"/>
        <v>6812.7741649171348</v>
      </c>
      <c r="AG107" s="1680">
        <f t="shared" si="271"/>
        <v>7454.9666094076501</v>
      </c>
      <c r="AH107" s="1681">
        <f t="shared" si="271"/>
        <v>6130.1227783855711</v>
      </c>
      <c r="AI107" s="1680">
        <f t="shared" si="271"/>
        <v>5895.9354557555907</v>
      </c>
      <c r="AJ107" s="1680">
        <f t="shared" si="271"/>
        <v>7064.5603116460243</v>
      </c>
      <c r="AK107" s="1680">
        <f t="shared" si="271"/>
        <v>7856.3102926990641</v>
      </c>
      <c r="AL107" s="1681">
        <f t="shared" si="271"/>
        <v>6693.0932220303657</v>
      </c>
      <c r="AM107" s="1680">
        <f t="shared" si="271"/>
        <v>6308.6390155305817</v>
      </c>
      <c r="AN107" s="1680">
        <f t="shared" si="271"/>
        <v>8300.9851971638291</v>
      </c>
      <c r="AO107" s="1680">
        <f t="shared" si="271"/>
        <v>10559.214920071048</v>
      </c>
      <c r="AP107" s="1681">
        <f t="shared" si="271"/>
        <v>6991.8724870763926</v>
      </c>
      <c r="AQ107" s="1680">
        <f t="shared" si="271"/>
        <v>7308.293740592273</v>
      </c>
      <c r="AR107" s="1680">
        <f t="shared" si="271"/>
        <v>7573.1759724842441</v>
      </c>
      <c r="AS107" s="1680">
        <f t="shared" si="271"/>
        <v>9344.5082187459211</v>
      </c>
      <c r="AT107" s="1681">
        <f t="shared" si="271"/>
        <v>6521.5722220472508</v>
      </c>
      <c r="AU107" s="1680">
        <f t="shared" si="271"/>
        <v>7193.750633657809</v>
      </c>
      <c r="AV107" s="1680">
        <f t="shared" si="271"/>
        <v>7454.4813583868809</v>
      </c>
      <c r="AW107" s="1680">
        <f t="shared" si="271"/>
        <v>9198.0514612397492</v>
      </c>
      <c r="AX107" s="1681">
        <f t="shared" si="271"/>
        <v>6419.3594250626784</v>
      </c>
      <c r="AY107" s="1680">
        <f t="shared" ref="AY107:BB107" si="272">IF(ISBLANK(AY250),"",AY250)</f>
        <v>6930.4910839990544</v>
      </c>
      <c r="AZ107" s="1680">
        <f t="shared" si="272"/>
        <v>7181.6802139926585</v>
      </c>
      <c r="BA107" s="1680">
        <f t="shared" si="272"/>
        <v>8861.4433400053931</v>
      </c>
      <c r="BB107" s="1681">
        <f t="shared" si="272"/>
        <v>6184.4391786709302</v>
      </c>
      <c r="BC107" s="1529"/>
      <c r="BD107" s="1529"/>
      <c r="BE107" s="1529">
        <f t="shared" si="236"/>
        <v>6880.2999845519207</v>
      </c>
      <c r="BF107" s="1529">
        <f t="shared" si="237"/>
        <v>7023.6800978853998</v>
      </c>
      <c r="BG107" s="1529">
        <f t="shared" si="238"/>
        <v>7306.0226606996284</v>
      </c>
      <c r="BH107" s="1529">
        <f t="shared" si="239"/>
        <v>6840.6714240925112</v>
      </c>
      <c r="BI107" s="1529">
        <f t="shared" si="240"/>
        <v>6683.080612395037</v>
      </c>
      <c r="BJ107" s="1529">
        <f t="shared" si="241"/>
        <v>7433.1450769639796</v>
      </c>
      <c r="BK107" s="1529">
        <f t="shared" si="242"/>
        <v>6805.8579387307309</v>
      </c>
      <c r="BL107" s="1529">
        <f t="shared" si="243"/>
        <v>6877.4748205327614</v>
      </c>
      <c r="BM107" s="1529">
        <f t="shared" si="244"/>
        <v>8040.1779049604629</v>
      </c>
      <c r="BN107" s="1529">
        <f t="shared" si="245"/>
        <v>7686.8875384674229</v>
      </c>
      <c r="BO107" s="1529">
        <f t="shared" si="246"/>
        <v>7566.4107195867791</v>
      </c>
      <c r="BP107" s="1529">
        <f t="shared" si="247"/>
        <v>7289.5134541670095</v>
      </c>
      <c r="BQ107" s="1529"/>
      <c r="BR107" s="1587"/>
      <c r="BS107" s="1477"/>
      <c r="BV107" s="1444"/>
      <c r="BW107" s="1443"/>
      <c r="BX107" s="1443"/>
      <c r="BY107" s="1443"/>
    </row>
    <row r="108" spans="1:101" ht="12.75" customHeight="1">
      <c r="A108" s="1445"/>
      <c r="B108" s="1446"/>
      <c r="C108" s="1649" t="s">
        <v>814</v>
      </c>
      <c r="D108" s="1649"/>
      <c r="E108" s="1649"/>
      <c r="F108" s="1651"/>
      <c r="G108" s="1677">
        <f t="shared" ref="G108:AX108" si="273">IF(ISBLANK(G251),"",G251)</f>
        <v>6542.4121405750793</v>
      </c>
      <c r="H108" s="1678">
        <f t="shared" si="273"/>
        <v>6271.3601770080304</v>
      </c>
      <c r="I108" s="1678">
        <f t="shared" si="273"/>
        <v>7021.4112476857217</v>
      </c>
      <c r="J108" s="1679">
        <f t="shared" si="273"/>
        <v>6733.6908270051736</v>
      </c>
      <c r="K108" s="1677">
        <f t="shared" si="273"/>
        <v>4947.8024200898235</v>
      </c>
      <c r="L108" s="1678">
        <f t="shared" si="273"/>
        <v>3639.4677482772172</v>
      </c>
      <c r="M108" s="1678">
        <f t="shared" si="273"/>
        <v>5747.6866885726586</v>
      </c>
      <c r="N108" s="1679">
        <f t="shared" si="273"/>
        <v>6628.5228267586781</v>
      </c>
      <c r="O108" s="1677">
        <f t="shared" si="273"/>
        <v>7140.6532375369161</v>
      </c>
      <c r="P108" s="1678">
        <f t="shared" si="273"/>
        <v>6382.371966804455</v>
      </c>
      <c r="Q108" s="1678">
        <f t="shared" si="273"/>
        <v>6483.5540521088269</v>
      </c>
      <c r="R108" s="1678">
        <f t="shared" si="273"/>
        <v>6726.4830833685282</v>
      </c>
      <c r="S108" s="1677">
        <f t="shared" si="273"/>
        <v>7205.7973591784121</v>
      </c>
      <c r="T108" s="1678">
        <f t="shared" si="273"/>
        <v>6357.537844012214</v>
      </c>
      <c r="U108" s="1678">
        <f t="shared" si="273"/>
        <v>6423.4820897102254</v>
      </c>
      <c r="V108" s="1678">
        <f t="shared" si="273"/>
        <v>7229.6977497861471</v>
      </c>
      <c r="W108" s="1677">
        <f t="shared" si="273"/>
        <v>6790.8520186587984</v>
      </c>
      <c r="X108" s="1678">
        <f t="shared" si="273"/>
        <v>6349.6655319918109</v>
      </c>
      <c r="Y108" s="1825">
        <f t="shared" si="273"/>
        <v>7036.4214757575519</v>
      </c>
      <c r="Z108" s="1826">
        <f t="shared" si="273"/>
        <v>6665.5421283905716</v>
      </c>
      <c r="AA108" s="1677">
        <f t="shared" si="273"/>
        <v>7686.8419302083648</v>
      </c>
      <c r="AB108" s="1678">
        <f t="shared" si="273"/>
        <v>7549.5235262753986</v>
      </c>
      <c r="AC108" s="1825">
        <f t="shared" si="273"/>
        <v>7870.964586340303</v>
      </c>
      <c r="AD108" s="1826">
        <f t="shared" si="273"/>
        <v>7947.0472842148192</v>
      </c>
      <c r="AE108" s="1677">
        <f t="shared" si="273"/>
        <v>8041.4196020612753</v>
      </c>
      <c r="AF108" s="1680">
        <f t="shared" si="273"/>
        <v>7252.5359380326045</v>
      </c>
      <c r="AG108" s="1680">
        <f t="shared" si="273"/>
        <v>7589.9916495196767</v>
      </c>
      <c r="AH108" s="1681">
        <f t="shared" si="273"/>
        <v>7054.7193373314476</v>
      </c>
      <c r="AI108" s="1680">
        <f t="shared" si="273"/>
        <v>6592.9726251884122</v>
      </c>
      <c r="AJ108" s="1680">
        <f t="shared" si="273"/>
        <v>6874.6729901740318</v>
      </c>
      <c r="AK108" s="1680">
        <f t="shared" si="273"/>
        <v>7377.5104880100744</v>
      </c>
      <c r="AL108" s="1681">
        <f t="shared" si="273"/>
        <v>5402.5632811176656</v>
      </c>
      <c r="AM108" s="1680">
        <f t="shared" si="273"/>
        <v>6081.509077044283</v>
      </c>
      <c r="AN108" s="1680">
        <f t="shared" si="273"/>
        <v>10853.739245532757</v>
      </c>
      <c r="AO108" s="1680">
        <f t="shared" si="273"/>
        <v>10437.986082685222</v>
      </c>
      <c r="AP108" s="1681">
        <f t="shared" si="273"/>
        <v>8954.2936288088658</v>
      </c>
      <c r="AQ108" s="1680">
        <f t="shared" si="273"/>
        <v>9568.8121647134849</v>
      </c>
      <c r="AR108" s="1680">
        <f t="shared" si="273"/>
        <v>12135.565714038688</v>
      </c>
      <c r="AS108" s="1680">
        <f t="shared" si="273"/>
        <v>12432.237568226872</v>
      </c>
      <c r="AT108" s="1681">
        <f t="shared" si="273"/>
        <v>9155.3108828586155</v>
      </c>
      <c r="AU108" s="1680">
        <f t="shared" si="273"/>
        <v>10477.444338766418</v>
      </c>
      <c r="AV108" s="1680">
        <f t="shared" si="273"/>
        <v>13287.930842363825</v>
      </c>
      <c r="AW108" s="1680">
        <f t="shared" si="273"/>
        <v>13612.773966633513</v>
      </c>
      <c r="AX108" s="1681">
        <f t="shared" si="273"/>
        <v>10024.677935782822</v>
      </c>
      <c r="AY108" s="1680">
        <f t="shared" ref="AY108:BB108" si="274">IF(ISBLANK(AY251),"",AY251)</f>
        <v>10870.28187437005</v>
      </c>
      <c r="AZ108" s="1680">
        <f t="shared" si="274"/>
        <v>13786.143749691979</v>
      </c>
      <c r="BA108" s="1680">
        <f t="shared" si="274"/>
        <v>14123.166425412372</v>
      </c>
      <c r="BB108" s="1681">
        <f t="shared" si="274"/>
        <v>10400.539610460706</v>
      </c>
      <c r="BC108" s="1529"/>
      <c r="BD108" s="1529"/>
      <c r="BE108" s="1529">
        <f t="shared" si="236"/>
        <v>6642.2185980685008</v>
      </c>
      <c r="BF108" s="1529">
        <f t="shared" si="237"/>
        <v>5240.8699209245942</v>
      </c>
      <c r="BG108" s="1529">
        <f t="shared" si="238"/>
        <v>6683.2655849546809</v>
      </c>
      <c r="BH108" s="1529">
        <f t="shared" si="239"/>
        <v>6804.1287606717497</v>
      </c>
      <c r="BI108" s="1529">
        <f t="shared" si="240"/>
        <v>6710.6202886996825</v>
      </c>
      <c r="BJ108" s="1529">
        <f t="shared" si="241"/>
        <v>7763.5943317597212</v>
      </c>
      <c r="BK108" s="1529">
        <f t="shared" si="242"/>
        <v>7484.6666317362515</v>
      </c>
      <c r="BL108" s="1529">
        <f t="shared" si="243"/>
        <v>6561.9298461225462</v>
      </c>
      <c r="BM108" s="1529">
        <f t="shared" si="244"/>
        <v>9081.8820085177831</v>
      </c>
      <c r="BN108" s="1529">
        <f t="shared" si="245"/>
        <v>10822.981582459415</v>
      </c>
      <c r="BO108" s="1529">
        <f t="shared" si="246"/>
        <v>11850.706770886643</v>
      </c>
      <c r="BP108" s="1529">
        <f t="shared" si="247"/>
        <v>12295.032914983778</v>
      </c>
      <c r="BQ108" s="1529"/>
      <c r="BR108" s="1587"/>
      <c r="BS108" s="1477"/>
      <c r="BV108" s="1444"/>
      <c r="BW108" s="1443"/>
      <c r="BX108" s="1443"/>
      <c r="BY108" s="1443"/>
    </row>
    <row r="109" spans="1:101" ht="12.75" customHeight="1">
      <c r="A109" s="1445"/>
      <c r="B109" s="1446"/>
      <c r="C109" s="1649" t="s">
        <v>815</v>
      </c>
      <c r="D109" s="1649"/>
      <c r="E109" s="1649"/>
      <c r="F109" s="1651"/>
      <c r="G109" s="1677">
        <f t="shared" ref="G109:AX109" si="275">IF(ISBLANK(G252),"",G252)</f>
        <v>7660.4394968624874</v>
      </c>
      <c r="H109" s="1678">
        <f t="shared" si="275"/>
        <v>4421.426097331675</v>
      </c>
      <c r="I109" s="1678">
        <f t="shared" si="275"/>
        <v>6156.2722201020406</v>
      </c>
      <c r="J109" s="1679">
        <f t="shared" si="275"/>
        <v>7002.5167489617788</v>
      </c>
      <c r="K109" s="1677">
        <f t="shared" si="275"/>
        <v>4589.0510511069697</v>
      </c>
      <c r="L109" s="1678">
        <f t="shared" si="275"/>
        <v>2411.1346788076098</v>
      </c>
      <c r="M109" s="1678">
        <f t="shared" si="275"/>
        <v>5490.4974244869181</v>
      </c>
      <c r="N109" s="1679">
        <f t="shared" si="275"/>
        <v>6615.8727095483928</v>
      </c>
      <c r="O109" s="1677">
        <f t="shared" si="275"/>
        <v>7046.3802040246701</v>
      </c>
      <c r="P109" s="1678">
        <f t="shared" si="275"/>
        <v>5518.5767411822817</v>
      </c>
      <c r="Q109" s="1678">
        <f t="shared" si="275"/>
        <v>6377.5206167201122</v>
      </c>
      <c r="R109" s="1678">
        <f t="shared" si="275"/>
        <v>7344.081803590022</v>
      </c>
      <c r="S109" s="1677">
        <f t="shared" si="275"/>
        <v>9311.2686731067824</v>
      </c>
      <c r="T109" s="1678">
        <f t="shared" si="275"/>
        <v>7056.6794179267672</v>
      </c>
      <c r="U109" s="1678">
        <f t="shared" si="275"/>
        <v>8597.9551187672805</v>
      </c>
      <c r="V109" s="1678">
        <f t="shared" si="275"/>
        <v>9033.2153415300436</v>
      </c>
      <c r="W109" s="1677">
        <f t="shared" si="275"/>
        <v>7778.1824249044994</v>
      </c>
      <c r="X109" s="1678">
        <f t="shared" si="275"/>
        <v>4321.8647012602933</v>
      </c>
      <c r="Y109" s="1825">
        <f t="shared" si="275"/>
        <v>7399.6643648541531</v>
      </c>
      <c r="Z109" s="1826">
        <f t="shared" si="275"/>
        <v>8079.6050793482691</v>
      </c>
      <c r="AA109" s="1677">
        <f t="shared" si="275"/>
        <v>8597.8421847930604</v>
      </c>
      <c r="AB109" s="1678">
        <f t="shared" si="275"/>
        <v>9043.6082365961338</v>
      </c>
      <c r="AC109" s="1825">
        <f t="shared" si="275"/>
        <v>9384.1581076756538</v>
      </c>
      <c r="AD109" s="1826">
        <f t="shared" si="275"/>
        <v>10244.540848251741</v>
      </c>
      <c r="AE109" s="1677">
        <f t="shared" si="275"/>
        <v>9931.6699639321978</v>
      </c>
      <c r="AF109" s="1680">
        <f t="shared" si="275"/>
        <v>8322.9072817939832</v>
      </c>
      <c r="AG109" s="1680">
        <f t="shared" si="275"/>
        <v>9519.3024094689408</v>
      </c>
      <c r="AH109" s="1681">
        <f t="shared" si="275"/>
        <v>8836.9259337879703</v>
      </c>
      <c r="AI109" s="1680">
        <f t="shared" si="275"/>
        <v>7422.1179080352858</v>
      </c>
      <c r="AJ109" s="1680">
        <f t="shared" si="275"/>
        <v>6926.4056548853769</v>
      </c>
      <c r="AK109" s="1680">
        <f t="shared" si="275"/>
        <v>9076.9846765896473</v>
      </c>
      <c r="AL109" s="1681">
        <f t="shared" si="275"/>
        <v>7115.4623612168161</v>
      </c>
      <c r="AM109" s="1680">
        <f t="shared" si="275"/>
        <v>7142.1403365965198</v>
      </c>
      <c r="AN109" s="1680">
        <f t="shared" si="275"/>
        <v>11846.45929847783</v>
      </c>
      <c r="AO109" s="1680">
        <f t="shared" si="275"/>
        <v>13262.382316823576</v>
      </c>
      <c r="AP109" s="1681">
        <f t="shared" si="275"/>
        <v>13234.072022160666</v>
      </c>
      <c r="AQ109" s="1680">
        <f t="shared" si="275"/>
        <v>12329.48172551779</v>
      </c>
      <c r="AR109" s="1680">
        <f t="shared" si="275"/>
        <v>13082.874702863712</v>
      </c>
      <c r="AS109" s="1680">
        <f t="shared" si="275"/>
        <v>15543.273890119144</v>
      </c>
      <c r="AT109" s="1681">
        <f t="shared" si="275"/>
        <v>12131.723236546579</v>
      </c>
      <c r="AU109" s="1680">
        <f t="shared" si="275"/>
        <v>13058.427446074731</v>
      </c>
      <c r="AV109" s="1680">
        <f t="shared" si="275"/>
        <v>13856.36265146884</v>
      </c>
      <c r="AW109" s="1680">
        <f t="shared" si="275"/>
        <v>16462.225978932187</v>
      </c>
      <c r="AX109" s="1681">
        <f t="shared" si="275"/>
        <v>12848.977046003884</v>
      </c>
      <c r="AY109" s="1680">
        <f t="shared" ref="AY109:BB109" si="276">IF(ISBLANK(AY252),"",AY252)</f>
        <v>13044.817446046907</v>
      </c>
      <c r="AZ109" s="1680">
        <f t="shared" si="276"/>
        <v>13841.92101239317</v>
      </c>
      <c r="BA109" s="1680">
        <f t="shared" si="276"/>
        <v>16445.068407933952</v>
      </c>
      <c r="BB109" s="1681">
        <f t="shared" si="276"/>
        <v>12835.585343314124</v>
      </c>
      <c r="BC109" s="1529"/>
      <c r="BD109" s="1529"/>
      <c r="BE109" s="1529">
        <f t="shared" si="236"/>
        <v>6310.163640814495</v>
      </c>
      <c r="BF109" s="1529">
        <f t="shared" si="237"/>
        <v>4776.6389659874721</v>
      </c>
      <c r="BG109" s="1529">
        <f t="shared" si="238"/>
        <v>6571.6398413792722</v>
      </c>
      <c r="BH109" s="1529">
        <f t="shared" si="239"/>
        <v>8499.7796378327184</v>
      </c>
      <c r="BI109" s="1529">
        <f t="shared" si="240"/>
        <v>6894.8291425918032</v>
      </c>
      <c r="BJ109" s="1529">
        <f t="shared" si="241"/>
        <v>9317.5373443291464</v>
      </c>
      <c r="BK109" s="1529">
        <f t="shared" si="242"/>
        <v>9152.7013972457735</v>
      </c>
      <c r="BL109" s="1529">
        <f t="shared" si="243"/>
        <v>7635.2426501817808</v>
      </c>
      <c r="BM109" s="1529">
        <f t="shared" si="244"/>
        <v>11371.263493514649</v>
      </c>
      <c r="BN109" s="1529">
        <f t="shared" si="245"/>
        <v>13271.838388761804</v>
      </c>
      <c r="BO109" s="1529">
        <f t="shared" si="246"/>
        <v>14056.498280619911</v>
      </c>
      <c r="BP109" s="1529">
        <f t="shared" si="247"/>
        <v>14041.848052422038</v>
      </c>
      <c r="BQ109" s="1529"/>
      <c r="BR109" s="1587"/>
      <c r="BS109" s="1477"/>
      <c r="BV109" s="1444"/>
      <c r="BW109" s="1443"/>
      <c r="BX109" s="1443"/>
      <c r="BY109" s="1443"/>
    </row>
    <row r="110" spans="1:101" ht="12.75" customHeight="1">
      <c r="A110" s="1445"/>
      <c r="B110" s="1446"/>
      <c r="C110" s="1649" t="s">
        <v>816</v>
      </c>
      <c r="D110" s="1649"/>
      <c r="E110" s="1649"/>
      <c r="F110" s="1651"/>
      <c r="G110" s="1677">
        <f t="shared" ref="G110:AX110" si="277">IF(ISBLANK(G253),"",G253)</f>
        <v>7118.7343332015444</v>
      </c>
      <c r="H110" s="1678">
        <f t="shared" si="277"/>
        <v>4593.567349875505</v>
      </c>
      <c r="I110" s="1678">
        <f t="shared" si="277"/>
        <v>6427.0806799498041</v>
      </c>
      <c r="J110" s="1679">
        <f t="shared" si="277"/>
        <v>7240.3857070656832</v>
      </c>
      <c r="K110" s="1677">
        <f t="shared" si="277"/>
        <v>4527.9726426404268</v>
      </c>
      <c r="L110" s="1678">
        <f t="shared" si="277"/>
        <v>2139.4239164830151</v>
      </c>
      <c r="M110" s="1678">
        <f t="shared" si="277"/>
        <v>5540.0381805538027</v>
      </c>
      <c r="N110" s="1679">
        <f t="shared" si="277"/>
        <v>6922.8867412093605</v>
      </c>
      <c r="O110" s="1677">
        <f t="shared" si="277"/>
        <v>7288.8165261279782</v>
      </c>
      <c r="P110" s="1678">
        <f t="shared" si="277"/>
        <v>4935.209035652063</v>
      </c>
      <c r="Q110" s="1678">
        <f t="shared" si="277"/>
        <v>6004.1600044308707</v>
      </c>
      <c r="R110" s="1678">
        <f t="shared" si="277"/>
        <v>7422.4345820566759</v>
      </c>
      <c r="S110" s="1677">
        <f t="shared" si="277"/>
        <v>8678.8668853041981</v>
      </c>
      <c r="T110" s="1678">
        <f t="shared" si="277"/>
        <v>7027.7276846105133</v>
      </c>
      <c r="U110" s="1678">
        <f t="shared" si="277"/>
        <v>8817.9649843376701</v>
      </c>
      <c r="V110" s="1678">
        <f t="shared" si="277"/>
        <v>9456.2247970327371</v>
      </c>
      <c r="W110" s="1677">
        <f t="shared" si="277"/>
        <v>7950.7893476766221</v>
      </c>
      <c r="X110" s="1678">
        <f t="shared" si="277"/>
        <v>5115.2173055428402</v>
      </c>
      <c r="Y110" s="1825">
        <f t="shared" si="277"/>
        <v>7521.7861132026201</v>
      </c>
      <c r="Z110" s="1826">
        <f t="shared" si="277"/>
        <v>8141.7125084036306</v>
      </c>
      <c r="AA110" s="1677">
        <f t="shared" si="277"/>
        <v>9101.9308944914155</v>
      </c>
      <c r="AB110" s="1678">
        <f t="shared" si="277"/>
        <v>9671.1886124478242</v>
      </c>
      <c r="AC110" s="1825">
        <f t="shared" si="277"/>
        <v>9120.2470401114297</v>
      </c>
      <c r="AD110" s="1826">
        <f t="shared" si="277"/>
        <v>10477.07621910588</v>
      </c>
      <c r="AE110" s="1677">
        <f t="shared" si="277"/>
        <v>9611.7445703524172</v>
      </c>
      <c r="AF110" s="1680">
        <f t="shared" si="277"/>
        <v>9580.9697078732752</v>
      </c>
      <c r="AG110" s="1680">
        <f t="shared" si="277"/>
        <v>10025.134228924268</v>
      </c>
      <c r="AH110" s="1681">
        <f t="shared" si="277"/>
        <v>9232.644929535496</v>
      </c>
      <c r="AI110" s="1680">
        <f t="shared" si="277"/>
        <v>7618.1564331858617</v>
      </c>
      <c r="AJ110" s="1680">
        <f t="shared" si="277"/>
        <v>6565.829016583225</v>
      </c>
      <c r="AK110" s="1680">
        <f t="shared" si="277"/>
        <v>9399.4393190765804</v>
      </c>
      <c r="AL110" s="1681">
        <f t="shared" si="277"/>
        <v>7066.9504901112114</v>
      </c>
      <c r="AM110" s="1680">
        <f t="shared" si="277"/>
        <v>7616.7891957904303</v>
      </c>
      <c r="AN110" s="1680">
        <f t="shared" si="277"/>
        <v>12260.09265387161</v>
      </c>
      <c r="AO110" s="1680">
        <f t="shared" si="277"/>
        <v>13180.515759312319</v>
      </c>
      <c r="AP110" s="1681">
        <f t="shared" si="277"/>
        <v>13337.950138504159</v>
      </c>
      <c r="AQ110" s="1680">
        <f t="shared" si="277"/>
        <v>12476.166964736271</v>
      </c>
      <c r="AR110" s="1680">
        <f t="shared" si="277"/>
        <v>13453.482204801772</v>
      </c>
      <c r="AS110" s="1680">
        <f t="shared" si="277"/>
        <v>15729.035256212897</v>
      </c>
      <c r="AT110" s="1681">
        <f t="shared" si="277"/>
        <v>12833.726601162503</v>
      </c>
      <c r="AU110" s="1680">
        <f t="shared" si="277"/>
        <v>13182.832885276595</v>
      </c>
      <c r="AV110" s="1680">
        <f t="shared" si="277"/>
        <v>14215.504500078907</v>
      </c>
      <c r="AW110" s="1680">
        <f t="shared" si="277"/>
        <v>16619.947762430536</v>
      </c>
      <c r="AX110" s="1681">
        <f t="shared" si="277"/>
        <v>13560.64515300677</v>
      </c>
      <c r="AY110" s="1680">
        <f t="shared" ref="AY110:BB110" si="278">IF(ISBLANK(AY253),"",AY253)</f>
        <v>13153.941016853727</v>
      </c>
      <c r="AZ110" s="1680">
        <f t="shared" si="278"/>
        <v>14184.349399414645</v>
      </c>
      <c r="BA110" s="1680">
        <f t="shared" si="278"/>
        <v>16583.523016086117</v>
      </c>
      <c r="BB110" s="1681">
        <f t="shared" si="278"/>
        <v>13530.925260560325</v>
      </c>
      <c r="BC110" s="1529"/>
      <c r="BD110" s="1529"/>
      <c r="BE110" s="1529">
        <f t="shared" si="236"/>
        <v>6344.9420175231335</v>
      </c>
      <c r="BF110" s="1529">
        <f t="shared" si="237"/>
        <v>4782.5803702216508</v>
      </c>
      <c r="BG110" s="1529">
        <f t="shared" si="238"/>
        <v>6412.6550370668974</v>
      </c>
      <c r="BH110" s="1529">
        <f t="shared" si="239"/>
        <v>8495.1960878212794</v>
      </c>
      <c r="BI110" s="1529">
        <f t="shared" si="240"/>
        <v>7182.3763187064278</v>
      </c>
      <c r="BJ110" s="1529">
        <f t="shared" si="241"/>
        <v>9592.6106915391374</v>
      </c>
      <c r="BK110" s="1529">
        <f t="shared" si="242"/>
        <v>9612.6233591713644</v>
      </c>
      <c r="BL110" s="1529">
        <f t="shared" si="243"/>
        <v>7662.5938147392199</v>
      </c>
      <c r="BM110" s="1529">
        <f t="shared" si="244"/>
        <v>11598.836936869629</v>
      </c>
      <c r="BN110" s="1529">
        <f t="shared" si="245"/>
        <v>13623.10275672836</v>
      </c>
      <c r="BO110" s="1529">
        <f t="shared" si="246"/>
        <v>14394.732575198203</v>
      </c>
      <c r="BP110" s="1529">
        <f t="shared" si="247"/>
        <v>14363.184673228703</v>
      </c>
      <c r="BQ110" s="1529"/>
      <c r="BR110" s="1587"/>
      <c r="BS110" s="1477"/>
      <c r="BV110" s="1444"/>
      <c r="BW110" s="1443"/>
      <c r="BX110" s="1443"/>
      <c r="BY110" s="1443"/>
    </row>
    <row r="111" spans="1:101" ht="12.75" customHeight="1">
      <c r="A111" s="1445"/>
      <c r="B111" s="1446"/>
      <c r="C111" s="1649" t="s">
        <v>817</v>
      </c>
      <c r="D111" s="1649"/>
      <c r="E111" s="1649"/>
      <c r="F111" s="1651"/>
      <c r="G111" s="1677">
        <f t="shared" ref="G111:AX111" si="279">IF(ISBLANK(G254),"",G254)</f>
        <v>7426.4580925837827</v>
      </c>
      <c r="H111" s="1678">
        <f t="shared" si="279"/>
        <v>5010.1388926342906</v>
      </c>
      <c r="I111" s="1678">
        <f t="shared" si="279"/>
        <v>6534.2814502677575</v>
      </c>
      <c r="J111" s="1679">
        <f t="shared" si="279"/>
        <v>7663.4892753526874</v>
      </c>
      <c r="K111" s="1677">
        <f t="shared" si="279"/>
        <v>3929.5845308814478</v>
      </c>
      <c r="L111" s="1678">
        <f t="shared" si="279"/>
        <v>2019.2783189557053</v>
      </c>
      <c r="M111" s="1678">
        <f t="shared" si="279"/>
        <v>4670.8573279366547</v>
      </c>
      <c r="N111" s="1679">
        <f t="shared" si="279"/>
        <v>7514.4082343612945</v>
      </c>
      <c r="O111" s="1677">
        <f t="shared" si="279"/>
        <v>6973.3021358291335</v>
      </c>
      <c r="P111" s="1678">
        <f t="shared" si="279"/>
        <v>28.782848697248738</v>
      </c>
      <c r="Q111" s="1678">
        <f t="shared" si="279"/>
        <v>4227.0980279257255</v>
      </c>
      <c r="R111" s="1678">
        <f t="shared" si="279"/>
        <v>6727.2801290828729</v>
      </c>
      <c r="S111" s="1677">
        <f t="shared" si="279"/>
        <v>7153.2681962593506</v>
      </c>
      <c r="T111" s="1678">
        <f t="shared" si="279"/>
        <v>4191.4647898805733</v>
      </c>
      <c r="U111" s="1678">
        <f t="shared" si="279"/>
        <v>6208.3880299897546</v>
      </c>
      <c r="V111" s="1678">
        <f t="shared" si="279"/>
        <v>9165.8261083092457</v>
      </c>
      <c r="W111" s="1677">
        <f t="shared" si="279"/>
        <v>4535.3497131161557</v>
      </c>
      <c r="X111" s="1678">
        <f t="shared" si="279"/>
        <v>2842.1256826512813</v>
      </c>
      <c r="Y111" s="1825">
        <f t="shared" si="279"/>
        <v>6174.4647234642125</v>
      </c>
      <c r="Z111" s="1826">
        <f t="shared" si="279"/>
        <v>6739.3189580413173</v>
      </c>
      <c r="AA111" s="1677">
        <f t="shared" si="279"/>
        <v>5272.3423493712744</v>
      </c>
      <c r="AB111" s="1678">
        <f t="shared" si="279"/>
        <v>8070.6412815660206</v>
      </c>
      <c r="AC111" s="1825">
        <f t="shared" si="279"/>
        <v>7444.7534957486841</v>
      </c>
      <c r="AD111" s="1826">
        <f t="shared" si="279"/>
        <v>7741.2731719518661</v>
      </c>
      <c r="AE111" s="1677">
        <f t="shared" si="279"/>
        <v>7078.7259123138783</v>
      </c>
      <c r="AF111" s="1680">
        <f t="shared" si="279"/>
        <v>4819.6778604479841</v>
      </c>
      <c r="AG111" s="1680">
        <f t="shared" si="279"/>
        <v>8065.3674973948418</v>
      </c>
      <c r="AH111" s="1681">
        <f t="shared" si="279"/>
        <v>6021.0210358521981</v>
      </c>
      <c r="AI111" s="1680">
        <f t="shared" si="279"/>
        <v>5379.6174287968361</v>
      </c>
      <c r="AJ111" s="1680">
        <f t="shared" si="279"/>
        <v>1169.9251809150007</v>
      </c>
      <c r="AK111" s="1680">
        <f t="shared" si="279"/>
        <v>7370.4596656258645</v>
      </c>
      <c r="AL111" s="1681">
        <f t="shared" si="279"/>
        <v>5207.6474963728888</v>
      </c>
      <c r="AM111" s="1680">
        <f t="shared" si="279"/>
        <v>4481.8108025744623</v>
      </c>
      <c r="AN111" s="1680">
        <f t="shared" si="279"/>
        <v>2680.344142951687</v>
      </c>
      <c r="AO111" s="1680">
        <f t="shared" si="279"/>
        <v>7122.3905034793297</v>
      </c>
      <c r="AP111" s="1681">
        <f t="shared" si="279"/>
        <v>8538.7811634349055</v>
      </c>
      <c r="AQ111" s="1680">
        <f t="shared" si="279"/>
        <v>9294.2311509543069</v>
      </c>
      <c r="AR111" s="1680">
        <f t="shared" si="279"/>
        <v>5469.5978144865967</v>
      </c>
      <c r="AS111" s="1680">
        <f t="shared" si="279"/>
        <v>11009.808729651124</v>
      </c>
      <c r="AT111" s="1681">
        <f t="shared" si="279"/>
        <v>7014.3272150574057</v>
      </c>
      <c r="AU111" s="1680">
        <f t="shared" si="279"/>
        <v>10558.398782517217</v>
      </c>
      <c r="AV111" s="1680">
        <f t="shared" si="279"/>
        <v>6213.5526830968138</v>
      </c>
      <c r="AW111" s="1680">
        <f t="shared" si="279"/>
        <v>12507.32300486846</v>
      </c>
      <c r="AX111" s="1681">
        <f t="shared" si="279"/>
        <v>7968.3905774212635</v>
      </c>
      <c r="AY111" s="1680">
        <f t="shared" ref="AY111:BB111" si="280">IF(ISBLANK(AY254),"",AY254)</f>
        <v>11008.480327842066</v>
      </c>
      <c r="AZ111" s="1680">
        <f t="shared" si="280"/>
        <v>6478.4229016943764</v>
      </c>
      <c r="BA111" s="1680">
        <f t="shared" si="280"/>
        <v>13040.482945297053</v>
      </c>
      <c r="BB111" s="1681">
        <f t="shared" si="280"/>
        <v>8308.0657136527334</v>
      </c>
      <c r="BC111" s="1529"/>
      <c r="BD111" s="1529"/>
      <c r="BE111" s="1529">
        <f t="shared" si="236"/>
        <v>6658.5919277096291</v>
      </c>
      <c r="BF111" s="1529">
        <f t="shared" si="237"/>
        <v>4533.5321030337755</v>
      </c>
      <c r="BG111" s="1529">
        <f t="shared" si="238"/>
        <v>4489.1157853837449</v>
      </c>
      <c r="BH111" s="1529">
        <f t="shared" si="239"/>
        <v>6679.7367811097301</v>
      </c>
      <c r="BI111" s="1529">
        <f t="shared" si="240"/>
        <v>5072.8147693182418</v>
      </c>
      <c r="BJ111" s="1529">
        <f t="shared" si="241"/>
        <v>7132.2525746594611</v>
      </c>
      <c r="BK111" s="1529">
        <f t="shared" si="242"/>
        <v>6496.1980765022263</v>
      </c>
      <c r="BL111" s="1529">
        <f t="shared" si="243"/>
        <v>4781.9124429276471</v>
      </c>
      <c r="BM111" s="1529">
        <f t="shared" si="244"/>
        <v>5705.8316531100963</v>
      </c>
      <c r="BN111" s="1529">
        <f t="shared" si="245"/>
        <v>8196.991227537359</v>
      </c>
      <c r="BO111" s="1529">
        <f t="shared" si="246"/>
        <v>9311.9162619759391</v>
      </c>
      <c r="BP111" s="1529">
        <f t="shared" si="247"/>
        <v>9708.8629721215584</v>
      </c>
      <c r="BQ111" s="1529"/>
      <c r="BR111" s="1587"/>
      <c r="BS111" s="1477"/>
      <c r="BV111" s="1444"/>
      <c r="BW111" s="1443"/>
      <c r="BX111" s="1443"/>
      <c r="BY111" s="1443"/>
    </row>
    <row r="112" spans="1:101" ht="12.75" customHeight="1">
      <c r="A112" s="1445"/>
      <c r="B112" s="1446"/>
      <c r="C112" s="1649"/>
      <c r="D112" s="1649"/>
      <c r="E112" s="1649"/>
      <c r="F112" s="1651"/>
      <c r="G112" s="1677">
        <f t="shared" ref="G112:AX112" si="281">IF(ISBLANK(G255),"",G255)</f>
        <v>0</v>
      </c>
      <c r="H112" s="1678">
        <f t="shared" si="281"/>
        <v>0</v>
      </c>
      <c r="I112" s="1678">
        <f t="shared" si="281"/>
        <v>0</v>
      </c>
      <c r="J112" s="1679">
        <f t="shared" si="281"/>
        <v>5127.6255850361686</v>
      </c>
      <c r="K112" s="1653">
        <f t="shared" si="281"/>
        <v>5240.9261466320195</v>
      </c>
      <c r="L112" s="1678">
        <f t="shared" si="281"/>
        <v>3623.7222932969935</v>
      </c>
      <c r="M112" s="1678">
        <f t="shared" si="281"/>
        <v>7637.5478537222789</v>
      </c>
      <c r="N112" s="1679">
        <f t="shared" si="281"/>
        <v>5145.6041120023128</v>
      </c>
      <c r="O112" s="1677">
        <f t="shared" si="281"/>
        <v>5809.5791548366151</v>
      </c>
      <c r="P112" s="1678">
        <f t="shared" si="281"/>
        <v>5954.1949848390959</v>
      </c>
      <c r="Q112" s="1678">
        <f t="shared" si="281"/>
        <v>6888.4287903141694</v>
      </c>
      <c r="R112" s="1681">
        <f t="shared" si="281"/>
        <v>6233.7685965003757</v>
      </c>
      <c r="S112" s="1682">
        <f t="shared" si="281"/>
        <v>5988.0913357535692</v>
      </c>
      <c r="T112" s="1680">
        <f t="shared" si="281"/>
        <v>6007.9038515154725</v>
      </c>
      <c r="U112" s="1680">
        <f t="shared" si="281"/>
        <v>7349.2540806565275</v>
      </c>
      <c r="V112" s="1681">
        <f t="shared" si="281"/>
        <v>6994.6325194419514</v>
      </c>
      <c r="W112" s="1680">
        <f t="shared" si="281"/>
        <v>6080.7198049477747</v>
      </c>
      <c r="X112" s="1680">
        <f t="shared" si="281"/>
        <v>6970.9778782114672</v>
      </c>
      <c r="Y112" s="1825">
        <f t="shared" si="281"/>
        <v>7239.820470198154</v>
      </c>
      <c r="Z112" s="1826">
        <f t="shared" si="281"/>
        <v>6868.5436968988715</v>
      </c>
      <c r="AA112" s="1825">
        <f t="shared" si="281"/>
        <v>8226.1888723536613</v>
      </c>
      <c r="AB112" s="1825">
        <f t="shared" si="281"/>
        <v>7516.0998993134817</v>
      </c>
      <c r="AC112" s="1680">
        <f t="shared" si="281"/>
        <v>7447.7740060088181</v>
      </c>
      <c r="AD112" s="1681">
        <f t="shared" si="281"/>
        <v>7059.7639774892332</v>
      </c>
      <c r="AE112" s="1680">
        <f t="shared" si="281"/>
        <v>7250.2204400046912</v>
      </c>
      <c r="AF112" s="1680">
        <f t="shared" si="281"/>
        <v>6926.0052986481123</v>
      </c>
      <c r="AG112" s="1680">
        <f t="shared" si="281"/>
        <v>7584.2582143532491</v>
      </c>
      <c r="AH112" s="1681">
        <f t="shared" si="281"/>
        <v>6265.3734073086953</v>
      </c>
      <c r="AI112" s="1680">
        <f t="shared" si="281"/>
        <v>5413.0436677824982</v>
      </c>
      <c r="AJ112" s="1680">
        <f t="shared" si="281"/>
        <v>6726.7779529208856</v>
      </c>
      <c r="AK112" s="1680">
        <f t="shared" si="281"/>
        <v>7976.1185813343263</v>
      </c>
      <c r="AL112" s="1681">
        <f t="shared" si="281"/>
        <v>6750.161788693903</v>
      </c>
      <c r="AM112" s="1680">
        <f t="shared" si="281"/>
        <v>6422.2133266124401</v>
      </c>
      <c r="AN112" s="1680">
        <f t="shared" si="281"/>
        <v>8048.0608695652172</v>
      </c>
      <c r="AO112" s="1680">
        <f t="shared" si="281"/>
        <v>11474.906464924346</v>
      </c>
      <c r="AP112" s="1681">
        <f t="shared" si="281"/>
        <v>6852.997364953887</v>
      </c>
      <c r="AQ112" s="1680">
        <f t="shared" si="281"/>
        <v>6265.0137776610345</v>
      </c>
      <c r="AR112" s="1680">
        <f t="shared" si="281"/>
        <v>6530.144494614603</v>
      </c>
      <c r="AS112" s="1680">
        <f t="shared" si="281"/>
        <v>8725.0995759322941</v>
      </c>
      <c r="AT112" s="1681">
        <f t="shared" si="281"/>
        <v>6597.9020800638746</v>
      </c>
      <c r="AU112" s="1680">
        <f t="shared" si="281"/>
        <v>6031.9099537832089</v>
      </c>
      <c r="AV112" s="1680">
        <f t="shared" si="281"/>
        <v>6195.5449296090837</v>
      </c>
      <c r="AW112" s="1680">
        <f t="shared" si="281"/>
        <v>8244.6650067023384</v>
      </c>
      <c r="AX112" s="1681">
        <f t="shared" si="281"/>
        <v>6266.7223668496872</v>
      </c>
      <c r="AY112" s="1680">
        <f t="shared" ref="AY112:BB112" si="282">IF(ISBLANK(AY255),"",AY255)</f>
        <v>5639.6195767479512</v>
      </c>
      <c r="AZ112" s="1680">
        <f t="shared" si="282"/>
        <v>5777.3245530193408</v>
      </c>
      <c r="BA112" s="1680">
        <f t="shared" si="282"/>
        <v>7670.2250040588715</v>
      </c>
      <c r="BB112" s="1681">
        <f t="shared" si="282"/>
        <v>5829.5160354141863</v>
      </c>
      <c r="BC112" s="1529"/>
      <c r="BD112" s="1529"/>
      <c r="BE112" s="1529"/>
      <c r="BF112" s="1529"/>
      <c r="BG112" s="1529"/>
      <c r="BH112" s="1529"/>
      <c r="BI112" s="1529"/>
      <c r="BJ112" s="1529"/>
      <c r="BK112" s="1529"/>
      <c r="BL112" s="1529"/>
      <c r="BM112" s="1529"/>
      <c r="BN112" s="1529"/>
      <c r="BO112" s="1529"/>
      <c r="BP112" s="1529"/>
      <c r="BQ112" s="1529"/>
      <c r="BR112" s="1587"/>
      <c r="BS112" s="1477"/>
      <c r="BV112" s="1444"/>
      <c r="BW112" s="1443"/>
      <c r="BX112" s="1443"/>
      <c r="BY112" s="1443"/>
    </row>
    <row r="113" spans="1:77" ht="12.75" customHeight="1">
      <c r="A113" s="1445"/>
      <c r="B113" s="1446"/>
      <c r="C113" s="1667" t="s">
        <v>898</v>
      </c>
      <c r="D113" s="1550"/>
      <c r="E113" s="1550"/>
      <c r="F113" s="1512"/>
      <c r="G113" s="1653" t="str">
        <f t="shared" ref="G113:AX113" si="283">IF(ISBLANK(G256),"",G256)</f>
        <v/>
      </c>
      <c r="H113" s="1654" t="str">
        <f t="shared" si="283"/>
        <v/>
      </c>
      <c r="I113" s="1654" t="str">
        <f t="shared" si="283"/>
        <v/>
      </c>
      <c r="J113" s="1655" t="str">
        <f t="shared" si="283"/>
        <v/>
      </c>
      <c r="K113" s="1653" t="str">
        <f t="shared" si="283"/>
        <v/>
      </c>
      <c r="L113" s="1654" t="str">
        <f t="shared" si="283"/>
        <v/>
      </c>
      <c r="M113" s="1654" t="str">
        <f t="shared" si="283"/>
        <v/>
      </c>
      <c r="N113" s="1655" t="str">
        <f t="shared" si="283"/>
        <v/>
      </c>
      <c r="O113" s="1653" t="str">
        <f t="shared" si="283"/>
        <v/>
      </c>
      <c r="P113" s="1654" t="str">
        <f t="shared" si="283"/>
        <v/>
      </c>
      <c r="Q113" s="1654" t="str">
        <f t="shared" si="283"/>
        <v/>
      </c>
      <c r="R113" s="1658" t="str">
        <f t="shared" si="283"/>
        <v/>
      </c>
      <c r="S113" s="1683" t="str">
        <f t="shared" si="283"/>
        <v/>
      </c>
      <c r="T113" s="1656" t="str">
        <f t="shared" si="283"/>
        <v/>
      </c>
      <c r="U113" s="1656" t="str">
        <f t="shared" si="283"/>
        <v/>
      </c>
      <c r="V113" s="1658" t="str">
        <f t="shared" si="283"/>
        <v/>
      </c>
      <c r="W113" s="1656" t="str">
        <f t="shared" si="283"/>
        <v/>
      </c>
      <c r="X113" s="1656" t="str">
        <f t="shared" si="283"/>
        <v/>
      </c>
      <c r="Y113" s="1656" t="str">
        <f t="shared" si="283"/>
        <v/>
      </c>
      <c r="Z113" s="1659" t="str">
        <f t="shared" si="283"/>
        <v/>
      </c>
      <c r="AA113" s="1660" t="str">
        <f t="shared" si="283"/>
        <v/>
      </c>
      <c r="AB113" s="1660" t="str">
        <f t="shared" si="283"/>
        <v/>
      </c>
      <c r="AC113" s="1660" t="str">
        <f t="shared" si="283"/>
        <v/>
      </c>
      <c r="AD113" s="1659" t="str">
        <f t="shared" si="283"/>
        <v/>
      </c>
      <c r="AE113" s="1660" t="str">
        <f t="shared" si="283"/>
        <v/>
      </c>
      <c r="AF113" s="1660" t="str">
        <f t="shared" si="283"/>
        <v/>
      </c>
      <c r="AG113" s="1660" t="str">
        <f t="shared" si="283"/>
        <v/>
      </c>
      <c r="AH113" s="1659" t="str">
        <f t="shared" si="283"/>
        <v/>
      </c>
      <c r="AI113" s="1660" t="str">
        <f t="shared" si="283"/>
        <v/>
      </c>
      <c r="AJ113" s="1660" t="str">
        <f t="shared" si="283"/>
        <v/>
      </c>
      <c r="AK113" s="1660" t="str">
        <f t="shared" si="283"/>
        <v/>
      </c>
      <c r="AL113" s="1659" t="str">
        <f t="shared" si="283"/>
        <v/>
      </c>
      <c r="AM113" s="1660" t="str">
        <f t="shared" si="283"/>
        <v/>
      </c>
      <c r="AN113" s="1660" t="str">
        <f t="shared" si="283"/>
        <v/>
      </c>
      <c r="AO113" s="1660" t="str">
        <f t="shared" si="283"/>
        <v/>
      </c>
      <c r="AP113" s="1659" t="str">
        <f t="shared" si="283"/>
        <v/>
      </c>
      <c r="AQ113" s="1660" t="str">
        <f t="shared" si="283"/>
        <v/>
      </c>
      <c r="AR113" s="1660" t="str">
        <f t="shared" si="283"/>
        <v/>
      </c>
      <c r="AS113" s="1660" t="str">
        <f t="shared" si="283"/>
        <v/>
      </c>
      <c r="AT113" s="1659" t="str">
        <f t="shared" si="283"/>
        <v/>
      </c>
      <c r="AU113" s="1660" t="str">
        <f t="shared" si="283"/>
        <v/>
      </c>
      <c r="AV113" s="1660" t="str">
        <f t="shared" si="283"/>
        <v/>
      </c>
      <c r="AW113" s="1660" t="str">
        <f t="shared" si="283"/>
        <v/>
      </c>
      <c r="AX113" s="1659" t="str">
        <f t="shared" si="283"/>
        <v/>
      </c>
      <c r="AY113" s="1660" t="str">
        <f t="shared" ref="AY113:BB113" si="284">IF(ISBLANK(AY256),"",AY256)</f>
        <v/>
      </c>
      <c r="AZ113" s="1660" t="str">
        <f t="shared" si="284"/>
        <v/>
      </c>
      <c r="BA113" s="1660" t="str">
        <f t="shared" si="284"/>
        <v/>
      </c>
      <c r="BB113" s="1659" t="str">
        <f t="shared" si="284"/>
        <v/>
      </c>
      <c r="BC113" s="1494"/>
      <c r="BD113" s="1494"/>
      <c r="BE113" s="1494"/>
      <c r="BF113" s="1494"/>
      <c r="BG113" s="1494"/>
      <c r="BH113" s="1494"/>
      <c r="BI113" s="1494"/>
      <c r="BJ113" s="1494"/>
      <c r="BK113" s="1494"/>
      <c r="BL113" s="1494"/>
      <c r="BM113" s="1494"/>
      <c r="BN113" s="1494"/>
      <c r="BO113" s="1494"/>
      <c r="BP113" s="1494"/>
      <c r="BQ113" s="1494"/>
      <c r="BR113" s="1476"/>
      <c r="BS113" s="1477"/>
      <c r="BV113" s="1444"/>
      <c r="BW113" s="1443"/>
      <c r="BX113" s="1443"/>
      <c r="BY113" s="1443"/>
    </row>
    <row r="114" spans="1:77" ht="12.75" customHeight="1">
      <c r="A114" s="1445"/>
      <c r="B114" s="1446"/>
      <c r="C114" s="1649" t="s">
        <v>283</v>
      </c>
      <c r="D114" s="1649"/>
      <c r="E114" s="1649"/>
      <c r="F114" s="1666"/>
      <c r="G114" s="1653" t="str">
        <f t="shared" ref="G114:AX114" si="285">IF(ISBLANK(G257),"",G257)</f>
        <v/>
      </c>
      <c r="H114" s="1654" t="str">
        <f t="shared" si="285"/>
        <v/>
      </c>
      <c r="I114" s="1654" t="str">
        <f t="shared" si="285"/>
        <v/>
      </c>
      <c r="J114" s="1655" t="str">
        <f t="shared" si="285"/>
        <v/>
      </c>
      <c r="K114" s="1677" t="str">
        <f t="shared" si="285"/>
        <v/>
      </c>
      <c r="L114" s="1654" t="str">
        <f t="shared" si="285"/>
        <v/>
      </c>
      <c r="M114" s="1654" t="str">
        <f t="shared" si="285"/>
        <v/>
      </c>
      <c r="N114" s="1655" t="str">
        <f t="shared" si="285"/>
        <v/>
      </c>
      <c r="O114" s="1684">
        <f t="shared" si="285"/>
        <v>102.54</v>
      </c>
      <c r="P114" s="1685">
        <f t="shared" si="285"/>
        <v>95.373333333333335</v>
      </c>
      <c r="Q114" s="1685">
        <f t="shared" si="285"/>
        <v>81.040000000000006</v>
      </c>
      <c r="R114" s="1686">
        <f t="shared" si="285"/>
        <v>81.040000000000006</v>
      </c>
      <c r="S114" s="1684">
        <f t="shared" si="285"/>
        <v>81.040000000000006</v>
      </c>
      <c r="T114" s="1685">
        <f t="shared" si="285"/>
        <v>79.626666666666665</v>
      </c>
      <c r="U114" s="1685">
        <f t="shared" si="285"/>
        <v>76.8</v>
      </c>
      <c r="V114" s="1686">
        <f t="shared" si="285"/>
        <v>76.8</v>
      </c>
      <c r="W114" s="1685">
        <f t="shared" si="285"/>
        <v>76.8</v>
      </c>
      <c r="X114" s="1685">
        <f t="shared" si="285"/>
        <v>82.486666666666665</v>
      </c>
      <c r="Y114" s="1685">
        <f t="shared" si="285"/>
        <v>93.86</v>
      </c>
      <c r="Z114" s="1686">
        <f t="shared" si="285"/>
        <v>93.86</v>
      </c>
      <c r="AA114" s="1685">
        <f t="shared" si="285"/>
        <v>93.86</v>
      </c>
      <c r="AB114" s="1685">
        <f t="shared" si="285"/>
        <v>96.874703196347028</v>
      </c>
      <c r="AC114" s="1685">
        <f t="shared" si="285"/>
        <v>102.9041095890411</v>
      </c>
      <c r="AD114" s="1686">
        <f t="shared" si="285"/>
        <v>102.9041095890411</v>
      </c>
      <c r="AE114" s="1685">
        <f t="shared" si="285"/>
        <v>103</v>
      </c>
      <c r="AF114" s="1685">
        <f t="shared" si="285"/>
        <v>98.736666666666665</v>
      </c>
      <c r="AG114" s="1685">
        <f t="shared" si="285"/>
        <v>90.21</v>
      </c>
      <c r="AH114" s="1686">
        <f t="shared" si="285"/>
        <v>90.21</v>
      </c>
      <c r="AI114" s="1687">
        <f t="shared" si="285"/>
        <v>90.21</v>
      </c>
      <c r="AJ114" s="1687">
        <f t="shared" si="285"/>
        <v>137.126301369863</v>
      </c>
      <c r="AK114" s="1687">
        <f t="shared" si="285"/>
        <v>230.95890410958907</v>
      </c>
      <c r="AL114" s="1688">
        <f t="shared" si="285"/>
        <v>230.95890410958907</v>
      </c>
      <c r="AM114" s="1687">
        <f t="shared" si="285"/>
        <v>230.95890410958907</v>
      </c>
      <c r="AN114" s="1687">
        <f t="shared" si="285"/>
        <v>258.63013698630141</v>
      </c>
      <c r="AO114" s="1687">
        <f t="shared" si="285"/>
        <v>313.97260273972609</v>
      </c>
      <c r="AP114" s="1688">
        <f t="shared" si="285"/>
        <v>313.97260273972609</v>
      </c>
      <c r="AQ114" s="1687">
        <f t="shared" si="285"/>
        <v>313.97260273972609</v>
      </c>
      <c r="AR114" s="1687">
        <f t="shared" si="285"/>
        <v>286.35616438356169</v>
      </c>
      <c r="AS114" s="1687">
        <f t="shared" si="285"/>
        <v>231.12328767123287</v>
      </c>
      <c r="AT114" s="1688">
        <f t="shared" si="285"/>
        <v>231.12328767123287</v>
      </c>
      <c r="AU114" s="1687">
        <f t="shared" si="285"/>
        <v>231.12328767123287</v>
      </c>
      <c r="AV114" s="1687">
        <f t="shared" si="285"/>
        <v>231.12328767123287</v>
      </c>
      <c r="AW114" s="1687">
        <f t="shared" si="285"/>
        <v>231.12328767123287</v>
      </c>
      <c r="AX114" s="1688">
        <f t="shared" si="285"/>
        <v>231.12328767123287</v>
      </c>
      <c r="AY114" s="1687">
        <f t="shared" ref="AY114:BB114" si="286">IF(ISBLANK(AY257),"",AY257)</f>
        <v>231.12328767123287</v>
      </c>
      <c r="AZ114" s="1689">
        <f t="shared" si="286"/>
        <v>231.12328767123287</v>
      </c>
      <c r="BA114" s="1689">
        <f t="shared" si="286"/>
        <v>231.12328767123287</v>
      </c>
      <c r="BB114" s="1690">
        <f t="shared" si="286"/>
        <v>231.12328767123287</v>
      </c>
      <c r="BC114" s="1529"/>
      <c r="BD114" s="1529"/>
      <c r="BE114" s="1529">
        <f t="shared" ref="BE114:BE129" si="287">AVERAGE(M114:P114)</f>
        <v>98.956666666666678</v>
      </c>
      <c r="BF114" s="1529">
        <f t="shared" ref="BF114:BF129" si="288">AVERAGE(N114:Q114)</f>
        <v>92.984444444444463</v>
      </c>
      <c r="BG114" s="1529">
        <f t="shared" ref="BG114:BG129" si="289">AVERAGE(O114:R114)</f>
        <v>89.998333333333349</v>
      </c>
      <c r="BH114" s="1529">
        <f t="shared" ref="BH114:BH129" si="290">AVERAGE(S114:V114)</f>
        <v>78.566666666666677</v>
      </c>
      <c r="BI114" s="1529">
        <f t="shared" ref="BI114:BI129" si="291">AVERAGE(W114:Z114)</f>
        <v>86.751666666666665</v>
      </c>
      <c r="BJ114" s="1529">
        <f t="shared" ref="BJ114:BJ129" si="292">AVERAGE(AA114:AD114)</f>
        <v>99.13573059360732</v>
      </c>
      <c r="BK114" s="1529">
        <f t="shared" ref="BK114:BK129" si="293">AVERAGE(AE114:AH114)</f>
        <v>95.539166666666659</v>
      </c>
      <c r="BL114" s="1529">
        <f t="shared" ref="BL114:BL129" si="294">AVERAGE(AI114:AL114)</f>
        <v>172.31352739726029</v>
      </c>
      <c r="BM114" s="1529">
        <f t="shared" ref="BM114:BM129" si="295">AVERAGE(AM114:AP114)</f>
        <v>279.38356164383566</v>
      </c>
      <c r="BN114" s="1529">
        <f t="shared" ref="BN114:BN129" si="296">AVERAGE(AQ114:AT114)</f>
        <v>265.64383561643837</v>
      </c>
      <c r="BO114" s="1529">
        <f t="shared" ref="BO114:BO129" si="297">AVERAGE(AU114:AX114)</f>
        <v>231.12328767123287</v>
      </c>
      <c r="BP114" s="1529">
        <f t="shared" ref="BP114:BP129" si="298">AVERAGE(AY114:BB114)</f>
        <v>231.12328767123287</v>
      </c>
      <c r="BQ114" s="1529"/>
      <c r="BR114" s="1587"/>
      <c r="BS114" s="1477"/>
      <c r="BV114" s="1444"/>
      <c r="BW114" s="1443"/>
      <c r="BX114" s="1443"/>
      <c r="BY114" s="1443"/>
    </row>
    <row r="115" spans="1:77" ht="12.75" customHeight="1">
      <c r="A115" s="1445"/>
      <c r="B115" s="1446"/>
      <c r="C115" s="1649" t="s">
        <v>823</v>
      </c>
      <c r="D115" s="1649"/>
      <c r="E115" s="1649"/>
      <c r="F115" s="1651"/>
      <c r="G115" s="1677" t="str">
        <f t="shared" ref="G115:AX115" si="299">IF(ISBLANK(G258),"",G258)</f>
        <v/>
      </c>
      <c r="H115" s="1678" t="str">
        <f t="shared" si="299"/>
        <v/>
      </c>
      <c r="I115" s="1678" t="str">
        <f t="shared" si="299"/>
        <v/>
      </c>
      <c r="J115" s="1679" t="str">
        <f t="shared" si="299"/>
        <v/>
      </c>
      <c r="K115" s="1677" t="str">
        <f t="shared" si="299"/>
        <v/>
      </c>
      <c r="L115" s="1678" t="str">
        <f t="shared" si="299"/>
        <v/>
      </c>
      <c r="M115" s="1678" t="str">
        <f t="shared" si="299"/>
        <v/>
      </c>
      <c r="N115" s="1679" t="str">
        <f t="shared" si="299"/>
        <v/>
      </c>
      <c r="O115" s="1684">
        <f t="shared" si="299"/>
        <v>102.54</v>
      </c>
      <c r="P115" s="1685">
        <f t="shared" si="299"/>
        <v>96.14</v>
      </c>
      <c r="Q115" s="1685">
        <f t="shared" si="299"/>
        <v>83.34</v>
      </c>
      <c r="R115" s="1686">
        <f t="shared" si="299"/>
        <v>83.34</v>
      </c>
      <c r="S115" s="1684">
        <f t="shared" si="299"/>
        <v>83.34</v>
      </c>
      <c r="T115" s="1685">
        <f t="shared" si="299"/>
        <v>83.13333333333334</v>
      </c>
      <c r="U115" s="1685">
        <f t="shared" si="299"/>
        <v>82.72</v>
      </c>
      <c r="V115" s="1686">
        <f t="shared" si="299"/>
        <v>82.72</v>
      </c>
      <c r="W115" s="1685">
        <f t="shared" si="299"/>
        <v>82.72</v>
      </c>
      <c r="X115" s="1685">
        <f t="shared" si="299"/>
        <v>86.433333333333337</v>
      </c>
      <c r="Y115" s="1685">
        <f t="shared" si="299"/>
        <v>93.86</v>
      </c>
      <c r="Z115" s="1686">
        <f t="shared" si="299"/>
        <v>93.86</v>
      </c>
      <c r="AA115" s="1685">
        <f t="shared" si="299"/>
        <v>93.86</v>
      </c>
      <c r="AB115" s="1685">
        <f t="shared" si="299"/>
        <v>96.874703196347028</v>
      </c>
      <c r="AC115" s="1685">
        <f t="shared" si="299"/>
        <v>102.9041095890411</v>
      </c>
      <c r="AD115" s="1686">
        <f t="shared" si="299"/>
        <v>102.9041095890411</v>
      </c>
      <c r="AE115" s="1685">
        <f t="shared" si="299"/>
        <v>103</v>
      </c>
      <c r="AF115" s="1685">
        <f t="shared" si="299"/>
        <v>98.736666666666665</v>
      </c>
      <c r="AG115" s="1685">
        <f t="shared" si="299"/>
        <v>90.21</v>
      </c>
      <c r="AH115" s="1686">
        <f t="shared" si="299"/>
        <v>90.21</v>
      </c>
      <c r="AI115" s="1687">
        <f t="shared" si="299"/>
        <v>90.21</v>
      </c>
      <c r="AJ115" s="1687">
        <f t="shared" si="299"/>
        <v>137.126301369863</v>
      </c>
      <c r="AK115" s="1687">
        <f t="shared" si="299"/>
        <v>230.95890410958907</v>
      </c>
      <c r="AL115" s="1688">
        <f t="shared" si="299"/>
        <v>230.95890410958907</v>
      </c>
      <c r="AM115" s="1687">
        <f t="shared" si="299"/>
        <v>230.95890410958907</v>
      </c>
      <c r="AN115" s="1687">
        <f t="shared" si="299"/>
        <v>258.63013698630141</v>
      </c>
      <c r="AO115" s="1687">
        <f t="shared" si="299"/>
        <v>313.97260273972609</v>
      </c>
      <c r="AP115" s="1688">
        <f t="shared" si="299"/>
        <v>313.97260273972609</v>
      </c>
      <c r="AQ115" s="1687">
        <f t="shared" si="299"/>
        <v>313.97260273972609</v>
      </c>
      <c r="AR115" s="1687">
        <f t="shared" si="299"/>
        <v>286.35616438356169</v>
      </c>
      <c r="AS115" s="1687">
        <f t="shared" si="299"/>
        <v>231.12328767123287</v>
      </c>
      <c r="AT115" s="1688">
        <f t="shared" si="299"/>
        <v>231.12328767123287</v>
      </c>
      <c r="AU115" s="1687">
        <f t="shared" si="299"/>
        <v>231.12328767123287</v>
      </c>
      <c r="AV115" s="1687">
        <f t="shared" si="299"/>
        <v>231.12328767123287</v>
      </c>
      <c r="AW115" s="1687">
        <f t="shared" si="299"/>
        <v>231.12328767123287</v>
      </c>
      <c r="AX115" s="1688">
        <f t="shared" si="299"/>
        <v>231.12328767123287</v>
      </c>
      <c r="AY115" s="1687">
        <f t="shared" ref="AY115:BB115" si="300">IF(ISBLANK(AY258),"",AY258)</f>
        <v>231.12328767123287</v>
      </c>
      <c r="AZ115" s="1689">
        <f t="shared" si="300"/>
        <v>231.12328767123287</v>
      </c>
      <c r="BA115" s="1689">
        <f t="shared" si="300"/>
        <v>231.12328767123287</v>
      </c>
      <c r="BB115" s="1690">
        <f t="shared" si="300"/>
        <v>231.12328767123287</v>
      </c>
      <c r="BC115" s="1529"/>
      <c r="BD115" s="1529"/>
      <c r="BE115" s="1529">
        <f t="shared" si="287"/>
        <v>99.34</v>
      </c>
      <c r="BF115" s="1529">
        <f t="shared" si="288"/>
        <v>94.006666666666661</v>
      </c>
      <c r="BG115" s="1529">
        <f t="shared" si="289"/>
        <v>91.34</v>
      </c>
      <c r="BH115" s="1529">
        <f t="shared" si="290"/>
        <v>82.978333333333339</v>
      </c>
      <c r="BI115" s="1529">
        <f t="shared" si="291"/>
        <v>89.218333333333334</v>
      </c>
      <c r="BJ115" s="1529">
        <f t="shared" si="292"/>
        <v>99.13573059360732</v>
      </c>
      <c r="BK115" s="1529">
        <f t="shared" si="293"/>
        <v>95.539166666666659</v>
      </c>
      <c r="BL115" s="1529">
        <f t="shared" si="294"/>
        <v>172.31352739726029</v>
      </c>
      <c r="BM115" s="1529">
        <f t="shared" si="295"/>
        <v>279.38356164383566</v>
      </c>
      <c r="BN115" s="1529">
        <f t="shared" si="296"/>
        <v>265.64383561643837</v>
      </c>
      <c r="BO115" s="1529">
        <f t="shared" si="297"/>
        <v>231.12328767123287</v>
      </c>
      <c r="BP115" s="1529">
        <f t="shared" si="298"/>
        <v>231.12328767123287</v>
      </c>
      <c r="BQ115" s="1529"/>
      <c r="BR115" s="1587"/>
      <c r="BS115" s="1477"/>
      <c r="BV115" s="1444"/>
      <c r="BW115" s="1443"/>
      <c r="BX115" s="1443"/>
      <c r="BY115" s="1443"/>
    </row>
    <row r="116" spans="1:77" ht="12.75" customHeight="1">
      <c r="A116" s="1445"/>
      <c r="B116" s="1446"/>
      <c r="C116" s="1649" t="s">
        <v>824</v>
      </c>
      <c r="D116" s="1649"/>
      <c r="E116" s="1649"/>
      <c r="F116" s="1651"/>
      <c r="G116" s="1677" t="str">
        <f t="shared" ref="G116:AX116" si="301">IF(ISBLANK(G259),"",G259)</f>
        <v/>
      </c>
      <c r="H116" s="1678" t="str">
        <f t="shared" si="301"/>
        <v/>
      </c>
      <c r="I116" s="1678" t="str">
        <f t="shared" si="301"/>
        <v/>
      </c>
      <c r="J116" s="1679" t="str">
        <f t="shared" si="301"/>
        <v/>
      </c>
      <c r="K116" s="1677" t="str">
        <f t="shared" si="301"/>
        <v/>
      </c>
      <c r="L116" s="1678" t="str">
        <f t="shared" si="301"/>
        <v/>
      </c>
      <c r="M116" s="1678" t="str">
        <f t="shared" si="301"/>
        <v/>
      </c>
      <c r="N116" s="1679" t="str">
        <f t="shared" si="301"/>
        <v/>
      </c>
      <c r="O116" s="1684">
        <f t="shared" si="301"/>
        <v>110</v>
      </c>
      <c r="P116" s="1685">
        <f t="shared" si="301"/>
        <v>78.819999999999993</v>
      </c>
      <c r="Q116" s="1685">
        <f t="shared" si="301"/>
        <v>16.46</v>
      </c>
      <c r="R116" s="1686">
        <f t="shared" si="301"/>
        <v>16.46</v>
      </c>
      <c r="S116" s="1684">
        <f t="shared" si="301"/>
        <v>16.46</v>
      </c>
      <c r="T116" s="1685">
        <f t="shared" si="301"/>
        <v>20.216666666666669</v>
      </c>
      <c r="U116" s="1685">
        <f t="shared" si="301"/>
        <v>27.73</v>
      </c>
      <c r="V116" s="1686">
        <f t="shared" si="301"/>
        <v>27.73</v>
      </c>
      <c r="W116" s="1685">
        <f t="shared" si="301"/>
        <v>27.73</v>
      </c>
      <c r="X116" s="1685">
        <f t="shared" si="301"/>
        <v>60.483333333333327</v>
      </c>
      <c r="Y116" s="1685">
        <f t="shared" si="301"/>
        <v>125.99</v>
      </c>
      <c r="Z116" s="1686">
        <f t="shared" si="301"/>
        <v>125.99</v>
      </c>
      <c r="AA116" s="1685">
        <f t="shared" si="301"/>
        <v>125.99</v>
      </c>
      <c r="AB116" s="1685">
        <f t="shared" si="301"/>
        <v>129.32666666666668</v>
      </c>
      <c r="AC116" s="1685">
        <f t="shared" si="301"/>
        <v>136</v>
      </c>
      <c r="AD116" s="1686">
        <f t="shared" si="301"/>
        <v>136</v>
      </c>
      <c r="AE116" s="1685">
        <f t="shared" si="301"/>
        <v>136</v>
      </c>
      <c r="AF116" s="1685">
        <f t="shared" si="301"/>
        <v>110.45666666666666</v>
      </c>
      <c r="AG116" s="1685">
        <f t="shared" si="301"/>
        <v>59.37</v>
      </c>
      <c r="AH116" s="1686">
        <f t="shared" si="301"/>
        <v>59.37</v>
      </c>
      <c r="AI116" s="1687">
        <f t="shared" si="301"/>
        <v>59.37</v>
      </c>
      <c r="AJ116" s="1687">
        <f t="shared" si="301"/>
        <v>79.58</v>
      </c>
      <c r="AK116" s="1687">
        <f t="shared" si="301"/>
        <v>120</v>
      </c>
      <c r="AL116" s="1688">
        <f t="shared" si="301"/>
        <v>120</v>
      </c>
      <c r="AM116" s="1687">
        <f t="shared" si="301"/>
        <v>120</v>
      </c>
      <c r="AN116" s="1687">
        <f t="shared" si="301"/>
        <v>134.92333333333335</v>
      </c>
      <c r="AO116" s="1687">
        <f t="shared" si="301"/>
        <v>164.77</v>
      </c>
      <c r="AP116" s="1688">
        <f t="shared" si="301"/>
        <v>164.77</v>
      </c>
      <c r="AQ116" s="1687">
        <f t="shared" si="301"/>
        <v>164.77</v>
      </c>
      <c r="AR116" s="1687">
        <f t="shared" si="301"/>
        <v>143.18</v>
      </c>
      <c r="AS116" s="1687">
        <f t="shared" si="301"/>
        <v>100</v>
      </c>
      <c r="AT116" s="1688">
        <f t="shared" si="301"/>
        <v>100</v>
      </c>
      <c r="AU116" s="1687">
        <f t="shared" si="301"/>
        <v>100</v>
      </c>
      <c r="AV116" s="1687">
        <f t="shared" si="301"/>
        <v>100</v>
      </c>
      <c r="AW116" s="1687">
        <f t="shared" si="301"/>
        <v>76.53</v>
      </c>
      <c r="AX116" s="1688">
        <f t="shared" si="301"/>
        <v>76.53</v>
      </c>
      <c r="AY116" s="1687">
        <f t="shared" ref="AY116:BB116" si="302">IF(ISBLANK(AY259),"",AY259)</f>
        <v>76.53</v>
      </c>
      <c r="AZ116" s="1689">
        <f t="shared" si="302"/>
        <v>76.53</v>
      </c>
      <c r="BA116" s="1689">
        <f t="shared" si="302"/>
        <v>76.53</v>
      </c>
      <c r="BB116" s="1690">
        <f t="shared" si="302"/>
        <v>76.53</v>
      </c>
      <c r="BC116" s="1529"/>
      <c r="BD116" s="1529"/>
      <c r="BE116" s="1529">
        <f t="shared" si="287"/>
        <v>94.41</v>
      </c>
      <c r="BF116" s="1529">
        <f t="shared" si="288"/>
        <v>68.426666666666662</v>
      </c>
      <c r="BG116" s="1529">
        <f t="shared" si="289"/>
        <v>55.435000000000002</v>
      </c>
      <c r="BH116" s="1529">
        <f t="shared" si="290"/>
        <v>23.034166666666668</v>
      </c>
      <c r="BI116" s="1529">
        <f t="shared" si="291"/>
        <v>85.048333333333332</v>
      </c>
      <c r="BJ116" s="1529">
        <f t="shared" si="292"/>
        <v>131.82916666666665</v>
      </c>
      <c r="BK116" s="1529">
        <f t="shared" si="293"/>
        <v>91.299166666666665</v>
      </c>
      <c r="BL116" s="1529">
        <f t="shared" si="294"/>
        <v>94.737499999999997</v>
      </c>
      <c r="BM116" s="1529">
        <f t="shared" si="295"/>
        <v>146.11583333333334</v>
      </c>
      <c r="BN116" s="1529">
        <f t="shared" si="296"/>
        <v>126.98750000000001</v>
      </c>
      <c r="BO116" s="1529">
        <f t="shared" si="297"/>
        <v>88.264999999999986</v>
      </c>
      <c r="BP116" s="1529">
        <f t="shared" si="298"/>
        <v>76.53</v>
      </c>
      <c r="BQ116" s="1529"/>
      <c r="BR116" s="1587"/>
      <c r="BS116" s="1477"/>
      <c r="BV116" s="1444"/>
      <c r="BW116" s="1443"/>
      <c r="BX116" s="1443"/>
      <c r="BY116" s="1443"/>
    </row>
    <row r="117" spans="1:77" ht="12.75" customHeight="1">
      <c r="A117" s="1445"/>
      <c r="B117" s="1446"/>
      <c r="C117" s="1649" t="s">
        <v>825</v>
      </c>
      <c r="D117" s="1649"/>
      <c r="E117" s="1649"/>
      <c r="F117" s="1651"/>
      <c r="G117" s="1677" t="str">
        <f t="shared" ref="G117:AX117" si="303">IF(ISBLANK(G260),"",G260)</f>
        <v/>
      </c>
      <c r="H117" s="1678" t="str">
        <f t="shared" si="303"/>
        <v/>
      </c>
      <c r="I117" s="1678" t="str">
        <f t="shared" si="303"/>
        <v/>
      </c>
      <c r="J117" s="1679" t="str">
        <f t="shared" si="303"/>
        <v/>
      </c>
      <c r="K117" s="1677" t="str">
        <f t="shared" si="303"/>
        <v/>
      </c>
      <c r="L117" s="1678" t="str">
        <f t="shared" si="303"/>
        <v/>
      </c>
      <c r="M117" s="1678" t="str">
        <f t="shared" si="303"/>
        <v/>
      </c>
      <c r="N117" s="1679" t="str">
        <f t="shared" si="303"/>
        <v/>
      </c>
      <c r="O117" s="1684">
        <f t="shared" si="303"/>
        <v>110</v>
      </c>
      <c r="P117" s="1685">
        <f t="shared" si="303"/>
        <v>117.79</v>
      </c>
      <c r="Q117" s="1685">
        <f t="shared" si="303"/>
        <v>133.37</v>
      </c>
      <c r="R117" s="1686">
        <f t="shared" si="303"/>
        <v>133.37</v>
      </c>
      <c r="S117" s="1684">
        <f t="shared" si="303"/>
        <v>133.37</v>
      </c>
      <c r="T117" s="1685">
        <f t="shared" si="303"/>
        <v>164.29666666666665</v>
      </c>
      <c r="U117" s="1685">
        <f t="shared" si="303"/>
        <v>226.15</v>
      </c>
      <c r="V117" s="1686">
        <f t="shared" si="303"/>
        <v>226.15</v>
      </c>
      <c r="W117" s="1685">
        <f t="shared" si="303"/>
        <v>226.15</v>
      </c>
      <c r="X117" s="1685">
        <f t="shared" si="303"/>
        <v>196.26666666666665</v>
      </c>
      <c r="Y117" s="1685">
        <f t="shared" si="303"/>
        <v>136.5</v>
      </c>
      <c r="Z117" s="1686">
        <f t="shared" si="303"/>
        <v>136.5</v>
      </c>
      <c r="AA117" s="1685">
        <f t="shared" si="303"/>
        <v>136.5</v>
      </c>
      <c r="AB117" s="1685">
        <f t="shared" si="303"/>
        <v>146.82</v>
      </c>
      <c r="AC117" s="1685">
        <f t="shared" si="303"/>
        <v>167.46</v>
      </c>
      <c r="AD117" s="1686">
        <f t="shared" si="303"/>
        <v>167.46</v>
      </c>
      <c r="AE117" s="1685">
        <f t="shared" si="303"/>
        <v>167.46</v>
      </c>
      <c r="AF117" s="1685">
        <f t="shared" si="303"/>
        <v>151.35</v>
      </c>
      <c r="AG117" s="1685">
        <f t="shared" si="303"/>
        <v>119.13</v>
      </c>
      <c r="AH117" s="1686">
        <f t="shared" si="303"/>
        <v>119.13</v>
      </c>
      <c r="AI117" s="1687">
        <f t="shared" si="303"/>
        <v>119.13</v>
      </c>
      <c r="AJ117" s="1687">
        <f t="shared" si="303"/>
        <v>119.41999999999999</v>
      </c>
      <c r="AK117" s="1687">
        <f t="shared" si="303"/>
        <v>120</v>
      </c>
      <c r="AL117" s="1688">
        <f t="shared" si="303"/>
        <v>120</v>
      </c>
      <c r="AM117" s="1687">
        <f t="shared" si="303"/>
        <v>120</v>
      </c>
      <c r="AN117" s="1687">
        <f t="shared" si="303"/>
        <v>134.92333333333335</v>
      </c>
      <c r="AO117" s="1687">
        <f t="shared" si="303"/>
        <v>164.77</v>
      </c>
      <c r="AP117" s="1688">
        <f t="shared" si="303"/>
        <v>164.77</v>
      </c>
      <c r="AQ117" s="1687">
        <f t="shared" si="303"/>
        <v>164.77</v>
      </c>
      <c r="AR117" s="1687">
        <f t="shared" si="303"/>
        <v>143.18</v>
      </c>
      <c r="AS117" s="1687">
        <f t="shared" si="303"/>
        <v>100</v>
      </c>
      <c r="AT117" s="1688">
        <f t="shared" si="303"/>
        <v>100</v>
      </c>
      <c r="AU117" s="1687">
        <f t="shared" si="303"/>
        <v>100</v>
      </c>
      <c r="AV117" s="1687">
        <f t="shared" si="303"/>
        <v>100</v>
      </c>
      <c r="AW117" s="1687">
        <f t="shared" si="303"/>
        <v>86.04</v>
      </c>
      <c r="AX117" s="1688">
        <f t="shared" si="303"/>
        <v>86.04</v>
      </c>
      <c r="AY117" s="1687">
        <f t="shared" ref="AY117:BB117" si="304">IF(ISBLANK(AY260),"",AY260)</f>
        <v>86.04</v>
      </c>
      <c r="AZ117" s="1689">
        <f t="shared" si="304"/>
        <v>86.04</v>
      </c>
      <c r="BA117" s="1689">
        <f t="shared" si="304"/>
        <v>86.04</v>
      </c>
      <c r="BB117" s="1690">
        <f t="shared" si="304"/>
        <v>86.04</v>
      </c>
      <c r="BC117" s="1529"/>
      <c r="BD117" s="1529"/>
      <c r="BE117" s="1529">
        <f t="shared" si="287"/>
        <v>113.89500000000001</v>
      </c>
      <c r="BF117" s="1529">
        <f t="shared" si="288"/>
        <v>120.38666666666667</v>
      </c>
      <c r="BG117" s="1529">
        <f t="shared" si="289"/>
        <v>123.63250000000001</v>
      </c>
      <c r="BH117" s="1529">
        <f t="shared" si="290"/>
        <v>187.49166666666665</v>
      </c>
      <c r="BI117" s="1529">
        <f t="shared" si="291"/>
        <v>173.85416666666666</v>
      </c>
      <c r="BJ117" s="1529">
        <f t="shared" si="292"/>
        <v>154.56</v>
      </c>
      <c r="BK117" s="1529">
        <f t="shared" si="293"/>
        <v>139.26749999999998</v>
      </c>
      <c r="BL117" s="1529">
        <f t="shared" si="294"/>
        <v>119.63749999999999</v>
      </c>
      <c r="BM117" s="1529">
        <f t="shared" si="295"/>
        <v>146.11583333333334</v>
      </c>
      <c r="BN117" s="1529">
        <f t="shared" si="296"/>
        <v>126.98750000000001</v>
      </c>
      <c r="BO117" s="1529">
        <f t="shared" si="297"/>
        <v>93.02000000000001</v>
      </c>
      <c r="BP117" s="1529">
        <f t="shared" si="298"/>
        <v>86.04</v>
      </c>
      <c r="BQ117" s="1529"/>
      <c r="BR117" s="1587"/>
      <c r="BS117" s="1477"/>
      <c r="BV117" s="1444"/>
      <c r="BW117" s="1443"/>
      <c r="BX117" s="1443"/>
      <c r="BY117" s="1443"/>
    </row>
    <row r="118" spans="1:77" ht="12.75" customHeight="1">
      <c r="A118" s="1445"/>
      <c r="B118" s="1446"/>
      <c r="C118" s="1649" t="s">
        <v>826</v>
      </c>
      <c r="D118" s="1649"/>
      <c r="E118" s="1649"/>
      <c r="F118" s="1651"/>
      <c r="G118" s="1677" t="str">
        <f t="shared" ref="G118:AX118" si="305">IF(ISBLANK(G261),"",G261)</f>
        <v/>
      </c>
      <c r="H118" s="1678" t="str">
        <f t="shared" si="305"/>
        <v/>
      </c>
      <c r="I118" s="1678" t="str">
        <f t="shared" si="305"/>
        <v/>
      </c>
      <c r="J118" s="1679" t="str">
        <f t="shared" si="305"/>
        <v/>
      </c>
      <c r="K118" s="1677" t="str">
        <f t="shared" si="305"/>
        <v/>
      </c>
      <c r="L118" s="1678" t="str">
        <f t="shared" si="305"/>
        <v/>
      </c>
      <c r="M118" s="1678" t="str">
        <f t="shared" si="305"/>
        <v/>
      </c>
      <c r="N118" s="1679" t="str">
        <f t="shared" si="305"/>
        <v/>
      </c>
      <c r="O118" s="1684">
        <f t="shared" si="305"/>
        <v>110</v>
      </c>
      <c r="P118" s="1685">
        <f t="shared" si="305"/>
        <v>117.79</v>
      </c>
      <c r="Q118" s="1685">
        <f t="shared" si="305"/>
        <v>133.37</v>
      </c>
      <c r="R118" s="1686">
        <f t="shared" si="305"/>
        <v>133.37</v>
      </c>
      <c r="S118" s="1684">
        <f t="shared" si="305"/>
        <v>133.37</v>
      </c>
      <c r="T118" s="1685">
        <f t="shared" si="305"/>
        <v>164.29666666666665</v>
      </c>
      <c r="U118" s="1685">
        <f t="shared" si="305"/>
        <v>226.15</v>
      </c>
      <c r="V118" s="1686">
        <f t="shared" si="305"/>
        <v>226.15</v>
      </c>
      <c r="W118" s="1685">
        <f t="shared" si="305"/>
        <v>226.15</v>
      </c>
      <c r="X118" s="1685">
        <f t="shared" si="305"/>
        <v>196.26666666666665</v>
      </c>
      <c r="Y118" s="1685">
        <f t="shared" si="305"/>
        <v>136.5</v>
      </c>
      <c r="Z118" s="1686">
        <f t="shared" si="305"/>
        <v>136.5</v>
      </c>
      <c r="AA118" s="1685">
        <f t="shared" si="305"/>
        <v>136.5</v>
      </c>
      <c r="AB118" s="1685">
        <f t="shared" si="305"/>
        <v>146.82</v>
      </c>
      <c r="AC118" s="1685">
        <f t="shared" si="305"/>
        <v>167.46</v>
      </c>
      <c r="AD118" s="1686">
        <f t="shared" si="305"/>
        <v>167.46</v>
      </c>
      <c r="AE118" s="1685">
        <f t="shared" si="305"/>
        <v>167.46</v>
      </c>
      <c r="AF118" s="1685">
        <f t="shared" si="305"/>
        <v>151.35</v>
      </c>
      <c r="AG118" s="1685">
        <f t="shared" si="305"/>
        <v>119.13</v>
      </c>
      <c r="AH118" s="1686">
        <f t="shared" si="305"/>
        <v>119.13</v>
      </c>
      <c r="AI118" s="1687">
        <f t="shared" si="305"/>
        <v>119.13</v>
      </c>
      <c r="AJ118" s="1687">
        <f t="shared" si="305"/>
        <v>119.41999999999999</v>
      </c>
      <c r="AK118" s="1687">
        <f t="shared" si="305"/>
        <v>120</v>
      </c>
      <c r="AL118" s="1688">
        <f t="shared" si="305"/>
        <v>120</v>
      </c>
      <c r="AM118" s="1687">
        <f t="shared" si="305"/>
        <v>120</v>
      </c>
      <c r="AN118" s="1687">
        <f t="shared" si="305"/>
        <v>134.92333333333335</v>
      </c>
      <c r="AO118" s="1687">
        <f t="shared" si="305"/>
        <v>164.77</v>
      </c>
      <c r="AP118" s="1688">
        <f t="shared" si="305"/>
        <v>164.77</v>
      </c>
      <c r="AQ118" s="1687">
        <f t="shared" si="305"/>
        <v>164.77</v>
      </c>
      <c r="AR118" s="1687">
        <f t="shared" si="305"/>
        <v>143.18</v>
      </c>
      <c r="AS118" s="1687">
        <f t="shared" si="305"/>
        <v>100</v>
      </c>
      <c r="AT118" s="1688">
        <f t="shared" si="305"/>
        <v>100</v>
      </c>
      <c r="AU118" s="1687">
        <f t="shared" si="305"/>
        <v>100</v>
      </c>
      <c r="AV118" s="1687">
        <f t="shared" si="305"/>
        <v>100</v>
      </c>
      <c r="AW118" s="1687">
        <f t="shared" si="305"/>
        <v>86.04</v>
      </c>
      <c r="AX118" s="1688">
        <f t="shared" si="305"/>
        <v>86.04</v>
      </c>
      <c r="AY118" s="1687">
        <f t="shared" ref="AY118:BB118" si="306">IF(ISBLANK(AY261),"",AY261)</f>
        <v>86.04</v>
      </c>
      <c r="AZ118" s="1689">
        <f t="shared" si="306"/>
        <v>86.04</v>
      </c>
      <c r="BA118" s="1689">
        <f t="shared" si="306"/>
        <v>86.04</v>
      </c>
      <c r="BB118" s="1690">
        <f t="shared" si="306"/>
        <v>86.04</v>
      </c>
      <c r="BC118" s="1529"/>
      <c r="BD118" s="1529"/>
      <c r="BE118" s="1529">
        <f t="shared" si="287"/>
        <v>113.89500000000001</v>
      </c>
      <c r="BF118" s="1529">
        <f t="shared" si="288"/>
        <v>120.38666666666667</v>
      </c>
      <c r="BG118" s="1529">
        <f t="shared" si="289"/>
        <v>123.63250000000001</v>
      </c>
      <c r="BH118" s="1529">
        <f t="shared" si="290"/>
        <v>187.49166666666665</v>
      </c>
      <c r="BI118" s="1529">
        <f t="shared" si="291"/>
        <v>173.85416666666666</v>
      </c>
      <c r="BJ118" s="1529">
        <f t="shared" si="292"/>
        <v>154.56</v>
      </c>
      <c r="BK118" s="1529">
        <f t="shared" si="293"/>
        <v>139.26749999999998</v>
      </c>
      <c r="BL118" s="1529">
        <f t="shared" si="294"/>
        <v>119.63749999999999</v>
      </c>
      <c r="BM118" s="1529">
        <f t="shared" si="295"/>
        <v>146.11583333333334</v>
      </c>
      <c r="BN118" s="1529">
        <f t="shared" si="296"/>
        <v>126.98750000000001</v>
      </c>
      <c r="BO118" s="1529">
        <f t="shared" si="297"/>
        <v>93.02000000000001</v>
      </c>
      <c r="BP118" s="1529">
        <f t="shared" si="298"/>
        <v>86.04</v>
      </c>
      <c r="BQ118" s="1529"/>
      <c r="BR118" s="1587"/>
      <c r="BS118" s="1477"/>
      <c r="BV118" s="1444"/>
      <c r="BW118" s="1443"/>
      <c r="BX118" s="1443"/>
      <c r="BY118" s="1443"/>
    </row>
    <row r="119" spans="1:77" ht="12.75" customHeight="1">
      <c r="A119" s="1445"/>
      <c r="B119" s="1446"/>
      <c r="C119" s="1649" t="s">
        <v>827</v>
      </c>
      <c r="D119" s="1649"/>
      <c r="E119" s="1649"/>
      <c r="F119" s="1651"/>
      <c r="G119" s="1677" t="str">
        <f t="shared" ref="G119:AX119" si="307">IF(ISBLANK(G262),"",G262)</f>
        <v/>
      </c>
      <c r="H119" s="1678" t="str">
        <f t="shared" si="307"/>
        <v/>
      </c>
      <c r="I119" s="1678" t="str">
        <f t="shared" si="307"/>
        <v/>
      </c>
      <c r="J119" s="1679" t="str">
        <f t="shared" si="307"/>
        <v/>
      </c>
      <c r="K119" s="1677" t="str">
        <f t="shared" si="307"/>
        <v/>
      </c>
      <c r="L119" s="1678" t="str">
        <f t="shared" si="307"/>
        <v/>
      </c>
      <c r="M119" s="1678" t="str">
        <f t="shared" si="307"/>
        <v/>
      </c>
      <c r="N119" s="1679" t="str">
        <f t="shared" si="307"/>
        <v/>
      </c>
      <c r="O119" s="1684">
        <f t="shared" si="307"/>
        <v>110</v>
      </c>
      <c r="P119" s="1685">
        <f t="shared" si="307"/>
        <v>119.91</v>
      </c>
      <c r="Q119" s="1685">
        <f t="shared" si="307"/>
        <v>139.72999999999999</v>
      </c>
      <c r="R119" s="1686">
        <f t="shared" si="307"/>
        <v>139.72999999999999</v>
      </c>
      <c r="S119" s="1684">
        <f t="shared" si="307"/>
        <v>139.72999999999999</v>
      </c>
      <c r="T119" s="1685">
        <f t="shared" si="307"/>
        <v>174.82</v>
      </c>
      <c r="U119" s="1685">
        <f t="shared" si="307"/>
        <v>245</v>
      </c>
      <c r="V119" s="1686">
        <f t="shared" si="307"/>
        <v>245</v>
      </c>
      <c r="W119" s="1685">
        <f t="shared" si="307"/>
        <v>245</v>
      </c>
      <c r="X119" s="1685">
        <f t="shared" si="307"/>
        <v>208.83333333333334</v>
      </c>
      <c r="Y119" s="1685">
        <f t="shared" si="307"/>
        <v>136.5</v>
      </c>
      <c r="Z119" s="1686">
        <f t="shared" si="307"/>
        <v>136.5</v>
      </c>
      <c r="AA119" s="1685">
        <f t="shared" si="307"/>
        <v>136.5</v>
      </c>
      <c r="AB119" s="1685">
        <f t="shared" si="307"/>
        <v>146.82</v>
      </c>
      <c r="AC119" s="1685">
        <f t="shared" si="307"/>
        <v>167.46</v>
      </c>
      <c r="AD119" s="1686">
        <f t="shared" si="307"/>
        <v>167.46</v>
      </c>
      <c r="AE119" s="1685">
        <f t="shared" si="307"/>
        <v>167.46</v>
      </c>
      <c r="AF119" s="1685">
        <f t="shared" si="307"/>
        <v>151.35</v>
      </c>
      <c r="AG119" s="1685">
        <f t="shared" si="307"/>
        <v>119.13</v>
      </c>
      <c r="AH119" s="1686">
        <f t="shared" si="307"/>
        <v>119.13</v>
      </c>
      <c r="AI119" s="1687">
        <f t="shared" si="307"/>
        <v>119.13</v>
      </c>
      <c r="AJ119" s="1687">
        <f t="shared" si="307"/>
        <v>119.41999999999999</v>
      </c>
      <c r="AK119" s="1687">
        <f t="shared" si="307"/>
        <v>120</v>
      </c>
      <c r="AL119" s="1688">
        <f t="shared" si="307"/>
        <v>120</v>
      </c>
      <c r="AM119" s="1687">
        <f t="shared" si="307"/>
        <v>120</v>
      </c>
      <c r="AN119" s="1687">
        <f t="shared" si="307"/>
        <v>155.13999999999999</v>
      </c>
      <c r="AO119" s="1687">
        <f t="shared" si="307"/>
        <v>225.42</v>
      </c>
      <c r="AP119" s="1688">
        <f t="shared" si="307"/>
        <v>225.42</v>
      </c>
      <c r="AQ119" s="1687">
        <f t="shared" si="307"/>
        <v>225.42</v>
      </c>
      <c r="AR119" s="1687">
        <f t="shared" si="307"/>
        <v>190.27999999999997</v>
      </c>
      <c r="AS119" s="1687">
        <f t="shared" si="307"/>
        <v>120</v>
      </c>
      <c r="AT119" s="1688">
        <f t="shared" si="307"/>
        <v>120</v>
      </c>
      <c r="AU119" s="1687">
        <f t="shared" si="307"/>
        <v>120</v>
      </c>
      <c r="AV119" s="1687">
        <f t="shared" si="307"/>
        <v>142.62333333333333</v>
      </c>
      <c r="AW119" s="1687">
        <f t="shared" si="307"/>
        <v>187.87</v>
      </c>
      <c r="AX119" s="1688">
        <f t="shared" si="307"/>
        <v>187.87</v>
      </c>
      <c r="AY119" s="1687">
        <f t="shared" ref="AY119:BB119" si="308">IF(ISBLANK(AY262),"",AY262)</f>
        <v>187.87</v>
      </c>
      <c r="AZ119" s="1689">
        <f t="shared" si="308"/>
        <v>187.87</v>
      </c>
      <c r="BA119" s="1689">
        <f t="shared" si="308"/>
        <v>187.87</v>
      </c>
      <c r="BB119" s="1690">
        <f t="shared" si="308"/>
        <v>187.87</v>
      </c>
      <c r="BC119" s="1529"/>
      <c r="BD119" s="1529"/>
      <c r="BE119" s="1529">
        <f t="shared" si="287"/>
        <v>114.955</v>
      </c>
      <c r="BF119" s="1529">
        <f t="shared" si="288"/>
        <v>123.21333333333332</v>
      </c>
      <c r="BG119" s="1529">
        <f t="shared" si="289"/>
        <v>127.3425</v>
      </c>
      <c r="BH119" s="1529">
        <f t="shared" si="290"/>
        <v>201.13749999999999</v>
      </c>
      <c r="BI119" s="1529">
        <f t="shared" si="291"/>
        <v>181.70833333333334</v>
      </c>
      <c r="BJ119" s="1529">
        <f t="shared" si="292"/>
        <v>154.56</v>
      </c>
      <c r="BK119" s="1529">
        <f t="shared" si="293"/>
        <v>139.26749999999998</v>
      </c>
      <c r="BL119" s="1529">
        <f t="shared" si="294"/>
        <v>119.63749999999999</v>
      </c>
      <c r="BM119" s="1529">
        <f t="shared" si="295"/>
        <v>181.49499999999998</v>
      </c>
      <c r="BN119" s="1529">
        <f t="shared" si="296"/>
        <v>163.92499999999998</v>
      </c>
      <c r="BO119" s="1529">
        <f t="shared" si="297"/>
        <v>159.59083333333334</v>
      </c>
      <c r="BP119" s="1529">
        <f t="shared" si="298"/>
        <v>187.87</v>
      </c>
      <c r="BQ119" s="1529"/>
      <c r="BR119" s="1587"/>
      <c r="BS119" s="1477"/>
      <c r="BV119" s="1444"/>
      <c r="BW119" s="1443"/>
      <c r="BX119" s="1443"/>
      <c r="BY119" s="1443"/>
    </row>
    <row r="120" spans="1:77" ht="12.75" customHeight="1">
      <c r="A120" s="1445"/>
      <c r="B120" s="1446"/>
      <c r="C120" s="1649" t="s">
        <v>828</v>
      </c>
      <c r="D120" s="1649"/>
      <c r="E120" s="1649"/>
      <c r="F120" s="1651"/>
      <c r="G120" s="1677" t="str">
        <f t="shared" ref="G120:AX120" si="309">IF(ISBLANK(G263),"",G263)</f>
        <v/>
      </c>
      <c r="H120" s="1678" t="str">
        <f t="shared" si="309"/>
        <v/>
      </c>
      <c r="I120" s="1678" t="str">
        <f t="shared" si="309"/>
        <v/>
      </c>
      <c r="J120" s="1679" t="str">
        <f t="shared" si="309"/>
        <v/>
      </c>
      <c r="K120" s="1677" t="str">
        <f t="shared" si="309"/>
        <v/>
      </c>
      <c r="L120" s="1678" t="str">
        <f t="shared" si="309"/>
        <v/>
      </c>
      <c r="M120" s="1678" t="str">
        <f t="shared" si="309"/>
        <v/>
      </c>
      <c r="N120" s="1679" t="str">
        <f t="shared" si="309"/>
        <v/>
      </c>
      <c r="O120" s="1684">
        <f t="shared" si="309"/>
        <v>110</v>
      </c>
      <c r="P120" s="1685">
        <f t="shared" si="309"/>
        <v>119.91</v>
      </c>
      <c r="Q120" s="1685">
        <f t="shared" si="309"/>
        <v>139.72999999999999</v>
      </c>
      <c r="R120" s="1686">
        <f t="shared" si="309"/>
        <v>139.72999999999999</v>
      </c>
      <c r="S120" s="1684">
        <f t="shared" si="309"/>
        <v>139.72999999999999</v>
      </c>
      <c r="T120" s="1685">
        <f t="shared" si="309"/>
        <v>174.82</v>
      </c>
      <c r="U120" s="1685">
        <f t="shared" si="309"/>
        <v>245</v>
      </c>
      <c r="V120" s="1686">
        <f t="shared" si="309"/>
        <v>245</v>
      </c>
      <c r="W120" s="1685">
        <f t="shared" si="309"/>
        <v>245</v>
      </c>
      <c r="X120" s="1685">
        <f t="shared" si="309"/>
        <v>208.83333333333334</v>
      </c>
      <c r="Y120" s="1685">
        <f t="shared" si="309"/>
        <v>136.5</v>
      </c>
      <c r="Z120" s="1686">
        <f t="shared" si="309"/>
        <v>136.5</v>
      </c>
      <c r="AA120" s="1685">
        <f t="shared" si="309"/>
        <v>136.5</v>
      </c>
      <c r="AB120" s="1685">
        <f t="shared" si="309"/>
        <v>146.82</v>
      </c>
      <c r="AC120" s="1685">
        <f t="shared" si="309"/>
        <v>167.46</v>
      </c>
      <c r="AD120" s="1686">
        <f t="shared" si="309"/>
        <v>167.46</v>
      </c>
      <c r="AE120" s="1685">
        <f t="shared" si="309"/>
        <v>167.46</v>
      </c>
      <c r="AF120" s="1685">
        <f t="shared" si="309"/>
        <v>151.35</v>
      </c>
      <c r="AG120" s="1685">
        <f t="shared" si="309"/>
        <v>119.13</v>
      </c>
      <c r="AH120" s="1686">
        <f t="shared" si="309"/>
        <v>119.13</v>
      </c>
      <c r="AI120" s="1687">
        <f t="shared" si="309"/>
        <v>119.13</v>
      </c>
      <c r="AJ120" s="1687">
        <f t="shared" si="309"/>
        <v>119.41999999999999</v>
      </c>
      <c r="AK120" s="1687">
        <f t="shared" si="309"/>
        <v>120</v>
      </c>
      <c r="AL120" s="1688">
        <f t="shared" si="309"/>
        <v>120</v>
      </c>
      <c r="AM120" s="1687">
        <f t="shared" si="309"/>
        <v>120</v>
      </c>
      <c r="AN120" s="1687">
        <f t="shared" si="309"/>
        <v>155.13999999999999</v>
      </c>
      <c r="AO120" s="1687">
        <f t="shared" si="309"/>
        <v>225.42</v>
      </c>
      <c r="AP120" s="1688">
        <f t="shared" si="309"/>
        <v>225.42</v>
      </c>
      <c r="AQ120" s="1687">
        <f t="shared" si="309"/>
        <v>225.42</v>
      </c>
      <c r="AR120" s="1687">
        <f t="shared" si="309"/>
        <v>190.20333333333332</v>
      </c>
      <c r="AS120" s="1687">
        <f t="shared" si="309"/>
        <v>119.77</v>
      </c>
      <c r="AT120" s="1688">
        <f t="shared" si="309"/>
        <v>119.77</v>
      </c>
      <c r="AU120" s="1687">
        <f t="shared" si="309"/>
        <v>119.77</v>
      </c>
      <c r="AV120" s="1687">
        <f t="shared" si="309"/>
        <v>119.77</v>
      </c>
      <c r="AW120" s="1687">
        <f t="shared" si="309"/>
        <v>187.87</v>
      </c>
      <c r="AX120" s="1688">
        <f t="shared" si="309"/>
        <v>187.87</v>
      </c>
      <c r="AY120" s="1687">
        <f t="shared" ref="AY120:BB120" si="310">IF(ISBLANK(AY263),"",AY263)</f>
        <v>187.87</v>
      </c>
      <c r="AZ120" s="1689">
        <f t="shared" si="310"/>
        <v>187.87</v>
      </c>
      <c r="BA120" s="1689">
        <f t="shared" si="310"/>
        <v>187.87</v>
      </c>
      <c r="BB120" s="1690">
        <f t="shared" si="310"/>
        <v>187.87</v>
      </c>
      <c r="BC120" s="1529"/>
      <c r="BD120" s="1529"/>
      <c r="BE120" s="1529">
        <f t="shared" si="287"/>
        <v>114.955</v>
      </c>
      <c r="BF120" s="1529">
        <f t="shared" si="288"/>
        <v>123.21333333333332</v>
      </c>
      <c r="BG120" s="1529">
        <f t="shared" si="289"/>
        <v>127.3425</v>
      </c>
      <c r="BH120" s="1529">
        <f t="shared" si="290"/>
        <v>201.13749999999999</v>
      </c>
      <c r="BI120" s="1529">
        <f t="shared" si="291"/>
        <v>181.70833333333334</v>
      </c>
      <c r="BJ120" s="1529">
        <f t="shared" si="292"/>
        <v>154.56</v>
      </c>
      <c r="BK120" s="1529">
        <f t="shared" si="293"/>
        <v>139.26749999999998</v>
      </c>
      <c r="BL120" s="1529">
        <f t="shared" si="294"/>
        <v>119.63749999999999</v>
      </c>
      <c r="BM120" s="1529">
        <f t="shared" si="295"/>
        <v>181.49499999999998</v>
      </c>
      <c r="BN120" s="1529">
        <f t="shared" si="296"/>
        <v>163.79083333333332</v>
      </c>
      <c r="BO120" s="1529">
        <f t="shared" si="297"/>
        <v>153.82</v>
      </c>
      <c r="BP120" s="1529">
        <f t="shared" si="298"/>
        <v>187.87</v>
      </c>
      <c r="BQ120" s="1529"/>
      <c r="BR120" s="1587"/>
      <c r="BS120" s="1477"/>
      <c r="BV120" s="1444"/>
      <c r="BW120" s="1443"/>
      <c r="BX120" s="1443"/>
      <c r="BY120" s="1443"/>
    </row>
    <row r="121" spans="1:77" ht="12.75" customHeight="1">
      <c r="A121" s="1445"/>
      <c r="B121" s="1446"/>
      <c r="C121" s="1649" t="s">
        <v>829</v>
      </c>
      <c r="D121" s="1649"/>
      <c r="E121" s="1649"/>
      <c r="F121" s="1651"/>
      <c r="G121" s="1677" t="str">
        <f t="shared" ref="G121:AX121" si="311">IF(ISBLANK(G264),"",G264)</f>
        <v/>
      </c>
      <c r="H121" s="1678" t="str">
        <f t="shared" si="311"/>
        <v/>
      </c>
      <c r="I121" s="1678" t="str">
        <f t="shared" si="311"/>
        <v/>
      </c>
      <c r="J121" s="1679" t="str">
        <f t="shared" si="311"/>
        <v/>
      </c>
      <c r="K121" s="1677" t="str">
        <f t="shared" si="311"/>
        <v/>
      </c>
      <c r="L121" s="1678" t="str">
        <f t="shared" si="311"/>
        <v/>
      </c>
      <c r="M121" s="1678" t="str">
        <f t="shared" si="311"/>
        <v/>
      </c>
      <c r="N121" s="1679" t="str">
        <f t="shared" si="311"/>
        <v/>
      </c>
      <c r="O121" s="1684">
        <f t="shared" si="311"/>
        <v>110</v>
      </c>
      <c r="P121" s="1685">
        <f t="shared" si="311"/>
        <v>78.819999999999993</v>
      </c>
      <c r="Q121" s="1685">
        <f t="shared" si="311"/>
        <v>16.46</v>
      </c>
      <c r="R121" s="1686">
        <f t="shared" si="311"/>
        <v>16.46</v>
      </c>
      <c r="S121" s="1684">
        <f t="shared" si="311"/>
        <v>16.46</v>
      </c>
      <c r="T121" s="1685">
        <f t="shared" si="311"/>
        <v>20.216666666666669</v>
      </c>
      <c r="U121" s="1685">
        <f t="shared" si="311"/>
        <v>27.73</v>
      </c>
      <c r="V121" s="1686">
        <f t="shared" si="311"/>
        <v>27.73</v>
      </c>
      <c r="W121" s="1685">
        <f t="shared" si="311"/>
        <v>27.73</v>
      </c>
      <c r="X121" s="1685">
        <f t="shared" si="311"/>
        <v>60.483333333333327</v>
      </c>
      <c r="Y121" s="1685">
        <f t="shared" si="311"/>
        <v>125.99</v>
      </c>
      <c r="Z121" s="1686">
        <f t="shared" si="311"/>
        <v>125.99</v>
      </c>
      <c r="AA121" s="1685">
        <f t="shared" si="311"/>
        <v>125.99</v>
      </c>
      <c r="AB121" s="1685">
        <f t="shared" si="311"/>
        <v>129.32666666666668</v>
      </c>
      <c r="AC121" s="1685">
        <f t="shared" si="311"/>
        <v>136</v>
      </c>
      <c r="AD121" s="1686">
        <f t="shared" si="311"/>
        <v>136</v>
      </c>
      <c r="AE121" s="1685">
        <f t="shared" si="311"/>
        <v>136</v>
      </c>
      <c r="AF121" s="1685">
        <f t="shared" si="311"/>
        <v>110.45666666666666</v>
      </c>
      <c r="AG121" s="1685">
        <f t="shared" si="311"/>
        <v>59.37</v>
      </c>
      <c r="AH121" s="1686">
        <f t="shared" si="311"/>
        <v>59.37</v>
      </c>
      <c r="AI121" s="1687">
        <f t="shared" si="311"/>
        <v>59.37</v>
      </c>
      <c r="AJ121" s="1687">
        <f t="shared" si="311"/>
        <v>79.58</v>
      </c>
      <c r="AK121" s="1687">
        <f t="shared" si="311"/>
        <v>120</v>
      </c>
      <c r="AL121" s="1688">
        <f t="shared" si="311"/>
        <v>120</v>
      </c>
      <c r="AM121" s="1687">
        <f t="shared" si="311"/>
        <v>120</v>
      </c>
      <c r="AN121" s="1687">
        <f t="shared" si="311"/>
        <v>151.66666666666666</v>
      </c>
      <c r="AO121" s="1687">
        <f t="shared" si="311"/>
        <v>215</v>
      </c>
      <c r="AP121" s="1688">
        <f t="shared" si="311"/>
        <v>215</v>
      </c>
      <c r="AQ121" s="1687">
        <f t="shared" si="311"/>
        <v>215</v>
      </c>
      <c r="AR121" s="1687">
        <f t="shared" si="311"/>
        <v>210.92333333333332</v>
      </c>
      <c r="AS121" s="1687">
        <f t="shared" si="311"/>
        <v>202.77</v>
      </c>
      <c r="AT121" s="1688">
        <f t="shared" si="311"/>
        <v>202.77</v>
      </c>
      <c r="AU121" s="1687">
        <f t="shared" si="311"/>
        <v>202.77</v>
      </c>
      <c r="AV121" s="1687">
        <f t="shared" si="311"/>
        <v>202.77</v>
      </c>
      <c r="AW121" s="1687">
        <f t="shared" si="311"/>
        <v>188.12</v>
      </c>
      <c r="AX121" s="1688">
        <f t="shared" si="311"/>
        <v>188.12</v>
      </c>
      <c r="AY121" s="1687">
        <f t="shared" ref="AY121:BB121" si="312">IF(ISBLANK(AY264),"",AY264)</f>
        <v>188.12</v>
      </c>
      <c r="AZ121" s="1689">
        <f t="shared" si="312"/>
        <v>188.12</v>
      </c>
      <c r="BA121" s="1689">
        <f t="shared" si="312"/>
        <v>188.12</v>
      </c>
      <c r="BB121" s="1690">
        <f t="shared" si="312"/>
        <v>188.12</v>
      </c>
      <c r="BC121" s="1529"/>
      <c r="BD121" s="1529"/>
      <c r="BE121" s="1529">
        <f t="shared" si="287"/>
        <v>94.41</v>
      </c>
      <c r="BF121" s="1529">
        <f t="shared" si="288"/>
        <v>68.426666666666662</v>
      </c>
      <c r="BG121" s="1529">
        <f t="shared" si="289"/>
        <v>55.435000000000002</v>
      </c>
      <c r="BH121" s="1529">
        <f t="shared" si="290"/>
        <v>23.034166666666668</v>
      </c>
      <c r="BI121" s="1529">
        <f t="shared" si="291"/>
        <v>85.048333333333332</v>
      </c>
      <c r="BJ121" s="1529">
        <f t="shared" si="292"/>
        <v>131.82916666666665</v>
      </c>
      <c r="BK121" s="1529">
        <f t="shared" si="293"/>
        <v>91.299166666666665</v>
      </c>
      <c r="BL121" s="1529">
        <f t="shared" si="294"/>
        <v>94.737499999999997</v>
      </c>
      <c r="BM121" s="1529">
        <f t="shared" si="295"/>
        <v>175.41666666666666</v>
      </c>
      <c r="BN121" s="1529">
        <f t="shared" si="296"/>
        <v>207.86583333333331</v>
      </c>
      <c r="BO121" s="1529">
        <f t="shared" si="297"/>
        <v>195.44500000000002</v>
      </c>
      <c r="BP121" s="1529">
        <f t="shared" si="298"/>
        <v>188.12</v>
      </c>
      <c r="BQ121" s="1529"/>
      <c r="BR121" s="1587"/>
      <c r="BS121" s="1477"/>
      <c r="BV121" s="1444"/>
      <c r="BW121" s="1443"/>
      <c r="BX121" s="1443"/>
      <c r="BY121" s="1443"/>
    </row>
    <row r="122" spans="1:77" ht="12.75" customHeight="1">
      <c r="A122" s="1445"/>
      <c r="B122" s="1446"/>
      <c r="C122" s="1649" t="s">
        <v>830</v>
      </c>
      <c r="D122" s="1649"/>
      <c r="E122" s="1649"/>
      <c r="F122" s="1651"/>
      <c r="G122" s="1677" t="str">
        <f t="shared" ref="G122:AX122" si="313">IF(ISBLANK(G265),"",G265)</f>
        <v/>
      </c>
      <c r="H122" s="1678" t="str">
        <f t="shared" si="313"/>
        <v/>
      </c>
      <c r="I122" s="1678" t="str">
        <f t="shared" si="313"/>
        <v/>
      </c>
      <c r="J122" s="1679" t="str">
        <f t="shared" si="313"/>
        <v/>
      </c>
      <c r="K122" s="1677" t="str">
        <f t="shared" si="313"/>
        <v/>
      </c>
      <c r="L122" s="1678" t="str">
        <f t="shared" si="313"/>
        <v/>
      </c>
      <c r="M122" s="1678" t="str">
        <f t="shared" si="313"/>
        <v/>
      </c>
      <c r="N122" s="1679" t="str">
        <f t="shared" si="313"/>
        <v/>
      </c>
      <c r="O122" s="1684">
        <f t="shared" si="313"/>
        <v>110</v>
      </c>
      <c r="P122" s="1685">
        <f t="shared" si="313"/>
        <v>135</v>
      </c>
      <c r="Q122" s="1685">
        <f t="shared" si="313"/>
        <v>185</v>
      </c>
      <c r="R122" s="1686">
        <f t="shared" si="313"/>
        <v>185</v>
      </c>
      <c r="S122" s="1684">
        <f t="shared" si="313"/>
        <v>185</v>
      </c>
      <c r="T122" s="1685">
        <f t="shared" si="313"/>
        <v>205</v>
      </c>
      <c r="U122" s="1685">
        <f t="shared" si="313"/>
        <v>245</v>
      </c>
      <c r="V122" s="1686">
        <f t="shared" si="313"/>
        <v>245</v>
      </c>
      <c r="W122" s="1685">
        <f t="shared" si="313"/>
        <v>245</v>
      </c>
      <c r="X122" s="1685">
        <f t="shared" si="313"/>
        <v>238.33333333333334</v>
      </c>
      <c r="Y122" s="1685">
        <f t="shared" si="313"/>
        <v>225</v>
      </c>
      <c r="Z122" s="1686">
        <f t="shared" si="313"/>
        <v>225</v>
      </c>
      <c r="AA122" s="1685">
        <f t="shared" si="313"/>
        <v>225</v>
      </c>
      <c r="AB122" s="1685">
        <f t="shared" si="313"/>
        <v>205.82</v>
      </c>
      <c r="AC122" s="1685">
        <f t="shared" si="313"/>
        <v>167.46</v>
      </c>
      <c r="AD122" s="1686">
        <f t="shared" si="313"/>
        <v>167.46</v>
      </c>
      <c r="AE122" s="1685">
        <f t="shared" si="313"/>
        <v>167.46</v>
      </c>
      <c r="AF122" s="1685">
        <f t="shared" si="313"/>
        <v>184.64</v>
      </c>
      <c r="AG122" s="1685">
        <f t="shared" si="313"/>
        <v>219</v>
      </c>
      <c r="AH122" s="1686">
        <f t="shared" si="313"/>
        <v>219</v>
      </c>
      <c r="AI122" s="1687">
        <f t="shared" si="313"/>
        <v>219</v>
      </c>
      <c r="AJ122" s="1687">
        <f t="shared" si="313"/>
        <v>217.66666666666666</v>
      </c>
      <c r="AK122" s="1687">
        <f t="shared" si="313"/>
        <v>215</v>
      </c>
      <c r="AL122" s="1688">
        <f t="shared" si="313"/>
        <v>215</v>
      </c>
      <c r="AM122" s="1687">
        <f t="shared" si="313"/>
        <v>215</v>
      </c>
      <c r="AN122" s="1687">
        <f t="shared" si="313"/>
        <v>218.4733333333333</v>
      </c>
      <c r="AO122" s="1687">
        <f t="shared" si="313"/>
        <v>225.42</v>
      </c>
      <c r="AP122" s="1688">
        <f t="shared" si="313"/>
        <v>225.42</v>
      </c>
      <c r="AQ122" s="1687">
        <f t="shared" si="313"/>
        <v>225.42</v>
      </c>
      <c r="AR122" s="1687">
        <f t="shared" si="313"/>
        <v>190.27999999999997</v>
      </c>
      <c r="AS122" s="1687">
        <f t="shared" si="313"/>
        <v>120</v>
      </c>
      <c r="AT122" s="1688">
        <f t="shared" si="313"/>
        <v>120</v>
      </c>
      <c r="AU122" s="1687">
        <f t="shared" si="313"/>
        <v>120</v>
      </c>
      <c r="AV122" s="1687">
        <f t="shared" si="313"/>
        <v>142.62333333333333</v>
      </c>
      <c r="AW122" s="1687">
        <f t="shared" si="313"/>
        <v>187.87</v>
      </c>
      <c r="AX122" s="1688">
        <f t="shared" si="313"/>
        <v>187.87</v>
      </c>
      <c r="AY122" s="1687">
        <f t="shared" ref="AY122:BB122" si="314">IF(ISBLANK(AY265),"",AY265)</f>
        <v>187.87</v>
      </c>
      <c r="AZ122" s="1689">
        <f t="shared" si="314"/>
        <v>187.87</v>
      </c>
      <c r="BA122" s="1689">
        <f t="shared" si="314"/>
        <v>187.87</v>
      </c>
      <c r="BB122" s="1690">
        <f t="shared" si="314"/>
        <v>187.87</v>
      </c>
      <c r="BC122" s="1529"/>
      <c r="BD122" s="1529"/>
      <c r="BE122" s="1529">
        <f t="shared" si="287"/>
        <v>122.5</v>
      </c>
      <c r="BF122" s="1529">
        <f t="shared" si="288"/>
        <v>143.33333333333334</v>
      </c>
      <c r="BG122" s="1529">
        <f t="shared" si="289"/>
        <v>153.75</v>
      </c>
      <c r="BH122" s="1529">
        <f t="shared" si="290"/>
        <v>220</v>
      </c>
      <c r="BI122" s="1529">
        <f t="shared" si="291"/>
        <v>233.33333333333334</v>
      </c>
      <c r="BJ122" s="1529">
        <f t="shared" si="292"/>
        <v>191.435</v>
      </c>
      <c r="BK122" s="1529">
        <f t="shared" si="293"/>
        <v>197.52500000000001</v>
      </c>
      <c r="BL122" s="1529">
        <f t="shared" si="294"/>
        <v>216.66666666666666</v>
      </c>
      <c r="BM122" s="1529">
        <f t="shared" si="295"/>
        <v>221.07833333333332</v>
      </c>
      <c r="BN122" s="1529">
        <f t="shared" si="296"/>
        <v>163.92499999999998</v>
      </c>
      <c r="BO122" s="1529">
        <f t="shared" si="297"/>
        <v>159.59083333333334</v>
      </c>
      <c r="BP122" s="1529">
        <f t="shared" si="298"/>
        <v>187.87</v>
      </c>
      <c r="BQ122" s="1529"/>
      <c r="BR122" s="1587"/>
      <c r="BS122" s="1477"/>
      <c r="BV122" s="1444"/>
      <c r="BW122" s="1443"/>
      <c r="BX122" s="1443"/>
      <c r="BY122" s="1443"/>
    </row>
    <row r="123" spans="1:77" ht="12.75" customHeight="1">
      <c r="A123" s="1445"/>
      <c r="B123" s="1446"/>
      <c r="C123" s="1649" t="s">
        <v>831</v>
      </c>
      <c r="D123" s="1649"/>
      <c r="E123" s="1649"/>
      <c r="F123" s="1651"/>
      <c r="G123" s="1677" t="str">
        <f t="shared" ref="G123:AX123" si="315">IF(ISBLANK(G266),"",G266)</f>
        <v/>
      </c>
      <c r="H123" s="1678" t="str">
        <f t="shared" si="315"/>
        <v/>
      </c>
      <c r="I123" s="1678" t="str">
        <f t="shared" si="315"/>
        <v/>
      </c>
      <c r="J123" s="1679" t="str">
        <f t="shared" si="315"/>
        <v/>
      </c>
      <c r="K123" s="1677" t="str">
        <f t="shared" si="315"/>
        <v/>
      </c>
      <c r="L123" s="1678" t="str">
        <f t="shared" si="315"/>
        <v/>
      </c>
      <c r="M123" s="1678" t="str">
        <f t="shared" si="315"/>
        <v/>
      </c>
      <c r="N123" s="1679" t="str">
        <f t="shared" si="315"/>
        <v/>
      </c>
      <c r="O123" s="1684">
        <f t="shared" si="315"/>
        <v>5</v>
      </c>
      <c r="P123" s="1685">
        <f t="shared" si="315"/>
        <v>29</v>
      </c>
      <c r="Q123" s="1685">
        <f t="shared" si="315"/>
        <v>41</v>
      </c>
      <c r="R123" s="1686">
        <f t="shared" si="315"/>
        <v>31.666666666666668</v>
      </c>
      <c r="S123" s="1684">
        <f t="shared" si="315"/>
        <v>27</v>
      </c>
      <c r="T123" s="1685">
        <f t="shared" si="315"/>
        <v>101</v>
      </c>
      <c r="U123" s="1685">
        <f t="shared" si="315"/>
        <v>138</v>
      </c>
      <c r="V123" s="1686">
        <f t="shared" si="315"/>
        <v>108.66666666666667</v>
      </c>
      <c r="W123" s="1685">
        <f t="shared" si="315"/>
        <v>94</v>
      </c>
      <c r="X123" s="1691">
        <f t="shared" si="315"/>
        <v>144</v>
      </c>
      <c r="Y123" s="1691">
        <f t="shared" si="315"/>
        <v>169</v>
      </c>
      <c r="Z123" s="1681">
        <f t="shared" si="315"/>
        <v>108.38812785388127</v>
      </c>
      <c r="AA123" s="1680">
        <f t="shared" si="315"/>
        <v>78.082191780821915</v>
      </c>
      <c r="AB123" s="1680">
        <f t="shared" si="315"/>
        <v>103.83561643835614</v>
      </c>
      <c r="AC123" s="1680">
        <f t="shared" si="315"/>
        <v>116.71232876712327</v>
      </c>
      <c r="AD123" s="1681">
        <f t="shared" si="315"/>
        <v>63.452054794520535</v>
      </c>
      <c r="AE123" s="1692">
        <f t="shared" si="315"/>
        <v>36.821917808219183</v>
      </c>
      <c r="AF123" s="1692">
        <f t="shared" si="315"/>
        <v>91.61643835616438</v>
      </c>
      <c r="AG123" s="1692">
        <f t="shared" si="315"/>
        <v>119.01369863013699</v>
      </c>
      <c r="AH123" s="1693">
        <f t="shared" si="315"/>
        <v>56.109589041095887</v>
      </c>
      <c r="AI123" s="1689">
        <f t="shared" si="315"/>
        <v>24.657534246575342</v>
      </c>
      <c r="AJ123" s="1689">
        <f t="shared" si="315"/>
        <v>101.36986301369862</v>
      </c>
      <c r="AK123" s="1689">
        <f t="shared" si="315"/>
        <v>139.72602739726028</v>
      </c>
      <c r="AL123" s="1690">
        <f t="shared" si="315"/>
        <v>75.06849315068493</v>
      </c>
      <c r="AM123" s="1689">
        <f t="shared" si="315"/>
        <v>42.739726027397268</v>
      </c>
      <c r="AN123" s="1689">
        <f t="shared" si="315"/>
        <v>123.83561643835615</v>
      </c>
      <c r="AO123" s="1689">
        <f t="shared" si="315"/>
        <v>164.38356164383561</v>
      </c>
      <c r="AP123" s="1690">
        <f t="shared" si="315"/>
        <v>83.287671232876704</v>
      </c>
      <c r="AQ123" s="1689">
        <f t="shared" si="315"/>
        <v>42.739726027397268</v>
      </c>
      <c r="AR123" s="1689">
        <f t="shared" si="315"/>
        <v>123.83561643835615</v>
      </c>
      <c r="AS123" s="1689">
        <f t="shared" si="315"/>
        <v>164.38356164383561</v>
      </c>
      <c r="AT123" s="1690">
        <f t="shared" si="315"/>
        <v>83.287671232876704</v>
      </c>
      <c r="AU123" s="1689">
        <f t="shared" si="315"/>
        <v>42.739726027397268</v>
      </c>
      <c r="AV123" s="1689">
        <f t="shared" si="315"/>
        <v>123.83561643835615</v>
      </c>
      <c r="AW123" s="1689">
        <f t="shared" si="315"/>
        <v>164.38356164383561</v>
      </c>
      <c r="AX123" s="1690">
        <f t="shared" si="315"/>
        <v>83.287671232876704</v>
      </c>
      <c r="AY123" s="1689">
        <f t="shared" ref="AY123:BB123" si="316">IF(ISBLANK(AY266),"",AY266)</f>
        <v>42.739726027397268</v>
      </c>
      <c r="AZ123" s="1689">
        <f t="shared" si="316"/>
        <v>123.83561643835615</v>
      </c>
      <c r="BA123" s="1689">
        <f t="shared" si="316"/>
        <v>164.38356164383561</v>
      </c>
      <c r="BB123" s="1690">
        <f t="shared" si="316"/>
        <v>83.287671232876704</v>
      </c>
      <c r="BC123" s="1529"/>
      <c r="BD123" s="1529"/>
      <c r="BE123" s="1529">
        <f t="shared" si="287"/>
        <v>17</v>
      </c>
      <c r="BF123" s="1529">
        <f t="shared" si="288"/>
        <v>25</v>
      </c>
      <c r="BG123" s="1529">
        <f t="shared" si="289"/>
        <v>26.666666666666668</v>
      </c>
      <c r="BH123" s="1529">
        <f t="shared" si="290"/>
        <v>93.666666666666671</v>
      </c>
      <c r="BI123" s="1529">
        <f t="shared" si="291"/>
        <v>128.84703196347033</v>
      </c>
      <c r="BJ123" s="1529">
        <f t="shared" si="292"/>
        <v>90.520547945205465</v>
      </c>
      <c r="BK123" s="1529">
        <f t="shared" si="293"/>
        <v>75.890410958904113</v>
      </c>
      <c r="BL123" s="1529">
        <f t="shared" si="294"/>
        <v>85.205479452054789</v>
      </c>
      <c r="BM123" s="1529">
        <f t="shared" si="295"/>
        <v>103.56164383561642</v>
      </c>
      <c r="BN123" s="1529">
        <f t="shared" si="296"/>
        <v>103.56164383561642</v>
      </c>
      <c r="BO123" s="1529">
        <f t="shared" si="297"/>
        <v>103.56164383561642</v>
      </c>
      <c r="BP123" s="1529">
        <f t="shared" si="298"/>
        <v>103.56164383561642</v>
      </c>
      <c r="BQ123" s="1529"/>
      <c r="BR123" s="1587"/>
      <c r="BS123" s="1477"/>
      <c r="BV123" s="1444"/>
      <c r="BW123" s="1443"/>
      <c r="BX123" s="1443"/>
      <c r="BY123" s="1443"/>
    </row>
    <row r="124" spans="1:77" ht="12.75" customHeight="1">
      <c r="A124" s="1445"/>
      <c r="B124" s="1446"/>
      <c r="C124" s="1649" t="s">
        <v>832</v>
      </c>
      <c r="D124" s="1649"/>
      <c r="E124" s="1649"/>
      <c r="F124" s="1651"/>
      <c r="G124" s="1677" t="str">
        <f t="shared" ref="G124:AX124" si="317">IF(ISBLANK(G267),"",G267)</f>
        <v/>
      </c>
      <c r="H124" s="1678" t="str">
        <f t="shared" si="317"/>
        <v/>
      </c>
      <c r="I124" s="1678" t="str">
        <f t="shared" si="317"/>
        <v/>
      </c>
      <c r="J124" s="1679" t="str">
        <f t="shared" si="317"/>
        <v/>
      </c>
      <c r="K124" s="1677" t="str">
        <f t="shared" si="317"/>
        <v/>
      </c>
      <c r="L124" s="1678" t="str">
        <f t="shared" si="317"/>
        <v/>
      </c>
      <c r="M124" s="1678" t="str">
        <f t="shared" si="317"/>
        <v/>
      </c>
      <c r="N124" s="1679" t="str">
        <f t="shared" si="317"/>
        <v/>
      </c>
      <c r="O124" s="1684">
        <f t="shared" si="317"/>
        <v>89</v>
      </c>
      <c r="P124" s="1685">
        <f t="shared" si="317"/>
        <v>286.33333333333331</v>
      </c>
      <c r="Q124" s="1685">
        <f t="shared" si="317"/>
        <v>385</v>
      </c>
      <c r="R124" s="1686">
        <f t="shared" si="317"/>
        <v>227</v>
      </c>
      <c r="S124" s="1684">
        <f t="shared" si="317"/>
        <v>148</v>
      </c>
      <c r="T124" s="1685">
        <f t="shared" si="317"/>
        <v>374</v>
      </c>
      <c r="U124" s="1685">
        <f t="shared" si="317"/>
        <v>487</v>
      </c>
      <c r="V124" s="1686">
        <f t="shared" si="317"/>
        <v>326.33333333333331</v>
      </c>
      <c r="W124" s="1685">
        <f t="shared" si="317"/>
        <v>246</v>
      </c>
      <c r="X124" s="1691">
        <f t="shared" si="317"/>
        <v>437.33333333333331</v>
      </c>
      <c r="Y124" s="1691">
        <f t="shared" si="317"/>
        <v>533</v>
      </c>
      <c r="Z124" s="1681">
        <f t="shared" si="317"/>
        <v>374.05022831050229</v>
      </c>
      <c r="AA124" s="1680">
        <f t="shared" si="317"/>
        <v>294.57534246575347</v>
      </c>
      <c r="AB124" s="1680">
        <f t="shared" si="317"/>
        <v>441.20547945205482</v>
      </c>
      <c r="AC124" s="1680">
        <f t="shared" si="317"/>
        <v>514.52054794520552</v>
      </c>
      <c r="AD124" s="1681">
        <f t="shared" si="317"/>
        <v>299.28767123287673</v>
      </c>
      <c r="AE124" s="1692">
        <f t="shared" si="317"/>
        <v>191.67123287671237</v>
      </c>
      <c r="AF124" s="1692">
        <f t="shared" si="317"/>
        <v>304.76712328767127</v>
      </c>
      <c r="AG124" s="1692">
        <f t="shared" si="317"/>
        <v>361.3150684931507</v>
      </c>
      <c r="AH124" s="1693">
        <f t="shared" si="317"/>
        <v>197.15068493150685</v>
      </c>
      <c r="AI124" s="1689">
        <f t="shared" si="317"/>
        <v>115.06849315068493</v>
      </c>
      <c r="AJ124" s="1689">
        <f t="shared" si="317"/>
        <v>306.84931506849313</v>
      </c>
      <c r="AK124" s="1689">
        <f t="shared" si="317"/>
        <v>402.73972602739724</v>
      </c>
      <c r="AL124" s="1690">
        <f t="shared" si="317"/>
        <v>240.10958904109589</v>
      </c>
      <c r="AM124" s="1689">
        <f t="shared" si="317"/>
        <v>158.79452054794521</v>
      </c>
      <c r="AN124" s="1689">
        <f t="shared" si="317"/>
        <v>321.42465753424653</v>
      </c>
      <c r="AO124" s="1689">
        <f t="shared" si="317"/>
        <v>402.73972602739724</v>
      </c>
      <c r="AP124" s="1690">
        <f t="shared" si="317"/>
        <v>240.10958904109589</v>
      </c>
      <c r="AQ124" s="1689">
        <f t="shared" si="317"/>
        <v>158.79452054794521</v>
      </c>
      <c r="AR124" s="1689">
        <f t="shared" si="317"/>
        <v>321.42465753424653</v>
      </c>
      <c r="AS124" s="1689">
        <f t="shared" si="317"/>
        <v>402.73972602739724</v>
      </c>
      <c r="AT124" s="1690">
        <f t="shared" si="317"/>
        <v>240.10958904109589</v>
      </c>
      <c r="AU124" s="1689">
        <f t="shared" si="317"/>
        <v>158.79452054794521</v>
      </c>
      <c r="AV124" s="1689">
        <f t="shared" si="317"/>
        <v>321.42465753424653</v>
      </c>
      <c r="AW124" s="1689">
        <f t="shared" si="317"/>
        <v>402.73972602739724</v>
      </c>
      <c r="AX124" s="1690">
        <f t="shared" si="317"/>
        <v>240.10958904109589</v>
      </c>
      <c r="AY124" s="1689">
        <f t="shared" ref="AY124:BB124" si="318">IF(ISBLANK(AY267),"",AY267)</f>
        <v>158.79452054794521</v>
      </c>
      <c r="AZ124" s="1689">
        <f t="shared" si="318"/>
        <v>321.42465753424653</v>
      </c>
      <c r="BA124" s="1689">
        <f t="shared" si="318"/>
        <v>402.73972602739724</v>
      </c>
      <c r="BB124" s="1690">
        <f t="shared" si="318"/>
        <v>240.10958904109589</v>
      </c>
      <c r="BC124" s="1529"/>
      <c r="BD124" s="1529"/>
      <c r="BE124" s="1529">
        <f t="shared" si="287"/>
        <v>187.66666666666666</v>
      </c>
      <c r="BF124" s="1529">
        <f t="shared" si="288"/>
        <v>253.44444444444443</v>
      </c>
      <c r="BG124" s="1529">
        <f t="shared" si="289"/>
        <v>246.83333333333331</v>
      </c>
      <c r="BH124" s="1529">
        <f t="shared" si="290"/>
        <v>333.83333333333331</v>
      </c>
      <c r="BI124" s="1529">
        <f t="shared" si="291"/>
        <v>397.59589041095887</v>
      </c>
      <c r="BJ124" s="1529">
        <f t="shared" si="292"/>
        <v>387.39726027397262</v>
      </c>
      <c r="BK124" s="1529">
        <f t="shared" si="293"/>
        <v>263.72602739726034</v>
      </c>
      <c r="BL124" s="1529">
        <f t="shared" si="294"/>
        <v>266.1917808219178</v>
      </c>
      <c r="BM124" s="1529">
        <f t="shared" si="295"/>
        <v>280.76712328767121</v>
      </c>
      <c r="BN124" s="1529">
        <f t="shared" si="296"/>
        <v>280.76712328767121</v>
      </c>
      <c r="BO124" s="1529">
        <f t="shared" si="297"/>
        <v>280.76712328767121</v>
      </c>
      <c r="BP124" s="1529">
        <f t="shared" si="298"/>
        <v>280.76712328767121</v>
      </c>
      <c r="BQ124" s="1529"/>
      <c r="BR124" s="1587"/>
      <c r="BS124" s="1477"/>
      <c r="BV124" s="1444"/>
      <c r="BW124" s="1443"/>
      <c r="BX124" s="1443"/>
      <c r="BY124" s="1443"/>
    </row>
    <row r="125" spans="1:77" ht="12.75" customHeight="1">
      <c r="A125" s="1445"/>
      <c r="B125" s="1446"/>
      <c r="C125" s="1649" t="s">
        <v>685</v>
      </c>
      <c r="D125" s="1649"/>
      <c r="E125" s="1649"/>
      <c r="F125" s="1651"/>
      <c r="G125" s="1677" t="str">
        <f t="shared" ref="G125:AX125" si="319">IF(ISBLANK(G268),"",G268)</f>
        <v/>
      </c>
      <c r="H125" s="1678" t="str">
        <f t="shared" si="319"/>
        <v/>
      </c>
      <c r="I125" s="1678" t="str">
        <f t="shared" si="319"/>
        <v/>
      </c>
      <c r="J125" s="1679" t="str">
        <f t="shared" si="319"/>
        <v/>
      </c>
      <c r="K125" s="1677" t="str">
        <f t="shared" si="319"/>
        <v/>
      </c>
      <c r="L125" s="1678" t="str">
        <f t="shared" si="319"/>
        <v/>
      </c>
      <c r="M125" s="1678" t="str">
        <f t="shared" si="319"/>
        <v/>
      </c>
      <c r="N125" s="1679" t="str">
        <f t="shared" si="319"/>
        <v/>
      </c>
      <c r="O125" s="1684">
        <f t="shared" si="319"/>
        <v>110</v>
      </c>
      <c r="P125" s="1685">
        <f t="shared" si="319"/>
        <v>78.819999999999993</v>
      </c>
      <c r="Q125" s="1685">
        <f t="shared" si="319"/>
        <v>16.46</v>
      </c>
      <c r="R125" s="1686">
        <f t="shared" si="319"/>
        <v>16.46</v>
      </c>
      <c r="S125" s="1684">
        <f t="shared" si="319"/>
        <v>16.46</v>
      </c>
      <c r="T125" s="1685">
        <f t="shared" si="319"/>
        <v>20.216666666666669</v>
      </c>
      <c r="U125" s="1685">
        <f t="shared" si="319"/>
        <v>27.73</v>
      </c>
      <c r="V125" s="1686">
        <f t="shared" si="319"/>
        <v>27.73</v>
      </c>
      <c r="W125" s="1685">
        <f t="shared" si="319"/>
        <v>27.73</v>
      </c>
      <c r="X125" s="1685">
        <f t="shared" si="319"/>
        <v>60.483333333333327</v>
      </c>
      <c r="Y125" s="1685">
        <f t="shared" si="319"/>
        <v>125.99</v>
      </c>
      <c r="Z125" s="1686">
        <f t="shared" si="319"/>
        <v>125.99</v>
      </c>
      <c r="AA125" s="1685">
        <f t="shared" si="319"/>
        <v>125.99</v>
      </c>
      <c r="AB125" s="1685">
        <f t="shared" si="319"/>
        <v>129.32666666666668</v>
      </c>
      <c r="AC125" s="1685">
        <f t="shared" si="319"/>
        <v>357</v>
      </c>
      <c r="AD125" s="1686">
        <f t="shared" si="319"/>
        <v>357</v>
      </c>
      <c r="AE125" s="1685">
        <f t="shared" si="319"/>
        <v>357</v>
      </c>
      <c r="AF125" s="1685">
        <f t="shared" si="319"/>
        <v>276.07666666666665</v>
      </c>
      <c r="AG125" s="1685">
        <f t="shared" si="319"/>
        <v>114.23</v>
      </c>
      <c r="AH125" s="1686">
        <f t="shared" si="319"/>
        <v>114.23</v>
      </c>
      <c r="AI125" s="1687">
        <f t="shared" si="319"/>
        <v>114.23</v>
      </c>
      <c r="AJ125" s="1687">
        <f t="shared" si="319"/>
        <v>116.15333333333334</v>
      </c>
      <c r="AK125" s="1687">
        <f t="shared" si="319"/>
        <v>120</v>
      </c>
      <c r="AL125" s="1688">
        <f t="shared" si="319"/>
        <v>120</v>
      </c>
      <c r="AM125" s="1687">
        <f t="shared" si="319"/>
        <v>120</v>
      </c>
      <c r="AN125" s="1687">
        <f t="shared" si="319"/>
        <v>134.92333333333335</v>
      </c>
      <c r="AO125" s="1687">
        <f t="shared" si="319"/>
        <v>164.77</v>
      </c>
      <c r="AP125" s="1688">
        <f t="shared" si="319"/>
        <v>164.77</v>
      </c>
      <c r="AQ125" s="1687">
        <f t="shared" si="319"/>
        <v>164.77</v>
      </c>
      <c r="AR125" s="1687">
        <f t="shared" si="319"/>
        <v>143.18</v>
      </c>
      <c r="AS125" s="1687">
        <f t="shared" si="319"/>
        <v>100</v>
      </c>
      <c r="AT125" s="1688">
        <f t="shared" si="319"/>
        <v>100</v>
      </c>
      <c r="AU125" s="1687">
        <f t="shared" si="319"/>
        <v>100</v>
      </c>
      <c r="AV125" s="1687">
        <f t="shared" si="319"/>
        <v>100</v>
      </c>
      <c r="AW125" s="1687">
        <f t="shared" si="319"/>
        <v>76.53</v>
      </c>
      <c r="AX125" s="1688">
        <f t="shared" si="319"/>
        <v>76.53</v>
      </c>
      <c r="AY125" s="1687">
        <f t="shared" ref="AY125:BB125" si="320">IF(ISBLANK(AY268),"",AY268)</f>
        <v>76.53</v>
      </c>
      <c r="AZ125" s="1689">
        <f t="shared" si="320"/>
        <v>76.53</v>
      </c>
      <c r="BA125" s="1689">
        <f t="shared" si="320"/>
        <v>76.53</v>
      </c>
      <c r="BB125" s="1690">
        <f t="shared" si="320"/>
        <v>76.53</v>
      </c>
      <c r="BC125" s="1529"/>
      <c r="BD125" s="1529"/>
      <c r="BE125" s="1529">
        <f t="shared" si="287"/>
        <v>94.41</v>
      </c>
      <c r="BF125" s="1529">
        <f t="shared" si="288"/>
        <v>68.426666666666662</v>
      </c>
      <c r="BG125" s="1529">
        <f t="shared" si="289"/>
        <v>55.435000000000002</v>
      </c>
      <c r="BH125" s="1529">
        <f t="shared" si="290"/>
        <v>23.034166666666668</v>
      </c>
      <c r="BI125" s="1529">
        <f t="shared" si="291"/>
        <v>85.048333333333332</v>
      </c>
      <c r="BJ125" s="1529">
        <f t="shared" si="292"/>
        <v>242.32916666666665</v>
      </c>
      <c r="BK125" s="1529">
        <f t="shared" si="293"/>
        <v>215.38416666666666</v>
      </c>
      <c r="BL125" s="1529">
        <f t="shared" si="294"/>
        <v>117.59583333333333</v>
      </c>
      <c r="BM125" s="1529">
        <f t="shared" si="295"/>
        <v>146.11583333333334</v>
      </c>
      <c r="BN125" s="1529">
        <f t="shared" si="296"/>
        <v>126.98750000000001</v>
      </c>
      <c r="BO125" s="1529">
        <f t="shared" si="297"/>
        <v>88.264999999999986</v>
      </c>
      <c r="BP125" s="1529">
        <f t="shared" si="298"/>
        <v>76.53</v>
      </c>
      <c r="BQ125" s="1529"/>
      <c r="BR125" s="1476"/>
      <c r="BS125" s="1477"/>
      <c r="BV125" s="1444"/>
      <c r="BW125" s="1443"/>
      <c r="BX125" s="1443"/>
      <c r="BY125" s="1443"/>
    </row>
    <row r="126" spans="1:77" ht="12.75" customHeight="1">
      <c r="A126" s="1445"/>
      <c r="B126" s="1446"/>
      <c r="C126" s="1649" t="s">
        <v>284</v>
      </c>
      <c r="D126" s="1649"/>
      <c r="E126" s="1649"/>
      <c r="F126" s="1651"/>
      <c r="G126" s="1677" t="str">
        <f t="shared" ref="G126:AX126" si="321">IF(ISBLANK(G269),"",G269)</f>
        <v/>
      </c>
      <c r="H126" s="1678" t="str">
        <f t="shared" si="321"/>
        <v/>
      </c>
      <c r="I126" s="1678" t="str">
        <f t="shared" si="321"/>
        <v/>
      </c>
      <c r="J126" s="1679" t="str">
        <f t="shared" si="321"/>
        <v/>
      </c>
      <c r="K126" s="1677" t="str">
        <f t="shared" si="321"/>
        <v/>
      </c>
      <c r="L126" s="1678" t="str">
        <f t="shared" si="321"/>
        <v/>
      </c>
      <c r="M126" s="1678" t="str">
        <f t="shared" si="321"/>
        <v/>
      </c>
      <c r="N126" s="1679" t="str">
        <f t="shared" si="321"/>
        <v/>
      </c>
      <c r="O126" s="1684">
        <f t="shared" si="321"/>
        <v>0</v>
      </c>
      <c r="P126" s="1685">
        <f t="shared" si="321"/>
        <v>0</v>
      </c>
      <c r="Q126" s="1685">
        <f t="shared" si="321"/>
        <v>0</v>
      </c>
      <c r="R126" s="1686">
        <f t="shared" si="321"/>
        <v>0</v>
      </c>
      <c r="S126" s="1684">
        <f t="shared" si="321"/>
        <v>0.1</v>
      </c>
      <c r="T126" s="1685">
        <f t="shared" si="321"/>
        <v>0.41666666666666669</v>
      </c>
      <c r="U126" s="1685">
        <f t="shared" si="321"/>
        <v>1.05</v>
      </c>
      <c r="V126" s="1686">
        <f t="shared" si="321"/>
        <v>1.05</v>
      </c>
      <c r="W126" s="1685">
        <f t="shared" si="321"/>
        <v>1.05</v>
      </c>
      <c r="X126" s="1685">
        <f t="shared" si="321"/>
        <v>11.516666666666666</v>
      </c>
      <c r="Y126" s="1680">
        <f t="shared" si="321"/>
        <v>16.75</v>
      </c>
      <c r="Z126" s="1681">
        <f t="shared" si="321"/>
        <v>16.75</v>
      </c>
      <c r="AA126" s="1680">
        <f t="shared" si="321"/>
        <v>16.75</v>
      </c>
      <c r="AB126" s="1680">
        <f t="shared" si="321"/>
        <v>105.58333333333333</v>
      </c>
      <c r="AC126" s="1680">
        <f t="shared" si="321"/>
        <v>150</v>
      </c>
      <c r="AD126" s="1681">
        <f t="shared" si="321"/>
        <v>150</v>
      </c>
      <c r="AE126" s="1680">
        <f t="shared" si="321"/>
        <v>150</v>
      </c>
      <c r="AF126" s="1680">
        <f t="shared" si="321"/>
        <v>150</v>
      </c>
      <c r="AG126" s="1680">
        <f t="shared" si="321"/>
        <v>150</v>
      </c>
      <c r="AH126" s="1681">
        <f t="shared" si="321"/>
        <v>150</v>
      </c>
      <c r="AI126" s="1694">
        <f t="shared" si="321"/>
        <v>150</v>
      </c>
      <c r="AJ126" s="1694">
        <f t="shared" si="321"/>
        <v>150</v>
      </c>
      <c r="AK126" s="1694">
        <f t="shared" si="321"/>
        <v>150</v>
      </c>
      <c r="AL126" s="1695">
        <f t="shared" si="321"/>
        <v>150</v>
      </c>
      <c r="AM126" s="1694">
        <f t="shared" si="321"/>
        <v>150</v>
      </c>
      <c r="AN126" s="1694">
        <f t="shared" si="321"/>
        <v>150</v>
      </c>
      <c r="AO126" s="1694">
        <f t="shared" si="321"/>
        <v>150</v>
      </c>
      <c r="AP126" s="1695">
        <f t="shared" si="321"/>
        <v>150</v>
      </c>
      <c r="AQ126" s="1694">
        <f t="shared" si="321"/>
        <v>150</v>
      </c>
      <c r="AR126" s="1694">
        <f t="shared" si="321"/>
        <v>150</v>
      </c>
      <c r="AS126" s="1694">
        <f t="shared" si="321"/>
        <v>150</v>
      </c>
      <c r="AT126" s="1695">
        <f t="shared" si="321"/>
        <v>150</v>
      </c>
      <c r="AU126" s="1694">
        <f t="shared" si="321"/>
        <v>150</v>
      </c>
      <c r="AV126" s="1694">
        <f t="shared" si="321"/>
        <v>150</v>
      </c>
      <c r="AW126" s="1694">
        <f t="shared" si="321"/>
        <v>150</v>
      </c>
      <c r="AX126" s="1695">
        <f t="shared" si="321"/>
        <v>150</v>
      </c>
      <c r="AY126" s="1689">
        <f t="shared" ref="AY126:BB126" si="322">IF(ISBLANK(AY269),"",AY269)</f>
        <v>150</v>
      </c>
      <c r="AZ126" s="1689">
        <f t="shared" si="322"/>
        <v>150</v>
      </c>
      <c r="BA126" s="1689">
        <f t="shared" si="322"/>
        <v>150</v>
      </c>
      <c r="BB126" s="1690">
        <f t="shared" si="322"/>
        <v>150</v>
      </c>
      <c r="BC126" s="1529"/>
      <c r="BD126" s="1529"/>
      <c r="BE126" s="1529">
        <f t="shared" si="287"/>
        <v>0</v>
      </c>
      <c r="BF126" s="1529">
        <f t="shared" si="288"/>
        <v>0</v>
      </c>
      <c r="BG126" s="1529">
        <f t="shared" si="289"/>
        <v>0</v>
      </c>
      <c r="BH126" s="1529">
        <f t="shared" si="290"/>
        <v>0.65416666666666679</v>
      </c>
      <c r="BI126" s="1529">
        <f t="shared" si="291"/>
        <v>11.516666666666666</v>
      </c>
      <c r="BJ126" s="1529">
        <f t="shared" si="292"/>
        <v>105.58333333333333</v>
      </c>
      <c r="BK126" s="1529">
        <f t="shared" si="293"/>
        <v>150</v>
      </c>
      <c r="BL126" s="1529">
        <f t="shared" si="294"/>
        <v>150</v>
      </c>
      <c r="BM126" s="1529">
        <f t="shared" si="295"/>
        <v>150</v>
      </c>
      <c r="BN126" s="1529">
        <f t="shared" si="296"/>
        <v>150</v>
      </c>
      <c r="BO126" s="1529">
        <f t="shared" si="297"/>
        <v>150</v>
      </c>
      <c r="BP126" s="1529">
        <f t="shared" si="298"/>
        <v>150</v>
      </c>
      <c r="BQ126" s="1529"/>
      <c r="BR126" s="1476"/>
      <c r="BS126" s="1477"/>
      <c r="BV126" s="1444"/>
      <c r="BW126" s="1443"/>
      <c r="BX126" s="1443"/>
      <c r="BY126" s="1443"/>
    </row>
    <row r="127" spans="1:77" ht="12.75" customHeight="1">
      <c r="A127" s="1445"/>
      <c r="B127" s="1446"/>
      <c r="C127" s="1649" t="s">
        <v>285</v>
      </c>
      <c r="D127" s="1649"/>
      <c r="E127" s="1649"/>
      <c r="F127" s="1651"/>
      <c r="G127" s="1677" t="str">
        <f t="shared" ref="G127:AX127" si="323">IF(ISBLANK(G270),"",G270)</f>
        <v/>
      </c>
      <c r="H127" s="1678" t="str">
        <f t="shared" si="323"/>
        <v/>
      </c>
      <c r="I127" s="1678" t="str">
        <f t="shared" si="323"/>
        <v/>
      </c>
      <c r="J127" s="1679" t="str">
        <f t="shared" si="323"/>
        <v/>
      </c>
      <c r="K127" s="1677" t="str">
        <f t="shared" si="323"/>
        <v/>
      </c>
      <c r="L127" s="1678" t="str">
        <f t="shared" si="323"/>
        <v/>
      </c>
      <c r="M127" s="1678" t="str">
        <f t="shared" si="323"/>
        <v/>
      </c>
      <c r="N127" s="1679" t="str">
        <f t="shared" si="323"/>
        <v/>
      </c>
      <c r="O127" s="1684">
        <f t="shared" si="323"/>
        <v>102.54</v>
      </c>
      <c r="P127" s="1685">
        <f t="shared" si="323"/>
        <v>96.14</v>
      </c>
      <c r="Q127" s="1685">
        <f t="shared" si="323"/>
        <v>83.34</v>
      </c>
      <c r="R127" s="1686">
        <f t="shared" si="323"/>
        <v>83.34</v>
      </c>
      <c r="S127" s="1684">
        <f t="shared" si="323"/>
        <v>83.34</v>
      </c>
      <c r="T127" s="1685">
        <f t="shared" si="323"/>
        <v>83.13333333333334</v>
      </c>
      <c r="U127" s="1685">
        <f t="shared" si="323"/>
        <v>82.72</v>
      </c>
      <c r="V127" s="1686">
        <f t="shared" si="323"/>
        <v>82.72</v>
      </c>
      <c r="W127" s="1685">
        <f t="shared" si="323"/>
        <v>82.72</v>
      </c>
      <c r="X127" s="1685">
        <f t="shared" si="323"/>
        <v>86.433333333333337</v>
      </c>
      <c r="Y127" s="1685">
        <f t="shared" si="323"/>
        <v>93.86</v>
      </c>
      <c r="Z127" s="1686">
        <f t="shared" si="323"/>
        <v>93.86</v>
      </c>
      <c r="AA127" s="1685">
        <f t="shared" si="323"/>
        <v>93.86</v>
      </c>
      <c r="AB127" s="1685">
        <f t="shared" si="323"/>
        <v>96.874703196347028</v>
      </c>
      <c r="AC127" s="1685">
        <f t="shared" si="323"/>
        <v>102.9041095890411</v>
      </c>
      <c r="AD127" s="1686">
        <f t="shared" si="323"/>
        <v>102.9041095890411</v>
      </c>
      <c r="AE127" s="1685">
        <f t="shared" si="323"/>
        <v>103</v>
      </c>
      <c r="AF127" s="1685">
        <f t="shared" si="323"/>
        <v>98.89</v>
      </c>
      <c r="AG127" s="1685">
        <f t="shared" si="323"/>
        <v>94.78</v>
      </c>
      <c r="AH127" s="1686">
        <f t="shared" si="323"/>
        <v>94.78</v>
      </c>
      <c r="AI127" s="1687">
        <f t="shared" si="323"/>
        <v>94.78</v>
      </c>
      <c r="AJ127" s="1687">
        <f t="shared" si="323"/>
        <v>140.17296803652968</v>
      </c>
      <c r="AK127" s="1687">
        <f t="shared" si="323"/>
        <v>230.95890410958907</v>
      </c>
      <c r="AL127" s="1688">
        <f t="shared" si="323"/>
        <v>230.95890410958907</v>
      </c>
      <c r="AM127" s="1687">
        <f t="shared" si="323"/>
        <v>230.95890410958907</v>
      </c>
      <c r="AN127" s="1687">
        <f t="shared" si="323"/>
        <v>258.63013698630141</v>
      </c>
      <c r="AO127" s="1687">
        <f t="shared" si="323"/>
        <v>313.97260273972609</v>
      </c>
      <c r="AP127" s="1688">
        <f t="shared" si="323"/>
        <v>313.97260273972609</v>
      </c>
      <c r="AQ127" s="1687">
        <f t="shared" si="323"/>
        <v>313.97260273972609</v>
      </c>
      <c r="AR127" s="1687">
        <f t="shared" si="323"/>
        <v>286.35616438356169</v>
      </c>
      <c r="AS127" s="1687">
        <f t="shared" si="323"/>
        <v>231.12328767123287</v>
      </c>
      <c r="AT127" s="1688">
        <f t="shared" si="323"/>
        <v>231.12328767123287</v>
      </c>
      <c r="AU127" s="1687">
        <f t="shared" si="323"/>
        <v>231.12328767123287</v>
      </c>
      <c r="AV127" s="1687">
        <f t="shared" si="323"/>
        <v>212.13150684931506</v>
      </c>
      <c r="AW127" s="1687">
        <f t="shared" si="323"/>
        <v>174.14794520547943</v>
      </c>
      <c r="AX127" s="1688">
        <f t="shared" si="323"/>
        <v>174.14794520547943</v>
      </c>
      <c r="AY127" s="1687">
        <f t="shared" ref="AY127:BB127" si="324">IF(ISBLANK(AY270),"",AY270)</f>
        <v>174.14794520547943</v>
      </c>
      <c r="AZ127" s="1689">
        <f t="shared" si="324"/>
        <v>174.14794520547943</v>
      </c>
      <c r="BA127" s="1689">
        <f t="shared" si="324"/>
        <v>174.14794520547943</v>
      </c>
      <c r="BB127" s="1690">
        <f t="shared" si="324"/>
        <v>174.14794520547943</v>
      </c>
      <c r="BC127" s="1529"/>
      <c r="BD127" s="1529"/>
      <c r="BE127" s="1529">
        <f t="shared" si="287"/>
        <v>99.34</v>
      </c>
      <c r="BF127" s="1529">
        <f t="shared" si="288"/>
        <v>94.006666666666661</v>
      </c>
      <c r="BG127" s="1529">
        <f t="shared" si="289"/>
        <v>91.34</v>
      </c>
      <c r="BH127" s="1529">
        <f t="shared" si="290"/>
        <v>82.978333333333339</v>
      </c>
      <c r="BI127" s="1529">
        <f t="shared" si="291"/>
        <v>89.218333333333334</v>
      </c>
      <c r="BJ127" s="1529">
        <f t="shared" si="292"/>
        <v>99.13573059360732</v>
      </c>
      <c r="BK127" s="1529">
        <f t="shared" si="293"/>
        <v>97.862499999999983</v>
      </c>
      <c r="BL127" s="1529">
        <f t="shared" si="294"/>
        <v>174.21769406392696</v>
      </c>
      <c r="BM127" s="1529">
        <f t="shared" si="295"/>
        <v>279.38356164383566</v>
      </c>
      <c r="BN127" s="1529">
        <f t="shared" si="296"/>
        <v>265.64383561643837</v>
      </c>
      <c r="BO127" s="1529">
        <f t="shared" si="297"/>
        <v>197.8876712328767</v>
      </c>
      <c r="BP127" s="1529">
        <f t="shared" si="298"/>
        <v>174.14794520547943</v>
      </c>
      <c r="BQ127" s="1529"/>
      <c r="BR127" s="1476"/>
      <c r="BS127" s="1477"/>
      <c r="BV127" s="1444"/>
      <c r="BW127" s="1443"/>
      <c r="BX127" s="1443"/>
      <c r="BY127" s="1443"/>
    </row>
    <row r="128" spans="1:77" ht="12.75" customHeight="1">
      <c r="A128" s="1445"/>
      <c r="B128" s="1446"/>
      <c r="C128" s="1649" t="s">
        <v>286</v>
      </c>
      <c r="D128" s="1649"/>
      <c r="E128" s="1649"/>
      <c r="F128" s="1651"/>
      <c r="G128" s="1677" t="str">
        <f t="shared" ref="G128:AX128" si="325">IF(ISBLANK(G271),"",G271)</f>
        <v/>
      </c>
      <c r="H128" s="1678" t="str">
        <f t="shared" si="325"/>
        <v/>
      </c>
      <c r="I128" s="1678" t="str">
        <f t="shared" si="325"/>
        <v/>
      </c>
      <c r="J128" s="1679" t="str">
        <f t="shared" si="325"/>
        <v/>
      </c>
      <c r="K128" s="1677" t="str">
        <f t="shared" si="325"/>
        <v/>
      </c>
      <c r="L128" s="1678" t="str">
        <f t="shared" si="325"/>
        <v/>
      </c>
      <c r="M128" s="1678" t="str">
        <f t="shared" si="325"/>
        <v/>
      </c>
      <c r="N128" s="1679" t="str">
        <f t="shared" si="325"/>
        <v/>
      </c>
      <c r="O128" s="1684">
        <f t="shared" si="325"/>
        <v>102.54</v>
      </c>
      <c r="P128" s="1685">
        <f t="shared" si="325"/>
        <v>96.14</v>
      </c>
      <c r="Q128" s="1685">
        <f t="shared" si="325"/>
        <v>83.34</v>
      </c>
      <c r="R128" s="1686">
        <f t="shared" si="325"/>
        <v>83.34</v>
      </c>
      <c r="S128" s="1684">
        <f t="shared" si="325"/>
        <v>83.34</v>
      </c>
      <c r="T128" s="1685">
        <f t="shared" si="325"/>
        <v>83.13333333333334</v>
      </c>
      <c r="U128" s="1685">
        <f t="shared" si="325"/>
        <v>82.72</v>
      </c>
      <c r="V128" s="1686">
        <f t="shared" si="325"/>
        <v>82.72</v>
      </c>
      <c r="W128" s="1685">
        <f t="shared" si="325"/>
        <v>82.72</v>
      </c>
      <c r="X128" s="1685">
        <f t="shared" si="325"/>
        <v>86.433333333333337</v>
      </c>
      <c r="Y128" s="1685">
        <f t="shared" si="325"/>
        <v>93.86</v>
      </c>
      <c r="Z128" s="1686">
        <f t="shared" si="325"/>
        <v>93.86</v>
      </c>
      <c r="AA128" s="1685">
        <f t="shared" si="325"/>
        <v>93.86</v>
      </c>
      <c r="AB128" s="1685">
        <f t="shared" si="325"/>
        <v>96.874703196347028</v>
      </c>
      <c r="AC128" s="1685">
        <f t="shared" si="325"/>
        <v>102.9041095890411</v>
      </c>
      <c r="AD128" s="1686">
        <f t="shared" si="325"/>
        <v>102.9041095890411</v>
      </c>
      <c r="AE128" s="1685">
        <f t="shared" si="325"/>
        <v>103</v>
      </c>
      <c r="AF128" s="1685">
        <f t="shared" si="325"/>
        <v>161</v>
      </c>
      <c r="AG128" s="1685">
        <f t="shared" si="325"/>
        <v>219</v>
      </c>
      <c r="AH128" s="1686">
        <f t="shared" si="325"/>
        <v>219</v>
      </c>
      <c r="AI128" s="1687">
        <f t="shared" si="325"/>
        <v>219</v>
      </c>
      <c r="AJ128" s="1687">
        <f t="shared" si="325"/>
        <v>310.38356164383561</v>
      </c>
      <c r="AK128" s="1687">
        <f t="shared" si="325"/>
        <v>493.15068493150687</v>
      </c>
      <c r="AL128" s="1688">
        <f t="shared" si="325"/>
        <v>493.15068493150687</v>
      </c>
      <c r="AM128" s="1687">
        <f t="shared" si="325"/>
        <v>493.15068493150687</v>
      </c>
      <c r="AN128" s="1687">
        <f t="shared" si="325"/>
        <v>433.42465753424653</v>
      </c>
      <c r="AO128" s="1687">
        <f t="shared" si="325"/>
        <v>313.97260273972609</v>
      </c>
      <c r="AP128" s="1688">
        <f t="shared" si="325"/>
        <v>313.97260273972609</v>
      </c>
      <c r="AQ128" s="1687">
        <f t="shared" si="325"/>
        <v>313.97260273972609</v>
      </c>
      <c r="AR128" s="1687">
        <f t="shared" si="325"/>
        <v>286.35616438356169</v>
      </c>
      <c r="AS128" s="1687">
        <f t="shared" si="325"/>
        <v>231.12328767123287</v>
      </c>
      <c r="AT128" s="1688">
        <f t="shared" si="325"/>
        <v>231.12328767123287</v>
      </c>
      <c r="AU128" s="1687">
        <f t="shared" si="325"/>
        <v>231.12328767123287</v>
      </c>
      <c r="AV128" s="1687">
        <f t="shared" si="325"/>
        <v>212.13150684931506</v>
      </c>
      <c r="AW128" s="1687">
        <f t="shared" si="325"/>
        <v>174.14794520547943</v>
      </c>
      <c r="AX128" s="1688">
        <f t="shared" si="325"/>
        <v>174.14794520547943</v>
      </c>
      <c r="AY128" s="1687">
        <f t="shared" ref="AY128:BB128" si="326">IF(ISBLANK(AY271),"",AY271)</f>
        <v>174.14794520547943</v>
      </c>
      <c r="AZ128" s="1689">
        <f t="shared" si="326"/>
        <v>174.14794520547943</v>
      </c>
      <c r="BA128" s="1689">
        <f t="shared" si="326"/>
        <v>174.14794520547943</v>
      </c>
      <c r="BB128" s="1690">
        <f t="shared" si="326"/>
        <v>174.14794520547943</v>
      </c>
      <c r="BC128" s="1529"/>
      <c r="BD128" s="1529"/>
      <c r="BE128" s="1529">
        <f t="shared" si="287"/>
        <v>99.34</v>
      </c>
      <c r="BF128" s="1529">
        <f t="shared" si="288"/>
        <v>94.006666666666661</v>
      </c>
      <c r="BG128" s="1529">
        <f t="shared" si="289"/>
        <v>91.34</v>
      </c>
      <c r="BH128" s="1529">
        <f t="shared" si="290"/>
        <v>82.978333333333339</v>
      </c>
      <c r="BI128" s="1529">
        <f t="shared" si="291"/>
        <v>89.218333333333334</v>
      </c>
      <c r="BJ128" s="1529">
        <f t="shared" si="292"/>
        <v>99.13573059360732</v>
      </c>
      <c r="BK128" s="1529">
        <f t="shared" si="293"/>
        <v>175.5</v>
      </c>
      <c r="BL128" s="1529">
        <f t="shared" si="294"/>
        <v>378.92123287671234</v>
      </c>
      <c r="BM128" s="1529">
        <f t="shared" si="295"/>
        <v>388.63013698630141</v>
      </c>
      <c r="BN128" s="1529">
        <f t="shared" si="296"/>
        <v>265.64383561643837</v>
      </c>
      <c r="BO128" s="1529">
        <f t="shared" si="297"/>
        <v>197.8876712328767</v>
      </c>
      <c r="BP128" s="1529">
        <f t="shared" si="298"/>
        <v>174.14794520547943</v>
      </c>
      <c r="BQ128" s="1529"/>
      <c r="BR128" s="1476"/>
      <c r="BS128" s="1477"/>
      <c r="BV128" s="1444"/>
      <c r="BW128" s="1443"/>
      <c r="BX128" s="1443"/>
      <c r="BY128" s="1443"/>
    </row>
    <row r="129" spans="1:77" ht="12.75" customHeight="1">
      <c r="A129" s="1445"/>
      <c r="B129" s="1446"/>
      <c r="C129" s="1649"/>
      <c r="D129" s="1649"/>
      <c r="E129" s="1649"/>
      <c r="F129" s="1651"/>
      <c r="G129" s="1677" t="str">
        <f t="shared" ref="G129:AX129" si="327">IF(ISBLANK(G272),"",G272)</f>
        <v/>
      </c>
      <c r="H129" s="1678" t="str">
        <f t="shared" si="327"/>
        <v/>
      </c>
      <c r="I129" s="1678" t="str">
        <f t="shared" si="327"/>
        <v/>
      </c>
      <c r="J129" s="1679" t="str">
        <f t="shared" si="327"/>
        <v/>
      </c>
      <c r="K129" s="1653" t="str">
        <f t="shared" si="327"/>
        <v/>
      </c>
      <c r="L129" s="1678" t="str">
        <f t="shared" si="327"/>
        <v/>
      </c>
      <c r="M129" s="1678" t="str">
        <f t="shared" si="327"/>
        <v/>
      </c>
      <c r="N129" s="1679" t="str">
        <f t="shared" si="327"/>
        <v/>
      </c>
      <c r="O129" s="1677">
        <f t="shared" si="327"/>
        <v>5</v>
      </c>
      <c r="P129" s="1678">
        <f t="shared" si="327"/>
        <v>29</v>
      </c>
      <c r="Q129" s="1678">
        <f t="shared" si="327"/>
        <v>41</v>
      </c>
      <c r="R129" s="1681">
        <f t="shared" si="327"/>
        <v>31.666666666666668</v>
      </c>
      <c r="S129" s="1682">
        <f t="shared" si="327"/>
        <v>27</v>
      </c>
      <c r="T129" s="1680">
        <f t="shared" si="327"/>
        <v>101</v>
      </c>
      <c r="U129" s="1680">
        <f t="shared" si="327"/>
        <v>138</v>
      </c>
      <c r="V129" s="1681">
        <f t="shared" si="327"/>
        <v>108.66666666666667</v>
      </c>
      <c r="W129" s="1680">
        <f t="shared" si="327"/>
        <v>246</v>
      </c>
      <c r="X129" s="1680">
        <f t="shared" si="327"/>
        <v>300.30136986301369</v>
      </c>
      <c r="Y129" s="1680">
        <f t="shared" si="327"/>
        <v>327.45205479452056</v>
      </c>
      <c r="Z129" s="1681">
        <f t="shared" si="327"/>
        <v>238.46575342465755</v>
      </c>
      <c r="AA129" s="1680">
        <f t="shared" si="327"/>
        <v>193.97260273972606</v>
      </c>
      <c r="AB129" s="1680">
        <f t="shared" si="327"/>
        <v>250.95890410958904</v>
      </c>
      <c r="AC129" s="1680">
        <f t="shared" si="327"/>
        <v>279.45205479452056</v>
      </c>
      <c r="AD129" s="1681">
        <f t="shared" si="327"/>
        <v>174.90410958904107</v>
      </c>
      <c r="AE129" s="1680">
        <f t="shared" si="327"/>
        <v>122.63013698630137</v>
      </c>
      <c r="AF129" s="1680">
        <f t="shared" si="327"/>
        <v>221.69863013698631</v>
      </c>
      <c r="AG129" s="1680">
        <f t="shared" si="327"/>
        <v>271.23287671232879</v>
      </c>
      <c r="AH129" s="1681">
        <f t="shared" si="327"/>
        <v>167.12328767123287</v>
      </c>
      <c r="AI129" s="1691">
        <f t="shared" si="327"/>
        <v>115.06849315068493</v>
      </c>
      <c r="AJ129" s="1691">
        <f t="shared" si="327"/>
        <v>219.17808219178082</v>
      </c>
      <c r="AK129" s="1691">
        <f t="shared" si="327"/>
        <v>271.23287671232879</v>
      </c>
      <c r="AL129" s="1696">
        <f t="shared" si="327"/>
        <v>167.12328767123287</v>
      </c>
      <c r="AM129" s="1691">
        <f t="shared" si="327"/>
        <v>115.06849315068493</v>
      </c>
      <c r="AN129" s="1691">
        <f t="shared" si="327"/>
        <v>219.17808219178082</v>
      </c>
      <c r="AO129" s="1691">
        <f t="shared" si="327"/>
        <v>271.23287671232879</v>
      </c>
      <c r="AP129" s="1696">
        <f t="shared" si="327"/>
        <v>167.12328767123287</v>
      </c>
      <c r="AQ129" s="1691">
        <f t="shared" si="327"/>
        <v>115.06849315068493</v>
      </c>
      <c r="AR129" s="1691">
        <f t="shared" si="327"/>
        <v>219.17808219178082</v>
      </c>
      <c r="AS129" s="1691">
        <f t="shared" si="327"/>
        <v>271.23287671232879</v>
      </c>
      <c r="AT129" s="1696">
        <f t="shared" si="327"/>
        <v>167.12328767123287</v>
      </c>
      <c r="AU129" s="1691">
        <f t="shared" si="327"/>
        <v>115.06849315068493</v>
      </c>
      <c r="AV129" s="1691">
        <f t="shared" si="327"/>
        <v>219.17808219178082</v>
      </c>
      <c r="AW129" s="1691">
        <f t="shared" si="327"/>
        <v>271.23287671232879</v>
      </c>
      <c r="AX129" s="1696">
        <f t="shared" si="327"/>
        <v>167.12328767123287</v>
      </c>
      <c r="AY129" s="1692">
        <f t="shared" ref="AY129:BB129" si="328">(AY124+AY123)/2</f>
        <v>100.76712328767124</v>
      </c>
      <c r="AZ129" s="1692">
        <f t="shared" si="328"/>
        <v>222.63013698630135</v>
      </c>
      <c r="BA129" s="1692">
        <f t="shared" si="328"/>
        <v>283.56164383561645</v>
      </c>
      <c r="BB129" s="1693">
        <f t="shared" si="328"/>
        <v>161.69863013698631</v>
      </c>
      <c r="BC129" s="1529"/>
      <c r="BD129" s="1529"/>
      <c r="BE129" s="1529">
        <f t="shared" si="287"/>
        <v>17</v>
      </c>
      <c r="BF129" s="1529">
        <f t="shared" si="288"/>
        <v>25</v>
      </c>
      <c r="BG129" s="1529">
        <f t="shared" si="289"/>
        <v>26.666666666666668</v>
      </c>
      <c r="BH129" s="1529">
        <f t="shared" si="290"/>
        <v>93.666666666666671</v>
      </c>
      <c r="BI129" s="1529">
        <f t="shared" si="291"/>
        <v>278.05479452054794</v>
      </c>
      <c r="BJ129" s="1529">
        <f t="shared" si="292"/>
        <v>224.82191780821921</v>
      </c>
      <c r="BK129" s="1529">
        <f t="shared" si="293"/>
        <v>195.67123287671234</v>
      </c>
      <c r="BL129" s="1529">
        <f t="shared" si="294"/>
        <v>193.15068493150687</v>
      </c>
      <c r="BM129" s="1529">
        <f t="shared" si="295"/>
        <v>193.15068493150687</v>
      </c>
      <c r="BN129" s="1529">
        <f t="shared" si="296"/>
        <v>193.15068493150687</v>
      </c>
      <c r="BO129" s="1529">
        <f t="shared" si="297"/>
        <v>193.15068493150687</v>
      </c>
      <c r="BP129" s="1529">
        <f t="shared" si="298"/>
        <v>192.16438356164383</v>
      </c>
      <c r="BQ129" s="1529"/>
      <c r="BR129" s="1476"/>
      <c r="BS129" s="1477"/>
      <c r="BV129" s="1444"/>
      <c r="BW129" s="1443"/>
      <c r="BX129" s="1443"/>
      <c r="BY129" s="1443"/>
    </row>
    <row r="130" spans="1:77" ht="12.75" customHeight="1">
      <c r="A130" s="1445"/>
      <c r="B130" s="1446"/>
      <c r="C130" s="1649"/>
      <c r="D130" s="1649"/>
      <c r="E130" s="1649"/>
      <c r="F130" s="1651"/>
      <c r="G130" s="1653" t="str">
        <f t="shared" ref="G130:AX130" si="329">IF(ISBLANK(G273),"",G273)</f>
        <v/>
      </c>
      <c r="H130" s="1654" t="str">
        <f t="shared" si="329"/>
        <v/>
      </c>
      <c r="I130" s="1654" t="str">
        <f t="shared" si="329"/>
        <v/>
      </c>
      <c r="J130" s="1655" t="str">
        <f t="shared" si="329"/>
        <v/>
      </c>
      <c r="K130" s="1677" t="str">
        <f t="shared" si="329"/>
        <v/>
      </c>
      <c r="L130" s="1654" t="str">
        <f t="shared" si="329"/>
        <v/>
      </c>
      <c r="M130" s="1654" t="str">
        <f t="shared" si="329"/>
        <v/>
      </c>
      <c r="N130" s="1655" t="str">
        <f t="shared" si="329"/>
        <v/>
      </c>
      <c r="O130" s="1653">
        <f t="shared" si="329"/>
        <v>102.54</v>
      </c>
      <c r="P130" s="1654">
        <f t="shared" si="329"/>
        <v>96.14</v>
      </c>
      <c r="Q130" s="1654">
        <f t="shared" si="329"/>
        <v>83.34</v>
      </c>
      <c r="R130" s="1658">
        <f t="shared" si="329"/>
        <v>83.34</v>
      </c>
      <c r="S130" s="1682">
        <f t="shared" si="329"/>
        <v>83.34</v>
      </c>
      <c r="T130" s="1680">
        <f t="shared" si="329"/>
        <v>83.13333333333334</v>
      </c>
      <c r="U130" s="1680">
        <f t="shared" si="329"/>
        <v>82.72</v>
      </c>
      <c r="V130" s="1681">
        <f t="shared" si="329"/>
        <v>82.72</v>
      </c>
      <c r="W130" s="1680">
        <f t="shared" si="329"/>
        <v>82.72</v>
      </c>
      <c r="X130" s="1680">
        <f t="shared" si="329"/>
        <v>86.433333333333337</v>
      </c>
      <c r="Y130" s="1680">
        <f t="shared" si="329"/>
        <v>93.86</v>
      </c>
      <c r="Z130" s="1681">
        <f t="shared" si="329"/>
        <v>93.86</v>
      </c>
      <c r="AA130" s="1680">
        <f t="shared" si="329"/>
        <v>93.86</v>
      </c>
      <c r="AB130" s="1680">
        <f t="shared" si="329"/>
        <v>96.874703196347028</v>
      </c>
      <c r="AC130" s="1680">
        <f t="shared" si="329"/>
        <v>102.9041095890411</v>
      </c>
      <c r="AD130" s="1681">
        <f t="shared" si="329"/>
        <v>102.9041095890411</v>
      </c>
      <c r="AE130" s="1680">
        <f t="shared" si="329"/>
        <v>103</v>
      </c>
      <c r="AF130" s="1680">
        <f t="shared" si="329"/>
        <v>98.736666666666665</v>
      </c>
      <c r="AG130" s="1680">
        <f t="shared" si="329"/>
        <v>90.21</v>
      </c>
      <c r="AH130" s="1681">
        <f t="shared" si="329"/>
        <v>90.21</v>
      </c>
      <c r="AI130" s="1691">
        <f t="shared" si="329"/>
        <v>90.21</v>
      </c>
      <c r="AJ130" s="1691">
        <f t="shared" si="329"/>
        <v>137.126301369863</v>
      </c>
      <c r="AK130" s="1691">
        <f t="shared" si="329"/>
        <v>230.95890410958907</v>
      </c>
      <c r="AL130" s="1696">
        <f t="shared" si="329"/>
        <v>230.95890410958907</v>
      </c>
      <c r="AM130" s="1691">
        <f t="shared" si="329"/>
        <v>230.95890410958907</v>
      </c>
      <c r="AN130" s="1691">
        <f t="shared" si="329"/>
        <v>275.39726027397262</v>
      </c>
      <c r="AO130" s="1691">
        <f t="shared" si="329"/>
        <v>364.27397260273972</v>
      </c>
      <c r="AP130" s="1696">
        <f t="shared" si="329"/>
        <v>364.27397260273972</v>
      </c>
      <c r="AQ130" s="1691">
        <f t="shared" si="329"/>
        <v>364.27397260273972</v>
      </c>
      <c r="AR130" s="1691">
        <f t="shared" si="329"/>
        <v>319.89041095890411</v>
      </c>
      <c r="AS130" s="1691">
        <f t="shared" si="329"/>
        <v>231.12328767123287</v>
      </c>
      <c r="AT130" s="1696">
        <f t="shared" si="329"/>
        <v>231.12328767123287</v>
      </c>
      <c r="AU130" s="1691">
        <f t="shared" si="329"/>
        <v>231.12328767123287</v>
      </c>
      <c r="AV130" s="1691">
        <f t="shared" si="329"/>
        <v>212.13150684931506</v>
      </c>
      <c r="AW130" s="1691">
        <f t="shared" si="329"/>
        <v>174.14794520547943</v>
      </c>
      <c r="AX130" s="1696">
        <f t="shared" si="329"/>
        <v>174.14794520547943</v>
      </c>
      <c r="AY130" s="1692">
        <f t="shared" ref="AY130:BB130" si="330">IF(ISBLANK(AY273),"",AY273)</f>
        <v>174.14794520547943</v>
      </c>
      <c r="AZ130" s="1692">
        <f t="shared" si="330"/>
        <v>174.14794520547943</v>
      </c>
      <c r="BA130" s="1692">
        <f t="shared" si="330"/>
        <v>174.14794520547943</v>
      </c>
      <c r="BB130" s="1693">
        <f t="shared" si="330"/>
        <v>174.14794520547943</v>
      </c>
      <c r="BC130" s="1494"/>
      <c r="BD130" s="1494"/>
      <c r="BE130" s="1494"/>
      <c r="BF130" s="1494"/>
      <c r="BG130" s="1494"/>
      <c r="BH130" s="1494"/>
      <c r="BI130" s="1494"/>
      <c r="BJ130" s="1494"/>
      <c r="BK130" s="1494"/>
      <c r="BL130" s="1494"/>
      <c r="BM130" s="1494"/>
      <c r="BN130" s="1494"/>
      <c r="BO130" s="1494"/>
      <c r="BP130" s="1494"/>
      <c r="BQ130" s="1494"/>
      <c r="BR130" s="1476"/>
      <c r="BS130" s="1477"/>
      <c r="BV130" s="1444"/>
      <c r="BW130" s="1443"/>
      <c r="BX130" s="1443"/>
      <c r="BY130" s="1443"/>
    </row>
    <row r="131" spans="1:77" ht="12.75" customHeight="1">
      <c r="A131" s="1445"/>
      <c r="B131" s="1446"/>
      <c r="C131" s="1661" t="s">
        <v>910</v>
      </c>
      <c r="D131" s="1550"/>
      <c r="E131" s="1550"/>
      <c r="F131" s="1512"/>
      <c r="G131" s="1677" t="str">
        <f t="shared" ref="G131:AX131" si="331">IF(ISBLANK(G274),"",G274)</f>
        <v/>
      </c>
      <c r="H131" s="1678" t="str">
        <f t="shared" si="331"/>
        <v/>
      </c>
      <c r="I131" s="1678" t="str">
        <f t="shared" si="331"/>
        <v/>
      </c>
      <c r="J131" s="1679" t="str">
        <f t="shared" si="331"/>
        <v/>
      </c>
      <c r="K131" s="1677" t="str">
        <f t="shared" si="331"/>
        <v/>
      </c>
      <c r="L131" s="1678" t="str">
        <f t="shared" si="331"/>
        <v/>
      </c>
      <c r="M131" s="1678" t="str">
        <f t="shared" si="331"/>
        <v/>
      </c>
      <c r="N131" s="1679" t="str">
        <f t="shared" si="331"/>
        <v/>
      </c>
      <c r="O131" s="1677" t="str">
        <f t="shared" si="331"/>
        <v/>
      </c>
      <c r="P131" s="1678" t="str">
        <f t="shared" si="331"/>
        <v/>
      </c>
      <c r="Q131" s="1678" t="str">
        <f t="shared" si="331"/>
        <v/>
      </c>
      <c r="R131" s="1681" t="str">
        <f t="shared" si="331"/>
        <v/>
      </c>
      <c r="S131" s="1682" t="str">
        <f t="shared" si="331"/>
        <v/>
      </c>
      <c r="T131" s="1680" t="str">
        <f t="shared" si="331"/>
        <v/>
      </c>
      <c r="U131" s="1680" t="str">
        <f t="shared" si="331"/>
        <v/>
      </c>
      <c r="V131" s="1681" t="str">
        <f t="shared" si="331"/>
        <v/>
      </c>
      <c r="W131" s="1680" t="str">
        <f t="shared" si="331"/>
        <v/>
      </c>
      <c r="X131" s="1680" t="str">
        <f t="shared" si="331"/>
        <v/>
      </c>
      <c r="Y131" s="1680" t="str">
        <f t="shared" si="331"/>
        <v/>
      </c>
      <c r="Z131" s="1681" t="str">
        <f t="shared" si="331"/>
        <v/>
      </c>
      <c r="AA131" s="1680" t="str">
        <f t="shared" si="331"/>
        <v/>
      </c>
      <c r="AB131" s="1680" t="str">
        <f t="shared" si="331"/>
        <v/>
      </c>
      <c r="AC131" s="1680" t="str">
        <f t="shared" si="331"/>
        <v/>
      </c>
      <c r="AD131" s="1681" t="str">
        <f t="shared" si="331"/>
        <v/>
      </c>
      <c r="AE131" s="1680" t="str">
        <f t="shared" si="331"/>
        <v/>
      </c>
      <c r="AF131" s="1680" t="str">
        <f t="shared" si="331"/>
        <v/>
      </c>
      <c r="AG131" s="1680" t="str">
        <f t="shared" si="331"/>
        <v/>
      </c>
      <c r="AH131" s="1681" t="str">
        <f t="shared" si="331"/>
        <v/>
      </c>
      <c r="AI131" s="1691" t="str">
        <f t="shared" si="331"/>
        <v/>
      </c>
      <c r="AJ131" s="1691" t="str">
        <f t="shared" si="331"/>
        <v/>
      </c>
      <c r="AK131" s="1691" t="str">
        <f t="shared" si="331"/>
        <v/>
      </c>
      <c r="AL131" s="1696" t="str">
        <f t="shared" si="331"/>
        <v/>
      </c>
      <c r="AM131" s="1691" t="str">
        <f t="shared" si="331"/>
        <v/>
      </c>
      <c r="AN131" s="1691" t="str">
        <f t="shared" si="331"/>
        <v/>
      </c>
      <c r="AO131" s="1691" t="str">
        <f t="shared" si="331"/>
        <v/>
      </c>
      <c r="AP131" s="1696" t="str">
        <f t="shared" si="331"/>
        <v/>
      </c>
      <c r="AQ131" s="1691" t="str">
        <f t="shared" si="331"/>
        <v/>
      </c>
      <c r="AR131" s="1691" t="str">
        <f t="shared" si="331"/>
        <v/>
      </c>
      <c r="AS131" s="1691" t="str">
        <f t="shared" si="331"/>
        <v/>
      </c>
      <c r="AT131" s="1696" t="str">
        <f t="shared" si="331"/>
        <v/>
      </c>
      <c r="AU131" s="1691" t="str">
        <f t="shared" si="331"/>
        <v/>
      </c>
      <c r="AV131" s="1691" t="str">
        <f t="shared" si="331"/>
        <v/>
      </c>
      <c r="AW131" s="1691" t="str">
        <f t="shared" si="331"/>
        <v/>
      </c>
      <c r="AX131" s="1696" t="str">
        <f t="shared" si="331"/>
        <v/>
      </c>
      <c r="AY131" s="1692" t="str">
        <f t="shared" ref="AY131:BB131" si="332">IF(ISBLANK(AY274),"",AY274)</f>
        <v/>
      </c>
      <c r="AZ131" s="1692" t="str">
        <f t="shared" si="332"/>
        <v/>
      </c>
      <c r="BA131" s="1692" t="str">
        <f t="shared" si="332"/>
        <v/>
      </c>
      <c r="BB131" s="1693" t="str">
        <f t="shared" si="332"/>
        <v/>
      </c>
      <c r="BC131" s="1529"/>
      <c r="BD131" s="1529"/>
      <c r="BE131" s="1529"/>
      <c r="BF131" s="1529"/>
      <c r="BG131" s="1529"/>
      <c r="BH131" s="1529"/>
      <c r="BI131" s="1529"/>
      <c r="BJ131" s="1529"/>
      <c r="BK131" s="1529"/>
      <c r="BL131" s="1529"/>
      <c r="BM131" s="1529"/>
      <c r="BN131" s="1529"/>
      <c r="BO131" s="1529"/>
      <c r="BP131" s="1529"/>
      <c r="BQ131" s="1529"/>
      <c r="BR131" s="1476"/>
      <c r="BS131" s="1477"/>
      <c r="BV131" s="1444"/>
      <c r="BW131" s="1443"/>
      <c r="BX131" s="1443"/>
      <c r="BY131" s="1443"/>
    </row>
    <row r="132" spans="1:77" ht="12.75" customHeight="1">
      <c r="A132" s="1445"/>
      <c r="B132" s="1446"/>
      <c r="C132" s="1649" t="s">
        <v>833</v>
      </c>
      <c r="D132" s="1649"/>
      <c r="E132" s="1649"/>
      <c r="F132" s="1651"/>
      <c r="G132" s="1677" t="str">
        <f t="shared" ref="G132:AX132" si="333">IF(ISBLANK(G275),"",G275)</f>
        <v/>
      </c>
      <c r="H132" s="1678" t="str">
        <f t="shared" si="333"/>
        <v/>
      </c>
      <c r="I132" s="1678" t="str">
        <f t="shared" si="333"/>
        <v/>
      </c>
      <c r="J132" s="1679" t="str">
        <f t="shared" si="333"/>
        <v/>
      </c>
      <c r="K132" s="1677" t="str">
        <f t="shared" si="333"/>
        <v/>
      </c>
      <c r="L132" s="1680" t="str">
        <f t="shared" si="333"/>
        <v/>
      </c>
      <c r="M132" s="1680" t="str">
        <f t="shared" si="333"/>
        <v/>
      </c>
      <c r="N132" s="1681" t="str">
        <f t="shared" si="333"/>
        <v/>
      </c>
      <c r="O132" s="1682" t="str">
        <f t="shared" si="333"/>
        <v/>
      </c>
      <c r="P132" s="1680" t="str">
        <f t="shared" si="333"/>
        <v/>
      </c>
      <c r="Q132" s="1680" t="str">
        <f t="shared" si="333"/>
        <v/>
      </c>
      <c r="R132" s="1681" t="str">
        <f t="shared" si="333"/>
        <v/>
      </c>
      <c r="S132" s="1682">
        <f t="shared" si="333"/>
        <v>0</v>
      </c>
      <c r="T132" s="1680">
        <f t="shared" si="333"/>
        <v>0</v>
      </c>
      <c r="U132" s="1680">
        <f t="shared" si="333"/>
        <v>0</v>
      </c>
      <c r="V132" s="1681">
        <f t="shared" si="333"/>
        <v>0</v>
      </c>
      <c r="W132" s="1680">
        <f t="shared" si="333"/>
        <v>0</v>
      </c>
      <c r="X132" s="1680">
        <f t="shared" si="333"/>
        <v>0</v>
      </c>
      <c r="Y132" s="1680">
        <f t="shared" si="333"/>
        <v>0</v>
      </c>
      <c r="Z132" s="1681">
        <f t="shared" si="333"/>
        <v>0</v>
      </c>
      <c r="AA132" s="1680">
        <f t="shared" si="333"/>
        <v>0</v>
      </c>
      <c r="AB132" s="1680">
        <f t="shared" si="333"/>
        <v>0</v>
      </c>
      <c r="AC132" s="1680">
        <f t="shared" si="333"/>
        <v>0</v>
      </c>
      <c r="AD132" s="1681">
        <f t="shared" si="333"/>
        <v>0</v>
      </c>
      <c r="AE132" s="1680">
        <f t="shared" si="333"/>
        <v>0</v>
      </c>
      <c r="AF132" s="1680">
        <f t="shared" si="333"/>
        <v>0</v>
      </c>
      <c r="AG132" s="1680">
        <f t="shared" si="333"/>
        <v>0</v>
      </c>
      <c r="AH132" s="1681">
        <f t="shared" si="333"/>
        <v>0</v>
      </c>
      <c r="AI132" s="1680">
        <f t="shared" si="333"/>
        <v>0</v>
      </c>
      <c r="AJ132" s="1680">
        <f t="shared" si="333"/>
        <v>0</v>
      </c>
      <c r="AK132" s="1680">
        <f t="shared" si="333"/>
        <v>0</v>
      </c>
      <c r="AL132" s="1681">
        <f t="shared" si="333"/>
        <v>0</v>
      </c>
      <c r="AM132" s="1680">
        <f t="shared" si="333"/>
        <v>0</v>
      </c>
      <c r="AN132" s="1680">
        <f t="shared" si="333"/>
        <v>0</v>
      </c>
      <c r="AO132" s="1680">
        <f t="shared" si="333"/>
        <v>0</v>
      </c>
      <c r="AP132" s="1681">
        <f t="shared" si="333"/>
        <v>0</v>
      </c>
      <c r="AQ132" s="1680">
        <f t="shared" si="333"/>
        <v>0</v>
      </c>
      <c r="AR132" s="1680">
        <f t="shared" si="333"/>
        <v>0</v>
      </c>
      <c r="AS132" s="1680">
        <f t="shared" si="333"/>
        <v>0</v>
      </c>
      <c r="AT132" s="1681">
        <f t="shared" si="333"/>
        <v>0</v>
      </c>
      <c r="AU132" s="1680">
        <f t="shared" si="333"/>
        <v>0</v>
      </c>
      <c r="AV132" s="1680">
        <f t="shared" si="333"/>
        <v>0</v>
      </c>
      <c r="AW132" s="1680">
        <f t="shared" si="333"/>
        <v>0</v>
      </c>
      <c r="AX132" s="1681">
        <f t="shared" si="333"/>
        <v>0</v>
      </c>
      <c r="AY132" s="1692">
        <f t="shared" ref="AY132:BB132" si="334">IF(ISBLANK(AY275),"",AY275)</f>
        <v>0</v>
      </c>
      <c r="AZ132" s="1692">
        <f t="shared" si="334"/>
        <v>0</v>
      </c>
      <c r="BA132" s="1692">
        <f t="shared" si="334"/>
        <v>0</v>
      </c>
      <c r="BB132" s="1693">
        <f t="shared" si="334"/>
        <v>0</v>
      </c>
      <c r="BC132" s="1529"/>
      <c r="BD132" s="1529"/>
      <c r="BE132" s="1529">
        <f t="shared" ref="BE132:BH138" si="335">AVERAGE(P132:S132)</f>
        <v>0</v>
      </c>
      <c r="BF132" s="1529">
        <f t="shared" si="335"/>
        <v>0</v>
      </c>
      <c r="BG132" s="1529">
        <f t="shared" si="335"/>
        <v>0</v>
      </c>
      <c r="BH132" s="1529">
        <f t="shared" si="335"/>
        <v>0</v>
      </c>
      <c r="BI132" s="1529">
        <f t="shared" ref="BI132:BI138" si="336">AVERAGE(W132:Z132)</f>
        <v>0</v>
      </c>
      <c r="BJ132" s="1529">
        <f t="shared" ref="BJ132:BJ138" si="337">AVERAGE(AA132:AD132)</f>
        <v>0</v>
      </c>
      <c r="BK132" s="1529">
        <f t="shared" ref="BK132:BK138" si="338">AVERAGE(AE132:AH132)</f>
        <v>0</v>
      </c>
      <c r="BL132" s="1529">
        <f t="shared" ref="BL132:BL138" si="339">AVERAGE(AI132:AL132)</f>
        <v>0</v>
      </c>
      <c r="BM132" s="1529">
        <f t="shared" ref="BM132:BM138" si="340">AVERAGE(AM132:AP132)</f>
        <v>0</v>
      </c>
      <c r="BN132" s="1529">
        <f t="shared" ref="BN132:BN138" si="341">AVERAGE(AQ132:AT132)</f>
        <v>0</v>
      </c>
      <c r="BO132" s="1529">
        <f t="shared" ref="BO132:BO138" si="342">AVERAGE(AU132:AX132)</f>
        <v>0</v>
      </c>
      <c r="BP132" s="1529">
        <f t="shared" ref="BP132:BP138" si="343">AVERAGE(AY132:BB132)</f>
        <v>0</v>
      </c>
      <c r="BQ132" s="1529"/>
      <c r="BR132" s="1476"/>
      <c r="BS132" s="1477"/>
      <c r="BV132" s="1444"/>
      <c r="BW132" s="1443"/>
      <c r="BX132" s="1443"/>
      <c r="BY132" s="1443"/>
    </row>
    <row r="133" spans="1:77" ht="12.75" customHeight="1">
      <c r="A133" s="1445"/>
      <c r="B133" s="1446"/>
      <c r="C133" s="1649" t="s">
        <v>834</v>
      </c>
      <c r="D133" s="1649"/>
      <c r="E133" s="1649"/>
      <c r="F133" s="1651"/>
      <c r="G133" s="1677" t="str">
        <f t="shared" ref="G133:AX133" si="344">IF(ISBLANK(G276),"",G276)</f>
        <v/>
      </c>
      <c r="H133" s="1678" t="str">
        <f t="shared" si="344"/>
        <v/>
      </c>
      <c r="I133" s="1678" t="str">
        <f t="shared" si="344"/>
        <v/>
      </c>
      <c r="J133" s="1679" t="str">
        <f t="shared" si="344"/>
        <v/>
      </c>
      <c r="K133" s="1677" t="str">
        <f t="shared" si="344"/>
        <v/>
      </c>
      <c r="L133" s="1680" t="str">
        <f t="shared" si="344"/>
        <v/>
      </c>
      <c r="M133" s="1680" t="str">
        <f t="shared" si="344"/>
        <v/>
      </c>
      <c r="N133" s="1681" t="str">
        <f t="shared" si="344"/>
        <v/>
      </c>
      <c r="O133" s="1682" t="str">
        <f t="shared" si="344"/>
        <v/>
      </c>
      <c r="P133" s="1680" t="str">
        <f t="shared" si="344"/>
        <v/>
      </c>
      <c r="Q133" s="1680" t="str">
        <f t="shared" si="344"/>
        <v/>
      </c>
      <c r="R133" s="1681" t="str">
        <f t="shared" si="344"/>
        <v/>
      </c>
      <c r="S133" s="1682">
        <f t="shared" si="344"/>
        <v>1.97</v>
      </c>
      <c r="T133" s="1680">
        <f t="shared" si="344"/>
        <v>1.97</v>
      </c>
      <c r="U133" s="1680">
        <f t="shared" si="344"/>
        <v>1.97</v>
      </c>
      <c r="V133" s="1681">
        <f t="shared" si="344"/>
        <v>1.97</v>
      </c>
      <c r="W133" s="1680">
        <f t="shared" si="344"/>
        <v>4</v>
      </c>
      <c r="X133" s="1680">
        <f t="shared" si="344"/>
        <v>4</v>
      </c>
      <c r="Y133" s="1680">
        <f t="shared" si="344"/>
        <v>4</v>
      </c>
      <c r="Z133" s="1681">
        <f t="shared" si="344"/>
        <v>4</v>
      </c>
      <c r="AA133" s="1680">
        <f t="shared" si="344"/>
        <v>6</v>
      </c>
      <c r="AB133" s="1680">
        <f t="shared" si="344"/>
        <v>6</v>
      </c>
      <c r="AC133" s="1680">
        <f t="shared" si="344"/>
        <v>6</v>
      </c>
      <c r="AD133" s="1681">
        <f t="shared" si="344"/>
        <v>6</v>
      </c>
      <c r="AE133" s="1680">
        <f t="shared" si="344"/>
        <v>8</v>
      </c>
      <c r="AF133" s="1680">
        <f t="shared" si="344"/>
        <v>8</v>
      </c>
      <c r="AG133" s="1680">
        <f t="shared" si="344"/>
        <v>8</v>
      </c>
      <c r="AH133" s="1681">
        <f t="shared" si="344"/>
        <v>8</v>
      </c>
      <c r="AI133" s="1680">
        <f t="shared" si="344"/>
        <v>10</v>
      </c>
      <c r="AJ133" s="1680">
        <f t="shared" si="344"/>
        <v>10</v>
      </c>
      <c r="AK133" s="1680">
        <f t="shared" si="344"/>
        <v>10</v>
      </c>
      <c r="AL133" s="1681">
        <f t="shared" si="344"/>
        <v>10</v>
      </c>
      <c r="AM133" s="1680">
        <f t="shared" si="344"/>
        <v>10</v>
      </c>
      <c r="AN133" s="1680">
        <f t="shared" si="344"/>
        <v>10</v>
      </c>
      <c r="AO133" s="1680">
        <f t="shared" si="344"/>
        <v>10</v>
      </c>
      <c r="AP133" s="1681">
        <f t="shared" si="344"/>
        <v>10</v>
      </c>
      <c r="AQ133" s="1680">
        <f t="shared" si="344"/>
        <v>10</v>
      </c>
      <c r="AR133" s="1680">
        <f t="shared" si="344"/>
        <v>10</v>
      </c>
      <c r="AS133" s="1680">
        <f t="shared" si="344"/>
        <v>10</v>
      </c>
      <c r="AT133" s="1681">
        <f t="shared" si="344"/>
        <v>10</v>
      </c>
      <c r="AU133" s="1680">
        <f t="shared" si="344"/>
        <v>10</v>
      </c>
      <c r="AV133" s="1680">
        <f t="shared" si="344"/>
        <v>10</v>
      </c>
      <c r="AW133" s="1680">
        <f t="shared" si="344"/>
        <v>10</v>
      </c>
      <c r="AX133" s="1681">
        <f t="shared" si="344"/>
        <v>10</v>
      </c>
      <c r="AY133" s="1692">
        <f t="shared" ref="AY133:BB133" si="345">IF(ISBLANK(AY276),"",AY276)</f>
        <v>10</v>
      </c>
      <c r="AZ133" s="1692">
        <f t="shared" si="345"/>
        <v>10</v>
      </c>
      <c r="BA133" s="1692">
        <f t="shared" si="345"/>
        <v>10</v>
      </c>
      <c r="BB133" s="1693">
        <f t="shared" si="345"/>
        <v>10</v>
      </c>
      <c r="BC133" s="1529"/>
      <c r="BD133" s="1529"/>
      <c r="BE133" s="1529">
        <f t="shared" si="335"/>
        <v>1.97</v>
      </c>
      <c r="BF133" s="1529">
        <f t="shared" si="335"/>
        <v>1.97</v>
      </c>
      <c r="BG133" s="1529">
        <f t="shared" si="335"/>
        <v>1.97</v>
      </c>
      <c r="BH133" s="1529">
        <f t="shared" si="335"/>
        <v>1.97</v>
      </c>
      <c r="BI133" s="1529">
        <f t="shared" si="336"/>
        <v>4</v>
      </c>
      <c r="BJ133" s="1529">
        <f t="shared" si="337"/>
        <v>6</v>
      </c>
      <c r="BK133" s="1529">
        <f t="shared" si="338"/>
        <v>8</v>
      </c>
      <c r="BL133" s="1529">
        <f t="shared" si="339"/>
        <v>10</v>
      </c>
      <c r="BM133" s="1529">
        <f t="shared" si="340"/>
        <v>10</v>
      </c>
      <c r="BN133" s="1529">
        <f t="shared" si="341"/>
        <v>10</v>
      </c>
      <c r="BO133" s="1529">
        <f t="shared" si="342"/>
        <v>10</v>
      </c>
      <c r="BP133" s="1529">
        <f t="shared" si="343"/>
        <v>10</v>
      </c>
      <c r="BQ133" s="1529"/>
      <c r="BR133" s="1476"/>
      <c r="BS133" s="1477"/>
      <c r="BV133" s="1444"/>
      <c r="BW133" s="1443"/>
      <c r="BX133" s="1443"/>
      <c r="BY133" s="1443"/>
    </row>
    <row r="134" spans="1:77" ht="12.75" customHeight="1">
      <c r="A134" s="1445"/>
      <c r="B134" s="1446"/>
      <c r="C134" s="1649" t="s">
        <v>835</v>
      </c>
      <c r="D134" s="1649"/>
      <c r="E134" s="1649"/>
      <c r="F134" s="1651"/>
      <c r="G134" s="1677" t="str">
        <f t="shared" ref="G134:AX134" si="346">IF(ISBLANK(G277),"",G277)</f>
        <v/>
      </c>
      <c r="H134" s="1678" t="str">
        <f t="shared" si="346"/>
        <v/>
      </c>
      <c r="I134" s="1678" t="str">
        <f t="shared" si="346"/>
        <v/>
      </c>
      <c r="J134" s="1679" t="str">
        <f t="shared" si="346"/>
        <v/>
      </c>
      <c r="K134" s="1677" t="str">
        <f t="shared" si="346"/>
        <v/>
      </c>
      <c r="L134" s="1680" t="str">
        <f t="shared" si="346"/>
        <v/>
      </c>
      <c r="M134" s="1680" t="str">
        <f t="shared" si="346"/>
        <v/>
      </c>
      <c r="N134" s="1681" t="str">
        <f t="shared" si="346"/>
        <v/>
      </c>
      <c r="O134" s="1682" t="str">
        <f t="shared" si="346"/>
        <v/>
      </c>
      <c r="P134" s="1680" t="str">
        <f t="shared" si="346"/>
        <v/>
      </c>
      <c r="Q134" s="1680" t="str">
        <f t="shared" si="346"/>
        <v/>
      </c>
      <c r="R134" s="1681" t="str">
        <f t="shared" si="346"/>
        <v/>
      </c>
      <c r="S134" s="1682">
        <f t="shared" si="346"/>
        <v>0</v>
      </c>
      <c r="T134" s="1680">
        <f t="shared" si="346"/>
        <v>0</v>
      </c>
      <c r="U134" s="1680">
        <f t="shared" si="346"/>
        <v>0</v>
      </c>
      <c r="V134" s="1681">
        <f t="shared" si="346"/>
        <v>0</v>
      </c>
      <c r="W134" s="1680">
        <f t="shared" si="346"/>
        <v>0</v>
      </c>
      <c r="X134" s="1680">
        <f t="shared" si="346"/>
        <v>0</v>
      </c>
      <c r="Y134" s="1680">
        <f t="shared" si="346"/>
        <v>0</v>
      </c>
      <c r="Z134" s="1681">
        <f t="shared" si="346"/>
        <v>0</v>
      </c>
      <c r="AA134" s="1680">
        <f t="shared" si="346"/>
        <v>0</v>
      </c>
      <c r="AB134" s="1680">
        <f t="shared" si="346"/>
        <v>0</v>
      </c>
      <c r="AC134" s="1680">
        <f t="shared" si="346"/>
        <v>0</v>
      </c>
      <c r="AD134" s="1681">
        <f t="shared" si="346"/>
        <v>0</v>
      </c>
      <c r="AE134" s="1680">
        <f t="shared" si="346"/>
        <v>0</v>
      </c>
      <c r="AF134" s="1680">
        <f t="shared" si="346"/>
        <v>0</v>
      </c>
      <c r="AG134" s="1680">
        <f t="shared" si="346"/>
        <v>0</v>
      </c>
      <c r="AH134" s="1681">
        <f t="shared" si="346"/>
        <v>0</v>
      </c>
      <c r="AI134" s="1680">
        <f t="shared" si="346"/>
        <v>0</v>
      </c>
      <c r="AJ134" s="1680">
        <f t="shared" si="346"/>
        <v>0</v>
      </c>
      <c r="AK134" s="1680">
        <f t="shared" si="346"/>
        <v>0</v>
      </c>
      <c r="AL134" s="1681">
        <f t="shared" si="346"/>
        <v>0</v>
      </c>
      <c r="AM134" s="1680">
        <f t="shared" si="346"/>
        <v>0</v>
      </c>
      <c r="AN134" s="1680">
        <f t="shared" si="346"/>
        <v>0</v>
      </c>
      <c r="AO134" s="1680">
        <f t="shared" si="346"/>
        <v>0</v>
      </c>
      <c r="AP134" s="1681">
        <f t="shared" si="346"/>
        <v>0</v>
      </c>
      <c r="AQ134" s="1680">
        <f t="shared" si="346"/>
        <v>0</v>
      </c>
      <c r="AR134" s="1680">
        <f t="shared" si="346"/>
        <v>0</v>
      </c>
      <c r="AS134" s="1680">
        <f t="shared" si="346"/>
        <v>0</v>
      </c>
      <c r="AT134" s="1681">
        <f t="shared" si="346"/>
        <v>0</v>
      </c>
      <c r="AU134" s="1680">
        <f t="shared" si="346"/>
        <v>0</v>
      </c>
      <c r="AV134" s="1680">
        <f t="shared" si="346"/>
        <v>0</v>
      </c>
      <c r="AW134" s="1680">
        <f t="shared" si="346"/>
        <v>0</v>
      </c>
      <c r="AX134" s="1681">
        <f t="shared" si="346"/>
        <v>0</v>
      </c>
      <c r="AY134" s="1692">
        <f t="shared" ref="AY134:BB134" si="347">IF(ISBLANK(AY277),"",AY277)</f>
        <v>0</v>
      </c>
      <c r="AZ134" s="1692">
        <f t="shared" si="347"/>
        <v>0</v>
      </c>
      <c r="BA134" s="1692">
        <f t="shared" si="347"/>
        <v>0</v>
      </c>
      <c r="BB134" s="1693">
        <f t="shared" si="347"/>
        <v>0</v>
      </c>
      <c r="BC134" s="1529"/>
      <c r="BD134" s="1529"/>
      <c r="BE134" s="1529">
        <f t="shared" si="335"/>
        <v>0</v>
      </c>
      <c r="BF134" s="1529">
        <f t="shared" si="335"/>
        <v>0</v>
      </c>
      <c r="BG134" s="1529">
        <f t="shared" si="335"/>
        <v>0</v>
      </c>
      <c r="BH134" s="1529">
        <f t="shared" si="335"/>
        <v>0</v>
      </c>
      <c r="BI134" s="1529">
        <f t="shared" si="336"/>
        <v>0</v>
      </c>
      <c r="BJ134" s="1529">
        <f t="shared" si="337"/>
        <v>0</v>
      </c>
      <c r="BK134" s="1529">
        <f t="shared" si="338"/>
        <v>0</v>
      </c>
      <c r="BL134" s="1529">
        <f t="shared" si="339"/>
        <v>0</v>
      </c>
      <c r="BM134" s="1529">
        <f t="shared" si="340"/>
        <v>0</v>
      </c>
      <c r="BN134" s="1529">
        <f t="shared" si="341"/>
        <v>0</v>
      </c>
      <c r="BO134" s="1529">
        <f t="shared" si="342"/>
        <v>0</v>
      </c>
      <c r="BP134" s="1529">
        <f t="shared" si="343"/>
        <v>0</v>
      </c>
      <c r="BQ134" s="1529"/>
      <c r="BR134" s="1476"/>
      <c r="BS134" s="1477"/>
      <c r="BV134" s="1444"/>
      <c r="BW134" s="1443"/>
      <c r="BX134" s="1443"/>
      <c r="BY134" s="1443"/>
    </row>
    <row r="135" spans="1:77" ht="12.75" customHeight="1">
      <c r="A135" s="1445"/>
      <c r="B135" s="1446"/>
      <c r="C135" s="1649" t="s">
        <v>836</v>
      </c>
      <c r="D135" s="1649"/>
      <c r="E135" s="1649"/>
      <c r="F135" s="1651"/>
      <c r="G135" s="1677" t="str">
        <f t="shared" ref="G135:AX135" si="348">IF(ISBLANK(G278),"",G278)</f>
        <v/>
      </c>
      <c r="H135" s="1678" t="str">
        <f t="shared" si="348"/>
        <v/>
      </c>
      <c r="I135" s="1678" t="str">
        <f t="shared" si="348"/>
        <v/>
      </c>
      <c r="J135" s="1679" t="str">
        <f t="shared" si="348"/>
        <v/>
      </c>
      <c r="K135" s="1677" t="str">
        <f t="shared" si="348"/>
        <v/>
      </c>
      <c r="L135" s="1680" t="str">
        <f t="shared" si="348"/>
        <v/>
      </c>
      <c r="M135" s="1680" t="str">
        <f t="shared" si="348"/>
        <v/>
      </c>
      <c r="N135" s="1681" t="str">
        <f t="shared" si="348"/>
        <v/>
      </c>
      <c r="O135" s="1682" t="str">
        <f t="shared" si="348"/>
        <v/>
      </c>
      <c r="P135" s="1680" t="str">
        <f t="shared" si="348"/>
        <v/>
      </c>
      <c r="Q135" s="1680" t="str">
        <f t="shared" si="348"/>
        <v/>
      </c>
      <c r="R135" s="1681" t="str">
        <f t="shared" si="348"/>
        <v/>
      </c>
      <c r="S135" s="1682">
        <f t="shared" si="348"/>
        <v>0</v>
      </c>
      <c r="T135" s="1680">
        <f t="shared" si="348"/>
        <v>0</v>
      </c>
      <c r="U135" s="1680">
        <f t="shared" si="348"/>
        <v>0</v>
      </c>
      <c r="V135" s="1681">
        <f t="shared" si="348"/>
        <v>0</v>
      </c>
      <c r="W135" s="1680">
        <f t="shared" si="348"/>
        <v>0</v>
      </c>
      <c r="X135" s="1680">
        <f t="shared" si="348"/>
        <v>0</v>
      </c>
      <c r="Y135" s="1680">
        <f t="shared" si="348"/>
        <v>0</v>
      </c>
      <c r="Z135" s="1681">
        <f t="shared" si="348"/>
        <v>0</v>
      </c>
      <c r="AA135" s="1680">
        <f t="shared" si="348"/>
        <v>0</v>
      </c>
      <c r="AB135" s="1680">
        <f t="shared" si="348"/>
        <v>0</v>
      </c>
      <c r="AC135" s="1680">
        <f t="shared" si="348"/>
        <v>0</v>
      </c>
      <c r="AD135" s="1681">
        <f t="shared" si="348"/>
        <v>0</v>
      </c>
      <c r="AE135" s="1680">
        <f t="shared" si="348"/>
        <v>0</v>
      </c>
      <c r="AF135" s="1680">
        <f t="shared" si="348"/>
        <v>0</v>
      </c>
      <c r="AG135" s="1680">
        <f t="shared" si="348"/>
        <v>0</v>
      </c>
      <c r="AH135" s="1681">
        <f t="shared" si="348"/>
        <v>0</v>
      </c>
      <c r="AI135" s="1680">
        <f t="shared" si="348"/>
        <v>0</v>
      </c>
      <c r="AJ135" s="1680">
        <f t="shared" si="348"/>
        <v>0</v>
      </c>
      <c r="AK135" s="1680">
        <f t="shared" si="348"/>
        <v>0</v>
      </c>
      <c r="AL135" s="1681">
        <f t="shared" si="348"/>
        <v>0</v>
      </c>
      <c r="AM135" s="1680">
        <f t="shared" si="348"/>
        <v>0</v>
      </c>
      <c r="AN135" s="1680">
        <f t="shared" si="348"/>
        <v>0</v>
      </c>
      <c r="AO135" s="1680">
        <f t="shared" si="348"/>
        <v>0</v>
      </c>
      <c r="AP135" s="1681">
        <f t="shared" si="348"/>
        <v>0</v>
      </c>
      <c r="AQ135" s="1680">
        <f t="shared" si="348"/>
        <v>0</v>
      </c>
      <c r="AR135" s="1680">
        <f t="shared" si="348"/>
        <v>0</v>
      </c>
      <c r="AS135" s="1680">
        <f t="shared" si="348"/>
        <v>0</v>
      </c>
      <c r="AT135" s="1681">
        <f t="shared" si="348"/>
        <v>0</v>
      </c>
      <c r="AU135" s="1680">
        <f t="shared" si="348"/>
        <v>0</v>
      </c>
      <c r="AV135" s="1680">
        <f t="shared" si="348"/>
        <v>0</v>
      </c>
      <c r="AW135" s="1680">
        <f t="shared" si="348"/>
        <v>0</v>
      </c>
      <c r="AX135" s="1681">
        <f t="shared" si="348"/>
        <v>0</v>
      </c>
      <c r="AY135" s="1692">
        <f t="shared" ref="AY135:BB135" si="349">IF(ISBLANK(AY278),"",AY278)</f>
        <v>0</v>
      </c>
      <c r="AZ135" s="1692">
        <f t="shared" si="349"/>
        <v>0</v>
      </c>
      <c r="BA135" s="1692">
        <f t="shared" si="349"/>
        <v>0</v>
      </c>
      <c r="BB135" s="1693">
        <f t="shared" si="349"/>
        <v>0</v>
      </c>
      <c r="BC135" s="1529"/>
      <c r="BD135" s="1529"/>
      <c r="BE135" s="1529">
        <f t="shared" si="335"/>
        <v>0</v>
      </c>
      <c r="BF135" s="1529">
        <f t="shared" si="335"/>
        <v>0</v>
      </c>
      <c r="BG135" s="1529">
        <f t="shared" si="335"/>
        <v>0</v>
      </c>
      <c r="BH135" s="1529">
        <f t="shared" si="335"/>
        <v>0</v>
      </c>
      <c r="BI135" s="1529">
        <f t="shared" si="336"/>
        <v>0</v>
      </c>
      <c r="BJ135" s="1529">
        <f t="shared" si="337"/>
        <v>0</v>
      </c>
      <c r="BK135" s="1529">
        <f t="shared" si="338"/>
        <v>0</v>
      </c>
      <c r="BL135" s="1529">
        <f t="shared" si="339"/>
        <v>0</v>
      </c>
      <c r="BM135" s="1529">
        <f t="shared" si="340"/>
        <v>0</v>
      </c>
      <c r="BN135" s="1529">
        <f t="shared" si="341"/>
        <v>0</v>
      </c>
      <c r="BO135" s="1529">
        <f t="shared" si="342"/>
        <v>0</v>
      </c>
      <c r="BP135" s="1529">
        <f t="shared" si="343"/>
        <v>0</v>
      </c>
      <c r="BQ135" s="1529"/>
      <c r="BR135" s="1476"/>
      <c r="BS135" s="1477"/>
      <c r="BV135" s="1444"/>
      <c r="BW135" s="1443"/>
      <c r="BX135" s="1443"/>
      <c r="BY135" s="1443"/>
    </row>
    <row r="136" spans="1:77" ht="12.75" customHeight="1">
      <c r="A136" s="1445"/>
      <c r="B136" s="1446"/>
      <c r="C136" s="1649" t="s">
        <v>837</v>
      </c>
      <c r="D136" s="1649"/>
      <c r="E136" s="1649"/>
      <c r="F136" s="1651"/>
      <c r="G136" s="1677" t="str">
        <f t="shared" ref="G136:AX136" si="350">IF(ISBLANK(G279),"",G279)</f>
        <v/>
      </c>
      <c r="H136" s="1678" t="str">
        <f t="shared" si="350"/>
        <v/>
      </c>
      <c r="I136" s="1678" t="str">
        <f t="shared" si="350"/>
        <v/>
      </c>
      <c r="J136" s="1679" t="str">
        <f t="shared" si="350"/>
        <v/>
      </c>
      <c r="K136" s="1677" t="str">
        <f t="shared" si="350"/>
        <v/>
      </c>
      <c r="L136" s="1680" t="str">
        <f t="shared" si="350"/>
        <v/>
      </c>
      <c r="M136" s="1680" t="str">
        <f t="shared" si="350"/>
        <v/>
      </c>
      <c r="N136" s="1681" t="str">
        <f t="shared" si="350"/>
        <v/>
      </c>
      <c r="O136" s="1682" t="str">
        <f t="shared" si="350"/>
        <v/>
      </c>
      <c r="P136" s="1680" t="str">
        <f t="shared" si="350"/>
        <v/>
      </c>
      <c r="Q136" s="1680" t="str">
        <f t="shared" si="350"/>
        <v/>
      </c>
      <c r="R136" s="1681" t="str">
        <f t="shared" si="350"/>
        <v/>
      </c>
      <c r="S136" s="1682">
        <f t="shared" si="350"/>
        <v>0</v>
      </c>
      <c r="T136" s="1680">
        <f t="shared" si="350"/>
        <v>0</v>
      </c>
      <c r="U136" s="1680">
        <f t="shared" si="350"/>
        <v>0</v>
      </c>
      <c r="V136" s="1681">
        <f t="shared" si="350"/>
        <v>0</v>
      </c>
      <c r="W136" s="1680">
        <f t="shared" si="350"/>
        <v>0</v>
      </c>
      <c r="X136" s="1680">
        <f t="shared" si="350"/>
        <v>0</v>
      </c>
      <c r="Y136" s="1680">
        <f t="shared" si="350"/>
        <v>0</v>
      </c>
      <c r="Z136" s="1681">
        <f t="shared" si="350"/>
        <v>0</v>
      </c>
      <c r="AA136" s="1680">
        <f t="shared" si="350"/>
        <v>0</v>
      </c>
      <c r="AB136" s="1680">
        <f t="shared" si="350"/>
        <v>0</v>
      </c>
      <c r="AC136" s="1680">
        <f t="shared" si="350"/>
        <v>0</v>
      </c>
      <c r="AD136" s="1681">
        <f t="shared" si="350"/>
        <v>0</v>
      </c>
      <c r="AE136" s="1680">
        <f t="shared" si="350"/>
        <v>0</v>
      </c>
      <c r="AF136" s="1680">
        <f t="shared" si="350"/>
        <v>0</v>
      </c>
      <c r="AG136" s="1680">
        <f t="shared" si="350"/>
        <v>0</v>
      </c>
      <c r="AH136" s="1681">
        <f t="shared" si="350"/>
        <v>0</v>
      </c>
      <c r="AI136" s="1680">
        <f t="shared" si="350"/>
        <v>0</v>
      </c>
      <c r="AJ136" s="1680">
        <f t="shared" si="350"/>
        <v>0</v>
      </c>
      <c r="AK136" s="1680">
        <f t="shared" si="350"/>
        <v>0</v>
      </c>
      <c r="AL136" s="1681">
        <f t="shared" si="350"/>
        <v>0</v>
      </c>
      <c r="AM136" s="1680">
        <f t="shared" si="350"/>
        <v>0</v>
      </c>
      <c r="AN136" s="1680">
        <f t="shared" si="350"/>
        <v>0</v>
      </c>
      <c r="AO136" s="1680">
        <f t="shared" si="350"/>
        <v>0</v>
      </c>
      <c r="AP136" s="1681">
        <f t="shared" si="350"/>
        <v>0</v>
      </c>
      <c r="AQ136" s="1680">
        <f t="shared" si="350"/>
        <v>0</v>
      </c>
      <c r="AR136" s="1680">
        <f t="shared" si="350"/>
        <v>0</v>
      </c>
      <c r="AS136" s="1680">
        <f t="shared" si="350"/>
        <v>0</v>
      </c>
      <c r="AT136" s="1681">
        <f t="shared" si="350"/>
        <v>0</v>
      </c>
      <c r="AU136" s="1680">
        <f t="shared" si="350"/>
        <v>0</v>
      </c>
      <c r="AV136" s="1680">
        <f t="shared" si="350"/>
        <v>0</v>
      </c>
      <c r="AW136" s="1680">
        <f t="shared" si="350"/>
        <v>0</v>
      </c>
      <c r="AX136" s="1681">
        <f t="shared" si="350"/>
        <v>0</v>
      </c>
      <c r="AY136" s="1692">
        <f t="shared" ref="AY136:BB136" si="351">IF(ISBLANK(AY279),"",AY279)</f>
        <v>0</v>
      </c>
      <c r="AZ136" s="1692">
        <f t="shared" si="351"/>
        <v>0</v>
      </c>
      <c r="BA136" s="1692">
        <f t="shared" si="351"/>
        <v>0</v>
      </c>
      <c r="BB136" s="1693">
        <f t="shared" si="351"/>
        <v>0</v>
      </c>
      <c r="BC136" s="1529"/>
      <c r="BD136" s="1529"/>
      <c r="BE136" s="1529">
        <f t="shared" si="335"/>
        <v>0</v>
      </c>
      <c r="BF136" s="1529">
        <f t="shared" si="335"/>
        <v>0</v>
      </c>
      <c r="BG136" s="1529">
        <f t="shared" si="335"/>
        <v>0</v>
      </c>
      <c r="BH136" s="1529">
        <f t="shared" si="335"/>
        <v>0</v>
      </c>
      <c r="BI136" s="1529">
        <f t="shared" si="336"/>
        <v>0</v>
      </c>
      <c r="BJ136" s="1529">
        <f t="shared" si="337"/>
        <v>0</v>
      </c>
      <c r="BK136" s="1529">
        <f t="shared" si="338"/>
        <v>0</v>
      </c>
      <c r="BL136" s="1529">
        <f t="shared" si="339"/>
        <v>0</v>
      </c>
      <c r="BM136" s="1529">
        <f t="shared" si="340"/>
        <v>0</v>
      </c>
      <c r="BN136" s="1529">
        <f t="shared" si="341"/>
        <v>0</v>
      </c>
      <c r="BO136" s="1529">
        <f t="shared" si="342"/>
        <v>0</v>
      </c>
      <c r="BP136" s="1529">
        <f t="shared" si="343"/>
        <v>0</v>
      </c>
      <c r="BQ136" s="1529"/>
      <c r="BR136" s="1476"/>
      <c r="BS136" s="1477"/>
      <c r="BV136" s="1444"/>
      <c r="BW136" s="1443"/>
      <c r="BX136" s="1443"/>
      <c r="BY136" s="1443"/>
    </row>
    <row r="137" spans="1:77" ht="12.75" customHeight="1">
      <c r="A137" s="1445"/>
      <c r="B137" s="1446"/>
      <c r="C137" s="1649" t="s">
        <v>838</v>
      </c>
      <c r="D137" s="1649"/>
      <c r="E137" s="1649"/>
      <c r="F137" s="1651"/>
      <c r="G137" s="1677" t="str">
        <f t="shared" ref="G137:AX137" si="352">IF(ISBLANK(G280),"",G280)</f>
        <v/>
      </c>
      <c r="H137" s="1678" t="str">
        <f t="shared" si="352"/>
        <v/>
      </c>
      <c r="I137" s="1678" t="str">
        <f t="shared" si="352"/>
        <v/>
      </c>
      <c r="J137" s="1679" t="str">
        <f t="shared" si="352"/>
        <v/>
      </c>
      <c r="K137" s="1677" t="str">
        <f t="shared" si="352"/>
        <v/>
      </c>
      <c r="L137" s="1680" t="str">
        <f t="shared" si="352"/>
        <v/>
      </c>
      <c r="M137" s="1680" t="str">
        <f t="shared" si="352"/>
        <v/>
      </c>
      <c r="N137" s="1681" t="str">
        <f t="shared" si="352"/>
        <v/>
      </c>
      <c r="O137" s="1682" t="str">
        <f t="shared" si="352"/>
        <v/>
      </c>
      <c r="P137" s="1680" t="str">
        <f t="shared" si="352"/>
        <v/>
      </c>
      <c r="Q137" s="1680" t="str">
        <f t="shared" si="352"/>
        <v/>
      </c>
      <c r="R137" s="1681" t="str">
        <f t="shared" si="352"/>
        <v/>
      </c>
      <c r="S137" s="1682">
        <f t="shared" si="352"/>
        <v>0</v>
      </c>
      <c r="T137" s="1680">
        <f t="shared" si="352"/>
        <v>0</v>
      </c>
      <c r="U137" s="1680">
        <f t="shared" si="352"/>
        <v>0</v>
      </c>
      <c r="V137" s="1681">
        <f t="shared" si="352"/>
        <v>0</v>
      </c>
      <c r="W137" s="1680">
        <f t="shared" si="352"/>
        <v>0</v>
      </c>
      <c r="X137" s="1680">
        <f t="shared" si="352"/>
        <v>0</v>
      </c>
      <c r="Y137" s="1680">
        <f t="shared" si="352"/>
        <v>0</v>
      </c>
      <c r="Z137" s="1681">
        <f t="shared" si="352"/>
        <v>0</v>
      </c>
      <c r="AA137" s="1680">
        <f t="shared" si="352"/>
        <v>0</v>
      </c>
      <c r="AB137" s="1680">
        <f t="shared" si="352"/>
        <v>0</v>
      </c>
      <c r="AC137" s="1680">
        <f t="shared" si="352"/>
        <v>0</v>
      </c>
      <c r="AD137" s="1681">
        <f t="shared" si="352"/>
        <v>0</v>
      </c>
      <c r="AE137" s="1680">
        <f t="shared" si="352"/>
        <v>0</v>
      </c>
      <c r="AF137" s="1680">
        <f t="shared" si="352"/>
        <v>0</v>
      </c>
      <c r="AG137" s="1680">
        <f t="shared" si="352"/>
        <v>0</v>
      </c>
      <c r="AH137" s="1681">
        <f t="shared" si="352"/>
        <v>0</v>
      </c>
      <c r="AI137" s="1680">
        <f t="shared" si="352"/>
        <v>0</v>
      </c>
      <c r="AJ137" s="1680">
        <f t="shared" si="352"/>
        <v>0</v>
      </c>
      <c r="AK137" s="1680">
        <f t="shared" si="352"/>
        <v>0</v>
      </c>
      <c r="AL137" s="1681">
        <f t="shared" si="352"/>
        <v>0</v>
      </c>
      <c r="AM137" s="1680">
        <f t="shared" si="352"/>
        <v>0</v>
      </c>
      <c r="AN137" s="1680">
        <f t="shared" si="352"/>
        <v>0</v>
      </c>
      <c r="AO137" s="1680">
        <f t="shared" si="352"/>
        <v>0</v>
      </c>
      <c r="AP137" s="1681">
        <f t="shared" si="352"/>
        <v>0</v>
      </c>
      <c r="AQ137" s="1680">
        <f t="shared" si="352"/>
        <v>0</v>
      </c>
      <c r="AR137" s="1680">
        <f t="shared" si="352"/>
        <v>0</v>
      </c>
      <c r="AS137" s="1680">
        <f t="shared" si="352"/>
        <v>0</v>
      </c>
      <c r="AT137" s="1681">
        <f t="shared" si="352"/>
        <v>0</v>
      </c>
      <c r="AU137" s="1680">
        <f t="shared" si="352"/>
        <v>0</v>
      </c>
      <c r="AV137" s="1680">
        <f t="shared" si="352"/>
        <v>0</v>
      </c>
      <c r="AW137" s="1680">
        <f t="shared" si="352"/>
        <v>0</v>
      </c>
      <c r="AX137" s="1681">
        <f t="shared" si="352"/>
        <v>0</v>
      </c>
      <c r="AY137" s="1692">
        <f t="shared" ref="AY137:BB137" si="353">IF(ISBLANK(AY280),"",AY280)</f>
        <v>0</v>
      </c>
      <c r="AZ137" s="1692">
        <f t="shared" si="353"/>
        <v>0</v>
      </c>
      <c r="BA137" s="1692">
        <f t="shared" si="353"/>
        <v>0</v>
      </c>
      <c r="BB137" s="1693">
        <f t="shared" si="353"/>
        <v>0</v>
      </c>
      <c r="BC137" s="1529"/>
      <c r="BD137" s="1529"/>
      <c r="BE137" s="1529">
        <f t="shared" si="335"/>
        <v>0</v>
      </c>
      <c r="BF137" s="1529">
        <f t="shared" si="335"/>
        <v>0</v>
      </c>
      <c r="BG137" s="1529">
        <f t="shared" si="335"/>
        <v>0</v>
      </c>
      <c r="BH137" s="1529">
        <f t="shared" si="335"/>
        <v>0</v>
      </c>
      <c r="BI137" s="1529">
        <f t="shared" si="336"/>
        <v>0</v>
      </c>
      <c r="BJ137" s="1529">
        <f t="shared" si="337"/>
        <v>0</v>
      </c>
      <c r="BK137" s="1529">
        <f t="shared" si="338"/>
        <v>0</v>
      </c>
      <c r="BL137" s="1529">
        <f t="shared" si="339"/>
        <v>0</v>
      </c>
      <c r="BM137" s="1529">
        <f t="shared" si="340"/>
        <v>0</v>
      </c>
      <c r="BN137" s="1529">
        <f t="shared" si="341"/>
        <v>0</v>
      </c>
      <c r="BO137" s="1529">
        <f t="shared" si="342"/>
        <v>0</v>
      </c>
      <c r="BP137" s="1529">
        <f t="shared" si="343"/>
        <v>0</v>
      </c>
      <c r="BQ137" s="1529"/>
      <c r="BR137" s="1476"/>
      <c r="BS137" s="1477"/>
      <c r="BV137" s="1444"/>
      <c r="BW137" s="1443"/>
      <c r="BX137" s="1443"/>
      <c r="BY137" s="1443"/>
    </row>
    <row r="138" spans="1:77" ht="12.75" customHeight="1">
      <c r="A138" s="1445"/>
      <c r="B138" s="1446"/>
      <c r="C138" s="1649" t="s">
        <v>839</v>
      </c>
      <c r="D138" s="1649"/>
      <c r="E138" s="1649"/>
      <c r="F138" s="1651"/>
      <c r="G138" s="1677" t="str">
        <f t="shared" ref="G138:AX138" si="354">IF(ISBLANK(G281),"",G281)</f>
        <v/>
      </c>
      <c r="H138" s="1678" t="str">
        <f t="shared" si="354"/>
        <v/>
      </c>
      <c r="I138" s="1678" t="str">
        <f t="shared" si="354"/>
        <v/>
      </c>
      <c r="J138" s="1679" t="str">
        <f t="shared" si="354"/>
        <v/>
      </c>
      <c r="K138" s="1677" t="str">
        <f t="shared" si="354"/>
        <v/>
      </c>
      <c r="L138" s="1680" t="str">
        <f t="shared" si="354"/>
        <v/>
      </c>
      <c r="M138" s="1680" t="str">
        <f t="shared" si="354"/>
        <v/>
      </c>
      <c r="N138" s="1681" t="str">
        <f t="shared" si="354"/>
        <v/>
      </c>
      <c r="O138" s="1682" t="str">
        <f t="shared" si="354"/>
        <v/>
      </c>
      <c r="P138" s="1680" t="str">
        <f t="shared" si="354"/>
        <v/>
      </c>
      <c r="Q138" s="1680" t="str">
        <f t="shared" si="354"/>
        <v/>
      </c>
      <c r="R138" s="1681" t="str">
        <f t="shared" si="354"/>
        <v/>
      </c>
      <c r="S138" s="1682">
        <f t="shared" si="354"/>
        <v>0</v>
      </c>
      <c r="T138" s="1680">
        <f t="shared" si="354"/>
        <v>0</v>
      </c>
      <c r="U138" s="1680">
        <f t="shared" si="354"/>
        <v>0</v>
      </c>
      <c r="V138" s="1681">
        <f t="shared" si="354"/>
        <v>0</v>
      </c>
      <c r="W138" s="1680">
        <f t="shared" si="354"/>
        <v>0</v>
      </c>
      <c r="X138" s="1680">
        <f t="shared" si="354"/>
        <v>0</v>
      </c>
      <c r="Y138" s="1680">
        <f t="shared" si="354"/>
        <v>0</v>
      </c>
      <c r="Z138" s="1681">
        <f t="shared" si="354"/>
        <v>0</v>
      </c>
      <c r="AA138" s="1680">
        <f t="shared" si="354"/>
        <v>0</v>
      </c>
      <c r="AB138" s="1680">
        <f t="shared" si="354"/>
        <v>0</v>
      </c>
      <c r="AC138" s="1680">
        <f t="shared" si="354"/>
        <v>0</v>
      </c>
      <c r="AD138" s="1681">
        <f t="shared" si="354"/>
        <v>0</v>
      </c>
      <c r="AE138" s="1680">
        <f t="shared" si="354"/>
        <v>0</v>
      </c>
      <c r="AF138" s="1680">
        <f t="shared" si="354"/>
        <v>0</v>
      </c>
      <c r="AG138" s="1680">
        <f t="shared" si="354"/>
        <v>0</v>
      </c>
      <c r="AH138" s="1681">
        <f t="shared" si="354"/>
        <v>0</v>
      </c>
      <c r="AI138" s="1680">
        <f t="shared" si="354"/>
        <v>0</v>
      </c>
      <c r="AJ138" s="1680">
        <f t="shared" si="354"/>
        <v>0</v>
      </c>
      <c r="AK138" s="1680">
        <f t="shared" si="354"/>
        <v>0</v>
      </c>
      <c r="AL138" s="1681">
        <f t="shared" si="354"/>
        <v>0</v>
      </c>
      <c r="AM138" s="1680">
        <f t="shared" si="354"/>
        <v>0</v>
      </c>
      <c r="AN138" s="1680">
        <f t="shared" si="354"/>
        <v>0</v>
      </c>
      <c r="AO138" s="1680">
        <f t="shared" si="354"/>
        <v>0</v>
      </c>
      <c r="AP138" s="1681">
        <f t="shared" si="354"/>
        <v>0</v>
      </c>
      <c r="AQ138" s="1680">
        <f t="shared" si="354"/>
        <v>0</v>
      </c>
      <c r="AR138" s="1680">
        <f t="shared" si="354"/>
        <v>0</v>
      </c>
      <c r="AS138" s="1680">
        <f t="shared" si="354"/>
        <v>0</v>
      </c>
      <c r="AT138" s="1681">
        <f t="shared" si="354"/>
        <v>0</v>
      </c>
      <c r="AU138" s="1680">
        <f t="shared" si="354"/>
        <v>0</v>
      </c>
      <c r="AV138" s="1680">
        <f t="shared" si="354"/>
        <v>0</v>
      </c>
      <c r="AW138" s="1680">
        <f t="shared" si="354"/>
        <v>0</v>
      </c>
      <c r="AX138" s="1681">
        <f t="shared" si="354"/>
        <v>0</v>
      </c>
      <c r="AY138" s="1692">
        <f t="shared" ref="AY138:BB138" si="355">IF(ISBLANK(AY281),"",AY281)</f>
        <v>0</v>
      </c>
      <c r="AZ138" s="1692">
        <f t="shared" si="355"/>
        <v>0</v>
      </c>
      <c r="BA138" s="1692">
        <f t="shared" si="355"/>
        <v>0</v>
      </c>
      <c r="BB138" s="1693">
        <f t="shared" si="355"/>
        <v>0</v>
      </c>
      <c r="BC138" s="1529"/>
      <c r="BD138" s="1529"/>
      <c r="BE138" s="1529">
        <f t="shared" si="335"/>
        <v>0</v>
      </c>
      <c r="BF138" s="1529">
        <f t="shared" si="335"/>
        <v>0</v>
      </c>
      <c r="BG138" s="1529">
        <f t="shared" si="335"/>
        <v>0</v>
      </c>
      <c r="BH138" s="1529">
        <f t="shared" si="335"/>
        <v>0</v>
      </c>
      <c r="BI138" s="1529">
        <f t="shared" si="336"/>
        <v>0</v>
      </c>
      <c r="BJ138" s="1529">
        <f t="shared" si="337"/>
        <v>0</v>
      </c>
      <c r="BK138" s="1529">
        <f t="shared" si="338"/>
        <v>0</v>
      </c>
      <c r="BL138" s="1529">
        <f t="shared" si="339"/>
        <v>0</v>
      </c>
      <c r="BM138" s="1529">
        <f t="shared" si="340"/>
        <v>0</v>
      </c>
      <c r="BN138" s="1529">
        <f t="shared" si="341"/>
        <v>0</v>
      </c>
      <c r="BO138" s="1529">
        <f t="shared" si="342"/>
        <v>0</v>
      </c>
      <c r="BP138" s="1529">
        <f t="shared" si="343"/>
        <v>0</v>
      </c>
      <c r="BQ138" s="1529"/>
      <c r="BR138" s="1476"/>
      <c r="BS138" s="1477"/>
      <c r="BV138" s="1444"/>
      <c r="BW138" s="1443"/>
      <c r="BX138" s="1443"/>
      <c r="BY138" s="1443"/>
    </row>
    <row r="139" spans="1:77" ht="12.75" customHeight="1">
      <c r="A139" s="1445"/>
      <c r="B139" s="1446"/>
      <c r="C139" s="1466" t="str">
        <f t="shared" ref="C139:E142" si="356">IF(ISBLANK(C282),"",C282)</f>
        <v/>
      </c>
      <c r="D139" s="1466" t="str">
        <f t="shared" si="356"/>
        <v/>
      </c>
      <c r="E139" s="1466" t="str">
        <f t="shared" si="356"/>
        <v/>
      </c>
      <c r="F139" s="1488"/>
      <c r="G139" s="1526" t="str">
        <f t="shared" ref="G139:AX139" si="357">IF(ISBLANK(G282),"",G282)</f>
        <v/>
      </c>
      <c r="H139" s="1527" t="str">
        <f t="shared" si="357"/>
        <v/>
      </c>
      <c r="I139" s="1527" t="str">
        <f t="shared" si="357"/>
        <v/>
      </c>
      <c r="J139" s="1528" t="str">
        <f t="shared" si="357"/>
        <v/>
      </c>
      <c r="K139" s="1479" t="str">
        <f t="shared" si="357"/>
        <v/>
      </c>
      <c r="L139" s="1527" t="str">
        <f t="shared" si="357"/>
        <v/>
      </c>
      <c r="M139" s="1527" t="str">
        <f t="shared" si="357"/>
        <v/>
      </c>
      <c r="N139" s="1528" t="str">
        <f t="shared" si="357"/>
        <v/>
      </c>
      <c r="O139" s="1526" t="str">
        <f t="shared" si="357"/>
        <v/>
      </c>
      <c r="P139" s="1527" t="str">
        <f t="shared" si="357"/>
        <v/>
      </c>
      <c r="Q139" s="1527" t="str">
        <f t="shared" si="357"/>
        <v/>
      </c>
      <c r="R139" s="1528" t="str">
        <f t="shared" si="357"/>
        <v/>
      </c>
      <c r="S139" s="1526" t="str">
        <f t="shared" si="357"/>
        <v/>
      </c>
      <c r="T139" s="1527" t="str">
        <f t="shared" si="357"/>
        <v/>
      </c>
      <c r="U139" s="1527" t="str">
        <f t="shared" si="357"/>
        <v/>
      </c>
      <c r="V139" s="1528" t="str">
        <f t="shared" si="357"/>
        <v/>
      </c>
      <c r="W139" s="1527" t="str">
        <f t="shared" si="357"/>
        <v/>
      </c>
      <c r="X139" s="1527" t="str">
        <f t="shared" si="357"/>
        <v/>
      </c>
      <c r="Y139" s="1527" t="str">
        <f t="shared" si="357"/>
        <v/>
      </c>
      <c r="Z139" s="1528" t="str">
        <f t="shared" si="357"/>
        <v/>
      </c>
      <c r="AA139" s="1527" t="str">
        <f t="shared" si="357"/>
        <v/>
      </c>
      <c r="AB139" s="1527" t="str">
        <f t="shared" si="357"/>
        <v/>
      </c>
      <c r="AC139" s="1527" t="str">
        <f t="shared" si="357"/>
        <v/>
      </c>
      <c r="AD139" s="1528" t="str">
        <f t="shared" si="357"/>
        <v/>
      </c>
      <c r="AE139" s="1527" t="str">
        <f t="shared" si="357"/>
        <v/>
      </c>
      <c r="AF139" s="1527" t="str">
        <f t="shared" si="357"/>
        <v/>
      </c>
      <c r="AG139" s="1527" t="str">
        <f t="shared" si="357"/>
        <v/>
      </c>
      <c r="AH139" s="1528" t="str">
        <f t="shared" si="357"/>
        <v/>
      </c>
      <c r="AI139" s="1527" t="str">
        <f t="shared" si="357"/>
        <v/>
      </c>
      <c r="AJ139" s="1527" t="str">
        <f t="shared" si="357"/>
        <v/>
      </c>
      <c r="AK139" s="1527" t="str">
        <f t="shared" si="357"/>
        <v/>
      </c>
      <c r="AL139" s="1528" t="str">
        <f t="shared" si="357"/>
        <v/>
      </c>
      <c r="AM139" s="1527" t="str">
        <f t="shared" si="357"/>
        <v/>
      </c>
      <c r="AN139" s="1527" t="str">
        <f t="shared" si="357"/>
        <v/>
      </c>
      <c r="AO139" s="1527" t="str">
        <f t="shared" si="357"/>
        <v/>
      </c>
      <c r="AP139" s="1528" t="str">
        <f t="shared" si="357"/>
        <v/>
      </c>
      <c r="AQ139" s="1527" t="str">
        <f t="shared" si="357"/>
        <v/>
      </c>
      <c r="AR139" s="1527" t="str">
        <f t="shared" si="357"/>
        <v/>
      </c>
      <c r="AS139" s="1527" t="str">
        <f t="shared" si="357"/>
        <v/>
      </c>
      <c r="AT139" s="1528" t="str">
        <f t="shared" si="357"/>
        <v/>
      </c>
      <c r="AU139" s="1527" t="str">
        <f t="shared" si="357"/>
        <v/>
      </c>
      <c r="AV139" s="1527" t="str">
        <f t="shared" si="357"/>
        <v/>
      </c>
      <c r="AW139" s="1527" t="str">
        <f t="shared" si="357"/>
        <v/>
      </c>
      <c r="AX139" s="1528" t="str">
        <f t="shared" si="357"/>
        <v/>
      </c>
      <c r="AY139" s="1527" t="str">
        <f t="shared" ref="AY139:BB139" si="358">IF(ISBLANK(AY282),"",AY282)</f>
        <v/>
      </c>
      <c r="AZ139" s="1527" t="str">
        <f t="shared" si="358"/>
        <v/>
      </c>
      <c r="BA139" s="1527" t="str">
        <f t="shared" si="358"/>
        <v/>
      </c>
      <c r="BB139" s="1528" t="str">
        <f t="shared" si="358"/>
        <v/>
      </c>
      <c r="BC139" s="1531"/>
      <c r="BD139" s="1531"/>
      <c r="BE139" s="1531"/>
      <c r="BF139" s="1531"/>
      <c r="BG139" s="1531"/>
      <c r="BH139" s="1531"/>
      <c r="BI139" s="1531"/>
      <c r="BJ139" s="1531"/>
      <c r="BK139" s="1531"/>
      <c r="BL139" s="1531"/>
      <c r="BM139" s="1531"/>
      <c r="BN139" s="1531"/>
      <c r="BO139" s="1531"/>
      <c r="BP139" s="1531"/>
      <c r="BQ139" s="1531"/>
      <c r="BR139" s="1476"/>
      <c r="BS139" s="1477"/>
      <c r="BV139" s="1444"/>
      <c r="BW139" s="1443"/>
      <c r="BX139" s="1443"/>
      <c r="BY139" s="1443"/>
    </row>
    <row r="140" spans="1:77" ht="12.75" customHeight="1">
      <c r="A140" s="1445"/>
      <c r="B140" s="1446"/>
      <c r="C140" s="1532" t="str">
        <f t="shared" si="356"/>
        <v/>
      </c>
      <c r="D140" s="1532" t="str">
        <f t="shared" si="356"/>
        <v/>
      </c>
      <c r="E140" s="1532" t="str">
        <f t="shared" si="356"/>
        <v/>
      </c>
      <c r="F140" s="1510"/>
      <c r="G140" s="1479" t="str">
        <f>IF(ISBLANK(G283),"",G283)</f>
        <v/>
      </c>
      <c r="H140" s="1480" t="str">
        <f t="shared" ref="H140:N142" si="359">IF(ISBLANK(H283),"",H283)</f>
        <v/>
      </c>
      <c r="I140" s="1480" t="str">
        <f t="shared" si="359"/>
        <v/>
      </c>
      <c r="J140" s="1481" t="str">
        <f t="shared" si="359"/>
        <v/>
      </c>
      <c r="K140" s="1533" t="str">
        <f t="shared" si="359"/>
        <v/>
      </c>
      <c r="L140" s="1480" t="str">
        <f t="shared" si="359"/>
        <v/>
      </c>
      <c r="M140" s="1480" t="str">
        <f t="shared" si="359"/>
        <v/>
      </c>
      <c r="N140" s="1481" t="str">
        <f t="shared" si="359"/>
        <v/>
      </c>
      <c r="O140" s="1479" t="str">
        <f t="shared" ref="O140:AL140" si="360">IF(ISBLANK(O283),"",O283)</f>
        <v/>
      </c>
      <c r="P140" s="1480" t="str">
        <f t="shared" si="360"/>
        <v/>
      </c>
      <c r="Q140" s="1480" t="str">
        <f t="shared" si="360"/>
        <v/>
      </c>
      <c r="R140" s="1481" t="str">
        <f t="shared" si="360"/>
        <v/>
      </c>
      <c r="S140" s="1479" t="str">
        <f t="shared" si="360"/>
        <v/>
      </c>
      <c r="T140" s="1480" t="str">
        <f t="shared" si="360"/>
        <v/>
      </c>
      <c r="U140" s="1480" t="str">
        <f t="shared" si="360"/>
        <v/>
      </c>
      <c r="V140" s="1481" t="str">
        <f t="shared" si="360"/>
        <v/>
      </c>
      <c r="W140" s="1480" t="str">
        <f t="shared" si="360"/>
        <v/>
      </c>
      <c r="X140" s="1480" t="str">
        <f t="shared" si="360"/>
        <v/>
      </c>
      <c r="Y140" s="1480" t="str">
        <f t="shared" si="360"/>
        <v/>
      </c>
      <c r="Z140" s="1481" t="str">
        <f t="shared" si="360"/>
        <v/>
      </c>
      <c r="AA140" s="1480" t="str">
        <f t="shared" si="360"/>
        <v/>
      </c>
      <c r="AB140" s="1480" t="str">
        <f t="shared" si="360"/>
        <v/>
      </c>
      <c r="AC140" s="1480" t="str">
        <f t="shared" si="360"/>
        <v/>
      </c>
      <c r="AD140" s="1481" t="str">
        <f t="shared" si="360"/>
        <v/>
      </c>
      <c r="AE140" s="1480" t="str">
        <f t="shared" si="360"/>
        <v/>
      </c>
      <c r="AF140" s="1480" t="str">
        <f t="shared" si="360"/>
        <v/>
      </c>
      <c r="AG140" s="1480" t="str">
        <f t="shared" si="360"/>
        <v/>
      </c>
      <c r="AH140" s="1481" t="str">
        <f t="shared" si="360"/>
        <v/>
      </c>
      <c r="AI140" s="1480" t="str">
        <f t="shared" si="360"/>
        <v/>
      </c>
      <c r="AJ140" s="1480" t="str">
        <f t="shared" si="360"/>
        <v/>
      </c>
      <c r="AK140" s="1480" t="str">
        <f t="shared" si="360"/>
        <v/>
      </c>
      <c r="AL140" s="1481" t="str">
        <f t="shared" si="360"/>
        <v/>
      </c>
      <c r="AM140" s="1480" t="str">
        <f t="shared" ref="AM140:AT140" si="361">IF(ISBLANK(AM283),"",AM283)</f>
        <v/>
      </c>
      <c r="AN140" s="1480" t="str">
        <f t="shared" si="361"/>
        <v/>
      </c>
      <c r="AO140" s="1480" t="str">
        <f t="shared" si="361"/>
        <v/>
      </c>
      <c r="AP140" s="1481" t="str">
        <f t="shared" si="361"/>
        <v/>
      </c>
      <c r="AQ140" s="1480" t="str">
        <f t="shared" si="361"/>
        <v/>
      </c>
      <c r="AR140" s="1480" t="str">
        <f t="shared" si="361"/>
        <v/>
      </c>
      <c r="AS140" s="1480" t="str">
        <f t="shared" si="361"/>
        <v/>
      </c>
      <c r="AT140" s="1481" t="str">
        <f t="shared" si="361"/>
        <v/>
      </c>
      <c r="AU140" s="1480" t="str">
        <f t="shared" ref="AU140:AX140" si="362">IF(ISBLANK(AU283),"",AU283)</f>
        <v/>
      </c>
      <c r="AV140" s="1480" t="str">
        <f t="shared" si="362"/>
        <v/>
      </c>
      <c r="AW140" s="1480" t="str">
        <f t="shared" si="362"/>
        <v/>
      </c>
      <c r="AX140" s="1481" t="str">
        <f t="shared" si="362"/>
        <v/>
      </c>
      <c r="AY140" s="1480" t="str">
        <f t="shared" ref="AY140:BB140" si="363">IF(ISBLANK(AY283),"",AY283)</f>
        <v/>
      </c>
      <c r="AZ140" s="1480" t="str">
        <f t="shared" si="363"/>
        <v/>
      </c>
      <c r="BA140" s="1480" t="str">
        <f t="shared" si="363"/>
        <v/>
      </c>
      <c r="BB140" s="1481" t="str">
        <f t="shared" si="363"/>
        <v/>
      </c>
      <c r="BC140" s="1534"/>
      <c r="BD140" s="1534"/>
      <c r="BE140" s="1534"/>
      <c r="BF140" s="1534"/>
      <c r="BG140" s="1534"/>
      <c r="BH140" s="1534"/>
      <c r="BI140" s="1534"/>
      <c r="BJ140" s="1534"/>
      <c r="BK140" s="1534"/>
      <c r="BL140" s="1534"/>
      <c r="BM140" s="1534"/>
      <c r="BN140" s="1534"/>
      <c r="BO140" s="1534"/>
      <c r="BP140" s="1534"/>
      <c r="BQ140" s="1534"/>
      <c r="BR140" s="1476"/>
      <c r="BS140" s="1511"/>
      <c r="BV140" s="1444"/>
      <c r="BW140" s="1443"/>
      <c r="BX140" s="1443"/>
      <c r="BY140" s="1443"/>
    </row>
    <row r="141" spans="1:77" ht="12.75" customHeight="1">
      <c r="A141" s="769"/>
      <c r="B141" s="1535"/>
      <c r="C141" s="1536" t="str">
        <f t="shared" si="356"/>
        <v/>
      </c>
      <c r="D141" s="1536" t="str">
        <f t="shared" si="356"/>
        <v/>
      </c>
      <c r="E141" s="1536" t="str">
        <f t="shared" si="356"/>
        <v/>
      </c>
      <c r="F141" s="1537"/>
      <c r="G141" s="1533" t="str">
        <f>IF(ISBLANK(G284),"",G284)</f>
        <v/>
      </c>
      <c r="H141" s="1538" t="str">
        <f t="shared" si="359"/>
        <v/>
      </c>
      <c r="I141" s="1538" t="str">
        <f t="shared" si="359"/>
        <v/>
      </c>
      <c r="J141" s="1539" t="str">
        <f t="shared" si="359"/>
        <v/>
      </c>
      <c r="K141" s="1538" t="str">
        <f t="shared" si="359"/>
        <v/>
      </c>
      <c r="L141" s="1538" t="str">
        <f t="shared" si="359"/>
        <v/>
      </c>
      <c r="M141" s="1538" t="str">
        <f t="shared" si="359"/>
        <v/>
      </c>
      <c r="N141" s="1539" t="str">
        <f t="shared" si="359"/>
        <v/>
      </c>
      <c r="O141" s="1533" t="str">
        <f t="shared" ref="O141:AL141" si="364">IF(ISBLANK(O284),"",O284)</f>
        <v/>
      </c>
      <c r="P141" s="1538" t="str">
        <f t="shared" si="364"/>
        <v/>
      </c>
      <c r="Q141" s="1538" t="str">
        <f t="shared" si="364"/>
        <v/>
      </c>
      <c r="R141" s="1539" t="str">
        <f t="shared" si="364"/>
        <v/>
      </c>
      <c r="S141" s="1533" t="str">
        <f t="shared" si="364"/>
        <v/>
      </c>
      <c r="T141" s="1538" t="str">
        <f t="shared" si="364"/>
        <v/>
      </c>
      <c r="U141" s="1538" t="str">
        <f t="shared" si="364"/>
        <v/>
      </c>
      <c r="V141" s="1539" t="str">
        <f t="shared" si="364"/>
        <v/>
      </c>
      <c r="W141" s="1538" t="str">
        <f t="shared" si="364"/>
        <v/>
      </c>
      <c r="X141" s="1538" t="str">
        <f t="shared" si="364"/>
        <v/>
      </c>
      <c r="Y141" s="1538" t="str">
        <f t="shared" si="364"/>
        <v/>
      </c>
      <c r="Z141" s="1539" t="str">
        <f t="shared" si="364"/>
        <v/>
      </c>
      <c r="AA141" s="1538" t="str">
        <f t="shared" si="364"/>
        <v/>
      </c>
      <c r="AB141" s="1538" t="str">
        <f t="shared" si="364"/>
        <v/>
      </c>
      <c r="AC141" s="1538" t="str">
        <f t="shared" si="364"/>
        <v/>
      </c>
      <c r="AD141" s="1539" t="str">
        <f t="shared" si="364"/>
        <v/>
      </c>
      <c r="AE141" s="1538" t="str">
        <f t="shared" si="364"/>
        <v/>
      </c>
      <c r="AF141" s="1538" t="str">
        <f t="shared" si="364"/>
        <v/>
      </c>
      <c r="AG141" s="1538" t="str">
        <f t="shared" si="364"/>
        <v/>
      </c>
      <c r="AH141" s="1539" t="str">
        <f t="shared" si="364"/>
        <v/>
      </c>
      <c r="AI141" s="1538" t="str">
        <f t="shared" si="364"/>
        <v/>
      </c>
      <c r="AJ141" s="1538" t="str">
        <f t="shared" si="364"/>
        <v/>
      </c>
      <c r="AK141" s="1538" t="str">
        <f t="shared" si="364"/>
        <v/>
      </c>
      <c r="AL141" s="1539" t="str">
        <f t="shared" si="364"/>
        <v/>
      </c>
      <c r="AM141" s="1538" t="str">
        <f t="shared" ref="AM141:AT141" si="365">IF(ISBLANK(AM284),"",AM284)</f>
        <v/>
      </c>
      <c r="AN141" s="1538" t="str">
        <f t="shared" si="365"/>
        <v/>
      </c>
      <c r="AO141" s="1538" t="str">
        <f t="shared" si="365"/>
        <v/>
      </c>
      <c r="AP141" s="1539" t="str">
        <f t="shared" si="365"/>
        <v/>
      </c>
      <c r="AQ141" s="1538" t="str">
        <f t="shared" si="365"/>
        <v/>
      </c>
      <c r="AR141" s="1538" t="str">
        <f t="shared" si="365"/>
        <v/>
      </c>
      <c r="AS141" s="1538" t="str">
        <f t="shared" si="365"/>
        <v/>
      </c>
      <c r="AT141" s="1539" t="str">
        <f t="shared" si="365"/>
        <v/>
      </c>
      <c r="AU141" s="1538" t="str">
        <f t="shared" ref="AU141:AX141" si="366">IF(ISBLANK(AU284),"",AU284)</f>
        <v/>
      </c>
      <c r="AV141" s="1538" t="str">
        <f t="shared" si="366"/>
        <v/>
      </c>
      <c r="AW141" s="1538" t="str">
        <f t="shared" si="366"/>
        <v/>
      </c>
      <c r="AX141" s="1539" t="str">
        <f t="shared" si="366"/>
        <v/>
      </c>
      <c r="AY141" s="1538" t="str">
        <f t="shared" ref="AY141:BB141" si="367">IF(ISBLANK(AY284),"",AY284)</f>
        <v/>
      </c>
      <c r="AZ141" s="1538" t="str">
        <f t="shared" si="367"/>
        <v/>
      </c>
      <c r="BA141" s="1538" t="str">
        <f t="shared" si="367"/>
        <v/>
      </c>
      <c r="BB141" s="1539" t="str">
        <f t="shared" si="367"/>
        <v/>
      </c>
      <c r="BC141" s="1540"/>
      <c r="BD141" s="1540"/>
      <c r="BE141" s="1540"/>
      <c r="BF141" s="1540"/>
      <c r="BG141" s="1540"/>
      <c r="BH141" s="1540"/>
      <c r="BI141" s="1540"/>
      <c r="BJ141" s="1540"/>
      <c r="BK141" s="1540"/>
      <c r="BL141" s="1540"/>
      <c r="BM141" s="1540"/>
      <c r="BN141" s="1540"/>
      <c r="BO141" s="1540"/>
      <c r="BP141" s="1540"/>
      <c r="BQ141" s="1540"/>
      <c r="BR141" s="1476"/>
      <c r="BS141" s="1511"/>
      <c r="BV141" s="1444"/>
      <c r="BW141" s="1443"/>
      <c r="BX141" s="1443"/>
      <c r="BY141" s="1443"/>
    </row>
    <row r="142" spans="1:77" ht="12.75" customHeight="1">
      <c r="A142" s="1541"/>
      <c r="B142" s="1541"/>
      <c r="C142" s="1542" t="str">
        <f t="shared" si="356"/>
        <v/>
      </c>
      <c r="D142" s="1542" t="str">
        <f t="shared" si="356"/>
        <v/>
      </c>
      <c r="E142" s="1542" t="str">
        <f t="shared" si="356"/>
        <v/>
      </c>
      <c r="F142" s="1543"/>
      <c r="G142" s="1544" t="str">
        <f>IF(ISBLANK(G285),"",G285)</f>
        <v/>
      </c>
      <c r="H142" s="1541" t="str">
        <f t="shared" si="359"/>
        <v/>
      </c>
      <c r="I142" s="1545" t="str">
        <f t="shared" si="359"/>
        <v/>
      </c>
      <c r="J142" s="1545" t="str">
        <f t="shared" si="359"/>
        <v/>
      </c>
      <c r="K142" s="1545" t="str">
        <f t="shared" si="359"/>
        <v/>
      </c>
      <c r="L142" s="1545" t="str">
        <f t="shared" si="359"/>
        <v/>
      </c>
      <c r="M142" s="1545" t="str">
        <f t="shared" si="359"/>
        <v/>
      </c>
      <c r="N142" s="1545" t="str">
        <f t="shared" si="359"/>
        <v/>
      </c>
      <c r="O142" s="1545" t="str">
        <f t="shared" ref="O142:AL142" si="368">IF(ISBLANK(O285),"",O285)</f>
        <v/>
      </c>
      <c r="P142" s="1545" t="str">
        <f t="shared" si="368"/>
        <v/>
      </c>
      <c r="Q142" s="1545" t="str">
        <f t="shared" si="368"/>
        <v/>
      </c>
      <c r="R142" s="1545" t="str">
        <f t="shared" si="368"/>
        <v/>
      </c>
      <c r="S142" s="1544" t="str">
        <f t="shared" si="368"/>
        <v/>
      </c>
      <c r="T142" s="1545" t="str">
        <f t="shared" si="368"/>
        <v/>
      </c>
      <c r="U142" s="1545" t="str">
        <f t="shared" si="368"/>
        <v/>
      </c>
      <c r="V142" s="1545" t="str">
        <f t="shared" si="368"/>
        <v/>
      </c>
      <c r="W142" s="1545" t="str">
        <f t="shared" si="368"/>
        <v/>
      </c>
      <c r="X142" s="1545" t="str">
        <f t="shared" si="368"/>
        <v/>
      </c>
      <c r="Y142" s="1545" t="str">
        <f t="shared" si="368"/>
        <v/>
      </c>
      <c r="Z142" s="1544" t="str">
        <f t="shared" si="368"/>
        <v/>
      </c>
      <c r="AA142" s="1545" t="str">
        <f t="shared" si="368"/>
        <v/>
      </c>
      <c r="AB142" s="1545" t="str">
        <f t="shared" si="368"/>
        <v/>
      </c>
      <c r="AC142" s="1545" t="str">
        <f t="shared" si="368"/>
        <v/>
      </c>
      <c r="AD142" s="1545" t="str">
        <f t="shared" si="368"/>
        <v/>
      </c>
      <c r="AE142" s="1545" t="str">
        <f t="shared" si="368"/>
        <v/>
      </c>
      <c r="AF142" s="1545" t="str">
        <f t="shared" si="368"/>
        <v/>
      </c>
      <c r="AG142" s="1545" t="str">
        <f t="shared" si="368"/>
        <v/>
      </c>
      <c r="AH142" s="1545" t="str">
        <f t="shared" si="368"/>
        <v/>
      </c>
      <c r="AI142" s="1545" t="str">
        <f t="shared" si="368"/>
        <v/>
      </c>
      <c r="AJ142" s="1545" t="str">
        <f t="shared" si="368"/>
        <v/>
      </c>
      <c r="AK142" s="1545" t="str">
        <f t="shared" si="368"/>
        <v/>
      </c>
      <c r="AL142" s="1545" t="str">
        <f t="shared" si="368"/>
        <v/>
      </c>
      <c r="AM142" s="1545" t="str">
        <f t="shared" ref="AM142:AT142" si="369">IF(ISBLANK(AM285),"",AM285)</f>
        <v/>
      </c>
      <c r="AN142" s="1545" t="str">
        <f t="shared" si="369"/>
        <v/>
      </c>
      <c r="AO142" s="1545" t="str">
        <f t="shared" si="369"/>
        <v/>
      </c>
      <c r="AP142" s="1545" t="str">
        <f t="shared" si="369"/>
        <v/>
      </c>
      <c r="AQ142" s="1545" t="str">
        <f t="shared" si="369"/>
        <v/>
      </c>
      <c r="AR142" s="1545" t="str">
        <f t="shared" si="369"/>
        <v/>
      </c>
      <c r="AS142" s="1545" t="str">
        <f t="shared" si="369"/>
        <v/>
      </c>
      <c r="AT142" s="1545" t="str">
        <f t="shared" si="369"/>
        <v/>
      </c>
      <c r="AU142" s="1545" t="str">
        <f t="shared" ref="AU142:AX142" si="370">IF(ISBLANK(AU285),"",AU285)</f>
        <v/>
      </c>
      <c r="AV142" s="1545" t="str">
        <f t="shared" si="370"/>
        <v/>
      </c>
      <c r="AW142" s="1545" t="str">
        <f t="shared" si="370"/>
        <v/>
      </c>
      <c r="AX142" s="1545" t="str">
        <f t="shared" si="370"/>
        <v/>
      </c>
      <c r="AY142" s="1545" t="str">
        <f t="shared" ref="AY142:BB142" si="371">IF(ISBLANK(AY285),"",AY285)</f>
        <v/>
      </c>
      <c r="AZ142" s="1545" t="str">
        <f t="shared" si="371"/>
        <v/>
      </c>
      <c r="BA142" s="1545" t="str">
        <f t="shared" si="371"/>
        <v/>
      </c>
      <c r="BB142" s="1545" t="str">
        <f t="shared" si="371"/>
        <v/>
      </c>
      <c r="BC142" s="1545"/>
      <c r="BD142" s="1545"/>
      <c r="BE142" s="1545"/>
      <c r="BF142" s="1545"/>
      <c r="BG142" s="1545"/>
      <c r="BH142" s="1545"/>
      <c r="BI142" s="1545"/>
      <c r="BJ142" s="1545"/>
      <c r="BK142" s="1545"/>
      <c r="BL142" s="1545"/>
      <c r="BM142" s="1545"/>
      <c r="BN142" s="1545"/>
      <c r="BO142" s="1545"/>
      <c r="BP142" s="1545"/>
      <c r="BQ142" s="1545"/>
      <c r="BR142" s="1545"/>
      <c r="BS142" s="1511"/>
      <c r="BV142" s="1444"/>
      <c r="BW142" s="1443"/>
      <c r="BX142" s="1443"/>
      <c r="BY142" s="1443"/>
    </row>
    <row r="143" spans="1:77" ht="12.75" customHeight="1">
      <c r="G143" s="1416"/>
      <c r="H143" s="1416"/>
      <c r="I143" s="1416"/>
      <c r="J143" s="1416"/>
      <c r="L143" s="1476"/>
      <c r="M143" s="1476"/>
      <c r="N143" s="1476"/>
      <c r="O143" s="1476"/>
      <c r="BG143" s="1416"/>
      <c r="BH143" s="1416"/>
      <c r="BI143" s="1416"/>
      <c r="BJ143" s="1416"/>
      <c r="BK143" s="1416"/>
      <c r="BL143" s="1416"/>
      <c r="BM143" s="1416"/>
      <c r="BN143" s="1416"/>
      <c r="BO143" s="1416"/>
      <c r="BP143" s="1416"/>
      <c r="BQ143" s="1416"/>
      <c r="BR143" s="1416"/>
      <c r="BS143" s="1477"/>
      <c r="BV143" s="1444"/>
      <c r="BW143" s="1443"/>
      <c r="BX143" s="1443"/>
      <c r="BY143" s="1443"/>
    </row>
    <row r="144" spans="1:77" ht="12.75" customHeight="1">
      <c r="G144" s="1416"/>
      <c r="H144" s="1416"/>
      <c r="I144" s="1416"/>
      <c r="J144" s="1416"/>
      <c r="L144" s="1476"/>
      <c r="M144" s="1476"/>
      <c r="N144" s="1476"/>
      <c r="O144" s="1476"/>
      <c r="BG144" s="1416"/>
      <c r="BH144" s="1416"/>
      <c r="BI144" s="1416"/>
      <c r="BJ144" s="1416"/>
      <c r="BK144" s="1416"/>
      <c r="BL144" s="1416"/>
      <c r="BM144" s="1416"/>
      <c r="BN144" s="1416"/>
      <c r="BO144" s="1416"/>
      <c r="BP144" s="1416"/>
      <c r="BQ144" s="1416"/>
      <c r="BR144" s="1416"/>
      <c r="BS144" s="1477"/>
      <c r="BV144" s="1444"/>
      <c r="BW144" s="1443"/>
      <c r="BX144" s="1443"/>
      <c r="BY144" s="1443"/>
    </row>
    <row r="145" spans="3:77" ht="12.75" customHeight="1">
      <c r="G145" s="1416"/>
      <c r="H145" s="1416"/>
      <c r="I145" s="1416"/>
      <c r="J145" s="1416"/>
      <c r="L145" s="1476"/>
      <c r="M145" s="1476"/>
      <c r="N145" s="1476"/>
      <c r="O145" s="1476"/>
      <c r="BG145" s="1416"/>
      <c r="BH145" s="1416"/>
      <c r="BI145" s="1416"/>
      <c r="BJ145" s="1416"/>
      <c r="BK145" s="1416"/>
      <c r="BL145" s="1416"/>
      <c r="BM145" s="1416"/>
      <c r="BN145" s="1416"/>
      <c r="BO145" s="1416"/>
      <c r="BP145" s="1416"/>
      <c r="BQ145" s="1416"/>
      <c r="BR145" s="1416"/>
      <c r="BS145" s="1477"/>
      <c r="BV145" s="1444"/>
      <c r="BW145" s="1443"/>
      <c r="BX145" s="1443"/>
      <c r="BY145" s="1443"/>
    </row>
    <row r="146" spans="3:77" ht="12.75" customHeight="1">
      <c r="G146" s="1416"/>
      <c r="H146" s="1416"/>
      <c r="I146" s="1416"/>
      <c r="J146" s="1416"/>
      <c r="L146" s="1476"/>
      <c r="M146" s="1476"/>
      <c r="N146" s="1476"/>
      <c r="O146" s="1476"/>
      <c r="BG146" s="1416"/>
      <c r="BH146" s="1416"/>
      <c r="BI146" s="1416"/>
      <c r="BJ146" s="1416"/>
      <c r="BK146" s="1416"/>
      <c r="BL146" s="1416"/>
      <c r="BM146" s="1416"/>
      <c r="BN146" s="1416"/>
      <c r="BO146" s="1416"/>
      <c r="BP146" s="1416"/>
      <c r="BQ146" s="1416"/>
      <c r="BR146" s="1416"/>
      <c r="BS146" s="1477"/>
      <c r="BV146" s="1444"/>
      <c r="BW146" s="1443"/>
      <c r="BX146" s="1443"/>
      <c r="BY146" s="1443"/>
    </row>
    <row r="147" spans="3:77" ht="12.75" customHeight="1">
      <c r="G147" s="1416"/>
      <c r="H147" s="1416"/>
      <c r="I147" s="1416"/>
      <c r="J147" s="1416"/>
      <c r="L147" s="1476"/>
      <c r="M147" s="1476"/>
      <c r="N147" s="1476"/>
      <c r="O147" s="1476"/>
      <c r="BG147" s="1416"/>
      <c r="BH147" s="1416"/>
      <c r="BI147" s="1416"/>
      <c r="BJ147" s="1416"/>
      <c r="BK147" s="1416"/>
      <c r="BL147" s="1416"/>
      <c r="BM147" s="1416"/>
      <c r="BN147" s="1416"/>
      <c r="BO147" s="1416"/>
      <c r="BP147" s="1416"/>
      <c r="BQ147" s="1416"/>
      <c r="BR147" s="1416"/>
      <c r="BS147" s="1477"/>
      <c r="BV147" s="1444"/>
      <c r="BW147" s="1443"/>
      <c r="BX147" s="1443"/>
      <c r="BY147" s="1443"/>
    </row>
    <row r="148" spans="3:77" ht="12.75" customHeight="1" thickBot="1">
      <c r="G148" s="1416"/>
      <c r="H148" s="1416"/>
      <c r="I148" s="1416"/>
      <c r="J148" s="1416"/>
      <c r="L148" s="1476"/>
      <c r="M148" s="1476"/>
      <c r="N148" s="1476"/>
      <c r="O148" s="1476"/>
      <c r="BG148" s="1416"/>
      <c r="BH148" s="1416"/>
      <c r="BI148" s="1416"/>
      <c r="BJ148" s="1416"/>
      <c r="BK148" s="1416"/>
      <c r="BL148" s="1416"/>
      <c r="BM148" s="1416"/>
      <c r="BN148" s="1416"/>
      <c r="BO148" s="1416"/>
      <c r="BP148" s="1416"/>
      <c r="BQ148" s="1416"/>
      <c r="BR148" s="1416"/>
      <c r="BS148" s="1477"/>
      <c r="BV148" s="1444"/>
      <c r="BW148" s="1443"/>
      <c r="BX148" s="1443"/>
      <c r="BY148" s="1443"/>
    </row>
    <row r="149" spans="3:77" ht="12.75" customHeight="1">
      <c r="C149" s="1761" t="s">
        <v>800</v>
      </c>
      <c r="D149" s="1762"/>
      <c r="E149" s="1762"/>
      <c r="F149" s="1763"/>
      <c r="G149" s="1764"/>
      <c r="H149" s="1765"/>
      <c r="I149" s="1765"/>
      <c r="J149" s="1766"/>
      <c r="K149" s="1764"/>
      <c r="L149" s="1765"/>
      <c r="M149" s="1765"/>
      <c r="N149" s="1766"/>
      <c r="O149" s="1764"/>
      <c r="P149" s="1765"/>
      <c r="Q149" s="1765"/>
      <c r="R149" s="1766"/>
      <c r="S149" s="1764"/>
      <c r="T149" s="1765"/>
      <c r="U149" s="1765"/>
      <c r="V149" s="1766"/>
      <c r="W149" s="1765"/>
      <c r="X149" s="1765"/>
      <c r="Y149" s="1765"/>
      <c r="Z149" s="1767"/>
      <c r="AA149" s="1768"/>
      <c r="AB149" s="1768"/>
      <c r="AC149" s="1768"/>
      <c r="AD149" s="1767"/>
      <c r="AE149" s="1768"/>
      <c r="AF149" s="1768"/>
      <c r="AG149" s="1768"/>
      <c r="AH149" s="1767"/>
      <c r="AI149" s="1768"/>
      <c r="AJ149" s="1768"/>
      <c r="AK149" s="1768"/>
      <c r="AL149" s="1767"/>
      <c r="AM149" s="1768"/>
      <c r="AN149" s="1768"/>
      <c r="AO149" s="1768"/>
      <c r="AP149" s="1767"/>
      <c r="AQ149" s="1768"/>
      <c r="AR149" s="1768"/>
      <c r="AS149" s="1768"/>
      <c r="AT149" s="1767"/>
      <c r="AU149" s="1768"/>
      <c r="AV149" s="1768"/>
      <c r="AW149" s="1768"/>
      <c r="AX149" s="1767"/>
      <c r="AY149" s="1768"/>
      <c r="AZ149" s="1768"/>
      <c r="BA149" s="1768"/>
      <c r="BB149" s="1769"/>
      <c r="BC149" s="1460"/>
      <c r="BD149" s="1460"/>
      <c r="BE149" s="1460"/>
      <c r="BF149" s="1460"/>
      <c r="BG149" s="1460"/>
      <c r="BH149" s="1460"/>
      <c r="BI149" s="1460"/>
      <c r="BJ149" s="1460"/>
      <c r="BK149" s="1460"/>
      <c r="BL149" s="1460"/>
      <c r="BM149" s="1460"/>
      <c r="BN149" s="1460"/>
      <c r="BO149" s="1460"/>
      <c r="BP149" s="1460"/>
      <c r="BQ149" s="1460"/>
      <c r="BR149" s="1461"/>
      <c r="BS149" s="1462"/>
      <c r="BT149" s="1463"/>
      <c r="BV149" s="1444"/>
      <c r="BW149" s="1443"/>
      <c r="BX149" s="1443"/>
      <c r="BY149" s="1443"/>
    </row>
    <row r="150" spans="3:77" ht="12.75" customHeight="1">
      <c r="C150" s="1770"/>
      <c r="D150" s="1540"/>
      <c r="E150" s="1540"/>
      <c r="F150" s="1467"/>
      <c r="G150" s="1468"/>
      <c r="H150" s="1469"/>
      <c r="I150" s="1469"/>
      <c r="J150" s="1470"/>
      <c r="K150" s="1468"/>
      <c r="L150" s="1469"/>
      <c r="M150" s="1469"/>
      <c r="N150" s="1470"/>
      <c r="O150" s="1468"/>
      <c r="P150" s="1469"/>
      <c r="Q150" s="1469"/>
      <c r="R150" s="1471"/>
      <c r="S150" s="1472"/>
      <c r="T150" s="1473"/>
      <c r="U150" s="1473"/>
      <c r="V150" s="1471"/>
      <c r="W150" s="1473"/>
      <c r="X150" s="1473"/>
      <c r="Y150" s="1473"/>
      <c r="Z150" s="1471"/>
      <c r="AA150" s="1473"/>
      <c r="AB150" s="1473"/>
      <c r="AC150" s="1473"/>
      <c r="AD150" s="1471"/>
      <c r="AE150" s="1473"/>
      <c r="AF150" s="1473"/>
      <c r="AG150" s="1473"/>
      <c r="AH150" s="1471"/>
      <c r="AI150" s="1473"/>
      <c r="AJ150" s="1473"/>
      <c r="AK150" s="1473"/>
      <c r="AL150" s="1471"/>
      <c r="AM150" s="1473"/>
      <c r="AN150" s="1473"/>
      <c r="AO150" s="1473"/>
      <c r="AP150" s="1471"/>
      <c r="AQ150" s="1473"/>
      <c r="AR150" s="1473"/>
      <c r="AS150" s="1473"/>
      <c r="AT150" s="1471"/>
      <c r="AU150" s="1473"/>
      <c r="AV150" s="1473"/>
      <c r="AW150" s="1473"/>
      <c r="AX150" s="1471"/>
      <c r="AY150" s="1473"/>
      <c r="AZ150" s="1473"/>
      <c r="BA150" s="1473"/>
      <c r="BB150" s="1771"/>
      <c r="BC150" s="1474"/>
      <c r="BD150" s="1474"/>
      <c r="BE150" s="1474"/>
      <c r="BF150" s="1474"/>
      <c r="BG150" s="1474"/>
      <c r="BH150" s="1474"/>
      <c r="BI150" s="1474"/>
      <c r="BJ150" s="1474"/>
      <c r="BK150" s="1474"/>
      <c r="BL150" s="1474"/>
      <c r="BM150" s="1474"/>
      <c r="BN150" s="1474"/>
      <c r="BO150" s="1474"/>
      <c r="BP150" s="1474"/>
      <c r="BQ150" s="1474"/>
      <c r="BR150" s="1476"/>
      <c r="BS150" s="1477"/>
      <c r="BV150" s="1444"/>
      <c r="BW150" s="1443"/>
      <c r="BX150" s="1443"/>
      <c r="BY150" s="1443"/>
    </row>
    <row r="151" spans="3:77" ht="12.75" customHeight="1">
      <c r="C151" s="1772" t="s">
        <v>920</v>
      </c>
      <c r="D151" s="1729"/>
      <c r="E151" s="1729"/>
      <c r="F151" s="1730"/>
      <c r="G151" s="1718">
        <v>4.8801458333333327</v>
      </c>
      <c r="H151" s="1704">
        <v>4.3247460317460309</v>
      </c>
      <c r="I151" s="1704">
        <v>4.2905156250000003</v>
      </c>
      <c r="J151" s="1719">
        <v>3.8051846153846145</v>
      </c>
      <c r="K151" s="1718">
        <v>4.1753749999999998</v>
      </c>
      <c r="L151" s="1704">
        <v>4.3679218749999995</v>
      </c>
      <c r="M151" s="1704">
        <v>4.1250937499999987</v>
      </c>
      <c r="N151" s="1719">
        <v>3.3347142857142864</v>
      </c>
      <c r="O151" s="1718">
        <v>2.4596984126984123</v>
      </c>
      <c r="P151" s="1704">
        <v>2.2776984126984123</v>
      </c>
      <c r="Q151" s="1704">
        <v>2.8780317460317462</v>
      </c>
      <c r="R151" s="1704">
        <v>3.3929375000000004</v>
      </c>
      <c r="S151" s="1718">
        <v>3.4791000000000003</v>
      </c>
      <c r="T151" s="1704">
        <v>4.0243281250000011</v>
      </c>
      <c r="U151" s="1704">
        <v>3.5578281250000003</v>
      </c>
      <c r="V151" s="1704">
        <v>3.8364218749999996</v>
      </c>
      <c r="W151" s="1819">
        <v>5.1762950819672131</v>
      </c>
      <c r="X151" s="1820">
        <v>4.6069687499999992</v>
      </c>
      <c r="Y151" s="1820">
        <v>3.9690625000000006</v>
      </c>
      <c r="Z151" s="1821">
        <v>3.7758906249999988</v>
      </c>
      <c r="AA151" s="1819">
        <v>2.8932580645161292</v>
      </c>
      <c r="AB151" s="1820">
        <v>2.7407301587301576</v>
      </c>
      <c r="AC151" s="1820">
        <v>2.7644218749999996</v>
      </c>
      <c r="AD151" s="1821">
        <v>2.1331111111111114</v>
      </c>
      <c r="AE151" s="1819">
        <v>1.9876885245901643</v>
      </c>
      <c r="AF151" s="1643">
        <v>2.135984375</v>
      </c>
      <c r="AG151" s="1643">
        <v>2.8751562499999994</v>
      </c>
      <c r="AH151" s="1642">
        <v>3.0312419354838709</v>
      </c>
      <c r="AI151" s="1643">
        <v>3.0098387096774188</v>
      </c>
      <c r="AJ151" s="1643">
        <v>3.076171875</v>
      </c>
      <c r="AK151" s="1643">
        <v>2.9540158730158725</v>
      </c>
      <c r="AL151" s="1642">
        <v>2.8899677419354837</v>
      </c>
      <c r="AM151" s="1643">
        <v>3.1108032786885249</v>
      </c>
      <c r="AN151" s="1643">
        <v>2.6796666666666664</v>
      </c>
      <c r="AO151" s="1643">
        <v>2.8149999999999999</v>
      </c>
      <c r="AP151" s="1642">
        <v>2.9016666666666668</v>
      </c>
      <c r="AQ151" s="1643">
        <v>2.9026943643004919</v>
      </c>
      <c r="AR151" s="1643">
        <v>2.5441789597993276</v>
      </c>
      <c r="AS151" s="1643">
        <v>2.5777897789713125</v>
      </c>
      <c r="AT151" s="1642">
        <v>3.0133368969288674</v>
      </c>
      <c r="AU151" s="1643">
        <v>2.9460848852381236</v>
      </c>
      <c r="AV151" s="1643">
        <v>2.5822102633295767</v>
      </c>
      <c r="AW151" s="1643">
        <v>2.6163235091335033</v>
      </c>
      <c r="AX151" s="1642">
        <v>3.0583813422987949</v>
      </c>
      <c r="AY151" s="1643">
        <v>3.0034129674466312</v>
      </c>
      <c r="AZ151" s="1643">
        <v>2.632457682539239</v>
      </c>
      <c r="BA151" s="1643">
        <v>2.6672347404993073</v>
      </c>
      <c r="BB151" s="1905">
        <v>3.117894609514821</v>
      </c>
      <c r="BC151" s="1482"/>
      <c r="BD151" s="1482"/>
      <c r="BE151" s="1482">
        <f>AVERAGE(G151:J151)</f>
        <v>4.3251480263659952</v>
      </c>
      <c r="BF151" s="1482">
        <f>AVERAGE(K151:N151)</f>
        <v>4.0007762276785712</v>
      </c>
      <c r="BG151" s="1482">
        <f>AVERAGE(O151:R151)</f>
        <v>2.752091517857143</v>
      </c>
      <c r="BH151" s="1482">
        <f>AVERAGE(S151:V151)</f>
        <v>3.7244195312500001</v>
      </c>
      <c r="BI151" s="1482">
        <f>AVERAGE(W151:Z151)</f>
        <v>4.3820542392418025</v>
      </c>
      <c r="BJ151" s="1482">
        <f>AVERAGE(AA151:AD151)</f>
        <v>2.6328803023393492</v>
      </c>
      <c r="BK151" s="1482">
        <f>AVERAGE(AE151:AH151)</f>
        <v>2.5075177712685086</v>
      </c>
      <c r="BL151" s="1482">
        <f>AVERAGE(AI151:AL151)</f>
        <v>2.9824985499071941</v>
      </c>
      <c r="BM151" s="1482">
        <f>AVERAGE(AM151:AP151)</f>
        <v>2.8767841530054645</v>
      </c>
      <c r="BN151" s="1482">
        <f>AVERAGE(AQ151:AT151)</f>
        <v>2.7594999999999996</v>
      </c>
      <c r="BO151" s="1482">
        <f>AVERAGE(AU151:AX151)</f>
        <v>2.8007499999999994</v>
      </c>
      <c r="BP151" s="1482">
        <f>AVERAGE(AY151:BB151)</f>
        <v>2.8552499999999994</v>
      </c>
      <c r="BQ151" s="1482"/>
      <c r="BR151" s="1476"/>
      <c r="BS151" s="1477"/>
      <c r="BV151" s="1444"/>
      <c r="BW151" s="1443"/>
      <c r="BX151" s="1443"/>
      <c r="BY151" s="1443"/>
    </row>
    <row r="152" spans="3:77" ht="12.75" customHeight="1">
      <c r="C152" s="1773" t="s">
        <v>801</v>
      </c>
      <c r="D152" s="1729"/>
      <c r="E152" s="1729"/>
      <c r="F152" s="1730"/>
      <c r="G152" s="1718">
        <v>57.876923076923077</v>
      </c>
      <c r="H152" s="1704">
        <v>62.742307692307698</v>
      </c>
      <c r="I152" s="1704">
        <v>67.830769230769235</v>
      </c>
      <c r="J152" s="1719">
        <v>70.910714285714263</v>
      </c>
      <c r="K152" s="1718">
        <v>77.237500000000026</v>
      </c>
      <c r="L152" s="1704">
        <v>78.430769230769243</v>
      </c>
      <c r="M152" s="1704">
        <v>80.007142857142853</v>
      </c>
      <c r="N152" s="1719">
        <v>78.934615384615398</v>
      </c>
      <c r="O152" s="1718">
        <v>70.069230769230771</v>
      </c>
      <c r="P152" s="1704">
        <v>59.92307692307692</v>
      </c>
      <c r="Q152" s="1704">
        <v>61.334615384615397</v>
      </c>
      <c r="R152" s="1704">
        <v>66.634615384615373</v>
      </c>
      <c r="S152" s="1718">
        <v>66.511538461538478</v>
      </c>
      <c r="T152" s="1704">
        <v>66.914615384615374</v>
      </c>
      <c r="U152" s="1704">
        <v>64.0053846153846</v>
      </c>
      <c r="V152" s="1704">
        <v>62.446153846153841</v>
      </c>
      <c r="W152" s="1819">
        <v>63.813846153846164</v>
      </c>
      <c r="X152" s="1820">
        <v>60.582307692307708</v>
      </c>
      <c r="Y152" s="1820">
        <v>57.336923076923085</v>
      </c>
      <c r="Z152" s="1821">
        <v>56.106923076923081</v>
      </c>
      <c r="AA152" s="1819">
        <v>53.513846153846139</v>
      </c>
      <c r="AB152" s="1820">
        <v>52.858461538461547</v>
      </c>
      <c r="AC152" s="1820">
        <v>50.784615384615385</v>
      </c>
      <c r="AD152" s="1821">
        <v>46.303846153846159</v>
      </c>
      <c r="AE152" s="1819">
        <v>42.380769230769232</v>
      </c>
      <c r="AF152" s="1643">
        <v>41.192307692307693</v>
      </c>
      <c r="AG152" s="1643">
        <v>40.928571428571438</v>
      </c>
      <c r="AH152" s="1642">
        <v>44.896153846153844</v>
      </c>
      <c r="AI152" s="1643">
        <v>50.057692307692314</v>
      </c>
      <c r="AJ152" s="1643">
        <v>52.46153846153846</v>
      </c>
      <c r="AK152" s="1643">
        <v>52.98846153846155</v>
      </c>
      <c r="AL152" s="1642">
        <v>58.261538461538478</v>
      </c>
      <c r="AM152" s="1643">
        <v>60.850000000000009</v>
      </c>
      <c r="AN152" s="1643">
        <v>49</v>
      </c>
      <c r="AO152" s="1643">
        <v>49</v>
      </c>
      <c r="AP152" s="1642">
        <v>49</v>
      </c>
      <c r="AQ152" s="1643">
        <v>48.154286333412259</v>
      </c>
      <c r="AR152" s="1643">
        <v>48.154286333412259</v>
      </c>
      <c r="AS152" s="1643">
        <v>48.154286333412259</v>
      </c>
      <c r="AT152" s="1642">
        <v>55.537140999763238</v>
      </c>
      <c r="AU152" s="1643">
        <v>48.154286333412259</v>
      </c>
      <c r="AV152" s="1643">
        <v>48.154286333412259</v>
      </c>
      <c r="AW152" s="1643">
        <v>48.154286333412259</v>
      </c>
      <c r="AX152" s="1642">
        <v>55.537140999763238</v>
      </c>
      <c r="AY152" s="1643">
        <v>48.154286333412259</v>
      </c>
      <c r="AZ152" s="1643">
        <v>48.154286333412259</v>
      </c>
      <c r="BA152" s="1643">
        <v>48.154286333412259</v>
      </c>
      <c r="BB152" s="1905">
        <v>55.537140999763238</v>
      </c>
      <c r="BC152" s="1482"/>
      <c r="BD152" s="1482"/>
      <c r="BE152" s="1482">
        <f>AVERAGE(G152:J152)</f>
        <v>64.840178571428567</v>
      </c>
      <c r="BF152" s="1482">
        <f>AVERAGE(K152:N152)</f>
        <v>78.652506868131894</v>
      </c>
      <c r="BG152" s="1482">
        <f>AVERAGE(O152:R152)</f>
        <v>64.490384615384613</v>
      </c>
      <c r="BH152" s="1482">
        <f>AVERAGE(S152:V152)</f>
        <v>64.969423076923078</v>
      </c>
      <c r="BI152" s="1482">
        <f>AVERAGE(W152:Z152)</f>
        <v>59.460000000000008</v>
      </c>
      <c r="BJ152" s="1482">
        <f>AVERAGE(AA152:AD152)</f>
        <v>50.865192307692311</v>
      </c>
      <c r="BK152" s="1482">
        <f>AVERAGE(AE152:AH152)</f>
        <v>42.349450549450552</v>
      </c>
      <c r="BL152" s="1482">
        <f>AVERAGE(AI152:AL152)</f>
        <v>53.442307692307693</v>
      </c>
      <c r="BM152" s="1482">
        <f>AVERAGE(AM152:AP152)</f>
        <v>51.962500000000006</v>
      </c>
      <c r="BN152" s="1482">
        <f>AVERAGE(AQ152:AT152)</f>
        <v>50.000000000000007</v>
      </c>
      <c r="BO152" s="1482">
        <f>AVERAGE(AU152:AX152)</f>
        <v>50.000000000000007</v>
      </c>
      <c r="BP152" s="1482">
        <f>AVERAGE(AY152:BB152)</f>
        <v>50.000000000000007</v>
      </c>
      <c r="BQ152" s="1482"/>
      <c r="BR152" s="1476"/>
      <c r="BS152" s="1477"/>
      <c r="BV152" s="1444"/>
      <c r="BW152" s="1443"/>
      <c r="BX152" s="1443"/>
      <c r="BY152" s="1443"/>
    </row>
    <row r="153" spans="3:77" ht="12.75" customHeight="1">
      <c r="C153" s="1773" t="s">
        <v>802</v>
      </c>
      <c r="D153" s="1729"/>
      <c r="E153" s="1729"/>
      <c r="F153" s="1730"/>
      <c r="G153" s="1718">
        <v>10.753846153846155</v>
      </c>
      <c r="H153" s="1704">
        <v>12.153846153846153</v>
      </c>
      <c r="I153" s="1704">
        <v>14.249999999999998</v>
      </c>
      <c r="J153" s="1719">
        <v>13.750000000000002</v>
      </c>
      <c r="K153" s="1718">
        <v>13.887499999999998</v>
      </c>
      <c r="L153" s="1704">
        <v>12.738461538461538</v>
      </c>
      <c r="M153" s="1704">
        <v>14.228571428571428</v>
      </c>
      <c r="N153" s="1719">
        <v>13.626923076923076</v>
      </c>
      <c r="O153" s="1718">
        <v>9.8423076923076955</v>
      </c>
      <c r="P153" s="1704">
        <v>9.1000000000000014</v>
      </c>
      <c r="Q153" s="1704">
        <v>8.8346153846153861</v>
      </c>
      <c r="R153" s="1704">
        <v>10.123076923076923</v>
      </c>
      <c r="S153" s="1718">
        <v>10.238461538461538</v>
      </c>
      <c r="T153" s="1704">
        <v>10.513846153846153</v>
      </c>
      <c r="U153" s="1704">
        <v>10.403846153846152</v>
      </c>
      <c r="V153" s="1704">
        <v>10.982307692307691</v>
      </c>
      <c r="W153" s="1819">
        <v>12.356153846153846</v>
      </c>
      <c r="X153" s="1820">
        <v>12.986153846153845</v>
      </c>
      <c r="Y153" s="1820">
        <v>11.965384615384615</v>
      </c>
      <c r="Z153" s="1821">
        <v>11.526923076923076</v>
      </c>
      <c r="AA153" s="1819">
        <v>11.592307692307692</v>
      </c>
      <c r="AB153" s="1820">
        <v>11.55</v>
      </c>
      <c r="AC153" s="1820">
        <v>11.592307692307692</v>
      </c>
      <c r="AD153" s="1821">
        <v>11.342307692307694</v>
      </c>
      <c r="AE153" s="1819">
        <v>9.7807692307692307</v>
      </c>
      <c r="AF153" s="1643">
        <v>9.1807692307692292</v>
      </c>
      <c r="AG153" s="1643">
        <v>8.6428571428571441</v>
      </c>
      <c r="AH153" s="1642">
        <v>9.3461538461538467</v>
      </c>
      <c r="AI153" s="1643">
        <v>11.473076923076921</v>
      </c>
      <c r="AJ153" s="1643">
        <v>11.597692307692309</v>
      </c>
      <c r="AK153" s="1643">
        <v>11.516153846153847</v>
      </c>
      <c r="AL153" s="1642">
        <v>11.923076923076922</v>
      </c>
      <c r="AM153" s="1643">
        <v>12.296153846153848</v>
      </c>
      <c r="AN153" s="1643">
        <v>11</v>
      </c>
      <c r="AO153" s="1643">
        <v>11.35</v>
      </c>
      <c r="AP153" s="1642">
        <v>11.65</v>
      </c>
      <c r="AQ153" s="1643">
        <v>11.728652443964354</v>
      </c>
      <c r="AR153" s="1643">
        <v>11.728652443964354</v>
      </c>
      <c r="AS153" s="1643">
        <v>11.728652443964354</v>
      </c>
      <c r="AT153" s="1642">
        <v>11.414042668106942</v>
      </c>
      <c r="AU153" s="1643">
        <v>11.728652443964354</v>
      </c>
      <c r="AV153" s="1643">
        <v>11.728652443964354</v>
      </c>
      <c r="AW153" s="1643">
        <v>11.728652443964354</v>
      </c>
      <c r="AX153" s="1642">
        <v>11.414042668106942</v>
      </c>
      <c r="AY153" s="1643">
        <v>11.728652443964354</v>
      </c>
      <c r="AZ153" s="1643">
        <v>11.728652443964354</v>
      </c>
      <c r="BA153" s="1643">
        <v>11.728652443964354</v>
      </c>
      <c r="BB153" s="1905">
        <v>11.414042668106942</v>
      </c>
      <c r="BC153" s="1482"/>
      <c r="BD153" s="1482"/>
      <c r="BE153" s="1482">
        <f>AVERAGE(G153:J153)</f>
        <v>12.726923076923077</v>
      </c>
      <c r="BF153" s="1482">
        <f>AVERAGE(K153:N153)</f>
        <v>13.620364010989011</v>
      </c>
      <c r="BG153" s="1482">
        <f>AVERAGE(O153:R153)</f>
        <v>9.4750000000000014</v>
      </c>
      <c r="BH153" s="1482">
        <f>AVERAGE(S153:V153)</f>
        <v>10.534615384615384</v>
      </c>
      <c r="BI153" s="1482">
        <f>AVERAGE(W153:Z153)</f>
        <v>12.208653846153846</v>
      </c>
      <c r="BJ153" s="1482">
        <f>AVERAGE(AA153:AD153)</f>
        <v>11.519230769230768</v>
      </c>
      <c r="BK153" s="1482">
        <f>AVERAGE(AE153:AH153)</f>
        <v>9.2376373626373631</v>
      </c>
      <c r="BL153" s="1482">
        <f>AVERAGE(AI153:AL153)</f>
        <v>11.6275</v>
      </c>
      <c r="BM153" s="1482">
        <f>AVERAGE(AM153:AP153)</f>
        <v>11.574038461538462</v>
      </c>
      <c r="BN153" s="1482">
        <f>AVERAGE(AQ153:AT153)</f>
        <v>11.650000000000002</v>
      </c>
      <c r="BO153" s="1482">
        <f>AVERAGE(AU153:AX153)</f>
        <v>11.650000000000002</v>
      </c>
      <c r="BP153" s="1482">
        <f>AVERAGE(AY153:BB153)</f>
        <v>11.650000000000002</v>
      </c>
      <c r="BQ153" s="1482"/>
      <c r="BR153" s="1476"/>
      <c r="BS153" s="1477"/>
      <c r="BV153" s="1444"/>
      <c r="BW153" s="1443"/>
      <c r="BX153" s="1443"/>
      <c r="BY153" s="1443"/>
    </row>
    <row r="154" spans="3:77" ht="12.75" customHeight="1">
      <c r="C154" s="1773" t="s">
        <v>342</v>
      </c>
      <c r="D154" s="1729"/>
      <c r="E154" s="1729"/>
      <c r="F154" s="1730"/>
      <c r="G154" s="1718">
        <v>57.360769230769236</v>
      </c>
      <c r="H154" s="1704">
        <v>61.346153846153847</v>
      </c>
      <c r="I154" s="1704">
        <v>65.019230769230774</v>
      </c>
      <c r="J154" s="1719">
        <v>69.714285714285708</v>
      </c>
      <c r="K154" s="1718">
        <v>73.291666666666657</v>
      </c>
      <c r="L154" s="1704">
        <v>77.380769230769218</v>
      </c>
      <c r="M154" s="1704">
        <v>77.203571428571422</v>
      </c>
      <c r="N154" s="1719">
        <v>76.461538461538453</v>
      </c>
      <c r="O154" s="1718">
        <v>70.211538461538439</v>
      </c>
      <c r="P154" s="1704">
        <v>64.988461538461522</v>
      </c>
      <c r="Q154" s="1704">
        <v>64.992307692307705</v>
      </c>
      <c r="R154" s="1704">
        <v>64.276923076923083</v>
      </c>
      <c r="S154" s="1718">
        <v>62.246153846153859</v>
      </c>
      <c r="T154" s="1704">
        <v>64.961538461538467</v>
      </c>
      <c r="U154" s="1704">
        <v>68.230769230769226</v>
      </c>
      <c r="V154" s="1704">
        <v>68.615384615384613</v>
      </c>
      <c r="W154" s="1819">
        <v>68.453846153846143</v>
      </c>
      <c r="X154" s="1820">
        <v>67.120769230769227</v>
      </c>
      <c r="Y154" s="1820">
        <v>63.607692307692297</v>
      </c>
      <c r="Z154" s="1821">
        <v>53.301576923076922</v>
      </c>
      <c r="AA154" s="1819">
        <v>50.83815384615383</v>
      </c>
      <c r="AB154" s="1820">
        <v>50.215538461538465</v>
      </c>
      <c r="AC154" s="1820">
        <v>48.245384615384616</v>
      </c>
      <c r="AD154" s="1821">
        <v>43.988653846153852</v>
      </c>
      <c r="AE154" s="1819">
        <v>40.261730769230766</v>
      </c>
      <c r="AF154" s="1643">
        <v>39.132692307692309</v>
      </c>
      <c r="AG154" s="1643">
        <v>38.882142857142867</v>
      </c>
      <c r="AH154" s="1642">
        <v>42.651346153846148</v>
      </c>
      <c r="AI154" s="1643">
        <v>47.554807692307698</v>
      </c>
      <c r="AJ154" s="1643">
        <v>49.838461538461537</v>
      </c>
      <c r="AK154" s="1643">
        <v>50.339038461538472</v>
      </c>
      <c r="AL154" s="1642">
        <v>55.348461538461549</v>
      </c>
      <c r="AM154" s="1643">
        <v>57.807500000000005</v>
      </c>
      <c r="AN154" s="1643">
        <v>46.55</v>
      </c>
      <c r="AO154" s="1643">
        <v>46.55</v>
      </c>
      <c r="AP154" s="1642">
        <v>46.55</v>
      </c>
      <c r="AQ154" s="1643">
        <v>45.746572016741645</v>
      </c>
      <c r="AR154" s="1643">
        <v>45.746572016741645</v>
      </c>
      <c r="AS154" s="1643">
        <v>45.746572016741645</v>
      </c>
      <c r="AT154" s="1642">
        <v>52.760283949775072</v>
      </c>
      <c r="AU154" s="1643">
        <v>45.746572016741645</v>
      </c>
      <c r="AV154" s="1643">
        <v>45.746572016741645</v>
      </c>
      <c r="AW154" s="1643">
        <v>45.746572016741645</v>
      </c>
      <c r="AX154" s="1642">
        <v>52.760283949775072</v>
      </c>
      <c r="AY154" s="1643">
        <v>45.746572016741645</v>
      </c>
      <c r="AZ154" s="1643">
        <v>45.746572016741645</v>
      </c>
      <c r="BA154" s="1643">
        <v>45.746572016741645</v>
      </c>
      <c r="BB154" s="1905">
        <v>52.760283949775072</v>
      </c>
      <c r="BC154" s="1482"/>
      <c r="BD154" s="1482"/>
      <c r="BE154" s="1482">
        <f>AVERAGE(G154:J154)</f>
        <v>63.360109890109896</v>
      </c>
      <c r="BF154" s="1482">
        <f>AVERAGE(K154:N154)</f>
        <v>76.084386446886441</v>
      </c>
      <c r="BG154" s="1482">
        <f>AVERAGE(O154:R154)</f>
        <v>66.117307692307691</v>
      </c>
      <c r="BH154" s="1482">
        <f>AVERAGE(S154:V154)</f>
        <v>66.013461538461542</v>
      </c>
      <c r="BI154" s="1482">
        <f>AVERAGE(W154:Z154)</f>
        <v>63.120971153846142</v>
      </c>
      <c r="BJ154" s="1482">
        <f>AVERAGE(AA154:AD154)</f>
        <v>48.321932692307691</v>
      </c>
      <c r="BK154" s="1482">
        <f>AVERAGE(AE154:AH154)</f>
        <v>40.231978021978023</v>
      </c>
      <c r="BL154" s="1482">
        <f>AVERAGE(AI154:AL154)</f>
        <v>50.770192307692312</v>
      </c>
      <c r="BM154" s="1482">
        <f>AVERAGE(AM154:AP154)</f>
        <v>49.364374999999995</v>
      </c>
      <c r="BN154" s="1482">
        <f>AVERAGE(AQ154:AT154)</f>
        <v>47.5</v>
      </c>
      <c r="BO154" s="1482">
        <f>AVERAGE(AU154:AX154)</f>
        <v>47.5</v>
      </c>
      <c r="BP154" s="1482">
        <f>AVERAGE(AY154:BB154)</f>
        <v>47.5</v>
      </c>
      <c r="BQ154" s="1482"/>
      <c r="BR154" s="1476"/>
      <c r="BS154" s="1477"/>
      <c r="BV154" s="1444"/>
      <c r="BW154" s="1443"/>
      <c r="BX154" s="1443"/>
      <c r="BY154" s="1443"/>
    </row>
    <row r="155" spans="3:77" ht="12.75" customHeight="1">
      <c r="C155" s="1773" t="s">
        <v>343</v>
      </c>
      <c r="D155" s="1729"/>
      <c r="E155" s="1729"/>
      <c r="F155" s="1730"/>
      <c r="G155" s="1718">
        <v>41.269230769230766</v>
      </c>
      <c r="H155" s="1704">
        <v>41.919230769230765</v>
      </c>
      <c r="I155" s="1704">
        <v>42.634615384615387</v>
      </c>
      <c r="J155" s="1719">
        <v>47.214285714285715</v>
      </c>
      <c r="K155" s="1718">
        <v>47.5</v>
      </c>
      <c r="L155" s="1704">
        <v>47.730769230769234</v>
      </c>
      <c r="M155" s="1704">
        <v>47.8</v>
      </c>
      <c r="N155" s="1719">
        <v>48.323076923076918</v>
      </c>
      <c r="O155" s="1718">
        <v>52.46153846153846</v>
      </c>
      <c r="P155" s="1704">
        <v>48.615384615384613</v>
      </c>
      <c r="Q155" s="1704">
        <v>47.42307692307692</v>
      </c>
      <c r="R155" s="1704">
        <v>47.888461538461527</v>
      </c>
      <c r="S155" s="1718">
        <v>46.630769230769218</v>
      </c>
      <c r="T155" s="1704">
        <v>45.149999999999984</v>
      </c>
      <c r="U155" s="1704">
        <v>45.534615384615371</v>
      </c>
      <c r="V155" s="1704">
        <v>46.149999999999984</v>
      </c>
      <c r="W155" s="1819">
        <v>46.578461538461518</v>
      </c>
      <c r="X155" s="1820">
        <v>46.272307692307692</v>
      </c>
      <c r="Y155" s="1820">
        <v>44.207692307692305</v>
      </c>
      <c r="Z155" s="1821">
        <v>39.274846153846156</v>
      </c>
      <c r="AA155" s="1819">
        <v>37.459692307692293</v>
      </c>
      <c r="AB155" s="1820">
        <v>37.00092307692308</v>
      </c>
      <c r="AC155" s="1820">
        <v>35.549230769230768</v>
      </c>
      <c r="AD155" s="1821">
        <v>32.412692307692311</v>
      </c>
      <c r="AE155" s="1819">
        <v>29.666538461538462</v>
      </c>
      <c r="AF155" s="1643">
        <v>28.834615384615383</v>
      </c>
      <c r="AG155" s="1643">
        <v>28.650000000000006</v>
      </c>
      <c r="AH155" s="1642">
        <v>31.427307692307689</v>
      </c>
      <c r="AI155" s="1643">
        <v>35.040384615384617</v>
      </c>
      <c r="AJ155" s="1643">
        <v>36.723076923076917</v>
      </c>
      <c r="AK155" s="1643">
        <v>37.091923076923081</v>
      </c>
      <c r="AL155" s="1642">
        <v>40.783076923076933</v>
      </c>
      <c r="AM155" s="1643">
        <v>42.595000000000006</v>
      </c>
      <c r="AN155" s="1643">
        <v>34.299999999999997</v>
      </c>
      <c r="AO155" s="1643">
        <v>34.299999999999997</v>
      </c>
      <c r="AP155" s="1642">
        <v>34.299999999999997</v>
      </c>
      <c r="AQ155" s="1643">
        <v>33.708000433388577</v>
      </c>
      <c r="AR155" s="1643">
        <v>33.708000433388577</v>
      </c>
      <c r="AS155" s="1643">
        <v>33.708000433388577</v>
      </c>
      <c r="AT155" s="1642">
        <v>38.875998699834263</v>
      </c>
      <c r="AU155" s="1643">
        <v>33.708000433388577</v>
      </c>
      <c r="AV155" s="1643">
        <v>33.708000433388577</v>
      </c>
      <c r="AW155" s="1643">
        <v>33.708000433388577</v>
      </c>
      <c r="AX155" s="1642">
        <v>38.875998699834263</v>
      </c>
      <c r="AY155" s="1643">
        <v>33.708000433388577</v>
      </c>
      <c r="AZ155" s="1643">
        <v>33.708000433388577</v>
      </c>
      <c r="BA155" s="1643">
        <v>33.708000433388577</v>
      </c>
      <c r="BB155" s="1905">
        <v>38.875998699834263</v>
      </c>
      <c r="BC155" s="1482"/>
      <c r="BD155" s="1482"/>
      <c r="BE155" s="1482">
        <f>AVERAGE(G155:J155)</f>
        <v>43.259340659340658</v>
      </c>
      <c r="BF155" s="1482">
        <f>AVERAGE(K155:N155)</f>
        <v>47.838461538461537</v>
      </c>
      <c r="BG155" s="1482">
        <f>AVERAGE(O155:R155)</f>
        <v>49.097115384615378</v>
      </c>
      <c r="BH155" s="1482">
        <f>AVERAGE(S155:V155)</f>
        <v>45.866346153846138</v>
      </c>
      <c r="BI155" s="1482">
        <f>AVERAGE(W155:Z155)</f>
        <v>44.08332692307691</v>
      </c>
      <c r="BJ155" s="1482">
        <f>AVERAGE(AA155:AD155)</f>
        <v>35.605634615384616</v>
      </c>
      <c r="BK155" s="1482">
        <f>AVERAGE(AE155:AH155)</f>
        <v>29.644615384615385</v>
      </c>
      <c r="BL155" s="1482">
        <f>AVERAGE(AI155:AL155)</f>
        <v>37.409615384615392</v>
      </c>
      <c r="BM155" s="1482">
        <f>AVERAGE(AM155:AP155)</f>
        <v>36.373750000000001</v>
      </c>
      <c r="BN155" s="1482">
        <f>AVERAGE(AQ155:AT155)</f>
        <v>35</v>
      </c>
      <c r="BO155" s="1482">
        <f>AVERAGE(AU155:AX155)</f>
        <v>35</v>
      </c>
      <c r="BP155" s="1482">
        <f>AVERAGE(AY155:BB155)</f>
        <v>35</v>
      </c>
      <c r="BQ155" s="1482"/>
      <c r="BR155" s="1476"/>
      <c r="BS155" s="1477"/>
      <c r="BV155" s="1444"/>
      <c r="BW155" s="1443"/>
      <c r="BX155" s="1443"/>
      <c r="BY155" s="1443"/>
    </row>
    <row r="156" spans="3:77" ht="12.75" customHeight="1">
      <c r="C156" s="1773"/>
      <c r="D156" s="1729"/>
      <c r="E156" s="1729"/>
      <c r="F156" s="1731"/>
      <c r="G156" s="1718"/>
      <c r="H156" s="1704"/>
      <c r="I156" s="1704"/>
      <c r="J156" s="1719"/>
      <c r="K156" s="1718"/>
      <c r="L156" s="1704"/>
      <c r="M156" s="1704"/>
      <c r="N156" s="1719"/>
      <c r="O156" s="1718"/>
      <c r="P156" s="1704"/>
      <c r="Q156" s="1704"/>
      <c r="R156" s="1705"/>
      <c r="S156" s="1706"/>
      <c r="T156" s="1705"/>
      <c r="U156" s="1705"/>
      <c r="V156" s="1707"/>
      <c r="W156" s="1643"/>
      <c r="X156" s="1643"/>
      <c r="Y156" s="1643"/>
      <c r="Z156" s="1642"/>
      <c r="AA156" s="1643"/>
      <c r="AB156" s="1643"/>
      <c r="AC156" s="1643"/>
      <c r="AD156" s="1642"/>
      <c r="AE156" s="1643"/>
      <c r="AF156" s="1643"/>
      <c r="AG156" s="1643"/>
      <c r="AH156" s="1642"/>
      <c r="AI156" s="1643"/>
      <c r="AJ156" s="1643"/>
      <c r="AK156" s="1643"/>
      <c r="AL156" s="1642"/>
      <c r="AM156" s="1643"/>
      <c r="AN156" s="1643"/>
      <c r="AO156" s="1643"/>
      <c r="AP156" s="1642"/>
      <c r="AQ156" s="1643"/>
      <c r="AR156" s="1643"/>
      <c r="AS156" s="1643"/>
      <c r="AT156" s="1642"/>
      <c r="AU156" s="1643"/>
      <c r="AV156" s="1643"/>
      <c r="AW156" s="1643"/>
      <c r="AX156" s="1642"/>
      <c r="AY156" s="1643"/>
      <c r="AZ156" s="1643"/>
      <c r="BA156" s="1643"/>
      <c r="BB156" s="1905"/>
      <c r="BC156" s="1489"/>
      <c r="BD156" s="1489"/>
      <c r="BE156" s="1489"/>
      <c r="BF156" s="1489"/>
      <c r="BG156" s="1489"/>
      <c r="BH156" s="1489"/>
      <c r="BI156" s="1489"/>
      <c r="BJ156" s="1489"/>
      <c r="BK156" s="1489"/>
      <c r="BL156" s="1489"/>
      <c r="BM156" s="1489"/>
      <c r="BN156" s="1489"/>
      <c r="BO156" s="1489"/>
      <c r="BP156" s="1489"/>
      <c r="BQ156" s="1489"/>
      <c r="BR156" s="1490"/>
      <c r="BS156" s="1491"/>
      <c r="BV156" s="1444"/>
      <c r="BW156" s="1443"/>
      <c r="BX156" s="1443"/>
      <c r="BY156" s="1443"/>
    </row>
    <row r="157" spans="3:77" ht="12.75" customHeight="1">
      <c r="C157" s="1773"/>
      <c r="D157" s="1729"/>
      <c r="E157" s="1729"/>
      <c r="F157" s="1731"/>
      <c r="G157" s="1720"/>
      <c r="H157" s="1723"/>
      <c r="I157" s="1723"/>
      <c r="J157" s="1724"/>
      <c r="K157" s="1720"/>
      <c r="L157" s="1723"/>
      <c r="M157" s="1723"/>
      <c r="N157" s="1724"/>
      <c r="O157" s="1720"/>
      <c r="P157" s="1723"/>
      <c r="Q157" s="1723"/>
      <c r="R157" s="1708"/>
      <c r="S157" s="1709"/>
      <c r="T157" s="1708"/>
      <c r="U157" s="1708"/>
      <c r="V157" s="1711"/>
      <c r="W157" s="1656"/>
      <c r="X157" s="1656"/>
      <c r="Y157" s="1656"/>
      <c r="Z157" s="1658"/>
      <c r="AA157" s="1656"/>
      <c r="AB157" s="1656"/>
      <c r="AC157" s="1656"/>
      <c r="AD157" s="1658"/>
      <c r="AE157" s="1656"/>
      <c r="AF157" s="1660"/>
      <c r="AG157" s="1660"/>
      <c r="AH157" s="1659"/>
      <c r="AI157" s="1660"/>
      <c r="AJ157" s="1660"/>
      <c r="AK157" s="1660"/>
      <c r="AL157" s="1659"/>
      <c r="AM157" s="1660"/>
      <c r="AN157" s="1660"/>
      <c r="AO157" s="1660"/>
      <c r="AP157" s="1659"/>
      <c r="AQ157" s="1660"/>
      <c r="AR157" s="1660"/>
      <c r="AS157" s="1660"/>
      <c r="AT157" s="1659"/>
      <c r="AU157" s="1660"/>
      <c r="AV157" s="1660"/>
      <c r="AW157" s="1660"/>
      <c r="AX157" s="1659"/>
      <c r="AY157" s="1660"/>
      <c r="AZ157" s="1660"/>
      <c r="BA157" s="1660"/>
      <c r="BB157" s="1906"/>
      <c r="BC157" s="1494"/>
      <c r="BD157" s="1494"/>
      <c r="BE157" s="1494"/>
      <c r="BF157" s="1494"/>
      <c r="BG157" s="1494"/>
      <c r="BH157" s="1494"/>
      <c r="BI157" s="1494"/>
      <c r="BJ157" s="1494"/>
      <c r="BK157" s="1494"/>
      <c r="BL157" s="1494"/>
      <c r="BM157" s="1494"/>
      <c r="BN157" s="1494"/>
      <c r="BO157" s="1494"/>
      <c r="BP157" s="1494"/>
      <c r="BQ157" s="1494"/>
      <c r="BR157" s="1490"/>
      <c r="BS157" s="1491"/>
      <c r="BV157" s="1444"/>
      <c r="BW157" s="1443"/>
      <c r="BX157" s="1443"/>
      <c r="BY157" s="1443"/>
    </row>
    <row r="158" spans="3:77" ht="12.75" customHeight="1">
      <c r="C158" s="1774" t="s">
        <v>893</v>
      </c>
      <c r="D158" s="1732"/>
      <c r="E158" s="1732"/>
      <c r="F158" s="1733"/>
      <c r="G158" s="1718"/>
      <c r="H158" s="1704"/>
      <c r="I158" s="1704"/>
      <c r="J158" s="1719"/>
      <c r="K158" s="1718"/>
      <c r="L158" s="1704"/>
      <c r="M158" s="1704"/>
      <c r="N158" s="1719"/>
      <c r="O158" s="1718"/>
      <c r="P158" s="1704"/>
      <c r="Q158" s="1704"/>
      <c r="R158" s="1705"/>
      <c r="S158" s="1706"/>
      <c r="T158" s="1705"/>
      <c r="U158" s="1705"/>
      <c r="V158" s="1707"/>
      <c r="W158" s="1820"/>
      <c r="X158" s="1643"/>
      <c r="Y158" s="1643"/>
      <c r="Z158" s="1642"/>
      <c r="AA158" s="1820"/>
      <c r="AB158" s="1643"/>
      <c r="AC158" s="1643"/>
      <c r="AD158" s="1642"/>
      <c r="AE158" s="1820"/>
      <c r="AF158" s="1643"/>
      <c r="AG158" s="1643"/>
      <c r="AH158" s="1642"/>
      <c r="AI158" s="1643"/>
      <c r="AJ158" s="1643"/>
      <c r="AK158" s="1643"/>
      <c r="AL158" s="1642"/>
      <c r="AM158" s="1643"/>
      <c r="AN158" s="1643"/>
      <c r="AO158" s="1643"/>
      <c r="AP158" s="1642"/>
      <c r="AQ158" s="1643"/>
      <c r="AR158" s="1643"/>
      <c r="AS158" s="1643"/>
      <c r="AT158" s="1642"/>
      <c r="AU158" s="1643"/>
      <c r="AV158" s="1643"/>
      <c r="AW158" s="1643"/>
      <c r="AX158" s="1642"/>
      <c r="AY158" s="1643"/>
      <c r="AZ158" s="1643"/>
      <c r="BA158" s="1643"/>
      <c r="BB158" s="1905"/>
      <c r="BC158" s="1489"/>
      <c r="BD158" s="1489"/>
      <c r="BE158" s="1489"/>
      <c r="BF158" s="1489"/>
      <c r="BG158" s="1489"/>
      <c r="BH158" s="1499"/>
      <c r="BI158" s="1500"/>
      <c r="BJ158" s="1499"/>
      <c r="BK158" s="1499"/>
      <c r="BL158" s="1499"/>
      <c r="BM158" s="1499"/>
      <c r="BN158" s="1499"/>
      <c r="BO158" s="1499"/>
      <c r="BP158" s="1499"/>
      <c r="BQ158" s="1499"/>
      <c r="BR158" s="1490"/>
      <c r="BS158" s="1501"/>
      <c r="BT158" s="1501"/>
      <c r="BV158" s="1444"/>
      <c r="BW158" s="1443"/>
      <c r="BX158" s="1443"/>
      <c r="BY158" s="1443"/>
    </row>
    <row r="159" spans="3:77" ht="12.75" customHeight="1">
      <c r="C159" s="1773" t="s">
        <v>803</v>
      </c>
      <c r="D159" s="1729"/>
      <c r="E159" s="1734"/>
      <c r="F159" s="1735"/>
      <c r="G159" s="1718">
        <v>51.133632812499997</v>
      </c>
      <c r="H159" s="1704">
        <v>51.354570312500016</v>
      </c>
      <c r="I159" s="1704">
        <v>67.22877929687499</v>
      </c>
      <c r="J159" s="1719">
        <v>51.534971153846179</v>
      </c>
      <c r="K159" s="1718">
        <v>63.793710937500023</v>
      </c>
      <c r="L159" s="1704">
        <v>48.444853515625013</v>
      </c>
      <c r="M159" s="1704">
        <v>55.141689453125004</v>
      </c>
      <c r="N159" s="1719">
        <v>41.796567460317455</v>
      </c>
      <c r="O159" s="1718">
        <v>33.353476562500006</v>
      </c>
      <c r="P159" s="1704">
        <v>34.616933593750005</v>
      </c>
      <c r="Q159" s="1704">
        <v>46.289513888888905</v>
      </c>
      <c r="R159" s="1704">
        <v>50.846972656250003</v>
      </c>
      <c r="S159" s="1718">
        <v>89.765515873015843</v>
      </c>
      <c r="T159" s="1704">
        <v>45.063007812499997</v>
      </c>
      <c r="U159" s="1704">
        <v>54.984013671875012</v>
      </c>
      <c r="V159" s="1721">
        <v>67.341074218749995</v>
      </c>
      <c r="W159" s="1819">
        <v>167.3350595238096</v>
      </c>
      <c r="X159" s="1820">
        <v>44.335244140625001</v>
      </c>
      <c r="Y159" s="1820">
        <v>41.33302734374999</v>
      </c>
      <c r="Z159" s="1821">
        <v>48.027636718749996</v>
      </c>
      <c r="AA159" s="1819">
        <v>87.659980158730164</v>
      </c>
      <c r="AB159" s="1820">
        <v>28.370332031249998</v>
      </c>
      <c r="AC159" s="1820">
        <v>42.395605769230762</v>
      </c>
      <c r="AD159" s="1821">
        <v>33.065136718749997</v>
      </c>
      <c r="AE159" s="1819">
        <v>30.31946289062499</v>
      </c>
      <c r="AF159" s="1643">
        <v>28.207148437500003</v>
      </c>
      <c r="AG159" s="1643">
        <v>42.730703124999998</v>
      </c>
      <c r="AH159" s="1642">
        <v>38.680972222222231</v>
      </c>
      <c r="AI159" s="1643">
        <v>33.978535156249983</v>
      </c>
      <c r="AJ159" s="1643">
        <v>33.298916015625018</v>
      </c>
      <c r="AK159" s="1643">
        <v>31.712827380952376</v>
      </c>
      <c r="AL159" s="1642">
        <v>52.552301587301585</v>
      </c>
      <c r="AM159" s="1643">
        <v>62.437333984375016</v>
      </c>
      <c r="AN159" s="1643">
        <v>32.65</v>
      </c>
      <c r="AO159" s="1643">
        <v>35.383333333333333</v>
      </c>
      <c r="AP159" s="1642">
        <v>42.35</v>
      </c>
      <c r="AQ159" s="1643">
        <v>73.199444871908256</v>
      </c>
      <c r="AR159" s="1643">
        <v>31.598138616301913</v>
      </c>
      <c r="AS159" s="1643">
        <v>36.852856695587477</v>
      </c>
      <c r="AT159" s="1642">
        <v>38.566226482602346</v>
      </c>
      <c r="AU159" s="1643">
        <v>73.199444871908256</v>
      </c>
      <c r="AV159" s="1643">
        <v>31.598138616301913</v>
      </c>
      <c r="AW159" s="1643">
        <v>36.852856695587477</v>
      </c>
      <c r="AX159" s="1642">
        <v>38.566226482602346</v>
      </c>
      <c r="AY159" s="1643">
        <v>73.361914739375962</v>
      </c>
      <c r="AZ159" s="1643">
        <v>31.668272281962913</v>
      </c>
      <c r="BA159" s="1643">
        <v>36.934653473604257</v>
      </c>
      <c r="BB159" s="1905">
        <v>38.651826171456854</v>
      </c>
      <c r="BC159" s="1489"/>
      <c r="BD159" s="1489"/>
      <c r="BE159" s="1489">
        <f t="shared" ref="BE159:BE174" si="372">AVERAGE(G159:J159)</f>
        <v>55.312988393930297</v>
      </c>
      <c r="BF159" s="1489">
        <f t="shared" ref="BF159:BF174" si="373">AVERAGE(K159:N159)</f>
        <v>52.29420534164187</v>
      </c>
      <c r="BG159" s="1489">
        <f t="shared" ref="BG159:BG174" si="374">AVERAGE(O159:R159)</f>
        <v>41.276724175347226</v>
      </c>
      <c r="BH159" s="1499">
        <f t="shared" ref="BH159:BH174" si="375">AVERAGE(S159:V159)</f>
        <v>64.288402894035215</v>
      </c>
      <c r="BI159" s="1499">
        <f t="shared" ref="BI159:BI174" si="376">AVERAGE(W159:Z159)</f>
        <v>75.257741931733648</v>
      </c>
      <c r="BJ159" s="1499">
        <f t="shared" ref="BJ159:BJ174" si="377">AVERAGE(AA159:AD159)</f>
        <v>47.872763669490226</v>
      </c>
      <c r="BK159" s="1499">
        <f t="shared" ref="BK159:BK174" si="378">AVERAGE(AE159:AH159)</f>
        <v>34.984571668836807</v>
      </c>
      <c r="BL159" s="1499">
        <f t="shared" ref="BL159:BL174" si="379">AVERAGE(AI159:AL159)</f>
        <v>37.88564503503224</v>
      </c>
      <c r="BM159" s="1499">
        <f t="shared" ref="BM159:BM174" si="380">AVERAGE(AM159:AP159)</f>
        <v>43.205166829427085</v>
      </c>
      <c r="BN159" s="1499">
        <f t="shared" ref="BN159:BN174" si="381">AVERAGE(AQ159:AT159)</f>
        <v>45.054166666599997</v>
      </c>
      <c r="BO159" s="1499">
        <f t="shared" ref="BO159:BO174" si="382">AVERAGE(AU159:AX159)</f>
        <v>45.054166666599997</v>
      </c>
      <c r="BP159" s="1499">
        <f t="shared" ref="BP159:BP174" si="383">AVERAGE(AY159:BB159)</f>
        <v>45.154166666599998</v>
      </c>
      <c r="BQ159" s="1499"/>
      <c r="BR159" s="1476"/>
      <c r="BS159" s="1504"/>
      <c r="BT159" s="1499"/>
      <c r="BV159" s="1444"/>
      <c r="BW159" s="1443"/>
      <c r="BX159" s="1443"/>
      <c r="BY159" s="1443"/>
    </row>
    <row r="160" spans="3:77" ht="12.75" customHeight="1">
      <c r="C160" s="1773" t="s">
        <v>804</v>
      </c>
      <c r="D160" s="1729"/>
      <c r="E160" s="1734"/>
      <c r="F160" s="1735"/>
      <c r="G160" s="1718">
        <v>35.213945312500009</v>
      </c>
      <c r="H160" s="1704">
        <v>43.142958984374999</v>
      </c>
      <c r="I160" s="1704">
        <v>53.878339843750005</v>
      </c>
      <c r="J160" s="1719">
        <v>42.122894230769219</v>
      </c>
      <c r="K160" s="1718">
        <v>40.630429687500012</v>
      </c>
      <c r="L160" s="1704">
        <v>42.511806640624982</v>
      </c>
      <c r="M160" s="1704">
        <v>47.368398437499991</v>
      </c>
      <c r="N160" s="1719">
        <v>36.792847222222221</v>
      </c>
      <c r="O160" s="1718">
        <v>30.628144531250001</v>
      </c>
      <c r="P160" s="1704">
        <v>34.255439453125</v>
      </c>
      <c r="Q160" s="1704">
        <v>41.418353174603176</v>
      </c>
      <c r="R160" s="1704">
        <v>39.001152343749993</v>
      </c>
      <c r="S160" s="1718">
        <v>45.623531746031745</v>
      </c>
      <c r="T160" s="1704">
        <v>40.663671874999991</v>
      </c>
      <c r="U160" s="1704">
        <v>53.937705078124999</v>
      </c>
      <c r="V160" s="1721">
        <v>46.228017578124991</v>
      </c>
      <c r="W160" s="1819">
        <v>105.87010912698416</v>
      </c>
      <c r="X160" s="1820">
        <v>44.886210937499996</v>
      </c>
      <c r="Y160" s="1820">
        <v>43.024843750000009</v>
      </c>
      <c r="Z160" s="1821">
        <v>39.284560546874999</v>
      </c>
      <c r="AA160" s="1819">
        <v>53.16058531746031</v>
      </c>
      <c r="AB160" s="1820">
        <v>38.357529296875022</v>
      </c>
      <c r="AC160" s="1820">
        <v>40.580288461538458</v>
      </c>
      <c r="AD160" s="1821">
        <v>34.609042968749996</v>
      </c>
      <c r="AE160" s="1819">
        <v>30.752001953124992</v>
      </c>
      <c r="AF160" s="1643">
        <v>35.769550781249997</v>
      </c>
      <c r="AG160" s="1643">
        <v>46.082998046874998</v>
      </c>
      <c r="AH160" s="1642">
        <v>27.32274801587301</v>
      </c>
      <c r="AI160" s="1643">
        <v>27.648046875000006</v>
      </c>
      <c r="AJ160" s="1643">
        <v>33.630214843749989</v>
      </c>
      <c r="AK160" s="1643">
        <v>34.760575396825409</v>
      </c>
      <c r="AL160" s="1642">
        <v>35.233521825396821</v>
      </c>
      <c r="AM160" s="1643">
        <v>36.453183593749991</v>
      </c>
      <c r="AN160" s="1643">
        <v>37.466666666666661</v>
      </c>
      <c r="AO160" s="1643">
        <v>33.733333333333327</v>
      </c>
      <c r="AP160" s="1642">
        <v>37.766666666666666</v>
      </c>
      <c r="AQ160" s="1643">
        <v>52.984877086683952</v>
      </c>
      <c r="AR160" s="1643">
        <v>34.892480032694301</v>
      </c>
      <c r="AS160" s="1643">
        <v>31.661694844481872</v>
      </c>
      <c r="AT160" s="1642">
        <v>28.460948036139868</v>
      </c>
      <c r="AU160" s="1643">
        <v>52.579137036825585</v>
      </c>
      <c r="AV160" s="1643">
        <v>34.625285365714404</v>
      </c>
      <c r="AW160" s="1643">
        <v>31.419240424444556</v>
      </c>
      <c r="AX160" s="1642">
        <v>28.243003839415444</v>
      </c>
      <c r="AY160" s="1643">
        <v>52.937142963086963</v>
      </c>
      <c r="AZ160" s="1643">
        <v>34.861045365935311</v>
      </c>
      <c r="BA160" s="1643">
        <v>31.633170795015378</v>
      </c>
      <c r="BB160" s="1905">
        <v>28.435307542362334</v>
      </c>
      <c r="BC160" s="1489"/>
      <c r="BD160" s="1489"/>
      <c r="BE160" s="1489">
        <f t="shared" si="372"/>
        <v>43.589534592848558</v>
      </c>
      <c r="BF160" s="1489">
        <f t="shared" si="373"/>
        <v>41.825870496961798</v>
      </c>
      <c r="BG160" s="1489">
        <f t="shared" si="374"/>
        <v>36.325772375682043</v>
      </c>
      <c r="BH160" s="1499">
        <f t="shared" si="375"/>
        <v>46.613231569320433</v>
      </c>
      <c r="BI160" s="1499">
        <f t="shared" si="376"/>
        <v>58.266431090339793</v>
      </c>
      <c r="BJ160" s="1499">
        <f t="shared" si="377"/>
        <v>41.676861511155948</v>
      </c>
      <c r="BK160" s="1499">
        <f t="shared" si="378"/>
        <v>34.98182469928075</v>
      </c>
      <c r="BL160" s="1499">
        <f t="shared" si="379"/>
        <v>32.818089735243056</v>
      </c>
      <c r="BM160" s="1499">
        <f t="shared" si="380"/>
        <v>36.354962565104159</v>
      </c>
      <c r="BN160" s="1499">
        <f t="shared" si="381"/>
        <v>37</v>
      </c>
      <c r="BO160" s="1499">
        <f t="shared" si="382"/>
        <v>36.716666666599998</v>
      </c>
      <c r="BP160" s="1499">
        <f t="shared" si="383"/>
        <v>36.966666666599998</v>
      </c>
      <c r="BQ160" s="1499"/>
      <c r="BR160" s="1476"/>
      <c r="BS160" s="1504"/>
      <c r="BT160" s="1499"/>
      <c r="BV160" s="1444"/>
      <c r="BW160" s="1443"/>
      <c r="BX160" s="1443"/>
      <c r="BY160" s="1443"/>
    </row>
    <row r="161" spans="2:77" ht="12.75" customHeight="1">
      <c r="C161" s="1773" t="s">
        <v>805</v>
      </c>
      <c r="D161" s="1729"/>
      <c r="E161" s="1734"/>
      <c r="F161" s="1735"/>
      <c r="G161" s="1718">
        <v>50.319440104166667</v>
      </c>
      <c r="H161" s="1704">
        <v>55.080830078125018</v>
      </c>
      <c r="I161" s="1704">
        <v>72.568281249999998</v>
      </c>
      <c r="J161" s="1719">
        <v>55.060048076923088</v>
      </c>
      <c r="K161" s="1718">
        <v>61.319755859375</v>
      </c>
      <c r="L161" s="1704">
        <v>56.261513671875008</v>
      </c>
      <c r="M161" s="1704">
        <v>64.744736328125001</v>
      </c>
      <c r="N161" s="1719">
        <v>42.035863095238099</v>
      </c>
      <c r="O161" s="1718">
        <v>35.479599609374993</v>
      </c>
      <c r="P161" s="1704">
        <v>42.463750000000005</v>
      </c>
      <c r="Q161" s="1704">
        <v>49.926091269841251</v>
      </c>
      <c r="R161" s="1704">
        <v>46.815820312500001</v>
      </c>
      <c r="S161" s="1718">
        <v>71.969464285714295</v>
      </c>
      <c r="T161" s="1704">
        <v>47.40742187499999</v>
      </c>
      <c r="U161" s="1704">
        <v>63.43471679687498</v>
      </c>
      <c r="V161" s="1721">
        <v>49.675136718749997</v>
      </c>
      <c r="W161" s="1819">
        <v>145.08544642857149</v>
      </c>
      <c r="X161" s="1820">
        <v>45.55554687499999</v>
      </c>
      <c r="Y161" s="1820">
        <v>40.321435546875001</v>
      </c>
      <c r="Z161" s="1821">
        <v>42.091767578124994</v>
      </c>
      <c r="AA161" s="1819">
        <v>77.999513888888885</v>
      </c>
      <c r="AB161" s="1820">
        <v>32.442470703124989</v>
      </c>
      <c r="AC161" s="1820">
        <v>38.379144230769235</v>
      </c>
      <c r="AD161" s="1821">
        <v>27.262890625000001</v>
      </c>
      <c r="AE161" s="1819">
        <v>30.82033203124999</v>
      </c>
      <c r="AF161" s="1643">
        <v>28.172070312500008</v>
      </c>
      <c r="AG161" s="1643">
        <v>39.596083984375014</v>
      </c>
      <c r="AH161" s="1642">
        <v>34.996567460317451</v>
      </c>
      <c r="AI161" s="1643">
        <v>34.973046875000001</v>
      </c>
      <c r="AJ161" s="1643">
        <v>33.375703125000008</v>
      </c>
      <c r="AK161" s="1643">
        <v>32.778422619047618</v>
      </c>
      <c r="AL161" s="1642">
        <v>41.835218253968264</v>
      </c>
      <c r="AM161" s="1643">
        <v>50.315361328125007</v>
      </c>
      <c r="AN161" s="1643">
        <v>37.133333333333333</v>
      </c>
      <c r="AO161" s="1643">
        <v>29.216666666666669</v>
      </c>
      <c r="AP161" s="1642">
        <v>41.81666666666667</v>
      </c>
      <c r="AQ161" s="1643">
        <v>72.206176601284838</v>
      </c>
      <c r="AR161" s="1643">
        <v>35.335679660435538</v>
      </c>
      <c r="AS161" s="1643">
        <v>28.167385316684786</v>
      </c>
      <c r="AT161" s="1642">
        <v>29.507425087994822</v>
      </c>
      <c r="AU161" s="1643">
        <v>73.276922890037596</v>
      </c>
      <c r="AV161" s="1643">
        <v>35.859672892564298</v>
      </c>
      <c r="AW161" s="1643">
        <v>28.585079823046065</v>
      </c>
      <c r="AX161" s="1642">
        <v>29.944991060752034</v>
      </c>
      <c r="AY161" s="1643">
        <v>73.888777912182022</v>
      </c>
      <c r="AZ161" s="1643">
        <v>36.159097596637878</v>
      </c>
      <c r="BA161" s="1643">
        <v>28.823762398109654</v>
      </c>
      <c r="BB161" s="1905">
        <v>30.195028759470443</v>
      </c>
      <c r="BC161" s="1489"/>
      <c r="BD161" s="1489"/>
      <c r="BE161" s="1489">
        <f t="shared" si="372"/>
        <v>58.257149877303696</v>
      </c>
      <c r="BF161" s="1489">
        <f t="shared" si="373"/>
        <v>56.090467238653275</v>
      </c>
      <c r="BG161" s="1489">
        <f t="shared" si="374"/>
        <v>43.671315297929063</v>
      </c>
      <c r="BH161" s="1499">
        <f t="shared" si="375"/>
        <v>58.121684919084821</v>
      </c>
      <c r="BI161" s="1499">
        <f t="shared" si="376"/>
        <v>68.263549107142865</v>
      </c>
      <c r="BJ161" s="1499">
        <f t="shared" si="377"/>
        <v>44.021004861945784</v>
      </c>
      <c r="BK161" s="1499">
        <f t="shared" si="378"/>
        <v>33.396263447110613</v>
      </c>
      <c r="BL161" s="1499">
        <f t="shared" si="379"/>
        <v>35.740597718253973</v>
      </c>
      <c r="BM161" s="1499">
        <f t="shared" si="380"/>
        <v>39.62050699869792</v>
      </c>
      <c r="BN161" s="1499">
        <f t="shared" si="381"/>
        <v>41.304166666599997</v>
      </c>
      <c r="BO161" s="1499">
        <f t="shared" si="382"/>
        <v>41.916666666600001</v>
      </c>
      <c r="BP161" s="1499">
        <f t="shared" si="383"/>
        <v>42.266666666599995</v>
      </c>
      <c r="BQ161" s="1499"/>
      <c r="BR161" s="1476"/>
      <c r="BS161" s="1504"/>
      <c r="BT161" s="1499"/>
      <c r="BV161" s="1444"/>
      <c r="BW161" s="1443"/>
      <c r="BX161" s="1443"/>
      <c r="BY161" s="1443"/>
    </row>
    <row r="162" spans="2:77" ht="12.75" customHeight="1">
      <c r="C162" s="1775" t="s">
        <v>806</v>
      </c>
      <c r="D162" s="1729"/>
      <c r="E162" s="1734"/>
      <c r="F162" s="1735"/>
      <c r="G162" s="1718">
        <v>55.422135416666663</v>
      </c>
      <c r="H162" s="1704">
        <v>64.299941406249999</v>
      </c>
      <c r="I162" s="1704">
        <v>80.573457031249987</v>
      </c>
      <c r="J162" s="1719">
        <v>59.753067307692298</v>
      </c>
      <c r="K162" s="1718">
        <v>70.866767578124993</v>
      </c>
      <c r="L162" s="1704">
        <v>61.81411132812498</v>
      </c>
      <c r="M162" s="1704">
        <v>68.602324218750013</v>
      </c>
      <c r="N162" s="1719">
        <v>45.84968253968254</v>
      </c>
      <c r="O162" s="1718">
        <v>40.598867187499984</v>
      </c>
      <c r="P162" s="1704">
        <v>44.787695312499999</v>
      </c>
      <c r="Q162" s="1704">
        <v>52.449682539682534</v>
      </c>
      <c r="R162" s="1704">
        <v>48.760292968750008</v>
      </c>
      <c r="S162" s="1718">
        <v>82.751825396825382</v>
      </c>
      <c r="T162" s="1704">
        <v>51.984208984375009</v>
      </c>
      <c r="U162" s="1704">
        <v>67.099775390625013</v>
      </c>
      <c r="V162" s="1721">
        <v>50.633037109375017</v>
      </c>
      <c r="W162" s="1819">
        <v>156.84135912698406</v>
      </c>
      <c r="X162" s="1820">
        <v>47.093769531249976</v>
      </c>
      <c r="Y162" s="1820">
        <v>41.267587890624995</v>
      </c>
      <c r="Z162" s="1821">
        <v>42.321269531250003</v>
      </c>
      <c r="AA162" s="1819">
        <v>80.378015873015883</v>
      </c>
      <c r="AB162" s="1820">
        <v>34.555751953125004</v>
      </c>
      <c r="AC162" s="1820">
        <v>41.128067307692319</v>
      </c>
      <c r="AD162" s="1821">
        <v>28.156972656249998</v>
      </c>
      <c r="AE162" s="1819">
        <v>32.810527343750003</v>
      </c>
      <c r="AF162" s="1643">
        <v>29.281435546875006</v>
      </c>
      <c r="AG162" s="1643">
        <v>42.594873046874994</v>
      </c>
      <c r="AH162" s="1642">
        <v>35.888214285714291</v>
      </c>
      <c r="AI162" s="1643">
        <v>35.824277343750005</v>
      </c>
      <c r="AJ162" s="1643">
        <v>38.990224609374998</v>
      </c>
      <c r="AK162" s="1643">
        <v>35.719781746031757</v>
      </c>
      <c r="AL162" s="1642">
        <v>42.862331349206364</v>
      </c>
      <c r="AM162" s="1643">
        <v>61.037626953124992</v>
      </c>
      <c r="AN162" s="1643">
        <v>41.31666666666667</v>
      </c>
      <c r="AO162" s="1643">
        <v>34.133333333333333</v>
      </c>
      <c r="AP162" s="1642">
        <v>45.383333333333333</v>
      </c>
      <c r="AQ162" s="1643">
        <v>76.012753062656998</v>
      </c>
      <c r="AR162" s="1643">
        <v>38.217946206964925</v>
      </c>
      <c r="AS162" s="1643">
        <v>32.581730048010407</v>
      </c>
      <c r="AT162" s="1642">
        <v>37.154237348767644</v>
      </c>
      <c r="AU162" s="1643">
        <v>77.355612896616023</v>
      </c>
      <c r="AV162" s="1643">
        <v>38.893113765432851</v>
      </c>
      <c r="AW162" s="1643">
        <v>33.157326837226861</v>
      </c>
      <c r="AX162" s="1642">
        <v>37.810613167124252</v>
      </c>
      <c r="AY162" s="1643">
        <v>78.264625707295977</v>
      </c>
      <c r="AZ162" s="1643">
        <v>39.350150266549605</v>
      </c>
      <c r="BA162" s="1643">
        <v>33.546961586850315</v>
      </c>
      <c r="BB162" s="1905">
        <v>38.254929105704107</v>
      </c>
      <c r="BC162" s="1489"/>
      <c r="BD162" s="1489"/>
      <c r="BE162" s="1489">
        <f t="shared" si="372"/>
        <v>65.012150290464731</v>
      </c>
      <c r="BF162" s="1489">
        <f t="shared" si="373"/>
        <v>61.783221416170633</v>
      </c>
      <c r="BG162" s="1489">
        <f t="shared" si="374"/>
        <v>46.649134502108133</v>
      </c>
      <c r="BH162" s="1499">
        <f t="shared" si="375"/>
        <v>63.117211720300105</v>
      </c>
      <c r="BI162" s="1499">
        <f t="shared" si="376"/>
        <v>71.880996520027253</v>
      </c>
      <c r="BJ162" s="1499">
        <f t="shared" si="377"/>
        <v>46.054701947520797</v>
      </c>
      <c r="BK162" s="1499">
        <f t="shared" si="378"/>
        <v>35.143762555803576</v>
      </c>
      <c r="BL162" s="1499">
        <f t="shared" si="379"/>
        <v>38.349153762090779</v>
      </c>
      <c r="BM162" s="1499">
        <f t="shared" si="380"/>
        <v>45.467740071614578</v>
      </c>
      <c r="BN162" s="1499">
        <f t="shared" si="381"/>
        <v>45.991666666599997</v>
      </c>
      <c r="BO162" s="1499">
        <f t="shared" si="382"/>
        <v>46.804166666599997</v>
      </c>
      <c r="BP162" s="1499">
        <f t="shared" si="383"/>
        <v>47.354166666599994</v>
      </c>
      <c r="BQ162" s="1499"/>
      <c r="BR162" s="1476"/>
      <c r="BS162" s="1504"/>
      <c r="BT162" s="1499"/>
      <c r="BV162" s="1444"/>
      <c r="BW162" s="1443"/>
      <c r="BX162" s="1443"/>
      <c r="BY162" s="1443"/>
    </row>
    <row r="163" spans="2:77" ht="12.75" customHeight="1">
      <c r="C163" s="1775" t="s">
        <v>807</v>
      </c>
      <c r="D163" s="1736"/>
      <c r="E163" s="1734"/>
      <c r="F163" s="1735"/>
      <c r="G163" s="1718">
        <v>45.204388619791672</v>
      </c>
      <c r="H163" s="1704">
        <v>51.584562626953129</v>
      </c>
      <c r="I163" s="1704">
        <v>66.121800654296877</v>
      </c>
      <c r="J163" s="1719">
        <v>49.490597307692312</v>
      </c>
      <c r="K163" s="1718">
        <v>50.059908115234371</v>
      </c>
      <c r="L163" s="1704">
        <v>59.78809870117189</v>
      </c>
      <c r="M163" s="1704">
        <v>57.162939843749975</v>
      </c>
      <c r="N163" s="1719">
        <v>39.320604523809529</v>
      </c>
      <c r="O163" s="1718">
        <v>34.398327744140623</v>
      </c>
      <c r="P163" s="1704">
        <v>38.54343235351562</v>
      </c>
      <c r="Q163" s="1704">
        <v>48.952091091269828</v>
      </c>
      <c r="R163" s="1704">
        <v>41.477144667968737</v>
      </c>
      <c r="S163" s="1718">
        <v>41.997815863095234</v>
      </c>
      <c r="T163" s="1704">
        <v>45.530304316406237</v>
      </c>
      <c r="U163" s="1704">
        <v>48.136464199218764</v>
      </c>
      <c r="V163" s="1721">
        <v>40.193486718750002</v>
      </c>
      <c r="W163" s="1819">
        <v>113.57858770833333</v>
      </c>
      <c r="X163" s="1820">
        <v>50.488559589843774</v>
      </c>
      <c r="Y163" s="1820">
        <v>41.389708935546885</v>
      </c>
      <c r="Z163" s="1821">
        <v>40.371172851562484</v>
      </c>
      <c r="AA163" s="1819">
        <v>56.866776517857168</v>
      </c>
      <c r="AB163" s="1820">
        <v>39.147263818359377</v>
      </c>
      <c r="AC163" s="1820">
        <v>39.464831807692299</v>
      </c>
      <c r="AD163" s="1821">
        <v>31.895178447265625</v>
      </c>
      <c r="AE163" s="1819">
        <v>30.103148642578116</v>
      </c>
      <c r="AF163" s="1643">
        <v>32.701806339843749</v>
      </c>
      <c r="AG163" s="1643">
        <v>38.936782353515625</v>
      </c>
      <c r="AH163" s="1642">
        <v>33.269796091269853</v>
      </c>
      <c r="AI163" s="1643">
        <v>32.144072138671881</v>
      </c>
      <c r="AJ163" s="1643">
        <v>32.803312458984372</v>
      </c>
      <c r="AK163" s="1643">
        <v>35.491018034722238</v>
      </c>
      <c r="AL163" s="1642">
        <v>37.447859950396833</v>
      </c>
      <c r="AM163" s="1643">
        <v>48.149713212890617</v>
      </c>
      <c r="AN163" s="1643">
        <v>34.5</v>
      </c>
      <c r="AO163" s="1643">
        <v>36.9</v>
      </c>
      <c r="AP163" s="1642">
        <v>34.68333333333333</v>
      </c>
      <c r="AQ163" s="1643">
        <v>40.501333218824747</v>
      </c>
      <c r="AR163" s="1643">
        <v>29.678493986239484</v>
      </c>
      <c r="AS163" s="1643">
        <v>32.100602483050345</v>
      </c>
      <c r="AT163" s="1642">
        <v>39.002903645085446</v>
      </c>
      <c r="AU163" s="1643">
        <v>40.405777401430235</v>
      </c>
      <c r="AV163" s="1643">
        <v>29.608472766528742</v>
      </c>
      <c r="AW163" s="1643">
        <v>32.024866721648337</v>
      </c>
      <c r="AX163" s="1642">
        <v>38.910883110392696</v>
      </c>
      <c r="AY163" s="1643">
        <v>40.52044438234951</v>
      </c>
      <c r="AZ163" s="1643">
        <v>29.692498230215239</v>
      </c>
      <c r="BA163" s="1643">
        <v>32.115749635367095</v>
      </c>
      <c r="BB163" s="1905">
        <v>39.021307752068161</v>
      </c>
      <c r="BC163" s="1489"/>
      <c r="BD163" s="1489"/>
      <c r="BE163" s="1489">
        <f t="shared" si="372"/>
        <v>53.100337302183505</v>
      </c>
      <c r="BF163" s="1489">
        <f t="shared" si="373"/>
        <v>51.582887795991439</v>
      </c>
      <c r="BG163" s="1489">
        <f t="shared" si="374"/>
        <v>40.842748964223702</v>
      </c>
      <c r="BH163" s="1499">
        <f t="shared" si="375"/>
        <v>43.964517774367557</v>
      </c>
      <c r="BI163" s="1499">
        <f t="shared" si="376"/>
        <v>61.457007271321615</v>
      </c>
      <c r="BJ163" s="1499">
        <f t="shared" si="377"/>
        <v>41.843512647793617</v>
      </c>
      <c r="BK163" s="1499">
        <f t="shared" si="378"/>
        <v>33.752883356801831</v>
      </c>
      <c r="BL163" s="1499">
        <f t="shared" si="379"/>
        <v>34.471565645693829</v>
      </c>
      <c r="BM163" s="1499">
        <f t="shared" si="380"/>
        <v>38.55826163655599</v>
      </c>
      <c r="BN163" s="1499">
        <f t="shared" si="381"/>
        <v>35.320833333300001</v>
      </c>
      <c r="BO163" s="1499">
        <f t="shared" si="382"/>
        <v>35.237500000000004</v>
      </c>
      <c r="BP163" s="1499">
        <f t="shared" si="383"/>
        <v>35.337499999999999</v>
      </c>
      <c r="BQ163" s="1499"/>
      <c r="BR163" s="1508"/>
      <c r="BS163" s="1504"/>
      <c r="BT163" s="1499"/>
      <c r="BV163" s="1444"/>
      <c r="BW163" s="1443"/>
      <c r="BX163" s="1443"/>
      <c r="BY163" s="1443"/>
    </row>
    <row r="164" spans="2:77" ht="12.75" customHeight="1">
      <c r="C164" s="1775" t="s">
        <v>693</v>
      </c>
      <c r="D164" s="1736"/>
      <c r="E164" s="1734"/>
      <c r="F164" s="1735"/>
      <c r="G164" s="1718">
        <v>48.483129505208346</v>
      </c>
      <c r="H164" s="1704">
        <v>56.777662714843743</v>
      </c>
      <c r="I164" s="1704">
        <v>79.80542767578126</v>
      </c>
      <c r="J164" s="1719">
        <v>53.380955625000034</v>
      </c>
      <c r="K164" s="1718">
        <v>56.349727597656255</v>
      </c>
      <c r="L164" s="1704">
        <v>65.570403749999997</v>
      </c>
      <c r="M164" s="1704">
        <v>66.498248447265624</v>
      </c>
      <c r="N164" s="1719">
        <v>40.979681686507909</v>
      </c>
      <c r="O164" s="1718">
        <v>38.512803037109371</v>
      </c>
      <c r="P164" s="1704">
        <v>36.974501874023439</v>
      </c>
      <c r="Q164" s="1704">
        <v>55.885414017857158</v>
      </c>
      <c r="R164" s="1704">
        <v>46.126044788085935</v>
      </c>
      <c r="S164" s="1718">
        <v>42.607887670634931</v>
      </c>
      <c r="T164" s="1704">
        <v>47.166300820312507</v>
      </c>
      <c r="U164" s="1704">
        <v>55.200128388671871</v>
      </c>
      <c r="V164" s="1721">
        <v>42.192332373046867</v>
      </c>
      <c r="W164" s="1819">
        <v>132.34547472222224</v>
      </c>
      <c r="X164" s="1820">
        <v>53.88701666992187</v>
      </c>
      <c r="Y164" s="1820">
        <v>45.337472450195328</v>
      </c>
      <c r="Z164" s="1821">
        <v>49.12051941503907</v>
      </c>
      <c r="AA164" s="1819">
        <v>67.284598143849209</v>
      </c>
      <c r="AB164" s="1820">
        <v>36.819058058593754</v>
      </c>
      <c r="AC164" s="1820">
        <v>39.89850856153847</v>
      </c>
      <c r="AD164" s="1821">
        <v>30.041686161132823</v>
      </c>
      <c r="AE164" s="1819">
        <v>31.266320479492187</v>
      </c>
      <c r="AF164" s="1643">
        <v>28.707086242187497</v>
      </c>
      <c r="AG164" s="1643">
        <v>40.605906624023433</v>
      </c>
      <c r="AH164" s="1642">
        <v>28.828253920634918</v>
      </c>
      <c r="AI164" s="1643">
        <v>33.256564817382809</v>
      </c>
      <c r="AJ164" s="1643">
        <v>32.387231337890618</v>
      </c>
      <c r="AK164" s="1643">
        <v>34.354411583333331</v>
      </c>
      <c r="AL164" s="1642">
        <v>39.044797251984129</v>
      </c>
      <c r="AM164" s="1643">
        <v>49.504310380859373</v>
      </c>
      <c r="AN164" s="1643">
        <v>34.371333333333332</v>
      </c>
      <c r="AO164" s="1643">
        <v>38.062833333333337</v>
      </c>
      <c r="AP164" s="1642">
        <v>34.614333333333327</v>
      </c>
      <c r="AQ164" s="1643">
        <v>46.510944725679025</v>
      </c>
      <c r="AR164" s="1643">
        <v>30.296280173373429</v>
      </c>
      <c r="AS164" s="1643">
        <v>33.947384063861342</v>
      </c>
      <c r="AT164" s="1642">
        <v>36.41005770348621</v>
      </c>
      <c r="AU164" s="1643">
        <v>46.479340030218317</v>
      </c>
      <c r="AV164" s="1643">
        <v>30.275693519756327</v>
      </c>
      <c r="AW164" s="1643">
        <v>33.924316445231923</v>
      </c>
      <c r="AX164" s="1642">
        <v>36.385316671193436</v>
      </c>
      <c r="AY164" s="1643">
        <v>46.837526578857272</v>
      </c>
      <c r="AZ164" s="1643">
        <v>30.509008927471708</v>
      </c>
      <c r="BA164" s="1643">
        <v>34.185749456426855</v>
      </c>
      <c r="BB164" s="1905">
        <v>36.665715037244176</v>
      </c>
      <c r="BC164" s="1489"/>
      <c r="BD164" s="1489"/>
      <c r="BE164" s="1489">
        <f t="shared" si="372"/>
        <v>59.611793880208346</v>
      </c>
      <c r="BF164" s="1489">
        <f t="shared" si="373"/>
        <v>57.349515370357445</v>
      </c>
      <c r="BG164" s="1489">
        <f t="shared" si="374"/>
        <v>44.374690929268979</v>
      </c>
      <c r="BH164" s="1499">
        <f t="shared" si="375"/>
        <v>46.791662313166547</v>
      </c>
      <c r="BI164" s="1499">
        <f t="shared" si="376"/>
        <v>70.172620814344626</v>
      </c>
      <c r="BJ164" s="1499">
        <f t="shared" si="377"/>
        <v>43.510962731278561</v>
      </c>
      <c r="BK164" s="1499">
        <f t="shared" si="378"/>
        <v>32.351891816584505</v>
      </c>
      <c r="BL164" s="1499">
        <f t="shared" si="379"/>
        <v>34.760751247647725</v>
      </c>
      <c r="BM164" s="1499">
        <f t="shared" si="380"/>
        <v>39.138202595214842</v>
      </c>
      <c r="BN164" s="1499">
        <f t="shared" si="381"/>
        <v>36.791166666600006</v>
      </c>
      <c r="BO164" s="1499">
        <f t="shared" si="382"/>
        <v>36.7661666666</v>
      </c>
      <c r="BP164" s="1499">
        <f t="shared" si="383"/>
        <v>37.049500000000002</v>
      </c>
      <c r="BQ164" s="1499"/>
      <c r="BR164" s="1508"/>
      <c r="BS164" s="1504"/>
      <c r="BT164" s="1499"/>
      <c r="BV164" s="1444"/>
      <c r="BW164" s="1443"/>
      <c r="BX164" s="1443"/>
      <c r="BY164" s="1443"/>
    </row>
    <row r="165" spans="2:77" ht="12.75" customHeight="1">
      <c r="C165" s="1775" t="s">
        <v>808</v>
      </c>
      <c r="D165" s="1729"/>
      <c r="E165" s="1734"/>
      <c r="F165" s="1735"/>
      <c r="G165" s="1718">
        <v>39.728964218749987</v>
      </c>
      <c r="H165" s="1704">
        <v>43.07423765625002</v>
      </c>
      <c r="I165" s="1704">
        <v>51.328195917968742</v>
      </c>
      <c r="J165" s="1719">
        <v>38.933001861538465</v>
      </c>
      <c r="K165" s="1718">
        <v>41.451086953125014</v>
      </c>
      <c r="L165" s="1704">
        <v>51.097349746093769</v>
      </c>
      <c r="M165" s="1704">
        <v>50.310268931640643</v>
      </c>
      <c r="N165" s="1719">
        <v>37.410923978174601</v>
      </c>
      <c r="O165" s="1718">
        <v>32.153772558593758</v>
      </c>
      <c r="P165" s="1704">
        <v>34.709669501953115</v>
      </c>
      <c r="Q165" s="1704">
        <v>44.635360783730164</v>
      </c>
      <c r="R165" s="1704">
        <v>38.089502343749999</v>
      </c>
      <c r="S165" s="1718">
        <v>38.017161944444446</v>
      </c>
      <c r="T165" s="1704">
        <v>41.806956083984382</v>
      </c>
      <c r="U165" s="1704">
        <v>41.772417763671875</v>
      </c>
      <c r="V165" s="1721">
        <v>36.018476103515631</v>
      </c>
      <c r="W165" s="1819">
        <v>79.351583283730179</v>
      </c>
      <c r="X165" s="1820">
        <v>50.487840683593745</v>
      </c>
      <c r="Y165" s="1820">
        <v>38.234623320312501</v>
      </c>
      <c r="Z165" s="1821">
        <v>40.068190000000001</v>
      </c>
      <c r="AA165" s="1819">
        <v>43.107304533730151</v>
      </c>
      <c r="AB165" s="1820">
        <v>36.571755771484384</v>
      </c>
      <c r="AC165" s="1820">
        <v>35.906114451923074</v>
      </c>
      <c r="AD165" s="1821">
        <v>30.830603544921882</v>
      </c>
      <c r="AE165" s="1819">
        <v>27.466274697265614</v>
      </c>
      <c r="AF165" s="1643">
        <v>31.331062939453119</v>
      </c>
      <c r="AG165" s="1643">
        <v>37.764263886718759</v>
      </c>
      <c r="AH165" s="1642">
        <v>32.442105446428577</v>
      </c>
      <c r="AI165" s="1643">
        <v>30.987138056640639</v>
      </c>
      <c r="AJ165" s="1643">
        <v>33.05749094726562</v>
      </c>
      <c r="AK165" s="1643">
        <v>36.590803630952387</v>
      </c>
      <c r="AL165" s="1642">
        <v>32.10412905753968</v>
      </c>
      <c r="AM165" s="1643">
        <v>39.582188720703122</v>
      </c>
      <c r="AN165" s="1643">
        <v>35.416666666666664</v>
      </c>
      <c r="AO165" s="1643">
        <v>37.699999999999996</v>
      </c>
      <c r="AP165" s="1642">
        <v>34.06666666666667</v>
      </c>
      <c r="AQ165" s="1643">
        <v>37.104731797582915</v>
      </c>
      <c r="AR165" s="1643">
        <v>31.21709085897621</v>
      </c>
      <c r="AS165" s="1643">
        <v>33.846064219263162</v>
      </c>
      <c r="AT165" s="1642">
        <v>36.098779790577716</v>
      </c>
      <c r="AU165" s="1643">
        <v>36.757952834841539</v>
      </c>
      <c r="AV165" s="1643">
        <v>30.925337493207795</v>
      </c>
      <c r="AW165" s="1643">
        <v>33.52974060030094</v>
      </c>
      <c r="AX165" s="1642">
        <v>35.761402404849747</v>
      </c>
      <c r="AY165" s="1643">
        <v>36.863032218779693</v>
      </c>
      <c r="AZ165" s="1643">
        <v>31.013743271039516</v>
      </c>
      <c r="BA165" s="1643">
        <v>33.625591544495691</v>
      </c>
      <c r="BB165" s="1905">
        <v>35.86363296568512</v>
      </c>
      <c r="BC165" s="1489"/>
      <c r="BD165" s="1489"/>
      <c r="BE165" s="1489">
        <f t="shared" si="372"/>
        <v>43.266099913626803</v>
      </c>
      <c r="BF165" s="1489">
        <f t="shared" si="373"/>
        <v>45.067407402258503</v>
      </c>
      <c r="BG165" s="1489">
        <f t="shared" si="374"/>
        <v>37.397076297006763</v>
      </c>
      <c r="BH165" s="1499">
        <f t="shared" si="375"/>
        <v>39.403752973904083</v>
      </c>
      <c r="BI165" s="1499">
        <f t="shared" si="376"/>
        <v>52.035559321909105</v>
      </c>
      <c r="BJ165" s="1499">
        <f t="shared" si="377"/>
        <v>36.603944575514873</v>
      </c>
      <c r="BK165" s="1499">
        <f t="shared" si="378"/>
        <v>32.250926742466518</v>
      </c>
      <c r="BL165" s="1499">
        <f t="shared" si="379"/>
        <v>33.184890423099588</v>
      </c>
      <c r="BM165" s="1499">
        <f t="shared" si="380"/>
        <v>36.69138051350911</v>
      </c>
      <c r="BN165" s="1499">
        <f t="shared" si="381"/>
        <v>34.5666666666</v>
      </c>
      <c r="BO165" s="1499">
        <f t="shared" si="382"/>
        <v>34.243608333300003</v>
      </c>
      <c r="BP165" s="1499">
        <f t="shared" si="383"/>
        <v>34.341500000000003</v>
      </c>
      <c r="BQ165" s="1499"/>
      <c r="BR165" s="1476"/>
      <c r="BS165" s="1504"/>
      <c r="BT165" s="1499"/>
      <c r="BV165" s="1444"/>
      <c r="BW165" s="1443"/>
      <c r="BX165" s="1443"/>
      <c r="BY165" s="1443"/>
    </row>
    <row r="166" spans="2:77" ht="12.75" customHeight="1">
      <c r="C166" s="1775" t="s">
        <v>809</v>
      </c>
      <c r="D166" s="1729"/>
      <c r="E166" s="1734"/>
      <c r="F166" s="1735"/>
      <c r="G166" s="1718">
        <v>39.774283945312497</v>
      </c>
      <c r="H166" s="1704">
        <v>43.262810498046875</v>
      </c>
      <c r="I166" s="1704">
        <v>51.606527089843752</v>
      </c>
      <c r="J166" s="1719">
        <v>38.918928847115382</v>
      </c>
      <c r="K166" s="1718">
        <v>41.488797080078136</v>
      </c>
      <c r="L166" s="1704">
        <v>50.985843300781255</v>
      </c>
      <c r="M166" s="1704">
        <v>50.268828780273431</v>
      </c>
      <c r="N166" s="1719">
        <v>37.525041934523813</v>
      </c>
      <c r="O166" s="1718">
        <v>32.221690878906244</v>
      </c>
      <c r="P166" s="1704">
        <v>34.827419687500004</v>
      </c>
      <c r="Q166" s="1704">
        <v>44.932445357142846</v>
      </c>
      <c r="R166" s="1704">
        <v>38.199312265625004</v>
      </c>
      <c r="S166" s="1718">
        <v>37.715632986111103</v>
      </c>
      <c r="T166" s="1704">
        <v>41.987925156249993</v>
      </c>
      <c r="U166" s="1704">
        <v>41.924110576171877</v>
      </c>
      <c r="V166" s="1721">
        <v>36.103588144531251</v>
      </c>
      <c r="W166" s="1819">
        <v>79.291454067460307</v>
      </c>
      <c r="X166" s="1820">
        <v>50.610264160156234</v>
      </c>
      <c r="Y166" s="1820">
        <v>38.224814638671887</v>
      </c>
      <c r="Z166" s="1821">
        <v>39.049467128906258</v>
      </c>
      <c r="AA166" s="1819">
        <v>42.983203065476189</v>
      </c>
      <c r="AB166" s="1820">
        <v>35.431994833984376</v>
      </c>
      <c r="AC166" s="1820">
        <v>35.234762865384596</v>
      </c>
      <c r="AD166" s="1821">
        <v>30.793894384765622</v>
      </c>
      <c r="AE166" s="1819">
        <v>27.255926289062497</v>
      </c>
      <c r="AF166" s="1643">
        <v>31.587512695312501</v>
      </c>
      <c r="AG166" s="1643">
        <v>38.382545029296871</v>
      </c>
      <c r="AH166" s="1642">
        <v>32.453721736111113</v>
      </c>
      <c r="AI166" s="1643">
        <v>31.073804345703124</v>
      </c>
      <c r="AJ166" s="1643">
        <v>33.234170273437506</v>
      </c>
      <c r="AK166" s="1643">
        <v>36.864877966269844</v>
      </c>
      <c r="AL166" s="1642">
        <v>32.037018710317462</v>
      </c>
      <c r="AM166" s="1643">
        <v>38.43211967773437</v>
      </c>
      <c r="AN166" s="1643">
        <v>33.833333333333336</v>
      </c>
      <c r="AO166" s="1643">
        <v>36.31666666666667</v>
      </c>
      <c r="AP166" s="1642">
        <v>33.616666666666667</v>
      </c>
      <c r="AQ166" s="1643">
        <v>34.505559751881279</v>
      </c>
      <c r="AR166" s="1643">
        <v>30.200278902105268</v>
      </c>
      <c r="AS166" s="1643">
        <v>33.302613632090925</v>
      </c>
      <c r="AT166" s="1642">
        <v>36.708214380322516</v>
      </c>
      <c r="AU166" s="1643">
        <v>34.591868474798638</v>
      </c>
      <c r="AV166" s="1643">
        <v>30.275818830236602</v>
      </c>
      <c r="AW166" s="1643">
        <v>33.385913427053367</v>
      </c>
      <c r="AX166" s="1642">
        <v>36.800032601111397</v>
      </c>
      <c r="AY166" s="1643">
        <v>34.815106597023615</v>
      </c>
      <c r="AZ166" s="1643">
        <v>30.471203388587639</v>
      </c>
      <c r="BA166" s="1643">
        <v>33.601368935842977</v>
      </c>
      <c r="BB166" s="1905">
        <v>37.037521078545765</v>
      </c>
      <c r="BC166" s="1489"/>
      <c r="BD166" s="1489"/>
      <c r="BE166" s="1489">
        <f t="shared" si="372"/>
        <v>43.390637595079625</v>
      </c>
      <c r="BF166" s="1489">
        <f t="shared" si="373"/>
        <v>45.067127773914159</v>
      </c>
      <c r="BG166" s="1489">
        <f t="shared" si="374"/>
        <v>37.545217047293526</v>
      </c>
      <c r="BH166" s="1499">
        <f t="shared" si="375"/>
        <v>39.432814215766051</v>
      </c>
      <c r="BI166" s="1499">
        <f t="shared" si="376"/>
        <v>51.793999998798668</v>
      </c>
      <c r="BJ166" s="1499">
        <f t="shared" si="377"/>
        <v>36.110963787402696</v>
      </c>
      <c r="BK166" s="1499">
        <f t="shared" si="378"/>
        <v>32.419926437445746</v>
      </c>
      <c r="BL166" s="1499">
        <f t="shared" si="379"/>
        <v>33.302467823931984</v>
      </c>
      <c r="BM166" s="1499">
        <f t="shared" si="380"/>
        <v>35.549696586100261</v>
      </c>
      <c r="BN166" s="1499">
        <f t="shared" si="381"/>
        <v>33.679166666599997</v>
      </c>
      <c r="BO166" s="1499">
        <f t="shared" si="382"/>
        <v>33.763408333300006</v>
      </c>
      <c r="BP166" s="1499">
        <f t="shared" si="383"/>
        <v>33.981300000000005</v>
      </c>
      <c r="BQ166" s="1499"/>
      <c r="BR166" s="1476"/>
      <c r="BS166" s="1504"/>
      <c r="BT166" s="1499"/>
      <c r="BV166" s="1444"/>
      <c r="BW166" s="1443"/>
      <c r="BX166" s="1443"/>
      <c r="BY166" s="1443"/>
    </row>
    <row r="167" spans="2:77" ht="12.75" customHeight="1">
      <c r="C167" s="1775" t="s">
        <v>810</v>
      </c>
      <c r="D167" s="1729"/>
      <c r="E167" s="1734"/>
      <c r="F167" s="1735"/>
      <c r="G167" s="1718">
        <v>37.965997395833334</v>
      </c>
      <c r="H167" s="1704">
        <v>41.051071525390626</v>
      </c>
      <c r="I167" s="1704">
        <v>50.072542607421866</v>
      </c>
      <c r="J167" s="1719">
        <v>34.412752877884607</v>
      </c>
      <c r="K167" s="1718">
        <v>39.612896863281264</v>
      </c>
      <c r="L167" s="1704">
        <v>45.46599732519531</v>
      </c>
      <c r="M167" s="1704">
        <v>47.308313137695315</v>
      </c>
      <c r="N167" s="1719">
        <v>31.727422125992067</v>
      </c>
      <c r="O167" s="1718">
        <v>30.441801791015621</v>
      </c>
      <c r="P167" s="1704">
        <v>32.770161261718748</v>
      </c>
      <c r="Q167" s="1704">
        <v>44.877897271825397</v>
      </c>
      <c r="R167" s="1704">
        <v>35.019350765624992</v>
      </c>
      <c r="S167" s="1718">
        <v>34.838090073412694</v>
      </c>
      <c r="T167" s="1704">
        <v>39.428378864257809</v>
      </c>
      <c r="U167" s="1704">
        <v>41.11704862597658</v>
      </c>
      <c r="V167" s="1721">
        <v>34.355717211914069</v>
      </c>
      <c r="W167" s="1819">
        <v>72.99622284523808</v>
      </c>
      <c r="X167" s="1820">
        <v>48.442515457031263</v>
      </c>
      <c r="Y167" s="1820">
        <v>37.030601145507809</v>
      </c>
      <c r="Z167" s="1821">
        <v>38.673259170898433</v>
      </c>
      <c r="AA167" s="1819">
        <v>39.963556904761916</v>
      </c>
      <c r="AB167" s="1820">
        <v>30.605513267578125</v>
      </c>
      <c r="AC167" s="1820">
        <v>33.950207826923084</v>
      </c>
      <c r="AD167" s="1821">
        <v>29.947609584960937</v>
      </c>
      <c r="AE167" s="1819">
        <v>26.738570957031257</v>
      </c>
      <c r="AF167" s="1643">
        <v>29.587132090820305</v>
      </c>
      <c r="AG167" s="1643">
        <v>37.576820068359396</v>
      </c>
      <c r="AH167" s="1642">
        <v>31.571357599206348</v>
      </c>
      <c r="AI167" s="1643">
        <v>29.354624452148443</v>
      </c>
      <c r="AJ167" s="1643">
        <v>33.630935440429681</v>
      </c>
      <c r="AK167" s="1643">
        <v>34.552619896825405</v>
      </c>
      <c r="AL167" s="1642">
        <v>30.295690178571437</v>
      </c>
      <c r="AM167" s="1643">
        <v>31.943508934570318</v>
      </c>
      <c r="AN167" s="1643">
        <v>30.066666666666666</v>
      </c>
      <c r="AO167" s="1643">
        <v>34.6</v>
      </c>
      <c r="AP167" s="1642">
        <v>30.166666666666668</v>
      </c>
      <c r="AQ167" s="1643">
        <v>33.929172095569285</v>
      </c>
      <c r="AR167" s="1643">
        <v>28.660363159574629</v>
      </c>
      <c r="AS167" s="1643">
        <v>32.36321030654301</v>
      </c>
      <c r="AT167" s="1642">
        <v>28.947254438313074</v>
      </c>
      <c r="AU167" s="1643">
        <v>33.932622519850185</v>
      </c>
      <c r="AV167" s="1643">
        <v>28.663277772777295</v>
      </c>
      <c r="AW167" s="1643">
        <v>32.366501480472486</v>
      </c>
      <c r="AX167" s="1642">
        <v>28.950198226900017</v>
      </c>
      <c r="AY167" s="1643">
        <v>34.171295122086242</v>
      </c>
      <c r="AZ167" s="1643">
        <v>28.864887273800733</v>
      </c>
      <c r="BA167" s="1643">
        <v>32.594158424143806</v>
      </c>
      <c r="BB167" s="1905">
        <v>29.153825846369212</v>
      </c>
      <c r="BC167" s="1489"/>
      <c r="BD167" s="1489"/>
      <c r="BE167" s="1489">
        <f t="shared" si="372"/>
        <v>40.875591101632608</v>
      </c>
      <c r="BF167" s="1489">
        <f t="shared" si="373"/>
        <v>41.028657363040985</v>
      </c>
      <c r="BG167" s="1489">
        <f t="shared" si="374"/>
        <v>35.777302772546193</v>
      </c>
      <c r="BH167" s="1499">
        <f t="shared" si="375"/>
        <v>37.43480869389029</v>
      </c>
      <c r="BI167" s="1499">
        <f t="shared" si="376"/>
        <v>49.285649654668894</v>
      </c>
      <c r="BJ167" s="1499">
        <f t="shared" si="377"/>
        <v>33.616721896056013</v>
      </c>
      <c r="BK167" s="1499">
        <f t="shared" si="378"/>
        <v>31.368470178854327</v>
      </c>
      <c r="BL167" s="1499">
        <f t="shared" si="379"/>
        <v>31.958467491993741</v>
      </c>
      <c r="BM167" s="1499">
        <f t="shared" si="380"/>
        <v>31.694210566975915</v>
      </c>
      <c r="BN167" s="1499">
        <f t="shared" si="381"/>
        <v>30.975000000000001</v>
      </c>
      <c r="BO167" s="1499">
        <f t="shared" si="382"/>
        <v>30.978149999999996</v>
      </c>
      <c r="BP167" s="1499">
        <f t="shared" si="383"/>
        <v>31.196041666599999</v>
      </c>
      <c r="BQ167" s="1499"/>
      <c r="BR167" s="1476"/>
      <c r="BS167" s="1504"/>
      <c r="BT167" s="1499"/>
      <c r="BV167" s="1444"/>
      <c r="BW167" s="1443"/>
      <c r="BX167" s="1443"/>
      <c r="BY167" s="1443"/>
    </row>
    <row r="168" spans="2:77" ht="12.75" customHeight="1">
      <c r="C168" s="1775" t="s">
        <v>811</v>
      </c>
      <c r="D168" s="1729"/>
      <c r="E168" s="1734"/>
      <c r="F168" s="1735"/>
      <c r="G168" s="1718">
        <v>40.616611328124996</v>
      </c>
      <c r="H168" s="1704">
        <v>39.390153808593752</v>
      </c>
      <c r="I168" s="1704">
        <v>48.872324218750009</v>
      </c>
      <c r="J168" s="1719">
        <v>32.494792444029855</v>
      </c>
      <c r="K168" s="1718">
        <v>49.694167480468757</v>
      </c>
      <c r="L168" s="1704">
        <v>41.930664062500007</v>
      </c>
      <c r="M168" s="1704">
        <v>111.00009521484377</v>
      </c>
      <c r="N168" s="1719">
        <v>29.544866071428554</v>
      </c>
      <c r="O168" s="1718">
        <v>25.356325683593752</v>
      </c>
      <c r="P168" s="1704">
        <v>30.825715332031248</v>
      </c>
      <c r="Q168" s="1704">
        <v>31.618534226190476</v>
      </c>
      <c r="R168" s="1704">
        <v>27.927487792968755</v>
      </c>
      <c r="S168" s="1718">
        <v>28.835245535714289</v>
      </c>
      <c r="T168" s="1704">
        <v>36.626384277343753</v>
      </c>
      <c r="U168" s="1704">
        <v>43.148923339843755</v>
      </c>
      <c r="V168" s="1721">
        <v>36.768386230468735</v>
      </c>
      <c r="W168" s="1819">
        <v>57.726661706349176</v>
      </c>
      <c r="X168" s="1820">
        <v>44.823835449218755</v>
      </c>
      <c r="Y168" s="1820">
        <v>38.568947753906251</v>
      </c>
      <c r="Z168" s="1821">
        <v>33.674279785156259</v>
      </c>
      <c r="AA168" s="1819">
        <v>26.530957341269843</v>
      </c>
      <c r="AB168" s="1820">
        <v>27.875180664062505</v>
      </c>
      <c r="AC168" s="1820">
        <v>34.771600961538461</v>
      </c>
      <c r="AD168" s="1821">
        <v>23.322177734375007</v>
      </c>
      <c r="AE168" s="1819">
        <v>20.53059082031249</v>
      </c>
      <c r="AF168" s="1643">
        <v>24.409040527343741</v>
      </c>
      <c r="AG168" s="1643">
        <v>33.207656250000007</v>
      </c>
      <c r="AH168" s="1642">
        <v>29.754362599206353</v>
      </c>
      <c r="AI168" s="1643">
        <v>27.700273437500005</v>
      </c>
      <c r="AJ168" s="1643">
        <v>46.152717285156264</v>
      </c>
      <c r="AK168" s="1643">
        <v>33.043561507936509</v>
      </c>
      <c r="AL168" s="1642">
        <v>29.19860119047619</v>
      </c>
      <c r="AM168" s="1643">
        <v>33.29329345703124</v>
      </c>
      <c r="AN168" s="1643">
        <v>37.382000000000005</v>
      </c>
      <c r="AO168" s="1643">
        <v>118.87111666666665</v>
      </c>
      <c r="AP168" s="1642">
        <v>27.205766666666666</v>
      </c>
      <c r="AQ168" s="1643">
        <v>24.525092123733586</v>
      </c>
      <c r="AR168" s="1643">
        <v>26.33436343081933</v>
      </c>
      <c r="AS168" s="1643">
        <v>72.001306158597217</v>
      </c>
      <c r="AT168" s="1642">
        <v>45.433288286849844</v>
      </c>
      <c r="AU168" s="1643">
        <v>22.536414554517716</v>
      </c>
      <c r="AV168" s="1643">
        <v>24.198976636338397</v>
      </c>
      <c r="AW168" s="1643">
        <v>66.162902706759411</v>
      </c>
      <c r="AX168" s="1642">
        <v>41.749218075984459</v>
      </c>
      <c r="AY168" s="1643">
        <v>21.446763815512227</v>
      </c>
      <c r="AZ168" s="1643">
        <v>23.028939907062984</v>
      </c>
      <c r="BA168" s="1643">
        <v>62.96388204378902</v>
      </c>
      <c r="BB168" s="1905">
        <v>39.730615417635761</v>
      </c>
      <c r="BC168" s="1489"/>
      <c r="BD168" s="1489"/>
      <c r="BE168" s="1489">
        <f t="shared" si="372"/>
        <v>40.343470449874651</v>
      </c>
      <c r="BF168" s="1489">
        <f t="shared" si="373"/>
        <v>58.042448207310272</v>
      </c>
      <c r="BG168" s="1489">
        <f t="shared" si="374"/>
        <v>28.93201575869606</v>
      </c>
      <c r="BH168" s="1499">
        <f t="shared" si="375"/>
        <v>36.34473484584263</v>
      </c>
      <c r="BI168" s="1499">
        <f t="shared" si="376"/>
        <v>43.69843117365761</v>
      </c>
      <c r="BJ168" s="1499">
        <f t="shared" si="377"/>
        <v>28.124979175311452</v>
      </c>
      <c r="BK168" s="1499">
        <f t="shared" si="378"/>
        <v>26.975412549215648</v>
      </c>
      <c r="BL168" s="1499">
        <f t="shared" si="379"/>
        <v>34.023788355267243</v>
      </c>
      <c r="BM168" s="1499">
        <f t="shared" si="380"/>
        <v>54.188044197591147</v>
      </c>
      <c r="BN168" s="1499">
        <f t="shared" si="381"/>
        <v>42.073512499999993</v>
      </c>
      <c r="BO168" s="1499">
        <f t="shared" si="382"/>
        <v>38.661877993399997</v>
      </c>
      <c r="BP168" s="1499">
        <f t="shared" si="383"/>
        <v>36.792550296000002</v>
      </c>
      <c r="BQ168" s="1499"/>
      <c r="BR168" s="1476"/>
      <c r="BS168" s="1504"/>
      <c r="BT168" s="1499"/>
      <c r="BV168" s="1444"/>
      <c r="BW168" s="1443"/>
      <c r="BX168" s="1443"/>
      <c r="BY168" s="1443"/>
    </row>
    <row r="169" spans="2:77" ht="12.75" customHeight="1">
      <c r="C169" s="1773" t="s">
        <v>812</v>
      </c>
      <c r="D169" s="1729"/>
      <c r="E169" s="1734"/>
      <c r="F169" s="1735"/>
      <c r="G169" s="1718">
        <v>40.761767578124989</v>
      </c>
      <c r="H169" s="1704">
        <v>39.232558593749999</v>
      </c>
      <c r="I169" s="1704">
        <v>48.767795410156261</v>
      </c>
      <c r="J169" s="1719">
        <v>32.77672574626866</v>
      </c>
      <c r="K169" s="1718">
        <v>50.755690917968764</v>
      </c>
      <c r="L169" s="1704">
        <v>40.202160644531247</v>
      </c>
      <c r="M169" s="1704">
        <v>106.84378173828125</v>
      </c>
      <c r="N169" s="1719">
        <v>28.962276785714291</v>
      </c>
      <c r="O169" s="1718">
        <v>25.273820800781262</v>
      </c>
      <c r="P169" s="1704">
        <v>31.306391601562503</v>
      </c>
      <c r="Q169" s="1704">
        <v>32.226475694444453</v>
      </c>
      <c r="R169" s="1704">
        <v>28.259047851562507</v>
      </c>
      <c r="S169" s="1718">
        <v>29.044474206349211</v>
      </c>
      <c r="T169" s="1704">
        <v>35.193894042968758</v>
      </c>
      <c r="U169" s="1704">
        <v>38.431984863281251</v>
      </c>
      <c r="V169" s="1721">
        <v>35.855332031250001</v>
      </c>
      <c r="W169" s="1819">
        <v>60.188559027777771</v>
      </c>
      <c r="X169" s="1820">
        <v>40.574257812500001</v>
      </c>
      <c r="Y169" s="1820">
        <v>37.938735351562507</v>
      </c>
      <c r="Z169" s="1821">
        <v>34.462575683593748</v>
      </c>
      <c r="AA169" s="1819">
        <v>26.624528769841273</v>
      </c>
      <c r="AB169" s="1820">
        <v>27.696826171875006</v>
      </c>
      <c r="AC169" s="1820">
        <v>35.113086538461538</v>
      </c>
      <c r="AD169" s="1821">
        <v>20.858798828125007</v>
      </c>
      <c r="AE169" s="1819">
        <v>19.673029785156263</v>
      </c>
      <c r="AF169" s="1643">
        <v>22.350983886718744</v>
      </c>
      <c r="AG169" s="1643">
        <v>30.610273437499995</v>
      </c>
      <c r="AH169" s="1642">
        <v>25.720223214285713</v>
      </c>
      <c r="AI169" s="1643">
        <v>22.746433105468753</v>
      </c>
      <c r="AJ169" s="1643">
        <v>27.890290527343748</v>
      </c>
      <c r="AK169" s="1643">
        <v>29.419799107142854</v>
      </c>
      <c r="AL169" s="1642">
        <v>23.559124503968256</v>
      </c>
      <c r="AM169" s="1643">
        <v>31.786008300781262</v>
      </c>
      <c r="AN169" s="1643">
        <v>35.332000000000001</v>
      </c>
      <c r="AO169" s="1643">
        <v>118.57111666666667</v>
      </c>
      <c r="AP169" s="1642">
        <v>26.272433333333336</v>
      </c>
      <c r="AQ169" s="1643">
        <v>23.582895883834407</v>
      </c>
      <c r="AR169" s="1643">
        <v>24.58750024208658</v>
      </c>
      <c r="AS169" s="1643">
        <v>70.499208350188795</v>
      </c>
      <c r="AT169" s="1642">
        <v>43.541112190290235</v>
      </c>
      <c r="AU169" s="1643">
        <v>21.356595924499164</v>
      </c>
      <c r="AV169" s="1643">
        <v>22.266362453973152</v>
      </c>
      <c r="AW169" s="1643">
        <v>63.843860107279404</v>
      </c>
      <c r="AX169" s="1642">
        <v>39.430693487848274</v>
      </c>
      <c r="AY169" s="1643">
        <v>20.153204665518864</v>
      </c>
      <c r="AZ169" s="1643">
        <v>21.011708105446548</v>
      </c>
      <c r="BA169" s="1643">
        <v>60.246416794484098</v>
      </c>
      <c r="BB169" s="1905">
        <v>37.208871618550496</v>
      </c>
      <c r="BC169" s="1489"/>
      <c r="BD169" s="1489"/>
      <c r="BE169" s="1489">
        <f t="shared" si="372"/>
        <v>40.384711832074977</v>
      </c>
      <c r="BF169" s="1489">
        <f t="shared" si="373"/>
        <v>56.690977521623886</v>
      </c>
      <c r="BG169" s="1489">
        <f t="shared" si="374"/>
        <v>29.26643398708768</v>
      </c>
      <c r="BH169" s="1499">
        <f t="shared" si="375"/>
        <v>34.631421285962304</v>
      </c>
      <c r="BI169" s="1499">
        <f t="shared" si="376"/>
        <v>43.291031968858505</v>
      </c>
      <c r="BJ169" s="1499">
        <f t="shared" si="377"/>
        <v>27.573310077075703</v>
      </c>
      <c r="BK169" s="1499">
        <f t="shared" si="378"/>
        <v>24.58862758091518</v>
      </c>
      <c r="BL169" s="1499">
        <f t="shared" si="379"/>
        <v>25.903911810980901</v>
      </c>
      <c r="BM169" s="1499">
        <f t="shared" si="380"/>
        <v>52.990389575195316</v>
      </c>
      <c r="BN169" s="1499">
        <f t="shared" si="381"/>
        <v>40.552679166600001</v>
      </c>
      <c r="BO169" s="1499">
        <f t="shared" si="382"/>
        <v>36.724377993399997</v>
      </c>
      <c r="BP169" s="1499">
        <f t="shared" si="383"/>
        <v>34.655050295999999</v>
      </c>
      <c r="BQ169" s="1499"/>
      <c r="BR169" s="1476"/>
      <c r="BS169" s="1504"/>
      <c r="BT169" s="1499"/>
      <c r="BV169" s="1444"/>
      <c r="BW169" s="1443"/>
      <c r="BX169" s="1443"/>
      <c r="BY169" s="1443"/>
    </row>
    <row r="170" spans="2:77" ht="12.75" customHeight="1">
      <c r="C170" s="1773" t="s">
        <v>813</v>
      </c>
      <c r="D170" s="1729"/>
      <c r="E170" s="1734"/>
      <c r="F170" s="1735"/>
      <c r="G170" s="1718">
        <v>40.462470703125</v>
      </c>
      <c r="H170" s="1704">
        <v>39.192001953125001</v>
      </c>
      <c r="I170" s="1704">
        <v>48.72686279296876</v>
      </c>
      <c r="J170" s="1719">
        <v>31.765543376865669</v>
      </c>
      <c r="K170" s="1718">
        <v>55.323972167968762</v>
      </c>
      <c r="L170" s="1704">
        <v>39.6252978515625</v>
      </c>
      <c r="M170" s="1704">
        <v>106.81442871093749</v>
      </c>
      <c r="N170" s="1719">
        <v>29.354828869047626</v>
      </c>
      <c r="O170" s="1718">
        <v>25.648288574218743</v>
      </c>
      <c r="P170" s="1704">
        <v>29.951386718749998</v>
      </c>
      <c r="Q170" s="1704">
        <v>31.210275297619049</v>
      </c>
      <c r="R170" s="1704">
        <v>28.586511230468751</v>
      </c>
      <c r="S170" s="1718">
        <v>28.708407738095232</v>
      </c>
      <c r="T170" s="1704">
        <v>36.230866699218758</v>
      </c>
      <c r="U170" s="1704">
        <v>40.352358398437502</v>
      </c>
      <c r="V170" s="1721">
        <v>36.304406738281251</v>
      </c>
      <c r="W170" s="1819">
        <v>59.069300595238097</v>
      </c>
      <c r="X170" s="1820">
        <v>41.673994140624984</v>
      </c>
      <c r="Y170" s="1820">
        <v>38.124675292968753</v>
      </c>
      <c r="Z170" s="1821">
        <v>34.437966308593751</v>
      </c>
      <c r="AA170" s="1819">
        <v>26.435344742063496</v>
      </c>
      <c r="AB170" s="1820">
        <v>27.865429687499994</v>
      </c>
      <c r="AC170" s="1820">
        <v>34.586947115384625</v>
      </c>
      <c r="AD170" s="1821">
        <v>23.201174316406249</v>
      </c>
      <c r="AE170" s="1819">
        <v>20.267778320312491</v>
      </c>
      <c r="AF170" s="1643">
        <v>22.831770019531245</v>
      </c>
      <c r="AG170" s="1643">
        <v>30.974855957031252</v>
      </c>
      <c r="AH170" s="1642">
        <v>28.905121527777784</v>
      </c>
      <c r="AI170" s="1643">
        <v>24.182224121093753</v>
      </c>
      <c r="AJ170" s="1643">
        <v>35.500275878906244</v>
      </c>
      <c r="AK170" s="1643">
        <v>30.679335317460314</v>
      </c>
      <c r="AL170" s="1642">
        <v>26.539970238095233</v>
      </c>
      <c r="AM170" s="1643">
        <v>33.080983886718748</v>
      </c>
      <c r="AN170" s="1643">
        <v>38.148666666666664</v>
      </c>
      <c r="AO170" s="1643">
        <v>119.77111666666667</v>
      </c>
      <c r="AP170" s="1642">
        <v>27.555766666666667</v>
      </c>
      <c r="AQ170" s="1643">
        <v>25.311841025847244</v>
      </c>
      <c r="AR170" s="1643">
        <v>26.536363358265632</v>
      </c>
      <c r="AS170" s="1643">
        <v>72.644761515096988</v>
      </c>
      <c r="AT170" s="1642">
        <v>44.901084100790143</v>
      </c>
      <c r="AU170" s="1643">
        <v>23.143193839184796</v>
      </c>
      <c r="AV170" s="1643">
        <v>24.262802550010321</v>
      </c>
      <c r="AW170" s="1643">
        <v>66.420763129337274</v>
      </c>
      <c r="AX170" s="1642">
        <v>41.054085788267628</v>
      </c>
      <c r="AY170" s="1643">
        <v>21.966120391696254</v>
      </c>
      <c r="AZ170" s="1643">
        <v>23.028785290261158</v>
      </c>
      <c r="BA170" s="1643">
        <v>63.042572669337098</v>
      </c>
      <c r="BB170" s="1905">
        <v>38.966056165905499</v>
      </c>
      <c r="BC170" s="1489"/>
      <c r="BD170" s="1489"/>
      <c r="BE170" s="1489">
        <f t="shared" si="372"/>
        <v>40.036719706521104</v>
      </c>
      <c r="BF170" s="1489">
        <f t="shared" si="373"/>
        <v>57.779631899879099</v>
      </c>
      <c r="BG170" s="1489">
        <f t="shared" si="374"/>
        <v>28.849115455264133</v>
      </c>
      <c r="BH170" s="1499">
        <f t="shared" si="375"/>
        <v>35.399009893508186</v>
      </c>
      <c r="BI170" s="1499">
        <f t="shared" si="376"/>
        <v>43.326484084356402</v>
      </c>
      <c r="BJ170" s="1499">
        <f t="shared" si="377"/>
        <v>28.02222396533859</v>
      </c>
      <c r="BK170" s="1499">
        <f t="shared" si="378"/>
        <v>25.744881456163192</v>
      </c>
      <c r="BL170" s="1499">
        <f t="shared" si="379"/>
        <v>29.225451388888885</v>
      </c>
      <c r="BM170" s="1499">
        <f t="shared" si="380"/>
        <v>54.639133471679685</v>
      </c>
      <c r="BN170" s="1499">
        <f t="shared" si="381"/>
        <v>42.348512499999998</v>
      </c>
      <c r="BO170" s="1499">
        <f t="shared" si="382"/>
        <v>38.720211326700003</v>
      </c>
      <c r="BP170" s="1499">
        <f t="shared" si="383"/>
        <v>36.750883629300006</v>
      </c>
      <c r="BQ170" s="1499"/>
      <c r="BR170" s="1476"/>
      <c r="BS170" s="1504"/>
      <c r="BT170" s="1499"/>
      <c r="BV170" s="1444"/>
      <c r="BW170" s="1443"/>
      <c r="BX170" s="1443"/>
      <c r="BY170" s="1443"/>
    </row>
    <row r="171" spans="2:77" ht="12.75" customHeight="1">
      <c r="C171" s="1773" t="s">
        <v>814</v>
      </c>
      <c r="D171" s="1729"/>
      <c r="E171" s="1737"/>
      <c r="F171" s="1735"/>
      <c r="G171" s="1718">
        <v>43.880888888888897</v>
      </c>
      <c r="H171" s="1704">
        <v>35.874838709677434</v>
      </c>
      <c r="I171" s="1704">
        <v>40.575468749999999</v>
      </c>
      <c r="J171" s="1719">
        <v>34.270317460317472</v>
      </c>
      <c r="K171" s="1718">
        <v>32.430468750000003</v>
      </c>
      <c r="L171" s="1704">
        <v>36.866093749999997</v>
      </c>
      <c r="M171" s="1704">
        <v>42.871093750000007</v>
      </c>
      <c r="N171" s="1719">
        <v>33.560156250000006</v>
      </c>
      <c r="O171" s="1718">
        <v>25.353281250000002</v>
      </c>
      <c r="P171" s="1704">
        <v>25.953076923076935</v>
      </c>
      <c r="Q171" s="1704">
        <v>36.29349206349206</v>
      </c>
      <c r="R171" s="1704">
        <v>31.014769230769229</v>
      </c>
      <c r="S171" s="1718">
        <v>32.511999999999993</v>
      </c>
      <c r="T171" s="1704">
        <v>38.131384615384611</v>
      </c>
      <c r="U171" s="1704">
        <v>42.04296875</v>
      </c>
      <c r="V171" s="1721">
        <v>37.624062500000001</v>
      </c>
      <c r="W171" s="1819">
        <v>47.590967741935479</v>
      </c>
      <c r="X171" s="1820">
        <v>42.762769230769244</v>
      </c>
      <c r="Y171" s="1820">
        <v>43.211212121212121</v>
      </c>
      <c r="Z171" s="1821">
        <v>36.127031249999987</v>
      </c>
      <c r="AA171" s="1819">
        <v>25.419180327868858</v>
      </c>
      <c r="AB171" s="1820">
        <v>26.831111111111106</v>
      </c>
      <c r="AC171" s="1820">
        <v>33.160312500000011</v>
      </c>
      <c r="AD171" s="1821">
        <v>23.980158730158735</v>
      </c>
      <c r="AE171" s="1819">
        <v>19.007377049180324</v>
      </c>
      <c r="AF171" s="1643">
        <v>22.532187499999996</v>
      </c>
      <c r="AG171" s="1643">
        <v>34.896093749999999</v>
      </c>
      <c r="AH171" s="1642">
        <v>25.215322580645164</v>
      </c>
      <c r="AI171" s="1643">
        <v>23.400322580645167</v>
      </c>
      <c r="AJ171" s="1643">
        <v>32.938906250000002</v>
      </c>
      <c r="AK171" s="1643">
        <v>44.240952380952386</v>
      </c>
      <c r="AL171" s="1642">
        <v>30.908548387096779</v>
      </c>
      <c r="AM171" s="1643">
        <v>26.38622950819672</v>
      </c>
      <c r="AN171" s="1643">
        <v>27.183333333333334</v>
      </c>
      <c r="AO171" s="1643">
        <v>42.599999999999994</v>
      </c>
      <c r="AP171" s="1642">
        <v>25.099999999999998</v>
      </c>
      <c r="AQ171" s="1643">
        <v>25.992977359392921</v>
      </c>
      <c r="AR171" s="1643">
        <v>25.589202953810119</v>
      </c>
      <c r="AS171" s="1643">
        <v>40.377440558280256</v>
      </c>
      <c r="AT171" s="1642">
        <v>30.457045794916699</v>
      </c>
      <c r="AU171" s="1643">
        <v>28.466645320489615</v>
      </c>
      <c r="AV171" s="1643">
        <v>28.024445004831527</v>
      </c>
      <c r="AW171" s="1643">
        <v>44.220031565809109</v>
      </c>
      <c r="AX171" s="1642">
        <v>33.355544775269749</v>
      </c>
      <c r="AY171" s="1643">
        <v>30.466105117398659</v>
      </c>
      <c r="AZ171" s="1643">
        <v>29.992845232079848</v>
      </c>
      <c r="BA171" s="1643">
        <v>47.325988531881407</v>
      </c>
      <c r="BB171" s="1905">
        <v>35.69839445184008</v>
      </c>
      <c r="BC171" s="1489"/>
      <c r="BD171" s="1489"/>
      <c r="BE171" s="1489">
        <f t="shared" si="372"/>
        <v>38.650378452220949</v>
      </c>
      <c r="BF171" s="1489">
        <f t="shared" si="373"/>
        <v>36.431953125</v>
      </c>
      <c r="BG171" s="1489">
        <f t="shared" si="374"/>
        <v>29.653654866834557</v>
      </c>
      <c r="BH171" s="1499">
        <f t="shared" si="375"/>
        <v>37.577603966346153</v>
      </c>
      <c r="BI171" s="1499">
        <f t="shared" si="376"/>
        <v>42.42299508597921</v>
      </c>
      <c r="BJ171" s="1499">
        <f t="shared" si="377"/>
        <v>27.347690667284677</v>
      </c>
      <c r="BK171" s="1499">
        <f t="shared" si="378"/>
        <v>25.412745219956371</v>
      </c>
      <c r="BL171" s="1499">
        <f t="shared" si="379"/>
        <v>32.872182399673584</v>
      </c>
      <c r="BM171" s="1499">
        <f t="shared" si="380"/>
        <v>30.317390710382512</v>
      </c>
      <c r="BN171" s="1499">
        <f t="shared" si="381"/>
        <v>30.604166666599998</v>
      </c>
      <c r="BO171" s="1499">
        <f t="shared" si="382"/>
        <v>33.516666666600003</v>
      </c>
      <c r="BP171" s="1499">
        <f>AVERAGE(AY171:BB171)</f>
        <v>35.870833333299998</v>
      </c>
      <c r="BQ171" s="1499"/>
      <c r="BR171" s="1476"/>
      <c r="BS171" s="1504"/>
      <c r="BT171" s="1499"/>
      <c r="BV171" s="1444"/>
      <c r="BW171" s="1443"/>
      <c r="BX171" s="1443"/>
      <c r="BY171" s="1443"/>
    </row>
    <row r="172" spans="2:77" ht="12.75" customHeight="1">
      <c r="C172" s="1773" t="s">
        <v>815</v>
      </c>
      <c r="D172" s="1729"/>
      <c r="E172" s="1734"/>
      <c r="F172" s="1735"/>
      <c r="G172" s="1718">
        <v>58.596430330972908</v>
      </c>
      <c r="H172" s="1704">
        <v>31.946377822646106</v>
      </c>
      <c r="I172" s="1704">
        <v>37.433810982142873</v>
      </c>
      <c r="J172" s="1719">
        <v>33.962447284902595</v>
      </c>
      <c r="K172" s="1718">
        <v>30.515116445312522</v>
      </c>
      <c r="L172" s="1704">
        <v>33.011711513798716</v>
      </c>
      <c r="M172" s="1704">
        <v>42.068564527191569</v>
      </c>
      <c r="N172" s="1719">
        <v>32.950429456168834</v>
      </c>
      <c r="O172" s="1718">
        <v>25.307843413149342</v>
      </c>
      <c r="P172" s="1704">
        <v>22.80274092532467</v>
      </c>
      <c r="Q172" s="1704">
        <v>35.896205914884867</v>
      </c>
      <c r="R172" s="1704">
        <v>42.475329612418847</v>
      </c>
      <c r="S172" s="1718">
        <v>42.911978651315792</v>
      </c>
      <c r="T172" s="1704">
        <v>45.579805629058441</v>
      </c>
      <c r="U172" s="1704">
        <v>48.084160511363628</v>
      </c>
      <c r="V172" s="1721">
        <v>45.337906345373376</v>
      </c>
      <c r="W172" s="1819">
        <v>53.600572129934207</v>
      </c>
      <c r="X172" s="1820">
        <v>40.900113140016224</v>
      </c>
      <c r="Y172" s="1820">
        <v>46.183565756087653</v>
      </c>
      <c r="Z172" s="1821">
        <v>41.445947460091979</v>
      </c>
      <c r="AA172" s="1819">
        <v>28.829850453771133</v>
      </c>
      <c r="AB172" s="1820">
        <v>29.03807379386982</v>
      </c>
      <c r="AC172" s="1820">
        <v>35.943119470128089</v>
      </c>
      <c r="AD172" s="1821">
        <v>32.371010031004026</v>
      </c>
      <c r="AE172" s="1819">
        <v>21.909217117018397</v>
      </c>
      <c r="AF172" s="1643">
        <v>21.147224745129879</v>
      </c>
      <c r="AG172" s="1643">
        <v>35.217113687499996</v>
      </c>
      <c r="AH172" s="1642">
        <v>32.804729900021115</v>
      </c>
      <c r="AI172" s="1643">
        <v>27.142658075794955</v>
      </c>
      <c r="AJ172" s="1643">
        <v>32.083006007440474</v>
      </c>
      <c r="AK172" s="1643">
        <v>43.369349766774882</v>
      </c>
      <c r="AL172" s="1642">
        <v>48.204032704495603</v>
      </c>
      <c r="AM172" s="1643">
        <v>34.474168695211048</v>
      </c>
      <c r="AN172" s="1643">
        <v>27.633333333333336</v>
      </c>
      <c r="AO172" s="1643">
        <v>46.35</v>
      </c>
      <c r="AP172" s="1642">
        <v>39.75</v>
      </c>
      <c r="AQ172" s="1643">
        <v>35.039319558003335</v>
      </c>
      <c r="AR172" s="1643">
        <v>25.220609132408999</v>
      </c>
      <c r="AS172" s="1643">
        <v>40.23746037155329</v>
      </c>
      <c r="AT172" s="1642">
        <v>42.319277604434383</v>
      </c>
      <c r="AU172" s="1643">
        <v>37.701310109094798</v>
      </c>
      <c r="AV172" s="1643">
        <v>27.136657276326481</v>
      </c>
      <c r="AW172" s="1643">
        <v>43.29436160879569</v>
      </c>
      <c r="AX172" s="1642">
        <v>45.534337672183035</v>
      </c>
      <c r="AY172" s="1643">
        <v>39.12839874558054</v>
      </c>
      <c r="AZ172" s="1643">
        <v>28.16384744874204</v>
      </c>
      <c r="BA172" s="1643">
        <v>44.93316119684799</v>
      </c>
      <c r="BB172" s="1905">
        <v>47.257925942029424</v>
      </c>
      <c r="BC172" s="1489"/>
      <c r="BD172" s="1489"/>
      <c r="BE172" s="1489">
        <f t="shared" si="372"/>
        <v>40.484766605166115</v>
      </c>
      <c r="BF172" s="1489">
        <f t="shared" si="373"/>
        <v>34.636455485617915</v>
      </c>
      <c r="BG172" s="1489">
        <f t="shared" si="374"/>
        <v>31.62052996644443</v>
      </c>
      <c r="BH172" s="1499">
        <f t="shared" si="375"/>
        <v>45.478462784277809</v>
      </c>
      <c r="BI172" s="1499">
        <f t="shared" si="376"/>
        <v>45.532549621532517</v>
      </c>
      <c r="BJ172" s="1499">
        <f t="shared" si="377"/>
        <v>31.545513437193271</v>
      </c>
      <c r="BK172" s="1499">
        <f t="shared" si="378"/>
        <v>27.769571362417349</v>
      </c>
      <c r="BL172" s="1499">
        <f t="shared" si="379"/>
        <v>37.699761638626477</v>
      </c>
      <c r="BM172" s="1499">
        <f t="shared" si="380"/>
        <v>37.051875507136096</v>
      </c>
      <c r="BN172" s="1499">
        <f t="shared" si="381"/>
        <v>35.704166666600003</v>
      </c>
      <c r="BO172" s="1499">
        <f t="shared" si="382"/>
        <v>38.416666666600001</v>
      </c>
      <c r="BP172" s="1499">
        <f t="shared" si="383"/>
        <v>39.870833333299998</v>
      </c>
      <c r="BQ172" s="1499"/>
      <c r="BR172" s="1476"/>
      <c r="BS172" s="1504"/>
      <c r="BT172" s="1499"/>
      <c r="BV172" s="1444"/>
      <c r="BW172" s="1443"/>
      <c r="BX172" s="1443"/>
      <c r="BY172" s="1443"/>
    </row>
    <row r="173" spans="2:77" ht="12.75" customHeight="1">
      <c r="C173" s="1773" t="s">
        <v>816</v>
      </c>
      <c r="D173" s="1729"/>
      <c r="E173" s="1734"/>
      <c r="F173" s="1735"/>
      <c r="G173" s="1718">
        <v>43.232782068657642</v>
      </c>
      <c r="H173" s="1704">
        <v>31.276324283685071</v>
      </c>
      <c r="I173" s="1704">
        <v>35.895895022321419</v>
      </c>
      <c r="J173" s="1719">
        <v>34.310879216720778</v>
      </c>
      <c r="K173" s="1718">
        <v>30.24114454975328</v>
      </c>
      <c r="L173" s="1704">
        <v>31.702068581574675</v>
      </c>
      <c r="M173" s="1704">
        <v>41.130466008522738</v>
      </c>
      <c r="N173" s="1719">
        <v>32.790118090503235</v>
      </c>
      <c r="O173" s="1718">
        <v>25.843621564529215</v>
      </c>
      <c r="P173" s="1704">
        <v>26.883430413961047</v>
      </c>
      <c r="Q173" s="1704">
        <v>32.092331157483542</v>
      </c>
      <c r="R173" s="1704">
        <v>35.354487767857144</v>
      </c>
      <c r="S173" s="1718">
        <v>38.341412275904609</v>
      </c>
      <c r="T173" s="1704">
        <v>53.221846702516224</v>
      </c>
      <c r="U173" s="1704">
        <v>43.118555716314944</v>
      </c>
      <c r="V173" s="1721">
        <v>47.006490310470774</v>
      </c>
      <c r="W173" s="1819">
        <v>54.453317212171072</v>
      </c>
      <c r="X173" s="1820">
        <v>43.800113599161243</v>
      </c>
      <c r="Y173" s="1820">
        <v>46.219888831825891</v>
      </c>
      <c r="Z173" s="1821">
        <v>42.75064843777055</v>
      </c>
      <c r="AA173" s="1819">
        <v>30.826490857906492</v>
      </c>
      <c r="AB173" s="1820">
        <v>36.661938962643021</v>
      </c>
      <c r="AC173" s="1820">
        <v>36.175045137228835</v>
      </c>
      <c r="AD173" s="1821">
        <v>31.309796634826355</v>
      </c>
      <c r="AE173" s="1819">
        <v>23.238426047889615</v>
      </c>
      <c r="AF173" s="1643">
        <v>25.958117773133125</v>
      </c>
      <c r="AG173" s="1643">
        <v>35.980332387929025</v>
      </c>
      <c r="AH173" s="1642">
        <v>36.942520320092108</v>
      </c>
      <c r="AI173" s="1643">
        <v>29.92399809991776</v>
      </c>
      <c r="AJ173" s="1643">
        <v>36.316399976055195</v>
      </c>
      <c r="AK173" s="1643">
        <v>47.946497504058435</v>
      </c>
      <c r="AL173" s="1642">
        <v>48.663296223684213</v>
      </c>
      <c r="AM173" s="1643">
        <v>34.379404778409103</v>
      </c>
      <c r="AN173" s="1643">
        <v>28.966666666666669</v>
      </c>
      <c r="AO173" s="1643">
        <v>44.1</v>
      </c>
      <c r="AP173" s="1642">
        <v>40.25</v>
      </c>
      <c r="AQ173" s="1643">
        <v>38.255538918101109</v>
      </c>
      <c r="AR173" s="1643">
        <v>29.023202192532711</v>
      </c>
      <c r="AS173" s="1643">
        <v>41.520011572445739</v>
      </c>
      <c r="AT173" s="1642">
        <v>42.017913983320447</v>
      </c>
      <c r="AU173" s="1643">
        <v>41.312092640925286</v>
      </c>
      <c r="AV173" s="1643">
        <v>31.342107616915317</v>
      </c>
      <c r="AW173" s="1643">
        <v>44.837391212950912</v>
      </c>
      <c r="AX173" s="1642">
        <v>45.375075195608474</v>
      </c>
      <c r="AY173" s="1643">
        <v>42.787524520994573</v>
      </c>
      <c r="AZ173" s="1643">
        <v>32.461468603261217</v>
      </c>
      <c r="BA173" s="1643">
        <v>46.438726613452779</v>
      </c>
      <c r="BB173" s="1905">
        <v>46.995613595491442</v>
      </c>
      <c r="BC173" s="1489"/>
      <c r="BD173" s="1489"/>
      <c r="BE173" s="1489">
        <f t="shared" si="372"/>
        <v>36.178970147846229</v>
      </c>
      <c r="BF173" s="1489">
        <f t="shared" si="373"/>
        <v>33.965949307588481</v>
      </c>
      <c r="BG173" s="1489">
        <f t="shared" si="374"/>
        <v>30.04346772595774</v>
      </c>
      <c r="BH173" s="1499">
        <f t="shared" si="375"/>
        <v>45.42207625130164</v>
      </c>
      <c r="BI173" s="1499">
        <f t="shared" si="376"/>
        <v>46.805992020232196</v>
      </c>
      <c r="BJ173" s="1499">
        <f t="shared" si="377"/>
        <v>33.743317898151176</v>
      </c>
      <c r="BK173" s="1499">
        <f t="shared" si="378"/>
        <v>30.529849132260971</v>
      </c>
      <c r="BL173" s="1499">
        <f t="shared" si="379"/>
        <v>40.712547950928908</v>
      </c>
      <c r="BM173" s="1499">
        <f t="shared" si="380"/>
        <v>36.924017861268943</v>
      </c>
      <c r="BN173" s="1499">
        <f t="shared" si="381"/>
        <v>37.704166666600003</v>
      </c>
      <c r="BO173" s="1499">
        <f t="shared" si="382"/>
        <v>40.716666666599998</v>
      </c>
      <c r="BP173" s="1499">
        <f t="shared" si="383"/>
        <v>42.170833333300003</v>
      </c>
      <c r="BQ173" s="1499"/>
      <c r="BR173" s="1476"/>
      <c r="BS173" s="1504"/>
      <c r="BT173" s="1499"/>
      <c r="BV173" s="1444"/>
      <c r="BW173" s="1443"/>
      <c r="BX173" s="1443"/>
      <c r="BY173" s="1443"/>
    </row>
    <row r="174" spans="2:77" ht="12.75" customHeight="1">
      <c r="C174" s="1773" t="s">
        <v>817</v>
      </c>
      <c r="D174" s="1729"/>
      <c r="E174" s="1729"/>
      <c r="F174" s="1735"/>
      <c r="G174" s="1718">
        <v>42.801333333333332</v>
      </c>
      <c r="H174" s="1704">
        <v>28.54564516129032</v>
      </c>
      <c r="I174" s="1704">
        <v>38.119531250000001</v>
      </c>
      <c r="J174" s="1719">
        <v>33.579047619047621</v>
      </c>
      <c r="K174" s="1718">
        <v>26.340468749999999</v>
      </c>
      <c r="L174" s="1704">
        <v>27.286249999999995</v>
      </c>
      <c r="M174" s="1704">
        <v>33.397500000000015</v>
      </c>
      <c r="N174" s="1719">
        <v>30.906093749999997</v>
      </c>
      <c r="O174" s="1718">
        <v>23.229218750000008</v>
      </c>
      <c r="P174" s="1704">
        <v>12.017692307692307</v>
      </c>
      <c r="Q174" s="1704">
        <v>26.9057142857143</v>
      </c>
      <c r="R174" s="1704">
        <v>29.446000000000005</v>
      </c>
      <c r="S174" s="1718">
        <v>30.320000000000007</v>
      </c>
      <c r="T174" s="1704">
        <v>33.439538461538454</v>
      </c>
      <c r="U174" s="1704">
        <v>42.477500000000006</v>
      </c>
      <c r="V174" s="1721">
        <v>43.603750000000005</v>
      </c>
      <c r="W174" s="1819">
        <v>47.446612903225798</v>
      </c>
      <c r="X174" s="1820">
        <v>33.838307692307687</v>
      </c>
      <c r="Y174" s="1820">
        <v>40.372878787878776</v>
      </c>
      <c r="Z174" s="1821">
        <v>32.739843750000006</v>
      </c>
      <c r="AA174" s="1819">
        <v>20.717049180327873</v>
      </c>
      <c r="AB174" s="1820">
        <v>28.650317460317464</v>
      </c>
      <c r="AC174" s="1820">
        <v>33.344531250000003</v>
      </c>
      <c r="AD174" s="1821">
        <v>21.909841269841273</v>
      </c>
      <c r="AE174" s="1819">
        <v>17.523114754098362</v>
      </c>
      <c r="AF174" s="1643">
        <v>16.668125</v>
      </c>
      <c r="AG174" s="1643">
        <v>32.027968749999999</v>
      </c>
      <c r="AH174" s="1642">
        <v>25.693387096774195</v>
      </c>
      <c r="AI174" s="1643">
        <v>23.318548387096779</v>
      </c>
      <c r="AJ174" s="1643">
        <v>16.274843750000002</v>
      </c>
      <c r="AK174" s="1643">
        <v>38.276507936507947</v>
      </c>
      <c r="AL174" s="1642">
        <v>27.148064516129033</v>
      </c>
      <c r="AM174" s="1643">
        <v>21.811311475409838</v>
      </c>
      <c r="AN174" s="1643">
        <v>13.183333333333332</v>
      </c>
      <c r="AO174" s="1643">
        <v>28.649999999999995</v>
      </c>
      <c r="AP174" s="1642">
        <v>23.75</v>
      </c>
      <c r="AQ174" s="1643">
        <v>27.40712890369376</v>
      </c>
      <c r="AR174" s="1643">
        <v>18.328876562466629</v>
      </c>
      <c r="AS174" s="1643">
        <v>32.290998834121375</v>
      </c>
      <c r="AT174" s="1642">
        <v>22.389662366118252</v>
      </c>
      <c r="AU174" s="1643">
        <v>30.859744810408912</v>
      </c>
      <c r="AV174" s="1643">
        <v>20.637858688765235</v>
      </c>
      <c r="AW174" s="1643">
        <v>36.358860761949288</v>
      </c>
      <c r="AX174" s="1642">
        <v>25.210202405276569</v>
      </c>
      <c r="AY174" s="1643">
        <v>33.047766221683759</v>
      </c>
      <c r="AZ174" s="1643">
        <v>22.101126676601996</v>
      </c>
      <c r="BA174" s="1643">
        <v>38.936781166847538</v>
      </c>
      <c r="BB174" s="1905">
        <v>26.997659268066712</v>
      </c>
      <c r="BC174" s="1489"/>
      <c r="BD174" s="1489"/>
      <c r="BE174" s="1489">
        <f t="shared" si="372"/>
        <v>35.761389340917823</v>
      </c>
      <c r="BF174" s="1489">
        <f t="shared" si="373"/>
        <v>29.482578125000003</v>
      </c>
      <c r="BG174" s="1489">
        <f t="shared" si="374"/>
        <v>22.899656335851652</v>
      </c>
      <c r="BH174" s="1499">
        <f t="shared" si="375"/>
        <v>37.460197115384616</v>
      </c>
      <c r="BI174" s="1499">
        <f t="shared" si="376"/>
        <v>38.599410783353065</v>
      </c>
      <c r="BJ174" s="1499">
        <f t="shared" si="377"/>
        <v>26.155434790121653</v>
      </c>
      <c r="BK174" s="1499">
        <f t="shared" si="378"/>
        <v>22.978148900218137</v>
      </c>
      <c r="BL174" s="1499">
        <f t="shared" si="379"/>
        <v>26.254491147433441</v>
      </c>
      <c r="BM174" s="1499">
        <f t="shared" si="380"/>
        <v>21.848661202185792</v>
      </c>
      <c r="BN174" s="1499">
        <f t="shared" si="381"/>
        <v>25.104166666600001</v>
      </c>
      <c r="BO174" s="1499">
        <f t="shared" si="382"/>
        <v>28.266666666600003</v>
      </c>
      <c r="BP174" s="1499">
        <f t="shared" si="383"/>
        <v>30.270833333300001</v>
      </c>
      <c r="BQ174" s="1499"/>
      <c r="BR174" s="1476"/>
      <c r="BS174" s="1504"/>
      <c r="BT174" s="1499"/>
      <c r="BV174" s="1444"/>
      <c r="BW174" s="1443"/>
      <c r="BX174" s="1443"/>
      <c r="BY174" s="1443"/>
    </row>
    <row r="175" spans="2:77" ht="12.75" customHeight="1">
      <c r="C175" s="1773"/>
      <c r="D175" s="1729"/>
      <c r="E175" s="1729"/>
      <c r="F175" s="1738"/>
      <c r="G175" s="1718">
        <v>0</v>
      </c>
      <c r="H175" s="1704">
        <v>0</v>
      </c>
      <c r="I175" s="1704">
        <v>0</v>
      </c>
      <c r="J175" s="1719">
        <v>26.057656249999997</v>
      </c>
      <c r="K175" s="1718">
        <v>44.045515136718748</v>
      </c>
      <c r="L175" s="1704">
        <v>32.527326660156241</v>
      </c>
      <c r="M175" s="1704">
        <v>107.99931884765626</v>
      </c>
      <c r="N175" s="1719">
        <v>25.141532738095243</v>
      </c>
      <c r="O175" s="1718">
        <v>22.386582031250001</v>
      </c>
      <c r="P175" s="1704">
        <v>30.746459960937493</v>
      </c>
      <c r="Q175" s="1704">
        <v>32.112728174603177</v>
      </c>
      <c r="R175" s="1704">
        <v>28.814428710937499</v>
      </c>
      <c r="S175" s="1718">
        <v>26.779603174603171</v>
      </c>
      <c r="T175" s="1705">
        <v>33.793859863281241</v>
      </c>
      <c r="U175" s="1705">
        <v>38.988039550781245</v>
      </c>
      <c r="V175" s="1707">
        <v>36.511301269531252</v>
      </c>
      <c r="W175" s="1643">
        <v>60.688715277777789</v>
      </c>
      <c r="X175" s="1643">
        <v>40.715671386718761</v>
      </c>
      <c r="Y175" s="1643">
        <v>37.175153808593763</v>
      </c>
      <c r="Z175" s="1642">
        <v>34.137402343750011</v>
      </c>
      <c r="AA175" s="1643">
        <v>26.590034722222224</v>
      </c>
      <c r="AB175" s="1643">
        <v>28.270329589843762</v>
      </c>
      <c r="AC175" s="1643">
        <v>35.146574519230789</v>
      </c>
      <c r="AD175" s="1642">
        <v>20.522995605468758</v>
      </c>
      <c r="AE175" s="1643">
        <v>18.654545898437501</v>
      </c>
      <c r="AF175" s="1643">
        <v>20.813508300781255</v>
      </c>
      <c r="AG175" s="1643">
        <v>30.13850830078125</v>
      </c>
      <c r="AH175" s="1642">
        <v>26.087876984126982</v>
      </c>
      <c r="AI175" s="1643">
        <v>21.219472656250005</v>
      </c>
      <c r="AJ175" s="1643">
        <v>26.678684082031253</v>
      </c>
      <c r="AK175" s="1643">
        <v>28.632579365079362</v>
      </c>
      <c r="AL175" s="1642">
        <v>23.46141865079365</v>
      </c>
      <c r="AM175" s="1643">
        <v>30.740278320312502</v>
      </c>
      <c r="AN175" s="1643">
        <v>33.448666666666668</v>
      </c>
      <c r="AO175" s="1643">
        <v>117.70445000000001</v>
      </c>
      <c r="AP175" s="1642">
        <v>24.139100000000003</v>
      </c>
      <c r="AQ175" s="1643">
        <v>21.658071060828828</v>
      </c>
      <c r="AR175" s="1643">
        <v>22.479432962685426</v>
      </c>
      <c r="AS175" s="1643">
        <v>68.504257165159913</v>
      </c>
      <c r="AT175" s="1642">
        <v>41.785622144525846</v>
      </c>
      <c r="AU175" s="1643">
        <v>19.257985044248056</v>
      </c>
      <c r="AV175" s="1643">
        <v>19.988325949375007</v>
      </c>
      <c r="AW175" s="1643">
        <v>60.912809651825292</v>
      </c>
      <c r="AX175" s="1642">
        <v>37.155057994951648</v>
      </c>
      <c r="AY175" s="1643">
        <v>17.900765357978706</v>
      </c>
      <c r="AZ175" s="1643">
        <v>18.579634987588069</v>
      </c>
      <c r="BA175" s="1643">
        <v>56.619937670904982</v>
      </c>
      <c r="BB175" s="1905">
        <v>34.536529834328249</v>
      </c>
      <c r="BC175" s="1489"/>
      <c r="BD175" s="1489"/>
      <c r="BE175" s="1489"/>
      <c r="BF175" s="1489"/>
      <c r="BG175" s="1489"/>
      <c r="BH175" s="1499"/>
      <c r="BI175" s="1499"/>
      <c r="BJ175" s="1499"/>
      <c r="BK175" s="1499"/>
      <c r="BL175" s="1499"/>
      <c r="BM175" s="1499"/>
      <c r="BN175" s="1499"/>
      <c r="BO175" s="1499"/>
      <c r="BP175" s="1499"/>
      <c r="BQ175" s="1499"/>
      <c r="BR175" s="1476"/>
      <c r="BS175" s="1511"/>
      <c r="BV175" s="1444"/>
      <c r="BW175" s="1443"/>
      <c r="BX175" s="1443"/>
      <c r="BY175" s="1443"/>
    </row>
    <row r="176" spans="2:77" ht="12.75" customHeight="1">
      <c r="B176" s="1549"/>
      <c r="C176" s="1776" t="s">
        <v>894</v>
      </c>
      <c r="D176" s="1739"/>
      <c r="E176" s="1739"/>
      <c r="F176" s="1740"/>
      <c r="G176" s="1720"/>
      <c r="H176" s="1723"/>
      <c r="I176" s="1723"/>
      <c r="J176" s="1724"/>
      <c r="K176" s="1720"/>
      <c r="L176" s="1723"/>
      <c r="M176" s="1723"/>
      <c r="N176" s="1724"/>
      <c r="O176" s="1720"/>
      <c r="P176" s="1723"/>
      <c r="Q176" s="1723"/>
      <c r="R176" s="1723"/>
      <c r="S176" s="1728"/>
      <c r="T176" s="1708"/>
      <c r="U176" s="1708"/>
      <c r="V176" s="1711"/>
      <c r="W176" s="1656"/>
      <c r="X176" s="1656"/>
      <c r="Y176" s="1656"/>
      <c r="Z176" s="1658"/>
      <c r="AA176" s="1656"/>
      <c r="AB176" s="1656"/>
      <c r="AC176" s="1656"/>
      <c r="AD176" s="1658"/>
      <c r="AE176" s="1656"/>
      <c r="AF176" s="1660"/>
      <c r="AG176" s="1660"/>
      <c r="AH176" s="1659"/>
      <c r="AI176" s="1660"/>
      <c r="AJ176" s="1660"/>
      <c r="AK176" s="1660"/>
      <c r="AL176" s="1659"/>
      <c r="AM176" s="1660"/>
      <c r="AN176" s="1660"/>
      <c r="AO176" s="1660"/>
      <c r="AP176" s="1659"/>
      <c r="AQ176" s="1660"/>
      <c r="AR176" s="1660"/>
      <c r="AS176" s="1660"/>
      <c r="AT176" s="1659"/>
      <c r="AU176" s="1660"/>
      <c r="AV176" s="1660"/>
      <c r="AW176" s="1660"/>
      <c r="AX176" s="1659"/>
      <c r="AY176" s="1660"/>
      <c r="AZ176" s="1660"/>
      <c r="BA176" s="1660"/>
      <c r="BB176" s="1906"/>
      <c r="BC176" s="1494"/>
      <c r="BD176" s="1494"/>
      <c r="BE176" s="1494"/>
      <c r="BF176" s="1494"/>
      <c r="BG176" s="1494"/>
      <c r="BH176" s="1494"/>
      <c r="BI176" s="1494"/>
      <c r="BJ176" s="1513"/>
      <c r="BK176" s="1494"/>
      <c r="BL176" s="1494"/>
      <c r="BM176" s="1494"/>
      <c r="BN176" s="1494"/>
      <c r="BO176" s="1494"/>
      <c r="BP176" s="1494"/>
      <c r="BQ176" s="1494"/>
      <c r="BR176" s="1476"/>
      <c r="BS176" s="1511"/>
      <c r="BV176" s="1444"/>
      <c r="BW176" s="1443"/>
      <c r="BX176" s="1443"/>
      <c r="BY176" s="1443"/>
    </row>
    <row r="177" spans="2:77" ht="12.75" customHeight="1">
      <c r="B177" s="1549"/>
      <c r="C177" s="1773" t="s">
        <v>803</v>
      </c>
      <c r="D177" s="1729"/>
      <c r="E177" s="1729"/>
      <c r="F177" s="1735"/>
      <c r="G177" s="1718">
        <v>39.802860187553279</v>
      </c>
      <c r="H177" s="1704">
        <v>38.409404761904753</v>
      </c>
      <c r="I177" s="1704">
        <v>41.222355072463778</v>
      </c>
      <c r="J177" s="1719">
        <v>42.090868115942037</v>
      </c>
      <c r="K177" s="1718">
        <v>51.30131863929148</v>
      </c>
      <c r="L177" s="1704">
        <v>37.850595238095231</v>
      </c>
      <c r="M177" s="1704">
        <v>39.460384963768135</v>
      </c>
      <c r="N177" s="1719">
        <v>32.516622101449258</v>
      </c>
      <c r="O177" s="1718">
        <v>27.601070632266282</v>
      </c>
      <c r="P177" s="1704">
        <v>22.926753663003662</v>
      </c>
      <c r="Q177" s="1704">
        <v>30.926911231884059</v>
      </c>
      <c r="R177" s="1704">
        <v>38.427999456521725</v>
      </c>
      <c r="S177" s="1718">
        <v>72.617844806763287</v>
      </c>
      <c r="T177" s="1704">
        <v>34.133154761904763</v>
      </c>
      <c r="U177" s="1704">
        <v>30.454148550724629</v>
      </c>
      <c r="V177" s="1721">
        <v>51.12213387681161</v>
      </c>
      <c r="W177" s="1820">
        <v>125.17613546698865</v>
      </c>
      <c r="X177" s="1820">
        <v>32.324491758241756</v>
      </c>
      <c r="Y177" s="1820">
        <v>26.776259057971</v>
      </c>
      <c r="Z177" s="1821">
        <v>31.050057065217377</v>
      </c>
      <c r="AA177" s="1820">
        <v>74.709404790660244</v>
      </c>
      <c r="AB177" s="1820">
        <v>18.747051282051284</v>
      </c>
      <c r="AC177" s="1820">
        <v>22.344044384057977</v>
      </c>
      <c r="AD177" s="1821">
        <v>20.198206884057964</v>
      </c>
      <c r="AE177" s="1820">
        <v>22.403306059882148</v>
      </c>
      <c r="AF177" s="1643">
        <v>18.611707875457874</v>
      </c>
      <c r="AG177" s="1643">
        <v>21.732721920289862</v>
      </c>
      <c r="AH177" s="1642">
        <v>28.745413949275392</v>
      </c>
      <c r="AI177" s="1643">
        <v>30.265937600644122</v>
      </c>
      <c r="AJ177" s="1643">
        <v>22.968333333333337</v>
      </c>
      <c r="AK177" s="1643">
        <v>19.421938405797103</v>
      </c>
      <c r="AL177" s="1642">
        <v>41.756125543478241</v>
      </c>
      <c r="AM177" s="1643">
        <v>55.496529991948492</v>
      </c>
      <c r="AN177" s="1643">
        <v>24.166666666666668</v>
      </c>
      <c r="AO177" s="1643">
        <v>23.3</v>
      </c>
      <c r="AP177" s="1642">
        <v>33.699999999999996</v>
      </c>
      <c r="AQ177" s="1643">
        <v>56.863680246618699</v>
      </c>
      <c r="AR177" s="1643">
        <v>22.402357917897525</v>
      </c>
      <c r="AS177" s="1643">
        <v>23.701528116853666</v>
      </c>
      <c r="AT177" s="1642">
        <v>32.932400385030085</v>
      </c>
      <c r="AU177" s="1643">
        <v>56.696324969164479</v>
      </c>
      <c r="AV177" s="1643">
        <v>22.336425624934453</v>
      </c>
      <c r="AW177" s="1643">
        <v>23.631772241101658</v>
      </c>
      <c r="AX177" s="1642">
        <v>32.8354771647994</v>
      </c>
      <c r="AY177" s="1643">
        <v>57.030965787007425</v>
      </c>
      <c r="AZ177" s="1643">
        <v>22.468262736826301</v>
      </c>
      <c r="BA177" s="1643">
        <v>23.771254925281653</v>
      </c>
      <c r="BB177" s="1905">
        <v>33.0292832172846</v>
      </c>
      <c r="BC177" s="1489"/>
      <c r="BD177" s="1489"/>
      <c r="BE177" s="1489">
        <f t="shared" ref="BE177:BE192" si="384">AVERAGE(G177:J177)</f>
        <v>40.381372034465961</v>
      </c>
      <c r="BF177" s="1489">
        <f t="shared" ref="BF177:BF192" si="385">AVERAGE(K177:N177)</f>
        <v>40.282230235651021</v>
      </c>
      <c r="BG177" s="1489">
        <f t="shared" ref="BG177:BG192" si="386">AVERAGE(O177:R177)</f>
        <v>29.970683745918933</v>
      </c>
      <c r="BH177" s="1489">
        <f t="shared" ref="BH177:BH192" si="387">AVERAGE(S177:V177)</f>
        <v>47.081820499051069</v>
      </c>
      <c r="BI177" s="1489">
        <f t="shared" ref="BI177:BI192" si="388">AVERAGE(W177:Z177)</f>
        <v>53.831735837104695</v>
      </c>
      <c r="BJ177" s="1489">
        <f t="shared" ref="BJ177:BJ192" si="389">AVERAGE(AA177:AD177)</f>
        <v>33.99967683520687</v>
      </c>
      <c r="BK177" s="1499">
        <f t="shared" ref="BK177:BK192" si="390">AVERAGE(AE177:AH177)</f>
        <v>22.873287451226318</v>
      </c>
      <c r="BL177" s="1499">
        <f t="shared" ref="BL177:BL192" si="391">AVERAGE(AI177:AL177)</f>
        <v>28.603083720813203</v>
      </c>
      <c r="BM177" s="1499">
        <f t="shared" ref="BM177:BM192" si="392">AVERAGE(AM177:AP177)</f>
        <v>34.165799164653791</v>
      </c>
      <c r="BN177" s="1499">
        <f t="shared" ref="BN177:BN192" si="393">AVERAGE(AQ177:AT177)</f>
        <v>33.974991666599998</v>
      </c>
      <c r="BO177" s="1499">
        <f t="shared" ref="BO177:BO192" si="394">AVERAGE(AU177:AX177)</f>
        <v>33.875</v>
      </c>
      <c r="BP177" s="1499">
        <f t="shared" ref="BP177:BP192" si="395">AVERAGE(AY177:BB177)</f>
        <v>34.074941666599997</v>
      </c>
      <c r="BQ177" s="1499"/>
      <c r="BR177" s="1476"/>
      <c r="BS177" s="1514"/>
      <c r="BT177" s="1515"/>
      <c r="BV177" s="1444"/>
      <c r="BW177" s="1443"/>
      <c r="BX177" s="1443"/>
      <c r="BY177" s="1443"/>
    </row>
    <row r="178" spans="2:77" ht="12.75" customHeight="1">
      <c r="B178" s="1549"/>
      <c r="C178" s="1773" t="s">
        <v>804</v>
      </c>
      <c r="D178" s="1729"/>
      <c r="E178" s="1729"/>
      <c r="F178" s="1735"/>
      <c r="G178" s="1718">
        <v>29.412255701193526</v>
      </c>
      <c r="H178" s="1704">
        <v>32.835989010988996</v>
      </c>
      <c r="I178" s="1704">
        <v>38.537432065217374</v>
      </c>
      <c r="J178" s="1719">
        <v>34.208417028985515</v>
      </c>
      <c r="K178" s="1718">
        <v>35.779313405797105</v>
      </c>
      <c r="L178" s="1704">
        <v>31.184803113553112</v>
      </c>
      <c r="M178" s="1704">
        <v>33.652490942028983</v>
      </c>
      <c r="N178" s="1719">
        <v>27.712640036231885</v>
      </c>
      <c r="O178" s="1718">
        <v>23.968829033285562</v>
      </c>
      <c r="P178" s="1704">
        <v>20.569913003663</v>
      </c>
      <c r="Q178" s="1704">
        <v>27.271308876811592</v>
      </c>
      <c r="R178" s="1704">
        <v>30.6151650362319</v>
      </c>
      <c r="S178" s="1718">
        <v>35.609952294685982</v>
      </c>
      <c r="T178" s="1704">
        <v>28.352330586080591</v>
      </c>
      <c r="U178" s="1704">
        <v>26.087404891304349</v>
      </c>
      <c r="V178" s="1721">
        <v>29.252230615942018</v>
      </c>
      <c r="W178" s="1820">
        <v>74.738565619967801</v>
      </c>
      <c r="X178" s="1820">
        <v>27.261304945054935</v>
      </c>
      <c r="Y178" s="1820">
        <v>23.849180253623189</v>
      </c>
      <c r="Z178" s="1821">
        <v>21.799227355072471</v>
      </c>
      <c r="AA178" s="1820">
        <v>37.643325281803556</v>
      </c>
      <c r="AB178" s="1820">
        <v>18.227133699633701</v>
      </c>
      <c r="AC178" s="1820">
        <v>20.449230072463759</v>
      </c>
      <c r="AD178" s="1821">
        <v>14.298236956521748</v>
      </c>
      <c r="AE178" s="1820">
        <v>13.624288899506292</v>
      </c>
      <c r="AF178" s="1643">
        <v>15.5952152014652</v>
      </c>
      <c r="AG178" s="1643">
        <v>19.290855978260876</v>
      </c>
      <c r="AH178" s="1642">
        <v>17.244110869565226</v>
      </c>
      <c r="AI178" s="1643">
        <v>19.385393719806771</v>
      </c>
      <c r="AJ178" s="1643">
        <v>14.500613553113546</v>
      </c>
      <c r="AK178" s="1643">
        <v>17.318980978260868</v>
      </c>
      <c r="AL178" s="1642">
        <v>19.652653804347828</v>
      </c>
      <c r="AM178" s="1643">
        <v>32.735488727858289</v>
      </c>
      <c r="AN178" s="1643">
        <v>32.93333333333333</v>
      </c>
      <c r="AO178" s="1643">
        <v>29.3</v>
      </c>
      <c r="AP178" s="1642">
        <v>33.083333333333336</v>
      </c>
      <c r="AQ178" s="1643">
        <v>50.208915257706202</v>
      </c>
      <c r="AR178" s="1643">
        <v>32.014743875122768</v>
      </c>
      <c r="AS178" s="1643">
        <v>27.396223447236203</v>
      </c>
      <c r="AT178" s="1642">
        <v>24.304750753134826</v>
      </c>
      <c r="AU178" s="1643">
        <v>49.683624405377643</v>
      </c>
      <c r="AV178" s="1643">
        <v>31.679802321198988</v>
      </c>
      <c r="AW178" s="1643">
        <v>27.109601330599784</v>
      </c>
      <c r="AX178" s="1642">
        <v>24.050471942823588</v>
      </c>
      <c r="AY178" s="1643">
        <v>49.75851777917272</v>
      </c>
      <c r="AZ178" s="1643">
        <v>31.727556632712918</v>
      </c>
      <c r="BA178" s="1643">
        <v>27.150466495534658</v>
      </c>
      <c r="BB178" s="1905">
        <v>24.0867257589797</v>
      </c>
      <c r="BC178" s="1489"/>
      <c r="BD178" s="1489"/>
      <c r="BE178" s="1489">
        <f t="shared" si="384"/>
        <v>33.748523451596355</v>
      </c>
      <c r="BF178" s="1489">
        <f t="shared" si="385"/>
        <v>32.08231187440277</v>
      </c>
      <c r="BG178" s="1489">
        <f t="shared" si="386"/>
        <v>25.606303987498013</v>
      </c>
      <c r="BH178" s="1489">
        <f t="shared" si="387"/>
        <v>29.825479597003238</v>
      </c>
      <c r="BI178" s="1489">
        <f t="shared" si="388"/>
        <v>36.912069543429595</v>
      </c>
      <c r="BJ178" s="1489">
        <f t="shared" si="389"/>
        <v>22.654481502605691</v>
      </c>
      <c r="BK178" s="1499">
        <f t="shared" si="390"/>
        <v>16.438617737199401</v>
      </c>
      <c r="BL178" s="1499">
        <f t="shared" si="391"/>
        <v>17.714410513882253</v>
      </c>
      <c r="BM178" s="1499">
        <f t="shared" si="392"/>
        <v>32.01303884863124</v>
      </c>
      <c r="BN178" s="1499">
        <f t="shared" si="393"/>
        <v>33.481158333300002</v>
      </c>
      <c r="BO178" s="1499">
        <f t="shared" si="394"/>
        <v>33.130875000000003</v>
      </c>
      <c r="BP178" s="1499">
        <f t="shared" si="395"/>
        <v>33.180816666600002</v>
      </c>
      <c r="BQ178" s="1499"/>
      <c r="BR178" s="1476"/>
      <c r="BS178" s="1514"/>
      <c r="BT178" s="1515"/>
      <c r="BV178" s="1444"/>
      <c r="BW178" s="1443"/>
      <c r="BX178" s="1443"/>
      <c r="BY178" s="1443"/>
    </row>
    <row r="179" spans="2:77" ht="12.75" customHeight="1">
      <c r="B179" s="1549"/>
      <c r="C179" s="1773" t="s">
        <v>805</v>
      </c>
      <c r="D179" s="1729"/>
      <c r="E179" s="1729"/>
      <c r="F179" s="1735"/>
      <c r="G179" s="1718">
        <v>39.81077312446719</v>
      </c>
      <c r="H179" s="1704">
        <v>38.993859890109889</v>
      </c>
      <c r="I179" s="1704">
        <v>43.926820652173916</v>
      </c>
      <c r="J179" s="1719">
        <v>40.879857427536237</v>
      </c>
      <c r="K179" s="1718">
        <v>49.229429347826084</v>
      </c>
      <c r="L179" s="1704">
        <v>35.886799450549439</v>
      </c>
      <c r="M179" s="1704">
        <v>39.740421195652168</v>
      </c>
      <c r="N179" s="1719">
        <v>30.484731521739121</v>
      </c>
      <c r="O179" s="1718">
        <v>27.569314580347193</v>
      </c>
      <c r="P179" s="1704">
        <v>22.281291208791199</v>
      </c>
      <c r="Q179" s="1704">
        <v>30.822210144927531</v>
      </c>
      <c r="R179" s="1704">
        <v>36.205649818840577</v>
      </c>
      <c r="S179" s="1718">
        <v>56.707361111111105</v>
      </c>
      <c r="T179" s="1704">
        <v>33.444134615384613</v>
      </c>
      <c r="U179" s="1704">
        <v>31.241820652173907</v>
      </c>
      <c r="V179" s="1721">
        <v>36.510255434782614</v>
      </c>
      <c r="W179" s="1820">
        <v>104.25991747181963</v>
      </c>
      <c r="X179" s="1820">
        <v>30.387303113553116</v>
      </c>
      <c r="Y179" s="1820">
        <v>25.834510869565232</v>
      </c>
      <c r="Z179" s="1821">
        <v>26.259342210144922</v>
      </c>
      <c r="AA179" s="1820">
        <v>58.731627415458931</v>
      </c>
      <c r="AB179" s="1820">
        <v>19.32760989010988</v>
      </c>
      <c r="AC179" s="1820">
        <v>22.11728713768116</v>
      </c>
      <c r="AD179" s="1821">
        <v>17.28061014492754</v>
      </c>
      <c r="AE179" s="1820">
        <v>20.397999084249086</v>
      </c>
      <c r="AF179" s="1643">
        <v>19.320544871794873</v>
      </c>
      <c r="AG179" s="1643">
        <v>22.198464673913044</v>
      </c>
      <c r="AH179" s="1642">
        <v>25.744134963768118</v>
      </c>
      <c r="AI179" s="1643">
        <v>29.326884259259263</v>
      </c>
      <c r="AJ179" s="1643">
        <v>21.279184981684978</v>
      </c>
      <c r="AK179" s="1643">
        <v>19.207495471014489</v>
      </c>
      <c r="AL179" s="1642">
        <v>28.660226630434785</v>
      </c>
      <c r="AM179" s="1643">
        <v>44.676771739130423</v>
      </c>
      <c r="AN179" s="1643">
        <v>38.200000000000003</v>
      </c>
      <c r="AO179" s="1643">
        <v>32.6</v>
      </c>
      <c r="AP179" s="1642">
        <v>41.800000000000004</v>
      </c>
      <c r="AQ179" s="1643">
        <v>67.7166668198211</v>
      </c>
      <c r="AR179" s="1643">
        <v>38.042079509049643</v>
      </c>
      <c r="AS179" s="1643">
        <v>31.175086966580828</v>
      </c>
      <c r="AT179" s="1642">
        <v>28.982800037748426</v>
      </c>
      <c r="AU179" s="1643">
        <v>68.226851296430993</v>
      </c>
      <c r="AV179" s="1643">
        <v>38.328692529668608</v>
      </c>
      <c r="AW179" s="1643">
        <v>31.409963344498731</v>
      </c>
      <c r="AX179" s="1642">
        <v>29.201159495801665</v>
      </c>
      <c r="AY179" s="1643">
        <v>68.716520101812705</v>
      </c>
      <c r="AZ179" s="1643">
        <v>38.603780192754527</v>
      </c>
      <c r="BA179" s="1643">
        <v>31.635394812252667</v>
      </c>
      <c r="BB179" s="1905">
        <v>29.410738226380104</v>
      </c>
      <c r="BC179" s="1489"/>
      <c r="BD179" s="1489"/>
      <c r="BE179" s="1489">
        <f t="shared" si="384"/>
        <v>40.902827773571808</v>
      </c>
      <c r="BF179" s="1489">
        <f t="shared" si="385"/>
        <v>38.835345378941703</v>
      </c>
      <c r="BG179" s="1489">
        <f t="shared" si="386"/>
        <v>29.219616438226623</v>
      </c>
      <c r="BH179" s="1489">
        <f t="shared" si="387"/>
        <v>39.475892953363058</v>
      </c>
      <c r="BI179" s="1489">
        <f t="shared" si="388"/>
        <v>46.685268416270723</v>
      </c>
      <c r="BJ179" s="1489">
        <f t="shared" si="389"/>
        <v>29.364283647044378</v>
      </c>
      <c r="BK179" s="1499">
        <f t="shared" si="390"/>
        <v>21.915285898431279</v>
      </c>
      <c r="BL179" s="1499">
        <f t="shared" si="391"/>
        <v>24.618447835598374</v>
      </c>
      <c r="BM179" s="1499">
        <f t="shared" si="392"/>
        <v>39.319192934782606</v>
      </c>
      <c r="BN179" s="1499">
        <f t="shared" si="393"/>
        <v>41.479158333299999</v>
      </c>
      <c r="BO179" s="1499">
        <f t="shared" si="394"/>
        <v>41.791666666600001</v>
      </c>
      <c r="BP179" s="1499">
        <f t="shared" si="395"/>
        <v>42.091608333300002</v>
      </c>
      <c r="BQ179" s="1499"/>
      <c r="BR179" s="1476"/>
      <c r="BS179" s="1514"/>
      <c r="BT179" s="1515"/>
      <c r="BV179" s="1444"/>
      <c r="BW179" s="1443"/>
      <c r="BX179" s="1443"/>
      <c r="BY179" s="1443"/>
    </row>
    <row r="180" spans="2:77" ht="12.75" customHeight="1">
      <c r="B180" s="1549"/>
      <c r="C180" s="1775" t="s">
        <v>806</v>
      </c>
      <c r="D180" s="1729"/>
      <c r="E180" s="1729"/>
      <c r="F180" s="1735"/>
      <c r="G180" s="1718">
        <v>40.692399563086099</v>
      </c>
      <c r="H180" s="1704">
        <v>41.705434981684988</v>
      </c>
      <c r="I180" s="1704">
        <v>47.003220108695643</v>
      </c>
      <c r="J180" s="1719">
        <v>41.219209057971007</v>
      </c>
      <c r="K180" s="1718">
        <v>51.080749798711743</v>
      </c>
      <c r="L180" s="1704">
        <v>37.080599816849826</v>
      </c>
      <c r="M180" s="1704">
        <v>42.037432065217381</v>
      </c>
      <c r="N180" s="1719">
        <v>30.768373369565197</v>
      </c>
      <c r="O180" s="1718">
        <v>28.248588549132045</v>
      </c>
      <c r="P180" s="1704">
        <v>22.741620879120877</v>
      </c>
      <c r="Q180" s="1704">
        <v>32.049044384057972</v>
      </c>
      <c r="R180" s="1704">
        <v>36.959637137681163</v>
      </c>
      <c r="S180" s="1718">
        <v>58.074166062801964</v>
      </c>
      <c r="T180" s="1704">
        <v>34.010100732600726</v>
      </c>
      <c r="U180" s="1704">
        <v>33.497015398550722</v>
      </c>
      <c r="V180" s="1721">
        <v>35.902980434782606</v>
      </c>
      <c r="W180" s="1820">
        <v>104.53095511272141</v>
      </c>
      <c r="X180" s="1820">
        <v>30.633470695970686</v>
      </c>
      <c r="Y180" s="1820">
        <v>26.27728260869565</v>
      </c>
      <c r="Z180" s="1821">
        <v>26.346719927536238</v>
      </c>
      <c r="AA180" s="1820">
        <v>59.086149154589357</v>
      </c>
      <c r="AB180" s="1820">
        <v>19.830306776556778</v>
      </c>
      <c r="AC180" s="1820">
        <v>23.797971014492759</v>
      </c>
      <c r="AD180" s="1821">
        <v>17.491895833333331</v>
      </c>
      <c r="AE180" s="1820">
        <v>21.25929785793916</v>
      </c>
      <c r="AF180" s="1643">
        <v>20.53872252747253</v>
      </c>
      <c r="AG180" s="1643">
        <v>24.140729166666659</v>
      </c>
      <c r="AH180" s="1642">
        <v>25.848853442028986</v>
      </c>
      <c r="AI180" s="1643">
        <v>29.471096215781014</v>
      </c>
      <c r="AJ180" s="1643">
        <v>22.852271062271065</v>
      </c>
      <c r="AK180" s="1643">
        <v>20.054769021739126</v>
      </c>
      <c r="AL180" s="1642">
        <v>29.040597463768133</v>
      </c>
      <c r="AM180" s="1643">
        <v>46.970595410628015</v>
      </c>
      <c r="AN180" s="1643">
        <v>39.85</v>
      </c>
      <c r="AO180" s="1643">
        <v>34.283333333333331</v>
      </c>
      <c r="AP180" s="1642">
        <v>43.066666666666663</v>
      </c>
      <c r="AQ180" s="1643">
        <v>70.748332973984347</v>
      </c>
      <c r="AR180" s="1643">
        <v>40.060601265759729</v>
      </c>
      <c r="AS180" s="1643">
        <v>33.256854743843881</v>
      </c>
      <c r="AT180" s="1642">
        <v>29.784177682812054</v>
      </c>
      <c r="AU180" s="1643">
        <v>71.419814884174826</v>
      </c>
      <c r="AV180" s="1643">
        <v>40.440821801432321</v>
      </c>
      <c r="AW180" s="1643">
        <v>33.572500009415513</v>
      </c>
      <c r="AX180" s="1642">
        <v>30.066863304977336</v>
      </c>
      <c r="AY180" s="1643">
        <v>72.233620953267874</v>
      </c>
      <c r="AZ180" s="1643">
        <v>40.901632100009685</v>
      </c>
      <c r="BA180" s="1643">
        <v>33.955047966261908</v>
      </c>
      <c r="BB180" s="1905">
        <v>30.409465646860522</v>
      </c>
      <c r="BC180" s="1489"/>
      <c r="BD180" s="1489"/>
      <c r="BE180" s="1489">
        <f t="shared" si="384"/>
        <v>42.655065927859432</v>
      </c>
      <c r="BF180" s="1489">
        <f t="shared" si="385"/>
        <v>40.24178876258604</v>
      </c>
      <c r="BG180" s="1489">
        <f t="shared" si="386"/>
        <v>29.999722737498018</v>
      </c>
      <c r="BH180" s="1489">
        <f t="shared" si="387"/>
        <v>40.371065657184005</v>
      </c>
      <c r="BI180" s="1489">
        <f t="shared" si="388"/>
        <v>46.947107086231</v>
      </c>
      <c r="BJ180" s="1489">
        <f t="shared" si="389"/>
        <v>30.051580694743055</v>
      </c>
      <c r="BK180" s="1499">
        <f t="shared" si="390"/>
        <v>22.946900748526833</v>
      </c>
      <c r="BL180" s="1499">
        <f t="shared" si="391"/>
        <v>25.354683440889836</v>
      </c>
      <c r="BM180" s="1499">
        <f t="shared" si="392"/>
        <v>41.042648852657003</v>
      </c>
      <c r="BN180" s="1499">
        <f t="shared" si="393"/>
        <v>43.462491666600002</v>
      </c>
      <c r="BO180" s="1499">
        <f t="shared" si="394"/>
        <v>43.875</v>
      </c>
      <c r="BP180" s="1499">
        <f t="shared" si="395"/>
        <v>44.374941666599995</v>
      </c>
      <c r="BQ180" s="1499"/>
      <c r="BR180" s="1476"/>
      <c r="BS180" s="1514"/>
      <c r="BT180" s="1515"/>
      <c r="BV180" s="1444"/>
      <c r="BW180" s="1443"/>
      <c r="BX180" s="1443"/>
      <c r="BY180" s="1443"/>
    </row>
    <row r="181" spans="2:77" ht="12.75" customHeight="1">
      <c r="B181" s="1549"/>
      <c r="C181" s="1775" t="s">
        <v>807</v>
      </c>
      <c r="D181" s="1729"/>
      <c r="E181" s="1729"/>
      <c r="F181" s="1735"/>
      <c r="G181" s="1718">
        <v>35.661723566869142</v>
      </c>
      <c r="H181" s="1704">
        <v>32.95930132783883</v>
      </c>
      <c r="I181" s="1704">
        <v>37.786714411684756</v>
      </c>
      <c r="J181" s="1719">
        <v>38.127121226902197</v>
      </c>
      <c r="K181" s="1718">
        <v>40.858928955797097</v>
      </c>
      <c r="L181" s="1704">
        <v>33.916098321428571</v>
      </c>
      <c r="M181" s="1704">
        <v>34.068597563405802</v>
      </c>
      <c r="N181" s="1719">
        <v>31.114616296105076</v>
      </c>
      <c r="O181" s="1718">
        <v>27.303063772177097</v>
      </c>
      <c r="P181" s="1704">
        <v>22.034301452838829</v>
      </c>
      <c r="Q181" s="1704">
        <v>26.919559772644931</v>
      </c>
      <c r="R181" s="1704">
        <v>30.869201327717395</v>
      </c>
      <c r="S181" s="1718">
        <v>33.486062323832535</v>
      </c>
      <c r="T181" s="1704">
        <v>29.612168522893782</v>
      </c>
      <c r="U181" s="1704">
        <v>28.466996774909425</v>
      </c>
      <c r="V181" s="1721">
        <v>31.005893446105066</v>
      </c>
      <c r="W181" s="1820">
        <v>78.280771197463764</v>
      </c>
      <c r="X181" s="1820">
        <v>30.680673397435903</v>
      </c>
      <c r="Y181" s="1820">
        <v>27.413026009963772</v>
      </c>
      <c r="Z181" s="1821">
        <v>29.952876293025369</v>
      </c>
      <c r="AA181" s="1820">
        <v>44.217764477254434</v>
      </c>
      <c r="AB181" s="1820">
        <v>25.028568056318672</v>
      </c>
      <c r="AC181" s="1820">
        <v>23.224815237318836</v>
      </c>
      <c r="AD181" s="1821">
        <v>22.109061745018124</v>
      </c>
      <c r="AE181" s="1820">
        <v>23.988923446826721</v>
      </c>
      <c r="AF181" s="1643">
        <v>21.266628026098903</v>
      </c>
      <c r="AG181" s="1643">
        <v>22.910100094655796</v>
      </c>
      <c r="AH181" s="1642">
        <v>25.259746692934794</v>
      </c>
      <c r="AI181" s="1643">
        <v>27.075569670692435</v>
      </c>
      <c r="AJ181" s="1643">
        <v>22.121270426282045</v>
      </c>
      <c r="AK181" s="1643">
        <v>21.948979516304348</v>
      </c>
      <c r="AL181" s="1642">
        <v>28.679605414130428</v>
      </c>
      <c r="AM181" s="1643">
        <v>43.803590137359109</v>
      </c>
      <c r="AN181" s="1643">
        <v>24.95</v>
      </c>
      <c r="AO181" s="1643">
        <v>24.783333333333331</v>
      </c>
      <c r="AP181" s="1642">
        <v>25.683333333333334</v>
      </c>
      <c r="AQ181" s="1643">
        <v>32.710239316820804</v>
      </c>
      <c r="AR181" s="1643">
        <v>20.631697104333988</v>
      </c>
      <c r="AS181" s="1643">
        <v>20.527571740433242</v>
      </c>
      <c r="AT181" s="1642">
        <v>31.93845850481198</v>
      </c>
      <c r="AU181" s="1643">
        <v>32.33891227956417</v>
      </c>
      <c r="AV181" s="1643">
        <v>20.397485826173483</v>
      </c>
      <c r="AW181" s="1643">
        <v>20.29454249467874</v>
      </c>
      <c r="AX181" s="1642">
        <v>31.575892732783615</v>
      </c>
      <c r="AY181" s="1643">
        <v>32.400669590326544</v>
      </c>
      <c r="AZ181" s="1643">
        <v>20.436438709314643</v>
      </c>
      <c r="BA181" s="1643">
        <v>20.333298787926616</v>
      </c>
      <c r="BB181" s="1905">
        <v>31.636192912432207</v>
      </c>
      <c r="BC181" s="1489"/>
      <c r="BD181" s="1489"/>
      <c r="BE181" s="1489">
        <f t="shared" si="384"/>
        <v>36.133715133323733</v>
      </c>
      <c r="BF181" s="1489">
        <f t="shared" si="385"/>
        <v>34.989560284184137</v>
      </c>
      <c r="BG181" s="1489">
        <f t="shared" si="386"/>
        <v>26.781531581344563</v>
      </c>
      <c r="BH181" s="1489">
        <f t="shared" si="387"/>
        <v>30.642780266935201</v>
      </c>
      <c r="BI181" s="1489">
        <f t="shared" si="388"/>
        <v>41.581836724472197</v>
      </c>
      <c r="BJ181" s="1489">
        <f t="shared" si="389"/>
        <v>28.645052378977518</v>
      </c>
      <c r="BK181" s="1499">
        <f t="shared" si="390"/>
        <v>23.356349565129054</v>
      </c>
      <c r="BL181" s="1499">
        <f t="shared" si="391"/>
        <v>24.956356256852317</v>
      </c>
      <c r="BM181" s="1499">
        <f t="shared" si="392"/>
        <v>29.805064201006445</v>
      </c>
      <c r="BN181" s="1499">
        <f t="shared" si="393"/>
        <v>26.451991666600001</v>
      </c>
      <c r="BO181" s="1499">
        <f t="shared" si="394"/>
        <v>26.1517083333</v>
      </c>
      <c r="BP181" s="1499">
        <f t="shared" si="395"/>
        <v>26.201650000000004</v>
      </c>
      <c r="BQ181" s="1499"/>
      <c r="BR181" s="1476"/>
      <c r="BS181" s="1514"/>
      <c r="BT181" s="1515"/>
      <c r="BV181" s="1444"/>
      <c r="BW181" s="1443"/>
      <c r="BX181" s="1443"/>
      <c r="BY181" s="1443"/>
    </row>
    <row r="182" spans="2:77" ht="12.75" customHeight="1">
      <c r="B182" s="1549"/>
      <c r="C182" s="1775" t="s">
        <v>693</v>
      </c>
      <c r="D182" s="1729"/>
      <c r="E182" s="1729"/>
      <c r="F182" s="1735"/>
      <c r="G182" s="1718">
        <v>38.454669690110812</v>
      </c>
      <c r="H182" s="1704">
        <v>35.696539456043951</v>
      </c>
      <c r="I182" s="1704">
        <v>41.941960537590575</v>
      </c>
      <c r="J182" s="1719">
        <v>39.099061662771746</v>
      </c>
      <c r="K182" s="1718">
        <v>45.558643104669883</v>
      </c>
      <c r="L182" s="1704">
        <v>35.489017982600728</v>
      </c>
      <c r="M182" s="1704">
        <v>37.110367609148561</v>
      </c>
      <c r="N182" s="1719">
        <v>30.853395797826089</v>
      </c>
      <c r="O182" s="1718">
        <v>28.838922174609813</v>
      </c>
      <c r="P182" s="1704">
        <v>21.591528022435909</v>
      </c>
      <c r="Q182" s="1704">
        <v>30.122786553894926</v>
      </c>
      <c r="R182" s="1704">
        <v>32.447619825815202</v>
      </c>
      <c r="S182" s="1718">
        <v>34.55972632302737</v>
      </c>
      <c r="T182" s="1704">
        <v>31.325106590201472</v>
      </c>
      <c r="U182" s="1704">
        <v>30.007325350543471</v>
      </c>
      <c r="V182" s="1721">
        <v>32.19676385769926</v>
      </c>
      <c r="W182" s="1820">
        <v>90.786707820652168</v>
      </c>
      <c r="X182" s="1820">
        <v>30.634786767857143</v>
      </c>
      <c r="Y182" s="1820">
        <v>26.507552103713767</v>
      </c>
      <c r="Z182" s="1821">
        <v>37.660706784782626</v>
      </c>
      <c r="AA182" s="1820">
        <v>52.91501483514493</v>
      </c>
      <c r="AB182" s="1820">
        <v>25.152664907509156</v>
      </c>
      <c r="AC182" s="1820">
        <v>20.837114357789854</v>
      </c>
      <c r="AD182" s="1821">
        <v>25.347991754166664</v>
      </c>
      <c r="AE182" s="1820">
        <v>25.346020121237455</v>
      </c>
      <c r="AF182" s="1643">
        <v>19.254250642399267</v>
      </c>
      <c r="AG182" s="1643">
        <v>21.072814450181166</v>
      </c>
      <c r="AH182" s="1642">
        <v>21.316599519927536</v>
      </c>
      <c r="AI182" s="1643">
        <v>29.336510980555559</v>
      </c>
      <c r="AJ182" s="1643">
        <v>21.736222810439564</v>
      </c>
      <c r="AK182" s="1643">
        <v>19.181085373188402</v>
      </c>
      <c r="AL182" s="1642">
        <v>33.856300585507235</v>
      </c>
      <c r="AM182" s="1643">
        <v>46.651077805173117</v>
      </c>
      <c r="AN182" s="1643">
        <v>25.158666666666665</v>
      </c>
      <c r="AO182" s="1643">
        <v>25.266666666666666</v>
      </c>
      <c r="AP182" s="1642">
        <v>25.499833333333331</v>
      </c>
      <c r="AQ182" s="1643">
        <v>37.348531597794079</v>
      </c>
      <c r="AR182" s="1643">
        <v>20.745010650110846</v>
      </c>
      <c r="AS182" s="1643">
        <v>21.194398638146534</v>
      </c>
      <c r="AT182" s="1642">
        <v>30.991359113948537</v>
      </c>
      <c r="AU182" s="1643">
        <v>37.020764656216237</v>
      </c>
      <c r="AV182" s="1643">
        <v>20.562954531626438</v>
      </c>
      <c r="AW182" s="1643">
        <v>21.008398736061569</v>
      </c>
      <c r="AX182" s="1642">
        <v>30.719382076095741</v>
      </c>
      <c r="AY182" s="1643">
        <v>37.359357818581813</v>
      </c>
      <c r="AZ182" s="1643">
        <v>20.751024007421933</v>
      </c>
      <c r="BA182" s="1643">
        <v>21.200542259576977</v>
      </c>
      <c r="BB182" s="1905">
        <v>31.000342580819272</v>
      </c>
      <c r="BC182" s="1489"/>
      <c r="BD182" s="1489"/>
      <c r="BE182" s="1489">
        <f t="shared" si="384"/>
        <v>38.798057836629269</v>
      </c>
      <c r="BF182" s="1489">
        <f t="shared" si="385"/>
        <v>37.252856123561315</v>
      </c>
      <c r="BG182" s="1489">
        <f t="shared" si="386"/>
        <v>28.250214144188959</v>
      </c>
      <c r="BH182" s="1489">
        <f t="shared" si="387"/>
        <v>32.022230530367892</v>
      </c>
      <c r="BI182" s="1489">
        <f t="shared" si="388"/>
        <v>46.397438369251432</v>
      </c>
      <c r="BJ182" s="1489">
        <f t="shared" si="389"/>
        <v>31.063196463652652</v>
      </c>
      <c r="BK182" s="1499">
        <f t="shared" si="390"/>
        <v>21.747421183436355</v>
      </c>
      <c r="BL182" s="1499">
        <f t="shared" si="391"/>
        <v>26.027529937422692</v>
      </c>
      <c r="BM182" s="1499">
        <f t="shared" si="392"/>
        <v>30.644061117959943</v>
      </c>
      <c r="BN182" s="1499">
        <f t="shared" si="393"/>
        <v>27.569824999999998</v>
      </c>
      <c r="BO182" s="1499">
        <f t="shared" si="394"/>
        <v>27.327874999999995</v>
      </c>
      <c r="BP182" s="1499">
        <f t="shared" si="395"/>
        <v>27.5778166666</v>
      </c>
      <c r="BQ182" s="1499"/>
      <c r="BR182" s="1476"/>
      <c r="BS182" s="1514"/>
      <c r="BT182" s="1515"/>
      <c r="BV182" s="1444"/>
      <c r="BW182" s="1443"/>
      <c r="BX182" s="1443"/>
      <c r="BY182" s="1443"/>
    </row>
    <row r="183" spans="2:77" ht="12.75" customHeight="1">
      <c r="B183" s="1549"/>
      <c r="C183" s="1775" t="s">
        <v>808</v>
      </c>
      <c r="D183" s="1729"/>
      <c r="E183" s="1729"/>
      <c r="F183" s="1735"/>
      <c r="G183" s="1718">
        <v>31.683841477807981</v>
      </c>
      <c r="H183" s="1704">
        <v>27.940983067765572</v>
      </c>
      <c r="I183" s="1704">
        <v>31.064639944746379</v>
      </c>
      <c r="J183" s="1719">
        <v>31.179066678713756</v>
      </c>
      <c r="K183" s="1718">
        <v>33.366856885466987</v>
      </c>
      <c r="L183" s="1704">
        <v>30.988586447802195</v>
      </c>
      <c r="M183" s="1704">
        <v>31.983560708333318</v>
      </c>
      <c r="N183" s="1719">
        <v>30.553551319112341</v>
      </c>
      <c r="O183" s="1718">
        <v>25.678486559862229</v>
      </c>
      <c r="P183" s="1704">
        <v>21.65716656639195</v>
      </c>
      <c r="Q183" s="1704">
        <v>25.59958281884057</v>
      </c>
      <c r="R183" s="1704">
        <v>29.691809545561608</v>
      </c>
      <c r="S183" s="1718">
        <v>30.712843264895323</v>
      </c>
      <c r="T183" s="1704">
        <v>28.683858509157513</v>
      </c>
      <c r="U183" s="1704">
        <v>26.289797765398554</v>
      </c>
      <c r="V183" s="1721">
        <v>28.58454812028986</v>
      </c>
      <c r="W183" s="1820">
        <v>55.582024361513675</v>
      </c>
      <c r="X183" s="1820">
        <v>30.848939755952369</v>
      </c>
      <c r="Y183" s="1820">
        <v>26.474229680253622</v>
      </c>
      <c r="Z183" s="1821">
        <v>30.106497532518123</v>
      </c>
      <c r="AA183" s="1820">
        <v>33.672197658071667</v>
      </c>
      <c r="AB183" s="1820">
        <v>24.408332260531143</v>
      </c>
      <c r="AC183" s="1820">
        <v>22.758183921195638</v>
      </c>
      <c r="AD183" s="1821">
        <v>22.005480128297094</v>
      </c>
      <c r="AE183" s="1820">
        <v>21.940509499422674</v>
      </c>
      <c r="AF183" s="1643">
        <v>21.194626118131868</v>
      </c>
      <c r="AG183" s="1643">
        <v>22.397125852355067</v>
      </c>
      <c r="AH183" s="1642">
        <v>25.119274915036236</v>
      </c>
      <c r="AI183" s="1643">
        <v>25.609943032206107</v>
      </c>
      <c r="AJ183" s="1643">
        <v>22.558270758241754</v>
      </c>
      <c r="AK183" s="1643">
        <v>22.753793536231882</v>
      </c>
      <c r="AL183" s="1642">
        <v>26.193597912862309</v>
      </c>
      <c r="AM183" s="1643">
        <v>34.436698074516897</v>
      </c>
      <c r="AN183" s="1643">
        <v>25.55</v>
      </c>
      <c r="AO183" s="1643">
        <v>25.216666666666669</v>
      </c>
      <c r="AP183" s="1642">
        <v>25.316666666666663</v>
      </c>
      <c r="AQ183" s="1643">
        <v>30.065523917280856</v>
      </c>
      <c r="AR183" s="1643">
        <v>21.597016408139439</v>
      </c>
      <c r="AS183" s="1643">
        <v>21.984059712944806</v>
      </c>
      <c r="AT183" s="1642">
        <v>28.678033294834901</v>
      </c>
      <c r="AU183" s="1643">
        <v>29.607950419373292</v>
      </c>
      <c r="AV183" s="1643">
        <v>21.268326897541574</v>
      </c>
      <c r="AW183" s="1643">
        <v>21.649479709325476</v>
      </c>
      <c r="AX183" s="1642">
        <v>28.241576306959669</v>
      </c>
      <c r="AY183" s="1643">
        <v>29.616706401032346</v>
      </c>
      <c r="AZ183" s="1643">
        <v>21.274616596004179</v>
      </c>
      <c r="BA183" s="1643">
        <v>21.65588212639852</v>
      </c>
      <c r="BB183" s="1905">
        <v>28.24992820976496</v>
      </c>
      <c r="BC183" s="1489"/>
      <c r="BD183" s="1489"/>
      <c r="BE183" s="1489">
        <f t="shared" si="384"/>
        <v>30.467132792258422</v>
      </c>
      <c r="BF183" s="1489">
        <f t="shared" si="385"/>
        <v>31.723138840178709</v>
      </c>
      <c r="BG183" s="1489">
        <f t="shared" si="386"/>
        <v>25.656761372664089</v>
      </c>
      <c r="BH183" s="1489">
        <f t="shared" si="387"/>
        <v>28.567761914935311</v>
      </c>
      <c r="BI183" s="1489">
        <f t="shared" si="388"/>
        <v>35.752922832559449</v>
      </c>
      <c r="BJ183" s="1489">
        <f t="shared" si="389"/>
        <v>25.711048492023885</v>
      </c>
      <c r="BK183" s="1499">
        <f t="shared" si="390"/>
        <v>22.662884096236461</v>
      </c>
      <c r="BL183" s="1499">
        <f t="shared" si="391"/>
        <v>24.278901309885512</v>
      </c>
      <c r="BM183" s="1499">
        <f t="shared" si="392"/>
        <v>27.630007851962556</v>
      </c>
      <c r="BN183" s="1499">
        <f t="shared" si="393"/>
        <v>25.581158333300003</v>
      </c>
      <c r="BO183" s="1499">
        <f t="shared" si="394"/>
        <v>25.191833333300004</v>
      </c>
      <c r="BP183" s="1499">
        <f t="shared" si="395"/>
        <v>25.199283333300002</v>
      </c>
      <c r="BQ183" s="1499"/>
      <c r="BR183" s="1476"/>
      <c r="BS183" s="1514"/>
      <c r="BT183" s="1515"/>
      <c r="BV183" s="1444"/>
      <c r="BW183" s="1443"/>
      <c r="BX183" s="1443"/>
      <c r="BY183" s="1443"/>
    </row>
    <row r="184" spans="2:77" ht="12.75" customHeight="1">
      <c r="B184" s="1549"/>
      <c r="C184" s="1775" t="s">
        <v>809</v>
      </c>
      <c r="D184" s="1729"/>
      <c r="E184" s="1729"/>
      <c r="F184" s="1735"/>
      <c r="G184" s="1718">
        <v>31.723789428894943</v>
      </c>
      <c r="H184" s="1704">
        <v>28.007368155677657</v>
      </c>
      <c r="I184" s="1704">
        <v>31.199241193840571</v>
      </c>
      <c r="J184" s="1719">
        <v>31.280175134510877</v>
      </c>
      <c r="K184" s="1718">
        <v>33.316046651227865</v>
      </c>
      <c r="L184" s="1704">
        <v>31.034006899725281</v>
      </c>
      <c r="M184" s="1704">
        <v>32.137521466938395</v>
      </c>
      <c r="N184" s="1719">
        <v>30.682761882608698</v>
      </c>
      <c r="O184" s="1718">
        <v>25.679288122073572</v>
      </c>
      <c r="P184" s="1704">
        <v>21.775065671703299</v>
      </c>
      <c r="Q184" s="1704">
        <v>25.7171560271739</v>
      </c>
      <c r="R184" s="1704">
        <v>29.781977215851452</v>
      </c>
      <c r="S184" s="1718">
        <v>30.59628365193236</v>
      </c>
      <c r="T184" s="1704">
        <v>28.85574062912087</v>
      </c>
      <c r="U184" s="1704">
        <v>26.426258410326099</v>
      </c>
      <c r="V184" s="1721">
        <v>28.631262306884061</v>
      </c>
      <c r="W184" s="1820">
        <v>55.245883308574896</v>
      </c>
      <c r="X184" s="1820">
        <v>31.092236393315009</v>
      </c>
      <c r="Y184" s="1820">
        <v>26.565221706068847</v>
      </c>
      <c r="Z184" s="1821">
        <v>29.935611420199269</v>
      </c>
      <c r="AA184" s="1820">
        <v>33.546102769424323</v>
      </c>
      <c r="AB184" s="1820">
        <v>24.350682732600731</v>
      </c>
      <c r="AC184" s="1820">
        <v>22.832639235507255</v>
      </c>
      <c r="AD184" s="1821">
        <v>21.995092569728257</v>
      </c>
      <c r="AE184" s="1820">
        <v>22.062136905279502</v>
      </c>
      <c r="AF184" s="1643">
        <v>21.344116594322344</v>
      </c>
      <c r="AG184" s="1643">
        <v>22.51157196376812</v>
      </c>
      <c r="AH184" s="1642">
        <v>25.05356571974637</v>
      </c>
      <c r="AI184" s="1643">
        <v>25.637689978663452</v>
      </c>
      <c r="AJ184" s="1643">
        <v>22.658216380036624</v>
      </c>
      <c r="AK184" s="1643">
        <v>22.877026026268119</v>
      </c>
      <c r="AL184" s="1642">
        <v>26.103430919021747</v>
      </c>
      <c r="AM184" s="1643">
        <v>33.49635729142512</v>
      </c>
      <c r="AN184" s="1643">
        <v>24.3</v>
      </c>
      <c r="AO184" s="1643">
        <v>24.716666666666669</v>
      </c>
      <c r="AP184" s="1642">
        <v>24.833333333333332</v>
      </c>
      <c r="AQ184" s="1643">
        <v>26.535204784504245</v>
      </c>
      <c r="AR184" s="1643">
        <v>20.510009202701678</v>
      </c>
      <c r="AS184" s="1643">
        <v>20.875172571295771</v>
      </c>
      <c r="AT184" s="1642">
        <v>29.770913441498301</v>
      </c>
      <c r="AU184" s="1643">
        <v>26.434034268000321</v>
      </c>
      <c r="AV184" s="1643">
        <v>20.43181089063328</v>
      </c>
      <c r="AW184" s="1643">
        <v>20.795582004413099</v>
      </c>
      <c r="AX184" s="1642">
        <v>29.657406170153298</v>
      </c>
      <c r="AY184" s="1643">
        <v>26.496453235293</v>
      </c>
      <c r="AZ184" s="1643">
        <v>20.480056743792986</v>
      </c>
      <c r="BA184" s="1643">
        <v>20.844686834186923</v>
      </c>
      <c r="BB184" s="1905">
        <v>29.727436519927089</v>
      </c>
      <c r="BC184" s="1489"/>
      <c r="BD184" s="1489"/>
      <c r="BE184" s="1489">
        <f t="shared" si="384"/>
        <v>30.552643478231012</v>
      </c>
      <c r="BF184" s="1489">
        <f t="shared" si="385"/>
        <v>31.792584225125061</v>
      </c>
      <c r="BG184" s="1489">
        <f t="shared" si="386"/>
        <v>25.738371759200557</v>
      </c>
      <c r="BH184" s="1489">
        <f t="shared" si="387"/>
        <v>28.627386249565845</v>
      </c>
      <c r="BI184" s="1489">
        <f t="shared" si="388"/>
        <v>35.709738207039507</v>
      </c>
      <c r="BJ184" s="1489">
        <f t="shared" si="389"/>
        <v>25.681129326815142</v>
      </c>
      <c r="BK184" s="1499">
        <f t="shared" si="390"/>
        <v>22.742847795779085</v>
      </c>
      <c r="BL184" s="1499">
        <f t="shared" si="391"/>
        <v>24.319090825997485</v>
      </c>
      <c r="BM184" s="1499">
        <f t="shared" si="392"/>
        <v>26.83658932285628</v>
      </c>
      <c r="BN184" s="1499">
        <f t="shared" si="393"/>
        <v>24.422824999999996</v>
      </c>
      <c r="BO184" s="1499">
        <f t="shared" si="394"/>
        <v>24.329708333300001</v>
      </c>
      <c r="BP184" s="1499">
        <f t="shared" si="395"/>
        <v>24.3871583333</v>
      </c>
      <c r="BQ184" s="1499"/>
      <c r="BR184" s="1476"/>
      <c r="BS184" s="1514"/>
      <c r="BT184" s="1515"/>
      <c r="BV184" s="1444"/>
      <c r="BW184" s="1443"/>
      <c r="BX184" s="1443"/>
      <c r="BY184" s="1443"/>
    </row>
    <row r="185" spans="2:77" ht="12.75" customHeight="1">
      <c r="B185" s="1549"/>
      <c r="C185" s="1775" t="s">
        <v>810</v>
      </c>
      <c r="D185" s="1729"/>
      <c r="E185" s="1729"/>
      <c r="F185" s="1735"/>
      <c r="G185" s="1718">
        <v>26.056607898976985</v>
      </c>
      <c r="H185" s="1704">
        <v>22.058756606684991</v>
      </c>
      <c r="I185" s="1704">
        <v>25.77205439356884</v>
      </c>
      <c r="J185" s="1719">
        <v>20.233505312028988</v>
      </c>
      <c r="K185" s="1718">
        <v>28.117182428522533</v>
      </c>
      <c r="L185" s="1704">
        <v>24.030010341117219</v>
      </c>
      <c r="M185" s="1704">
        <v>25.858050654891304</v>
      </c>
      <c r="N185" s="1719">
        <v>19.96068864096015</v>
      </c>
      <c r="O185" s="1718">
        <v>23.311520222746449</v>
      </c>
      <c r="P185" s="1704">
        <v>18.617785842032969</v>
      </c>
      <c r="Q185" s="1704">
        <v>23.770870774456522</v>
      </c>
      <c r="R185" s="1704">
        <v>21.751328907065218</v>
      </c>
      <c r="S185" s="1718">
        <v>27.102873879810776</v>
      </c>
      <c r="T185" s="1704">
        <v>23.983492510531136</v>
      </c>
      <c r="U185" s="1704">
        <v>24.337539511322465</v>
      </c>
      <c r="V185" s="1721">
        <v>25.034081106974629</v>
      </c>
      <c r="W185" s="1820">
        <v>46.659030578200486</v>
      </c>
      <c r="X185" s="1820">
        <v>25.040844436355307</v>
      </c>
      <c r="Y185" s="1820">
        <v>24.573567941576091</v>
      </c>
      <c r="Z185" s="1821">
        <v>25.868583025362319</v>
      </c>
      <c r="AA185" s="1820">
        <v>29.701038306400971</v>
      </c>
      <c r="AB185" s="1820">
        <v>18.405672966575075</v>
      </c>
      <c r="AC185" s="1820">
        <v>21.186602595561595</v>
      </c>
      <c r="AD185" s="1821">
        <v>19.679295579764492</v>
      </c>
      <c r="AE185" s="1820">
        <v>19.228153737279026</v>
      </c>
      <c r="AF185" s="1643">
        <v>18.306781789377293</v>
      </c>
      <c r="AG185" s="1643">
        <v>21.426197764039859</v>
      </c>
      <c r="AH185" s="1642">
        <v>22.45641746277175</v>
      </c>
      <c r="AI185" s="1643">
        <v>23.077807067310793</v>
      </c>
      <c r="AJ185" s="1643">
        <v>19.554939797619053</v>
      </c>
      <c r="AK185" s="1643">
        <v>18.802316540760863</v>
      </c>
      <c r="AL185" s="1642">
        <v>22.818591313496391</v>
      </c>
      <c r="AM185" s="1643">
        <v>25.592786000905793</v>
      </c>
      <c r="AN185" s="1643">
        <v>19.816666666666666</v>
      </c>
      <c r="AO185" s="1643">
        <v>21.45</v>
      </c>
      <c r="AP185" s="1642">
        <v>20.516666666666669</v>
      </c>
      <c r="AQ185" s="1643">
        <v>27.334808227990884</v>
      </c>
      <c r="AR185" s="1643">
        <v>19.223933699175628</v>
      </c>
      <c r="AS185" s="1643">
        <v>19.937159884736072</v>
      </c>
      <c r="AT185" s="1642">
        <v>20.328731521297417</v>
      </c>
      <c r="AU185" s="1643">
        <v>27.753990948397757</v>
      </c>
      <c r="AV185" s="1643">
        <v>19.518735139073424</v>
      </c>
      <c r="AW185" s="1643">
        <v>20.242898737848368</v>
      </c>
      <c r="AX185" s="1642">
        <v>20.640475174680446</v>
      </c>
      <c r="AY185" s="1643">
        <v>27.7633728168137</v>
      </c>
      <c r="AZ185" s="1643">
        <v>19.52533318852371</v>
      </c>
      <c r="BA185" s="1643">
        <v>20.24974158119543</v>
      </c>
      <c r="BB185" s="1905">
        <v>20.647452413467164</v>
      </c>
      <c r="BC185" s="1489"/>
      <c r="BD185" s="1489"/>
      <c r="BE185" s="1489">
        <f t="shared" si="384"/>
        <v>23.530231052814948</v>
      </c>
      <c r="BF185" s="1489">
        <f t="shared" si="385"/>
        <v>24.491483016372804</v>
      </c>
      <c r="BG185" s="1489">
        <f t="shared" si="386"/>
        <v>21.862876436575288</v>
      </c>
      <c r="BH185" s="1489">
        <f t="shared" si="387"/>
        <v>25.114496752159749</v>
      </c>
      <c r="BI185" s="1489">
        <f t="shared" si="388"/>
        <v>30.535506495373554</v>
      </c>
      <c r="BJ185" s="1489">
        <f t="shared" si="389"/>
        <v>22.243152362075534</v>
      </c>
      <c r="BK185" s="1499">
        <f t="shared" si="390"/>
        <v>20.354387688366984</v>
      </c>
      <c r="BL185" s="1499">
        <f t="shared" si="391"/>
        <v>21.063413679796774</v>
      </c>
      <c r="BM185" s="1499">
        <f t="shared" si="392"/>
        <v>21.84402983355978</v>
      </c>
      <c r="BN185" s="1499">
        <f t="shared" si="393"/>
        <v>21.706158333299999</v>
      </c>
      <c r="BO185" s="1499">
        <f t="shared" si="394"/>
        <v>22.039024999999999</v>
      </c>
      <c r="BP185" s="1499">
        <f t="shared" si="395"/>
        <v>22.046475000000001</v>
      </c>
      <c r="BQ185" s="1499"/>
      <c r="BR185" s="1476"/>
      <c r="BS185" s="1514"/>
      <c r="BT185" s="1515"/>
      <c r="BV185" s="1444"/>
      <c r="BW185" s="1443"/>
      <c r="BX185" s="1443"/>
      <c r="BY185" s="1443"/>
    </row>
    <row r="186" spans="2:77" ht="12.75" customHeight="1">
      <c r="B186" s="1549"/>
      <c r="C186" s="1775" t="s">
        <v>811</v>
      </c>
      <c r="D186" s="1729"/>
      <c r="E186" s="1729"/>
      <c r="F186" s="1735"/>
      <c r="G186" s="1718">
        <v>33.731326126918169</v>
      </c>
      <c r="H186" s="1704">
        <v>28.634282280219779</v>
      </c>
      <c r="I186" s="1704">
        <v>31.990215126811602</v>
      </c>
      <c r="J186" s="1719">
        <v>25.825695788043475</v>
      </c>
      <c r="K186" s="1718">
        <v>29.660326036634473</v>
      </c>
      <c r="L186" s="1704">
        <v>28.345022893772899</v>
      </c>
      <c r="M186" s="1704">
        <v>31.569142889492749</v>
      </c>
      <c r="N186" s="1719">
        <v>23.404596059782612</v>
      </c>
      <c r="O186" s="1718">
        <v>19.561595895046977</v>
      </c>
      <c r="P186" s="1704">
        <v>17.118434065934071</v>
      </c>
      <c r="Q186" s="1704">
        <v>21.168782835144924</v>
      </c>
      <c r="R186" s="1704">
        <v>22.251092119565214</v>
      </c>
      <c r="S186" s="1718">
        <v>23.22272348027375</v>
      </c>
      <c r="T186" s="1704">
        <v>26.715190018315013</v>
      </c>
      <c r="U186" s="1704">
        <v>25.701721014492755</v>
      </c>
      <c r="V186" s="1721">
        <v>27.180492210144916</v>
      </c>
      <c r="W186" s="1820">
        <v>31.78499773550724</v>
      </c>
      <c r="X186" s="1820">
        <v>31.412413003663001</v>
      </c>
      <c r="Y186" s="1820">
        <v>28.854929800724651</v>
      </c>
      <c r="Z186" s="1821">
        <v>25.233000181159419</v>
      </c>
      <c r="AA186" s="1820">
        <v>22.140641555958133</v>
      </c>
      <c r="AB186" s="1820">
        <v>21.621235119047622</v>
      </c>
      <c r="AC186" s="1820">
        <v>20.30612658514492</v>
      </c>
      <c r="AD186" s="1821">
        <v>16.061473550724639</v>
      </c>
      <c r="AE186" s="1820">
        <v>13.842845198279973</v>
      </c>
      <c r="AF186" s="1643">
        <v>14.911001602564097</v>
      </c>
      <c r="AG186" s="1643">
        <v>23.475191349637686</v>
      </c>
      <c r="AH186" s="1642">
        <v>18.614083197463771</v>
      </c>
      <c r="AI186" s="1643">
        <v>19.355630787037047</v>
      </c>
      <c r="AJ186" s="1643">
        <v>24.49456959706961</v>
      </c>
      <c r="AK186" s="1643">
        <v>22.786469655797116</v>
      </c>
      <c r="AL186" s="1642">
        <v>20.007914900362312</v>
      </c>
      <c r="AM186" s="1643">
        <v>20.159236262077297</v>
      </c>
      <c r="AN186" s="1643">
        <v>22.893873333333332</v>
      </c>
      <c r="AO186" s="1643">
        <v>28.907523333333334</v>
      </c>
      <c r="AP186" s="1642">
        <v>20.204750000000001</v>
      </c>
      <c r="AQ186" s="1643">
        <v>20.922026845642609</v>
      </c>
      <c r="AR186" s="1643">
        <v>19.193142488186361</v>
      </c>
      <c r="AS186" s="1643">
        <v>23.750424272466308</v>
      </c>
      <c r="AT186" s="1642">
        <v>20.145536393704717</v>
      </c>
      <c r="AU186" s="1643">
        <v>21.12106749399333</v>
      </c>
      <c r="AV186" s="1643">
        <v>19.375735482303082</v>
      </c>
      <c r="AW186" s="1643">
        <v>23.97637273724332</v>
      </c>
      <c r="AX186" s="1642">
        <v>20.337189939260277</v>
      </c>
      <c r="AY186" s="1643">
        <v>20.82675586398943</v>
      </c>
      <c r="AZ186" s="1643">
        <v>19.105744190719797</v>
      </c>
      <c r="BA186" s="1643">
        <v>23.642273840779588</v>
      </c>
      <c r="BB186" s="1905">
        <v>20.053801255311189</v>
      </c>
      <c r="BC186" s="1489"/>
      <c r="BD186" s="1489"/>
      <c r="BE186" s="1489">
        <f t="shared" si="384"/>
        <v>30.045379830498256</v>
      </c>
      <c r="BF186" s="1489">
        <f t="shared" si="385"/>
        <v>28.244771969920684</v>
      </c>
      <c r="BG186" s="1489">
        <f t="shared" si="386"/>
        <v>20.024976228922796</v>
      </c>
      <c r="BH186" s="1489">
        <f t="shared" si="387"/>
        <v>25.705031680806609</v>
      </c>
      <c r="BI186" s="1489">
        <f t="shared" si="388"/>
        <v>29.321335180263574</v>
      </c>
      <c r="BJ186" s="1489">
        <f t="shared" si="389"/>
        <v>20.032369202718829</v>
      </c>
      <c r="BK186" s="1499">
        <f t="shared" si="390"/>
        <v>17.710780336986382</v>
      </c>
      <c r="BL186" s="1499">
        <f t="shared" si="391"/>
        <v>21.661146235066521</v>
      </c>
      <c r="BM186" s="1499">
        <f t="shared" si="392"/>
        <v>23.041345732185992</v>
      </c>
      <c r="BN186" s="1499">
        <f t="shared" si="393"/>
        <v>21.002782499999999</v>
      </c>
      <c r="BO186" s="1499">
        <f t="shared" si="394"/>
        <v>21.202591413200004</v>
      </c>
      <c r="BP186" s="1499">
        <f t="shared" si="395"/>
        <v>20.907143787700001</v>
      </c>
      <c r="BQ186" s="1499"/>
      <c r="BR186" s="1476"/>
      <c r="BS186" s="1514"/>
      <c r="BT186" s="1515"/>
      <c r="BV186" s="1444"/>
      <c r="BW186" s="1443"/>
      <c r="BX186" s="1443"/>
      <c r="BY186" s="1443"/>
    </row>
    <row r="187" spans="2:77" ht="12.75" customHeight="1">
      <c r="B187" s="1549"/>
      <c r="C187" s="1773" t="s">
        <v>812</v>
      </c>
      <c r="D187" s="1729"/>
      <c r="E187" s="1729"/>
      <c r="F187" s="1735"/>
      <c r="G187" s="1718">
        <v>33.950079656862755</v>
      </c>
      <c r="H187" s="1704">
        <v>28.455611263736266</v>
      </c>
      <c r="I187" s="1704">
        <v>31.678466938405812</v>
      </c>
      <c r="J187" s="1719">
        <v>25.7597316576087</v>
      </c>
      <c r="K187" s="1718">
        <v>30.071405696457326</v>
      </c>
      <c r="L187" s="1704">
        <v>28.042996794871794</v>
      </c>
      <c r="M187" s="1704">
        <v>31.24979846014493</v>
      </c>
      <c r="N187" s="1719">
        <v>23.630269338768127</v>
      </c>
      <c r="O187" s="1718">
        <v>19.53850324494346</v>
      </c>
      <c r="P187" s="1704">
        <v>17.141556776556776</v>
      </c>
      <c r="Q187" s="1704">
        <v>20.815947690217392</v>
      </c>
      <c r="R187" s="1704">
        <v>22.887461865942033</v>
      </c>
      <c r="S187" s="1718">
        <v>23.199066475442827</v>
      </c>
      <c r="T187" s="1704">
        <v>26.300711996337007</v>
      </c>
      <c r="U187" s="1704">
        <v>25.430877490942027</v>
      </c>
      <c r="V187" s="1721">
        <v>26.785470153985496</v>
      </c>
      <c r="W187" s="1820">
        <v>32.004984551127215</v>
      </c>
      <c r="X187" s="1820">
        <v>31.26213713369965</v>
      </c>
      <c r="Y187" s="1820">
        <v>28.32578691123188</v>
      </c>
      <c r="Z187" s="1821">
        <v>25.307324320652167</v>
      </c>
      <c r="AA187" s="1820">
        <v>22.17571215780999</v>
      </c>
      <c r="AB187" s="1820">
        <v>19.319275412087915</v>
      </c>
      <c r="AC187" s="1820">
        <v>19.897398097826084</v>
      </c>
      <c r="AD187" s="1821">
        <v>15.149004076086959</v>
      </c>
      <c r="AE187" s="1820">
        <v>13.804743092052874</v>
      </c>
      <c r="AF187" s="1643">
        <v>14.6552048992674</v>
      </c>
      <c r="AG187" s="1643">
        <v>20.848108016304352</v>
      </c>
      <c r="AH187" s="1642">
        <v>18.255682925724642</v>
      </c>
      <c r="AI187" s="1643">
        <v>17.694403532608696</v>
      </c>
      <c r="AJ187" s="1643">
        <v>19.575868818681322</v>
      </c>
      <c r="AK187" s="1643">
        <v>21.74405457427536</v>
      </c>
      <c r="AL187" s="1642">
        <v>18.065305072463772</v>
      </c>
      <c r="AM187" s="1643">
        <v>19.286005585748793</v>
      </c>
      <c r="AN187" s="1643">
        <v>20.677206666666667</v>
      </c>
      <c r="AO187" s="1643">
        <v>28.640856666666668</v>
      </c>
      <c r="AP187" s="1642">
        <v>19.388083333333331</v>
      </c>
      <c r="AQ187" s="1643">
        <v>20.204147210285914</v>
      </c>
      <c r="AR187" s="1643">
        <v>17.911730019517361</v>
      </c>
      <c r="AS187" s="1643">
        <v>23.181362548745142</v>
      </c>
      <c r="AT187" s="1642">
        <v>18.447223554651586</v>
      </c>
      <c r="AU187" s="1643">
        <v>20.13301243857838</v>
      </c>
      <c r="AV187" s="1643">
        <v>17.848666391413492</v>
      </c>
      <c r="AW187" s="1643">
        <v>23.099745595769516</v>
      </c>
      <c r="AX187" s="1642">
        <v>18.382274560638621</v>
      </c>
      <c r="AY187" s="1643">
        <v>19.630903760724049</v>
      </c>
      <c r="AZ187" s="1643">
        <v>17.403528322254854</v>
      </c>
      <c r="BA187" s="1643">
        <v>22.523647867958136</v>
      </c>
      <c r="BB187" s="1905">
        <v>17.923828533062963</v>
      </c>
      <c r="BC187" s="1489"/>
      <c r="BD187" s="1489"/>
      <c r="BE187" s="1489">
        <f t="shared" si="384"/>
        <v>29.960972379153382</v>
      </c>
      <c r="BF187" s="1489">
        <f t="shared" si="385"/>
        <v>28.248617572560544</v>
      </c>
      <c r="BG187" s="1489">
        <f t="shared" si="386"/>
        <v>20.095867394414917</v>
      </c>
      <c r="BH187" s="1489">
        <f t="shared" si="387"/>
        <v>25.429031529176839</v>
      </c>
      <c r="BI187" s="1489">
        <f t="shared" si="388"/>
        <v>29.22505822917773</v>
      </c>
      <c r="BJ187" s="1489">
        <f t="shared" si="389"/>
        <v>19.135347435952735</v>
      </c>
      <c r="BK187" s="1499">
        <f t="shared" si="390"/>
        <v>16.890934733337318</v>
      </c>
      <c r="BL187" s="1499">
        <f t="shared" si="391"/>
        <v>19.269907999507289</v>
      </c>
      <c r="BM187" s="1499">
        <f t="shared" si="392"/>
        <v>21.998038063103863</v>
      </c>
      <c r="BN187" s="1499">
        <f t="shared" si="393"/>
        <v>19.936115833300001</v>
      </c>
      <c r="BO187" s="1499">
        <f t="shared" si="394"/>
        <v>19.865924746600001</v>
      </c>
      <c r="BP187" s="1499">
        <f t="shared" si="395"/>
        <v>19.370477121</v>
      </c>
      <c r="BQ187" s="1499"/>
      <c r="BR187" s="1476"/>
      <c r="BS187" s="1514"/>
      <c r="BT187" s="1515"/>
      <c r="BV187" s="1444"/>
      <c r="BW187" s="1443"/>
      <c r="BX187" s="1443"/>
      <c r="BY187" s="1443"/>
    </row>
    <row r="188" spans="2:77" ht="12.75" customHeight="1">
      <c r="B188" s="1549"/>
      <c r="C188" s="1773" t="s">
        <v>813</v>
      </c>
      <c r="D188" s="1729"/>
      <c r="E188" s="1729"/>
      <c r="F188" s="1735"/>
      <c r="G188" s="1718">
        <v>33.499652267156868</v>
      </c>
      <c r="H188" s="1704">
        <v>28.382862866300375</v>
      </c>
      <c r="I188" s="1704">
        <v>31.812933650362325</v>
      </c>
      <c r="J188" s="1719">
        <v>25.415262409420293</v>
      </c>
      <c r="K188" s="1718">
        <v>29.8071865942029</v>
      </c>
      <c r="L188" s="1704">
        <v>27.334835164835152</v>
      </c>
      <c r="M188" s="1704">
        <v>31.034110054347821</v>
      </c>
      <c r="N188" s="1719">
        <v>23.925171286231883</v>
      </c>
      <c r="O188" s="1718">
        <v>19.365880564182188</v>
      </c>
      <c r="P188" s="1704">
        <v>16.926233974358968</v>
      </c>
      <c r="Q188" s="1704">
        <v>21.107855525362321</v>
      </c>
      <c r="R188" s="1704">
        <v>22.343847056159426</v>
      </c>
      <c r="S188" s="1718">
        <v>23.143879981884069</v>
      </c>
      <c r="T188" s="1704">
        <v>26.316911630036625</v>
      </c>
      <c r="U188" s="1704">
        <v>25.562675498188408</v>
      </c>
      <c r="V188" s="1721">
        <v>26.801473958333329</v>
      </c>
      <c r="W188" s="1820">
        <v>31.796791113123987</v>
      </c>
      <c r="X188" s="1820">
        <v>30.898569139194134</v>
      </c>
      <c r="Y188" s="1820">
        <v>28.542640398550727</v>
      </c>
      <c r="Z188" s="1821">
        <v>25.265815081521733</v>
      </c>
      <c r="AA188" s="1820">
        <v>22.23049803743962</v>
      </c>
      <c r="AB188" s="1820">
        <v>20.495057234432235</v>
      </c>
      <c r="AC188" s="1820">
        <v>20.106205842391308</v>
      </c>
      <c r="AD188" s="1821">
        <v>15.567165081521738</v>
      </c>
      <c r="AE188" s="1820">
        <v>13.567103589345434</v>
      </c>
      <c r="AF188" s="1643">
        <v>14.551979166666674</v>
      </c>
      <c r="AG188" s="1643">
        <v>21.434193840579709</v>
      </c>
      <c r="AH188" s="1642">
        <v>18.581885235507244</v>
      </c>
      <c r="AI188" s="1643">
        <v>17.745814764492753</v>
      </c>
      <c r="AJ188" s="1643">
        <v>21.731801739926734</v>
      </c>
      <c r="AK188" s="1643">
        <v>23.207665307971009</v>
      </c>
      <c r="AL188" s="1642">
        <v>19.342823505434787</v>
      </c>
      <c r="AM188" s="1643">
        <v>19.624934933574881</v>
      </c>
      <c r="AN188" s="1643">
        <v>22.243873333333337</v>
      </c>
      <c r="AO188" s="1643">
        <v>29.724189999999997</v>
      </c>
      <c r="AP188" s="1642">
        <v>20.288083333333333</v>
      </c>
      <c r="AQ188" s="1643">
        <v>21.213743053469752</v>
      </c>
      <c r="AR188" s="1643">
        <v>19.267514968052225</v>
      </c>
      <c r="AS188" s="1643">
        <v>24.088177775796659</v>
      </c>
      <c r="AT188" s="1642">
        <v>19.651694202681362</v>
      </c>
      <c r="AU188" s="1643">
        <v>21.193400009991446</v>
      </c>
      <c r="AV188" s="1643">
        <v>19.249038271425608</v>
      </c>
      <c r="AW188" s="1643">
        <v>24.065078276261332</v>
      </c>
      <c r="AX188" s="1642">
        <v>19.632849095121614</v>
      </c>
      <c r="AY188" s="1643">
        <v>20.81512679245602</v>
      </c>
      <c r="AZ188" s="1643">
        <v>18.905469252865018</v>
      </c>
      <c r="BA188" s="1643">
        <v>23.635549527428598</v>
      </c>
      <c r="BB188" s="1905">
        <v>19.282429578050358</v>
      </c>
      <c r="BC188" s="1489"/>
      <c r="BD188" s="1489"/>
      <c r="BE188" s="1489">
        <f t="shared" si="384"/>
        <v>29.777677798309966</v>
      </c>
      <c r="BF188" s="1489">
        <f t="shared" si="385"/>
        <v>28.025325774904438</v>
      </c>
      <c r="BG188" s="1489">
        <f t="shared" si="386"/>
        <v>19.935954280015729</v>
      </c>
      <c r="BH188" s="1489">
        <f t="shared" si="387"/>
        <v>25.45623526711061</v>
      </c>
      <c r="BI188" s="1489">
        <f t="shared" si="388"/>
        <v>29.125953933097648</v>
      </c>
      <c r="BJ188" s="1489">
        <f t="shared" si="389"/>
        <v>19.599731548946224</v>
      </c>
      <c r="BK188" s="1499">
        <f t="shared" si="390"/>
        <v>17.033790458024765</v>
      </c>
      <c r="BL188" s="1499">
        <f t="shared" si="391"/>
        <v>20.507026329456323</v>
      </c>
      <c r="BM188" s="1499">
        <f t="shared" si="392"/>
        <v>22.970270400060386</v>
      </c>
      <c r="BN188" s="1499">
        <f t="shared" si="393"/>
        <v>21.055282500000004</v>
      </c>
      <c r="BO188" s="1499">
        <f t="shared" si="394"/>
        <v>21.0350914132</v>
      </c>
      <c r="BP188" s="1499">
        <f t="shared" si="395"/>
        <v>20.659643787699999</v>
      </c>
      <c r="BQ188" s="1499"/>
      <c r="BR188" s="1476"/>
      <c r="BS188" s="1514"/>
      <c r="BT188" s="1515"/>
      <c r="BV188" s="1444"/>
      <c r="BW188" s="1443"/>
      <c r="BX188" s="1443"/>
      <c r="BY188" s="1443"/>
    </row>
    <row r="189" spans="2:77" ht="12.75" customHeight="1">
      <c r="B189" s="1549"/>
      <c r="C189" s="1773" t="s">
        <v>814</v>
      </c>
      <c r="D189" s="1729"/>
      <c r="E189" s="1729"/>
      <c r="F189" s="1735"/>
      <c r="G189" s="1718">
        <v>32.764399999999995</v>
      </c>
      <c r="H189" s="1704">
        <v>26.094333333333331</v>
      </c>
      <c r="I189" s="1704">
        <v>27.91</v>
      </c>
      <c r="J189" s="1719">
        <v>25.807647058823527</v>
      </c>
      <c r="K189" s="1718">
        <v>20.458235294117642</v>
      </c>
      <c r="L189" s="1704">
        <v>15.988181818181818</v>
      </c>
      <c r="M189" s="1704">
        <v>24.526097560975611</v>
      </c>
      <c r="N189" s="1719">
        <v>24.08657894736842</v>
      </c>
      <c r="O189" s="1718">
        <v>19.836734693877553</v>
      </c>
      <c r="P189" s="1704">
        <v>16.344545454545454</v>
      </c>
      <c r="Q189" s="1704">
        <v>20.018333333333338</v>
      </c>
      <c r="R189" s="1704">
        <v>25.022727272727277</v>
      </c>
      <c r="S189" s="1718">
        <v>27.013333333333335</v>
      </c>
      <c r="T189" s="1704">
        <v>26.58642857142857</v>
      </c>
      <c r="U189" s="1704">
        <v>24.336666666666662</v>
      </c>
      <c r="V189" s="1721">
        <v>29.902142857142856</v>
      </c>
      <c r="W189" s="1820">
        <v>37.216206896551725</v>
      </c>
      <c r="X189" s="1820">
        <v>31.198387096774194</v>
      </c>
      <c r="Y189" s="1820">
        <v>31.499310344827585</v>
      </c>
      <c r="Z189" s="1821">
        <v>26.848387096774196</v>
      </c>
      <c r="AA189" s="1820">
        <v>21.951388888888893</v>
      </c>
      <c r="AB189" s="1820">
        <v>21.208409090909093</v>
      </c>
      <c r="AC189" s="1820">
        <v>23.832173913043476</v>
      </c>
      <c r="AD189" s="1821">
        <v>19.805555555555557</v>
      </c>
      <c r="AE189" s="1820">
        <v>16.825681818181817</v>
      </c>
      <c r="AF189" s="1643">
        <v>16.068333333333332</v>
      </c>
      <c r="AG189" s="1643">
        <v>22.099565217391302</v>
      </c>
      <c r="AH189" s="1642">
        <v>21.735135135135135</v>
      </c>
      <c r="AI189" s="1643">
        <v>20.877073170731702</v>
      </c>
      <c r="AJ189" s="1643">
        <v>21.894222222222222</v>
      </c>
      <c r="AK189" s="1643">
        <v>23.702653061224492</v>
      </c>
      <c r="AL189" s="1642">
        <v>23.66375</v>
      </c>
      <c r="AM189" s="1643">
        <v>23.66375</v>
      </c>
      <c r="AN189" s="1643">
        <v>21.866666666666664</v>
      </c>
      <c r="AO189" s="1643">
        <v>25.5</v>
      </c>
      <c r="AP189" s="1642">
        <v>21.55</v>
      </c>
      <c r="AQ189" s="1643">
        <v>24.836427915484958</v>
      </c>
      <c r="AR189" s="1643">
        <v>21.765546372753509</v>
      </c>
      <c r="AS189" s="1643">
        <v>25.429054178110412</v>
      </c>
      <c r="AT189" s="1642">
        <v>25.75230486685113</v>
      </c>
      <c r="AU189" s="1643">
        <v>28.091790633507216</v>
      </c>
      <c r="AV189" s="1643">
        <v>24.61840220372709</v>
      </c>
      <c r="AW189" s="1643">
        <v>28.762093663807821</v>
      </c>
      <c r="AX189" s="1642">
        <v>29.127713498557874</v>
      </c>
      <c r="AY189" s="1643">
        <v>30.585169880556695</v>
      </c>
      <c r="AZ189" s="1643">
        <v>26.803489439749491</v>
      </c>
      <c r="BA189" s="1643">
        <v>31.314967860353057</v>
      </c>
      <c r="BB189" s="1905">
        <v>31.713039485740765</v>
      </c>
      <c r="BC189" s="1489"/>
      <c r="BD189" s="1489"/>
      <c r="BE189" s="1489">
        <f t="shared" si="384"/>
        <v>28.144095098039216</v>
      </c>
      <c r="BF189" s="1489">
        <f t="shared" si="385"/>
        <v>21.264773405160874</v>
      </c>
      <c r="BG189" s="1489">
        <f t="shared" si="386"/>
        <v>20.305585188620906</v>
      </c>
      <c r="BH189" s="1489">
        <f t="shared" si="387"/>
        <v>26.959642857142853</v>
      </c>
      <c r="BI189" s="1489">
        <f t="shared" si="388"/>
        <v>31.690572858731926</v>
      </c>
      <c r="BJ189" s="1489">
        <f t="shared" si="389"/>
        <v>21.699381862099255</v>
      </c>
      <c r="BK189" s="1499">
        <f t="shared" si="390"/>
        <v>19.182178876010397</v>
      </c>
      <c r="BL189" s="1499">
        <f t="shared" si="391"/>
        <v>22.534424613544601</v>
      </c>
      <c r="BM189" s="1499">
        <f t="shared" si="392"/>
        <v>23.145104166666666</v>
      </c>
      <c r="BN189" s="1499">
        <f t="shared" si="393"/>
        <v>24.445833333300005</v>
      </c>
      <c r="BO189" s="1499">
        <f t="shared" si="394"/>
        <v>27.649999999899997</v>
      </c>
      <c r="BP189" s="1499">
        <f t="shared" si="395"/>
        <v>30.104166666600005</v>
      </c>
      <c r="BQ189" s="1499"/>
      <c r="BR189" s="1476"/>
      <c r="BS189" s="1514"/>
      <c r="BT189" s="1515"/>
      <c r="BV189" s="1444"/>
      <c r="BW189" s="1443"/>
      <c r="BX189" s="1443"/>
      <c r="BY189" s="1443"/>
    </row>
    <row r="190" spans="2:77" ht="12.75" customHeight="1">
      <c r="B190" s="1549"/>
      <c r="C190" s="1773" t="s">
        <v>815</v>
      </c>
      <c r="D190" s="1729"/>
      <c r="E190" s="1729"/>
      <c r="F190" s="1735"/>
      <c r="G190" s="1718">
        <v>38.363481000287337</v>
      </c>
      <c r="H190" s="1704">
        <v>18.396992540064101</v>
      </c>
      <c r="I190" s="1704">
        <v>24.471085883152178</v>
      </c>
      <c r="J190" s="1719">
        <v>26.837953423097826</v>
      </c>
      <c r="K190" s="1718">
        <v>18.974865649255229</v>
      </c>
      <c r="L190" s="1704">
        <v>10.592114644001832</v>
      </c>
      <c r="M190" s="1704">
        <v>23.428638822463746</v>
      </c>
      <c r="N190" s="1719">
        <v>24.040611232563403</v>
      </c>
      <c r="O190" s="1718">
        <v>19.574844206780533</v>
      </c>
      <c r="P190" s="1704">
        <v>14.132461858974361</v>
      </c>
      <c r="Q190" s="1704">
        <v>19.690949210824268</v>
      </c>
      <c r="R190" s="1704">
        <v>27.320213811911241</v>
      </c>
      <c r="S190" s="1718">
        <v>34.906394377365146</v>
      </c>
      <c r="T190" s="1704">
        <v>29.51015124084249</v>
      </c>
      <c r="U190" s="1704">
        <v>32.575099427083344</v>
      </c>
      <c r="V190" s="1721">
        <v>37.361519796557985</v>
      </c>
      <c r="W190" s="1820">
        <v>42.627117423409828</v>
      </c>
      <c r="X190" s="1820">
        <v>21.235009505690744</v>
      </c>
      <c r="Y190" s="1820">
        <v>33.125406867559512</v>
      </c>
      <c r="Z190" s="1821">
        <v>32.544144284297367</v>
      </c>
      <c r="AA190" s="1820">
        <v>24.552941132037905</v>
      </c>
      <c r="AB190" s="1820">
        <v>25.405648776654878</v>
      </c>
      <c r="AC190" s="1820">
        <v>28.41391110280798</v>
      </c>
      <c r="AD190" s="1821">
        <v>25.53134713495729</v>
      </c>
      <c r="AE190" s="1820">
        <v>20.780798292565343</v>
      </c>
      <c r="AF190" s="1643">
        <v>18.439791219093404</v>
      </c>
      <c r="AG190" s="1643">
        <v>27.717085095270448</v>
      </c>
      <c r="AH190" s="1642">
        <v>27.225998677746944</v>
      </c>
      <c r="AI190" s="1643">
        <v>23.502615202110384</v>
      </c>
      <c r="AJ190" s="1643">
        <v>22.058978634484564</v>
      </c>
      <c r="AK190" s="1643">
        <v>29.16276689554218</v>
      </c>
      <c r="AL190" s="1642">
        <v>31.166413735261386</v>
      </c>
      <c r="AM190" s="1643">
        <v>27.79077055530394</v>
      </c>
      <c r="AN190" s="1643">
        <v>23.866666666666671</v>
      </c>
      <c r="AO190" s="1643">
        <v>32.4</v>
      </c>
      <c r="AP190" s="1642">
        <v>31.849999999999998</v>
      </c>
      <c r="AQ190" s="1643">
        <v>32.001911923859012</v>
      </c>
      <c r="AR190" s="1643">
        <v>23.464576991634761</v>
      </c>
      <c r="AS190" s="1643">
        <v>31.792406772147991</v>
      </c>
      <c r="AT190" s="1642">
        <v>34.124437645558224</v>
      </c>
      <c r="AU190" s="1643">
        <v>35.011840479141661</v>
      </c>
      <c r="AV190" s="1643">
        <v>25.671529516621057</v>
      </c>
      <c r="AW190" s="1643">
        <v>34.782630394171832</v>
      </c>
      <c r="AX190" s="1642">
        <v>37.333999610065447</v>
      </c>
      <c r="AY190" s="1643">
        <v>36.703552148808996</v>
      </c>
      <c r="AZ190" s="1643">
        <v>26.911933490452423</v>
      </c>
      <c r="BA190" s="1643">
        <v>36.46326702835853</v>
      </c>
      <c r="BB190" s="1905">
        <v>39.137913998780029</v>
      </c>
      <c r="BC190" s="1489"/>
      <c r="BD190" s="1489"/>
      <c r="BE190" s="1489">
        <f t="shared" si="384"/>
        <v>27.017378211650364</v>
      </c>
      <c r="BF190" s="1489">
        <f t="shared" si="385"/>
        <v>19.259057587071052</v>
      </c>
      <c r="BG190" s="1489">
        <f t="shared" si="386"/>
        <v>20.179617272122602</v>
      </c>
      <c r="BH190" s="1489">
        <f t="shared" si="387"/>
        <v>33.588291210462245</v>
      </c>
      <c r="BI190" s="1489">
        <f t="shared" si="388"/>
        <v>32.382919520239362</v>
      </c>
      <c r="BJ190" s="1489">
        <f t="shared" si="389"/>
        <v>25.975962036614511</v>
      </c>
      <c r="BK190" s="1499">
        <f t="shared" si="390"/>
        <v>23.540918321169034</v>
      </c>
      <c r="BL190" s="1499">
        <f t="shared" si="391"/>
        <v>26.472693616849629</v>
      </c>
      <c r="BM190" s="1499">
        <f t="shared" si="392"/>
        <v>28.976859305492653</v>
      </c>
      <c r="BN190" s="1499">
        <f t="shared" si="393"/>
        <v>30.3458333333</v>
      </c>
      <c r="BO190" s="1499">
        <f t="shared" si="394"/>
        <v>33.200000000000003</v>
      </c>
      <c r="BP190" s="1499">
        <f t="shared" si="395"/>
        <v>34.804166666599997</v>
      </c>
      <c r="BQ190" s="1499"/>
      <c r="BR190" s="1476"/>
      <c r="BS190" s="1514"/>
      <c r="BT190" s="1515"/>
      <c r="BV190" s="1444"/>
      <c r="BW190" s="1443"/>
      <c r="BX190" s="1443"/>
      <c r="BY190" s="1443"/>
    </row>
    <row r="191" spans="2:77" ht="12.75" customHeight="1">
      <c r="B191" s="1549"/>
      <c r="C191" s="1773" t="s">
        <v>816</v>
      </c>
      <c r="D191" s="1729"/>
      <c r="E191" s="1729"/>
      <c r="F191" s="1735"/>
      <c r="G191" s="1718">
        <v>35.650621540673335</v>
      </c>
      <c r="H191" s="1704">
        <v>19.113250432692308</v>
      </c>
      <c r="I191" s="1704">
        <v>25.547545279664849</v>
      </c>
      <c r="J191" s="1719">
        <v>27.749613651449284</v>
      </c>
      <c r="K191" s="1718">
        <v>18.722317882447662</v>
      </c>
      <c r="L191" s="1704">
        <v>9.3984892651098875</v>
      </c>
      <c r="M191" s="1704">
        <v>23.640035421195652</v>
      </c>
      <c r="N191" s="1719">
        <v>25.15623199827899</v>
      </c>
      <c r="O191" s="1718">
        <v>20.248332309583525</v>
      </c>
      <c r="P191" s="1704">
        <v>12.638521983745417</v>
      </c>
      <c r="Q191" s="1704">
        <v>18.538177578124998</v>
      </c>
      <c r="R191" s="1704">
        <v>27.611688596331518</v>
      </c>
      <c r="S191" s="1718">
        <v>32.535625475191225</v>
      </c>
      <c r="T191" s="1704">
        <v>29.389078711080582</v>
      </c>
      <c r="U191" s="1704">
        <v>33.408651492300713</v>
      </c>
      <c r="V191" s="1721">
        <v>39.111093514039872</v>
      </c>
      <c r="W191" s="1820">
        <v>43.573062782256443</v>
      </c>
      <c r="X191" s="1820">
        <v>25.133060753891947</v>
      </c>
      <c r="Y191" s="1820">
        <v>33.672098231107654</v>
      </c>
      <c r="Z191" s="1821">
        <v>32.79430912681805</v>
      </c>
      <c r="AA191" s="1820">
        <v>25.992472138601332</v>
      </c>
      <c r="AB191" s="1820">
        <v>27.16867147632129</v>
      </c>
      <c r="AC191" s="1820">
        <v>27.614825502717384</v>
      </c>
      <c r="AD191" s="1821">
        <v>26.110869571577393</v>
      </c>
      <c r="AE191" s="1820">
        <v>20.11139374158903</v>
      </c>
      <c r="AF191" s="1643">
        <v>21.2270874957483</v>
      </c>
      <c r="AG191" s="1643">
        <v>29.189901377458604</v>
      </c>
      <c r="AH191" s="1642">
        <v>28.44518337338728</v>
      </c>
      <c r="AI191" s="1643">
        <v>24.123383839646465</v>
      </c>
      <c r="AJ191" s="1643">
        <v>20.910626551641812</v>
      </c>
      <c r="AK191" s="1643">
        <v>30.198757360248454</v>
      </c>
      <c r="AL191" s="1642">
        <v>30.953927045121635</v>
      </c>
      <c r="AM191" s="1643">
        <v>29.637675953200478</v>
      </c>
      <c r="AN191" s="1643">
        <v>24.700000000000003</v>
      </c>
      <c r="AO191" s="1643">
        <v>32.199999999999996</v>
      </c>
      <c r="AP191" s="1642">
        <v>32.1</v>
      </c>
      <c r="AQ191" s="1643">
        <v>32.382642291161041</v>
      </c>
      <c r="AR191" s="1643">
        <v>24.129274044874869</v>
      </c>
      <c r="AS191" s="1643">
        <v>32.172365393166494</v>
      </c>
      <c r="AT191" s="1642">
        <v>36.099051603997601</v>
      </c>
      <c r="AU191" s="1643">
        <v>35.345392387291405</v>
      </c>
      <c r="AV191" s="1643">
        <v>26.336907639231747</v>
      </c>
      <c r="AW191" s="1643">
        <v>35.115876852309</v>
      </c>
      <c r="AX191" s="1642">
        <v>39.401823121167837</v>
      </c>
      <c r="AY191" s="1643">
        <v>37.010587696706686</v>
      </c>
      <c r="AZ191" s="1643">
        <v>27.577694403877224</v>
      </c>
      <c r="BA191" s="1643">
        <v>36.770259205169637</v>
      </c>
      <c r="BB191" s="1905">
        <v>41.258125360646446</v>
      </c>
      <c r="BC191" s="1489"/>
      <c r="BD191" s="1489"/>
      <c r="BE191" s="1489">
        <f t="shared" si="384"/>
        <v>27.015257726119941</v>
      </c>
      <c r="BF191" s="1489">
        <f t="shared" si="385"/>
        <v>19.229268641758047</v>
      </c>
      <c r="BG191" s="1489">
        <f t="shared" si="386"/>
        <v>19.759180116946364</v>
      </c>
      <c r="BH191" s="1489">
        <f t="shared" si="387"/>
        <v>33.611112298153103</v>
      </c>
      <c r="BI191" s="1489">
        <f t="shared" si="388"/>
        <v>33.793132723518525</v>
      </c>
      <c r="BJ191" s="1489">
        <f t="shared" si="389"/>
        <v>26.72170967230435</v>
      </c>
      <c r="BK191" s="1499">
        <f t="shared" si="390"/>
        <v>24.743391497045803</v>
      </c>
      <c r="BL191" s="1499">
        <f t="shared" si="391"/>
        <v>26.54667369916459</v>
      </c>
      <c r="BM191" s="1499">
        <f t="shared" si="392"/>
        <v>29.659418988300118</v>
      </c>
      <c r="BN191" s="1499">
        <f t="shared" si="393"/>
        <v>31.195833333300001</v>
      </c>
      <c r="BO191" s="1499">
        <f t="shared" si="394"/>
        <v>34.049999999999997</v>
      </c>
      <c r="BP191" s="1499">
        <f t="shared" si="395"/>
        <v>35.654166666599998</v>
      </c>
      <c r="BQ191" s="1499"/>
      <c r="BR191" s="1476"/>
      <c r="BS191" s="1514"/>
      <c r="BT191" s="1515"/>
      <c r="BV191" s="1444"/>
      <c r="BW191" s="1443"/>
      <c r="BX191" s="1443"/>
      <c r="BY191" s="1443"/>
    </row>
    <row r="192" spans="2:77" ht="12.75" customHeight="1">
      <c r="B192" s="1549"/>
      <c r="C192" s="1773" t="s">
        <v>817</v>
      </c>
      <c r="D192" s="1729"/>
      <c r="E192" s="1729"/>
      <c r="F192" s="1735"/>
      <c r="G192" s="1725">
        <v>37.191702127659582</v>
      </c>
      <c r="H192" s="1726">
        <v>20.846551724137928</v>
      </c>
      <c r="I192" s="1726">
        <v>25.973666666666677</v>
      </c>
      <c r="J192" s="1727">
        <v>29.371206896551723</v>
      </c>
      <c r="K192" s="1725">
        <v>16.248095238095239</v>
      </c>
      <c r="L192" s="1726">
        <v>8.8706896551724146</v>
      </c>
      <c r="M192" s="1726">
        <v>19.931132075471702</v>
      </c>
      <c r="N192" s="1727">
        <v>27.305689655172419</v>
      </c>
      <c r="O192" s="1725">
        <v>19.371833333333331</v>
      </c>
      <c r="P192" s="1726">
        <v>7.370967741935433E-2</v>
      </c>
      <c r="Q192" s="1726">
        <v>13.051400000000001</v>
      </c>
      <c r="R192" s="1726">
        <v>25.025692307692317</v>
      </c>
      <c r="S192" s="1725">
        <v>26.816410256410261</v>
      </c>
      <c r="T192" s="1726">
        <v>17.528181818181817</v>
      </c>
      <c r="U192" s="1726">
        <v>23.521739130434778</v>
      </c>
      <c r="V192" s="1722">
        <v>37.909999999999997</v>
      </c>
      <c r="W192" s="1822">
        <v>24.855277777777776</v>
      </c>
      <c r="X192" s="1822">
        <v>13.964473684210526</v>
      </c>
      <c r="Y192" s="1822">
        <v>27.640666666666668</v>
      </c>
      <c r="Z192" s="1823">
        <v>27.14555555555555</v>
      </c>
      <c r="AA192" s="1822">
        <v>15.056279069767442</v>
      </c>
      <c r="AB192" s="1822">
        <v>22.67235294117647</v>
      </c>
      <c r="AC192" s="1822">
        <v>22.541666666666668</v>
      </c>
      <c r="AD192" s="1823">
        <v>19.292727272727276</v>
      </c>
      <c r="AE192" s="1822">
        <v>14.811363636363636</v>
      </c>
      <c r="AF192" s="1674">
        <v>10.678222222222219</v>
      </c>
      <c r="AG192" s="1674">
        <v>23.4837037037037</v>
      </c>
      <c r="AH192" s="1675">
        <v>18.550377358490564</v>
      </c>
      <c r="AI192" s="1674">
        <v>17.034905660377362</v>
      </c>
      <c r="AJ192" s="1674">
        <v>3.7259375000000001</v>
      </c>
      <c r="AK192" s="1674">
        <v>23.68</v>
      </c>
      <c r="AL192" s="1675">
        <v>22.81</v>
      </c>
      <c r="AM192" s="1674">
        <v>17.439166666666669</v>
      </c>
      <c r="AN192" s="1674">
        <v>5.3999999999999995</v>
      </c>
      <c r="AO192" s="1674">
        <v>17.400000000000002</v>
      </c>
      <c r="AP192" s="1675">
        <v>20.55</v>
      </c>
      <c r="AQ192" s="1674">
        <v>24.123736367380481</v>
      </c>
      <c r="AR192" s="1674">
        <v>9.8099081391649516</v>
      </c>
      <c r="AS192" s="1674">
        <v>22.519600445252877</v>
      </c>
      <c r="AT192" s="1675">
        <v>19.730088381401686</v>
      </c>
      <c r="AU192" s="1674">
        <v>28.308843114166567</v>
      </c>
      <c r="AV192" s="1674">
        <v>11.511780192205842</v>
      </c>
      <c r="AW192" s="1674">
        <v>26.426413648774417</v>
      </c>
      <c r="AX192" s="1675">
        <v>23.152963044853177</v>
      </c>
      <c r="AY192" s="1674">
        <v>30.974011975501607</v>
      </c>
      <c r="AZ192" s="1674">
        <v>12.59557008722444</v>
      </c>
      <c r="BA192" s="1674">
        <v>28.914359005263648</v>
      </c>
      <c r="BB192" s="1907">
        <v>25.332725598410299</v>
      </c>
      <c r="BC192" s="1489"/>
      <c r="BD192" s="1489"/>
      <c r="BE192" s="1489">
        <f t="shared" si="384"/>
        <v>28.345781853753977</v>
      </c>
      <c r="BF192" s="1489">
        <f t="shared" si="385"/>
        <v>18.088901655977942</v>
      </c>
      <c r="BG192" s="1489">
        <f t="shared" si="386"/>
        <v>14.380658829611251</v>
      </c>
      <c r="BH192" s="1489">
        <f t="shared" si="387"/>
        <v>26.444082801256712</v>
      </c>
      <c r="BI192" s="1489">
        <f t="shared" si="388"/>
        <v>23.401493421052628</v>
      </c>
      <c r="BJ192" s="1489">
        <f t="shared" si="389"/>
        <v>19.890756487584465</v>
      </c>
      <c r="BK192" s="1499">
        <f t="shared" si="390"/>
        <v>16.880916730195029</v>
      </c>
      <c r="BL192" s="1499">
        <f t="shared" si="391"/>
        <v>16.812710790094339</v>
      </c>
      <c r="BM192" s="1499">
        <f t="shared" si="392"/>
        <v>15.197291666666668</v>
      </c>
      <c r="BN192" s="1499">
        <f t="shared" si="393"/>
        <v>19.045833333299999</v>
      </c>
      <c r="BO192" s="1499">
        <f t="shared" si="394"/>
        <v>22.35</v>
      </c>
      <c r="BP192" s="1499">
        <f t="shared" si="395"/>
        <v>24.454166666599995</v>
      </c>
      <c r="BQ192" s="1499"/>
      <c r="BR192" s="1476"/>
      <c r="BS192" s="1514"/>
      <c r="BT192" s="1515"/>
      <c r="BV192" s="1444"/>
      <c r="BW192" s="1443"/>
      <c r="BX192" s="1443"/>
      <c r="BY192" s="1443"/>
    </row>
    <row r="193" spans="2:77" ht="12.75" customHeight="1">
      <c r="B193" s="1549"/>
      <c r="C193" s="1773"/>
      <c r="D193" s="1729"/>
      <c r="E193" s="1729"/>
      <c r="F193" s="1738"/>
      <c r="G193" s="1718">
        <v>0</v>
      </c>
      <c r="H193" s="1704">
        <v>0</v>
      </c>
      <c r="I193" s="1704">
        <v>0</v>
      </c>
      <c r="J193" s="1719">
        <v>18.965745967741935</v>
      </c>
      <c r="K193" s="1718">
        <v>21.679500452898552</v>
      </c>
      <c r="L193" s="1704">
        <v>15.42058035714286</v>
      </c>
      <c r="M193" s="1704">
        <v>30.891255661231888</v>
      </c>
      <c r="N193" s="1719">
        <v>16.763071376811602</v>
      </c>
      <c r="O193" s="1718">
        <v>13.916985188724318</v>
      </c>
      <c r="P193" s="1704">
        <v>13.258952609890109</v>
      </c>
      <c r="Q193" s="1704">
        <v>19.372339221014496</v>
      </c>
      <c r="R193" s="1704">
        <v>20.709261096014483</v>
      </c>
      <c r="S193" s="1718">
        <v>20.440848782206118</v>
      </c>
      <c r="T193" s="1705">
        <v>23.552954441391933</v>
      </c>
      <c r="U193" s="1705">
        <v>25.64189198369565</v>
      </c>
      <c r="V193" s="1707">
        <v>26.4882361865942</v>
      </c>
      <c r="W193" s="1643">
        <v>32.272174315619957</v>
      </c>
      <c r="X193" s="1643">
        <v>31.134892399267407</v>
      </c>
      <c r="Y193" s="1643">
        <v>28.14129528985508</v>
      </c>
      <c r="Z193" s="1642">
        <v>25.026826811594209</v>
      </c>
      <c r="AA193" s="1643">
        <v>22.267231833735906</v>
      </c>
      <c r="AB193" s="1643">
        <v>19.322938415750922</v>
      </c>
      <c r="AC193" s="1643">
        <v>19.883229166666666</v>
      </c>
      <c r="AD193" s="1642">
        <v>14.538071105072467</v>
      </c>
      <c r="AE193" s="1643">
        <v>13.415166079391629</v>
      </c>
      <c r="AF193" s="1643">
        <v>13.686976877289379</v>
      </c>
      <c r="AG193" s="1643">
        <v>20.563768115942029</v>
      </c>
      <c r="AH193" s="1642">
        <v>17.754754528985508</v>
      </c>
      <c r="AI193" s="1643">
        <v>15.114614834943641</v>
      </c>
      <c r="AJ193" s="1643">
        <v>18.580832188644688</v>
      </c>
      <c r="AK193" s="1643">
        <v>21.66212522644927</v>
      </c>
      <c r="AL193" s="1642">
        <v>17.263756521739129</v>
      </c>
      <c r="AM193" s="1643">
        <v>17.088877969001611</v>
      </c>
      <c r="AN193" s="1643">
        <v>18.510540000000002</v>
      </c>
      <c r="AO193" s="1643">
        <v>27.807523333333336</v>
      </c>
      <c r="AP193" s="1642">
        <v>17.338083333333334</v>
      </c>
      <c r="AQ193" s="1643">
        <v>16.957303958202534</v>
      </c>
      <c r="AR193" s="1643">
        <v>14.649290816252094</v>
      </c>
      <c r="AS193" s="1643">
        <v>20.911155316984395</v>
      </c>
      <c r="AT193" s="1642">
        <v>16.626713241760964</v>
      </c>
      <c r="AU193" s="1643">
        <v>16.447007807315547</v>
      </c>
      <c r="AV193" s="1643">
        <v>14.208449705236832</v>
      </c>
      <c r="AW193" s="1643">
        <v>20.281875916487753</v>
      </c>
      <c r="AX193" s="1642">
        <v>16.126365557359861</v>
      </c>
      <c r="AY193" s="1643">
        <v>15.71573988720429</v>
      </c>
      <c r="AZ193" s="1643">
        <v>13.576712699595451</v>
      </c>
      <c r="BA193" s="1643">
        <v>19.380101843588751</v>
      </c>
      <c r="BB193" s="1905">
        <v>15.409354053611498</v>
      </c>
      <c r="BC193" s="1489"/>
      <c r="BD193" s="1489"/>
      <c r="BE193" s="1489"/>
      <c r="BF193" s="1489"/>
      <c r="BG193" s="1489"/>
      <c r="BH193" s="1489"/>
      <c r="BI193" s="1489"/>
      <c r="BJ193" s="1489"/>
      <c r="BK193" s="1489"/>
      <c r="BL193" s="1489"/>
      <c r="BM193" s="1489"/>
      <c r="BN193" s="1489"/>
      <c r="BO193" s="1489"/>
      <c r="BP193" s="1489"/>
      <c r="BQ193" s="1489"/>
      <c r="BR193" s="1476"/>
      <c r="BS193" s="1477"/>
      <c r="BV193" s="1444"/>
      <c r="BW193" s="1443"/>
      <c r="BX193" s="1443"/>
      <c r="BY193" s="1443"/>
    </row>
    <row r="194" spans="2:77" ht="12.75" customHeight="1">
      <c r="B194" s="1549"/>
      <c r="C194" s="1776" t="s">
        <v>818</v>
      </c>
      <c r="D194" s="1732"/>
      <c r="E194" s="1732"/>
      <c r="F194" s="1733"/>
      <c r="G194" s="1720"/>
      <c r="H194" s="1723"/>
      <c r="I194" s="1723"/>
      <c r="J194" s="1724"/>
      <c r="K194" s="1720"/>
      <c r="L194" s="1723"/>
      <c r="M194" s="1723"/>
      <c r="N194" s="1724"/>
      <c r="O194" s="1720"/>
      <c r="P194" s="1723"/>
      <c r="Q194" s="1723"/>
      <c r="R194" s="1723"/>
      <c r="S194" s="1728"/>
      <c r="T194" s="1708"/>
      <c r="U194" s="1708"/>
      <c r="V194" s="1711"/>
      <c r="W194" s="1656"/>
      <c r="X194" s="1656"/>
      <c r="Y194" s="1656"/>
      <c r="Z194" s="1658"/>
      <c r="AA194" s="1656"/>
      <c r="AB194" s="1656"/>
      <c r="AC194" s="1656"/>
      <c r="AD194" s="1658"/>
      <c r="AE194" s="1656"/>
      <c r="AF194" s="1660"/>
      <c r="AG194" s="1660"/>
      <c r="AH194" s="1659"/>
      <c r="AI194" s="1660"/>
      <c r="AJ194" s="1660"/>
      <c r="AK194" s="1660"/>
      <c r="AL194" s="1659"/>
      <c r="AM194" s="1660"/>
      <c r="AN194" s="1660"/>
      <c r="AO194" s="1660"/>
      <c r="AP194" s="1659"/>
      <c r="AQ194" s="1660"/>
      <c r="AR194" s="1660"/>
      <c r="AS194" s="1660"/>
      <c r="AT194" s="1659"/>
      <c r="AU194" s="1660"/>
      <c r="AV194" s="1660"/>
      <c r="AW194" s="1660"/>
      <c r="AX194" s="1659"/>
      <c r="AY194" s="1660"/>
      <c r="AZ194" s="1660"/>
      <c r="BA194" s="1660"/>
      <c r="BB194" s="1906"/>
      <c r="BC194" s="1306"/>
      <c r="BD194" s="1306"/>
      <c r="BE194" s="1306"/>
      <c r="BF194" s="1306"/>
      <c r="BG194" s="1306"/>
      <c r="BH194" s="1306"/>
      <c r="BI194" s="1306"/>
      <c r="BJ194" s="1306"/>
      <c r="BK194" s="1306"/>
      <c r="BL194" s="1306"/>
      <c r="BM194" s="1306"/>
      <c r="BN194" s="1306"/>
      <c r="BO194" s="1306"/>
      <c r="BP194" s="1306"/>
      <c r="BQ194" s="1306"/>
      <c r="BR194" s="1476"/>
      <c r="BS194" s="1511"/>
      <c r="BV194" s="1444"/>
      <c r="BW194" s="1443"/>
      <c r="BX194" s="1443"/>
      <c r="BY194" s="1443"/>
    </row>
    <row r="195" spans="2:77" ht="12.75" customHeight="1">
      <c r="B195" s="1549"/>
      <c r="C195" s="1777" t="s">
        <v>872</v>
      </c>
      <c r="D195" s="1729"/>
      <c r="E195" s="1729"/>
      <c r="F195" s="1738"/>
      <c r="G195" s="1718"/>
      <c r="H195" s="1704"/>
      <c r="I195" s="1704"/>
      <c r="J195" s="1719"/>
      <c r="K195" s="1718"/>
      <c r="L195" s="1704"/>
      <c r="M195" s="1704"/>
      <c r="N195" s="1719"/>
      <c r="O195" s="1718"/>
      <c r="P195" s="1704"/>
      <c r="Q195" s="1704"/>
      <c r="R195" s="1704"/>
      <c r="S195" s="1718"/>
      <c r="T195" s="1705"/>
      <c r="U195" s="1705"/>
      <c r="V195" s="1707"/>
      <c r="W195" s="1643"/>
      <c r="X195" s="1643"/>
      <c r="Y195" s="1643"/>
      <c r="Z195" s="1642"/>
      <c r="AA195" s="1643"/>
      <c r="AB195" s="1643"/>
      <c r="AC195" s="1643"/>
      <c r="AD195" s="1642"/>
      <c r="AE195" s="1643"/>
      <c r="AF195" s="1643"/>
      <c r="AG195" s="1643"/>
      <c r="AH195" s="1642"/>
      <c r="AI195" s="1643"/>
      <c r="AJ195" s="1643"/>
      <c r="AK195" s="1643"/>
      <c r="AL195" s="1642"/>
      <c r="AM195" s="1643"/>
      <c r="AN195" s="1643"/>
      <c r="AO195" s="1643"/>
      <c r="AP195" s="1642"/>
      <c r="AQ195" s="1643"/>
      <c r="AR195" s="1643"/>
      <c r="AS195" s="1643"/>
      <c r="AT195" s="1642"/>
      <c r="AU195" s="1643"/>
      <c r="AV195" s="1643"/>
      <c r="AW195" s="1643"/>
      <c r="AX195" s="1642"/>
      <c r="AY195" s="1643"/>
      <c r="AZ195" s="1643"/>
      <c r="BA195" s="1643"/>
      <c r="BB195" s="1905"/>
      <c r="BC195" s="1489"/>
      <c r="BD195" s="1489"/>
      <c r="BE195" s="1489"/>
      <c r="BF195" s="1489"/>
      <c r="BG195" s="1489"/>
      <c r="BH195" s="1499"/>
      <c r="BI195" s="1499"/>
      <c r="BJ195" s="1499"/>
      <c r="BK195" s="1499"/>
      <c r="BL195" s="1499"/>
      <c r="BM195" s="1499"/>
      <c r="BN195" s="1499"/>
      <c r="BO195" s="1499"/>
      <c r="BP195" s="1499"/>
      <c r="BQ195" s="1499"/>
      <c r="BR195" s="1476"/>
      <c r="BS195" s="1511"/>
      <c r="BV195" s="1444"/>
      <c r="BW195" s="1443"/>
      <c r="BX195" s="1443"/>
      <c r="BY195" s="1443"/>
    </row>
    <row r="196" spans="2:77" ht="12.75" customHeight="1">
      <c r="B196" s="1549"/>
      <c r="C196" s="1773" t="s">
        <v>281</v>
      </c>
      <c r="D196" s="1729"/>
      <c r="E196" s="1729"/>
      <c r="F196" s="1738"/>
      <c r="G196" s="1718">
        <v>0.92945833333333372</v>
      </c>
      <c r="H196" s="1704">
        <v>0.36958730158730102</v>
      </c>
      <c r="I196" s="1704">
        <v>0.37103124999999881</v>
      </c>
      <c r="J196" s="1719">
        <v>2.0107384615384656</v>
      </c>
      <c r="K196" s="1718">
        <v>2.7836406250000012</v>
      </c>
      <c r="L196" s="1704">
        <v>0.38664062500000007</v>
      </c>
      <c r="M196" s="1704">
        <v>0.58382812500000192</v>
      </c>
      <c r="N196" s="1719">
        <v>0.35206349206349286</v>
      </c>
      <c r="O196" s="1718">
        <v>0.80777777777777793</v>
      </c>
      <c r="P196" s="1704">
        <v>0.20609523809523767</v>
      </c>
      <c r="Q196" s="1704">
        <v>0.18090476190476101</v>
      </c>
      <c r="R196" s="1704">
        <v>0.52926562499999807</v>
      </c>
      <c r="S196" s="1718">
        <v>4.3436166666666658</v>
      </c>
      <c r="T196" s="1704">
        <v>0.30776562499999827</v>
      </c>
      <c r="U196" s="1704">
        <v>0.20923437499999897</v>
      </c>
      <c r="V196" s="1719">
        <v>0.48042187499999889</v>
      </c>
      <c r="W196" s="1819">
        <v>11.865918032786885</v>
      </c>
      <c r="X196" s="1820">
        <v>-0.87728124999999935</v>
      </c>
      <c r="Y196" s="1820">
        <v>-1.3732187500000017</v>
      </c>
      <c r="Z196" s="1821">
        <v>-0.57965624999999754</v>
      </c>
      <c r="AA196" s="1819">
        <v>6.0189193548387117</v>
      </c>
      <c r="AB196" s="1820">
        <v>-0.25368253968253818</v>
      </c>
      <c r="AC196" s="1820">
        <v>-0.4931562499999993</v>
      </c>
      <c r="AD196" s="1821">
        <v>-0.2235238095238099</v>
      </c>
      <c r="AE196" s="1819">
        <v>0.49621311475409802</v>
      </c>
      <c r="AF196" s="1643">
        <v>-0.43893749999999998</v>
      </c>
      <c r="AG196" s="1643">
        <v>-0.95798437499999922</v>
      </c>
      <c r="AH196" s="1642">
        <v>-0.3514999999999997</v>
      </c>
      <c r="AI196" s="1643">
        <v>0.30054838709677556</v>
      </c>
      <c r="AJ196" s="1643">
        <v>-0.38845312499999896</v>
      </c>
      <c r="AK196" s="1643">
        <v>-0.54298412698412557</v>
      </c>
      <c r="AL196" s="1642">
        <v>0.63106451612903358</v>
      </c>
      <c r="AM196" s="1643">
        <v>4.698950819672131</v>
      </c>
      <c r="AN196" s="1643">
        <v>-0.19166666666666643</v>
      </c>
      <c r="AO196" s="1643">
        <v>-0.30999999999999961</v>
      </c>
      <c r="AP196" s="1642">
        <v>0.25666666666666638</v>
      </c>
      <c r="AQ196" s="1643">
        <v>1.637734667576852</v>
      </c>
      <c r="AR196" s="1643">
        <v>-0.69677150590554215</v>
      </c>
      <c r="AS196" s="1643">
        <v>-0.82532002718121711</v>
      </c>
      <c r="AT196" s="1642">
        <v>1.5445568651099078</v>
      </c>
      <c r="AU196" s="1643">
        <v>1.6691288195742207</v>
      </c>
      <c r="AV196" s="1643">
        <v>-0.704374459769459</v>
      </c>
      <c r="AW196" s="1643">
        <v>-0.83498911122825525</v>
      </c>
      <c r="AX196" s="1642">
        <v>1.5745847514234943</v>
      </c>
      <c r="AY196" s="1643">
        <v>1.7632770950378909</v>
      </c>
      <c r="AZ196" s="1643">
        <v>-0.69298925565485447</v>
      </c>
      <c r="BA196" s="1643">
        <v>-0.82743500086795607</v>
      </c>
      <c r="BB196" s="1905">
        <v>1.6671304946849221</v>
      </c>
      <c r="BC196" s="1489"/>
      <c r="BD196" s="1489"/>
      <c r="BE196" s="1489">
        <f t="shared" ref="BE196:BE211" si="396">AVERAGE(G196:J196)</f>
        <v>0.92020383661477478</v>
      </c>
      <c r="BF196" s="1489">
        <f t="shared" ref="BF196:BF211" si="397">AVERAGE(K196:N196)</f>
        <v>1.0265432167658739</v>
      </c>
      <c r="BG196" s="1489">
        <f t="shared" ref="BG196:BG211" si="398">AVERAGE(O196:R196)</f>
        <v>0.43101085069444367</v>
      </c>
      <c r="BH196" s="1499">
        <f t="shared" ref="BH196:BH211" si="399">AVERAGE(S196:V196)</f>
        <v>1.3352596354166657</v>
      </c>
      <c r="BI196" s="1499">
        <f t="shared" ref="BI196:BI211" si="400">AVERAGE(W196:Z196)</f>
        <v>2.2589404456967217</v>
      </c>
      <c r="BJ196" s="1499">
        <f t="shared" ref="BJ196:BJ211" si="401">AVERAGE(AA196:AD196)</f>
        <v>1.2621391889080911</v>
      </c>
      <c r="BK196" s="1499">
        <f t="shared" ref="BK196:BK211" si="402">AVERAGE(AE196:AH196)</f>
        <v>-0.31305219006147522</v>
      </c>
      <c r="BL196" s="1499">
        <f t="shared" ref="BL196:BL211" si="403">AVERAGE(AI196:AL196)</f>
        <v>4.3912810421153914E-5</v>
      </c>
      <c r="BM196" s="1499">
        <f t="shared" ref="BM196:BM211" si="404">AVERAGE(AM196:AP196)</f>
        <v>1.113487704918033</v>
      </c>
      <c r="BN196" s="1499">
        <f t="shared" ref="BN196:BN211" si="405">AVERAGE(AQ196:AT196)</f>
        <v>0.41504999990000013</v>
      </c>
      <c r="BO196" s="1499">
        <f t="shared" ref="BO196:BO211" si="406">AVERAGE(AU196:AX196)</f>
        <v>0.42608750000000017</v>
      </c>
      <c r="BP196" s="1499">
        <f t="shared" ref="BP196:BP211" si="407">AVERAGE(AY196:BB196)</f>
        <v>0.47749583330000062</v>
      </c>
      <c r="BQ196" s="1499"/>
      <c r="BR196" s="1476"/>
      <c r="BS196" s="1514"/>
      <c r="BT196" s="1515"/>
      <c r="BV196" s="1444"/>
      <c r="BW196" s="1443"/>
      <c r="BX196" s="1443"/>
      <c r="BY196" s="1443"/>
    </row>
    <row r="197" spans="2:77" ht="12.75" customHeight="1">
      <c r="B197" s="1549"/>
      <c r="C197" s="1773" t="s">
        <v>819</v>
      </c>
      <c r="D197" s="1729"/>
      <c r="E197" s="1729"/>
      <c r="F197" s="1738"/>
      <c r="G197" s="1718">
        <v>0.61162500000000009</v>
      </c>
      <c r="H197" s="1704">
        <v>0.34730158730158944</v>
      </c>
      <c r="I197" s="1704">
        <v>0.35659375000000004</v>
      </c>
      <c r="J197" s="1719">
        <v>1.4691538461538483</v>
      </c>
      <c r="K197" s="1718">
        <v>1.7646250000000014</v>
      </c>
      <c r="L197" s="1704">
        <v>0.28798437500000063</v>
      </c>
      <c r="M197" s="1704">
        <v>0.25414062500000068</v>
      </c>
      <c r="N197" s="1719">
        <v>0.24365079365079412</v>
      </c>
      <c r="O197" s="1718">
        <v>0.31452380952380965</v>
      </c>
      <c r="P197" s="1704">
        <v>0.1599206349206348</v>
      </c>
      <c r="Q197" s="1704">
        <v>0.16882539682539655</v>
      </c>
      <c r="R197" s="1704">
        <v>0.26892187499999887</v>
      </c>
      <c r="S197" s="1718">
        <v>0.819599999999999</v>
      </c>
      <c r="T197" s="1704">
        <v>0.11882812499999851</v>
      </c>
      <c r="U197" s="1704">
        <v>-1.3265625000001169E-2</v>
      </c>
      <c r="V197" s="1719">
        <v>0.14118750000000091</v>
      </c>
      <c r="W197" s="1819">
        <v>7.5181639344262283</v>
      </c>
      <c r="X197" s="1820">
        <v>-0.89420312500000065</v>
      </c>
      <c r="Y197" s="1820">
        <v>-1.4395156250000012</v>
      </c>
      <c r="Z197" s="1821">
        <v>-1.017578125</v>
      </c>
      <c r="AA197" s="1819">
        <v>3.554258064516127</v>
      </c>
      <c r="AB197" s="1820">
        <v>-1.1179206349206339</v>
      </c>
      <c r="AC197" s="1820">
        <v>-1.3916093749999998</v>
      </c>
      <c r="AD197" s="1821">
        <v>-0.84366666666666723</v>
      </c>
      <c r="AE197" s="1819">
        <v>-0.15401639344262286</v>
      </c>
      <c r="AF197" s="1643">
        <v>-0.55339062499999958</v>
      </c>
      <c r="AG197" s="1643">
        <v>-1.5273593749999999</v>
      </c>
      <c r="AH197" s="1642">
        <v>-0.79788709677419334</v>
      </c>
      <c r="AI197" s="1643">
        <v>-1.6838709677418517E-2</v>
      </c>
      <c r="AJ197" s="1643">
        <v>-0.56160937500000019</v>
      </c>
      <c r="AK197" s="1643">
        <v>-1.2109841269841268</v>
      </c>
      <c r="AL197" s="1642">
        <v>-0.13975806451612982</v>
      </c>
      <c r="AM197" s="1643">
        <v>3.4441967213114757</v>
      </c>
      <c r="AN197" s="1643">
        <v>-0.46333333333333293</v>
      </c>
      <c r="AO197" s="1643">
        <v>-0.59499999999999975</v>
      </c>
      <c r="AP197" s="1642">
        <v>-0.21666666666666679</v>
      </c>
      <c r="AQ197" s="1643">
        <v>0.74457975965344758</v>
      </c>
      <c r="AR197" s="1643">
        <v>-0.76430483819771866</v>
      </c>
      <c r="AS197" s="1643">
        <v>-0.78296558457066712</v>
      </c>
      <c r="AT197" s="1642">
        <v>0.8235214539149398</v>
      </c>
      <c r="AU197" s="1643">
        <v>0.64485745238273218</v>
      </c>
      <c r="AV197" s="1643">
        <v>-0.82982612063011629</v>
      </c>
      <c r="AW197" s="1643">
        <v>-0.84922019602346377</v>
      </c>
      <c r="AX197" s="1642">
        <v>0.71921711267084909</v>
      </c>
      <c r="AY197" s="1643">
        <v>0.64402689825038939</v>
      </c>
      <c r="AZ197" s="1643">
        <v>-0.85250267876937125</v>
      </c>
      <c r="BA197" s="1643">
        <v>-0.87232898455971686</v>
      </c>
      <c r="BB197" s="1905">
        <v>0.71913809827870034</v>
      </c>
      <c r="BC197" s="1489"/>
      <c r="BD197" s="1489"/>
      <c r="BE197" s="1489">
        <f t="shared" si="396"/>
        <v>0.69616854586385946</v>
      </c>
      <c r="BF197" s="1489">
        <f t="shared" si="397"/>
        <v>0.63760019841269922</v>
      </c>
      <c r="BG197" s="1489">
        <f t="shared" si="398"/>
        <v>0.22804792906745996</v>
      </c>
      <c r="BH197" s="1499">
        <f t="shared" si="399"/>
        <v>0.26658749999999931</v>
      </c>
      <c r="BI197" s="1499">
        <f t="shared" si="400"/>
        <v>1.0417167648565566</v>
      </c>
      <c r="BJ197" s="1499">
        <f t="shared" si="401"/>
        <v>5.0265346982206582E-2</v>
      </c>
      <c r="BK197" s="1499">
        <f t="shared" si="402"/>
        <v>-0.75816337255420385</v>
      </c>
      <c r="BL197" s="1499">
        <f t="shared" si="403"/>
        <v>-0.48229756904441884</v>
      </c>
      <c r="BM197" s="1499">
        <f t="shared" si="404"/>
        <v>0.54229918032786906</v>
      </c>
      <c r="BN197" s="1499">
        <f t="shared" si="405"/>
        <v>5.2076977000004021E-3</v>
      </c>
      <c r="BO197" s="1499">
        <f t="shared" si="406"/>
        <v>-7.8742937899999699E-2</v>
      </c>
      <c r="BP197" s="1499">
        <f t="shared" si="407"/>
        <v>-9.0416666699999593E-2</v>
      </c>
      <c r="BQ197" s="1499"/>
      <c r="BR197" s="1476"/>
      <c r="BS197" s="1477"/>
      <c r="BV197" s="1444"/>
      <c r="BW197" s="1443"/>
      <c r="BX197" s="1443"/>
      <c r="BY197" s="1443"/>
    </row>
    <row r="198" spans="2:77" ht="12.75" customHeight="1">
      <c r="B198" s="1549"/>
      <c r="C198" s="1773" t="s">
        <v>733</v>
      </c>
      <c r="D198" s="1729"/>
      <c r="E198" s="1729"/>
      <c r="F198" s="1738"/>
      <c r="G198" s="1718">
        <v>0.92945833333333372</v>
      </c>
      <c r="H198" s="1704">
        <v>0.36958730158730102</v>
      </c>
      <c r="I198" s="1704">
        <v>0.37103124999999881</v>
      </c>
      <c r="J198" s="1719">
        <v>2.0107384615384656</v>
      </c>
      <c r="K198" s="1718">
        <v>2.7836406250000012</v>
      </c>
      <c r="L198" s="1704">
        <v>0.38664062500000007</v>
      </c>
      <c r="M198" s="1704">
        <v>0.58382812500000192</v>
      </c>
      <c r="N198" s="1719">
        <v>0.35206349206349286</v>
      </c>
      <c r="O198" s="1718">
        <v>0.80777777777777793</v>
      </c>
      <c r="P198" s="1704">
        <v>0.20609523809523767</v>
      </c>
      <c r="Q198" s="1704">
        <v>0.18090476190476101</v>
      </c>
      <c r="R198" s="1704">
        <v>0.52926562499999807</v>
      </c>
      <c r="S198" s="1718">
        <v>4.3436166666666658</v>
      </c>
      <c r="T198" s="1704">
        <v>0.30776562499999827</v>
      </c>
      <c r="U198" s="1704">
        <v>0.20923437499999897</v>
      </c>
      <c r="V198" s="1719">
        <v>0.48042187499999889</v>
      </c>
      <c r="W198" s="1819">
        <v>11.865918032786885</v>
      </c>
      <c r="X198" s="1820">
        <v>-0.87728124999999935</v>
      </c>
      <c r="Y198" s="1820">
        <v>-1.3732187500000017</v>
      </c>
      <c r="Z198" s="1821">
        <v>-0.57965624999999754</v>
      </c>
      <c r="AA198" s="1819">
        <v>6.0189193548387117</v>
      </c>
      <c r="AB198" s="1820">
        <v>-0.25368253968253818</v>
      </c>
      <c r="AC198" s="1820">
        <v>-0.4931562499999993</v>
      </c>
      <c r="AD198" s="1821">
        <v>-0.2235238095238099</v>
      </c>
      <c r="AE198" s="1819">
        <v>0.49621311475409802</v>
      </c>
      <c r="AF198" s="1643">
        <v>-0.43893749999999998</v>
      </c>
      <c r="AG198" s="1643">
        <v>-0.95798437499999922</v>
      </c>
      <c r="AH198" s="1642">
        <v>-0.3514999999999997</v>
      </c>
      <c r="AI198" s="1643">
        <v>0.30054838709677556</v>
      </c>
      <c r="AJ198" s="1643">
        <v>-0.38845312499999896</v>
      </c>
      <c r="AK198" s="1643">
        <v>-0.54298412698412557</v>
      </c>
      <c r="AL198" s="1642">
        <v>0.63106451612903358</v>
      </c>
      <c r="AM198" s="1643">
        <v>4.698950819672131</v>
      </c>
      <c r="AN198" s="1643">
        <v>-0.19166666666666643</v>
      </c>
      <c r="AO198" s="1643">
        <v>-0.30999999999999961</v>
      </c>
      <c r="AP198" s="1642">
        <v>0.25666666666666638</v>
      </c>
      <c r="AQ198" s="1643">
        <v>1.637734667576852</v>
      </c>
      <c r="AR198" s="1643">
        <v>-0.69677150590554215</v>
      </c>
      <c r="AS198" s="1643">
        <v>-0.82532002718121711</v>
      </c>
      <c r="AT198" s="1642">
        <v>1.5445568651099078</v>
      </c>
      <c r="AU198" s="1643">
        <v>1.6691288195742207</v>
      </c>
      <c r="AV198" s="1643">
        <v>-0.704374459769459</v>
      </c>
      <c r="AW198" s="1643">
        <v>-0.83498911122825525</v>
      </c>
      <c r="AX198" s="1642">
        <v>1.5745847514234943</v>
      </c>
      <c r="AY198" s="1643">
        <v>1.7632770950378909</v>
      </c>
      <c r="AZ198" s="1643">
        <v>-0.69298925565485447</v>
      </c>
      <c r="BA198" s="1643">
        <v>-0.82743500086795607</v>
      </c>
      <c r="BB198" s="1905">
        <v>1.6671304946849221</v>
      </c>
      <c r="BC198" s="1489"/>
      <c r="BD198" s="1489"/>
      <c r="BE198" s="1489">
        <f t="shared" si="396"/>
        <v>0.92020383661477478</v>
      </c>
      <c r="BF198" s="1489">
        <f t="shared" si="397"/>
        <v>1.0265432167658739</v>
      </c>
      <c r="BG198" s="1489">
        <f t="shared" si="398"/>
        <v>0.43101085069444367</v>
      </c>
      <c r="BH198" s="1499">
        <f t="shared" si="399"/>
        <v>1.3352596354166657</v>
      </c>
      <c r="BI198" s="1499">
        <f t="shared" si="400"/>
        <v>2.2589404456967217</v>
      </c>
      <c r="BJ198" s="1499">
        <f t="shared" si="401"/>
        <v>1.2621391889080911</v>
      </c>
      <c r="BK198" s="1499">
        <f t="shared" si="402"/>
        <v>-0.31305219006147522</v>
      </c>
      <c r="BL198" s="1499">
        <f t="shared" si="403"/>
        <v>4.3912810421153914E-5</v>
      </c>
      <c r="BM198" s="1499">
        <f t="shared" si="404"/>
        <v>1.113487704918033</v>
      </c>
      <c r="BN198" s="1499">
        <f t="shared" si="405"/>
        <v>0.41504999990000013</v>
      </c>
      <c r="BO198" s="1499">
        <f t="shared" si="406"/>
        <v>0.42608750000000017</v>
      </c>
      <c r="BP198" s="1499">
        <f t="shared" si="407"/>
        <v>0.47749583330000062</v>
      </c>
      <c r="BQ198" s="1499"/>
      <c r="BR198" s="1476"/>
      <c r="BS198" s="1477"/>
      <c r="BV198" s="1444"/>
      <c r="BW198" s="1443"/>
      <c r="BX198" s="1443"/>
      <c r="BY198" s="1443"/>
    </row>
    <row r="199" spans="2:77" ht="12.75" customHeight="1">
      <c r="B199" s="1549"/>
      <c r="C199" s="1773" t="s">
        <v>732</v>
      </c>
      <c r="D199" s="1729"/>
      <c r="E199" s="1729"/>
      <c r="F199" s="1738"/>
      <c r="G199" s="1718">
        <v>0.92945833333333372</v>
      </c>
      <c r="H199" s="1704">
        <v>0.36958730158730102</v>
      </c>
      <c r="I199" s="1704">
        <v>0.37103124999999881</v>
      </c>
      <c r="J199" s="1719">
        <v>2.0107384615384656</v>
      </c>
      <c r="K199" s="1718">
        <v>2.7836406250000012</v>
      </c>
      <c r="L199" s="1704">
        <v>0.38664062500000007</v>
      </c>
      <c r="M199" s="1704">
        <v>0.58382812500000192</v>
      </c>
      <c r="N199" s="1719">
        <v>0.35206349206349286</v>
      </c>
      <c r="O199" s="1718">
        <v>0.80777777777777793</v>
      </c>
      <c r="P199" s="1704">
        <v>0.20609523809523767</v>
      </c>
      <c r="Q199" s="1704">
        <v>0.18090476190476101</v>
      </c>
      <c r="R199" s="1704">
        <v>0.52926562499999807</v>
      </c>
      <c r="S199" s="1718">
        <v>4.3436166666666658</v>
      </c>
      <c r="T199" s="1704">
        <v>0.30776562499999827</v>
      </c>
      <c r="U199" s="1704">
        <v>0.20923437499999897</v>
      </c>
      <c r="V199" s="1719">
        <v>0.48042187499999889</v>
      </c>
      <c r="W199" s="1819">
        <v>11.865918032786885</v>
      </c>
      <c r="X199" s="1820">
        <v>-0.87728124999999935</v>
      </c>
      <c r="Y199" s="1820">
        <v>-1.3732187500000017</v>
      </c>
      <c r="Z199" s="1821">
        <v>-0.57965624999999754</v>
      </c>
      <c r="AA199" s="1819">
        <v>6.0189193548387117</v>
      </c>
      <c r="AB199" s="1820">
        <v>-0.25368253968253818</v>
      </c>
      <c r="AC199" s="1820">
        <v>-0.4931562499999993</v>
      </c>
      <c r="AD199" s="1821">
        <v>-0.2235238095238099</v>
      </c>
      <c r="AE199" s="1819">
        <v>0.49621311475409802</v>
      </c>
      <c r="AF199" s="1643">
        <v>-0.43893749999999998</v>
      </c>
      <c r="AG199" s="1643">
        <v>-0.95798437499999922</v>
      </c>
      <c r="AH199" s="1642">
        <v>-0.3514999999999997</v>
      </c>
      <c r="AI199" s="1643">
        <v>0.30054838709677556</v>
      </c>
      <c r="AJ199" s="1643">
        <v>-0.38845312499999896</v>
      </c>
      <c r="AK199" s="1643">
        <v>-0.54298412698412557</v>
      </c>
      <c r="AL199" s="1642">
        <v>0.63106451612903358</v>
      </c>
      <c r="AM199" s="1643">
        <v>4.698950819672131</v>
      </c>
      <c r="AN199" s="1643">
        <v>-0.19166666666666643</v>
      </c>
      <c r="AO199" s="1643">
        <v>-0.30999999999999961</v>
      </c>
      <c r="AP199" s="1642">
        <v>0.25666666666666638</v>
      </c>
      <c r="AQ199" s="1643">
        <v>1.637734667576852</v>
      </c>
      <c r="AR199" s="1643">
        <v>-0.69677150590554215</v>
      </c>
      <c r="AS199" s="1643">
        <v>-0.82532002718121711</v>
      </c>
      <c r="AT199" s="1642">
        <v>1.5445568651099078</v>
      </c>
      <c r="AU199" s="1643">
        <v>1.6691288195742207</v>
      </c>
      <c r="AV199" s="1643">
        <v>-0.704374459769459</v>
      </c>
      <c r="AW199" s="1643">
        <v>-0.83498911122825525</v>
      </c>
      <c r="AX199" s="1642">
        <v>1.5745847514234943</v>
      </c>
      <c r="AY199" s="1643">
        <v>1.7632770950378909</v>
      </c>
      <c r="AZ199" s="1643">
        <v>-0.69298925565485447</v>
      </c>
      <c r="BA199" s="1643">
        <v>-0.82743500086795607</v>
      </c>
      <c r="BB199" s="1905">
        <v>1.6671304946849221</v>
      </c>
      <c r="BC199" s="1489"/>
      <c r="BD199" s="1489"/>
      <c r="BE199" s="1489">
        <f t="shared" si="396"/>
        <v>0.92020383661477478</v>
      </c>
      <c r="BF199" s="1489">
        <f t="shared" si="397"/>
        <v>1.0265432167658739</v>
      </c>
      <c r="BG199" s="1489">
        <f t="shared" si="398"/>
        <v>0.43101085069444367</v>
      </c>
      <c r="BH199" s="1499">
        <f t="shared" si="399"/>
        <v>1.3352596354166657</v>
      </c>
      <c r="BI199" s="1499">
        <f t="shared" si="400"/>
        <v>2.2589404456967217</v>
      </c>
      <c r="BJ199" s="1499">
        <f t="shared" si="401"/>
        <v>1.2621391889080911</v>
      </c>
      <c r="BK199" s="1499">
        <f t="shared" si="402"/>
        <v>-0.31305219006147522</v>
      </c>
      <c r="BL199" s="1499">
        <f t="shared" si="403"/>
        <v>4.3912810421153914E-5</v>
      </c>
      <c r="BM199" s="1499">
        <f t="shared" si="404"/>
        <v>1.113487704918033</v>
      </c>
      <c r="BN199" s="1499">
        <f t="shared" si="405"/>
        <v>0.41504999990000013</v>
      </c>
      <c r="BO199" s="1499">
        <f t="shared" si="406"/>
        <v>0.42608750000000017</v>
      </c>
      <c r="BP199" s="1499">
        <f t="shared" si="407"/>
        <v>0.47749583330000062</v>
      </c>
      <c r="BQ199" s="1499"/>
      <c r="BR199" s="1476"/>
      <c r="BS199" s="1477"/>
      <c r="BV199" s="1444"/>
      <c r="BW199" s="1443"/>
      <c r="BX199" s="1443"/>
      <c r="BY199" s="1443"/>
    </row>
    <row r="200" spans="2:77" ht="12.75" customHeight="1">
      <c r="B200" s="1549"/>
      <c r="C200" s="1775" t="s">
        <v>820</v>
      </c>
      <c r="D200" s="1737"/>
      <c r="E200" s="1737"/>
      <c r="F200" s="1741"/>
      <c r="G200" s="1718">
        <v>0.61162500000000009</v>
      </c>
      <c r="H200" s="1704">
        <v>0.34730158730158944</v>
      </c>
      <c r="I200" s="1704">
        <v>0.35659375000000004</v>
      </c>
      <c r="J200" s="1719">
        <v>1.4691538461538483</v>
      </c>
      <c r="K200" s="1718">
        <v>1.7646250000000014</v>
      </c>
      <c r="L200" s="1704">
        <v>0.28798437500000063</v>
      </c>
      <c r="M200" s="1704">
        <v>0.25414062500000068</v>
      </c>
      <c r="N200" s="1719">
        <v>0.24365079365079412</v>
      </c>
      <c r="O200" s="1718">
        <v>0.31452380952380965</v>
      </c>
      <c r="P200" s="1704">
        <v>0.1599206349206348</v>
      </c>
      <c r="Q200" s="1704">
        <v>0.16882539682539655</v>
      </c>
      <c r="R200" s="1704">
        <v>0.26892187499999887</v>
      </c>
      <c r="S200" s="1718">
        <v>0.819599999999999</v>
      </c>
      <c r="T200" s="1704">
        <v>0.11882812499999851</v>
      </c>
      <c r="U200" s="1704">
        <v>-1.3265625000001169E-2</v>
      </c>
      <c r="V200" s="1719">
        <v>0.14118750000000091</v>
      </c>
      <c r="W200" s="1819">
        <v>7.5181639344262283</v>
      </c>
      <c r="X200" s="1820">
        <v>-0.89420312500000065</v>
      </c>
      <c r="Y200" s="1820">
        <v>-1.4395156250000012</v>
      </c>
      <c r="Z200" s="1821">
        <v>-1.017578125</v>
      </c>
      <c r="AA200" s="1819">
        <v>3.554258064516127</v>
      </c>
      <c r="AB200" s="1820">
        <v>-1.1179206349206339</v>
      </c>
      <c r="AC200" s="1820">
        <v>-1.3916093749999998</v>
      </c>
      <c r="AD200" s="1821">
        <v>-0.84366666666666723</v>
      </c>
      <c r="AE200" s="1819">
        <v>-0.15401639344262286</v>
      </c>
      <c r="AF200" s="1643">
        <v>-0.55339062499999958</v>
      </c>
      <c r="AG200" s="1643">
        <v>-1.5273593749999999</v>
      </c>
      <c r="AH200" s="1642">
        <v>-0.79788709677419334</v>
      </c>
      <c r="AI200" s="1643">
        <v>-1.6838709677418517E-2</v>
      </c>
      <c r="AJ200" s="1643">
        <v>-0.56160937500000019</v>
      </c>
      <c r="AK200" s="1643">
        <v>-1.2109841269841268</v>
      </c>
      <c r="AL200" s="1642">
        <v>-0.13975806451612982</v>
      </c>
      <c r="AM200" s="1643">
        <v>3.4441967213114757</v>
      </c>
      <c r="AN200" s="1643">
        <v>-0.46333333333333293</v>
      </c>
      <c r="AO200" s="1643">
        <v>-0.59499999999999975</v>
      </c>
      <c r="AP200" s="1642">
        <v>-0.21666666666666679</v>
      </c>
      <c r="AQ200" s="1643">
        <v>0.74457975965344758</v>
      </c>
      <c r="AR200" s="1643">
        <v>-0.76430483819771866</v>
      </c>
      <c r="AS200" s="1643">
        <v>-0.78296558457066712</v>
      </c>
      <c r="AT200" s="1642">
        <v>0.8235214539149398</v>
      </c>
      <c r="AU200" s="1643">
        <v>0.64485745238273218</v>
      </c>
      <c r="AV200" s="1643">
        <v>-0.82982612063011629</v>
      </c>
      <c r="AW200" s="1643">
        <v>-0.84922019602346377</v>
      </c>
      <c r="AX200" s="1642">
        <v>0.71921711267084909</v>
      </c>
      <c r="AY200" s="1643">
        <v>0.64402689825038939</v>
      </c>
      <c r="AZ200" s="1643">
        <v>-0.85250267876937125</v>
      </c>
      <c r="BA200" s="1643">
        <v>-0.87232898455971686</v>
      </c>
      <c r="BB200" s="1905">
        <v>0.71913809827870034</v>
      </c>
      <c r="BC200" s="1489"/>
      <c r="BD200" s="1489"/>
      <c r="BE200" s="1489">
        <f t="shared" si="396"/>
        <v>0.69616854586385946</v>
      </c>
      <c r="BF200" s="1489">
        <f t="shared" si="397"/>
        <v>0.63760019841269922</v>
      </c>
      <c r="BG200" s="1489">
        <f t="shared" si="398"/>
        <v>0.22804792906745996</v>
      </c>
      <c r="BH200" s="1499">
        <f t="shared" si="399"/>
        <v>0.26658749999999931</v>
      </c>
      <c r="BI200" s="1499">
        <f t="shared" si="400"/>
        <v>1.0417167648565566</v>
      </c>
      <c r="BJ200" s="1499">
        <f t="shared" si="401"/>
        <v>5.0265346982206582E-2</v>
      </c>
      <c r="BK200" s="1499">
        <f t="shared" si="402"/>
        <v>-0.75816337255420385</v>
      </c>
      <c r="BL200" s="1499">
        <f t="shared" si="403"/>
        <v>-0.48229756904441884</v>
      </c>
      <c r="BM200" s="1499">
        <f t="shared" si="404"/>
        <v>0.54229918032786906</v>
      </c>
      <c r="BN200" s="1499">
        <f t="shared" si="405"/>
        <v>5.2076977000004021E-3</v>
      </c>
      <c r="BO200" s="1499">
        <f t="shared" si="406"/>
        <v>-7.8742937899999699E-2</v>
      </c>
      <c r="BP200" s="1499">
        <f t="shared" si="407"/>
        <v>-9.0416666699999593E-2</v>
      </c>
      <c r="BQ200" s="1499"/>
      <c r="BR200" s="1476"/>
      <c r="BS200" s="1477"/>
      <c r="BV200" s="1444"/>
      <c r="BW200" s="1443"/>
      <c r="BX200" s="1443"/>
      <c r="BY200" s="1443"/>
    </row>
    <row r="201" spans="2:77" ht="12.75" customHeight="1">
      <c r="B201" s="1549"/>
      <c r="C201" s="1775" t="s">
        <v>282</v>
      </c>
      <c r="D201" s="1737"/>
      <c r="E201" s="1737"/>
      <c r="F201" s="1741"/>
      <c r="G201" s="1718">
        <v>0.61162500000000009</v>
      </c>
      <c r="H201" s="1704">
        <v>0.34730158730158944</v>
      </c>
      <c r="I201" s="1704">
        <v>0.35659375000000004</v>
      </c>
      <c r="J201" s="1719">
        <v>1.4691538461538483</v>
      </c>
      <c r="K201" s="1718">
        <v>1.7646250000000014</v>
      </c>
      <c r="L201" s="1704">
        <v>0.28798437500000063</v>
      </c>
      <c r="M201" s="1704">
        <v>0.25414062500000068</v>
      </c>
      <c r="N201" s="1719">
        <v>0.24365079365079412</v>
      </c>
      <c r="O201" s="1718">
        <v>0.31452380952380965</v>
      </c>
      <c r="P201" s="1704">
        <v>0.1599206349206348</v>
      </c>
      <c r="Q201" s="1704">
        <v>0.16882539682539655</v>
      </c>
      <c r="R201" s="1704">
        <v>0.26892187499999887</v>
      </c>
      <c r="S201" s="1718">
        <v>0.819599999999999</v>
      </c>
      <c r="T201" s="1704">
        <v>0.11882812499999851</v>
      </c>
      <c r="U201" s="1704">
        <v>-1.3265625000001169E-2</v>
      </c>
      <c r="V201" s="1719">
        <v>0.14118750000000091</v>
      </c>
      <c r="W201" s="1819">
        <v>7.5181639344262283</v>
      </c>
      <c r="X201" s="1820">
        <v>-0.89420312500000065</v>
      </c>
      <c r="Y201" s="1820">
        <v>-1.4395156250000012</v>
      </c>
      <c r="Z201" s="1821">
        <v>-1.017578125</v>
      </c>
      <c r="AA201" s="1819">
        <v>3.554258064516127</v>
      </c>
      <c r="AB201" s="1820">
        <v>-1.1179206349206339</v>
      </c>
      <c r="AC201" s="1820">
        <v>-1.3916093749999998</v>
      </c>
      <c r="AD201" s="1821">
        <v>-0.84366666666666723</v>
      </c>
      <c r="AE201" s="1819">
        <v>-0.15401639344262286</v>
      </c>
      <c r="AF201" s="1643">
        <v>-0.55339062499999958</v>
      </c>
      <c r="AG201" s="1643">
        <v>-1.5273593749999999</v>
      </c>
      <c r="AH201" s="1642">
        <v>-0.79788709677419334</v>
      </c>
      <c r="AI201" s="1643">
        <v>-1.6838709677418517E-2</v>
      </c>
      <c r="AJ201" s="1643">
        <v>-0.56160937500000019</v>
      </c>
      <c r="AK201" s="1643">
        <v>-1.2109841269841268</v>
      </c>
      <c r="AL201" s="1642">
        <v>-0.13975806451612982</v>
      </c>
      <c r="AM201" s="1643">
        <v>3.4441967213114757</v>
      </c>
      <c r="AN201" s="1643">
        <v>-0.46333333333333293</v>
      </c>
      <c r="AO201" s="1643">
        <v>-0.59499999999999975</v>
      </c>
      <c r="AP201" s="1642">
        <v>-0.21666666666666679</v>
      </c>
      <c r="AQ201" s="1643">
        <v>0.74457975965344758</v>
      </c>
      <c r="AR201" s="1643">
        <v>-0.76430483819771866</v>
      </c>
      <c r="AS201" s="1643">
        <v>-0.78296558457066712</v>
      </c>
      <c r="AT201" s="1642">
        <v>0.8235214539149398</v>
      </c>
      <c r="AU201" s="1643">
        <v>0.64485745238273218</v>
      </c>
      <c r="AV201" s="1643">
        <v>-0.82982612063011629</v>
      </c>
      <c r="AW201" s="1643">
        <v>-0.84922019602346377</v>
      </c>
      <c r="AX201" s="1642">
        <v>0.71921711267084909</v>
      </c>
      <c r="AY201" s="1643">
        <v>0.64402689825038939</v>
      </c>
      <c r="AZ201" s="1643">
        <v>-0.85250267876937125</v>
      </c>
      <c r="BA201" s="1643">
        <v>-0.87232898455971686</v>
      </c>
      <c r="BB201" s="1905">
        <v>0.71913809827870034</v>
      </c>
      <c r="BC201" s="1489"/>
      <c r="BD201" s="1489"/>
      <c r="BE201" s="1489">
        <f t="shared" si="396"/>
        <v>0.69616854586385946</v>
      </c>
      <c r="BF201" s="1489">
        <f t="shared" si="397"/>
        <v>0.63760019841269922</v>
      </c>
      <c r="BG201" s="1489">
        <f t="shared" si="398"/>
        <v>0.22804792906745996</v>
      </c>
      <c r="BH201" s="1499">
        <f t="shared" si="399"/>
        <v>0.26658749999999931</v>
      </c>
      <c r="BI201" s="1499">
        <f t="shared" si="400"/>
        <v>1.0417167648565566</v>
      </c>
      <c r="BJ201" s="1499">
        <f t="shared" si="401"/>
        <v>5.0265346982206582E-2</v>
      </c>
      <c r="BK201" s="1499">
        <f t="shared" si="402"/>
        <v>-0.75816337255420385</v>
      </c>
      <c r="BL201" s="1499">
        <f t="shared" si="403"/>
        <v>-0.48229756904441884</v>
      </c>
      <c r="BM201" s="1499">
        <f t="shared" si="404"/>
        <v>0.54229918032786906</v>
      </c>
      <c r="BN201" s="1499">
        <f t="shared" si="405"/>
        <v>5.2076977000004021E-3</v>
      </c>
      <c r="BO201" s="1499">
        <f t="shared" si="406"/>
        <v>-7.8742937899999699E-2</v>
      </c>
      <c r="BP201" s="1499">
        <f t="shared" si="407"/>
        <v>-9.0416666699999593E-2</v>
      </c>
      <c r="BQ201" s="1499"/>
      <c r="BR201" s="1476"/>
      <c r="BS201" s="1477"/>
      <c r="BV201" s="1444"/>
      <c r="BW201" s="1443"/>
      <c r="BX201" s="1443"/>
      <c r="BY201" s="1443"/>
    </row>
    <row r="202" spans="2:77" ht="12.75" customHeight="1">
      <c r="B202" s="1549"/>
      <c r="C202" s="1773" t="s">
        <v>744</v>
      </c>
      <c r="D202" s="1729"/>
      <c r="E202" s="1729"/>
      <c r="F202" s="1738"/>
      <c r="G202" s="1718">
        <v>0.61162500000000009</v>
      </c>
      <c r="H202" s="1704">
        <v>0.34730158730158944</v>
      </c>
      <c r="I202" s="1704">
        <v>0.35659375000000004</v>
      </c>
      <c r="J202" s="1719">
        <v>1.4691538461538483</v>
      </c>
      <c r="K202" s="1718">
        <v>1.7646250000000014</v>
      </c>
      <c r="L202" s="1704">
        <v>0.28798437500000063</v>
      </c>
      <c r="M202" s="1704">
        <v>0.25414062500000068</v>
      </c>
      <c r="N202" s="1719">
        <v>0.24365079365079412</v>
      </c>
      <c r="O202" s="1718">
        <v>0.31452380952380965</v>
      </c>
      <c r="P202" s="1704">
        <v>0.1599206349206348</v>
      </c>
      <c r="Q202" s="1704">
        <v>0.16882539682539655</v>
      </c>
      <c r="R202" s="1704">
        <v>0.26892187499999887</v>
      </c>
      <c r="S202" s="1718">
        <v>0.819599999999999</v>
      </c>
      <c r="T202" s="1704">
        <v>0.11882812499999851</v>
      </c>
      <c r="U202" s="1704">
        <v>-1.3265625000001169E-2</v>
      </c>
      <c r="V202" s="1719">
        <v>0.14118750000000091</v>
      </c>
      <c r="W202" s="1819">
        <v>7.5181639344262283</v>
      </c>
      <c r="X202" s="1820">
        <v>-0.89420312500000065</v>
      </c>
      <c r="Y202" s="1820">
        <v>-1.4395156250000012</v>
      </c>
      <c r="Z202" s="1821">
        <v>-1.017578125</v>
      </c>
      <c r="AA202" s="1819">
        <v>3.554258064516127</v>
      </c>
      <c r="AB202" s="1820">
        <v>-1.1179206349206339</v>
      </c>
      <c r="AC202" s="1820">
        <v>-1.3916093749999998</v>
      </c>
      <c r="AD202" s="1821">
        <v>-0.84366666666666723</v>
      </c>
      <c r="AE202" s="1819">
        <v>-0.15401639344262286</v>
      </c>
      <c r="AF202" s="1643">
        <v>-0.55339062499999958</v>
      </c>
      <c r="AG202" s="1643">
        <v>-1.5273593749999999</v>
      </c>
      <c r="AH202" s="1642">
        <v>-0.79788709677419334</v>
      </c>
      <c r="AI202" s="1643">
        <v>-1.6838709677418517E-2</v>
      </c>
      <c r="AJ202" s="1643">
        <v>-0.56160937500000019</v>
      </c>
      <c r="AK202" s="1643">
        <v>-1.2109841269841268</v>
      </c>
      <c r="AL202" s="1642">
        <v>-0.13975806451612982</v>
      </c>
      <c r="AM202" s="1643">
        <v>3.4441967213114757</v>
      </c>
      <c r="AN202" s="1643">
        <v>0</v>
      </c>
      <c r="AO202" s="1643">
        <v>0</v>
      </c>
      <c r="AP202" s="1642">
        <v>0</v>
      </c>
      <c r="AQ202" s="1643">
        <v>0</v>
      </c>
      <c r="AR202" s="1643">
        <v>0</v>
      </c>
      <c r="AS202" s="1643">
        <v>0</v>
      </c>
      <c r="AT202" s="1642">
        <v>0</v>
      </c>
      <c r="AU202" s="1643">
        <v>0</v>
      </c>
      <c r="AV202" s="1643">
        <v>0</v>
      </c>
      <c r="AW202" s="1643">
        <v>0</v>
      </c>
      <c r="AX202" s="1642">
        <v>0</v>
      </c>
      <c r="AY202" s="1643">
        <v>0</v>
      </c>
      <c r="AZ202" s="1643">
        <v>0</v>
      </c>
      <c r="BA202" s="1643">
        <v>0</v>
      </c>
      <c r="BB202" s="1905">
        <v>0</v>
      </c>
      <c r="BC202" s="1489"/>
      <c r="BD202" s="1489"/>
      <c r="BE202" s="1489">
        <f t="shared" si="396"/>
        <v>0.69616854586385946</v>
      </c>
      <c r="BF202" s="1489">
        <f t="shared" si="397"/>
        <v>0.63760019841269922</v>
      </c>
      <c r="BG202" s="1489">
        <f t="shared" si="398"/>
        <v>0.22804792906745996</v>
      </c>
      <c r="BH202" s="1499">
        <f t="shared" si="399"/>
        <v>0.26658749999999931</v>
      </c>
      <c r="BI202" s="1499">
        <f t="shared" si="400"/>
        <v>1.0417167648565566</v>
      </c>
      <c r="BJ202" s="1499">
        <f t="shared" si="401"/>
        <v>5.0265346982206582E-2</v>
      </c>
      <c r="BK202" s="1499">
        <f t="shared" si="402"/>
        <v>-0.75816337255420385</v>
      </c>
      <c r="BL202" s="1499">
        <f t="shared" si="403"/>
        <v>-0.48229756904441884</v>
      </c>
      <c r="BM202" s="1499">
        <f t="shared" si="404"/>
        <v>0.86104918032786892</v>
      </c>
      <c r="BN202" s="1499">
        <f t="shared" si="405"/>
        <v>0</v>
      </c>
      <c r="BO202" s="1499">
        <f t="shared" si="406"/>
        <v>0</v>
      </c>
      <c r="BP202" s="1499">
        <f t="shared" si="407"/>
        <v>0</v>
      </c>
      <c r="BQ202" s="1499"/>
      <c r="BR202" s="1476"/>
      <c r="BS202" s="1477"/>
      <c r="BV202" s="1444"/>
      <c r="BW202" s="1443"/>
      <c r="BX202" s="1443"/>
      <c r="BY202" s="1443"/>
    </row>
    <row r="203" spans="2:77" ht="12.75" customHeight="1">
      <c r="B203" s="1549"/>
      <c r="C203" s="1773" t="s">
        <v>436</v>
      </c>
      <c r="D203" s="1729"/>
      <c r="E203" s="1729"/>
      <c r="F203" s="1738"/>
      <c r="G203" s="1718">
        <v>0</v>
      </c>
      <c r="H203" s="1704">
        <v>0</v>
      </c>
      <c r="I203" s="1704">
        <v>0</v>
      </c>
      <c r="J203" s="1719">
        <v>0</v>
      </c>
      <c r="K203" s="1718">
        <v>0</v>
      </c>
      <c r="L203" s="1704">
        <v>0</v>
      </c>
      <c r="M203" s="1704">
        <v>0</v>
      </c>
      <c r="N203" s="1719">
        <v>0</v>
      </c>
      <c r="O203" s="1718">
        <v>0</v>
      </c>
      <c r="P203" s="1704">
        <v>0</v>
      </c>
      <c r="Q203" s="1704">
        <v>0</v>
      </c>
      <c r="R203" s="1704">
        <v>0</v>
      </c>
      <c r="S203" s="1718">
        <v>0</v>
      </c>
      <c r="T203" s="1704">
        <v>0</v>
      </c>
      <c r="U203" s="1704">
        <v>0</v>
      </c>
      <c r="V203" s="1719">
        <v>0</v>
      </c>
      <c r="W203" s="1819">
        <v>0</v>
      </c>
      <c r="X203" s="1820">
        <v>0</v>
      </c>
      <c r="Y203" s="1820">
        <v>0</v>
      </c>
      <c r="Z203" s="1821">
        <v>0</v>
      </c>
      <c r="AA203" s="1819">
        <v>0</v>
      </c>
      <c r="AB203" s="1820">
        <v>0</v>
      </c>
      <c r="AC203" s="1820">
        <v>0</v>
      </c>
      <c r="AD203" s="1821">
        <v>0</v>
      </c>
      <c r="AE203" s="1819">
        <v>0</v>
      </c>
      <c r="AF203" s="1643">
        <v>0</v>
      </c>
      <c r="AG203" s="1643">
        <v>0</v>
      </c>
      <c r="AH203" s="1642">
        <v>0</v>
      </c>
      <c r="AI203" s="1643">
        <v>0</v>
      </c>
      <c r="AJ203" s="1643">
        <v>0</v>
      </c>
      <c r="AK203" s="1643">
        <v>0</v>
      </c>
      <c r="AL203" s="1642">
        <v>0</v>
      </c>
      <c r="AM203" s="1643">
        <v>0</v>
      </c>
      <c r="AN203" s="1643">
        <v>0</v>
      </c>
      <c r="AO203" s="1643">
        <v>0</v>
      </c>
      <c r="AP203" s="1642">
        <v>0</v>
      </c>
      <c r="AQ203" s="1643">
        <v>0</v>
      </c>
      <c r="AR203" s="1643">
        <v>0</v>
      </c>
      <c r="AS203" s="1643">
        <v>0</v>
      </c>
      <c r="AT203" s="1642">
        <v>0</v>
      </c>
      <c r="AU203" s="1643">
        <v>0</v>
      </c>
      <c r="AV203" s="1643">
        <v>0</v>
      </c>
      <c r="AW203" s="1643">
        <v>0</v>
      </c>
      <c r="AX203" s="1642">
        <v>0</v>
      </c>
      <c r="AY203" s="1643">
        <v>0</v>
      </c>
      <c r="AZ203" s="1643">
        <v>0</v>
      </c>
      <c r="BA203" s="1643">
        <v>0</v>
      </c>
      <c r="BB203" s="1905">
        <v>0</v>
      </c>
      <c r="BC203" s="1489"/>
      <c r="BD203" s="1489"/>
      <c r="BE203" s="1489">
        <f t="shared" si="396"/>
        <v>0</v>
      </c>
      <c r="BF203" s="1489">
        <f t="shared" si="397"/>
        <v>0</v>
      </c>
      <c r="BG203" s="1489">
        <f t="shared" si="398"/>
        <v>0</v>
      </c>
      <c r="BH203" s="1499">
        <f t="shared" si="399"/>
        <v>0</v>
      </c>
      <c r="BI203" s="1499">
        <f t="shared" si="400"/>
        <v>0</v>
      </c>
      <c r="BJ203" s="1499">
        <f t="shared" si="401"/>
        <v>0</v>
      </c>
      <c r="BK203" s="1499">
        <f t="shared" si="402"/>
        <v>0</v>
      </c>
      <c r="BL203" s="1499">
        <f t="shared" si="403"/>
        <v>0</v>
      </c>
      <c r="BM203" s="1499">
        <f t="shared" si="404"/>
        <v>0</v>
      </c>
      <c r="BN203" s="1499">
        <f t="shared" si="405"/>
        <v>0</v>
      </c>
      <c r="BO203" s="1499">
        <f t="shared" si="406"/>
        <v>0</v>
      </c>
      <c r="BP203" s="1499">
        <f t="shared" si="407"/>
        <v>0</v>
      </c>
      <c r="BQ203" s="1499"/>
      <c r="BR203" s="1476"/>
      <c r="BS203" s="1477"/>
      <c r="BV203" s="1444"/>
      <c r="BW203" s="1443"/>
      <c r="BX203" s="1443"/>
      <c r="BY203" s="1443"/>
    </row>
    <row r="204" spans="2:77" ht="12.75" customHeight="1">
      <c r="B204" s="1549"/>
      <c r="C204" s="1773" t="s">
        <v>437</v>
      </c>
      <c r="D204" s="1729"/>
      <c r="E204" s="1729"/>
      <c r="F204" s="1738"/>
      <c r="G204" s="1718">
        <v>0</v>
      </c>
      <c r="H204" s="1704">
        <v>0</v>
      </c>
      <c r="I204" s="1704">
        <v>0</v>
      </c>
      <c r="J204" s="1719">
        <v>0</v>
      </c>
      <c r="K204" s="1718">
        <v>0</v>
      </c>
      <c r="L204" s="1704">
        <v>0</v>
      </c>
      <c r="M204" s="1704">
        <v>0</v>
      </c>
      <c r="N204" s="1719">
        <v>0</v>
      </c>
      <c r="O204" s="1718">
        <v>0</v>
      </c>
      <c r="P204" s="1704">
        <v>0</v>
      </c>
      <c r="Q204" s="1704">
        <v>0</v>
      </c>
      <c r="R204" s="1704">
        <v>0</v>
      </c>
      <c r="S204" s="1718">
        <v>0</v>
      </c>
      <c r="T204" s="1704">
        <v>0</v>
      </c>
      <c r="U204" s="1704">
        <v>0</v>
      </c>
      <c r="V204" s="1719">
        <v>0</v>
      </c>
      <c r="W204" s="1819">
        <v>0</v>
      </c>
      <c r="X204" s="1820">
        <v>0</v>
      </c>
      <c r="Y204" s="1820">
        <v>0</v>
      </c>
      <c r="Z204" s="1821">
        <v>0</v>
      </c>
      <c r="AA204" s="1819">
        <v>0</v>
      </c>
      <c r="AB204" s="1820">
        <v>0</v>
      </c>
      <c r="AC204" s="1820">
        <v>0</v>
      </c>
      <c r="AD204" s="1821">
        <v>0</v>
      </c>
      <c r="AE204" s="1819">
        <v>0</v>
      </c>
      <c r="AF204" s="1643">
        <v>0</v>
      </c>
      <c r="AG204" s="1643">
        <v>0</v>
      </c>
      <c r="AH204" s="1642">
        <v>0</v>
      </c>
      <c r="AI204" s="1643">
        <v>0</v>
      </c>
      <c r="AJ204" s="1643">
        <v>0</v>
      </c>
      <c r="AK204" s="1643">
        <v>0</v>
      </c>
      <c r="AL204" s="1642">
        <v>0</v>
      </c>
      <c r="AM204" s="1643">
        <v>0</v>
      </c>
      <c r="AN204" s="1643">
        <v>0</v>
      </c>
      <c r="AO204" s="1643">
        <v>0</v>
      </c>
      <c r="AP204" s="1642">
        <v>0</v>
      </c>
      <c r="AQ204" s="1643">
        <v>0</v>
      </c>
      <c r="AR204" s="1643">
        <v>0</v>
      </c>
      <c r="AS204" s="1643">
        <v>0</v>
      </c>
      <c r="AT204" s="1642">
        <v>0</v>
      </c>
      <c r="AU204" s="1643">
        <v>0</v>
      </c>
      <c r="AV204" s="1643">
        <v>0</v>
      </c>
      <c r="AW204" s="1643">
        <v>0</v>
      </c>
      <c r="AX204" s="1642">
        <v>0</v>
      </c>
      <c r="AY204" s="1643">
        <v>0</v>
      </c>
      <c r="AZ204" s="1643">
        <v>0</v>
      </c>
      <c r="BA204" s="1643">
        <v>0</v>
      </c>
      <c r="BB204" s="1905">
        <v>0</v>
      </c>
      <c r="BC204" s="1489"/>
      <c r="BD204" s="1489"/>
      <c r="BE204" s="1489">
        <f t="shared" si="396"/>
        <v>0</v>
      </c>
      <c r="BF204" s="1489">
        <f t="shared" si="397"/>
        <v>0</v>
      </c>
      <c r="BG204" s="1489">
        <f t="shared" si="398"/>
        <v>0</v>
      </c>
      <c r="BH204" s="1499">
        <f t="shared" si="399"/>
        <v>0</v>
      </c>
      <c r="BI204" s="1499">
        <f t="shared" si="400"/>
        <v>0</v>
      </c>
      <c r="BJ204" s="1499">
        <f t="shared" si="401"/>
        <v>0</v>
      </c>
      <c r="BK204" s="1499">
        <f t="shared" si="402"/>
        <v>0</v>
      </c>
      <c r="BL204" s="1499">
        <f t="shared" si="403"/>
        <v>0</v>
      </c>
      <c r="BM204" s="1499">
        <f t="shared" si="404"/>
        <v>0</v>
      </c>
      <c r="BN204" s="1499">
        <f t="shared" si="405"/>
        <v>0</v>
      </c>
      <c r="BO204" s="1499">
        <f t="shared" si="406"/>
        <v>0</v>
      </c>
      <c r="BP204" s="1499">
        <f t="shared" si="407"/>
        <v>0</v>
      </c>
      <c r="BQ204" s="1499"/>
      <c r="BR204" s="1476"/>
      <c r="BS204" s="1477"/>
      <c r="BV204" s="1444"/>
      <c r="BW204" s="1443"/>
      <c r="BX204" s="1443"/>
      <c r="BY204" s="1443"/>
    </row>
    <row r="205" spans="2:77" ht="12.75" customHeight="1">
      <c r="B205" s="1549"/>
      <c r="C205" s="1773" t="s">
        <v>438</v>
      </c>
      <c r="D205" s="1729"/>
      <c r="E205" s="1729"/>
      <c r="F205" s="1738"/>
      <c r="G205" s="1718">
        <v>0</v>
      </c>
      <c r="H205" s="1704">
        <v>0</v>
      </c>
      <c r="I205" s="1704">
        <v>0</v>
      </c>
      <c r="J205" s="1719">
        <v>0</v>
      </c>
      <c r="K205" s="1718">
        <v>0</v>
      </c>
      <c r="L205" s="1704">
        <v>0</v>
      </c>
      <c r="M205" s="1704">
        <v>0</v>
      </c>
      <c r="N205" s="1719">
        <v>0</v>
      </c>
      <c r="O205" s="1718">
        <v>0</v>
      </c>
      <c r="P205" s="1704">
        <v>0</v>
      </c>
      <c r="Q205" s="1704">
        <v>0</v>
      </c>
      <c r="R205" s="1704">
        <v>0</v>
      </c>
      <c r="S205" s="1718">
        <v>0</v>
      </c>
      <c r="T205" s="1704">
        <v>0</v>
      </c>
      <c r="U205" s="1704">
        <v>0</v>
      </c>
      <c r="V205" s="1719">
        <v>0</v>
      </c>
      <c r="W205" s="1819">
        <v>0</v>
      </c>
      <c r="X205" s="1820">
        <v>0</v>
      </c>
      <c r="Y205" s="1820">
        <v>0</v>
      </c>
      <c r="Z205" s="1821">
        <v>0</v>
      </c>
      <c r="AA205" s="1819">
        <v>0</v>
      </c>
      <c r="AB205" s="1820">
        <v>0</v>
      </c>
      <c r="AC205" s="1820">
        <v>0</v>
      </c>
      <c r="AD205" s="1821">
        <v>0</v>
      </c>
      <c r="AE205" s="1819">
        <v>0</v>
      </c>
      <c r="AF205" s="1643">
        <v>0</v>
      </c>
      <c r="AG205" s="1643">
        <v>0</v>
      </c>
      <c r="AH205" s="1642">
        <v>0</v>
      </c>
      <c r="AI205" s="1643">
        <v>0</v>
      </c>
      <c r="AJ205" s="1643">
        <v>0</v>
      </c>
      <c r="AK205" s="1643">
        <v>0</v>
      </c>
      <c r="AL205" s="1642">
        <v>0</v>
      </c>
      <c r="AM205" s="1643">
        <v>0</v>
      </c>
      <c r="AN205" s="1643">
        <v>0</v>
      </c>
      <c r="AO205" s="1643">
        <v>0</v>
      </c>
      <c r="AP205" s="1642">
        <v>0</v>
      </c>
      <c r="AQ205" s="1643">
        <v>0</v>
      </c>
      <c r="AR205" s="1643">
        <v>0</v>
      </c>
      <c r="AS205" s="1643">
        <v>0</v>
      </c>
      <c r="AT205" s="1642">
        <v>0</v>
      </c>
      <c r="AU205" s="1643">
        <v>0</v>
      </c>
      <c r="AV205" s="1643">
        <v>0</v>
      </c>
      <c r="AW205" s="1643">
        <v>0</v>
      </c>
      <c r="AX205" s="1642">
        <v>0</v>
      </c>
      <c r="AY205" s="1643">
        <v>0</v>
      </c>
      <c r="AZ205" s="1643">
        <v>0</v>
      </c>
      <c r="BA205" s="1643">
        <v>0</v>
      </c>
      <c r="BB205" s="1905">
        <v>0</v>
      </c>
      <c r="BC205" s="1489"/>
      <c r="BD205" s="1489"/>
      <c r="BE205" s="1489">
        <f t="shared" si="396"/>
        <v>0</v>
      </c>
      <c r="BF205" s="1489">
        <f t="shared" si="397"/>
        <v>0</v>
      </c>
      <c r="BG205" s="1489">
        <f t="shared" si="398"/>
        <v>0</v>
      </c>
      <c r="BH205" s="1499">
        <f t="shared" si="399"/>
        <v>0</v>
      </c>
      <c r="BI205" s="1499">
        <f t="shared" si="400"/>
        <v>0</v>
      </c>
      <c r="BJ205" s="1499">
        <f t="shared" si="401"/>
        <v>0</v>
      </c>
      <c r="BK205" s="1499">
        <f t="shared" si="402"/>
        <v>0</v>
      </c>
      <c r="BL205" s="1499">
        <f t="shared" si="403"/>
        <v>0</v>
      </c>
      <c r="BM205" s="1499">
        <f t="shared" si="404"/>
        <v>0</v>
      </c>
      <c r="BN205" s="1499">
        <f t="shared" si="405"/>
        <v>0</v>
      </c>
      <c r="BO205" s="1499">
        <f t="shared" si="406"/>
        <v>0</v>
      </c>
      <c r="BP205" s="1499">
        <f t="shared" si="407"/>
        <v>0</v>
      </c>
      <c r="BQ205" s="1499"/>
      <c r="BR205" s="1476"/>
      <c r="BS205" s="1477"/>
      <c r="BV205" s="1444"/>
      <c r="BW205" s="1443"/>
      <c r="BX205" s="1443"/>
      <c r="BY205" s="1443"/>
    </row>
    <row r="206" spans="2:77" ht="12.75" customHeight="1">
      <c r="B206" s="1549"/>
      <c r="C206" s="1773" t="s">
        <v>439</v>
      </c>
      <c r="D206" s="1729"/>
      <c r="E206" s="1729"/>
      <c r="F206" s="1738"/>
      <c r="G206" s="1718">
        <v>0</v>
      </c>
      <c r="H206" s="1704">
        <v>0</v>
      </c>
      <c r="I206" s="1704">
        <v>0</v>
      </c>
      <c r="J206" s="1719">
        <v>0</v>
      </c>
      <c r="K206" s="1718">
        <v>0</v>
      </c>
      <c r="L206" s="1704">
        <v>0</v>
      </c>
      <c r="M206" s="1704">
        <v>0</v>
      </c>
      <c r="N206" s="1719">
        <v>0</v>
      </c>
      <c r="O206" s="1718">
        <v>0</v>
      </c>
      <c r="P206" s="1704">
        <v>0</v>
      </c>
      <c r="Q206" s="1704">
        <v>0</v>
      </c>
      <c r="R206" s="1704">
        <v>0</v>
      </c>
      <c r="S206" s="1718">
        <v>0</v>
      </c>
      <c r="T206" s="1704">
        <v>0</v>
      </c>
      <c r="U206" s="1704">
        <v>0</v>
      </c>
      <c r="V206" s="1719">
        <v>0</v>
      </c>
      <c r="W206" s="1819">
        <v>0</v>
      </c>
      <c r="X206" s="1820">
        <v>0</v>
      </c>
      <c r="Y206" s="1820">
        <v>0</v>
      </c>
      <c r="Z206" s="1821">
        <v>0</v>
      </c>
      <c r="AA206" s="1819">
        <v>0</v>
      </c>
      <c r="AB206" s="1820">
        <v>0</v>
      </c>
      <c r="AC206" s="1820">
        <v>0</v>
      </c>
      <c r="AD206" s="1821">
        <v>0</v>
      </c>
      <c r="AE206" s="1819">
        <v>0</v>
      </c>
      <c r="AF206" s="1643">
        <v>0</v>
      </c>
      <c r="AG206" s="1643">
        <v>0</v>
      </c>
      <c r="AH206" s="1642">
        <v>0</v>
      </c>
      <c r="AI206" s="1643">
        <v>0</v>
      </c>
      <c r="AJ206" s="1643">
        <v>0</v>
      </c>
      <c r="AK206" s="1643">
        <v>0</v>
      </c>
      <c r="AL206" s="1642">
        <v>0</v>
      </c>
      <c r="AM206" s="1643">
        <v>0</v>
      </c>
      <c r="AN206" s="1643">
        <v>0</v>
      </c>
      <c r="AO206" s="1643">
        <v>0</v>
      </c>
      <c r="AP206" s="1642">
        <v>0</v>
      </c>
      <c r="AQ206" s="1643">
        <v>0</v>
      </c>
      <c r="AR206" s="1643">
        <v>0</v>
      </c>
      <c r="AS206" s="1643">
        <v>0</v>
      </c>
      <c r="AT206" s="1642">
        <v>0</v>
      </c>
      <c r="AU206" s="1643">
        <v>0</v>
      </c>
      <c r="AV206" s="1643">
        <v>0</v>
      </c>
      <c r="AW206" s="1643">
        <v>0</v>
      </c>
      <c r="AX206" s="1642">
        <v>0</v>
      </c>
      <c r="AY206" s="1643">
        <v>0</v>
      </c>
      <c r="AZ206" s="1643">
        <v>0</v>
      </c>
      <c r="BA206" s="1643">
        <v>0</v>
      </c>
      <c r="BB206" s="1905">
        <v>0</v>
      </c>
      <c r="BC206" s="1489"/>
      <c r="BD206" s="1489"/>
      <c r="BE206" s="1489">
        <f t="shared" si="396"/>
        <v>0</v>
      </c>
      <c r="BF206" s="1489">
        <f t="shared" si="397"/>
        <v>0</v>
      </c>
      <c r="BG206" s="1489">
        <f t="shared" si="398"/>
        <v>0</v>
      </c>
      <c r="BH206" s="1499">
        <f t="shared" si="399"/>
        <v>0</v>
      </c>
      <c r="BI206" s="1499">
        <f t="shared" si="400"/>
        <v>0</v>
      </c>
      <c r="BJ206" s="1499">
        <f t="shared" si="401"/>
        <v>0</v>
      </c>
      <c r="BK206" s="1499">
        <f t="shared" si="402"/>
        <v>0</v>
      </c>
      <c r="BL206" s="1499">
        <f t="shared" si="403"/>
        <v>0</v>
      </c>
      <c r="BM206" s="1499">
        <f t="shared" si="404"/>
        <v>0</v>
      </c>
      <c r="BN206" s="1499">
        <f t="shared" si="405"/>
        <v>0</v>
      </c>
      <c r="BO206" s="1499">
        <f t="shared" si="406"/>
        <v>0</v>
      </c>
      <c r="BP206" s="1499">
        <f t="shared" si="407"/>
        <v>0</v>
      </c>
      <c r="BQ206" s="1499"/>
      <c r="BR206" s="1476"/>
      <c r="BS206" s="1477"/>
      <c r="BV206" s="1444"/>
      <c r="BW206" s="1443"/>
      <c r="BX206" s="1443"/>
      <c r="BY206" s="1443"/>
    </row>
    <row r="207" spans="2:77" ht="12.75" customHeight="1">
      <c r="B207" s="1549"/>
      <c r="C207" s="1773" t="s">
        <v>440</v>
      </c>
      <c r="D207" s="1729"/>
      <c r="E207" s="1729"/>
      <c r="F207" s="1738"/>
      <c r="G207" s="1718">
        <v>0</v>
      </c>
      <c r="H207" s="1704">
        <v>0</v>
      </c>
      <c r="I207" s="1704">
        <v>0</v>
      </c>
      <c r="J207" s="1719">
        <v>0</v>
      </c>
      <c r="K207" s="1718">
        <v>0</v>
      </c>
      <c r="L207" s="1704">
        <v>0</v>
      </c>
      <c r="M207" s="1704">
        <v>0</v>
      </c>
      <c r="N207" s="1719">
        <v>0</v>
      </c>
      <c r="O207" s="1718">
        <v>0</v>
      </c>
      <c r="P207" s="1704">
        <v>0</v>
      </c>
      <c r="Q207" s="1704">
        <v>0</v>
      </c>
      <c r="R207" s="1704">
        <v>0</v>
      </c>
      <c r="S207" s="1718">
        <v>0</v>
      </c>
      <c r="T207" s="1704">
        <v>0</v>
      </c>
      <c r="U207" s="1704">
        <v>0</v>
      </c>
      <c r="V207" s="1719">
        <v>0</v>
      </c>
      <c r="W207" s="1819">
        <v>0</v>
      </c>
      <c r="X207" s="1820">
        <v>0</v>
      </c>
      <c r="Y207" s="1820">
        <v>0</v>
      </c>
      <c r="Z207" s="1821">
        <v>0</v>
      </c>
      <c r="AA207" s="1819">
        <v>0</v>
      </c>
      <c r="AB207" s="1820">
        <v>0</v>
      </c>
      <c r="AC207" s="1820">
        <v>0</v>
      </c>
      <c r="AD207" s="1821">
        <v>0</v>
      </c>
      <c r="AE207" s="1819">
        <v>0</v>
      </c>
      <c r="AF207" s="1643">
        <v>0</v>
      </c>
      <c r="AG207" s="1643">
        <v>0</v>
      </c>
      <c r="AH207" s="1642">
        <v>0</v>
      </c>
      <c r="AI207" s="1643">
        <v>0</v>
      </c>
      <c r="AJ207" s="1643">
        <v>0</v>
      </c>
      <c r="AK207" s="1643">
        <v>0</v>
      </c>
      <c r="AL207" s="1642">
        <v>0</v>
      </c>
      <c r="AM207" s="1643">
        <v>0</v>
      </c>
      <c r="AN207" s="1643">
        <v>0</v>
      </c>
      <c r="AO207" s="1643">
        <v>0</v>
      </c>
      <c r="AP207" s="1642">
        <v>0</v>
      </c>
      <c r="AQ207" s="1643">
        <v>0</v>
      </c>
      <c r="AR207" s="1643">
        <v>0</v>
      </c>
      <c r="AS207" s="1643">
        <v>0</v>
      </c>
      <c r="AT207" s="1642">
        <v>0</v>
      </c>
      <c r="AU207" s="1643">
        <v>0</v>
      </c>
      <c r="AV207" s="1643">
        <v>0</v>
      </c>
      <c r="AW207" s="1643">
        <v>0</v>
      </c>
      <c r="AX207" s="1642">
        <v>0</v>
      </c>
      <c r="AY207" s="1643">
        <v>0</v>
      </c>
      <c r="AZ207" s="1643">
        <v>0</v>
      </c>
      <c r="BA207" s="1643">
        <v>0</v>
      </c>
      <c r="BB207" s="1905">
        <v>0</v>
      </c>
      <c r="BC207" s="1489"/>
      <c r="BD207" s="1489"/>
      <c r="BE207" s="1489">
        <f t="shared" si="396"/>
        <v>0</v>
      </c>
      <c r="BF207" s="1489">
        <f t="shared" si="397"/>
        <v>0</v>
      </c>
      <c r="BG207" s="1489">
        <f t="shared" si="398"/>
        <v>0</v>
      </c>
      <c r="BH207" s="1499">
        <f t="shared" si="399"/>
        <v>0</v>
      </c>
      <c r="BI207" s="1499">
        <f t="shared" si="400"/>
        <v>0</v>
      </c>
      <c r="BJ207" s="1499">
        <f t="shared" si="401"/>
        <v>0</v>
      </c>
      <c r="BK207" s="1499">
        <f t="shared" si="402"/>
        <v>0</v>
      </c>
      <c r="BL207" s="1499">
        <f t="shared" si="403"/>
        <v>0</v>
      </c>
      <c r="BM207" s="1499">
        <f t="shared" si="404"/>
        <v>0</v>
      </c>
      <c r="BN207" s="1499">
        <f t="shared" si="405"/>
        <v>0</v>
      </c>
      <c r="BO207" s="1499">
        <f t="shared" si="406"/>
        <v>0</v>
      </c>
      <c r="BP207" s="1499">
        <f t="shared" si="407"/>
        <v>0</v>
      </c>
      <c r="BQ207" s="1499"/>
      <c r="BR207" s="1476"/>
      <c r="BS207" s="1477"/>
      <c r="BV207" s="1444"/>
      <c r="BW207" s="1443"/>
      <c r="BX207" s="1443"/>
      <c r="BY207" s="1443"/>
    </row>
    <row r="208" spans="2:77" ht="12.75" customHeight="1">
      <c r="B208" s="1549"/>
      <c r="C208" s="1773" t="s">
        <v>441</v>
      </c>
      <c r="D208" s="1729"/>
      <c r="E208" s="1729"/>
      <c r="F208" s="1738"/>
      <c r="G208" s="1718">
        <v>0.12785416666666727</v>
      </c>
      <c r="H208" s="1704">
        <v>-0.1638730158730155</v>
      </c>
      <c r="I208" s="1704">
        <v>-0.31553124999999982</v>
      </c>
      <c r="J208" s="1719">
        <v>2.7430769230770924E-2</v>
      </c>
      <c r="K208" s="1718">
        <v>-4.0562500000001833E-2</v>
      </c>
      <c r="L208" s="1704">
        <v>2.5078125000001172E-2</v>
      </c>
      <c r="M208" s="1704">
        <v>0.14203125000000227</v>
      </c>
      <c r="N208" s="1719">
        <v>0.29906349206349114</v>
      </c>
      <c r="O208" s="1718">
        <v>0.31830158730158775</v>
      </c>
      <c r="P208" s="1704">
        <v>0.28319047619047666</v>
      </c>
      <c r="Q208" s="1704">
        <v>0.20952380952380834</v>
      </c>
      <c r="R208" s="1704">
        <v>0.32709374999999907</v>
      </c>
      <c r="S208" s="1718">
        <v>0.26973333333333294</v>
      </c>
      <c r="T208" s="1704">
        <v>0.15754687499999775</v>
      </c>
      <c r="U208" s="1704">
        <v>0.23087499999999972</v>
      </c>
      <c r="V208" s="1719">
        <v>0.29959375000000188</v>
      </c>
      <c r="W208" s="1819">
        <v>0.30404918032786998</v>
      </c>
      <c r="X208" s="1820">
        <v>0.30642187499999984</v>
      </c>
      <c r="Y208" s="1820">
        <v>0.50754687499999829</v>
      </c>
      <c r="Z208" s="1821">
        <v>0.25204687500000134</v>
      </c>
      <c r="AA208" s="1819">
        <v>-3.7548387096775215E-2</v>
      </c>
      <c r="AB208" s="1820">
        <v>6.8507936507938183E-2</v>
      </c>
      <c r="AC208" s="1820">
        <v>0.26343749999999932</v>
      </c>
      <c r="AD208" s="1821">
        <v>0.35907936507936444</v>
      </c>
      <c r="AE208" s="1819">
        <v>0.10468852459016342</v>
      </c>
      <c r="AF208" s="1643">
        <v>7.9562500000000203E-2</v>
      </c>
      <c r="AG208" s="1643">
        <v>3.6515625000000718E-2</v>
      </c>
      <c r="AH208" s="1642">
        <v>4.9693548387096609E-2</v>
      </c>
      <c r="AI208" s="1643">
        <v>0.15672580645161371</v>
      </c>
      <c r="AJ208" s="1643">
        <v>0.10859375000000027</v>
      </c>
      <c r="AK208" s="1643">
        <v>0.25880952380952404</v>
      </c>
      <c r="AL208" s="1642">
        <v>1.4901290322580647</v>
      </c>
      <c r="AM208" s="1643">
        <v>0.7802950819672132</v>
      </c>
      <c r="AN208" s="1643">
        <v>-0.66499999999999959</v>
      </c>
      <c r="AO208" s="1643">
        <v>-0.37199999999999989</v>
      </c>
      <c r="AP208" s="1642">
        <v>-0.49500000000000055</v>
      </c>
      <c r="AQ208" s="1643">
        <v>-0.30713417480557936</v>
      </c>
      <c r="AR208" s="1643">
        <v>-0.75064523540322092</v>
      </c>
      <c r="AS208" s="1643">
        <v>-0.53237727470099783</v>
      </c>
      <c r="AT208" s="1642">
        <v>-0.20050998189020053</v>
      </c>
      <c r="AU208" s="1643">
        <v>-0.26491667997570767</v>
      </c>
      <c r="AV208" s="1643">
        <v>-0.72952134616272168</v>
      </c>
      <c r="AW208" s="1643">
        <v>-0.50344822491097485</v>
      </c>
      <c r="AX208" s="1642">
        <v>-0.15278041575059387</v>
      </c>
      <c r="AY208" s="1643">
        <v>-0.18976284925876685</v>
      </c>
      <c r="AZ208" s="1643">
        <v>-0.6882236801665047</v>
      </c>
      <c r="BA208" s="1643">
        <v>-0.44995803943269674</v>
      </c>
      <c r="BB208" s="1905">
        <v>-6.8722097942030214E-2</v>
      </c>
      <c r="BC208" s="1489"/>
      <c r="BD208" s="1489"/>
      <c r="BE208" s="1489">
        <f t="shared" si="396"/>
        <v>-8.1029832493894283E-2</v>
      </c>
      <c r="BF208" s="1489">
        <f t="shared" si="397"/>
        <v>0.10640259176587319</v>
      </c>
      <c r="BG208" s="1489">
        <f t="shared" si="398"/>
        <v>0.28452740575396795</v>
      </c>
      <c r="BH208" s="1499">
        <f t="shared" si="399"/>
        <v>0.23943723958333307</v>
      </c>
      <c r="BI208" s="1499">
        <f t="shared" si="400"/>
        <v>0.34251620133196736</v>
      </c>
      <c r="BJ208" s="1499">
        <f t="shared" si="401"/>
        <v>0.16336910362263168</v>
      </c>
      <c r="BK208" s="1499">
        <f t="shared" si="402"/>
        <v>6.7615049494315238E-2</v>
      </c>
      <c r="BL208" s="1499">
        <f t="shared" si="403"/>
        <v>0.50356452812980068</v>
      </c>
      <c r="BM208" s="1499">
        <f t="shared" si="404"/>
        <v>-0.18792622950819671</v>
      </c>
      <c r="BN208" s="1499">
        <f t="shared" si="405"/>
        <v>-0.44766666669999966</v>
      </c>
      <c r="BO208" s="1499">
        <f t="shared" si="406"/>
        <v>-0.41266666669999952</v>
      </c>
      <c r="BP208" s="1499">
        <f t="shared" si="407"/>
        <v>-0.34916666669999963</v>
      </c>
      <c r="BQ208" s="1499"/>
      <c r="BR208" s="1476"/>
      <c r="BS208" s="1477"/>
      <c r="BV208" s="1444"/>
      <c r="BW208" s="1443"/>
      <c r="BX208" s="1443"/>
      <c r="BY208" s="1443"/>
    </row>
    <row r="209" spans="2:77" ht="12.75" customHeight="1">
      <c r="B209" s="1549"/>
      <c r="C209" s="1773" t="s">
        <v>442</v>
      </c>
      <c r="D209" s="1729"/>
      <c r="E209" s="1729"/>
      <c r="F209" s="1738"/>
      <c r="G209" s="1718">
        <v>0.12785416666666727</v>
      </c>
      <c r="H209" s="1704">
        <v>-0.1638730158730155</v>
      </c>
      <c r="I209" s="1704">
        <v>-0.31553124999999982</v>
      </c>
      <c r="J209" s="1719">
        <v>2.7430769230770924E-2</v>
      </c>
      <c r="K209" s="1718">
        <v>-4.0562500000001833E-2</v>
      </c>
      <c r="L209" s="1704">
        <v>2.5078125000001172E-2</v>
      </c>
      <c r="M209" s="1704">
        <v>0.14203125000000227</v>
      </c>
      <c r="N209" s="1719">
        <v>0.29906349206349114</v>
      </c>
      <c r="O209" s="1718">
        <v>0.31830158730158775</v>
      </c>
      <c r="P209" s="1704">
        <v>0.28319047619047666</v>
      </c>
      <c r="Q209" s="1704">
        <v>0.20952380952380834</v>
      </c>
      <c r="R209" s="1704">
        <v>0.32709374999999907</v>
      </c>
      <c r="S209" s="1718">
        <v>0.26973333333333294</v>
      </c>
      <c r="T209" s="1704">
        <v>0.15754687499999775</v>
      </c>
      <c r="U209" s="1704">
        <v>0.23087499999999972</v>
      </c>
      <c r="V209" s="1719">
        <v>0.29959375000000188</v>
      </c>
      <c r="W209" s="1819">
        <v>0.30404918032786998</v>
      </c>
      <c r="X209" s="1820">
        <v>0.30642187499999984</v>
      </c>
      <c r="Y209" s="1820">
        <v>0.50754687499999829</v>
      </c>
      <c r="Z209" s="1821">
        <v>0.25204687500000134</v>
      </c>
      <c r="AA209" s="1819">
        <v>-3.7548387096775215E-2</v>
      </c>
      <c r="AB209" s="1820">
        <v>6.8507936507938183E-2</v>
      </c>
      <c r="AC209" s="1820">
        <v>0.26343749999999932</v>
      </c>
      <c r="AD209" s="1821">
        <v>0.35907936507936444</v>
      </c>
      <c r="AE209" s="1819">
        <v>0.10468852459016342</v>
      </c>
      <c r="AF209" s="1643">
        <v>7.9562500000000203E-2</v>
      </c>
      <c r="AG209" s="1643">
        <v>3.6515625000000718E-2</v>
      </c>
      <c r="AH209" s="1642">
        <v>4.9693548387096609E-2</v>
      </c>
      <c r="AI209" s="1643">
        <v>0.15672580645161371</v>
      </c>
      <c r="AJ209" s="1643">
        <v>0.10859375000000027</v>
      </c>
      <c r="AK209" s="1643">
        <v>0.25880952380952404</v>
      </c>
      <c r="AL209" s="1642">
        <v>1.4901290322580647</v>
      </c>
      <c r="AM209" s="1643">
        <v>0.7802950819672132</v>
      </c>
      <c r="AN209" s="1643">
        <v>-0.66499999999999959</v>
      </c>
      <c r="AO209" s="1643">
        <v>-0.37199999999999989</v>
      </c>
      <c r="AP209" s="1642">
        <v>-0.49500000000000055</v>
      </c>
      <c r="AQ209" s="1643">
        <v>-0.30713417480557936</v>
      </c>
      <c r="AR209" s="1643">
        <v>-0.75064523540322092</v>
      </c>
      <c r="AS209" s="1643">
        <v>-0.53237727470099783</v>
      </c>
      <c r="AT209" s="1642">
        <v>-0.20050998189020053</v>
      </c>
      <c r="AU209" s="1643">
        <v>-0.26491667997570767</v>
      </c>
      <c r="AV209" s="1643">
        <v>-0.72952134616272168</v>
      </c>
      <c r="AW209" s="1643">
        <v>-0.50344822491097485</v>
      </c>
      <c r="AX209" s="1642">
        <v>-0.15278041575059387</v>
      </c>
      <c r="AY209" s="1643">
        <v>-0.18976284925876685</v>
      </c>
      <c r="AZ209" s="1643">
        <v>-0.6882236801665047</v>
      </c>
      <c r="BA209" s="1643">
        <v>-0.44995803943269674</v>
      </c>
      <c r="BB209" s="1905">
        <v>-6.8722097942030214E-2</v>
      </c>
      <c r="BC209" s="1489"/>
      <c r="BD209" s="1489"/>
      <c r="BE209" s="1489">
        <f t="shared" si="396"/>
        <v>-8.1029832493894283E-2</v>
      </c>
      <c r="BF209" s="1489">
        <f t="shared" si="397"/>
        <v>0.10640259176587319</v>
      </c>
      <c r="BG209" s="1489">
        <f t="shared" si="398"/>
        <v>0.28452740575396795</v>
      </c>
      <c r="BH209" s="1499">
        <f t="shared" si="399"/>
        <v>0.23943723958333307</v>
      </c>
      <c r="BI209" s="1499">
        <f t="shared" si="400"/>
        <v>0.34251620133196736</v>
      </c>
      <c r="BJ209" s="1499">
        <f t="shared" si="401"/>
        <v>0.16336910362263168</v>
      </c>
      <c r="BK209" s="1499">
        <f t="shared" si="402"/>
        <v>6.7615049494315238E-2</v>
      </c>
      <c r="BL209" s="1499">
        <f t="shared" si="403"/>
        <v>0.50356452812980068</v>
      </c>
      <c r="BM209" s="1499">
        <f t="shared" si="404"/>
        <v>-0.18792622950819671</v>
      </c>
      <c r="BN209" s="1499">
        <f t="shared" si="405"/>
        <v>-0.44766666669999966</v>
      </c>
      <c r="BO209" s="1499">
        <f t="shared" si="406"/>
        <v>-0.41266666669999952</v>
      </c>
      <c r="BP209" s="1499">
        <f t="shared" si="407"/>
        <v>-0.34916666669999963</v>
      </c>
      <c r="BQ209" s="1499"/>
      <c r="BR209" s="1476"/>
      <c r="BS209" s="1477"/>
      <c r="BV209" s="1444"/>
      <c r="BW209" s="1443"/>
      <c r="BX209" s="1443"/>
      <c r="BY209" s="1443"/>
    </row>
    <row r="210" spans="2:77" ht="12.75" customHeight="1">
      <c r="B210" s="1549"/>
      <c r="C210" s="1773" t="s">
        <v>443</v>
      </c>
      <c r="D210" s="1729"/>
      <c r="E210" s="1729"/>
      <c r="F210" s="1738"/>
      <c r="G210" s="1718">
        <v>0.12785416666666727</v>
      </c>
      <c r="H210" s="1704">
        <v>-0.1638730158730155</v>
      </c>
      <c r="I210" s="1704">
        <v>-0.31553124999999982</v>
      </c>
      <c r="J210" s="1719">
        <v>2.7430769230770924E-2</v>
      </c>
      <c r="K210" s="1718">
        <v>-4.0562500000001833E-2</v>
      </c>
      <c r="L210" s="1704">
        <v>2.5078125000001172E-2</v>
      </c>
      <c r="M210" s="1704">
        <v>0.14203125000000227</v>
      </c>
      <c r="N210" s="1719">
        <v>0.29906349206349114</v>
      </c>
      <c r="O210" s="1718">
        <v>0.31830158730158775</v>
      </c>
      <c r="P210" s="1704">
        <v>0.28319047619047666</v>
      </c>
      <c r="Q210" s="1704">
        <v>0.20952380952380834</v>
      </c>
      <c r="R210" s="1704">
        <v>0.32709374999999907</v>
      </c>
      <c r="S210" s="1718">
        <v>0.26973333333333294</v>
      </c>
      <c r="T210" s="1704">
        <v>0.15754687499999775</v>
      </c>
      <c r="U210" s="1704">
        <v>0.23087499999999972</v>
      </c>
      <c r="V210" s="1719">
        <v>0.29959375000000188</v>
      </c>
      <c r="W210" s="1819">
        <v>0.30404918032786998</v>
      </c>
      <c r="X210" s="1820">
        <v>0.30642187499999984</v>
      </c>
      <c r="Y210" s="1820">
        <v>0.50754687499999829</v>
      </c>
      <c r="Z210" s="1821">
        <v>0.25204687500000134</v>
      </c>
      <c r="AA210" s="1819">
        <v>-3.7548387096775215E-2</v>
      </c>
      <c r="AB210" s="1820">
        <v>6.8507936507938183E-2</v>
      </c>
      <c r="AC210" s="1820">
        <v>0.26343749999999932</v>
      </c>
      <c r="AD210" s="1821">
        <v>0.35907936507936444</v>
      </c>
      <c r="AE210" s="1819">
        <v>0.10468852459016342</v>
      </c>
      <c r="AF210" s="1643">
        <v>7.9562500000000203E-2</v>
      </c>
      <c r="AG210" s="1643">
        <v>3.6515625000000718E-2</v>
      </c>
      <c r="AH210" s="1642">
        <v>4.9693548387096609E-2</v>
      </c>
      <c r="AI210" s="1643">
        <v>0.15672580645161371</v>
      </c>
      <c r="AJ210" s="1643">
        <v>0.10859375000000027</v>
      </c>
      <c r="AK210" s="1643">
        <v>0.25880952380952404</v>
      </c>
      <c r="AL210" s="1642">
        <v>1.4901290322580647</v>
      </c>
      <c r="AM210" s="1643">
        <v>0.7802950819672132</v>
      </c>
      <c r="AN210" s="1643">
        <v>-0.66499999999999959</v>
      </c>
      <c r="AO210" s="1643">
        <v>-0.37199999999999989</v>
      </c>
      <c r="AP210" s="1642">
        <v>-0.49500000000000055</v>
      </c>
      <c r="AQ210" s="1643">
        <v>-0.30713417480557936</v>
      </c>
      <c r="AR210" s="1643">
        <v>-0.75064523540322092</v>
      </c>
      <c r="AS210" s="1643">
        <v>-0.53237727470099783</v>
      </c>
      <c r="AT210" s="1642">
        <v>-0.20050998189020053</v>
      </c>
      <c r="AU210" s="1643">
        <v>-0.26491667997570767</v>
      </c>
      <c r="AV210" s="1643">
        <v>-0.72952134616272168</v>
      </c>
      <c r="AW210" s="1643">
        <v>-0.50344822491097485</v>
      </c>
      <c r="AX210" s="1642">
        <v>-0.15278041575059387</v>
      </c>
      <c r="AY210" s="1643">
        <v>-0.18976284925876685</v>
      </c>
      <c r="AZ210" s="1643">
        <v>-0.6882236801665047</v>
      </c>
      <c r="BA210" s="1643">
        <v>-0.44995803943269674</v>
      </c>
      <c r="BB210" s="1905">
        <v>-6.8722097942030214E-2</v>
      </c>
      <c r="BC210" s="1489"/>
      <c r="BD210" s="1489"/>
      <c r="BE210" s="1489">
        <f t="shared" si="396"/>
        <v>-8.1029832493894283E-2</v>
      </c>
      <c r="BF210" s="1489">
        <f t="shared" si="397"/>
        <v>0.10640259176587319</v>
      </c>
      <c r="BG210" s="1489">
        <f t="shared" si="398"/>
        <v>0.28452740575396795</v>
      </c>
      <c r="BH210" s="1499">
        <f t="shared" si="399"/>
        <v>0.23943723958333307</v>
      </c>
      <c r="BI210" s="1499">
        <f t="shared" si="400"/>
        <v>0.34251620133196736</v>
      </c>
      <c r="BJ210" s="1499">
        <f t="shared" si="401"/>
        <v>0.16336910362263168</v>
      </c>
      <c r="BK210" s="1499">
        <f t="shared" si="402"/>
        <v>6.7615049494315238E-2</v>
      </c>
      <c r="BL210" s="1499">
        <f t="shared" si="403"/>
        <v>0.50356452812980068</v>
      </c>
      <c r="BM210" s="1499">
        <f t="shared" si="404"/>
        <v>-0.18792622950819671</v>
      </c>
      <c r="BN210" s="1499">
        <f t="shared" si="405"/>
        <v>-0.44766666669999966</v>
      </c>
      <c r="BO210" s="1499">
        <f t="shared" si="406"/>
        <v>-0.41266666669999952</v>
      </c>
      <c r="BP210" s="1499">
        <f t="shared" si="407"/>
        <v>-0.34916666669999963</v>
      </c>
      <c r="BQ210" s="1499"/>
      <c r="BR210" s="1476"/>
      <c r="BS210" s="1477"/>
      <c r="BV210" s="1444"/>
      <c r="BW210" s="1443"/>
      <c r="BX210" s="1443"/>
      <c r="BY210" s="1443"/>
    </row>
    <row r="211" spans="2:77" ht="12.75" customHeight="1">
      <c r="B211" s="1549"/>
      <c r="C211" s="1773" t="s">
        <v>444</v>
      </c>
      <c r="D211" s="1729"/>
      <c r="E211" s="1729"/>
      <c r="F211" s="1738"/>
      <c r="G211" s="1718">
        <v>0.12785416666666727</v>
      </c>
      <c r="H211" s="1704">
        <v>-0.1638730158730155</v>
      </c>
      <c r="I211" s="1704">
        <v>-0.31553124999999982</v>
      </c>
      <c r="J211" s="1719">
        <v>2.7430769230770924E-2</v>
      </c>
      <c r="K211" s="1718">
        <v>-4.0562500000001833E-2</v>
      </c>
      <c r="L211" s="1704">
        <v>2.5078125000001172E-2</v>
      </c>
      <c r="M211" s="1704">
        <v>0.14203125000000227</v>
      </c>
      <c r="N211" s="1719">
        <v>0.29906349206349114</v>
      </c>
      <c r="O211" s="1718">
        <v>0.31830158730158775</v>
      </c>
      <c r="P211" s="1704">
        <v>0.28319047619047666</v>
      </c>
      <c r="Q211" s="1704">
        <v>0.20952380952380834</v>
      </c>
      <c r="R211" s="1704">
        <v>0.32709374999999907</v>
      </c>
      <c r="S211" s="1718">
        <v>0.26973333333333294</v>
      </c>
      <c r="T211" s="1704">
        <v>0.15754687499999775</v>
      </c>
      <c r="U211" s="1704">
        <v>0.23087499999999972</v>
      </c>
      <c r="V211" s="1719">
        <v>0.29959375000000188</v>
      </c>
      <c r="W211" s="1819">
        <v>0.30404918032786998</v>
      </c>
      <c r="X211" s="1820">
        <v>0.30642187499999984</v>
      </c>
      <c r="Y211" s="1820">
        <v>0.50754687499999829</v>
      </c>
      <c r="Z211" s="1821">
        <v>0.25204687500000134</v>
      </c>
      <c r="AA211" s="1819">
        <v>-3.7548387096775215E-2</v>
      </c>
      <c r="AB211" s="1820">
        <v>6.8507936507938183E-2</v>
      </c>
      <c r="AC211" s="1820">
        <v>0.26343749999999932</v>
      </c>
      <c r="AD211" s="1821">
        <v>0.35907936507936444</v>
      </c>
      <c r="AE211" s="1819">
        <v>0.10468852459016342</v>
      </c>
      <c r="AF211" s="1643">
        <v>7.9562500000000203E-2</v>
      </c>
      <c r="AG211" s="1643">
        <v>3.6515625000000718E-2</v>
      </c>
      <c r="AH211" s="1642">
        <v>4.9693548387096609E-2</v>
      </c>
      <c r="AI211" s="1643">
        <v>0.15672580645161371</v>
      </c>
      <c r="AJ211" s="1643">
        <v>0.10859375000000027</v>
      </c>
      <c r="AK211" s="1643">
        <v>0.25880952380952404</v>
      </c>
      <c r="AL211" s="1642">
        <v>1.4901290322580647</v>
      </c>
      <c r="AM211" s="1643">
        <v>0.7802950819672132</v>
      </c>
      <c r="AN211" s="1643">
        <v>-0.66499999999999959</v>
      </c>
      <c r="AO211" s="1643">
        <v>-0.37199999999999989</v>
      </c>
      <c r="AP211" s="1642">
        <v>-0.49500000000000055</v>
      </c>
      <c r="AQ211" s="1643">
        <v>-0.30713417480557936</v>
      </c>
      <c r="AR211" s="1643">
        <v>-0.75064523540322092</v>
      </c>
      <c r="AS211" s="1643">
        <v>-0.53237727470099783</v>
      </c>
      <c r="AT211" s="1642">
        <v>-0.20050998189020053</v>
      </c>
      <c r="AU211" s="1643">
        <v>-0.26491667997570767</v>
      </c>
      <c r="AV211" s="1643">
        <v>-0.72952134616272168</v>
      </c>
      <c r="AW211" s="1643">
        <v>-0.50344822491097485</v>
      </c>
      <c r="AX211" s="1642">
        <v>-0.15278041575059387</v>
      </c>
      <c r="AY211" s="1643">
        <v>-0.18976284925876685</v>
      </c>
      <c r="AZ211" s="1643">
        <v>-0.6882236801665047</v>
      </c>
      <c r="BA211" s="1643">
        <v>-0.44995803943269674</v>
      </c>
      <c r="BB211" s="1905">
        <v>-6.8722097942030214E-2</v>
      </c>
      <c r="BC211" s="1489"/>
      <c r="BD211" s="1489"/>
      <c r="BE211" s="1489">
        <f t="shared" si="396"/>
        <v>-8.1029832493894283E-2</v>
      </c>
      <c r="BF211" s="1489">
        <f t="shared" si="397"/>
        <v>0.10640259176587319</v>
      </c>
      <c r="BG211" s="1489">
        <f t="shared" si="398"/>
        <v>0.28452740575396795</v>
      </c>
      <c r="BH211" s="1499">
        <f t="shared" si="399"/>
        <v>0.23943723958333307</v>
      </c>
      <c r="BI211" s="1499">
        <f t="shared" si="400"/>
        <v>0.34251620133196736</v>
      </c>
      <c r="BJ211" s="1499">
        <f t="shared" si="401"/>
        <v>0.16336910362263168</v>
      </c>
      <c r="BK211" s="1499">
        <f t="shared" si="402"/>
        <v>6.7615049494315238E-2</v>
      </c>
      <c r="BL211" s="1499">
        <f t="shared" si="403"/>
        <v>0.50356452812980068</v>
      </c>
      <c r="BM211" s="1499">
        <f t="shared" si="404"/>
        <v>-0.18792622950819671</v>
      </c>
      <c r="BN211" s="1499">
        <f t="shared" si="405"/>
        <v>-0.44766666669999966</v>
      </c>
      <c r="BO211" s="1499">
        <f t="shared" si="406"/>
        <v>-0.41266666669999952</v>
      </c>
      <c r="BP211" s="1499">
        <f t="shared" si="407"/>
        <v>-0.34916666669999963</v>
      </c>
      <c r="BQ211" s="1499"/>
      <c r="BR211" s="1476"/>
      <c r="BS211" s="1477"/>
      <c r="BV211" s="1444"/>
      <c r="BW211" s="1443"/>
      <c r="BX211" s="1443"/>
      <c r="BY211" s="1443"/>
    </row>
    <row r="212" spans="2:77" ht="12.75" customHeight="1">
      <c r="B212" s="1549"/>
      <c r="C212" s="1773"/>
      <c r="D212" s="1729"/>
      <c r="E212" s="1729"/>
      <c r="F212" s="1731"/>
      <c r="G212" s="1718">
        <v>-8.8041666666665463E-2</v>
      </c>
      <c r="H212" s="1704">
        <v>-0.16344444444444317</v>
      </c>
      <c r="I212" s="1704">
        <v>-0.26625000000000032</v>
      </c>
      <c r="J212" s="1719">
        <v>-0.10644615384615275</v>
      </c>
      <c r="K212" s="1718">
        <v>-3.8796875000000064E-2</v>
      </c>
      <c r="L212" s="1704">
        <v>-0.11246874999999878</v>
      </c>
      <c r="M212" s="1704">
        <v>-8.0437500000000384E-2</v>
      </c>
      <c r="N212" s="1719">
        <v>-7.6968253968253908E-2</v>
      </c>
      <c r="O212" s="1718">
        <v>-6.4174603174603106E-2</v>
      </c>
      <c r="P212" s="1704">
        <v>-5.0873015873015071E-2</v>
      </c>
      <c r="Q212" s="1704">
        <v>-6.5730158730158195E-2</v>
      </c>
      <c r="R212" s="1704">
        <v>-7.0828125000001574E-2</v>
      </c>
      <c r="S212" s="1718">
        <v>-6.5516666666667334E-2</v>
      </c>
      <c r="T212" s="1705">
        <v>-0.10400000000000054</v>
      </c>
      <c r="U212" s="1705">
        <v>-6.8781250000001126E-2</v>
      </c>
      <c r="V212" s="1707">
        <v>-4.9484375000000469E-2</v>
      </c>
      <c r="W212" s="1643">
        <v>0.13100000000000023</v>
      </c>
      <c r="X212" s="1643">
        <v>-0.1406093749999977</v>
      </c>
      <c r="Y212" s="1643">
        <v>-8.2046874999999631E-2</v>
      </c>
      <c r="Z212" s="1642">
        <v>-0.13220312499999887</v>
      </c>
      <c r="AA212" s="1643">
        <v>-0.18638709677419296</v>
      </c>
      <c r="AB212" s="1643">
        <v>-0.1698571428571416</v>
      </c>
      <c r="AC212" s="1643">
        <v>-9.4734374999999815E-2</v>
      </c>
      <c r="AD212" s="1642">
        <v>-7.3825396825397682E-2</v>
      </c>
      <c r="AE212" s="1643">
        <v>-0.13737704918032856</v>
      </c>
      <c r="AF212" s="1643">
        <v>-0.15981249999999947</v>
      </c>
      <c r="AG212" s="1643">
        <v>-0.16378125000000088</v>
      </c>
      <c r="AH212" s="1642">
        <v>-0.1974516129032251</v>
      </c>
      <c r="AI212" s="1643">
        <v>-0.2175806451612905</v>
      </c>
      <c r="AJ212" s="1643">
        <v>-0.31395312499999983</v>
      </c>
      <c r="AK212" s="1643">
        <v>-0.23814285714285521</v>
      </c>
      <c r="AL212" s="1642">
        <v>-0.332435483870968</v>
      </c>
      <c r="AM212" s="1643">
        <v>-0.44990163934426253</v>
      </c>
      <c r="AN212" s="1643">
        <v>-0.37966666666666615</v>
      </c>
      <c r="AO212" s="1643">
        <v>-0.39166666666666661</v>
      </c>
      <c r="AP212" s="1642">
        <v>-0.37166666666666703</v>
      </c>
      <c r="AQ212" s="1643">
        <v>-0.19602769763382533</v>
      </c>
      <c r="AR212" s="1643">
        <v>-0.300845626465994</v>
      </c>
      <c r="AS212" s="1643">
        <v>-0.18112311230464595</v>
      </c>
      <c r="AT212" s="1642">
        <v>-0.4933368969288674</v>
      </c>
      <c r="AU212" s="1643">
        <v>-0.21941821857145705</v>
      </c>
      <c r="AV212" s="1643">
        <v>-0.28887692999624326</v>
      </c>
      <c r="AW212" s="1643">
        <v>-0.1563235091335029</v>
      </c>
      <c r="AX212" s="1642">
        <v>-0.48504800896546163</v>
      </c>
      <c r="AY212" s="1643">
        <v>-0.2167463007799646</v>
      </c>
      <c r="AZ212" s="1643">
        <v>-0.28245768253923886</v>
      </c>
      <c r="BA212" s="1643">
        <v>-0.14056807383264047</v>
      </c>
      <c r="BB212" s="1905">
        <v>-0.47456127618148791</v>
      </c>
      <c r="BC212" s="1489"/>
      <c r="BD212" s="1489"/>
      <c r="BE212" s="1489"/>
      <c r="BF212" s="1489"/>
      <c r="BG212" s="1489"/>
      <c r="BH212" s="1499"/>
      <c r="BI212" s="1499"/>
      <c r="BJ212" s="1499"/>
      <c r="BK212" s="1499"/>
      <c r="BL212" s="1499"/>
      <c r="BM212" s="1499"/>
      <c r="BN212" s="1499"/>
      <c r="BO212" s="1499"/>
      <c r="BP212" s="1499"/>
      <c r="BQ212" s="1499"/>
      <c r="BR212" s="1476"/>
      <c r="BS212" s="1511"/>
      <c r="BV212" s="1444"/>
      <c r="BW212" s="1443"/>
      <c r="BX212" s="1443"/>
      <c r="BY212" s="1443"/>
    </row>
    <row r="213" spans="2:77" ht="12.75" customHeight="1">
      <c r="B213" s="1549"/>
      <c r="C213" s="1773"/>
      <c r="D213" s="1729"/>
      <c r="E213" s="1729"/>
      <c r="F213" s="1731"/>
      <c r="G213" s="1718"/>
      <c r="H213" s="1704"/>
      <c r="I213" s="1704"/>
      <c r="J213" s="1719"/>
      <c r="K213" s="1718"/>
      <c r="L213" s="1704"/>
      <c r="M213" s="1704"/>
      <c r="N213" s="1719"/>
      <c r="O213" s="1718"/>
      <c r="P213" s="1704"/>
      <c r="Q213" s="1704"/>
      <c r="R213" s="1704"/>
      <c r="S213" s="1718"/>
      <c r="T213" s="1705"/>
      <c r="U213" s="1705"/>
      <c r="V213" s="1707"/>
      <c r="W213" s="1643"/>
      <c r="X213" s="1643"/>
      <c r="Y213" s="1643"/>
      <c r="Z213" s="1642"/>
      <c r="AA213" s="1643"/>
      <c r="AB213" s="1643"/>
      <c r="AC213" s="1643"/>
      <c r="AD213" s="1642"/>
      <c r="AE213" s="1643"/>
      <c r="AF213" s="1643"/>
      <c r="AG213" s="1643"/>
      <c r="AH213" s="1642"/>
      <c r="AI213" s="1643"/>
      <c r="AJ213" s="1643"/>
      <c r="AK213" s="1643"/>
      <c r="AL213" s="1642"/>
      <c r="AM213" s="1643"/>
      <c r="AN213" s="1643"/>
      <c r="AO213" s="1643"/>
      <c r="AP213" s="1642"/>
      <c r="AQ213" s="1643"/>
      <c r="AR213" s="1643"/>
      <c r="AS213" s="1643"/>
      <c r="AT213" s="1642"/>
      <c r="AU213" s="1643"/>
      <c r="AV213" s="1643"/>
      <c r="AW213" s="1643"/>
      <c r="AX213" s="1642"/>
      <c r="AY213" s="1643"/>
      <c r="AZ213" s="1643"/>
      <c r="BA213" s="1643"/>
      <c r="BB213" s="1905"/>
      <c r="BC213" s="1489"/>
      <c r="BD213" s="1489"/>
      <c r="BE213" s="1489"/>
      <c r="BF213" s="1489"/>
      <c r="BG213" s="1489"/>
      <c r="BH213" s="1499"/>
      <c r="BI213" s="1499"/>
      <c r="BJ213" s="1499"/>
      <c r="BK213" s="1499"/>
      <c r="BL213" s="1499"/>
      <c r="BM213" s="1499"/>
      <c r="BN213" s="1499"/>
      <c r="BO213" s="1499"/>
      <c r="BP213" s="1499"/>
      <c r="BQ213" s="1499"/>
      <c r="BR213" s="1476"/>
      <c r="BS213" s="1477"/>
      <c r="BV213" s="1444"/>
      <c r="BW213" s="1443"/>
      <c r="BX213" s="1443"/>
      <c r="BY213" s="1443"/>
    </row>
    <row r="214" spans="2:77" ht="12.75" customHeight="1">
      <c r="B214" s="1549"/>
      <c r="C214" s="1774" t="s">
        <v>895</v>
      </c>
      <c r="D214" s="1742"/>
      <c r="E214" s="1742"/>
      <c r="F214" s="1743"/>
      <c r="G214" s="1718"/>
      <c r="H214" s="1704"/>
      <c r="I214" s="1704"/>
      <c r="J214" s="1719"/>
      <c r="K214" s="1718"/>
      <c r="L214" s="1704"/>
      <c r="M214" s="1704"/>
      <c r="N214" s="1719"/>
      <c r="O214" s="1718"/>
      <c r="P214" s="1704"/>
      <c r="Q214" s="1704"/>
      <c r="R214" s="1704"/>
      <c r="S214" s="1718"/>
      <c r="T214" s="1705"/>
      <c r="U214" s="1705"/>
      <c r="V214" s="1707"/>
      <c r="W214" s="1643"/>
      <c r="X214" s="1643"/>
      <c r="Y214" s="1643"/>
      <c r="Z214" s="1642"/>
      <c r="AA214" s="1643"/>
      <c r="AB214" s="1643"/>
      <c r="AC214" s="1643"/>
      <c r="AD214" s="1642"/>
      <c r="AE214" s="1643"/>
      <c r="AF214" s="1643"/>
      <c r="AG214" s="1643"/>
      <c r="AH214" s="1642"/>
      <c r="AI214" s="1643"/>
      <c r="AJ214" s="1643"/>
      <c r="AK214" s="1643"/>
      <c r="AL214" s="1642"/>
      <c r="AM214" s="1643"/>
      <c r="AN214" s="1643"/>
      <c r="AO214" s="1643"/>
      <c r="AP214" s="1642"/>
      <c r="AQ214" s="1643"/>
      <c r="AR214" s="1643"/>
      <c r="AS214" s="1643"/>
      <c r="AT214" s="1642"/>
      <c r="AU214" s="1643"/>
      <c r="AV214" s="1643"/>
      <c r="AW214" s="1643"/>
      <c r="AX214" s="1642"/>
      <c r="AY214" s="1643"/>
      <c r="AZ214" s="1643"/>
      <c r="BA214" s="1643"/>
      <c r="BB214" s="1905"/>
      <c r="BC214" s="1489"/>
      <c r="BD214" s="1489"/>
      <c r="BE214" s="1489"/>
      <c r="BF214" s="1489"/>
      <c r="BG214" s="1489"/>
      <c r="BH214" s="1489"/>
      <c r="BI214" s="1489"/>
      <c r="BJ214" s="1489"/>
      <c r="BK214" s="1489"/>
      <c r="BL214" s="1489"/>
      <c r="BM214" s="1489"/>
      <c r="BN214" s="1489"/>
      <c r="BO214" s="1489"/>
      <c r="BP214" s="1489"/>
      <c r="BQ214" s="1489"/>
      <c r="BR214" s="1476"/>
      <c r="BS214" s="1477"/>
      <c r="BV214" s="1444"/>
      <c r="BW214" s="1443"/>
      <c r="BX214" s="1443"/>
      <c r="BY214" s="1443"/>
    </row>
    <row r="215" spans="2:77" ht="12.75" customHeight="1">
      <c r="B215" s="1549"/>
      <c r="C215" s="1773" t="s">
        <v>672</v>
      </c>
      <c r="D215" s="1729"/>
      <c r="E215" s="1729"/>
      <c r="F215" s="1731"/>
      <c r="G215" s="1706">
        <v>5</v>
      </c>
      <c r="H215" s="1705">
        <v>5</v>
      </c>
      <c r="I215" s="1705">
        <v>5</v>
      </c>
      <c r="J215" s="1707">
        <v>5</v>
      </c>
      <c r="K215" s="1706">
        <v>5</v>
      </c>
      <c r="L215" s="1705">
        <v>5</v>
      </c>
      <c r="M215" s="1705">
        <v>5</v>
      </c>
      <c r="N215" s="1707">
        <v>5</v>
      </c>
      <c r="O215" s="1706">
        <v>5</v>
      </c>
      <c r="P215" s="1705">
        <v>5</v>
      </c>
      <c r="Q215" s="1705">
        <v>5</v>
      </c>
      <c r="R215" s="1705">
        <v>5</v>
      </c>
      <c r="S215" s="1706">
        <v>5</v>
      </c>
      <c r="T215" s="1705">
        <v>5</v>
      </c>
      <c r="U215" s="1705">
        <v>5</v>
      </c>
      <c r="V215" s="1707">
        <v>5</v>
      </c>
      <c r="W215" s="1643">
        <v>5</v>
      </c>
      <c r="X215" s="1643">
        <v>5</v>
      </c>
      <c r="Y215" s="1643">
        <v>5</v>
      </c>
      <c r="Z215" s="1642">
        <v>5</v>
      </c>
      <c r="AA215" s="1643">
        <v>5</v>
      </c>
      <c r="AB215" s="1643">
        <v>5</v>
      </c>
      <c r="AC215" s="1643">
        <v>5</v>
      </c>
      <c r="AD215" s="1642">
        <v>5</v>
      </c>
      <c r="AE215" s="1643">
        <v>5</v>
      </c>
      <c r="AF215" s="1643">
        <v>5</v>
      </c>
      <c r="AG215" s="1643">
        <v>5</v>
      </c>
      <c r="AH215" s="1642">
        <v>5</v>
      </c>
      <c r="AI215" s="1643">
        <v>5</v>
      </c>
      <c r="AJ215" s="1643">
        <v>5</v>
      </c>
      <c r="AK215" s="1643">
        <v>5</v>
      </c>
      <c r="AL215" s="1642">
        <v>5</v>
      </c>
      <c r="AM215" s="1643">
        <v>5</v>
      </c>
      <c r="AN215" s="1643">
        <v>5</v>
      </c>
      <c r="AO215" s="1643">
        <v>5</v>
      </c>
      <c r="AP215" s="1642">
        <v>5</v>
      </c>
      <c r="AQ215" s="1643">
        <v>5</v>
      </c>
      <c r="AR215" s="1643">
        <v>5</v>
      </c>
      <c r="AS215" s="1643">
        <v>5</v>
      </c>
      <c r="AT215" s="1642">
        <v>5</v>
      </c>
      <c r="AU215" s="1643">
        <v>5</v>
      </c>
      <c r="AV215" s="1643">
        <v>5</v>
      </c>
      <c r="AW215" s="1643">
        <v>5</v>
      </c>
      <c r="AX215" s="1642">
        <v>5</v>
      </c>
      <c r="AY215" s="1643">
        <v>5</v>
      </c>
      <c r="AZ215" s="1643">
        <v>5</v>
      </c>
      <c r="BA215" s="1643">
        <v>5</v>
      </c>
      <c r="BB215" s="1905">
        <v>5</v>
      </c>
      <c r="BC215" s="1489"/>
      <c r="BD215" s="1489"/>
      <c r="BE215" s="1489">
        <f>AVERAGE(G215:J215)</f>
        <v>5</v>
      </c>
      <c r="BF215" s="1489">
        <f>AVERAGE(K215:N215)</f>
        <v>5</v>
      </c>
      <c r="BG215" s="1489">
        <f>AVERAGE(O215:R215)</f>
        <v>5</v>
      </c>
      <c r="BH215" s="1489">
        <f>AVERAGE(S215:V215)</f>
        <v>5</v>
      </c>
      <c r="BI215" s="1489">
        <f>AVERAGE(W215:Z215)</f>
        <v>5</v>
      </c>
      <c r="BJ215" s="1489">
        <f>AVERAGE(AA215:AD215)</f>
        <v>5</v>
      </c>
      <c r="BK215" s="1489">
        <f>AVERAGE(AE215:AH215)</f>
        <v>5</v>
      </c>
      <c r="BL215" s="1489">
        <f>AVERAGE(AI215:AL215)</f>
        <v>5</v>
      </c>
      <c r="BM215" s="1489">
        <f>AVERAGE(AM215:AP215)</f>
        <v>5</v>
      </c>
      <c r="BN215" s="1489">
        <f>AVERAGE(AQ215:AT215)</f>
        <v>5</v>
      </c>
      <c r="BO215" s="1489">
        <f>AVERAGE(AU215:AX215)</f>
        <v>5</v>
      </c>
      <c r="BP215" s="1489">
        <f>AVERAGE(AY215:BB215)</f>
        <v>5</v>
      </c>
      <c r="BQ215" s="1489"/>
      <c r="BR215" s="1476"/>
      <c r="BS215" s="1477"/>
      <c r="BV215" s="1444"/>
      <c r="BW215" s="1443"/>
      <c r="BX215" s="1443"/>
      <c r="BY215" s="1443"/>
    </row>
    <row r="216" spans="2:77" ht="12.75" customHeight="1">
      <c r="B216" s="1549"/>
      <c r="C216" s="1773" t="s">
        <v>821</v>
      </c>
      <c r="D216" s="1729"/>
      <c r="E216" s="1729"/>
      <c r="F216" s="1731"/>
      <c r="G216" s="1706">
        <v>15</v>
      </c>
      <c r="H216" s="1705">
        <v>15</v>
      </c>
      <c r="I216" s="1705">
        <v>15</v>
      </c>
      <c r="J216" s="1707">
        <v>15</v>
      </c>
      <c r="K216" s="1706">
        <v>15</v>
      </c>
      <c r="L216" s="1705">
        <v>15</v>
      </c>
      <c r="M216" s="1705">
        <v>15</v>
      </c>
      <c r="N216" s="1707">
        <v>15</v>
      </c>
      <c r="O216" s="1706">
        <v>15</v>
      </c>
      <c r="P216" s="1705">
        <v>15</v>
      </c>
      <c r="Q216" s="1705">
        <v>15</v>
      </c>
      <c r="R216" s="1705">
        <v>15</v>
      </c>
      <c r="S216" s="1706">
        <v>15</v>
      </c>
      <c r="T216" s="1705">
        <v>15</v>
      </c>
      <c r="U216" s="1705">
        <v>15</v>
      </c>
      <c r="V216" s="1707">
        <v>15</v>
      </c>
      <c r="W216" s="1643">
        <v>15</v>
      </c>
      <c r="X216" s="1643">
        <v>15</v>
      </c>
      <c r="Y216" s="1643">
        <v>15</v>
      </c>
      <c r="Z216" s="1642">
        <v>15</v>
      </c>
      <c r="AA216" s="1643">
        <v>15</v>
      </c>
      <c r="AB216" s="1643">
        <v>15</v>
      </c>
      <c r="AC216" s="1643">
        <v>15</v>
      </c>
      <c r="AD216" s="1642">
        <v>15</v>
      </c>
      <c r="AE216" s="1643">
        <v>15</v>
      </c>
      <c r="AF216" s="1643">
        <v>15</v>
      </c>
      <c r="AG216" s="1643">
        <v>15</v>
      </c>
      <c r="AH216" s="1642">
        <v>15</v>
      </c>
      <c r="AI216" s="1643">
        <v>15</v>
      </c>
      <c r="AJ216" s="1643">
        <v>15</v>
      </c>
      <c r="AK216" s="1643">
        <v>15</v>
      </c>
      <c r="AL216" s="1642">
        <v>15</v>
      </c>
      <c r="AM216" s="1643">
        <v>15</v>
      </c>
      <c r="AN216" s="1643">
        <v>15</v>
      </c>
      <c r="AO216" s="1643">
        <v>15</v>
      </c>
      <c r="AP216" s="1642">
        <v>15</v>
      </c>
      <c r="AQ216" s="1643">
        <v>15</v>
      </c>
      <c r="AR216" s="1643">
        <v>15</v>
      </c>
      <c r="AS216" s="1643">
        <v>15</v>
      </c>
      <c r="AT216" s="1642">
        <v>15</v>
      </c>
      <c r="AU216" s="1643">
        <v>15</v>
      </c>
      <c r="AV216" s="1643">
        <v>15</v>
      </c>
      <c r="AW216" s="1643">
        <v>15</v>
      </c>
      <c r="AX216" s="1642">
        <v>15</v>
      </c>
      <c r="AY216" s="1643">
        <v>15</v>
      </c>
      <c r="AZ216" s="1643">
        <v>15</v>
      </c>
      <c r="BA216" s="1643">
        <v>15</v>
      </c>
      <c r="BB216" s="1905">
        <v>15</v>
      </c>
      <c r="BC216" s="1489"/>
      <c r="BD216" s="1489"/>
      <c r="BE216" s="1489">
        <f>AVERAGE(G216:J216)</f>
        <v>15</v>
      </c>
      <c r="BF216" s="1489">
        <f>AVERAGE(K216:N216)</f>
        <v>15</v>
      </c>
      <c r="BG216" s="1489">
        <f>AVERAGE(O216:R216)</f>
        <v>15</v>
      </c>
      <c r="BH216" s="1489">
        <f>AVERAGE(S216:V216)</f>
        <v>15</v>
      </c>
      <c r="BI216" s="1489">
        <f>AVERAGE(W216:Z216)</f>
        <v>15</v>
      </c>
      <c r="BJ216" s="1489">
        <f>AVERAGE(AA216:AD216)</f>
        <v>15</v>
      </c>
      <c r="BK216" s="1489">
        <f>AVERAGE(AE216:AH216)</f>
        <v>15</v>
      </c>
      <c r="BL216" s="1489">
        <f>AVERAGE(AI216:AL216)</f>
        <v>15</v>
      </c>
      <c r="BM216" s="1489">
        <f>AVERAGE(AM216:AP216)</f>
        <v>15</v>
      </c>
      <c r="BN216" s="1489">
        <f>AVERAGE(AQ216:AT216)</f>
        <v>15</v>
      </c>
      <c r="BO216" s="1489">
        <f>AVERAGE(AU216:AX216)</f>
        <v>15</v>
      </c>
      <c r="BP216" s="1489">
        <f>AVERAGE(AY216:BB216)</f>
        <v>15</v>
      </c>
      <c r="BQ216" s="1489"/>
      <c r="BR216" s="1476"/>
      <c r="BS216" s="1477"/>
      <c r="BV216" s="1444"/>
      <c r="BW216" s="1443"/>
      <c r="BX216" s="1443"/>
      <c r="BY216" s="1443"/>
    </row>
    <row r="217" spans="2:77" ht="12.75" customHeight="1">
      <c r="B217" s="1549"/>
      <c r="C217" s="1773" t="s">
        <v>822</v>
      </c>
      <c r="D217" s="1729"/>
      <c r="E217" s="1729"/>
      <c r="F217" s="1731"/>
      <c r="G217" s="1706">
        <v>25</v>
      </c>
      <c r="H217" s="1705">
        <v>25</v>
      </c>
      <c r="I217" s="1705">
        <v>25</v>
      </c>
      <c r="J217" s="1707">
        <v>25</v>
      </c>
      <c r="K217" s="1706">
        <v>25</v>
      </c>
      <c r="L217" s="1705">
        <v>25</v>
      </c>
      <c r="M217" s="1705">
        <v>25</v>
      </c>
      <c r="N217" s="1707">
        <v>25</v>
      </c>
      <c r="O217" s="1706">
        <v>25</v>
      </c>
      <c r="P217" s="1705">
        <v>25</v>
      </c>
      <c r="Q217" s="1705">
        <v>25</v>
      </c>
      <c r="R217" s="1705">
        <v>25</v>
      </c>
      <c r="S217" s="1706">
        <v>25</v>
      </c>
      <c r="T217" s="1705">
        <v>25</v>
      </c>
      <c r="U217" s="1705">
        <v>25</v>
      </c>
      <c r="V217" s="1707">
        <v>25</v>
      </c>
      <c r="W217" s="1643">
        <v>25</v>
      </c>
      <c r="X217" s="1643">
        <v>25</v>
      </c>
      <c r="Y217" s="1643">
        <v>25</v>
      </c>
      <c r="Z217" s="1642">
        <v>25</v>
      </c>
      <c r="AA217" s="1643">
        <v>25</v>
      </c>
      <c r="AB217" s="1643">
        <v>25</v>
      </c>
      <c r="AC217" s="1643">
        <v>25</v>
      </c>
      <c r="AD217" s="1642">
        <v>25</v>
      </c>
      <c r="AE217" s="1643">
        <v>25</v>
      </c>
      <c r="AF217" s="1643">
        <v>25</v>
      </c>
      <c r="AG217" s="1643">
        <v>25</v>
      </c>
      <c r="AH217" s="1642">
        <v>25</v>
      </c>
      <c r="AI217" s="1643">
        <v>25</v>
      </c>
      <c r="AJ217" s="1643">
        <v>25</v>
      </c>
      <c r="AK217" s="1643">
        <v>25</v>
      </c>
      <c r="AL217" s="1642">
        <v>25</v>
      </c>
      <c r="AM217" s="1643">
        <v>25</v>
      </c>
      <c r="AN217" s="1643">
        <v>25</v>
      </c>
      <c r="AO217" s="1643">
        <v>25</v>
      </c>
      <c r="AP217" s="1642">
        <v>25</v>
      </c>
      <c r="AQ217" s="1643">
        <v>25</v>
      </c>
      <c r="AR217" s="1643">
        <v>25</v>
      </c>
      <c r="AS217" s="1643">
        <v>25</v>
      </c>
      <c r="AT217" s="1642">
        <v>25</v>
      </c>
      <c r="AU217" s="1643">
        <v>25</v>
      </c>
      <c r="AV217" s="1643">
        <v>25</v>
      </c>
      <c r="AW217" s="1643">
        <v>25</v>
      </c>
      <c r="AX217" s="1642">
        <v>25</v>
      </c>
      <c r="AY217" s="1643">
        <v>25</v>
      </c>
      <c r="AZ217" s="1643">
        <v>25</v>
      </c>
      <c r="BA217" s="1643">
        <v>25</v>
      </c>
      <c r="BB217" s="1905">
        <v>25</v>
      </c>
      <c r="BC217" s="1489"/>
      <c r="BD217" s="1489"/>
      <c r="BE217" s="1489">
        <f>AVERAGE(G217:J217)</f>
        <v>25</v>
      </c>
      <c r="BF217" s="1489">
        <f>AVERAGE(K217:N217)</f>
        <v>25</v>
      </c>
      <c r="BG217" s="1489">
        <f>AVERAGE(O217:R217)</f>
        <v>25</v>
      </c>
      <c r="BH217" s="1489">
        <f>AVERAGE(S217:V217)</f>
        <v>25</v>
      </c>
      <c r="BI217" s="1489">
        <f>AVERAGE(W217:Z217)</f>
        <v>25</v>
      </c>
      <c r="BJ217" s="1489">
        <f>AVERAGE(AA217:AD217)</f>
        <v>25</v>
      </c>
      <c r="BK217" s="1489">
        <f>AVERAGE(AE217:AH217)</f>
        <v>25</v>
      </c>
      <c r="BL217" s="1489">
        <f>AVERAGE(AI217:AL217)</f>
        <v>25</v>
      </c>
      <c r="BM217" s="1489">
        <f>AVERAGE(AM217:AP217)</f>
        <v>25</v>
      </c>
      <c r="BN217" s="1489">
        <f>AVERAGE(AQ217:AT217)</f>
        <v>25</v>
      </c>
      <c r="BO217" s="1489">
        <f>AVERAGE(AU217:AX217)</f>
        <v>25</v>
      </c>
      <c r="BP217" s="1489">
        <f>AVERAGE(AY217:BB217)</f>
        <v>25</v>
      </c>
      <c r="BQ217" s="1489"/>
      <c r="BR217" s="1476"/>
      <c r="BS217" s="1477"/>
      <c r="BV217" s="1444"/>
      <c r="BW217" s="1443"/>
      <c r="BX217" s="1443"/>
      <c r="BY217" s="1443"/>
    </row>
    <row r="218" spans="2:77" ht="12.75" customHeight="1">
      <c r="B218" s="1549"/>
      <c r="C218" s="1773"/>
      <c r="D218" s="1729"/>
      <c r="E218" s="1729"/>
      <c r="F218" s="1731"/>
      <c r="G218" s="1718"/>
      <c r="H218" s="1704"/>
      <c r="I218" s="1704"/>
      <c r="J218" s="1719"/>
      <c r="K218" s="1718"/>
      <c r="L218" s="1704"/>
      <c r="M218" s="1704"/>
      <c r="N218" s="1719"/>
      <c r="O218" s="1718"/>
      <c r="P218" s="1704"/>
      <c r="Q218" s="1704"/>
      <c r="R218" s="1704"/>
      <c r="S218" s="1718"/>
      <c r="T218" s="1705"/>
      <c r="U218" s="1705"/>
      <c r="V218" s="1707"/>
      <c r="W218" s="1643"/>
      <c r="X218" s="1643"/>
      <c r="Y218" s="1643"/>
      <c r="Z218" s="1642"/>
      <c r="AA218" s="1643"/>
      <c r="AB218" s="1643"/>
      <c r="AC218" s="1643"/>
      <c r="AD218" s="1642"/>
      <c r="AE218" s="1643"/>
      <c r="AF218" s="1643"/>
      <c r="AG218" s="1643"/>
      <c r="AH218" s="1642"/>
      <c r="AI218" s="1643"/>
      <c r="AJ218" s="1643"/>
      <c r="AK218" s="1643"/>
      <c r="AL218" s="1642"/>
      <c r="AM218" s="1643"/>
      <c r="AN218" s="1643"/>
      <c r="AO218" s="1643"/>
      <c r="AP218" s="1642"/>
      <c r="AQ218" s="1643"/>
      <c r="AR218" s="1643"/>
      <c r="AS218" s="1643"/>
      <c r="AT218" s="1642"/>
      <c r="AU218" s="1643"/>
      <c r="AV218" s="1643"/>
      <c r="AW218" s="1643"/>
      <c r="AX218" s="1642"/>
      <c r="AY218" s="1643"/>
      <c r="AZ218" s="1643"/>
      <c r="BA218" s="1643"/>
      <c r="BB218" s="1905"/>
      <c r="BC218" s="1489"/>
      <c r="BD218" s="1489"/>
      <c r="BE218" s="1489"/>
      <c r="BF218" s="1489"/>
      <c r="BG218" s="1489"/>
      <c r="BH218" s="1499"/>
      <c r="BI218" s="1499"/>
      <c r="BJ218" s="1499"/>
      <c r="BK218" s="1499"/>
      <c r="BL218" s="1499"/>
      <c r="BM218" s="1499"/>
      <c r="BN218" s="1499"/>
      <c r="BO218" s="1499"/>
      <c r="BP218" s="1499"/>
      <c r="BQ218" s="1499"/>
      <c r="BR218" s="1476"/>
      <c r="BS218" s="1511"/>
      <c r="BV218" s="1444"/>
      <c r="BW218" s="1443"/>
      <c r="BX218" s="1443"/>
      <c r="BY218" s="1443"/>
    </row>
    <row r="219" spans="2:77" ht="12.75" customHeight="1">
      <c r="B219" s="1549"/>
      <c r="C219" s="1773"/>
      <c r="D219" s="1729"/>
      <c r="E219" s="1729"/>
      <c r="F219" s="1731"/>
      <c r="G219" s="1720"/>
      <c r="H219" s="1723"/>
      <c r="I219" s="1723"/>
      <c r="J219" s="1724"/>
      <c r="K219" s="1720"/>
      <c r="L219" s="1723"/>
      <c r="M219" s="1723"/>
      <c r="N219" s="1724"/>
      <c r="O219" s="1720"/>
      <c r="P219" s="1723"/>
      <c r="Q219" s="1723"/>
      <c r="R219" s="1723"/>
      <c r="S219" s="1728"/>
      <c r="T219" s="1708"/>
      <c r="U219" s="1708"/>
      <c r="V219" s="1711"/>
      <c r="W219" s="1656"/>
      <c r="X219" s="1656"/>
      <c r="Y219" s="1656"/>
      <c r="Z219" s="1659"/>
      <c r="AA219" s="1656"/>
      <c r="AB219" s="1656"/>
      <c r="AC219" s="1656"/>
      <c r="AD219" s="1659"/>
      <c r="AE219" s="1656"/>
      <c r="AF219" s="1660"/>
      <c r="AG219" s="1660"/>
      <c r="AH219" s="1659"/>
      <c r="AI219" s="1660"/>
      <c r="AJ219" s="1660"/>
      <c r="AK219" s="1660"/>
      <c r="AL219" s="1659"/>
      <c r="AM219" s="1660"/>
      <c r="AN219" s="1660"/>
      <c r="AO219" s="1660"/>
      <c r="AP219" s="1659"/>
      <c r="AQ219" s="1660"/>
      <c r="AR219" s="1660"/>
      <c r="AS219" s="1660"/>
      <c r="AT219" s="1659"/>
      <c r="AU219" s="1660"/>
      <c r="AV219" s="1660"/>
      <c r="AW219" s="1660"/>
      <c r="AX219" s="1659"/>
      <c r="AY219" s="1660"/>
      <c r="AZ219" s="1660"/>
      <c r="BA219" s="1660"/>
      <c r="BB219" s="1906"/>
      <c r="BC219" s="1494"/>
      <c r="BD219" s="1494"/>
      <c r="BE219" s="1494"/>
      <c r="BF219" s="1494"/>
      <c r="BG219" s="1494"/>
      <c r="BH219" s="1494"/>
      <c r="BI219" s="1494"/>
      <c r="BJ219" s="1494"/>
      <c r="BK219" s="1494"/>
      <c r="BL219" s="1494"/>
      <c r="BM219" s="1494"/>
      <c r="BN219" s="1494"/>
      <c r="BO219" s="1494"/>
      <c r="BP219" s="1494"/>
      <c r="BQ219" s="1494"/>
      <c r="BR219" s="1476"/>
      <c r="BS219" s="1511"/>
      <c r="BV219" s="1444"/>
      <c r="BW219" s="1443"/>
      <c r="BX219" s="1443"/>
      <c r="BY219" s="1443"/>
    </row>
    <row r="220" spans="2:77" ht="12.75" customHeight="1">
      <c r="B220" s="1549"/>
      <c r="C220" s="1774" t="s">
        <v>896</v>
      </c>
      <c r="D220" s="1732"/>
      <c r="E220" s="1732"/>
      <c r="F220" s="1733"/>
      <c r="G220" s="1718"/>
      <c r="H220" s="1704"/>
      <c r="I220" s="1704"/>
      <c r="J220" s="1719"/>
      <c r="K220" s="1718"/>
      <c r="L220" s="1704"/>
      <c r="M220" s="1704"/>
      <c r="N220" s="1719"/>
      <c r="O220" s="1718"/>
      <c r="P220" s="1704"/>
      <c r="Q220" s="1704"/>
      <c r="R220" s="1704"/>
      <c r="S220" s="1718"/>
      <c r="T220" s="1705"/>
      <c r="U220" s="1705"/>
      <c r="V220" s="1707"/>
      <c r="W220" s="1643"/>
      <c r="X220" s="1643"/>
      <c r="Y220" s="1643"/>
      <c r="Z220" s="1642"/>
      <c r="AA220" s="1643"/>
      <c r="AB220" s="1643"/>
      <c r="AC220" s="1643"/>
      <c r="AD220" s="1642"/>
      <c r="AE220" s="1643"/>
      <c r="AF220" s="1643"/>
      <c r="AG220" s="1643"/>
      <c r="AH220" s="1642"/>
      <c r="AI220" s="1643"/>
      <c r="AJ220" s="1643"/>
      <c r="AK220" s="1643"/>
      <c r="AL220" s="1642"/>
      <c r="AM220" s="1643"/>
      <c r="AN220" s="1643"/>
      <c r="AO220" s="1643"/>
      <c r="AP220" s="1642"/>
      <c r="AQ220" s="1643"/>
      <c r="AR220" s="1643"/>
      <c r="AS220" s="1643"/>
      <c r="AT220" s="1642"/>
      <c r="AU220" s="1643"/>
      <c r="AV220" s="1643"/>
      <c r="AW220" s="1643"/>
      <c r="AX220" s="1642"/>
      <c r="AY220" s="1643"/>
      <c r="AZ220" s="1643"/>
      <c r="BA220" s="1643"/>
      <c r="BB220" s="1905"/>
      <c r="BC220" s="1489"/>
      <c r="BD220" s="1489"/>
      <c r="BE220" s="1489"/>
      <c r="BF220" s="1489"/>
      <c r="BG220" s="1489"/>
      <c r="BH220" s="1489"/>
      <c r="BI220" s="1489"/>
      <c r="BJ220" s="1489"/>
      <c r="BK220" s="1489"/>
      <c r="BL220" s="1489"/>
      <c r="BM220" s="1489"/>
      <c r="BN220" s="1489"/>
      <c r="BO220" s="1489"/>
      <c r="BP220" s="1489"/>
      <c r="BQ220" s="1489"/>
      <c r="BR220" s="1476"/>
      <c r="BS220" s="1511"/>
      <c r="BV220" s="1444"/>
      <c r="BW220" s="1443"/>
      <c r="BX220" s="1443"/>
      <c r="BY220" s="1443"/>
    </row>
    <row r="221" spans="2:77" ht="12.75" customHeight="1">
      <c r="B221" s="1549"/>
      <c r="C221" s="1773" t="s">
        <v>803</v>
      </c>
      <c r="D221" s="1729"/>
      <c r="E221" s="1729"/>
      <c r="F221" s="1731"/>
      <c r="G221" s="1716">
        <v>8801.5691509389981</v>
      </c>
      <c r="H221" s="1712">
        <v>10939.694023823055</v>
      </c>
      <c r="I221" s="1712">
        <v>14421.989330928911</v>
      </c>
      <c r="J221" s="1717">
        <v>8861.0131998359921</v>
      </c>
      <c r="K221" s="1716">
        <v>9167.0595922106477</v>
      </c>
      <c r="L221" s="1712">
        <v>10189.12960248709</v>
      </c>
      <c r="M221" s="1712">
        <v>11710.045508691945</v>
      </c>
      <c r="N221" s="1717">
        <v>11336.882768537926</v>
      </c>
      <c r="O221" s="1716">
        <v>10207.718317800258</v>
      </c>
      <c r="P221" s="1712">
        <v>13937.121379905617</v>
      </c>
      <c r="Q221" s="1712">
        <v>15132.551384701612</v>
      </c>
      <c r="R221" s="1712">
        <v>12963.880511989042</v>
      </c>
      <c r="S221" s="1716">
        <v>11474.979818138521</v>
      </c>
      <c r="T221" s="1712">
        <v>10402.131258701407</v>
      </c>
      <c r="U221" s="1712">
        <v>14595.99188276675</v>
      </c>
      <c r="V221" s="1712">
        <v>15599.608908418337</v>
      </c>
      <c r="W221" s="1824">
        <v>9818.857351275652</v>
      </c>
      <c r="X221" s="1825">
        <v>11887.120339338082</v>
      </c>
      <c r="Y221" s="1825">
        <v>15922.771678283798</v>
      </c>
      <c r="Z221" s="1826">
        <v>15026.318812665288</v>
      </c>
      <c r="AA221" s="1824">
        <v>9835.9779023649571</v>
      </c>
      <c r="AB221" s="1825">
        <v>11407.233144218615</v>
      </c>
      <c r="AC221" s="1825">
        <v>18666.071155473397</v>
      </c>
      <c r="AD221" s="1826">
        <v>17315.33127145606</v>
      </c>
      <c r="AE221" s="1824">
        <v>12206.386279703562</v>
      </c>
      <c r="AF221" s="1680">
        <v>16621.31367909328</v>
      </c>
      <c r="AG221" s="1680">
        <v>22288.404958475618</v>
      </c>
      <c r="AH221" s="1681">
        <v>14434.588536316558</v>
      </c>
      <c r="AI221" s="1680">
        <v>10264.218099859183</v>
      </c>
      <c r="AJ221" s="1680">
        <v>12389.285901147583</v>
      </c>
      <c r="AK221" s="1680">
        <v>13153.218506204936</v>
      </c>
      <c r="AL221" s="1681">
        <v>14925.254225358662</v>
      </c>
      <c r="AM221" s="1680">
        <v>7994.7887216424933</v>
      </c>
      <c r="AN221" s="1680">
        <v>13122.990353697749</v>
      </c>
      <c r="AO221" s="1680">
        <v>14125.083166999331</v>
      </c>
      <c r="AP221" s="1681">
        <v>13408.970976253298</v>
      </c>
      <c r="AQ221" s="1680">
        <v>16121.702235183328</v>
      </c>
      <c r="AR221" s="1680">
        <v>17104.044129356756</v>
      </c>
      <c r="AS221" s="1680">
        <v>21029.097168692006</v>
      </c>
      <c r="AT221" s="1681">
        <v>8461.414086437906</v>
      </c>
      <c r="AU221" s="1680">
        <v>15860.467045238278</v>
      </c>
      <c r="AV221" s="1680">
        <v>16826.891124557431</v>
      </c>
      <c r="AW221" s="1680">
        <v>20688.34281700529</v>
      </c>
      <c r="AX221" s="1681">
        <v>8324.3057908107585</v>
      </c>
      <c r="AY221" s="1680">
        <v>15390.53594374832</v>
      </c>
      <c r="AZ221" s="1680">
        <v>16328.325763382341</v>
      </c>
      <c r="BA221" s="1680">
        <v>20075.366181432888</v>
      </c>
      <c r="BB221" s="1908">
        <v>8077.6642399499096</v>
      </c>
      <c r="BC221" s="1529"/>
      <c r="BD221" s="1529"/>
      <c r="BE221" s="1529">
        <f t="shared" ref="BE221:BE236" si="408">AVERAGE(G221:J221)</f>
        <v>10756.06642638174</v>
      </c>
      <c r="BF221" s="1529">
        <f t="shared" ref="BF221:BF236" si="409">AVERAGE(K221:N221)</f>
        <v>10600.779367981901</v>
      </c>
      <c r="BG221" s="1529">
        <f t="shared" ref="BG221:BG236" si="410">AVERAGE(O221:R221)</f>
        <v>13060.317898599133</v>
      </c>
      <c r="BH221" s="1529">
        <f t="shared" ref="BH221:BH236" si="411">AVERAGE(S221:V221)</f>
        <v>13018.177967006253</v>
      </c>
      <c r="BI221" s="1529">
        <f t="shared" ref="BI221:BI236" si="412">AVERAGE(W221:Z221)</f>
        <v>13163.767045390705</v>
      </c>
      <c r="BJ221" s="1529">
        <f t="shared" ref="BJ221:BJ236" si="413">AVERAGE(AA221:AD221)</f>
        <v>14306.153368378258</v>
      </c>
      <c r="BK221" s="1529">
        <f t="shared" ref="BK221:BK236" si="414">AVERAGE(AE221:AH221)</f>
        <v>16387.673363397254</v>
      </c>
      <c r="BL221" s="1529">
        <f t="shared" ref="BL221:BL236" si="415">AVERAGE(AI221:AL221)</f>
        <v>12682.994183142589</v>
      </c>
      <c r="BM221" s="1529">
        <f t="shared" ref="BM221:BM236" si="416">AVERAGE(AM221:AP221)</f>
        <v>12162.958304648218</v>
      </c>
      <c r="BN221" s="1529">
        <f t="shared" ref="BN221:BN236" si="417">AVERAGE(AQ221:AT221)</f>
        <v>15679.064404917501</v>
      </c>
      <c r="BO221" s="1529">
        <f t="shared" ref="BO221:BO236" si="418">AVERAGE(AU221:AX221)</f>
        <v>15425.001694402939</v>
      </c>
      <c r="BP221" s="1529">
        <f t="shared" ref="BP221:BP236" si="419">AVERAGE(AY221:BB221)</f>
        <v>14967.973032128364</v>
      </c>
      <c r="BQ221" s="1529"/>
      <c r="BR221" s="1476"/>
      <c r="BS221" s="1530"/>
      <c r="BV221" s="1444"/>
      <c r="BW221" s="1443"/>
      <c r="BX221" s="1443"/>
      <c r="BY221" s="1443"/>
    </row>
    <row r="222" spans="2:77" ht="12.75" customHeight="1">
      <c r="B222" s="1549"/>
      <c r="C222" s="1773" t="s">
        <v>804</v>
      </c>
      <c r="D222" s="1729"/>
      <c r="E222" s="1729"/>
      <c r="F222" s="1731"/>
      <c r="G222" s="1716">
        <v>6412.1294171203144</v>
      </c>
      <c r="H222" s="1712">
        <v>9234.2721012697057</v>
      </c>
      <c r="I222" s="1712">
        <v>11593.947010070106</v>
      </c>
      <c r="J222" s="1717">
        <v>7986.3843661035107</v>
      </c>
      <c r="K222" s="1716">
        <v>6840.1396780303039</v>
      </c>
      <c r="L222" s="1712">
        <v>9130.7265133667552</v>
      </c>
      <c r="M222" s="1712">
        <v>10816.593582639658</v>
      </c>
      <c r="N222" s="1717">
        <v>10282.027240426369</v>
      </c>
      <c r="O222" s="1716">
        <v>11040.263568617833</v>
      </c>
      <c r="P222" s="1712">
        <v>14052.827281024129</v>
      </c>
      <c r="Q222" s="1712">
        <v>13593.795584312746</v>
      </c>
      <c r="R222" s="1712">
        <v>10650.641750476832</v>
      </c>
      <c r="S222" s="1716">
        <v>10613.332343739214</v>
      </c>
      <c r="T222" s="1712">
        <v>9814.6604717116315</v>
      </c>
      <c r="U222" s="1712">
        <v>15217.027511328975</v>
      </c>
      <c r="V222" s="1712">
        <v>11622.060695219723</v>
      </c>
      <c r="W222" s="1824">
        <v>8339.8677320762581</v>
      </c>
      <c r="X222" s="1825">
        <v>12089.696865123291</v>
      </c>
      <c r="Y222" s="1825">
        <v>17008.913404698229</v>
      </c>
      <c r="Z222" s="1826">
        <v>14242.244323975263</v>
      </c>
      <c r="AA222" s="1824">
        <v>8245.126379457306</v>
      </c>
      <c r="AB222" s="1825">
        <v>23636.495062483507</v>
      </c>
      <c r="AC222" s="1825">
        <v>29559.964278835214</v>
      </c>
      <c r="AD222" s="1826">
        <v>26840.274598772085</v>
      </c>
      <c r="AE222" s="1824">
        <v>16770.720038090938</v>
      </c>
      <c r="AF222" s="1680">
        <v>22601.852674604575</v>
      </c>
      <c r="AG222" s="1680">
        <v>34191.352496551095</v>
      </c>
      <c r="AH222" s="1681">
        <v>12233.948471734455</v>
      </c>
      <c r="AI222" s="1680">
        <v>9237.5699548947559</v>
      </c>
      <c r="AJ222" s="1680">
        <v>13374.181331245492</v>
      </c>
      <c r="AK222" s="1680">
        <v>19942.594548815701</v>
      </c>
      <c r="AL222" s="1681">
        <v>12811.212946664498</v>
      </c>
      <c r="AM222" s="1680">
        <v>5561.1264063691815</v>
      </c>
      <c r="AN222" s="1680">
        <v>16904.797713941942</v>
      </c>
      <c r="AO222" s="1680">
        <v>15195.195195195192</v>
      </c>
      <c r="AP222" s="1681">
        <v>14065.797641216635</v>
      </c>
      <c r="AQ222" s="1680">
        <v>14527.253857531297</v>
      </c>
      <c r="AR222" s="1680">
        <v>19603.903225075555</v>
      </c>
      <c r="AS222" s="1680">
        <v>17640.554959788038</v>
      </c>
      <c r="AT222" s="1681">
        <v>7417.7739790369633</v>
      </c>
      <c r="AU222" s="1680">
        <v>14642.155761170308</v>
      </c>
      <c r="AV222" s="1680">
        <v>19758.958393891811</v>
      </c>
      <c r="AW222" s="1680">
        <v>17780.081216161496</v>
      </c>
      <c r="AX222" s="1681">
        <v>7476.4441419813102</v>
      </c>
      <c r="AY222" s="1680">
        <v>14513.506709443927</v>
      </c>
      <c r="AZ222" s="1680">
        <v>19585.352040979196</v>
      </c>
      <c r="BA222" s="1680">
        <v>17623.861693204144</v>
      </c>
      <c r="BB222" s="1908">
        <v>7410.7545355572447</v>
      </c>
      <c r="BC222" s="1529"/>
      <c r="BD222" s="1529"/>
      <c r="BE222" s="1529">
        <f t="shared" si="408"/>
        <v>8806.68322364091</v>
      </c>
      <c r="BF222" s="1529">
        <f t="shared" si="409"/>
        <v>9267.371753615771</v>
      </c>
      <c r="BG222" s="1529">
        <f t="shared" si="410"/>
        <v>12334.382046107885</v>
      </c>
      <c r="BH222" s="1529">
        <f t="shared" si="411"/>
        <v>11816.770255499887</v>
      </c>
      <c r="BI222" s="1529">
        <f t="shared" si="412"/>
        <v>12920.180581468259</v>
      </c>
      <c r="BJ222" s="1529">
        <f t="shared" si="413"/>
        <v>22070.465079887028</v>
      </c>
      <c r="BK222" s="1529">
        <f t="shared" si="414"/>
        <v>21449.468420245266</v>
      </c>
      <c r="BL222" s="1529">
        <f t="shared" si="415"/>
        <v>13841.389695405112</v>
      </c>
      <c r="BM222" s="1529">
        <f t="shared" si="416"/>
        <v>12931.729239180739</v>
      </c>
      <c r="BN222" s="1529">
        <f t="shared" si="417"/>
        <v>14797.371505357962</v>
      </c>
      <c r="BO222" s="1529">
        <f t="shared" si="418"/>
        <v>14914.40987830123</v>
      </c>
      <c r="BP222" s="1529">
        <f t="shared" si="419"/>
        <v>14783.368744796129</v>
      </c>
      <c r="BQ222" s="1529"/>
      <c r="BR222" s="1476"/>
      <c r="BS222" s="1477"/>
      <c r="BV222" s="1444"/>
      <c r="BW222" s="1443"/>
      <c r="BX222" s="1443"/>
      <c r="BY222" s="1443"/>
    </row>
    <row r="223" spans="2:77" ht="12.75" customHeight="1">
      <c r="B223" s="1549"/>
      <c r="C223" s="1773" t="s">
        <v>805</v>
      </c>
      <c r="D223" s="1729"/>
      <c r="E223" s="1729"/>
      <c r="F223" s="1731"/>
      <c r="G223" s="1716">
        <v>8661.4231642287741</v>
      </c>
      <c r="H223" s="1712">
        <v>11733.472288175466</v>
      </c>
      <c r="I223" s="1712">
        <v>15567.424976285371</v>
      </c>
      <c r="J223" s="1717">
        <v>9467.1210998981551</v>
      </c>
      <c r="K223" s="1716">
        <v>8811.5559963805918</v>
      </c>
      <c r="L223" s="1712">
        <v>11833.163129494042</v>
      </c>
      <c r="M223" s="1712">
        <v>13749.375769400505</v>
      </c>
      <c r="N223" s="1717">
        <v>11401.789212415018</v>
      </c>
      <c r="O223" s="1716">
        <v>10858.411061353236</v>
      </c>
      <c r="P223" s="1712">
        <v>17096.327622236855</v>
      </c>
      <c r="Q223" s="1712">
        <v>16321.388541509912</v>
      </c>
      <c r="R223" s="1712">
        <v>11936.102955529621</v>
      </c>
      <c r="S223" s="1716">
        <v>9200.0602031750641</v>
      </c>
      <c r="T223" s="1712">
        <v>10943.30469533352</v>
      </c>
      <c r="U223" s="1712">
        <v>16839.305638511436</v>
      </c>
      <c r="V223" s="1712">
        <v>11507.281614895146</v>
      </c>
      <c r="W223" s="1824">
        <v>8513.2984461369888</v>
      </c>
      <c r="X223" s="1825">
        <v>12214.306661080853</v>
      </c>
      <c r="Y223" s="1825">
        <v>15533.074957564382</v>
      </c>
      <c r="Z223" s="1826">
        <v>13169.174296902111</v>
      </c>
      <c r="AA223" s="1824">
        <v>8752.0153850948955</v>
      </c>
      <c r="AB223" s="1825">
        <v>13044.571585464208</v>
      </c>
      <c r="AC223" s="1825">
        <v>16897.690788927091</v>
      </c>
      <c r="AD223" s="1826">
        <v>14276.849559241589</v>
      </c>
      <c r="AE223" s="1824">
        <v>12408.032404772037</v>
      </c>
      <c r="AF223" s="1680">
        <v>16600.643581221062</v>
      </c>
      <c r="AG223" s="1680">
        <v>20653.382464404767</v>
      </c>
      <c r="AH223" s="1681">
        <v>13059.678246218231</v>
      </c>
      <c r="AI223" s="1680">
        <v>10564.639678870024</v>
      </c>
      <c r="AJ223" s="1680">
        <v>12417.855523387629</v>
      </c>
      <c r="AK223" s="1680">
        <v>13595.184996214484</v>
      </c>
      <c r="AL223" s="1681">
        <v>11881.520868816107</v>
      </c>
      <c r="AM223" s="1680">
        <v>6442.6306762573604</v>
      </c>
      <c r="AN223" s="1680">
        <v>14924.97320471597</v>
      </c>
      <c r="AO223" s="1680">
        <v>11663.33998669328</v>
      </c>
      <c r="AP223" s="1681">
        <v>13240.105540897099</v>
      </c>
      <c r="AQ223" s="1680">
        <v>15902.941350771327</v>
      </c>
      <c r="AR223" s="1680">
        <v>19127.171748689459</v>
      </c>
      <c r="AS223" s="1680">
        <v>16072.965189791517</v>
      </c>
      <c r="AT223" s="1681">
        <v>6473.9168195960674</v>
      </c>
      <c r="AU223" s="1680">
        <v>15877.25457081885</v>
      </c>
      <c r="AV223" s="1680">
        <v>19096.277121023737</v>
      </c>
      <c r="AW223" s="1680">
        <v>16047.003783602089</v>
      </c>
      <c r="AX223" s="1681">
        <v>6463.460007041228</v>
      </c>
      <c r="AY223" s="1680">
        <v>15501.066136796249</v>
      </c>
      <c r="AZ223" s="1680">
        <v>18643.818633709263</v>
      </c>
      <c r="BA223" s="1680">
        <v>15666.79338909201</v>
      </c>
      <c r="BB223" s="1908">
        <v>6310.3177312421476</v>
      </c>
      <c r="BC223" s="1529"/>
      <c r="BD223" s="1529"/>
      <c r="BE223" s="1529">
        <f t="shared" si="408"/>
        <v>11357.360382146942</v>
      </c>
      <c r="BF223" s="1529">
        <f t="shared" si="409"/>
        <v>11448.971026922538</v>
      </c>
      <c r="BG223" s="1529">
        <f t="shared" si="410"/>
        <v>14053.057545157406</v>
      </c>
      <c r="BH223" s="1529">
        <f t="shared" si="411"/>
        <v>12122.488037978792</v>
      </c>
      <c r="BI223" s="1529">
        <f t="shared" si="412"/>
        <v>12357.463590421085</v>
      </c>
      <c r="BJ223" s="1529">
        <f t="shared" si="413"/>
        <v>13242.781829681946</v>
      </c>
      <c r="BK223" s="1529">
        <f t="shared" si="414"/>
        <v>15680.434174154023</v>
      </c>
      <c r="BL223" s="1529">
        <f t="shared" si="415"/>
        <v>12114.800266822062</v>
      </c>
      <c r="BM223" s="1529">
        <f t="shared" si="416"/>
        <v>11567.762352140928</v>
      </c>
      <c r="BN223" s="1529">
        <f t="shared" si="417"/>
        <v>14394.248777212093</v>
      </c>
      <c r="BO223" s="1529">
        <f t="shared" si="418"/>
        <v>14370.998870621475</v>
      </c>
      <c r="BP223" s="1529">
        <f t="shared" si="419"/>
        <v>14030.498972709916</v>
      </c>
      <c r="BQ223" s="1529"/>
      <c r="BR223" s="1476"/>
      <c r="BS223" s="1477"/>
      <c r="BV223" s="1444"/>
      <c r="BW223" s="1443"/>
      <c r="BX223" s="1443"/>
      <c r="BY223" s="1443"/>
    </row>
    <row r="224" spans="2:77" ht="12.75" customHeight="1">
      <c r="B224" s="1549"/>
      <c r="C224" s="1773" t="s">
        <v>806</v>
      </c>
      <c r="D224" s="1729"/>
      <c r="E224" s="1729"/>
      <c r="F224" s="1731"/>
      <c r="G224" s="1716">
        <v>9539.7438150189519</v>
      </c>
      <c r="H224" s="1712">
        <v>13697.35313631684</v>
      </c>
      <c r="I224" s="1712">
        <v>17284.703810095227</v>
      </c>
      <c r="J224" s="1717">
        <v>10274.047045908441</v>
      </c>
      <c r="K224" s="1716">
        <v>10183.447113344422</v>
      </c>
      <c r="L224" s="1712">
        <v>13001.009310136313</v>
      </c>
      <c r="M224" s="1712">
        <v>14568.584070796462</v>
      </c>
      <c r="N224" s="1717">
        <v>12436.247938794573</v>
      </c>
      <c r="O224" s="1716">
        <v>12425.14553153737</v>
      </c>
      <c r="P224" s="1712">
        <v>18031.971093165863</v>
      </c>
      <c r="Q224" s="1712">
        <v>17146.378293109447</v>
      </c>
      <c r="R224" s="1712">
        <v>12431.863270403677</v>
      </c>
      <c r="S224" s="1716">
        <v>10578.39992459892</v>
      </c>
      <c r="T224" s="1712">
        <v>11999.78855129232</v>
      </c>
      <c r="U224" s="1712">
        <v>17812.227801005432</v>
      </c>
      <c r="V224" s="1712">
        <v>11729.179938323001</v>
      </c>
      <c r="W224" s="1824">
        <v>9203.1098350249158</v>
      </c>
      <c r="X224" s="1825">
        <v>12626.733347297857</v>
      </c>
      <c r="Y224" s="1825">
        <v>15897.562359300329</v>
      </c>
      <c r="Z224" s="1826">
        <v>13240.978153002308</v>
      </c>
      <c r="AA224" s="1824">
        <v>9018.8976375690818</v>
      </c>
      <c r="AB224" s="1825">
        <v>13894.286417546622</v>
      </c>
      <c r="AC224" s="1825">
        <v>18107.995319874713</v>
      </c>
      <c r="AD224" s="1826">
        <v>14745.056501394383</v>
      </c>
      <c r="AE224" s="1824">
        <v>13209.269974318235</v>
      </c>
      <c r="AF224" s="1680">
        <v>17254.346935393285</v>
      </c>
      <c r="AG224" s="1680">
        <v>22217.55576655066</v>
      </c>
      <c r="AH224" s="1681">
        <v>13392.414325610831</v>
      </c>
      <c r="AI224" s="1680">
        <v>10821.778932940791</v>
      </c>
      <c r="AJ224" s="1680">
        <v>14506.809765484199</v>
      </c>
      <c r="AK224" s="1680">
        <v>14815.14368478225</v>
      </c>
      <c r="AL224" s="1681">
        <v>12173.228816928658</v>
      </c>
      <c r="AM224" s="1680">
        <v>7815.56322828876</v>
      </c>
      <c r="AN224" s="1680">
        <v>16606.377277599146</v>
      </c>
      <c r="AO224" s="1680">
        <v>13626.081170991349</v>
      </c>
      <c r="AP224" s="1681">
        <v>14369.39313984169</v>
      </c>
      <c r="AQ224" s="1680">
        <v>16741.315089166317</v>
      </c>
      <c r="AR224" s="1680">
        <v>20687.340048570692</v>
      </c>
      <c r="AS224" s="1680">
        <v>18591.892964046394</v>
      </c>
      <c r="AT224" s="1681">
        <v>8151.6242564083632</v>
      </c>
      <c r="AU224" s="1680">
        <v>16761.003464683836</v>
      </c>
      <c r="AV224" s="1680">
        <v>20711.669088264731</v>
      </c>
      <c r="AW224" s="1680">
        <v>18613.757684249551</v>
      </c>
      <c r="AX224" s="1681">
        <v>8161.210853314461</v>
      </c>
      <c r="AY224" s="1680">
        <v>16419.071657976107</v>
      </c>
      <c r="AZ224" s="1680">
        <v>20289.14197369161</v>
      </c>
      <c r="BA224" s="1680">
        <v>18234.028880541242</v>
      </c>
      <c r="BB224" s="1908">
        <v>7994.7185798729333</v>
      </c>
      <c r="BC224" s="1529"/>
      <c r="BD224" s="1529"/>
      <c r="BE224" s="1529">
        <f t="shared" si="408"/>
        <v>12698.961951834865</v>
      </c>
      <c r="BF224" s="1529">
        <f t="shared" si="409"/>
        <v>12547.322108267941</v>
      </c>
      <c r="BG224" s="1529">
        <f t="shared" si="410"/>
        <v>15008.839547054089</v>
      </c>
      <c r="BH224" s="1529">
        <f t="shared" si="411"/>
        <v>13029.89905380492</v>
      </c>
      <c r="BI224" s="1529">
        <f t="shared" si="412"/>
        <v>12742.095923656352</v>
      </c>
      <c r="BJ224" s="1529">
        <f t="shared" si="413"/>
        <v>13941.558969096201</v>
      </c>
      <c r="BK224" s="1529">
        <f t="shared" si="414"/>
        <v>16518.396750468255</v>
      </c>
      <c r="BL224" s="1529">
        <f t="shared" si="415"/>
        <v>13079.240300033973</v>
      </c>
      <c r="BM224" s="1529">
        <f t="shared" si="416"/>
        <v>13104.353704180236</v>
      </c>
      <c r="BN224" s="1529">
        <f t="shared" si="417"/>
        <v>16043.04308954794</v>
      </c>
      <c r="BO224" s="1529">
        <f t="shared" si="418"/>
        <v>16061.910272628145</v>
      </c>
      <c r="BP224" s="1529">
        <f t="shared" si="419"/>
        <v>15734.240273020474</v>
      </c>
      <c r="BQ224" s="1529"/>
      <c r="BR224" s="1476"/>
      <c r="BS224" s="1477"/>
      <c r="BV224" s="1444"/>
      <c r="BW224" s="1443"/>
      <c r="BX224" s="1443"/>
      <c r="BY224" s="1443"/>
    </row>
    <row r="225" spans="2:77" ht="12.75" customHeight="1">
      <c r="B225" s="1549"/>
      <c r="C225" s="1773" t="s">
        <v>807</v>
      </c>
      <c r="D225" s="1729"/>
      <c r="E225" s="1729"/>
      <c r="F225" s="1731"/>
      <c r="G225" s="1716">
        <v>8231.2955131731214</v>
      </c>
      <c r="H225" s="1712">
        <v>11041.103779988538</v>
      </c>
      <c r="I225" s="1712">
        <v>14228.587132037725</v>
      </c>
      <c r="J225" s="1717">
        <v>9383.2805134876544</v>
      </c>
      <c r="K225" s="1716">
        <v>8427.5939587936628</v>
      </c>
      <c r="L225" s="1712">
        <v>12841.345055255759</v>
      </c>
      <c r="M225" s="1712">
        <v>13053.181206760597</v>
      </c>
      <c r="N225" s="1717">
        <v>10988.427298979313</v>
      </c>
      <c r="O225" s="1716">
        <v>12399.269052277541</v>
      </c>
      <c r="P225" s="1712">
        <v>15811.917941469588</v>
      </c>
      <c r="Q225" s="1712">
        <v>16066.421494696588</v>
      </c>
      <c r="R225" s="1712">
        <v>11326.798880136883</v>
      </c>
      <c r="S225" s="1716">
        <v>9769.8876086014934</v>
      </c>
      <c r="T225" s="1712">
        <v>10989.280048611789</v>
      </c>
      <c r="U225" s="1712">
        <v>13580.3682962901</v>
      </c>
      <c r="V225" s="1712">
        <v>10104.935635805112</v>
      </c>
      <c r="W225" s="1824">
        <v>8947.0994834564881</v>
      </c>
      <c r="X225" s="1825">
        <v>13598.639044134061</v>
      </c>
      <c r="Y225" s="1825">
        <v>16362.499285784888</v>
      </c>
      <c r="Z225" s="1826">
        <v>14636.185295017334</v>
      </c>
      <c r="AA225" s="1824">
        <v>8819.9510291713868</v>
      </c>
      <c r="AB225" s="1825">
        <v>24123.141529550368</v>
      </c>
      <c r="AC225" s="1825">
        <v>28747.430408517044</v>
      </c>
      <c r="AD225" s="1826">
        <v>24735.597244755765</v>
      </c>
      <c r="AE225" s="1824">
        <v>16416.865442427312</v>
      </c>
      <c r="AF225" s="1680">
        <v>20663.424419465664</v>
      </c>
      <c r="AG225" s="1680">
        <v>28889.206582791372</v>
      </c>
      <c r="AH225" s="1681">
        <v>14896.780177793647</v>
      </c>
      <c r="AI225" s="1680">
        <v>10739.7501298603</v>
      </c>
      <c r="AJ225" s="1680">
        <v>13045.335901964805</v>
      </c>
      <c r="AK225" s="1680">
        <v>20361.658997618648</v>
      </c>
      <c r="AL225" s="1681">
        <v>13616.365420376185</v>
      </c>
      <c r="AM225" s="1680">
        <v>7345.4940065431902</v>
      </c>
      <c r="AN225" s="1680">
        <v>15566.250563994585</v>
      </c>
      <c r="AO225" s="1680">
        <v>16621.62162162162</v>
      </c>
      <c r="AP225" s="1681">
        <v>12917.442582247049</v>
      </c>
      <c r="AQ225" s="1680">
        <v>11104.548723888633</v>
      </c>
      <c r="AR225" s="1680">
        <v>16674.490418195121</v>
      </c>
      <c r="AS225" s="1680">
        <v>17885.095700846545</v>
      </c>
      <c r="AT225" s="1681">
        <v>10165.322792411107</v>
      </c>
      <c r="AU225" s="1680">
        <v>11252.137629199777</v>
      </c>
      <c r="AV225" s="1680">
        <v>16896.108590048279</v>
      </c>
      <c r="AW225" s="1680">
        <v>18122.803847436458</v>
      </c>
      <c r="AX225" s="1681">
        <v>10300.428585574848</v>
      </c>
      <c r="AY225" s="1680">
        <v>11109.283737185371</v>
      </c>
      <c r="AZ225" s="1680">
        <v>16681.6004715444</v>
      </c>
      <c r="BA225" s="1680">
        <v>17892.721959964558</v>
      </c>
      <c r="BB225" s="1908">
        <v>10169.657316918545</v>
      </c>
      <c r="BC225" s="1529"/>
      <c r="BD225" s="1529"/>
      <c r="BE225" s="1529">
        <f t="shared" si="408"/>
        <v>10721.06673467176</v>
      </c>
      <c r="BF225" s="1529">
        <f t="shared" si="409"/>
        <v>11327.636879947331</v>
      </c>
      <c r="BG225" s="1529">
        <f t="shared" si="410"/>
        <v>13901.10184214515</v>
      </c>
      <c r="BH225" s="1529">
        <f t="shared" si="411"/>
        <v>11111.117897327124</v>
      </c>
      <c r="BI225" s="1529">
        <f t="shared" si="412"/>
        <v>13386.105777098193</v>
      </c>
      <c r="BJ225" s="1529">
        <f t="shared" si="413"/>
        <v>21606.530052998642</v>
      </c>
      <c r="BK225" s="1529">
        <f t="shared" si="414"/>
        <v>20216.569155619502</v>
      </c>
      <c r="BL225" s="1529">
        <f t="shared" si="415"/>
        <v>14440.777612454986</v>
      </c>
      <c r="BM225" s="1529">
        <f t="shared" si="416"/>
        <v>13112.702193601612</v>
      </c>
      <c r="BN225" s="1529">
        <f t="shared" si="417"/>
        <v>13957.364408835352</v>
      </c>
      <c r="BO225" s="1529">
        <f t="shared" si="418"/>
        <v>14142.869663064841</v>
      </c>
      <c r="BP225" s="1529">
        <f t="shared" si="419"/>
        <v>13963.315871403218</v>
      </c>
      <c r="BQ225" s="1529"/>
      <c r="BR225" s="1476"/>
      <c r="BS225" s="1477"/>
      <c r="BV225" s="1444"/>
      <c r="BW225" s="1443"/>
      <c r="BX225" s="1443"/>
      <c r="BY225" s="1443"/>
    </row>
    <row r="226" spans="2:77" ht="12.75" customHeight="1">
      <c r="B226" s="1549"/>
      <c r="C226" s="1773" t="s">
        <v>693</v>
      </c>
      <c r="D226" s="1729"/>
      <c r="E226" s="1729"/>
      <c r="F226" s="1731"/>
      <c r="G226" s="1716">
        <v>8828.3235001232933</v>
      </c>
      <c r="H226" s="1712">
        <v>12152.629284719847</v>
      </c>
      <c r="I226" s="1712">
        <v>17173.13306743103</v>
      </c>
      <c r="J226" s="1717">
        <v>10120.881701897726</v>
      </c>
      <c r="K226" s="1716">
        <v>9486.4861275515559</v>
      </c>
      <c r="L226" s="1712">
        <v>14083.274067213015</v>
      </c>
      <c r="M226" s="1712">
        <v>15184.902828423206</v>
      </c>
      <c r="N226" s="1717">
        <v>11452.068410464995</v>
      </c>
      <c r="O226" s="1716">
        <v>13882.378537887873</v>
      </c>
      <c r="P226" s="1712">
        <v>15168.285590046735</v>
      </c>
      <c r="Q226" s="1712">
        <v>18341.98697135222</v>
      </c>
      <c r="R226" s="1712">
        <v>12596.345207299488</v>
      </c>
      <c r="S226" s="1716">
        <v>9911.8076792134689</v>
      </c>
      <c r="T226" s="1712">
        <v>11384.147247720264</v>
      </c>
      <c r="U226" s="1712">
        <v>15573.185234756584</v>
      </c>
      <c r="V226" s="1712">
        <v>10607.460008072527</v>
      </c>
      <c r="W226" s="1824">
        <v>10425.452124530333</v>
      </c>
      <c r="X226" s="1825">
        <v>14513.982866861383</v>
      </c>
      <c r="Y226" s="1825">
        <v>17923.159637116962</v>
      </c>
      <c r="Z226" s="1826">
        <v>17808.177795314739</v>
      </c>
      <c r="AA226" s="1824">
        <v>10435.739406819961</v>
      </c>
      <c r="AB226" s="1825">
        <v>22688.465601410513</v>
      </c>
      <c r="AC226" s="1825">
        <v>29063.334258348081</v>
      </c>
      <c r="AD226" s="1826">
        <v>23298.162468780309</v>
      </c>
      <c r="AE226" s="1824">
        <v>17051.205582715174</v>
      </c>
      <c r="AF226" s="1680">
        <v>18139.264256659353</v>
      </c>
      <c r="AG226" s="1680">
        <v>30127.615946596885</v>
      </c>
      <c r="AH226" s="1681">
        <v>12908.049102170644</v>
      </c>
      <c r="AI226" s="1680">
        <v>11111.448318537523</v>
      </c>
      <c r="AJ226" s="1680">
        <v>12879.867308086643</v>
      </c>
      <c r="AK226" s="1680">
        <v>19709.573082387014</v>
      </c>
      <c r="AL226" s="1681">
        <v>14197.025620468919</v>
      </c>
      <c r="AM226" s="1680">
        <v>7552.144985638347</v>
      </c>
      <c r="AN226" s="1680">
        <v>15508.196721311475</v>
      </c>
      <c r="AO226" s="1680">
        <v>17145.420420420422</v>
      </c>
      <c r="AP226" s="1681">
        <v>12891.744258224702</v>
      </c>
      <c r="AQ226" s="1680">
        <v>12752.248157113403</v>
      </c>
      <c r="AR226" s="1680">
        <v>17021.585855808447</v>
      </c>
      <c r="AS226" s="1680">
        <v>18914.044155281495</v>
      </c>
      <c r="AT226" s="1681">
        <v>9489.5496195419528</v>
      </c>
      <c r="AU226" s="1680">
        <v>12943.493840954505</v>
      </c>
      <c r="AV226" s="1680">
        <v>17276.858870177937</v>
      </c>
      <c r="AW226" s="1680">
        <v>19197.698399153764</v>
      </c>
      <c r="AX226" s="1681">
        <v>9631.864557580624</v>
      </c>
      <c r="AY226" s="1680">
        <v>12841.205970069279</v>
      </c>
      <c r="AZ226" s="1680">
        <v>17140.325942428291</v>
      </c>
      <c r="BA226" s="1680">
        <v>19045.985753458921</v>
      </c>
      <c r="BB226" s="1908">
        <v>9555.7473259926228</v>
      </c>
      <c r="BC226" s="1529"/>
      <c r="BD226" s="1529"/>
      <c r="BE226" s="1529">
        <f t="shared" si="408"/>
        <v>12068.741888542974</v>
      </c>
      <c r="BF226" s="1529">
        <f t="shared" si="409"/>
        <v>12551.682858413194</v>
      </c>
      <c r="BG226" s="1529">
        <f t="shared" si="410"/>
        <v>14997.249076646578</v>
      </c>
      <c r="BH226" s="1529">
        <f t="shared" si="411"/>
        <v>11869.150042440711</v>
      </c>
      <c r="BI226" s="1529">
        <f t="shared" si="412"/>
        <v>15167.693105955856</v>
      </c>
      <c r="BJ226" s="1529">
        <f t="shared" si="413"/>
        <v>21371.425433839719</v>
      </c>
      <c r="BK226" s="1529">
        <f t="shared" si="414"/>
        <v>19556.533722035514</v>
      </c>
      <c r="BL226" s="1529">
        <f t="shared" si="415"/>
        <v>14474.478582370026</v>
      </c>
      <c r="BM226" s="1529">
        <f t="shared" si="416"/>
        <v>13274.376596398735</v>
      </c>
      <c r="BN226" s="1529">
        <f t="shared" si="417"/>
        <v>14544.356946936325</v>
      </c>
      <c r="BO226" s="1529">
        <f t="shared" si="418"/>
        <v>14762.478916966707</v>
      </c>
      <c r="BP226" s="1529">
        <f t="shared" si="419"/>
        <v>14645.816247987277</v>
      </c>
      <c r="BQ226" s="1529"/>
      <c r="BR226" s="1476"/>
      <c r="BS226" s="1477"/>
      <c r="BV226" s="1444"/>
      <c r="BW226" s="1443"/>
      <c r="BX226" s="1443"/>
      <c r="BY226" s="1443"/>
    </row>
    <row r="227" spans="2:77" ht="12.75" customHeight="1">
      <c r="B227" s="1549"/>
      <c r="C227" s="1773" t="s">
        <v>808</v>
      </c>
      <c r="D227" s="1729"/>
      <c r="E227" s="1729"/>
      <c r="F227" s="1731"/>
      <c r="G227" s="1716">
        <v>7234.2720452950425</v>
      </c>
      <c r="H227" s="1712">
        <v>9219.5630628076833</v>
      </c>
      <c r="I227" s="1712">
        <v>11045.187830976916</v>
      </c>
      <c r="J227" s="1717">
        <v>7381.5895861529834</v>
      </c>
      <c r="K227" s="1716">
        <v>6978.2974668560619</v>
      </c>
      <c r="L227" s="1712">
        <v>10974.737677781584</v>
      </c>
      <c r="M227" s="1712">
        <v>11488.370939644137</v>
      </c>
      <c r="N227" s="1717">
        <v>10454.753259779891</v>
      </c>
      <c r="O227" s="1716">
        <v>11590.193568861898</v>
      </c>
      <c r="P227" s="1712">
        <v>14239.168969349786</v>
      </c>
      <c r="Q227" s="1712">
        <v>14649.640167203261</v>
      </c>
      <c r="R227" s="1712">
        <v>10401.683528262198</v>
      </c>
      <c r="S227" s="1716">
        <v>8843.8741816001238</v>
      </c>
      <c r="T227" s="1712">
        <v>10090.605702834497</v>
      </c>
      <c r="U227" s="1712">
        <v>11784.929103005486</v>
      </c>
      <c r="V227" s="1712">
        <v>9055.3075246398785</v>
      </c>
      <c r="W227" s="1824">
        <v>6250.8834115149521</v>
      </c>
      <c r="X227" s="1825">
        <v>13598.445413206973</v>
      </c>
      <c r="Y227" s="1825">
        <v>15115.206481521522</v>
      </c>
      <c r="Z227" s="1826">
        <v>14526.341739741243</v>
      </c>
      <c r="AA227" s="1824">
        <v>6685.8777350899572</v>
      </c>
      <c r="AB227" s="1825">
        <v>22536.074157139941</v>
      </c>
      <c r="AC227" s="1825">
        <v>26155.148246335953</v>
      </c>
      <c r="AD227" s="1826">
        <v>23909.989823722273</v>
      </c>
      <c r="AE227" s="1824">
        <v>14978.836309235272</v>
      </c>
      <c r="AF227" s="1680">
        <v>19797.287168266088</v>
      </c>
      <c r="AG227" s="1680">
        <v>28019.254671976272</v>
      </c>
      <c r="AH227" s="1681">
        <v>14526.175995021027</v>
      </c>
      <c r="AI227" s="1680">
        <v>10353.203493698842</v>
      </c>
      <c r="AJ227" s="1680">
        <v>13146.418491195038</v>
      </c>
      <c r="AK227" s="1680">
        <v>20992.620308985443</v>
      </c>
      <c r="AL227" s="1681">
        <v>11673.338698911291</v>
      </c>
      <c r="AM227" s="1680">
        <v>6038.4727262704982</v>
      </c>
      <c r="AN227" s="1680">
        <v>13216.818012190572</v>
      </c>
      <c r="AO227" s="1680">
        <v>13392.53996447602</v>
      </c>
      <c r="AP227" s="1681">
        <v>11740.379092475589</v>
      </c>
      <c r="AQ227" s="1680">
        <v>12782.858661912423</v>
      </c>
      <c r="AR227" s="1680">
        <v>12270.005904552587</v>
      </c>
      <c r="AS227" s="1680">
        <v>13129.877577825491</v>
      </c>
      <c r="AT227" s="1681">
        <v>11979.669391553554</v>
      </c>
      <c r="AU227" s="1680">
        <v>12476.88178267494</v>
      </c>
      <c r="AV227" s="1680">
        <v>11976.304924654652</v>
      </c>
      <c r="AW227" s="1680">
        <v>12815.594280772109</v>
      </c>
      <c r="AX227" s="1681">
        <v>11692.918051210097</v>
      </c>
      <c r="AY227" s="1680">
        <v>12273.714143985671</v>
      </c>
      <c r="AZ227" s="1680">
        <v>11781.288442640418</v>
      </c>
      <c r="BA227" s="1680">
        <v>12606.911208047992</v>
      </c>
      <c r="BB227" s="1908">
        <v>11502.516106939836</v>
      </c>
      <c r="BC227" s="1529"/>
      <c r="BD227" s="1529"/>
      <c r="BE227" s="1529">
        <f t="shared" si="408"/>
        <v>8720.1531313081559</v>
      </c>
      <c r="BF227" s="1529">
        <f t="shared" si="409"/>
        <v>9974.0398360154177</v>
      </c>
      <c r="BG227" s="1529">
        <f t="shared" si="410"/>
        <v>12720.171558419286</v>
      </c>
      <c r="BH227" s="1529">
        <f t="shared" si="411"/>
        <v>9943.6791280199977</v>
      </c>
      <c r="BI227" s="1529">
        <f t="shared" si="412"/>
        <v>12372.719261496171</v>
      </c>
      <c r="BJ227" s="1529">
        <f t="shared" si="413"/>
        <v>19821.772490572032</v>
      </c>
      <c r="BK227" s="1529">
        <f t="shared" si="414"/>
        <v>19330.388536124665</v>
      </c>
      <c r="BL227" s="1529">
        <f t="shared" si="415"/>
        <v>14041.395248197652</v>
      </c>
      <c r="BM227" s="1529">
        <f t="shared" si="416"/>
        <v>11097.05244885317</v>
      </c>
      <c r="BN227" s="1529">
        <f t="shared" si="417"/>
        <v>12540.602883961015</v>
      </c>
      <c r="BO227" s="1529">
        <f t="shared" si="418"/>
        <v>12240.424759827951</v>
      </c>
      <c r="BP227" s="1529">
        <f t="shared" si="419"/>
        <v>12041.10747540348</v>
      </c>
      <c r="BQ227" s="1529"/>
      <c r="BR227" s="1476"/>
      <c r="BS227" s="1477"/>
      <c r="BV227" s="1444"/>
      <c r="BW227" s="1443"/>
      <c r="BX227" s="1443"/>
      <c r="BY227" s="1443"/>
    </row>
    <row r="228" spans="2:77" ht="12.75" customHeight="1">
      <c r="B228" s="1549"/>
      <c r="C228" s="1773" t="s">
        <v>809</v>
      </c>
      <c r="D228" s="1729"/>
      <c r="E228" s="1729"/>
      <c r="F228" s="1731"/>
      <c r="G228" s="1716">
        <v>8150.2244612524382</v>
      </c>
      <c r="H228" s="1712">
        <v>10003.549383125364</v>
      </c>
      <c r="I228" s="1712">
        <v>12028.047815312115</v>
      </c>
      <c r="J228" s="1717">
        <v>10227.868758263019</v>
      </c>
      <c r="K228" s="1716">
        <v>9936.5439224208931</v>
      </c>
      <c r="L228" s="1712">
        <v>11672.791950011986</v>
      </c>
      <c r="M228" s="1712">
        <v>12186.105777662253</v>
      </c>
      <c r="N228" s="1717">
        <v>11252.850685073325</v>
      </c>
      <c r="O228" s="1716">
        <v>13099.854320578041</v>
      </c>
      <c r="P228" s="1712">
        <v>15290.619466270606</v>
      </c>
      <c r="Q228" s="1712">
        <v>15612.213249244409</v>
      </c>
      <c r="R228" s="1712">
        <v>11258.478019599537</v>
      </c>
      <c r="S228" s="1716">
        <v>10840.629181716851</v>
      </c>
      <c r="T228" s="1712">
        <v>10433.524268414367</v>
      </c>
      <c r="U228" s="1712">
        <v>11783.624476286885</v>
      </c>
      <c r="V228" s="1712">
        <v>9410.7450433957438</v>
      </c>
      <c r="W228" s="1824">
        <v>15318.186620328099</v>
      </c>
      <c r="X228" s="1825">
        <v>10985.588769221897</v>
      </c>
      <c r="Y228" s="1825">
        <v>9630.6910356468015</v>
      </c>
      <c r="Z228" s="1826">
        <v>10341.789794005559</v>
      </c>
      <c r="AA228" s="1824">
        <v>14856.332241024871</v>
      </c>
      <c r="AB228" s="1825">
        <v>12927.939921820258</v>
      </c>
      <c r="AC228" s="1825">
        <v>12745.79802165131</v>
      </c>
      <c r="AD228" s="1826">
        <v>14436.141757625302</v>
      </c>
      <c r="AE228" s="1824">
        <v>13712.372915511156</v>
      </c>
      <c r="AF228" s="1680">
        <v>14788.269551509478</v>
      </c>
      <c r="AG228" s="1680">
        <v>13349.72491644476</v>
      </c>
      <c r="AH228" s="1681">
        <v>10706.4109123743</v>
      </c>
      <c r="AI228" s="1680">
        <v>10324.076252256546</v>
      </c>
      <c r="AJ228" s="1680">
        <v>10803.742971428574</v>
      </c>
      <c r="AK228" s="1680">
        <v>12479.580188793305</v>
      </c>
      <c r="AL228" s="1681">
        <v>11085.597339180495</v>
      </c>
      <c r="AM228" s="1680">
        <v>12354.403745497164</v>
      </c>
      <c r="AN228" s="1680">
        <v>12625.948501057348</v>
      </c>
      <c r="AO228" s="1680">
        <v>12901.124925991713</v>
      </c>
      <c r="AP228" s="1681">
        <v>11585.295807007466</v>
      </c>
      <c r="AQ228" s="1680">
        <v>11887.424379313399</v>
      </c>
      <c r="AR228" s="1680">
        <v>11870.343784498289</v>
      </c>
      <c r="AS228" s="1680">
        <v>12919.05721085627</v>
      </c>
      <c r="AT228" s="1681">
        <v>12181.915144547824</v>
      </c>
      <c r="AU228" s="1680">
        <v>11741.640116388797</v>
      </c>
      <c r="AV228" s="1680">
        <v>11724.768993520336</v>
      </c>
      <c r="AW228" s="1680">
        <v>12760.621272753231</v>
      </c>
      <c r="AX228" s="1681">
        <v>12032.519323915016</v>
      </c>
      <c r="AY228" s="1680">
        <v>11591.847999052185</v>
      </c>
      <c r="AZ228" s="1680">
        <v>11575.192106866258</v>
      </c>
      <c r="BA228" s="1680">
        <v>12597.829664423458</v>
      </c>
      <c r="BB228" s="1908">
        <v>11879.016361078739</v>
      </c>
      <c r="BC228" s="1529"/>
      <c r="BD228" s="1529"/>
      <c r="BE228" s="1529">
        <f t="shared" si="408"/>
        <v>10102.422604488234</v>
      </c>
      <c r="BF228" s="1529">
        <f t="shared" si="409"/>
        <v>11262.073083792115</v>
      </c>
      <c r="BG228" s="1529">
        <f t="shared" si="410"/>
        <v>13815.291263923147</v>
      </c>
      <c r="BH228" s="1529">
        <f t="shared" si="411"/>
        <v>10617.130742453461</v>
      </c>
      <c r="BI228" s="1529">
        <f t="shared" si="412"/>
        <v>11569.06405480059</v>
      </c>
      <c r="BJ228" s="1529">
        <f t="shared" si="413"/>
        <v>13741.552985530434</v>
      </c>
      <c r="BK228" s="1529">
        <f t="shared" si="414"/>
        <v>13139.194573959921</v>
      </c>
      <c r="BL228" s="1529">
        <f t="shared" si="415"/>
        <v>11173.249187914729</v>
      </c>
      <c r="BM228" s="1529">
        <f t="shared" si="416"/>
        <v>12366.693244888422</v>
      </c>
      <c r="BN228" s="1529">
        <f t="shared" si="417"/>
        <v>12214.685129803944</v>
      </c>
      <c r="BO228" s="1529">
        <f t="shared" si="418"/>
        <v>12064.887426644345</v>
      </c>
      <c r="BP228" s="1529">
        <f t="shared" si="419"/>
        <v>11910.971532855161</v>
      </c>
      <c r="BQ228" s="1529"/>
      <c r="BR228" s="1476"/>
      <c r="BS228" s="1477"/>
      <c r="BV228" s="1444"/>
      <c r="BW228" s="1443"/>
      <c r="BX228" s="1443"/>
      <c r="BY228" s="1443"/>
    </row>
    <row r="229" spans="2:77" ht="12.75" customHeight="1">
      <c r="B229" s="1549"/>
      <c r="C229" s="1773" t="s">
        <v>810</v>
      </c>
      <c r="D229" s="1729"/>
      <c r="E229" s="1729"/>
      <c r="F229" s="1731"/>
      <c r="G229" s="1716">
        <v>7779.6850119745413</v>
      </c>
      <c r="H229" s="1712">
        <v>9492.1346187852487</v>
      </c>
      <c r="I229" s="1712">
        <v>11670.518647143224</v>
      </c>
      <c r="J229" s="1717">
        <v>9043.648694139978</v>
      </c>
      <c r="K229" s="1716">
        <v>9487.2668594512506</v>
      </c>
      <c r="L229" s="1712">
        <v>10409.06834561809</v>
      </c>
      <c r="M229" s="1712">
        <v>11468.42132683538</v>
      </c>
      <c r="N229" s="1717">
        <v>9514.2850054382216</v>
      </c>
      <c r="O229" s="1716">
        <v>12376.233457669894</v>
      </c>
      <c r="P229" s="1712">
        <v>14387.401369304029</v>
      </c>
      <c r="Q229" s="1712">
        <v>15593.259988776501</v>
      </c>
      <c r="R229" s="1712">
        <v>10321.248406616682</v>
      </c>
      <c r="S229" s="1716">
        <v>10013.535130755854</v>
      </c>
      <c r="T229" s="1712">
        <v>9797.5059785309622</v>
      </c>
      <c r="U229" s="1712">
        <v>11556.783290642117</v>
      </c>
      <c r="V229" s="1712">
        <v>8955.14579243558</v>
      </c>
      <c r="W229" s="1824">
        <v>14102.021173316958</v>
      </c>
      <c r="X229" s="1825">
        <v>10515.051888952205</v>
      </c>
      <c r="Y229" s="1825">
        <v>9329.8105397704876</v>
      </c>
      <c r="Z229" s="1826">
        <v>10242.15556320529</v>
      </c>
      <c r="AA229" s="1824">
        <v>13812.6485828859</v>
      </c>
      <c r="AB229" s="1825">
        <v>11166.919578014331</v>
      </c>
      <c r="AC229" s="1825">
        <v>12281.123997010438</v>
      </c>
      <c r="AD229" s="1826">
        <v>14039.404430911989</v>
      </c>
      <c r="AE229" s="1824">
        <v>13452.093034820135</v>
      </c>
      <c r="AF229" s="1680">
        <v>13851.754927196182</v>
      </c>
      <c r="AG229" s="1680">
        <v>13069.487986386619</v>
      </c>
      <c r="AH229" s="1681">
        <v>10415.320938137747</v>
      </c>
      <c r="AI229" s="1680">
        <v>9752.8895345008495</v>
      </c>
      <c r="AJ229" s="1680">
        <v>10932.723139999998</v>
      </c>
      <c r="AK229" s="1680">
        <v>11696.829462716889</v>
      </c>
      <c r="AL229" s="1681">
        <v>10483.05478949106</v>
      </c>
      <c r="AM229" s="1680">
        <v>10268.572478822029</v>
      </c>
      <c r="AN229" s="1680">
        <v>11220.301032466725</v>
      </c>
      <c r="AO229" s="1680">
        <v>12291.296625222027</v>
      </c>
      <c r="AP229" s="1681">
        <v>10396.323951751867</v>
      </c>
      <c r="AQ229" s="1680">
        <v>11688.854504578794</v>
      </c>
      <c r="AR229" s="1680">
        <v>11265.073570860448</v>
      </c>
      <c r="AS229" s="1680">
        <v>12554.63520359593</v>
      </c>
      <c r="AT229" s="1681">
        <v>9606.3783866369322</v>
      </c>
      <c r="AU229" s="1680">
        <v>11517.869933034026</v>
      </c>
      <c r="AV229" s="1680">
        <v>11100.28806709878</v>
      </c>
      <c r="AW229" s="1680">
        <v>12370.985991404368</v>
      </c>
      <c r="AX229" s="1681">
        <v>9465.8562771442867</v>
      </c>
      <c r="AY229" s="1680">
        <v>11377.488041924906</v>
      </c>
      <c r="AZ229" s="1680">
        <v>10964.995739630653</v>
      </c>
      <c r="BA229" s="1680">
        <v>12220.206166796617</v>
      </c>
      <c r="BB229" s="1908">
        <v>9350.4847012471237</v>
      </c>
      <c r="BC229" s="1529"/>
      <c r="BD229" s="1529"/>
      <c r="BE229" s="1529">
        <f t="shared" si="408"/>
        <v>9496.4967430107481</v>
      </c>
      <c r="BF229" s="1529">
        <f t="shared" si="409"/>
        <v>10219.760384335736</v>
      </c>
      <c r="BG229" s="1529">
        <f t="shared" si="410"/>
        <v>13169.535805591777</v>
      </c>
      <c r="BH229" s="1529">
        <f t="shared" si="411"/>
        <v>10080.742548091128</v>
      </c>
      <c r="BI229" s="1529">
        <f t="shared" si="412"/>
        <v>11047.259791311235</v>
      </c>
      <c r="BJ229" s="1529">
        <f t="shared" si="413"/>
        <v>12825.024147205666</v>
      </c>
      <c r="BK229" s="1529">
        <f t="shared" si="414"/>
        <v>12697.16422163517</v>
      </c>
      <c r="BL229" s="1529">
        <f t="shared" si="415"/>
        <v>10716.3742316772</v>
      </c>
      <c r="BM229" s="1529">
        <f t="shared" si="416"/>
        <v>11044.123522065662</v>
      </c>
      <c r="BN229" s="1529">
        <f t="shared" si="417"/>
        <v>11278.735416418027</v>
      </c>
      <c r="BO229" s="1529">
        <f t="shared" si="418"/>
        <v>11113.750067170366</v>
      </c>
      <c r="BP229" s="1529">
        <f t="shared" si="419"/>
        <v>10978.293662399825</v>
      </c>
      <c r="BQ229" s="1529"/>
      <c r="BR229" s="1476"/>
      <c r="BS229" s="1477"/>
      <c r="BV229" s="1444"/>
      <c r="BW229" s="1443"/>
      <c r="BX229" s="1443"/>
      <c r="BY229" s="1443"/>
    </row>
    <row r="230" spans="2:77" ht="12.75" customHeight="1">
      <c r="B230" s="1549"/>
      <c r="C230" s="1773" t="s">
        <v>811</v>
      </c>
      <c r="D230" s="1729"/>
      <c r="E230" s="1729"/>
      <c r="F230" s="1731"/>
      <c r="G230" s="1716">
        <v>8322.8273734562244</v>
      </c>
      <c r="H230" s="1712">
        <v>9108.0848492485366</v>
      </c>
      <c r="I230" s="1712">
        <v>11390.781083275977</v>
      </c>
      <c r="J230" s="1717">
        <v>8539.6099607496708</v>
      </c>
      <c r="K230" s="1716">
        <v>11901.725588831843</v>
      </c>
      <c r="L230" s="1712">
        <v>9599.6827009411682</v>
      </c>
      <c r="M230" s="1712">
        <v>26908.502434603772</v>
      </c>
      <c r="N230" s="1717">
        <v>8859.7893372745511</v>
      </c>
      <c r="O230" s="1716">
        <v>10308.713276672239</v>
      </c>
      <c r="P230" s="1712">
        <v>13533.712435401714</v>
      </c>
      <c r="Q230" s="1712">
        <v>10986.165899589667</v>
      </c>
      <c r="R230" s="1712">
        <v>8231.0646137657277</v>
      </c>
      <c r="S230" s="1716">
        <v>8288.1335792918544</v>
      </c>
      <c r="T230" s="1712">
        <v>9101.2420308902474</v>
      </c>
      <c r="U230" s="1712">
        <v>12127.883029718798</v>
      </c>
      <c r="V230" s="1712">
        <v>9584.0310133954554</v>
      </c>
      <c r="W230" s="1824">
        <v>11152.119574375303</v>
      </c>
      <c r="X230" s="1825">
        <v>9729.5722809534491</v>
      </c>
      <c r="Y230" s="1825">
        <v>9717.3949147704898</v>
      </c>
      <c r="Z230" s="1826">
        <v>8918.234962157112</v>
      </c>
      <c r="AA230" s="1824">
        <v>9169.9242686486396</v>
      </c>
      <c r="AB230" s="1825">
        <v>10170.713295240166</v>
      </c>
      <c r="AC230" s="1825">
        <v>12578.254164458334</v>
      </c>
      <c r="AD230" s="1826">
        <v>10933.409709833057</v>
      </c>
      <c r="AE230" s="1824">
        <v>10328.87726941304</v>
      </c>
      <c r="AF230" s="1680">
        <v>11427.537023693696</v>
      </c>
      <c r="AG230" s="1680">
        <v>11549.861420574975</v>
      </c>
      <c r="AH230" s="1681">
        <v>9815.8983124706374</v>
      </c>
      <c r="AI230" s="1680">
        <v>9203.2418044317055</v>
      </c>
      <c r="AJ230" s="1680">
        <v>15003.296031746037</v>
      </c>
      <c r="AK230" s="1680">
        <v>11185.979672546924</v>
      </c>
      <c r="AL230" s="1681">
        <v>10103.434985375012</v>
      </c>
      <c r="AM230" s="1680">
        <v>10702.474722563386</v>
      </c>
      <c r="AN230" s="1680">
        <v>13950.242567483521</v>
      </c>
      <c r="AO230" s="1680">
        <v>42227.750148016574</v>
      </c>
      <c r="AP230" s="1681">
        <v>9375.9103963239504</v>
      </c>
      <c r="AQ230" s="1680">
        <v>8449.0783547043502</v>
      </c>
      <c r="AR230" s="1680">
        <v>10350.829814619823</v>
      </c>
      <c r="AS230" s="1680">
        <v>27931.411143747304</v>
      </c>
      <c r="AT230" s="1681">
        <v>15077.400848592317</v>
      </c>
      <c r="AU230" s="1680">
        <v>7649.6148048687883</v>
      </c>
      <c r="AV230" s="1680">
        <v>9371.419895580284</v>
      </c>
      <c r="AW230" s="1680">
        <v>25288.502158004081</v>
      </c>
      <c r="AX230" s="1681">
        <v>13650.756201842432</v>
      </c>
      <c r="AY230" s="1680">
        <v>7140.7975020316026</v>
      </c>
      <c r="AZ230" s="1680">
        <v>8748.076012697582</v>
      </c>
      <c r="BA230" s="1680">
        <v>23606.426943885024</v>
      </c>
      <c r="BB230" s="1908">
        <v>12742.770488903179</v>
      </c>
      <c r="BC230" s="1529"/>
      <c r="BD230" s="1529"/>
      <c r="BE230" s="1529">
        <f t="shared" si="408"/>
        <v>9340.3258166826035</v>
      </c>
      <c r="BF230" s="1529">
        <f t="shared" si="409"/>
        <v>14317.425015412833</v>
      </c>
      <c r="BG230" s="1529">
        <f t="shared" si="410"/>
        <v>10764.914056357338</v>
      </c>
      <c r="BH230" s="1529">
        <f t="shared" si="411"/>
        <v>9775.3224133240892</v>
      </c>
      <c r="BI230" s="1529">
        <f t="shared" si="412"/>
        <v>9879.3304330640894</v>
      </c>
      <c r="BJ230" s="1529">
        <f t="shared" si="413"/>
        <v>10713.075359545048</v>
      </c>
      <c r="BK230" s="1529">
        <f t="shared" si="414"/>
        <v>10780.543506538086</v>
      </c>
      <c r="BL230" s="1529">
        <f t="shared" si="415"/>
        <v>11373.988123524918</v>
      </c>
      <c r="BM230" s="1529">
        <f t="shared" si="416"/>
        <v>19064.094458596857</v>
      </c>
      <c r="BN230" s="1529">
        <f t="shared" si="417"/>
        <v>15452.180040415949</v>
      </c>
      <c r="BO230" s="1529">
        <f t="shared" si="418"/>
        <v>13990.073265073897</v>
      </c>
      <c r="BP230" s="1529">
        <f t="shared" si="419"/>
        <v>13059.517736879347</v>
      </c>
      <c r="BQ230" s="1529"/>
      <c r="BR230" s="1476"/>
      <c r="BS230" s="1477"/>
      <c r="BV230" s="1444"/>
      <c r="BW230" s="1443"/>
      <c r="BX230" s="1443"/>
      <c r="BY230" s="1443"/>
    </row>
    <row r="231" spans="2:77" ht="12.75" customHeight="1">
      <c r="B231" s="1549"/>
      <c r="C231" s="1773" t="s">
        <v>812</v>
      </c>
      <c r="D231" s="1729"/>
      <c r="E231" s="1729"/>
      <c r="F231" s="1731"/>
      <c r="G231" s="1716">
        <v>8352.5716177795221</v>
      </c>
      <c r="H231" s="1712">
        <v>9071.6445094720693</v>
      </c>
      <c r="I231" s="1712">
        <v>11366.418321843603</v>
      </c>
      <c r="J231" s="1717">
        <v>8613.7018460944528</v>
      </c>
      <c r="K231" s="1716">
        <v>12155.959864196333</v>
      </c>
      <c r="L231" s="1712">
        <v>9203.9559760970442</v>
      </c>
      <c r="M231" s="1712">
        <v>25900.934188048766</v>
      </c>
      <c r="N231" s="1717">
        <v>8685.0849291008017</v>
      </c>
      <c r="O231" s="1716">
        <v>10275.170594208994</v>
      </c>
      <c r="P231" s="1712">
        <v>13744.748394706701</v>
      </c>
      <c r="Q231" s="1712">
        <v>11197.401049824619</v>
      </c>
      <c r="R231" s="1712">
        <v>8328.7852639674329</v>
      </c>
      <c r="S231" s="1716">
        <v>8348.2723136297336</v>
      </c>
      <c r="T231" s="1712">
        <v>8745.2844176240596</v>
      </c>
      <c r="U231" s="1712">
        <v>10802.091476322017</v>
      </c>
      <c r="V231" s="1712">
        <v>9346.0347165938329</v>
      </c>
      <c r="W231" s="1824">
        <v>11627.729500479627</v>
      </c>
      <c r="X231" s="1825">
        <v>8807.1484775102963</v>
      </c>
      <c r="Y231" s="1825">
        <v>9558.6137410440133</v>
      </c>
      <c r="Z231" s="1826">
        <v>9127.0058129911431</v>
      </c>
      <c r="AA231" s="1824">
        <v>9202.2654654879479</v>
      </c>
      <c r="AB231" s="1825">
        <v>10105.637756293225</v>
      </c>
      <c r="AC231" s="1825">
        <v>12701.782913818659</v>
      </c>
      <c r="AD231" s="1826">
        <v>9778.5805528245146</v>
      </c>
      <c r="AE231" s="1824">
        <v>9897.4409429729876</v>
      </c>
      <c r="AF231" s="1680">
        <v>10464.020312282828</v>
      </c>
      <c r="AG231" s="1680">
        <v>10646.473017770773</v>
      </c>
      <c r="AH231" s="1681">
        <v>8485.0446654235948</v>
      </c>
      <c r="AI231" s="1680">
        <v>7557.3594798727981</v>
      </c>
      <c r="AJ231" s="1680">
        <v>9066.5579365079357</v>
      </c>
      <c r="AK231" s="1680">
        <v>9959.2555936766203</v>
      </c>
      <c r="AL231" s="1681">
        <v>8152.0371878580636</v>
      </c>
      <c r="AM231" s="1680">
        <v>10217.942265440148</v>
      </c>
      <c r="AN231" s="1680">
        <v>13185.222042542606</v>
      </c>
      <c r="AO231" s="1680">
        <v>42121.178211959741</v>
      </c>
      <c r="AP231" s="1681">
        <v>9054.2561746122919</v>
      </c>
      <c r="AQ231" s="1680">
        <v>8124.4846766764404</v>
      </c>
      <c r="AR231" s="1680">
        <v>9664.2180564318169</v>
      </c>
      <c r="AS231" s="1680">
        <v>27348.703499911488</v>
      </c>
      <c r="AT231" s="1681">
        <v>14449.467045874115</v>
      </c>
      <c r="AU231" s="1680">
        <v>7249.1447994286054</v>
      </c>
      <c r="AV231" s="1680">
        <v>8622.9858080039758</v>
      </c>
      <c r="AW231" s="1680">
        <v>24402.127597906943</v>
      </c>
      <c r="AX231" s="1681">
        <v>12892.66741936461</v>
      </c>
      <c r="AY231" s="1680">
        <v>6710.1011029636156</v>
      </c>
      <c r="AZ231" s="1680">
        <v>7981.783807889703</v>
      </c>
      <c r="BA231" s="1680">
        <v>22587.594514911703</v>
      </c>
      <c r="BB231" s="1908">
        <v>11933.973491278659</v>
      </c>
      <c r="BC231" s="1529"/>
      <c r="BD231" s="1529"/>
      <c r="BE231" s="1529">
        <f t="shared" si="408"/>
        <v>9351.0840737974122</v>
      </c>
      <c r="BF231" s="1529">
        <f t="shared" si="409"/>
        <v>13986.483739360738</v>
      </c>
      <c r="BG231" s="1529">
        <f t="shared" si="410"/>
        <v>10886.526325676936</v>
      </c>
      <c r="BH231" s="1529">
        <f t="shared" si="411"/>
        <v>9310.4207310424099</v>
      </c>
      <c r="BI231" s="1529">
        <f t="shared" si="412"/>
        <v>9780.1243830062704</v>
      </c>
      <c r="BJ231" s="1529">
        <f t="shared" si="413"/>
        <v>10447.066672106088</v>
      </c>
      <c r="BK231" s="1529">
        <f t="shared" si="414"/>
        <v>9873.2447346125464</v>
      </c>
      <c r="BL231" s="1529">
        <f t="shared" si="415"/>
        <v>8683.8025494788544</v>
      </c>
      <c r="BM231" s="1529">
        <f t="shared" si="416"/>
        <v>18644.649673638698</v>
      </c>
      <c r="BN231" s="1529">
        <f t="shared" si="417"/>
        <v>14896.718319723466</v>
      </c>
      <c r="BO231" s="1529">
        <f t="shared" si="418"/>
        <v>13291.731406176033</v>
      </c>
      <c r="BP231" s="1529">
        <f t="shared" si="419"/>
        <v>12303.36322926092</v>
      </c>
      <c r="BQ231" s="1529"/>
      <c r="BR231" s="1476"/>
      <c r="BS231" s="1477"/>
      <c r="BV231" s="1444"/>
      <c r="BW231" s="1443"/>
      <c r="BX231" s="1443"/>
      <c r="BY231" s="1443"/>
    </row>
    <row r="232" spans="2:77" ht="12.75" customHeight="1">
      <c r="B232" s="1549"/>
      <c r="C232" s="1773" t="s">
        <v>813</v>
      </c>
      <c r="D232" s="1729"/>
      <c r="E232" s="1729"/>
      <c r="F232" s="1731"/>
      <c r="G232" s="1716">
        <v>8291.2421236984901</v>
      </c>
      <c r="H232" s="1712">
        <v>9062.2667008499466</v>
      </c>
      <c r="I232" s="1712">
        <v>11356.87806590117</v>
      </c>
      <c r="J232" s="1717">
        <v>8347.9637882575953</v>
      </c>
      <c r="K232" s="1716">
        <v>13250.060693463165</v>
      </c>
      <c r="L232" s="1712">
        <v>9071.8879562291859</v>
      </c>
      <c r="M232" s="1712">
        <v>25893.818464353088</v>
      </c>
      <c r="N232" s="1717">
        <v>8802.8017856887855</v>
      </c>
      <c r="O232" s="1716">
        <v>10427.411930587574</v>
      </c>
      <c r="P232" s="1712">
        <v>13149.847473997354</v>
      </c>
      <c r="Q232" s="1712">
        <v>10844.312381422489</v>
      </c>
      <c r="R232" s="1712">
        <v>8425.2985003315698</v>
      </c>
      <c r="S232" s="1716">
        <v>8251.6765077448854</v>
      </c>
      <c r="T232" s="1712">
        <v>9002.9603883800482</v>
      </c>
      <c r="U232" s="1712">
        <v>11341.851539958103</v>
      </c>
      <c r="V232" s="1712">
        <v>9463.0903276979279</v>
      </c>
      <c r="W232" s="1824">
        <v>11411.501790347942</v>
      </c>
      <c r="X232" s="1825">
        <v>9045.8599574014897</v>
      </c>
      <c r="Y232" s="1825">
        <v>9605.4610611369171</v>
      </c>
      <c r="Z232" s="1826">
        <v>9120.4883109117491</v>
      </c>
      <c r="AA232" s="1824">
        <v>9136.8775797345152</v>
      </c>
      <c r="AB232" s="1825">
        <v>10167.155492757694</v>
      </c>
      <c r="AC232" s="1825">
        <v>12511.457613677228</v>
      </c>
      <c r="AD232" s="1826">
        <v>10876.683448674665</v>
      </c>
      <c r="AE232" s="1824">
        <v>10196.657106772524</v>
      </c>
      <c r="AF232" s="1680">
        <v>10689.109099653992</v>
      </c>
      <c r="AG232" s="1680">
        <v>10773.277437367538</v>
      </c>
      <c r="AH232" s="1681">
        <v>9535.7355641636423</v>
      </c>
      <c r="AI232" s="1680">
        <v>8034.3920235132791</v>
      </c>
      <c r="AJ232" s="1680">
        <v>11540.407142857141</v>
      </c>
      <c r="AK232" s="1680">
        <v>10385.636582967496</v>
      </c>
      <c r="AL232" s="1681">
        <v>9183.4832108958926</v>
      </c>
      <c r="AM232" s="1680">
        <v>10634.225607691036</v>
      </c>
      <c r="AN232" s="1680">
        <v>14236.347804453289</v>
      </c>
      <c r="AO232" s="1680">
        <v>42547.465956187094</v>
      </c>
      <c r="AP232" s="1681">
        <v>9496.5307294658251</v>
      </c>
      <c r="AQ232" s="1680">
        <v>8720.1192578699338</v>
      </c>
      <c r="AR232" s="1680">
        <v>10430.226716582347</v>
      </c>
      <c r="AS232" s="1680">
        <v>28181.026283720643</v>
      </c>
      <c r="AT232" s="1681">
        <v>14900.784624033387</v>
      </c>
      <c r="AU232" s="1680">
        <v>7855.5760409850509</v>
      </c>
      <c r="AV232" s="1680">
        <v>9396.1374465010304</v>
      </c>
      <c r="AW232" s="1680">
        <v>25387.06046766177</v>
      </c>
      <c r="AX232" s="1681">
        <v>13423.468558505469</v>
      </c>
      <c r="AY232" s="1680">
        <v>7313.7196348895295</v>
      </c>
      <c r="AZ232" s="1680">
        <v>8748.0172779255663</v>
      </c>
      <c r="BA232" s="1680">
        <v>23635.929643573669</v>
      </c>
      <c r="BB232" s="1908">
        <v>12497.553973438842</v>
      </c>
      <c r="BC232" s="1529"/>
      <c r="BD232" s="1529"/>
      <c r="BE232" s="1529">
        <f t="shared" si="408"/>
        <v>9264.5876696767991</v>
      </c>
      <c r="BF232" s="1529">
        <f t="shared" si="409"/>
        <v>14254.642224933556</v>
      </c>
      <c r="BG232" s="1529">
        <f t="shared" si="410"/>
        <v>10711.717571584746</v>
      </c>
      <c r="BH232" s="1529">
        <f t="shared" si="411"/>
        <v>9514.8946909452407</v>
      </c>
      <c r="BI232" s="1529">
        <f t="shared" si="412"/>
        <v>9795.8277799495245</v>
      </c>
      <c r="BJ232" s="1529">
        <f t="shared" si="413"/>
        <v>10673.043533711027</v>
      </c>
      <c r="BK232" s="1529">
        <f t="shared" si="414"/>
        <v>10298.694801989424</v>
      </c>
      <c r="BL232" s="1529">
        <f t="shared" si="415"/>
        <v>9785.9797400584521</v>
      </c>
      <c r="BM232" s="1529">
        <f t="shared" si="416"/>
        <v>19228.642524449311</v>
      </c>
      <c r="BN232" s="1529">
        <f t="shared" si="417"/>
        <v>15558.039220551578</v>
      </c>
      <c r="BO232" s="1529">
        <f t="shared" si="418"/>
        <v>14015.56062841333</v>
      </c>
      <c r="BP232" s="1529">
        <f t="shared" si="419"/>
        <v>13048.805132456902</v>
      </c>
      <c r="BQ232" s="1529"/>
      <c r="BR232" s="1476"/>
      <c r="BS232" s="1477"/>
      <c r="BV232" s="1444"/>
      <c r="BW232" s="1443"/>
      <c r="BX232" s="1443"/>
      <c r="BY232" s="1443"/>
    </row>
    <row r="233" spans="2:77" ht="12.75" customHeight="1">
      <c r="B233" s="1549"/>
      <c r="C233" s="1773" t="s">
        <v>814</v>
      </c>
      <c r="D233" s="1729"/>
      <c r="E233" s="1729"/>
      <c r="F233" s="1731"/>
      <c r="G233" s="1716">
        <v>8762.1583244586454</v>
      </c>
      <c r="H233" s="1712">
        <v>8621.9499063828898</v>
      </c>
      <c r="I233" s="1712">
        <v>10207.705218967056</v>
      </c>
      <c r="J233" s="1717">
        <v>8941.757526174677</v>
      </c>
      <c r="K233" s="1716">
        <v>7843.2743322702108</v>
      </c>
      <c r="L233" s="1712">
        <v>8392.0085932164784</v>
      </c>
      <c r="M233" s="1712">
        <v>10046.833347980197</v>
      </c>
      <c r="N233" s="1717">
        <v>9235.6105140044056</v>
      </c>
      <c r="O233" s="1716">
        <v>9126.4511339092878</v>
      </c>
      <c r="P233" s="1712">
        <v>10134.401783568745</v>
      </c>
      <c r="Q233" s="1712">
        <v>11754.765674803102</v>
      </c>
      <c r="R233" s="1712">
        <v>8337.2335194144489</v>
      </c>
      <c r="S233" s="1716">
        <v>8672.5647979371352</v>
      </c>
      <c r="T233" s="1712">
        <v>9118.2506926640854</v>
      </c>
      <c r="U233" s="1712">
        <v>11096.928780874063</v>
      </c>
      <c r="V233" s="1712">
        <v>9096.6925445307006</v>
      </c>
      <c r="W233" s="1824">
        <v>8683.9376258463581</v>
      </c>
      <c r="X233" s="1825">
        <v>8703.3115203962152</v>
      </c>
      <c r="Y233" s="1825">
        <v>9652.6653325011466</v>
      </c>
      <c r="Z233" s="1826">
        <v>8969.1141558179552</v>
      </c>
      <c r="AA233" s="1824">
        <v>8901.1780605231725</v>
      </c>
      <c r="AB233" s="1825">
        <v>9551.0277881366437</v>
      </c>
      <c r="AC233" s="1825">
        <v>10951.734672288083</v>
      </c>
      <c r="AD233" s="1826">
        <v>9622.1211658004722</v>
      </c>
      <c r="AE233" s="1824">
        <v>9084.1070239354394</v>
      </c>
      <c r="AF233" s="1680">
        <v>10170.034204309035</v>
      </c>
      <c r="AG233" s="1680">
        <v>11984.899139776866</v>
      </c>
      <c r="AH233" s="1681">
        <v>8184.3072380613366</v>
      </c>
      <c r="AI233" s="1680">
        <v>7389.8139328772922</v>
      </c>
      <c r="AJ233" s="1680">
        <v>10342.646878449652</v>
      </c>
      <c r="AK233" s="1680">
        <v>13770.107900873485</v>
      </c>
      <c r="AL233" s="1681">
        <v>7056.5902948086296</v>
      </c>
      <c r="AM233" s="1680">
        <v>6781.1777196375069</v>
      </c>
      <c r="AN233" s="1680">
        <v>13492.720052945069</v>
      </c>
      <c r="AO233" s="1680">
        <v>17437.576749897667</v>
      </c>
      <c r="AP233" s="1681">
        <v>10429.362880886429</v>
      </c>
      <c r="AQ233" s="1680">
        <v>10014.399767955705</v>
      </c>
      <c r="AR233" s="1680">
        <v>14267.477999292238</v>
      </c>
      <c r="AS233" s="1680">
        <v>19740.487786195776</v>
      </c>
      <c r="AT233" s="1681">
        <v>10827.913239907981</v>
      </c>
      <c r="AU233" s="1680">
        <v>10617.254547706931</v>
      </c>
      <c r="AV233" s="1680">
        <v>15126.362955572005</v>
      </c>
      <c r="AW233" s="1680">
        <v>20928.841326325935</v>
      </c>
      <c r="AX233" s="1681">
        <v>11479.740548849391</v>
      </c>
      <c r="AY233" s="1680">
        <v>10827.965041019528</v>
      </c>
      <c r="AZ233" s="1680">
        <v>15426.561409520005</v>
      </c>
      <c r="BA233" s="1680">
        <v>21344.196017175243</v>
      </c>
      <c r="BB233" s="1908">
        <v>11707.567976672637</v>
      </c>
      <c r="BC233" s="1529"/>
      <c r="BD233" s="1529"/>
      <c r="BE233" s="1529">
        <f t="shared" si="408"/>
        <v>9133.392743995817</v>
      </c>
      <c r="BF233" s="1529">
        <f t="shared" si="409"/>
        <v>8879.4316968678213</v>
      </c>
      <c r="BG233" s="1529">
        <f t="shared" si="410"/>
        <v>9838.2130279238954</v>
      </c>
      <c r="BH233" s="1529">
        <f t="shared" si="411"/>
        <v>9496.1092040014955</v>
      </c>
      <c r="BI233" s="1529">
        <f t="shared" si="412"/>
        <v>9002.2571586404192</v>
      </c>
      <c r="BJ233" s="1529">
        <f t="shared" si="413"/>
        <v>9756.5154216870942</v>
      </c>
      <c r="BK233" s="1529">
        <f t="shared" si="414"/>
        <v>9855.8369015206681</v>
      </c>
      <c r="BL233" s="1529">
        <f t="shared" si="415"/>
        <v>9639.7897517522651</v>
      </c>
      <c r="BM233" s="1529">
        <f t="shared" si="416"/>
        <v>12035.209350841669</v>
      </c>
      <c r="BN233" s="1529">
        <f t="shared" si="417"/>
        <v>13712.569698337924</v>
      </c>
      <c r="BO233" s="1529">
        <f t="shared" si="418"/>
        <v>14538.049844613566</v>
      </c>
      <c r="BP233" s="1529">
        <f t="shared" si="419"/>
        <v>14826.572611096854</v>
      </c>
      <c r="BQ233" s="1529"/>
      <c r="BR233" s="1476"/>
      <c r="BS233" s="1477"/>
      <c r="BV233" s="1444"/>
      <c r="BW233" s="1443"/>
      <c r="BX233" s="1443"/>
      <c r="BY233" s="1443"/>
    </row>
    <row r="234" spans="2:77" ht="12.75" customHeight="1">
      <c r="B234" s="1549"/>
      <c r="C234" s="1773" t="s">
        <v>815</v>
      </c>
      <c r="D234" s="1729"/>
      <c r="E234" s="1729"/>
      <c r="F234" s="1731"/>
      <c r="G234" s="1716">
        <v>11700.565161935485</v>
      </c>
      <c r="H234" s="1712">
        <v>7677.8064845469125</v>
      </c>
      <c r="I234" s="1712">
        <v>9417.3479567810555</v>
      </c>
      <c r="J234" s="1717">
        <v>8861.4285224737796</v>
      </c>
      <c r="K234" s="1716">
        <v>7380.0484170231503</v>
      </c>
      <c r="L234" s="1712">
        <v>7514.6167798312563</v>
      </c>
      <c r="M234" s="1712">
        <v>9858.7607644940235</v>
      </c>
      <c r="N234" s="1717">
        <v>9067.8163253889288</v>
      </c>
      <c r="O234" s="1716">
        <v>9110.09482114807</v>
      </c>
      <c r="P234" s="1712">
        <v>8904.2289277994641</v>
      </c>
      <c r="Q234" s="1712">
        <v>11626.092314450982</v>
      </c>
      <c r="R234" s="1712">
        <v>11418.003440809496</v>
      </c>
      <c r="S234" s="1716">
        <v>11446.755519845941</v>
      </c>
      <c r="T234" s="1712">
        <v>10899.370648108434</v>
      </c>
      <c r="U234" s="1712">
        <v>12691.456396801643</v>
      </c>
      <c r="V234" s="1712">
        <v>10961.734784397329</v>
      </c>
      <c r="W234" s="1824">
        <v>9780.5118738082929</v>
      </c>
      <c r="X234" s="1825">
        <v>8324.2136157281893</v>
      </c>
      <c r="Y234" s="1825">
        <v>10316.639645621897</v>
      </c>
      <c r="Z234" s="1826">
        <v>10289.620298252388</v>
      </c>
      <c r="AA234" s="1824">
        <v>10095.511697752157</v>
      </c>
      <c r="AB234" s="1825">
        <v>10336.636771049025</v>
      </c>
      <c r="AC234" s="1825">
        <v>11870.802114159645</v>
      </c>
      <c r="AD234" s="1826">
        <v>12988.979109047015</v>
      </c>
      <c r="AE234" s="1824">
        <v>10470.96990745581</v>
      </c>
      <c r="AF234" s="1680">
        <v>9544.9231897338559</v>
      </c>
      <c r="AG234" s="1680">
        <v>12095.15192624512</v>
      </c>
      <c r="AH234" s="1681">
        <v>10647.652335388861</v>
      </c>
      <c r="AI234" s="1680">
        <v>8571.6422127332826</v>
      </c>
      <c r="AJ234" s="1680">
        <v>10073.898611437213</v>
      </c>
      <c r="AK234" s="1680">
        <v>13498.819391065657</v>
      </c>
      <c r="AL234" s="1681">
        <v>11005.243762763848</v>
      </c>
      <c r="AM234" s="1680">
        <v>8859.7525685270448</v>
      </c>
      <c r="AN234" s="1680">
        <v>13716.08206485771</v>
      </c>
      <c r="AO234" s="1680">
        <v>18972.574703233728</v>
      </c>
      <c r="AP234" s="1681">
        <v>16516.620498614961</v>
      </c>
      <c r="AQ234" s="1680">
        <v>13499.713741880851</v>
      </c>
      <c r="AR234" s="1680">
        <v>14061.965375588867</v>
      </c>
      <c r="AS234" s="1680">
        <v>19672.051621639861</v>
      </c>
      <c r="AT234" s="1681">
        <v>15045.105469581529</v>
      </c>
      <c r="AU234" s="1680">
        <v>14061.523642976674</v>
      </c>
      <c r="AV234" s="1680">
        <v>14647.174182821826</v>
      </c>
      <c r="AW234" s="1680">
        <v>20490.732194222554</v>
      </c>
      <c r="AX234" s="1681">
        <v>15671.229058381727</v>
      </c>
      <c r="AY234" s="1680">
        <v>13906.632702001074</v>
      </c>
      <c r="AZ234" s="1680">
        <v>14485.832165454884</v>
      </c>
      <c r="BA234" s="1680">
        <v>20265.02203141047</v>
      </c>
      <c r="BB234" s="1908">
        <v>15498.606839287475</v>
      </c>
      <c r="BC234" s="1529"/>
      <c r="BD234" s="1529"/>
      <c r="BE234" s="1529">
        <f t="shared" si="408"/>
        <v>9414.287031434309</v>
      </c>
      <c r="BF234" s="1529">
        <f t="shared" si="409"/>
        <v>8455.3105716843402</v>
      </c>
      <c r="BG234" s="1529">
        <f t="shared" si="410"/>
        <v>10264.604876052003</v>
      </c>
      <c r="BH234" s="1529">
        <f t="shared" si="411"/>
        <v>11499.829337288338</v>
      </c>
      <c r="BI234" s="1529">
        <f t="shared" si="412"/>
        <v>9677.7463583526915</v>
      </c>
      <c r="BJ234" s="1529">
        <f t="shared" si="413"/>
        <v>11322.982423001962</v>
      </c>
      <c r="BK234" s="1529">
        <f t="shared" si="414"/>
        <v>10689.674339705913</v>
      </c>
      <c r="BL234" s="1529">
        <f t="shared" si="415"/>
        <v>10787.4009945</v>
      </c>
      <c r="BM234" s="1529">
        <f t="shared" si="416"/>
        <v>14516.257458808361</v>
      </c>
      <c r="BN234" s="1529">
        <f t="shared" si="417"/>
        <v>15569.709052172777</v>
      </c>
      <c r="BO234" s="1529">
        <f t="shared" si="418"/>
        <v>16217.664769600695</v>
      </c>
      <c r="BP234" s="1529">
        <f t="shared" si="419"/>
        <v>16039.023434538474</v>
      </c>
      <c r="BQ234" s="1529"/>
      <c r="BR234" s="1476"/>
      <c r="BS234" s="1477"/>
      <c r="BV234" s="1444"/>
      <c r="BW234" s="1443"/>
      <c r="BX234" s="1443"/>
      <c r="BY234" s="1443"/>
    </row>
    <row r="235" spans="2:77" ht="12.75" customHeight="1">
      <c r="B235" s="1549"/>
      <c r="C235" s="1773" t="s">
        <v>816</v>
      </c>
      <c r="D235" s="1729"/>
      <c r="E235" s="1729"/>
      <c r="F235" s="1731"/>
      <c r="G235" s="1716">
        <v>8632.7440232942572</v>
      </c>
      <c r="H235" s="1712">
        <v>7516.769717405763</v>
      </c>
      <c r="I235" s="1712">
        <v>9030.4493391427277</v>
      </c>
      <c r="J235" s="1717">
        <v>8952.3408360904396</v>
      </c>
      <c r="K235" s="1716">
        <v>7313.7886058323793</v>
      </c>
      <c r="L235" s="1712">
        <v>7216.4963764112617</v>
      </c>
      <c r="M235" s="1712">
        <v>9638.9175401523808</v>
      </c>
      <c r="N235" s="1717">
        <v>9023.6993277436741</v>
      </c>
      <c r="O235" s="1716">
        <v>9302.9595264683994</v>
      </c>
      <c r="P235" s="1712">
        <v>10497.69497247698</v>
      </c>
      <c r="Q235" s="1712">
        <v>10394.090269805383</v>
      </c>
      <c r="R235" s="1712">
        <v>9503.8147240986618</v>
      </c>
      <c r="S235" s="1716">
        <v>10227.558514001141</v>
      </c>
      <c r="T235" s="1712">
        <v>12726.79042355791</v>
      </c>
      <c r="U235" s="1712">
        <v>11380.821957728594</v>
      </c>
      <c r="V235" s="1712">
        <v>11365.162652273772</v>
      </c>
      <c r="W235" s="1824">
        <v>9936.1125151956894</v>
      </c>
      <c r="X235" s="1825">
        <v>8914.437491759827</v>
      </c>
      <c r="Y235" s="1825">
        <v>10324.753615972111</v>
      </c>
      <c r="Z235" s="1826">
        <v>10613.533213405261</v>
      </c>
      <c r="AA235" s="1824">
        <v>10794.686554329206</v>
      </c>
      <c r="AB235" s="1825">
        <v>13050.491884183193</v>
      </c>
      <c r="AC235" s="1825">
        <v>11947.399352794859</v>
      </c>
      <c r="AD235" s="1826">
        <v>12563.163583983367</v>
      </c>
      <c r="AE235" s="1824">
        <v>11106.232529645211</v>
      </c>
      <c r="AF235" s="1680">
        <v>11716.347808318487</v>
      </c>
      <c r="AG235" s="1680">
        <v>12357.27579637696</v>
      </c>
      <c r="AH235" s="1681">
        <v>11990.682866775438</v>
      </c>
      <c r="AI235" s="1680">
        <v>9449.9884488374046</v>
      </c>
      <c r="AJ235" s="1680">
        <v>11403.16250934641</v>
      </c>
      <c r="AK235" s="1680">
        <v>14923.468157166129</v>
      </c>
      <c r="AL235" s="1681">
        <v>11110.096130842672</v>
      </c>
      <c r="AM235" s="1680">
        <v>8835.3985409444631</v>
      </c>
      <c r="AN235" s="1680">
        <v>14377.895433487756</v>
      </c>
      <c r="AO235" s="1680">
        <v>18051.575931232092</v>
      </c>
      <c r="AP235" s="1681">
        <v>16724.376731301942</v>
      </c>
      <c r="AQ235" s="1680">
        <v>14738.837139255675</v>
      </c>
      <c r="AR235" s="1680">
        <v>16182.133515390124</v>
      </c>
      <c r="AS235" s="1680">
        <v>20299.089540990994</v>
      </c>
      <c r="AT235" s="1681">
        <v>14937.966413316562</v>
      </c>
      <c r="AU235" s="1680">
        <v>15408.24352602746</v>
      </c>
      <c r="AV235" s="1680">
        <v>16917.091329527619</v>
      </c>
      <c r="AW235" s="1680">
        <v>21221.030672167504</v>
      </c>
      <c r="AX235" s="1681">
        <v>15616.416824836715</v>
      </c>
      <c r="AY235" s="1680">
        <v>15207.123389084334</v>
      </c>
      <c r="AZ235" s="1680">
        <v>16696.27656117802</v>
      </c>
      <c r="BA235" s="1680">
        <v>20944.037607536149</v>
      </c>
      <c r="BB235" s="1908">
        <v>15412.579451351106</v>
      </c>
      <c r="BC235" s="1529"/>
      <c r="BD235" s="1529"/>
      <c r="BE235" s="1529">
        <f t="shared" si="408"/>
        <v>8533.0759789832955</v>
      </c>
      <c r="BF235" s="1529">
        <f t="shared" si="409"/>
        <v>8298.2254625349233</v>
      </c>
      <c r="BG235" s="1529">
        <f t="shared" si="410"/>
        <v>9924.6398732123562</v>
      </c>
      <c r="BH235" s="1529">
        <f t="shared" si="411"/>
        <v>11425.083386890354</v>
      </c>
      <c r="BI235" s="1529">
        <f t="shared" si="412"/>
        <v>9947.2092090832211</v>
      </c>
      <c r="BJ235" s="1529">
        <f t="shared" si="413"/>
        <v>12088.935343822655</v>
      </c>
      <c r="BK235" s="1529">
        <f t="shared" si="414"/>
        <v>11792.634750279025</v>
      </c>
      <c r="BL235" s="1529">
        <f t="shared" si="415"/>
        <v>11721.678811548154</v>
      </c>
      <c r="BM235" s="1529">
        <f t="shared" si="416"/>
        <v>14497.311659241563</v>
      </c>
      <c r="BN235" s="1529">
        <f t="shared" si="417"/>
        <v>16539.506652238339</v>
      </c>
      <c r="BO235" s="1529">
        <f t="shared" si="418"/>
        <v>17290.695588139824</v>
      </c>
      <c r="BP235" s="1529">
        <f t="shared" si="419"/>
        <v>17065.004252287403</v>
      </c>
      <c r="BQ235" s="1529"/>
      <c r="BR235" s="1476"/>
      <c r="BS235" s="1477"/>
      <c r="BV235" s="1444"/>
      <c r="BW235" s="1443"/>
      <c r="BX235" s="1443"/>
      <c r="BY235" s="1443"/>
    </row>
    <row r="236" spans="2:77" ht="12.75" customHeight="1">
      <c r="B236" s="1549"/>
      <c r="C236" s="1773" t="s">
        <v>817</v>
      </c>
      <c r="D236" s="1729"/>
      <c r="E236" s="1729"/>
      <c r="F236" s="1731"/>
      <c r="G236" s="1716">
        <v>8546.5921192758251</v>
      </c>
      <c r="H236" s="1712">
        <v>6860.4941925393041</v>
      </c>
      <c r="I236" s="1712">
        <v>9589.8568783682331</v>
      </c>
      <c r="J236" s="1717">
        <v>8761.3924824907463</v>
      </c>
      <c r="K236" s="1716">
        <v>6370.4143174569617</v>
      </c>
      <c r="L236" s="1712">
        <v>6211.3020714773484</v>
      </c>
      <c r="M236" s="1712">
        <v>7826.6983038931385</v>
      </c>
      <c r="N236" s="1717">
        <v>8505.2239404965749</v>
      </c>
      <c r="O236" s="1716">
        <v>8361.8498020158422</v>
      </c>
      <c r="P236" s="1712">
        <v>4692.7816196299354</v>
      </c>
      <c r="Q236" s="1712">
        <v>8714.24458656358</v>
      </c>
      <c r="R236" s="1712">
        <v>7915.5249031846197</v>
      </c>
      <c r="S236" s="1716">
        <v>8087.8495531943299</v>
      </c>
      <c r="T236" s="1712">
        <v>7996.3027258199882</v>
      </c>
      <c r="U236" s="1712">
        <v>11211.620071182011</v>
      </c>
      <c r="V236" s="1712">
        <v>10542.452919287505</v>
      </c>
      <c r="W236" s="1824">
        <v>8657.5971567442921</v>
      </c>
      <c r="X236" s="1825">
        <v>6886.9565387563089</v>
      </c>
      <c r="Y236" s="1825">
        <v>9018.6289233419629</v>
      </c>
      <c r="Z236" s="1826">
        <v>8128.1906062345806</v>
      </c>
      <c r="AA236" s="1824">
        <v>7254.6062172011279</v>
      </c>
      <c r="AB236" s="1825">
        <v>10198.607768021606</v>
      </c>
      <c r="AC236" s="1825">
        <v>11012.575922552551</v>
      </c>
      <c r="AD236" s="1826">
        <v>8791.3991643737936</v>
      </c>
      <c r="AE236" s="1824">
        <v>8374.7404708739778</v>
      </c>
      <c r="AF236" s="1680">
        <v>7523.2554039282049</v>
      </c>
      <c r="AG236" s="1680">
        <v>10999.855109017048</v>
      </c>
      <c r="AH236" s="1681">
        <v>8339.4758609136315</v>
      </c>
      <c r="AI236" s="1680">
        <v>7363.9896702949682</v>
      </c>
      <c r="AJ236" s="1680">
        <v>5110.2170980007359</v>
      </c>
      <c r="AK236" s="1680">
        <v>11913.659539148653</v>
      </c>
      <c r="AL236" s="1681">
        <v>6198.0513024458141</v>
      </c>
      <c r="AM236" s="1680">
        <v>5605.4382217503589</v>
      </c>
      <c r="AN236" s="1680">
        <v>6543.6796823295826</v>
      </c>
      <c r="AO236" s="1680">
        <v>11727.384363487512</v>
      </c>
      <c r="AP236" s="1681">
        <v>9868.4210526315801</v>
      </c>
      <c r="AQ236" s="1680">
        <v>10559.234578577465</v>
      </c>
      <c r="AR236" s="1680">
        <v>10219.421198025182</v>
      </c>
      <c r="AS236" s="1680">
        <v>15787.035019442665</v>
      </c>
      <c r="AT236" s="1681">
        <v>7959.8436172566526</v>
      </c>
      <c r="AU236" s="1680">
        <v>11509.813054563114</v>
      </c>
      <c r="AV236" s="1680">
        <v>11139.408509187173</v>
      </c>
      <c r="AW236" s="1680">
        <v>17208.238003185412</v>
      </c>
      <c r="AX236" s="1681">
        <v>8676.4160125822291</v>
      </c>
      <c r="AY236" s="1680">
        <v>11745.513775169822</v>
      </c>
      <c r="AZ236" s="1680">
        <v>11367.523996406751</v>
      </c>
      <c r="BA236" s="1680">
        <v>17560.632440740112</v>
      </c>
      <c r="BB236" s="1908">
        <v>8854.0937469428645</v>
      </c>
      <c r="BC236" s="1529"/>
      <c r="BD236" s="1529"/>
      <c r="BE236" s="1529">
        <f t="shared" si="408"/>
        <v>8439.583918168526</v>
      </c>
      <c r="BF236" s="1529">
        <f t="shared" si="409"/>
        <v>7228.4096583310056</v>
      </c>
      <c r="BG236" s="1529">
        <f t="shared" si="410"/>
        <v>7421.1002278484939</v>
      </c>
      <c r="BH236" s="1529">
        <f t="shared" si="411"/>
        <v>9459.5563173709579</v>
      </c>
      <c r="BI236" s="1529">
        <f t="shared" si="412"/>
        <v>8172.8433062692857</v>
      </c>
      <c r="BJ236" s="1529">
        <f t="shared" si="413"/>
        <v>9314.2972680372695</v>
      </c>
      <c r="BK236" s="1529">
        <f t="shared" si="414"/>
        <v>8809.3317111832148</v>
      </c>
      <c r="BL236" s="1529">
        <f t="shared" si="415"/>
        <v>7646.4794024725434</v>
      </c>
      <c r="BM236" s="1529">
        <f t="shared" si="416"/>
        <v>8436.2308300497589</v>
      </c>
      <c r="BN236" s="1529">
        <f t="shared" si="417"/>
        <v>11131.38360332549</v>
      </c>
      <c r="BO236" s="1529">
        <f t="shared" si="418"/>
        <v>12133.468894879483</v>
      </c>
      <c r="BP236" s="1529">
        <f t="shared" si="419"/>
        <v>12381.940989814888</v>
      </c>
      <c r="BQ236" s="1529"/>
      <c r="BR236" s="1476"/>
      <c r="BS236" s="1477"/>
      <c r="BV236" s="1444"/>
      <c r="BW236" s="1443"/>
      <c r="BX236" s="1443"/>
      <c r="BY236" s="1443"/>
    </row>
    <row r="237" spans="2:77" ht="12.75" customHeight="1">
      <c r="B237" s="1549"/>
      <c r="C237" s="1773"/>
      <c r="D237" s="1729"/>
      <c r="E237" s="1729"/>
      <c r="F237" s="1731"/>
      <c r="G237" s="1716">
        <v>0</v>
      </c>
      <c r="H237" s="1712">
        <v>0</v>
      </c>
      <c r="I237" s="1712">
        <v>0</v>
      </c>
      <c r="J237" s="1717">
        <v>7045.0118387558323</v>
      </c>
      <c r="K237" s="1720">
        <v>10647.814160821332</v>
      </c>
      <c r="L237" s="1712">
        <v>7643.6811086143116</v>
      </c>
      <c r="M237" s="1712">
        <v>26701.729930116137</v>
      </c>
      <c r="N237" s="1717">
        <v>7717.4624704002181</v>
      </c>
      <c r="O237" s="1716">
        <v>9345.1720004820509</v>
      </c>
      <c r="P237" s="1712">
        <v>13807.306134001437</v>
      </c>
      <c r="Q237" s="1712">
        <v>11418.664456046279</v>
      </c>
      <c r="R237" s="1712">
        <v>8673.5340286433238</v>
      </c>
      <c r="S237" s="1716">
        <v>7845.0122816990479</v>
      </c>
      <c r="T237" s="1712">
        <v>8620.1610645234541</v>
      </c>
      <c r="U237" s="1713">
        <v>11174.409787997261</v>
      </c>
      <c r="V237" s="1715">
        <v>9641.3794179416109</v>
      </c>
      <c r="W237" s="1680">
        <v>11434.96156525798</v>
      </c>
      <c r="X237" s="1680">
        <v>9116.0759733353843</v>
      </c>
      <c r="Y237" s="1680">
        <v>9563.9321770397437</v>
      </c>
      <c r="Z237" s="1681">
        <v>9368.9160620250805</v>
      </c>
      <c r="AA237" s="1680">
        <v>9823.1629948743193</v>
      </c>
      <c r="AB237" s="1680">
        <v>10996.392826599309</v>
      </c>
      <c r="AC237" s="1680">
        <v>13165.051909345491</v>
      </c>
      <c r="AD237" s="1681">
        <v>9966.0748691142107</v>
      </c>
      <c r="AE237" s="1680">
        <v>10081.840893466653</v>
      </c>
      <c r="AF237" s="1680">
        <v>10532.235866772089</v>
      </c>
      <c r="AG237" s="1680">
        <v>11115.580950912827</v>
      </c>
      <c r="AH237" s="1681">
        <v>9206.0011555017081</v>
      </c>
      <c r="AI237" s="1680">
        <v>7599.395244266987</v>
      </c>
      <c r="AJ237" s="1680">
        <v>9658.4255255059925</v>
      </c>
      <c r="AK237" s="1680">
        <v>10542.679719462296</v>
      </c>
      <c r="AL237" s="1681">
        <v>9173.459524044767</v>
      </c>
      <c r="AM237" s="1680">
        <v>11552.579721769785</v>
      </c>
      <c r="AN237" s="1680">
        <v>14542.898550724636</v>
      </c>
      <c r="AO237" s="1680">
        <v>48571.299862448417</v>
      </c>
      <c r="AP237" s="1681">
        <v>9541.1462450592899</v>
      </c>
      <c r="AQ237" s="1680">
        <v>8001.7503919318342</v>
      </c>
      <c r="AR237" s="1680">
        <v>10020.549611895432</v>
      </c>
      <c r="AS237" s="1680">
        <v>28583.139290052815</v>
      </c>
      <c r="AT237" s="1681">
        <v>16581.596089097558</v>
      </c>
      <c r="AU237" s="1680">
        <v>7062.8307008244701</v>
      </c>
      <c r="AV237" s="1680">
        <v>8715.8398035065438</v>
      </c>
      <c r="AW237" s="1680">
        <v>24761.304736514343</v>
      </c>
      <c r="AX237" s="1681">
        <v>14438.494039488984</v>
      </c>
      <c r="AY237" s="1680">
        <v>6423.7196260689134</v>
      </c>
      <c r="AZ237" s="1680">
        <v>7906.2276542927948</v>
      </c>
      <c r="BA237" s="1680">
        <v>22408.946307746035</v>
      </c>
      <c r="BB237" s="1908">
        <v>13065.522005420524</v>
      </c>
      <c r="BC237" s="1529"/>
      <c r="BD237" s="1529"/>
      <c r="BE237" s="1529"/>
      <c r="BF237" s="1529"/>
      <c r="BG237" s="1529"/>
      <c r="BH237" s="1529"/>
      <c r="BI237" s="1529"/>
      <c r="BJ237" s="1529"/>
      <c r="BK237" s="1529"/>
      <c r="BL237" s="1529"/>
      <c r="BM237" s="1529"/>
      <c r="BN237" s="1529"/>
      <c r="BO237" s="1529"/>
      <c r="BP237" s="1529"/>
      <c r="BQ237" s="1529"/>
      <c r="BR237" s="1476"/>
      <c r="BS237" s="1477"/>
      <c r="BV237" s="1444"/>
      <c r="BW237" s="1443"/>
      <c r="BX237" s="1443"/>
      <c r="BY237" s="1443"/>
    </row>
    <row r="238" spans="2:77" ht="12.75" customHeight="1">
      <c r="B238" s="1549"/>
      <c r="C238" s="1776" t="s">
        <v>897</v>
      </c>
      <c r="D238" s="1739"/>
      <c r="E238" s="1739"/>
      <c r="F238" s="1740"/>
      <c r="G238" s="1720"/>
      <c r="H238" s="1723"/>
      <c r="I238" s="1723"/>
      <c r="J238" s="1724"/>
      <c r="K238" s="1716"/>
      <c r="L238" s="1723"/>
      <c r="M238" s="1723"/>
      <c r="N238" s="1724"/>
      <c r="O238" s="1720"/>
      <c r="P238" s="1723"/>
      <c r="Q238" s="1723"/>
      <c r="R238" s="1723"/>
      <c r="S238" s="1728"/>
      <c r="T238" s="1723"/>
      <c r="U238" s="1708"/>
      <c r="V238" s="1711"/>
      <c r="W238" s="1656"/>
      <c r="X238" s="1827"/>
      <c r="Y238" s="1827"/>
      <c r="Z238" s="1658"/>
      <c r="AA238" s="1656"/>
      <c r="AB238" s="1827"/>
      <c r="AC238" s="1827"/>
      <c r="AD238" s="1658"/>
      <c r="AE238" s="1656"/>
      <c r="AF238" s="1660"/>
      <c r="AG238" s="1660"/>
      <c r="AH238" s="1659"/>
      <c r="AI238" s="1660"/>
      <c r="AJ238" s="1660"/>
      <c r="AK238" s="1660"/>
      <c r="AL238" s="1659"/>
      <c r="AM238" s="1660"/>
      <c r="AN238" s="1660"/>
      <c r="AO238" s="1660"/>
      <c r="AP238" s="1659"/>
      <c r="AQ238" s="1660"/>
      <c r="AR238" s="1660"/>
      <c r="AS238" s="1660"/>
      <c r="AT238" s="1659"/>
      <c r="AU238" s="1660"/>
      <c r="AV238" s="1660"/>
      <c r="AW238" s="1660"/>
      <c r="AX238" s="1659"/>
      <c r="AY238" s="1660"/>
      <c r="AZ238" s="1660"/>
      <c r="BA238" s="1660"/>
      <c r="BB238" s="1906"/>
      <c r="BC238" s="1494"/>
      <c r="BD238" s="1494"/>
      <c r="BE238" s="1494"/>
      <c r="BF238" s="1494"/>
      <c r="BG238" s="1494"/>
      <c r="BH238" s="1494"/>
      <c r="BI238" s="1494"/>
      <c r="BJ238" s="1494"/>
      <c r="BK238" s="1494"/>
      <c r="BL238" s="1494"/>
      <c r="BM238" s="1494"/>
      <c r="BN238" s="1494"/>
      <c r="BO238" s="1494"/>
      <c r="BP238" s="1494"/>
      <c r="BQ238" s="1494"/>
      <c r="BR238" s="1476"/>
      <c r="BS238" s="1477"/>
      <c r="BV238" s="1444"/>
      <c r="BW238" s="1443"/>
      <c r="BX238" s="1443"/>
      <c r="BY238" s="1443"/>
    </row>
    <row r="239" spans="2:77" ht="12.75" customHeight="1">
      <c r="B239" s="1549"/>
      <c r="C239" s="1773" t="s">
        <v>803</v>
      </c>
      <c r="D239" s="1729"/>
      <c r="E239" s="1729"/>
      <c r="F239" s="1731"/>
      <c r="G239" s="1716">
        <v>6851.2172336847298</v>
      </c>
      <c r="H239" s="1712">
        <v>8182.0786967062631</v>
      </c>
      <c r="I239" s="1712">
        <v>8843.0635104283465</v>
      </c>
      <c r="J239" s="1717">
        <v>7237.1775828593409</v>
      </c>
      <c r="K239" s="1716">
        <v>7371.9217492476137</v>
      </c>
      <c r="L239" s="1712">
        <v>7960.8997122438159</v>
      </c>
      <c r="M239" s="1712">
        <v>8379.919228064944</v>
      </c>
      <c r="N239" s="1717">
        <v>8819.7944279269213</v>
      </c>
      <c r="O239" s="1716">
        <v>8447.2140034917284</v>
      </c>
      <c r="P239" s="1712">
        <v>9230.5387992588858</v>
      </c>
      <c r="Q239" s="1712">
        <v>10110.347551066592</v>
      </c>
      <c r="R239" s="1712">
        <v>9797.5546476884065</v>
      </c>
      <c r="S239" s="1716">
        <v>9282.9445192863459</v>
      </c>
      <c r="T239" s="1712">
        <v>7879.1357555234736</v>
      </c>
      <c r="U239" s="1712">
        <v>8084.3226123072382</v>
      </c>
      <c r="V239" s="1712">
        <v>11842.479560862408</v>
      </c>
      <c r="W239" s="1824">
        <v>7345.0633802143266</v>
      </c>
      <c r="X239" s="1825">
        <v>8666.8096880078447</v>
      </c>
      <c r="Y239" s="1825">
        <v>10315.050379273025</v>
      </c>
      <c r="Z239" s="1826">
        <v>9714.574534358846</v>
      </c>
      <c r="AA239" s="1824">
        <v>8382.8453222230091</v>
      </c>
      <c r="AB239" s="1825">
        <v>7537.8738784383268</v>
      </c>
      <c r="AC239" s="1825">
        <v>9837.7064039165271</v>
      </c>
      <c r="AD239" s="1826">
        <v>10577.262881497305</v>
      </c>
      <c r="AE239" s="1824">
        <v>9019.4014549612002</v>
      </c>
      <c r="AF239" s="1680">
        <v>10967.114786064982</v>
      </c>
      <c r="AG239" s="1680">
        <v>11335.823461467095</v>
      </c>
      <c r="AH239" s="1681">
        <v>10726.933653066462</v>
      </c>
      <c r="AI239" s="1680">
        <v>9142.7185751590077</v>
      </c>
      <c r="AJ239" s="1680">
        <v>8545.6610120881614</v>
      </c>
      <c r="AK239" s="1680">
        <v>8055.4469835426908</v>
      </c>
      <c r="AL239" s="1681">
        <v>11859.057936160812</v>
      </c>
      <c r="AM239" s="1680">
        <v>7106.0534420152553</v>
      </c>
      <c r="AN239" s="1680">
        <v>9713.2904608788867</v>
      </c>
      <c r="AO239" s="1680">
        <v>9301.3972055888225</v>
      </c>
      <c r="AP239" s="1681">
        <v>10670.184696569921</v>
      </c>
      <c r="AQ239" s="1680">
        <v>12523.856192309457</v>
      </c>
      <c r="AR239" s="1680">
        <v>12126.37627431892</v>
      </c>
      <c r="AS239" s="1680">
        <v>13524.643202910216</v>
      </c>
      <c r="AT239" s="1681">
        <v>7225.3549785020023</v>
      </c>
      <c r="AU239" s="1680">
        <v>12284.65865189438</v>
      </c>
      <c r="AV239" s="1680">
        <v>11894.770342853019</v>
      </c>
      <c r="AW239" s="1680">
        <v>13266.331278894815</v>
      </c>
      <c r="AX239" s="1681">
        <v>7087.3553789421785</v>
      </c>
      <c r="AY239" s="1680">
        <v>11964.479552774072</v>
      </c>
      <c r="AZ239" s="1680">
        <v>11584.75303097351</v>
      </c>
      <c r="BA239" s="1680">
        <v>12920.56652320475</v>
      </c>
      <c r="BB239" s="1908">
        <v>6902.6353045243814</v>
      </c>
      <c r="BC239" s="1529"/>
      <c r="BD239" s="1529"/>
      <c r="BE239" s="1529">
        <f t="shared" ref="BE239:BE254" si="420">AVERAGE(G239:J239)</f>
        <v>7778.3842559196701</v>
      </c>
      <c r="BF239" s="1529">
        <f t="shared" ref="BF239:BF254" si="421">AVERAGE(K239:N239)</f>
        <v>8133.1337793708235</v>
      </c>
      <c r="BG239" s="1529">
        <f t="shared" ref="BG239:BG254" si="422">AVERAGE(O239:R239)</f>
        <v>9396.4137503764032</v>
      </c>
      <c r="BH239" s="1529">
        <f t="shared" ref="BH239:BH254" si="423">AVERAGE(S239:V239)</f>
        <v>9272.2206119948678</v>
      </c>
      <c r="BI239" s="1529">
        <f t="shared" ref="BI239:BI254" si="424">AVERAGE(W239:Z239)</f>
        <v>9010.3744954635113</v>
      </c>
      <c r="BJ239" s="1529">
        <f t="shared" ref="BJ239:BJ254" si="425">AVERAGE(AA239:AD239)</f>
        <v>9083.9221215187918</v>
      </c>
      <c r="BK239" s="1529">
        <f t="shared" ref="BK239:BK254" si="426">AVERAGE(AE239:AH239)</f>
        <v>10512.318338889934</v>
      </c>
      <c r="BL239" s="1529">
        <f t="shared" ref="BL239:BL254" si="427">AVERAGE(AI239:AL239)</f>
        <v>9400.7211267376679</v>
      </c>
      <c r="BM239" s="1529">
        <f t="shared" ref="BM239:BM254" si="428">AVERAGE(AM239:AP239)</f>
        <v>9197.731451263222</v>
      </c>
      <c r="BN239" s="1529">
        <f t="shared" ref="BN239:BN254" si="429">AVERAGE(AQ239:AT239)</f>
        <v>11350.057662010147</v>
      </c>
      <c r="BO239" s="1529">
        <f t="shared" ref="BO239:BO254" si="430">AVERAGE(AU239:AX239)</f>
        <v>11133.278913146098</v>
      </c>
      <c r="BP239" s="1529">
        <f t="shared" ref="BP239:BP254" si="431">AVERAGE(AY239:BB239)</f>
        <v>10843.108602869177</v>
      </c>
      <c r="BQ239" s="1529"/>
      <c r="BR239" s="1476"/>
      <c r="BS239" s="1477"/>
      <c r="BV239" s="1444"/>
      <c r="BW239" s="1443"/>
      <c r="BX239" s="1443"/>
      <c r="BY239" s="1443"/>
    </row>
    <row r="240" spans="2:77" ht="12.75" customHeight="1">
      <c r="B240" s="1549"/>
      <c r="C240" s="1773" t="s">
        <v>804</v>
      </c>
      <c r="D240" s="1729"/>
      <c r="E240" s="1729"/>
      <c r="F240" s="1731"/>
      <c r="G240" s="1716">
        <v>5355.6961122030661</v>
      </c>
      <c r="H240" s="1712">
        <v>7028.1794383085698</v>
      </c>
      <c r="I240" s="1712">
        <v>8292.7749177879778</v>
      </c>
      <c r="J240" s="1717">
        <v>6485.8213553112255</v>
      </c>
      <c r="K240" s="1716">
        <v>6023.4534353193767</v>
      </c>
      <c r="L240" s="1712">
        <v>6697.9018560678951</v>
      </c>
      <c r="M240" s="1712">
        <v>7684.5603729599397</v>
      </c>
      <c r="N240" s="1717">
        <v>7744.4976746612501</v>
      </c>
      <c r="O240" s="1716">
        <v>8639.8374439110084</v>
      </c>
      <c r="P240" s="1712">
        <v>8438.5265301215695</v>
      </c>
      <c r="Q240" s="1712">
        <v>8950.6358841748479</v>
      </c>
      <c r="R240" s="1712">
        <v>8360.5518128974873</v>
      </c>
      <c r="S240" s="1716">
        <v>8283.8886860413586</v>
      </c>
      <c r="T240" s="1712">
        <v>6843.1719383213203</v>
      </c>
      <c r="U240" s="1712">
        <v>7359.8377490323146</v>
      </c>
      <c r="V240" s="1712">
        <v>7354.2240723278701</v>
      </c>
      <c r="W240" s="1824">
        <v>5887.49512865822</v>
      </c>
      <c r="X240" s="1825">
        <v>7342.5870896590586</v>
      </c>
      <c r="Y240" s="1825">
        <v>9428.2420655372098</v>
      </c>
      <c r="Z240" s="1826">
        <v>7903.1028409842911</v>
      </c>
      <c r="AA240" s="1824">
        <v>5838.4228171684554</v>
      </c>
      <c r="AB240" s="1825">
        <v>11231.838014387387</v>
      </c>
      <c r="AC240" s="1825">
        <v>14895.865292939685</v>
      </c>
      <c r="AD240" s="1826">
        <v>11088.680104153016</v>
      </c>
      <c r="AE240" s="1824">
        <v>7430.0572431015753</v>
      </c>
      <c r="AF240" s="1680">
        <v>9854.2125554743252</v>
      </c>
      <c r="AG240" s="1680">
        <v>14312.880773121604</v>
      </c>
      <c r="AH240" s="1681">
        <v>7721.1693236924348</v>
      </c>
      <c r="AI240" s="1680">
        <v>6476.9106982314634</v>
      </c>
      <c r="AJ240" s="1680">
        <v>5766.6546578633643</v>
      </c>
      <c r="AK240" s="1680">
        <v>9936.1248110884608</v>
      </c>
      <c r="AL240" s="1681">
        <v>7145.8747184646672</v>
      </c>
      <c r="AM240" s="1680">
        <v>4993.9723459738043</v>
      </c>
      <c r="AN240" s="1680">
        <v>14859.377349977438</v>
      </c>
      <c r="AO240" s="1680">
        <v>13198.198198198197</v>
      </c>
      <c r="AP240" s="1681">
        <v>12321.539416511485</v>
      </c>
      <c r="AQ240" s="1680">
        <v>13766.147964572425</v>
      </c>
      <c r="AR240" s="1680">
        <v>17987.083179969206</v>
      </c>
      <c r="AS240" s="1680">
        <v>15264.015012002199</v>
      </c>
      <c r="AT240" s="1681">
        <v>6334.5447057720257</v>
      </c>
      <c r="AU240" s="1680">
        <v>13835.817936941603</v>
      </c>
      <c r="AV240" s="1680">
        <v>18078.115151394733</v>
      </c>
      <c r="AW240" s="1680">
        <v>15341.265634824622</v>
      </c>
      <c r="AX240" s="1681">
        <v>6366.603605310097</v>
      </c>
      <c r="AY240" s="1680">
        <v>13642.039241588413</v>
      </c>
      <c r="AZ240" s="1680">
        <v>17824.920610642024</v>
      </c>
      <c r="BA240" s="1680">
        <v>15126.402266910129</v>
      </c>
      <c r="BB240" s="1908">
        <v>6277.4356106103478</v>
      </c>
      <c r="BC240" s="1529"/>
      <c r="BD240" s="1529"/>
      <c r="BE240" s="1529">
        <f t="shared" si="420"/>
        <v>6790.6179559027096</v>
      </c>
      <c r="BF240" s="1529">
        <f t="shared" si="421"/>
        <v>7037.6033347521152</v>
      </c>
      <c r="BG240" s="1529">
        <f t="shared" si="422"/>
        <v>8597.3879177762283</v>
      </c>
      <c r="BH240" s="1529">
        <f t="shared" si="423"/>
        <v>7460.2806114307159</v>
      </c>
      <c r="BI240" s="1529">
        <f t="shared" si="424"/>
        <v>7640.3567812096953</v>
      </c>
      <c r="BJ240" s="1529">
        <f t="shared" si="425"/>
        <v>10763.701557162136</v>
      </c>
      <c r="BK240" s="1529">
        <f t="shared" si="426"/>
        <v>9829.5799738474852</v>
      </c>
      <c r="BL240" s="1529">
        <f t="shared" si="427"/>
        <v>7331.3912214119891</v>
      </c>
      <c r="BM240" s="1529">
        <f t="shared" si="428"/>
        <v>11343.27182766523</v>
      </c>
      <c r="BN240" s="1529">
        <f t="shared" si="429"/>
        <v>13337.947715578963</v>
      </c>
      <c r="BO240" s="1529">
        <f t="shared" si="430"/>
        <v>13405.450582117764</v>
      </c>
      <c r="BP240" s="1529">
        <f t="shared" si="431"/>
        <v>13217.69943243773</v>
      </c>
      <c r="BQ240" s="1529"/>
      <c r="BR240" s="1476"/>
      <c r="BS240" s="1477"/>
      <c r="BV240" s="1444"/>
      <c r="BW240" s="1443"/>
      <c r="BX240" s="1443"/>
      <c r="BY240" s="1443"/>
    </row>
    <row r="241" spans="2:77" ht="12.75" customHeight="1">
      <c r="B241" s="1549"/>
      <c r="C241" s="1773" t="s">
        <v>805</v>
      </c>
      <c r="D241" s="1729"/>
      <c r="E241" s="1729"/>
      <c r="F241" s="1731"/>
      <c r="G241" s="1716">
        <v>6852.579277756392</v>
      </c>
      <c r="H241" s="1712">
        <v>8306.5809607562096</v>
      </c>
      <c r="I241" s="1712">
        <v>9423.2283467435736</v>
      </c>
      <c r="J241" s="1717">
        <v>7028.9542841002922</v>
      </c>
      <c r="K241" s="1716">
        <v>7074.1943976919974</v>
      </c>
      <c r="L241" s="1712">
        <v>7547.8657501188482</v>
      </c>
      <c r="M241" s="1712">
        <v>8439.3885162200022</v>
      </c>
      <c r="N241" s="1717">
        <v>8268.6653113423945</v>
      </c>
      <c r="O241" s="1716">
        <v>8437.495171565226</v>
      </c>
      <c r="P241" s="1712">
        <v>8970.6692026012824</v>
      </c>
      <c r="Q241" s="1712">
        <v>10076.119613780258</v>
      </c>
      <c r="R241" s="1712">
        <v>9230.9471653996989</v>
      </c>
      <c r="S241" s="1716">
        <v>7249.062381710246</v>
      </c>
      <c r="T241" s="1712">
        <v>7720.0856088085848</v>
      </c>
      <c r="U241" s="1712">
        <v>8293.4171259897885</v>
      </c>
      <c r="V241" s="1712">
        <v>8457.6272733481783</v>
      </c>
      <c r="W241" s="1824">
        <v>6117.7451995103747</v>
      </c>
      <c r="X241" s="1825">
        <v>8147.412648795138</v>
      </c>
      <c r="Y241" s="1825">
        <v>9952.2595955805282</v>
      </c>
      <c r="Z241" s="1826">
        <v>8215.7123443567598</v>
      </c>
      <c r="AA241" s="1824">
        <v>6590.0424387770508</v>
      </c>
      <c r="AB241" s="1825">
        <v>7771.3067261298047</v>
      </c>
      <c r="AC241" s="1825">
        <v>9737.8690075852119</v>
      </c>
      <c r="AD241" s="1826">
        <v>9049.3951916015685</v>
      </c>
      <c r="AE241" s="1824">
        <v>8212.0800442138498</v>
      </c>
      <c r="AF241" s="1680">
        <v>11384.80330532701</v>
      </c>
      <c r="AG241" s="1680">
        <v>11578.755646993332</v>
      </c>
      <c r="AH241" s="1681">
        <v>9606.9455878853478</v>
      </c>
      <c r="AI241" s="1680">
        <v>8859.0498337299687</v>
      </c>
      <c r="AJ241" s="1680">
        <v>7917.1918496624576</v>
      </c>
      <c r="AK241" s="1680">
        <v>7966.5045898410899</v>
      </c>
      <c r="AL241" s="1681">
        <v>8139.7228227011701</v>
      </c>
      <c r="AM241" s="1680">
        <v>5720.6374459995504</v>
      </c>
      <c r="AN241" s="1680">
        <v>15353.697749196142</v>
      </c>
      <c r="AO241" s="1680">
        <v>13013.972055888224</v>
      </c>
      <c r="AP241" s="1681">
        <v>13234.828496042217</v>
      </c>
      <c r="AQ241" s="1680">
        <v>14914.155984907466</v>
      </c>
      <c r="AR241" s="1680">
        <v>20592.143562519603</v>
      </c>
      <c r="AS241" s="1680">
        <v>17789.229705526392</v>
      </c>
      <c r="AT241" s="1681">
        <v>6358.814301275911</v>
      </c>
      <c r="AU241" s="1680">
        <v>14783.03187245478</v>
      </c>
      <c r="AV241" s="1680">
        <v>20411.099019947695</v>
      </c>
      <c r="AW241" s="1680">
        <v>17632.828166028303</v>
      </c>
      <c r="AX241" s="1681">
        <v>6302.9080949609152</v>
      </c>
      <c r="AY241" s="1680">
        <v>14415.982411492447</v>
      </c>
      <c r="AZ241" s="1680">
        <v>19904.309684880362</v>
      </c>
      <c r="BA241" s="1680">
        <v>17195.020811662678</v>
      </c>
      <c r="BB241" s="1908">
        <v>6146.4125236389573</v>
      </c>
      <c r="BC241" s="1529"/>
      <c r="BD241" s="1529"/>
      <c r="BE241" s="1529">
        <f t="shared" si="420"/>
        <v>7902.8357173391169</v>
      </c>
      <c r="BF241" s="1529">
        <f t="shared" si="421"/>
        <v>7832.5284938433106</v>
      </c>
      <c r="BG241" s="1529">
        <f t="shared" si="422"/>
        <v>9178.8077883366168</v>
      </c>
      <c r="BH241" s="1529">
        <f t="shared" si="423"/>
        <v>7930.0480974641996</v>
      </c>
      <c r="BI241" s="1529">
        <f t="shared" si="424"/>
        <v>8108.2824470607011</v>
      </c>
      <c r="BJ241" s="1529">
        <f t="shared" si="425"/>
        <v>8287.1533410234078</v>
      </c>
      <c r="BK241" s="1529">
        <f t="shared" si="426"/>
        <v>10195.646146104886</v>
      </c>
      <c r="BL241" s="1529">
        <f t="shared" si="427"/>
        <v>8220.6172739836711</v>
      </c>
      <c r="BM241" s="1529">
        <f t="shared" si="428"/>
        <v>11830.783936781534</v>
      </c>
      <c r="BN241" s="1529">
        <f t="shared" si="429"/>
        <v>14913.585888557343</v>
      </c>
      <c r="BO241" s="1529">
        <f t="shared" si="430"/>
        <v>14782.466788347923</v>
      </c>
      <c r="BP241" s="1529">
        <f t="shared" si="431"/>
        <v>14415.431357918611</v>
      </c>
      <c r="BQ241" s="1529"/>
      <c r="BR241" s="1476"/>
      <c r="BS241" s="1477"/>
      <c r="BV241" s="1444"/>
      <c r="BW241" s="1443"/>
      <c r="BX241" s="1443"/>
      <c r="BY241" s="1443"/>
    </row>
    <row r="242" spans="2:77" ht="12.75" customHeight="1">
      <c r="B242" s="1549"/>
      <c r="C242" s="1773" t="s">
        <v>806</v>
      </c>
      <c r="D242" s="1729"/>
      <c r="E242" s="1729"/>
      <c r="F242" s="1731"/>
      <c r="G242" s="1716">
        <v>7004.3325492920585</v>
      </c>
      <c r="H242" s="1712">
        <v>8884.2082613828734</v>
      </c>
      <c r="I242" s="1712">
        <v>10083.180834408246</v>
      </c>
      <c r="J242" s="1717">
        <v>7087.3029977862207</v>
      </c>
      <c r="K242" s="1716">
        <v>7340.2263410942887</v>
      </c>
      <c r="L242" s="1712">
        <v>7798.9509690638888</v>
      </c>
      <c r="M242" s="1712">
        <v>8927.1882569122845</v>
      </c>
      <c r="N242" s="1717">
        <v>8345.6002027089799</v>
      </c>
      <c r="O242" s="1716">
        <v>8645.3846646133316</v>
      </c>
      <c r="P242" s="1712">
        <v>9156.0025011957878</v>
      </c>
      <c r="Q242" s="1712">
        <v>10477.185224637948</v>
      </c>
      <c r="R242" s="1712">
        <v>9423.1828285744832</v>
      </c>
      <c r="S242" s="1716">
        <v>7423.784925032689</v>
      </c>
      <c r="T242" s="1712">
        <v>7850.7305463093289</v>
      </c>
      <c r="U242" s="1712">
        <v>8892.078482518069</v>
      </c>
      <c r="V242" s="1712">
        <v>8316.9515771291517</v>
      </c>
      <c r="W242" s="1824">
        <v>6133.6490987913385</v>
      </c>
      <c r="X242" s="1825">
        <v>8213.4148493595476</v>
      </c>
      <c r="Y242" s="1825">
        <v>10122.829083489969</v>
      </c>
      <c r="Z242" s="1826">
        <v>8243.0500509012982</v>
      </c>
      <c r="AA242" s="1824">
        <v>6629.8219138086515</v>
      </c>
      <c r="AB242" s="1825">
        <v>7973.4326856799471</v>
      </c>
      <c r="AC242" s="1825">
        <v>10477.845810963989</v>
      </c>
      <c r="AD242" s="1826">
        <v>9160.039878142039</v>
      </c>
      <c r="AE242" s="1824">
        <v>8558.8324115569685</v>
      </c>
      <c r="AF242" s="1680">
        <v>12102.625348797468</v>
      </c>
      <c r="AG242" s="1680">
        <v>12591.843997641919</v>
      </c>
      <c r="AH242" s="1681">
        <v>9646.0234098480669</v>
      </c>
      <c r="AI242" s="1680">
        <v>8902.6133060085667</v>
      </c>
      <c r="AJ242" s="1680">
        <v>8502.4785656129588</v>
      </c>
      <c r="AK242" s="1680">
        <v>8317.9199339646766</v>
      </c>
      <c r="AL242" s="1681">
        <v>8247.7510387057664</v>
      </c>
      <c r="AM242" s="1680">
        <v>6014.3501087297491</v>
      </c>
      <c r="AN242" s="1680">
        <v>16016.881028938908</v>
      </c>
      <c r="AO242" s="1680">
        <v>13685.961410512306</v>
      </c>
      <c r="AP242" s="1681">
        <v>13635.883905013192</v>
      </c>
      <c r="AQ242" s="1680">
        <v>15581.860761896291</v>
      </c>
      <c r="AR242" s="1680">
        <v>21684.767581360513</v>
      </c>
      <c r="AS242" s="1680">
        <v>18977.134817803846</v>
      </c>
      <c r="AT242" s="1681">
        <v>6534.6362240548142</v>
      </c>
      <c r="AU242" s="1680">
        <v>15474.866268858676</v>
      </c>
      <c r="AV242" s="1680">
        <v>21535.866833917054</v>
      </c>
      <c r="AW242" s="1680">
        <v>18846.826316774066</v>
      </c>
      <c r="AX242" s="1681">
        <v>6489.7654540831209</v>
      </c>
      <c r="AY242" s="1680">
        <v>15153.832115448648</v>
      </c>
      <c r="AZ242" s="1680">
        <v>21089.09406981953</v>
      </c>
      <c r="BA242" s="1680">
        <v>18455.83909750179</v>
      </c>
      <c r="BB242" s="1908">
        <v>6355.1318926562371</v>
      </c>
      <c r="BC242" s="1529"/>
      <c r="BD242" s="1529"/>
      <c r="BE242" s="1529">
        <f t="shared" si="420"/>
        <v>8264.7561607173484</v>
      </c>
      <c r="BF242" s="1529">
        <f t="shared" si="421"/>
        <v>8102.9914424448598</v>
      </c>
      <c r="BG242" s="1529">
        <f t="shared" si="422"/>
        <v>9425.4388047553875</v>
      </c>
      <c r="BH242" s="1529">
        <f t="shared" si="423"/>
        <v>8120.8863827473097</v>
      </c>
      <c r="BI242" s="1529">
        <f t="shared" si="424"/>
        <v>8178.2357706355378</v>
      </c>
      <c r="BJ242" s="1529">
        <f t="shared" si="425"/>
        <v>8560.2850721486557</v>
      </c>
      <c r="BK242" s="1529">
        <f t="shared" si="426"/>
        <v>10724.831291961105</v>
      </c>
      <c r="BL242" s="1529">
        <f t="shared" si="427"/>
        <v>8492.6907110729917</v>
      </c>
      <c r="BM242" s="1529">
        <f t="shared" si="428"/>
        <v>12338.269113298538</v>
      </c>
      <c r="BN242" s="1529">
        <f t="shared" si="429"/>
        <v>15694.599846278865</v>
      </c>
      <c r="BO242" s="1529">
        <f t="shared" si="430"/>
        <v>15586.83121840823</v>
      </c>
      <c r="BP242" s="1529">
        <f t="shared" si="431"/>
        <v>15263.474293856552</v>
      </c>
      <c r="BQ242" s="1529"/>
      <c r="BR242" s="1476"/>
      <c r="BS242" s="1477"/>
      <c r="BV242" s="1444"/>
      <c r="BW242" s="1443"/>
      <c r="BX242" s="1443"/>
      <c r="BY242" s="1443"/>
    </row>
    <row r="243" spans="2:77" ht="12.75" customHeight="1">
      <c r="B243" s="1549"/>
      <c r="C243" s="1773" t="s">
        <v>807</v>
      </c>
      <c r="D243" s="1729"/>
      <c r="E243" s="1729"/>
      <c r="F243" s="1731"/>
      <c r="G243" s="1716">
        <v>6493.6656406734282</v>
      </c>
      <c r="H243" s="1712">
        <v>7054.57307272854</v>
      </c>
      <c r="I243" s="1712">
        <v>8131.2298382658046</v>
      </c>
      <c r="J243" s="1717">
        <v>7228.7968443687932</v>
      </c>
      <c r="K243" s="1716">
        <v>6878.6075683160079</v>
      </c>
      <c r="L243" s="1712">
        <v>7284.5320546195644</v>
      </c>
      <c r="M243" s="1712">
        <v>7779.5784938790375</v>
      </c>
      <c r="N243" s="1717">
        <v>8695.2045434184238</v>
      </c>
      <c r="O243" s="1716">
        <v>9841.700334411802</v>
      </c>
      <c r="P243" s="1712">
        <v>9039.2719380663311</v>
      </c>
      <c r="Q243" s="1712">
        <v>8835.1893477360536</v>
      </c>
      <c r="R243" s="1712">
        <v>8429.9253921288018</v>
      </c>
      <c r="S243" s="1716">
        <v>7789.8114136442509</v>
      </c>
      <c r="T243" s="1712">
        <v>7147.248796830625</v>
      </c>
      <c r="U243" s="1712">
        <v>8031.1736003835267</v>
      </c>
      <c r="V243" s="1712">
        <v>7795.107694833674</v>
      </c>
      <c r="W243" s="1824">
        <v>6166.530696296164</v>
      </c>
      <c r="X243" s="1825">
        <v>8263.5632022788723</v>
      </c>
      <c r="Y243" s="1825">
        <v>10837.129084616699</v>
      </c>
      <c r="Z243" s="1826">
        <v>10859.130824743526</v>
      </c>
      <c r="AA243" s="1824">
        <v>6858.1083928038697</v>
      </c>
      <c r="AB243" s="1825">
        <v>15422.985685691838</v>
      </c>
      <c r="AC243" s="1825">
        <v>16917.689223633119</v>
      </c>
      <c r="AD243" s="1826">
        <v>17146.191788467313</v>
      </c>
      <c r="AE243" s="1824">
        <v>13082.44971352325</v>
      </c>
      <c r="AF243" s="1680">
        <v>13437.831424583155</v>
      </c>
      <c r="AG243" s="1680">
        <v>16998.184607495699</v>
      </c>
      <c r="AH243" s="1681">
        <v>11310.225430871806</v>
      </c>
      <c r="AI243" s="1680">
        <v>9046.2979187077945</v>
      </c>
      <c r="AJ243" s="1680">
        <v>8797.2641070890259</v>
      </c>
      <c r="AK243" s="1680">
        <v>12592.415236425988</v>
      </c>
      <c r="AL243" s="1681">
        <v>10428.152314932511</v>
      </c>
      <c r="AM243" s="1680">
        <v>6682.4698912828535</v>
      </c>
      <c r="AN243" s="1680">
        <v>11257.331929613474</v>
      </c>
      <c r="AO243" s="1680">
        <v>11163.663663663663</v>
      </c>
      <c r="AP243" s="1681">
        <v>9565.4872749844817</v>
      </c>
      <c r="AQ243" s="1680">
        <v>8968.4071460360283</v>
      </c>
      <c r="AR243" s="1680">
        <v>11591.660811253709</v>
      </c>
      <c r="AS243" s="1680">
        <v>11437.093284386061</v>
      </c>
      <c r="AT243" s="1681">
        <v>8324.117177218186</v>
      </c>
      <c r="AU243" s="1680">
        <v>9005.6896599988304</v>
      </c>
      <c r="AV243" s="1680">
        <v>11639.848437998402</v>
      </c>
      <c r="AW243" s="1680">
        <v>11484.6383593504</v>
      </c>
      <c r="AX243" s="1681">
        <v>8358.7213170430405</v>
      </c>
      <c r="AY243" s="1680">
        <v>8883.1264622192248</v>
      </c>
      <c r="AZ243" s="1680">
        <v>11481.435579006858</v>
      </c>
      <c r="BA243" s="1680">
        <v>11328.337836480232</v>
      </c>
      <c r="BB243" s="1908">
        <v>8244.9630539179179</v>
      </c>
      <c r="BC243" s="1529"/>
      <c r="BD243" s="1529"/>
      <c r="BE243" s="1529">
        <f t="shared" si="420"/>
        <v>7227.066349009141</v>
      </c>
      <c r="BF243" s="1529">
        <f t="shared" si="421"/>
        <v>7659.4806650582577</v>
      </c>
      <c r="BG243" s="1529">
        <f t="shared" si="422"/>
        <v>9036.5217530857462</v>
      </c>
      <c r="BH243" s="1529">
        <f t="shared" si="423"/>
        <v>7690.8353764230187</v>
      </c>
      <c r="BI243" s="1529">
        <f t="shared" si="424"/>
        <v>9031.5884519838146</v>
      </c>
      <c r="BJ243" s="1529">
        <f t="shared" si="425"/>
        <v>14086.243772649035</v>
      </c>
      <c r="BK243" s="1529">
        <f t="shared" si="426"/>
        <v>13707.172794118478</v>
      </c>
      <c r="BL243" s="1529">
        <f t="shared" si="427"/>
        <v>10216.032394288828</v>
      </c>
      <c r="BM243" s="1529">
        <f t="shared" si="428"/>
        <v>9667.2381898861167</v>
      </c>
      <c r="BN243" s="1529">
        <f t="shared" si="429"/>
        <v>10080.319604723496</v>
      </c>
      <c r="BO243" s="1529">
        <f t="shared" si="430"/>
        <v>10122.224443597668</v>
      </c>
      <c r="BP243" s="1529">
        <f t="shared" si="431"/>
        <v>9984.4657329060592</v>
      </c>
      <c r="BQ243" s="1529"/>
      <c r="BR243" s="1476"/>
      <c r="BS243" s="1477"/>
      <c r="BV243" s="1444"/>
      <c r="BW243" s="1443"/>
      <c r="BX243" s="1443"/>
      <c r="BY243" s="1443"/>
    </row>
    <row r="244" spans="2:77" ht="12.75" customHeight="1">
      <c r="B244" s="1549"/>
      <c r="C244" s="1773" t="s">
        <v>693</v>
      </c>
      <c r="D244" s="1729"/>
      <c r="E244" s="1729"/>
      <c r="F244" s="1731"/>
      <c r="G244" s="1716">
        <v>7002.234954288876</v>
      </c>
      <c r="H244" s="1712">
        <v>7640.4485499059529</v>
      </c>
      <c r="I244" s="1712">
        <v>9025.3869993302178</v>
      </c>
      <c r="J244" s="1717">
        <v>7413.0740656652906</v>
      </c>
      <c r="K244" s="1716">
        <v>7669.8052364764089</v>
      </c>
      <c r="L244" s="1712">
        <v>7622.3652447041277</v>
      </c>
      <c r="M244" s="1712">
        <v>8474.1679552486985</v>
      </c>
      <c r="N244" s="1717">
        <v>8622.2045860397502</v>
      </c>
      <c r="O244" s="1716">
        <v>10395.317989886589</v>
      </c>
      <c r="P244" s="1712">
        <v>8857.6301713450721</v>
      </c>
      <c r="Q244" s="1712">
        <v>9886.5109657382072</v>
      </c>
      <c r="R244" s="1712">
        <v>8860.9682958716039</v>
      </c>
      <c r="S244" s="1716">
        <v>8039.5762260747151</v>
      </c>
      <c r="T244" s="1712">
        <v>7560.6867566728806</v>
      </c>
      <c r="U244" s="1712">
        <v>8465.7345865797197</v>
      </c>
      <c r="V244" s="1712">
        <v>8094.5011996556996</v>
      </c>
      <c r="W244" s="1824">
        <v>7151.6799340099105</v>
      </c>
      <c r="X244" s="1825">
        <v>8251.2040516581637</v>
      </c>
      <c r="Y244" s="1825">
        <v>10479.170149283662</v>
      </c>
      <c r="Z244" s="1826">
        <v>13653.53156496323</v>
      </c>
      <c r="AA244" s="1824">
        <v>8207.0387690658226</v>
      </c>
      <c r="AB244" s="1825">
        <v>15499.45605967582</v>
      </c>
      <c r="AC244" s="1825">
        <v>15178.412461854665</v>
      </c>
      <c r="AD244" s="1826">
        <v>19658.072019603624</v>
      </c>
      <c r="AE244" s="1824">
        <v>13822.547494014379</v>
      </c>
      <c r="AF244" s="1680">
        <v>12166.262278237393</v>
      </c>
      <c r="AG244" s="1680">
        <v>15635.007649191331</v>
      </c>
      <c r="AH244" s="1681">
        <v>9544.6541456185332</v>
      </c>
      <c r="AI244" s="1680">
        <v>9801.7076446894607</v>
      </c>
      <c r="AJ244" s="1680">
        <v>8644.1370259993801</v>
      </c>
      <c r="AK244" s="1680">
        <v>11004.438339609598</v>
      </c>
      <c r="AL244" s="1681">
        <v>12310.44340491018</v>
      </c>
      <c r="AM244" s="1680">
        <v>7116.8692303849139</v>
      </c>
      <c r="AN244" s="1680">
        <v>11351.481425778313</v>
      </c>
      <c r="AO244" s="1680">
        <v>11381.381381381379</v>
      </c>
      <c r="AP244" s="1681">
        <v>9497.1446306641828</v>
      </c>
      <c r="AQ244" s="1680">
        <v>10240.121890620401</v>
      </c>
      <c r="AR244" s="1680">
        <v>11655.324608823219</v>
      </c>
      <c r="AS244" s="1680">
        <v>11808.620980409776</v>
      </c>
      <c r="AT244" s="1681">
        <v>8077.2747597348434</v>
      </c>
      <c r="AU244" s="1680">
        <v>10309.484579678321</v>
      </c>
      <c r="AV244" s="1680">
        <v>11734.273342573297</v>
      </c>
      <c r="AW244" s="1680">
        <v>11888.608085447777</v>
      </c>
      <c r="AX244" s="1681">
        <v>8131.9871453469759</v>
      </c>
      <c r="AY244" s="1680">
        <v>10242.624743435623</v>
      </c>
      <c r="AZ244" s="1680">
        <v>11658.173360265939</v>
      </c>
      <c r="BA244" s="1680">
        <v>11811.507199986107</v>
      </c>
      <c r="BB244" s="1908">
        <v>8079.2489774333872</v>
      </c>
      <c r="BC244" s="1529"/>
      <c r="BD244" s="1529"/>
      <c r="BE244" s="1529">
        <f t="shared" si="420"/>
        <v>7770.2861422975839</v>
      </c>
      <c r="BF244" s="1529">
        <f t="shared" si="421"/>
        <v>8097.1357556172461</v>
      </c>
      <c r="BG244" s="1529">
        <f t="shared" si="422"/>
        <v>9500.1068557103681</v>
      </c>
      <c r="BH244" s="1529">
        <f t="shared" si="423"/>
        <v>8040.124692245754</v>
      </c>
      <c r="BI244" s="1529">
        <f t="shared" si="424"/>
        <v>9883.8964249787423</v>
      </c>
      <c r="BJ244" s="1529">
        <f t="shared" si="425"/>
        <v>14635.744827549981</v>
      </c>
      <c r="BK244" s="1529">
        <f t="shared" si="426"/>
        <v>12792.117891765411</v>
      </c>
      <c r="BL244" s="1529">
        <f t="shared" si="427"/>
        <v>10440.181603802155</v>
      </c>
      <c r="BM244" s="1529">
        <f t="shared" si="428"/>
        <v>9836.719167052197</v>
      </c>
      <c r="BN244" s="1529">
        <f t="shared" si="429"/>
        <v>10445.335559897059</v>
      </c>
      <c r="BO244" s="1529">
        <f t="shared" si="430"/>
        <v>10516.088288261593</v>
      </c>
      <c r="BP244" s="1529">
        <f t="shared" si="431"/>
        <v>10447.888570280264</v>
      </c>
      <c r="BQ244" s="1529"/>
      <c r="BR244" s="1476"/>
      <c r="BS244" s="1477"/>
      <c r="BV244" s="1444"/>
      <c r="BW244" s="1443"/>
      <c r="BX244" s="1443"/>
      <c r="BY244" s="1443"/>
    </row>
    <row r="245" spans="2:77" ht="12.75" customHeight="1">
      <c r="B245" s="1549"/>
      <c r="C245" s="1773" t="s">
        <v>808</v>
      </c>
      <c r="D245" s="1729"/>
      <c r="E245" s="1729"/>
      <c r="F245" s="1731"/>
      <c r="G245" s="1716">
        <v>5769.3305928748814</v>
      </c>
      <c r="H245" s="1712">
        <v>5980.4576806649147</v>
      </c>
      <c r="I245" s="1712">
        <v>6684.7232199578648</v>
      </c>
      <c r="J245" s="1717">
        <v>5911.4648985987124</v>
      </c>
      <c r="K245" s="1716">
        <v>5617.3159739843395</v>
      </c>
      <c r="L245" s="1712">
        <v>6655.7582528218209</v>
      </c>
      <c r="M245" s="1712">
        <v>7303.4594565022162</v>
      </c>
      <c r="N245" s="1717">
        <v>8538.4108780017341</v>
      </c>
      <c r="O245" s="1716">
        <v>9256.1029733562991</v>
      </c>
      <c r="P245" s="1712">
        <v>8884.5574896313938</v>
      </c>
      <c r="Q245" s="1712">
        <v>8401.9636033328952</v>
      </c>
      <c r="R245" s="1712">
        <v>8108.3969931427564</v>
      </c>
      <c r="S245" s="1716">
        <v>7144.68170956227</v>
      </c>
      <c r="T245" s="1712">
        <v>6923.1901425772967</v>
      </c>
      <c r="U245" s="1712">
        <v>7416.937285038297</v>
      </c>
      <c r="V245" s="1712">
        <v>7186.3638244491658</v>
      </c>
      <c r="W245" s="1824">
        <v>4378.4476589144797</v>
      </c>
      <c r="X245" s="1825">
        <v>8308.8842312669221</v>
      </c>
      <c r="Y245" s="1825">
        <v>10465.996871575519</v>
      </c>
      <c r="Z245" s="1826">
        <v>10914.824746114929</v>
      </c>
      <c r="AA245" s="1824">
        <v>5222.5069289009616</v>
      </c>
      <c r="AB245" s="1825">
        <v>15040.786920718157</v>
      </c>
      <c r="AC245" s="1825">
        <v>16577.780229416356</v>
      </c>
      <c r="AD245" s="1826">
        <v>17065.861366193356</v>
      </c>
      <c r="AE245" s="1824">
        <v>11965.339455583016</v>
      </c>
      <c r="AF245" s="1680">
        <v>13392.335283854029</v>
      </c>
      <c r="AG245" s="1680">
        <v>16617.582565885587</v>
      </c>
      <c r="AH245" s="1681">
        <v>11247.328225526811</v>
      </c>
      <c r="AI245" s="1680">
        <v>8556.6131079873394</v>
      </c>
      <c r="AJ245" s="1680">
        <v>8971.0519258287495</v>
      </c>
      <c r="AK245" s="1680">
        <v>13054.147515117875</v>
      </c>
      <c r="AL245" s="1681">
        <v>9524.2185088378228</v>
      </c>
      <c r="AM245" s="1680">
        <v>5253.5008504221041</v>
      </c>
      <c r="AN245" s="1680">
        <v>9534.7680059708928</v>
      </c>
      <c r="AO245" s="1680">
        <v>8957.9632918886928</v>
      </c>
      <c r="AP245" s="1681">
        <v>8724.870763928775</v>
      </c>
      <c r="AQ245" s="1680">
        <v>10357.798701457919</v>
      </c>
      <c r="AR245" s="1680">
        <v>8488.7960907604192</v>
      </c>
      <c r="AS245" s="1680">
        <v>8528.2593221072202</v>
      </c>
      <c r="AT245" s="1681">
        <v>9517.0351924681836</v>
      </c>
      <c r="AU245" s="1680">
        <v>10049.931204538312</v>
      </c>
      <c r="AV245" s="1680">
        <v>8236.4814359143529</v>
      </c>
      <c r="AW245" s="1680">
        <v>8274.7716915541296</v>
      </c>
      <c r="AX245" s="1681">
        <v>9234.1579241168911</v>
      </c>
      <c r="AY245" s="1680">
        <v>9861.0170236466547</v>
      </c>
      <c r="AZ245" s="1680">
        <v>8081.6556851477762</v>
      </c>
      <c r="BA245" s="1680">
        <v>8119.2261774246881</v>
      </c>
      <c r="BB245" s="1908">
        <v>9060.5782900920312</v>
      </c>
      <c r="BC245" s="1529"/>
      <c r="BD245" s="1529"/>
      <c r="BE245" s="1529">
        <f t="shared" si="420"/>
        <v>6086.4940980240926</v>
      </c>
      <c r="BF245" s="1529">
        <f t="shared" si="421"/>
        <v>7028.7361403275281</v>
      </c>
      <c r="BG245" s="1529">
        <f t="shared" si="422"/>
        <v>8662.7552648658366</v>
      </c>
      <c r="BH245" s="1529">
        <f t="shared" si="423"/>
        <v>7167.7932404067578</v>
      </c>
      <c r="BI245" s="1529">
        <f t="shared" si="424"/>
        <v>8517.0383769679629</v>
      </c>
      <c r="BJ245" s="1529">
        <f t="shared" si="425"/>
        <v>13476.733861307208</v>
      </c>
      <c r="BK245" s="1529">
        <f t="shared" si="426"/>
        <v>13305.646382712363</v>
      </c>
      <c r="BL245" s="1529">
        <f t="shared" si="427"/>
        <v>10026.507764442948</v>
      </c>
      <c r="BM245" s="1529">
        <f t="shared" si="428"/>
        <v>8117.7757280526166</v>
      </c>
      <c r="BN245" s="1529">
        <f t="shared" si="429"/>
        <v>9222.9723266984365</v>
      </c>
      <c r="BO245" s="1529">
        <f t="shared" si="430"/>
        <v>8948.8355640309201</v>
      </c>
      <c r="BP245" s="1529">
        <f t="shared" si="431"/>
        <v>8780.6192940777873</v>
      </c>
      <c r="BQ245" s="1529"/>
      <c r="BR245" s="1476"/>
      <c r="BS245" s="1477"/>
      <c r="BV245" s="1444"/>
      <c r="BW245" s="1443"/>
      <c r="BX245" s="1443"/>
      <c r="BY245" s="1443"/>
    </row>
    <row r="246" spans="2:77" ht="12.75" customHeight="1">
      <c r="B246" s="1549"/>
      <c r="C246" s="1773" t="s">
        <v>809</v>
      </c>
      <c r="D246" s="1729"/>
      <c r="E246" s="1729"/>
      <c r="F246" s="1731"/>
      <c r="G246" s="1716">
        <v>6500.5822596957805</v>
      </c>
      <c r="H246" s="1712">
        <v>6476.0723404537666</v>
      </c>
      <c r="I246" s="1712">
        <v>7271.6763952678921</v>
      </c>
      <c r="J246" s="1717">
        <v>8220.4093352115033</v>
      </c>
      <c r="K246" s="1716">
        <v>7979.1747211275315</v>
      </c>
      <c r="L246" s="1712">
        <v>7104.9821374667526</v>
      </c>
      <c r="M246" s="1712">
        <v>7790.7372328055353</v>
      </c>
      <c r="N246" s="1717">
        <v>9201.0167150006782</v>
      </c>
      <c r="O246" s="1716">
        <v>10440.014917886665</v>
      </c>
      <c r="P246" s="1712">
        <v>9560.11803419846</v>
      </c>
      <c r="Q246" s="1712">
        <v>8935.6748974826023</v>
      </c>
      <c r="R246" s="1712">
        <v>8777.6380248240494</v>
      </c>
      <c r="S246" s="1716">
        <v>8794.3099226617105</v>
      </c>
      <c r="T246" s="1712">
        <v>7170.3250164574647</v>
      </c>
      <c r="U246" s="1712">
        <v>7427.6377278135369</v>
      </c>
      <c r="V246" s="1712">
        <v>7463.0119522202085</v>
      </c>
      <c r="W246" s="1824">
        <v>10672.862043942654</v>
      </c>
      <c r="X246" s="1825">
        <v>6748.9575207808848</v>
      </c>
      <c r="Y246" s="1825">
        <v>6693.0721564774667</v>
      </c>
      <c r="Z246" s="1826">
        <v>7928.0928377524915</v>
      </c>
      <c r="AA246" s="1824">
        <v>11594.576778630564</v>
      </c>
      <c r="AB246" s="1825">
        <v>8884.7428686240874</v>
      </c>
      <c r="AC246" s="1825">
        <v>8259.4626536542146</v>
      </c>
      <c r="AD246" s="1826">
        <v>10311.27373307398</v>
      </c>
      <c r="AE246" s="1824">
        <v>11099.393407137786</v>
      </c>
      <c r="AF246" s="1680">
        <v>9992.6370455412834</v>
      </c>
      <c r="AG246" s="1680">
        <v>7829.6864609595132</v>
      </c>
      <c r="AH246" s="1681">
        <v>8265.1158346907469</v>
      </c>
      <c r="AI246" s="1680">
        <v>8517.9614097697577</v>
      </c>
      <c r="AJ246" s="1680">
        <v>7365.7185946531754</v>
      </c>
      <c r="AK246" s="1680">
        <v>7744.3815502968346</v>
      </c>
      <c r="AL246" s="1681">
        <v>9032.4298573449232</v>
      </c>
      <c r="AM246" s="1680">
        <v>10767.751699666062</v>
      </c>
      <c r="AN246" s="1680">
        <v>9068.2920761288733</v>
      </c>
      <c r="AO246" s="1680">
        <v>8780.343398460629</v>
      </c>
      <c r="AP246" s="1681">
        <v>8558.2998276852377</v>
      </c>
      <c r="AQ246" s="1680">
        <v>9141.5772569286164</v>
      </c>
      <c r="AR246" s="1680">
        <v>8061.5434396640903</v>
      </c>
      <c r="AS246" s="1680">
        <v>8098.0895888361283</v>
      </c>
      <c r="AT246" s="1681">
        <v>9879.7162281589626</v>
      </c>
      <c r="AU246" s="1680">
        <v>8972.5976330324702</v>
      </c>
      <c r="AV246" s="1680">
        <v>7912.5279535865184</v>
      </c>
      <c r="AW246" s="1680">
        <v>7948.3985569125425</v>
      </c>
      <c r="AX246" s="1681">
        <v>9697.0923017277073</v>
      </c>
      <c r="AY246" s="1680">
        <v>8822.1145485094949</v>
      </c>
      <c r="AZ246" s="1680">
        <v>7779.8237288426817</v>
      </c>
      <c r="BA246" s="1680">
        <v>7815.092731689896</v>
      </c>
      <c r="BB246" s="1908">
        <v>9534.4584224266036</v>
      </c>
      <c r="BC246" s="1529"/>
      <c r="BD246" s="1529"/>
      <c r="BE246" s="1529">
        <f t="shared" si="420"/>
        <v>7117.1850826572354</v>
      </c>
      <c r="BF246" s="1529">
        <f t="shared" si="421"/>
        <v>8018.9777016001244</v>
      </c>
      <c r="BG246" s="1529">
        <f t="shared" si="422"/>
        <v>9428.3614685979446</v>
      </c>
      <c r="BH246" s="1529">
        <f t="shared" si="423"/>
        <v>7713.8211547882302</v>
      </c>
      <c r="BI246" s="1529">
        <f t="shared" si="424"/>
        <v>8010.746139738374</v>
      </c>
      <c r="BJ246" s="1529">
        <f t="shared" si="425"/>
        <v>9762.5140084957129</v>
      </c>
      <c r="BK246" s="1529">
        <f t="shared" si="426"/>
        <v>9296.7081870823331</v>
      </c>
      <c r="BL246" s="1529">
        <f t="shared" si="427"/>
        <v>8165.1228530161725</v>
      </c>
      <c r="BM246" s="1529">
        <f t="shared" si="428"/>
        <v>9293.6717504852004</v>
      </c>
      <c r="BN246" s="1529">
        <f t="shared" si="429"/>
        <v>8795.2316283969485</v>
      </c>
      <c r="BO246" s="1529">
        <f t="shared" si="430"/>
        <v>8632.6541113148105</v>
      </c>
      <c r="BP246" s="1529">
        <f t="shared" si="431"/>
        <v>8487.8723578671688</v>
      </c>
      <c r="BQ246" s="1529"/>
      <c r="BR246" s="1476"/>
      <c r="BS246" s="1477"/>
      <c r="BV246" s="1444"/>
      <c r="BW246" s="1443"/>
      <c r="BX246" s="1443"/>
      <c r="BY246" s="1443"/>
    </row>
    <row r="247" spans="2:77" ht="12.75" customHeight="1">
      <c r="B247" s="1549"/>
      <c r="C247" s="1773" t="s">
        <v>810</v>
      </c>
      <c r="D247" s="1729"/>
      <c r="E247" s="1729"/>
      <c r="F247" s="1731"/>
      <c r="G247" s="1716">
        <v>5339.309272481165</v>
      </c>
      <c r="H247" s="1712">
        <v>5100.5900565632073</v>
      </c>
      <c r="I247" s="1712">
        <v>6006.74992147799</v>
      </c>
      <c r="J247" s="1717">
        <v>5317.3518126357339</v>
      </c>
      <c r="K247" s="1716">
        <v>6734.0496191414031</v>
      </c>
      <c r="L247" s="1712">
        <v>5501.4743918965405</v>
      </c>
      <c r="M247" s="1712">
        <v>6268.4758752189118</v>
      </c>
      <c r="N247" s="1717">
        <v>5985.7267911888366</v>
      </c>
      <c r="O247" s="1716">
        <v>9477.3896272805832</v>
      </c>
      <c r="P247" s="1712">
        <v>8173.946883501706</v>
      </c>
      <c r="Q247" s="1712">
        <v>8259.4192392880977</v>
      </c>
      <c r="R247" s="1712">
        <v>6410.7661597259648</v>
      </c>
      <c r="S247" s="1716">
        <v>7790.1968554542191</v>
      </c>
      <c r="T247" s="1712">
        <v>5959.6264930636416</v>
      </c>
      <c r="U247" s="1712">
        <v>6840.5607736665088</v>
      </c>
      <c r="V247" s="1712">
        <v>6525.372318959221</v>
      </c>
      <c r="W247" s="1824">
        <v>9013.981977331181</v>
      </c>
      <c r="X247" s="1825">
        <v>5435.4274567969042</v>
      </c>
      <c r="Y247" s="1825">
        <v>6191.277648456301</v>
      </c>
      <c r="Z247" s="1826">
        <v>6850.9884407370319</v>
      </c>
      <c r="AA247" s="1824">
        <v>10265.602875410354</v>
      </c>
      <c r="AB247" s="1825">
        <v>6715.6093086897836</v>
      </c>
      <c r="AC247" s="1825">
        <v>7664.0265319712089</v>
      </c>
      <c r="AD247" s="1826">
        <v>9225.6308062235858</v>
      </c>
      <c r="AE247" s="1824">
        <v>9673.625167828357</v>
      </c>
      <c r="AF247" s="1680">
        <v>8570.6534203356659</v>
      </c>
      <c r="AG247" s="1680">
        <v>7452.1855165401403</v>
      </c>
      <c r="AH247" s="1681">
        <v>7408.3223776683062</v>
      </c>
      <c r="AI247" s="1680">
        <v>7667.4563966200603</v>
      </c>
      <c r="AJ247" s="1680">
        <v>6356.9074135752089</v>
      </c>
      <c r="AK247" s="1680">
        <v>6365.0018649239109</v>
      </c>
      <c r="AL247" s="1681">
        <v>7895.7944693923155</v>
      </c>
      <c r="AM247" s="1680">
        <v>8227.0666796054647</v>
      </c>
      <c r="AN247" s="1680">
        <v>7395.1984077621601</v>
      </c>
      <c r="AO247" s="1680">
        <v>7619.8934280639423</v>
      </c>
      <c r="AP247" s="1681">
        <v>7070.6490522688118</v>
      </c>
      <c r="AQ247" s="1680">
        <v>9417.0466461005399</v>
      </c>
      <c r="AR247" s="1680">
        <v>7556.0461755771757</v>
      </c>
      <c r="AS247" s="1680">
        <v>7734.2070510855065</v>
      </c>
      <c r="AT247" s="1681">
        <v>6746.2524824277207</v>
      </c>
      <c r="AU247" s="1680">
        <v>9420.6351919674853</v>
      </c>
      <c r="AV247" s="1680">
        <v>7558.9255515952455</v>
      </c>
      <c r="AW247" s="1680">
        <v>7737.1543187151901</v>
      </c>
      <c r="AX247" s="1681">
        <v>6748.8232710595485</v>
      </c>
      <c r="AY247" s="1680">
        <v>9243.941182160137</v>
      </c>
      <c r="AZ247" s="1680">
        <v>7417.1498816610774</v>
      </c>
      <c r="BA247" s="1680">
        <v>7592.0357791248134</v>
      </c>
      <c r="BB247" s="1908">
        <v>6622.2419290433099</v>
      </c>
      <c r="BC247" s="1529"/>
      <c r="BD247" s="1529"/>
      <c r="BE247" s="1529">
        <f t="shared" si="420"/>
        <v>5441.0002657895238</v>
      </c>
      <c r="BF247" s="1529">
        <f t="shared" si="421"/>
        <v>6122.4316693614228</v>
      </c>
      <c r="BG247" s="1529">
        <f t="shared" si="422"/>
        <v>8080.3804774490882</v>
      </c>
      <c r="BH247" s="1529">
        <f t="shared" si="423"/>
        <v>6778.9391102858972</v>
      </c>
      <c r="BI247" s="1529">
        <f t="shared" si="424"/>
        <v>6872.9188808303552</v>
      </c>
      <c r="BJ247" s="1529">
        <f t="shared" si="425"/>
        <v>8467.717380573733</v>
      </c>
      <c r="BK247" s="1529">
        <f t="shared" si="426"/>
        <v>8276.1966205931167</v>
      </c>
      <c r="BL247" s="1529">
        <f t="shared" si="427"/>
        <v>7071.2900361278744</v>
      </c>
      <c r="BM247" s="1529">
        <f t="shared" si="428"/>
        <v>7578.201891925095</v>
      </c>
      <c r="BN247" s="1529">
        <f t="shared" si="429"/>
        <v>7863.3880887977357</v>
      </c>
      <c r="BO247" s="1529">
        <f t="shared" si="430"/>
        <v>7866.3845833343676</v>
      </c>
      <c r="BP247" s="1529">
        <f t="shared" si="431"/>
        <v>7718.8421929973347</v>
      </c>
      <c r="BQ247" s="1529"/>
      <c r="BR247" s="1476"/>
      <c r="BS247" s="1477"/>
      <c r="BV247" s="1444"/>
      <c r="BW247" s="1443"/>
      <c r="BX247" s="1443"/>
      <c r="BY247" s="1443"/>
    </row>
    <row r="248" spans="2:77" ht="12.75" customHeight="1">
      <c r="B248" s="1549"/>
      <c r="C248" s="1773" t="s">
        <v>811</v>
      </c>
      <c r="D248" s="1729"/>
      <c r="E248" s="1729"/>
      <c r="F248" s="1731"/>
      <c r="G248" s="1716">
        <v>6911.9504373250129</v>
      </c>
      <c r="H248" s="1712">
        <v>6621.032095301849</v>
      </c>
      <c r="I248" s="1712">
        <v>7456.0304454809211</v>
      </c>
      <c r="J248" s="1717">
        <v>6786.9757708018869</v>
      </c>
      <c r="K248" s="1716">
        <v>7103.6316586257462</v>
      </c>
      <c r="L248" s="1712">
        <v>6489.3612351463817</v>
      </c>
      <c r="M248" s="1712">
        <v>7652.9516182493453</v>
      </c>
      <c r="N248" s="1717">
        <v>7018.4711655947503</v>
      </c>
      <c r="O248" s="1716">
        <v>7952.8432404796031</v>
      </c>
      <c r="P248" s="1712">
        <v>7515.6719478298664</v>
      </c>
      <c r="Q248" s="1712">
        <v>7355.2985870752173</v>
      </c>
      <c r="R248" s="1712">
        <v>6558.0613022094312</v>
      </c>
      <c r="S248" s="1716">
        <v>6674.9226754832425</v>
      </c>
      <c r="T248" s="1712">
        <v>6638.422412018157</v>
      </c>
      <c r="U248" s="1712">
        <v>7223.9917476319215</v>
      </c>
      <c r="V248" s="1712">
        <v>7084.8548714796698</v>
      </c>
      <c r="W248" s="1824">
        <v>6140.4918444926798</v>
      </c>
      <c r="X248" s="1825">
        <v>6818.4558455411725</v>
      </c>
      <c r="Y248" s="1825">
        <v>7269.96105521761</v>
      </c>
      <c r="Z248" s="1826">
        <v>6682.661837208123</v>
      </c>
      <c r="AA248" s="1824">
        <v>7652.4945449900451</v>
      </c>
      <c r="AB248" s="1825">
        <v>7888.8594888397292</v>
      </c>
      <c r="AC248" s="1825">
        <v>7345.5237671149316</v>
      </c>
      <c r="AD248" s="1826">
        <v>7529.6000602417816</v>
      </c>
      <c r="AE248" s="1824">
        <v>6964.2929599013441</v>
      </c>
      <c r="AF248" s="1680">
        <v>6980.8570592020815</v>
      </c>
      <c r="AG248" s="1680">
        <v>8164.8402063845024</v>
      </c>
      <c r="AH248" s="1681">
        <v>6140.7448147131954</v>
      </c>
      <c r="AI248" s="1680">
        <v>6430.7867145184991</v>
      </c>
      <c r="AJ248" s="1680">
        <v>7962.6791325077083</v>
      </c>
      <c r="AK248" s="1680">
        <v>7713.7262070746765</v>
      </c>
      <c r="AL248" s="1681">
        <v>6923.2312215922902</v>
      </c>
      <c r="AM248" s="1680">
        <v>6480.3957229260004</v>
      </c>
      <c r="AN248" s="1680">
        <v>8543.5526806816761</v>
      </c>
      <c r="AO248" s="1680">
        <v>10269.102427471877</v>
      </c>
      <c r="AP248" s="1681">
        <v>6963.1533601378515</v>
      </c>
      <c r="AQ248" s="1680">
        <v>7207.7953169845769</v>
      </c>
      <c r="AR248" s="1680">
        <v>7543.9435635063273</v>
      </c>
      <c r="AS248" s="1680">
        <v>9213.4837628008991</v>
      </c>
      <c r="AT248" s="1681">
        <v>6685.4577110965065</v>
      </c>
      <c r="AU248" s="1680">
        <v>7169.198552229147</v>
      </c>
      <c r="AV248" s="1680">
        <v>7503.5467705559522</v>
      </c>
      <c r="AW248" s="1680">
        <v>9164.1468088875699</v>
      </c>
      <c r="AX248" s="1681">
        <v>6649.6579932619125</v>
      </c>
      <c r="AY248" s="1680">
        <v>6934.3630362278864</v>
      </c>
      <c r="AZ248" s="1680">
        <v>7257.7592861020321</v>
      </c>
      <c r="BA248" s="1680">
        <v>8863.9644204520755</v>
      </c>
      <c r="BB248" s="1908">
        <v>6431.8406382670464</v>
      </c>
      <c r="BC248" s="1529"/>
      <c r="BD248" s="1529"/>
      <c r="BE248" s="1529">
        <f t="shared" si="420"/>
        <v>6943.9971872274182</v>
      </c>
      <c r="BF248" s="1529">
        <f t="shared" si="421"/>
        <v>7066.1039194040559</v>
      </c>
      <c r="BG248" s="1529">
        <f t="shared" si="422"/>
        <v>7345.4687693985288</v>
      </c>
      <c r="BH248" s="1529">
        <f t="shared" si="423"/>
        <v>6905.5479266532475</v>
      </c>
      <c r="BI248" s="1529">
        <f t="shared" si="424"/>
        <v>6727.8926456148965</v>
      </c>
      <c r="BJ248" s="1529">
        <f t="shared" si="425"/>
        <v>7604.1194652966215</v>
      </c>
      <c r="BK248" s="1529">
        <f t="shared" si="426"/>
        <v>7062.6837600502804</v>
      </c>
      <c r="BL248" s="1529">
        <f t="shared" si="427"/>
        <v>7257.6058189232936</v>
      </c>
      <c r="BM248" s="1529">
        <f t="shared" si="428"/>
        <v>8064.0510478043507</v>
      </c>
      <c r="BN248" s="1529">
        <f t="shared" si="429"/>
        <v>7662.6700885970777</v>
      </c>
      <c r="BO248" s="1529">
        <f t="shared" si="430"/>
        <v>7621.6375312336459</v>
      </c>
      <c r="BP248" s="1529">
        <f t="shared" si="431"/>
        <v>7371.9818452622603</v>
      </c>
      <c r="BQ248" s="1529"/>
      <c r="BR248" s="1476"/>
      <c r="BS248" s="1477"/>
      <c r="BV248" s="1444"/>
      <c r="BW248" s="1443"/>
      <c r="BX248" s="1443"/>
      <c r="BY248" s="1443"/>
    </row>
    <row r="249" spans="2:77" ht="12.75" customHeight="1">
      <c r="B249" s="1549"/>
      <c r="C249" s="1773" t="s">
        <v>812</v>
      </c>
      <c r="D249" s="1729"/>
      <c r="E249" s="1729"/>
      <c r="F249" s="1731"/>
      <c r="G249" s="1716">
        <v>6956.775640795453</v>
      </c>
      <c r="H249" s="1712">
        <v>6579.7184516400084</v>
      </c>
      <c r="I249" s="1712">
        <v>7383.37060324907</v>
      </c>
      <c r="J249" s="1717">
        <v>6769.6404409553197</v>
      </c>
      <c r="K249" s="1716">
        <v>7202.0850094799453</v>
      </c>
      <c r="L249" s="1712">
        <v>6420.214829248016</v>
      </c>
      <c r="M249" s="1712">
        <v>7575.5365463257504</v>
      </c>
      <c r="N249" s="1717">
        <v>7086.1451129407897</v>
      </c>
      <c r="O249" s="1716">
        <v>7943.4548333544453</v>
      </c>
      <c r="P249" s="1712">
        <v>7525.8237354826097</v>
      </c>
      <c r="Q249" s="1712">
        <v>7232.7025992394247</v>
      </c>
      <c r="R249" s="1712">
        <v>6745.6184695244247</v>
      </c>
      <c r="S249" s="1716">
        <v>6668.1229270336653</v>
      </c>
      <c r="T249" s="1712">
        <v>6535.4293137657605</v>
      </c>
      <c r="U249" s="1712">
        <v>7147.865663393176</v>
      </c>
      <c r="V249" s="1712">
        <v>6981.8886000345046</v>
      </c>
      <c r="W249" s="1824">
        <v>6182.9907384190228</v>
      </c>
      <c r="X249" s="1825">
        <v>6785.8365945503001</v>
      </c>
      <c r="Y249" s="1825">
        <v>7136.6442103725694</v>
      </c>
      <c r="Z249" s="1826">
        <v>6702.3457070216837</v>
      </c>
      <c r="AA249" s="1824">
        <v>7664.6160360806507</v>
      </c>
      <c r="AB249" s="1825">
        <v>7048.9520285495655</v>
      </c>
      <c r="AC249" s="1825">
        <v>7197.670615244313</v>
      </c>
      <c r="AD249" s="1826">
        <v>7101.8354351902599</v>
      </c>
      <c r="AE249" s="1824">
        <v>6945.1239071268637</v>
      </c>
      <c r="AF249" s="1680">
        <v>6861.101172272105</v>
      </c>
      <c r="AG249" s="1680">
        <v>7251.121749054284</v>
      </c>
      <c r="AH249" s="1681">
        <v>6022.5093589603321</v>
      </c>
      <c r="AI249" s="1680">
        <v>5878.8543969869743</v>
      </c>
      <c r="AJ249" s="1680">
        <v>6363.7110064538647</v>
      </c>
      <c r="AK249" s="1680">
        <v>7360.8455434858543</v>
      </c>
      <c r="AL249" s="1681">
        <v>6251.0403871722756</v>
      </c>
      <c r="AM249" s="1680">
        <v>6199.6866590289592</v>
      </c>
      <c r="AN249" s="1680">
        <v>7716.3353650951622</v>
      </c>
      <c r="AO249" s="1680">
        <v>10174.371817643576</v>
      </c>
      <c r="AP249" s="1681">
        <v>6681.7059161401476</v>
      </c>
      <c r="AQ249" s="1680">
        <v>6960.4803932414106</v>
      </c>
      <c r="AR249" s="1680">
        <v>7040.2791244410537</v>
      </c>
      <c r="AS249" s="1680">
        <v>8992.7280873911477</v>
      </c>
      <c r="AT249" s="1681">
        <v>6121.8589841224284</v>
      </c>
      <c r="AU249" s="1680">
        <v>6833.8195343448451</v>
      </c>
      <c r="AV249" s="1680">
        <v>6912.1661566006269</v>
      </c>
      <c r="AW249" s="1680">
        <v>8829.0861260578167</v>
      </c>
      <c r="AX249" s="1681">
        <v>6010.4586391511948</v>
      </c>
      <c r="AY249" s="1680">
        <v>6536.1986425108153</v>
      </c>
      <c r="AZ249" s="1680">
        <v>6611.1331770650186</v>
      </c>
      <c r="BA249" s="1680">
        <v>8444.5690234754893</v>
      </c>
      <c r="BB249" s="1908">
        <v>5748.6960843272727</v>
      </c>
      <c r="BC249" s="1529"/>
      <c r="BD249" s="1529"/>
      <c r="BE249" s="1529">
        <f t="shared" si="420"/>
        <v>6922.3762841599637</v>
      </c>
      <c r="BF249" s="1529">
        <f t="shared" si="421"/>
        <v>7070.995374498626</v>
      </c>
      <c r="BG249" s="1529">
        <f t="shared" si="422"/>
        <v>7361.8999094002265</v>
      </c>
      <c r="BH249" s="1529">
        <f t="shared" si="423"/>
        <v>6833.3266260567761</v>
      </c>
      <c r="BI249" s="1529">
        <f t="shared" si="424"/>
        <v>6701.9543125908931</v>
      </c>
      <c r="BJ249" s="1529">
        <f t="shared" si="425"/>
        <v>7253.2685287661971</v>
      </c>
      <c r="BK249" s="1529">
        <f t="shared" si="426"/>
        <v>6769.9640468533962</v>
      </c>
      <c r="BL249" s="1529">
        <f t="shared" si="427"/>
        <v>6463.6128335247431</v>
      </c>
      <c r="BM249" s="1529">
        <f t="shared" si="428"/>
        <v>7693.0249394769617</v>
      </c>
      <c r="BN249" s="1529">
        <f t="shared" si="429"/>
        <v>7278.8366472990101</v>
      </c>
      <c r="BO249" s="1529">
        <f t="shared" si="430"/>
        <v>7146.3826140386209</v>
      </c>
      <c r="BP249" s="1529">
        <f t="shared" si="431"/>
        <v>6835.1492318446481</v>
      </c>
      <c r="BQ249" s="1529"/>
      <c r="BR249" s="1476"/>
      <c r="BS249" s="1477"/>
      <c r="BV249" s="1444"/>
      <c r="BW249" s="1443"/>
      <c r="BX249" s="1443"/>
      <c r="BY249" s="1443"/>
    </row>
    <row r="250" spans="2:77" ht="12.75" customHeight="1">
      <c r="B250" s="1549"/>
      <c r="C250" s="1773" t="s">
        <v>813</v>
      </c>
      <c r="D250" s="1729"/>
      <c r="E250" s="1729"/>
      <c r="F250" s="1731"/>
      <c r="G250" s="1716">
        <v>6864.4777044040256</v>
      </c>
      <c r="H250" s="1712">
        <v>6562.8970251557994</v>
      </c>
      <c r="I250" s="1712">
        <v>7414.7110582687419</v>
      </c>
      <c r="J250" s="1717">
        <v>6679.1141503791168</v>
      </c>
      <c r="K250" s="1716">
        <v>7138.8046808257704</v>
      </c>
      <c r="L250" s="1712">
        <v>6258.087014167384</v>
      </c>
      <c r="M250" s="1712">
        <v>7523.249636289559</v>
      </c>
      <c r="N250" s="1717">
        <v>7174.579060258885</v>
      </c>
      <c r="O250" s="1716">
        <v>7873.2744080347829</v>
      </c>
      <c r="P250" s="1712">
        <v>7431.2884796307553</v>
      </c>
      <c r="Q250" s="1712">
        <v>7334.1288032927387</v>
      </c>
      <c r="R250" s="1712">
        <v>6585.3989518402341</v>
      </c>
      <c r="S250" s="1716">
        <v>6652.2606369130135</v>
      </c>
      <c r="T250" s="1712">
        <v>6539.4547394260053</v>
      </c>
      <c r="U250" s="1712">
        <v>7184.9101755550391</v>
      </c>
      <c r="V250" s="1712">
        <v>6986.060144475985</v>
      </c>
      <c r="W250" s="1824">
        <v>6142.7701878695543</v>
      </c>
      <c r="X250" s="1825">
        <v>6706.9196289195888</v>
      </c>
      <c r="Y250" s="1825">
        <v>7191.2801571027721</v>
      </c>
      <c r="Z250" s="1826">
        <v>6691.3524756882343</v>
      </c>
      <c r="AA250" s="1824">
        <v>7683.5517405383844</v>
      </c>
      <c r="AB250" s="1825">
        <v>7477.9551606525392</v>
      </c>
      <c r="AC250" s="1825">
        <v>7273.2045800322394</v>
      </c>
      <c r="AD250" s="1826">
        <v>7297.8688266327545</v>
      </c>
      <c r="AE250" s="1824">
        <v>6825.5682022125657</v>
      </c>
      <c r="AF250" s="1680">
        <v>6812.7741649171348</v>
      </c>
      <c r="AG250" s="1680">
        <v>7454.9666094076501</v>
      </c>
      <c r="AH250" s="1681">
        <v>6130.1227783855711</v>
      </c>
      <c r="AI250" s="1680">
        <v>5895.9354557555907</v>
      </c>
      <c r="AJ250" s="1680">
        <v>7064.5603116460243</v>
      </c>
      <c r="AK250" s="1680">
        <v>7856.3102926990641</v>
      </c>
      <c r="AL250" s="1681">
        <v>6693.0932220303657</v>
      </c>
      <c r="AM250" s="1680">
        <v>6308.6390155305817</v>
      </c>
      <c r="AN250" s="1680">
        <v>8300.9851971638291</v>
      </c>
      <c r="AO250" s="1680">
        <v>10559.214920071048</v>
      </c>
      <c r="AP250" s="1681">
        <v>6991.8724870763926</v>
      </c>
      <c r="AQ250" s="1680">
        <v>7308.293740592273</v>
      </c>
      <c r="AR250" s="1680">
        <v>7573.1759724842441</v>
      </c>
      <c r="AS250" s="1680">
        <v>9344.5082187459211</v>
      </c>
      <c r="AT250" s="1681">
        <v>6521.5722220472508</v>
      </c>
      <c r="AU250" s="1680">
        <v>7193.750633657809</v>
      </c>
      <c r="AV250" s="1680">
        <v>7454.4813583868809</v>
      </c>
      <c r="AW250" s="1680">
        <v>9198.0514612397492</v>
      </c>
      <c r="AX250" s="1681">
        <v>6419.3594250626784</v>
      </c>
      <c r="AY250" s="1680">
        <v>6930.4910839990544</v>
      </c>
      <c r="AZ250" s="1680">
        <v>7181.6802139926585</v>
      </c>
      <c r="BA250" s="1680">
        <v>8861.4433400053931</v>
      </c>
      <c r="BB250" s="1908">
        <v>6184.4391786709302</v>
      </c>
      <c r="BC250" s="1529"/>
      <c r="BD250" s="1529"/>
      <c r="BE250" s="1529">
        <f t="shared" si="420"/>
        <v>6880.2999845519207</v>
      </c>
      <c r="BF250" s="1529">
        <f t="shared" si="421"/>
        <v>7023.6800978853998</v>
      </c>
      <c r="BG250" s="1529">
        <f t="shared" si="422"/>
        <v>7306.0226606996284</v>
      </c>
      <c r="BH250" s="1529">
        <f t="shared" si="423"/>
        <v>6840.6714240925112</v>
      </c>
      <c r="BI250" s="1529">
        <f t="shared" si="424"/>
        <v>6683.080612395037</v>
      </c>
      <c r="BJ250" s="1529">
        <f t="shared" si="425"/>
        <v>7433.1450769639796</v>
      </c>
      <c r="BK250" s="1529">
        <f t="shared" si="426"/>
        <v>6805.8579387307309</v>
      </c>
      <c r="BL250" s="1529">
        <f t="shared" si="427"/>
        <v>6877.4748205327614</v>
      </c>
      <c r="BM250" s="1529">
        <f t="shared" si="428"/>
        <v>8040.1779049604629</v>
      </c>
      <c r="BN250" s="1529">
        <f t="shared" si="429"/>
        <v>7686.8875384674229</v>
      </c>
      <c r="BO250" s="1529">
        <f t="shared" si="430"/>
        <v>7566.4107195867791</v>
      </c>
      <c r="BP250" s="1529">
        <f t="shared" si="431"/>
        <v>7289.5134541670095</v>
      </c>
      <c r="BQ250" s="1529"/>
      <c r="BR250" s="1476"/>
      <c r="BS250" s="1477"/>
      <c r="BV250" s="1444"/>
      <c r="BW250" s="1443"/>
      <c r="BX250" s="1443"/>
      <c r="BY250" s="1443"/>
    </row>
    <row r="251" spans="2:77" ht="12.75" customHeight="1">
      <c r="B251" s="1549"/>
      <c r="C251" s="1773" t="s">
        <v>814</v>
      </c>
      <c r="D251" s="1729"/>
      <c r="E251" s="1729"/>
      <c r="F251" s="1731"/>
      <c r="G251" s="1716">
        <v>6542.4121405750793</v>
      </c>
      <c r="H251" s="1712">
        <v>6271.3601770080304</v>
      </c>
      <c r="I251" s="1712">
        <v>7021.4112476857217</v>
      </c>
      <c r="J251" s="1717">
        <v>6733.6908270051736</v>
      </c>
      <c r="K251" s="1716">
        <v>4947.8024200898235</v>
      </c>
      <c r="L251" s="1712">
        <v>3639.4677482772172</v>
      </c>
      <c r="M251" s="1712">
        <v>5747.6866885726586</v>
      </c>
      <c r="N251" s="1717">
        <v>6628.5228267586781</v>
      </c>
      <c r="O251" s="1716">
        <v>7140.6532375369161</v>
      </c>
      <c r="P251" s="1712">
        <v>6382.371966804455</v>
      </c>
      <c r="Q251" s="1712">
        <v>6483.5540521088269</v>
      </c>
      <c r="R251" s="1712">
        <v>6726.4830833685282</v>
      </c>
      <c r="S251" s="1716">
        <v>7205.7973591784121</v>
      </c>
      <c r="T251" s="1712">
        <v>6357.537844012214</v>
      </c>
      <c r="U251" s="1712">
        <v>6423.4820897102254</v>
      </c>
      <c r="V251" s="1712">
        <v>7229.6977497861471</v>
      </c>
      <c r="W251" s="1824">
        <v>6790.8520186587984</v>
      </c>
      <c r="X251" s="1825">
        <v>6349.6655319918109</v>
      </c>
      <c r="Y251" s="1825">
        <v>7036.4214757575519</v>
      </c>
      <c r="Z251" s="1826">
        <v>6665.5421283905716</v>
      </c>
      <c r="AA251" s="1824">
        <v>7686.8419302083648</v>
      </c>
      <c r="AB251" s="1825">
        <v>7549.5235262753986</v>
      </c>
      <c r="AC251" s="1825">
        <v>7870.964586340303</v>
      </c>
      <c r="AD251" s="1826">
        <v>7947.0472842148192</v>
      </c>
      <c r="AE251" s="1824">
        <v>8041.4196020612753</v>
      </c>
      <c r="AF251" s="1680">
        <v>7252.5359380326045</v>
      </c>
      <c r="AG251" s="1680">
        <v>7589.9916495196767</v>
      </c>
      <c r="AH251" s="1681">
        <v>7054.7193373314476</v>
      </c>
      <c r="AI251" s="1680">
        <v>6592.9726251884122</v>
      </c>
      <c r="AJ251" s="1680">
        <v>6874.6729901740318</v>
      </c>
      <c r="AK251" s="1680">
        <v>7377.5104880100744</v>
      </c>
      <c r="AL251" s="1681">
        <v>5402.5632811176656</v>
      </c>
      <c r="AM251" s="1680">
        <v>6081.509077044283</v>
      </c>
      <c r="AN251" s="1680">
        <v>10853.739245532757</v>
      </c>
      <c r="AO251" s="1680">
        <v>10437.986082685222</v>
      </c>
      <c r="AP251" s="1681">
        <v>8954.2936288088658</v>
      </c>
      <c r="AQ251" s="1680">
        <v>9568.8121647134849</v>
      </c>
      <c r="AR251" s="1680">
        <v>12135.565714038688</v>
      </c>
      <c r="AS251" s="1680">
        <v>12432.237568226872</v>
      </c>
      <c r="AT251" s="1681">
        <v>9155.3108828586155</v>
      </c>
      <c r="AU251" s="1680">
        <v>10477.444338766418</v>
      </c>
      <c r="AV251" s="1680">
        <v>13287.930842363825</v>
      </c>
      <c r="AW251" s="1680">
        <v>13612.773966633513</v>
      </c>
      <c r="AX251" s="1681">
        <v>10024.677935782822</v>
      </c>
      <c r="AY251" s="1680">
        <v>10870.28187437005</v>
      </c>
      <c r="AZ251" s="1680">
        <v>13786.143749691979</v>
      </c>
      <c r="BA251" s="1680">
        <v>14123.166425412372</v>
      </c>
      <c r="BB251" s="1908">
        <v>10400.539610460706</v>
      </c>
      <c r="BC251" s="1529"/>
      <c r="BD251" s="1529"/>
      <c r="BE251" s="1529">
        <f t="shared" si="420"/>
        <v>6642.2185980685008</v>
      </c>
      <c r="BF251" s="1529">
        <f t="shared" si="421"/>
        <v>5240.8699209245942</v>
      </c>
      <c r="BG251" s="1529">
        <f t="shared" si="422"/>
        <v>6683.2655849546809</v>
      </c>
      <c r="BH251" s="1529">
        <f t="shared" si="423"/>
        <v>6804.1287606717497</v>
      </c>
      <c r="BI251" s="1529">
        <f t="shared" si="424"/>
        <v>6710.6202886996825</v>
      </c>
      <c r="BJ251" s="1529">
        <f t="shared" si="425"/>
        <v>7763.5943317597212</v>
      </c>
      <c r="BK251" s="1529">
        <f t="shared" si="426"/>
        <v>7484.6666317362515</v>
      </c>
      <c r="BL251" s="1529">
        <f t="shared" si="427"/>
        <v>6561.9298461225462</v>
      </c>
      <c r="BM251" s="1529">
        <f t="shared" si="428"/>
        <v>9081.8820085177831</v>
      </c>
      <c r="BN251" s="1529">
        <f t="shared" si="429"/>
        <v>10822.981582459415</v>
      </c>
      <c r="BO251" s="1529">
        <f t="shared" si="430"/>
        <v>11850.706770886643</v>
      </c>
      <c r="BP251" s="1529">
        <f t="shared" si="431"/>
        <v>12295.032914983778</v>
      </c>
      <c r="BQ251" s="1529"/>
      <c r="BR251" s="1476"/>
      <c r="BS251" s="1477"/>
      <c r="BV251" s="1444"/>
      <c r="BW251" s="1443"/>
      <c r="BX251" s="1443"/>
      <c r="BY251" s="1443"/>
    </row>
    <row r="252" spans="2:77" ht="12.75" customHeight="1">
      <c r="B252" s="1549"/>
      <c r="C252" s="1773" t="s">
        <v>815</v>
      </c>
      <c r="D252" s="1729"/>
      <c r="E252" s="1729"/>
      <c r="F252" s="1731"/>
      <c r="G252" s="1716">
        <v>7660.4394968624874</v>
      </c>
      <c r="H252" s="1712">
        <v>4421.426097331675</v>
      </c>
      <c r="I252" s="1712">
        <v>6156.2722201020406</v>
      </c>
      <c r="J252" s="1717">
        <v>7002.5167489617788</v>
      </c>
      <c r="K252" s="1716">
        <v>4589.0510511069697</v>
      </c>
      <c r="L252" s="1712">
        <v>2411.1346788076098</v>
      </c>
      <c r="M252" s="1712">
        <v>5490.4974244869181</v>
      </c>
      <c r="N252" s="1717">
        <v>6615.8727095483928</v>
      </c>
      <c r="O252" s="1716">
        <v>7046.3802040246701</v>
      </c>
      <c r="P252" s="1712">
        <v>5518.5767411822817</v>
      </c>
      <c r="Q252" s="1712">
        <v>6377.5206167201122</v>
      </c>
      <c r="R252" s="1712">
        <v>7344.081803590022</v>
      </c>
      <c r="S252" s="1716">
        <v>9311.2686731067824</v>
      </c>
      <c r="T252" s="1712">
        <v>7056.6794179267672</v>
      </c>
      <c r="U252" s="1712">
        <v>8597.9551187672805</v>
      </c>
      <c r="V252" s="1712">
        <v>9033.2153415300436</v>
      </c>
      <c r="W252" s="1824">
        <v>7778.1824249044994</v>
      </c>
      <c r="X252" s="1825">
        <v>4321.8647012602933</v>
      </c>
      <c r="Y252" s="1825">
        <v>7399.6643648541531</v>
      </c>
      <c r="Z252" s="1826">
        <v>8079.6050793482691</v>
      </c>
      <c r="AA252" s="1824">
        <v>8597.8421847930604</v>
      </c>
      <c r="AB252" s="1825">
        <v>9043.6082365961338</v>
      </c>
      <c r="AC252" s="1825">
        <v>9384.1581076756538</v>
      </c>
      <c r="AD252" s="1826">
        <v>10244.540848251741</v>
      </c>
      <c r="AE252" s="1824">
        <v>9931.6699639321978</v>
      </c>
      <c r="AF252" s="1680">
        <v>8322.9072817939832</v>
      </c>
      <c r="AG252" s="1680">
        <v>9519.3024094689408</v>
      </c>
      <c r="AH252" s="1681">
        <v>8836.9259337879703</v>
      </c>
      <c r="AI252" s="1680">
        <v>7422.1179080352858</v>
      </c>
      <c r="AJ252" s="1680">
        <v>6926.4056548853769</v>
      </c>
      <c r="AK252" s="1680">
        <v>9076.9846765896473</v>
      </c>
      <c r="AL252" s="1681">
        <v>7115.4623612168161</v>
      </c>
      <c r="AM252" s="1680">
        <v>7142.1403365965198</v>
      </c>
      <c r="AN252" s="1680">
        <v>11846.45929847783</v>
      </c>
      <c r="AO252" s="1680">
        <v>13262.382316823576</v>
      </c>
      <c r="AP252" s="1681">
        <v>13234.072022160666</v>
      </c>
      <c r="AQ252" s="1680">
        <v>12329.48172551779</v>
      </c>
      <c r="AR252" s="1680">
        <v>13082.874702863712</v>
      </c>
      <c r="AS252" s="1680">
        <v>15543.273890119144</v>
      </c>
      <c r="AT252" s="1681">
        <v>12131.723236546579</v>
      </c>
      <c r="AU252" s="1680">
        <v>13058.427446074731</v>
      </c>
      <c r="AV252" s="1680">
        <v>13856.36265146884</v>
      </c>
      <c r="AW252" s="1680">
        <v>16462.225978932187</v>
      </c>
      <c r="AX252" s="1681">
        <v>12848.977046003884</v>
      </c>
      <c r="AY252" s="1680">
        <v>13044.817446046907</v>
      </c>
      <c r="AZ252" s="1680">
        <v>13841.92101239317</v>
      </c>
      <c r="BA252" s="1680">
        <v>16445.068407933952</v>
      </c>
      <c r="BB252" s="1908">
        <v>12835.585343314124</v>
      </c>
      <c r="BC252" s="1529"/>
      <c r="BD252" s="1529"/>
      <c r="BE252" s="1529">
        <f t="shared" si="420"/>
        <v>6310.163640814495</v>
      </c>
      <c r="BF252" s="1529">
        <f t="shared" si="421"/>
        <v>4776.6389659874721</v>
      </c>
      <c r="BG252" s="1529">
        <f t="shared" si="422"/>
        <v>6571.6398413792722</v>
      </c>
      <c r="BH252" s="1529">
        <f t="shared" si="423"/>
        <v>8499.7796378327184</v>
      </c>
      <c r="BI252" s="1529">
        <f t="shared" si="424"/>
        <v>6894.8291425918032</v>
      </c>
      <c r="BJ252" s="1529">
        <f t="shared" si="425"/>
        <v>9317.5373443291464</v>
      </c>
      <c r="BK252" s="1529">
        <f t="shared" si="426"/>
        <v>9152.7013972457735</v>
      </c>
      <c r="BL252" s="1529">
        <f t="shared" si="427"/>
        <v>7635.2426501817808</v>
      </c>
      <c r="BM252" s="1529">
        <f t="shared" si="428"/>
        <v>11371.263493514649</v>
      </c>
      <c r="BN252" s="1529">
        <f t="shared" si="429"/>
        <v>13271.838388761804</v>
      </c>
      <c r="BO252" s="1529">
        <f t="shared" si="430"/>
        <v>14056.498280619911</v>
      </c>
      <c r="BP252" s="1529">
        <f t="shared" si="431"/>
        <v>14041.848052422038</v>
      </c>
      <c r="BQ252" s="1529"/>
      <c r="BR252" s="1476"/>
      <c r="BS252" s="1477"/>
      <c r="BV252" s="1444"/>
      <c r="BW252" s="1443"/>
      <c r="BX252" s="1443"/>
      <c r="BY252" s="1443"/>
    </row>
    <row r="253" spans="2:77" ht="12.75" customHeight="1">
      <c r="B253" s="1549"/>
      <c r="C253" s="1773" t="s">
        <v>816</v>
      </c>
      <c r="D253" s="1729"/>
      <c r="E253" s="1729"/>
      <c r="F253" s="1731"/>
      <c r="G253" s="1716">
        <v>7118.7343332015444</v>
      </c>
      <c r="H253" s="1712">
        <v>4593.567349875505</v>
      </c>
      <c r="I253" s="1712">
        <v>6427.0806799498041</v>
      </c>
      <c r="J253" s="1717">
        <v>7240.3857070656832</v>
      </c>
      <c r="K253" s="1716">
        <v>4527.9726426404268</v>
      </c>
      <c r="L253" s="1712">
        <v>2139.4239164830151</v>
      </c>
      <c r="M253" s="1712">
        <v>5540.0381805538027</v>
      </c>
      <c r="N253" s="1717">
        <v>6922.8867412093605</v>
      </c>
      <c r="O253" s="1716">
        <v>7288.8165261279782</v>
      </c>
      <c r="P253" s="1712">
        <v>4935.209035652063</v>
      </c>
      <c r="Q253" s="1712">
        <v>6004.1600044308707</v>
      </c>
      <c r="R253" s="1712">
        <v>7422.4345820566759</v>
      </c>
      <c r="S253" s="1716">
        <v>8678.8668853041981</v>
      </c>
      <c r="T253" s="1712">
        <v>7027.7276846105133</v>
      </c>
      <c r="U253" s="1712">
        <v>8817.9649843376701</v>
      </c>
      <c r="V253" s="1712">
        <v>9456.2247970327371</v>
      </c>
      <c r="W253" s="1824">
        <v>7950.7893476766221</v>
      </c>
      <c r="X253" s="1825">
        <v>5115.2173055428402</v>
      </c>
      <c r="Y253" s="1825">
        <v>7521.7861132026201</v>
      </c>
      <c r="Z253" s="1826">
        <v>8141.7125084036306</v>
      </c>
      <c r="AA253" s="1824">
        <v>9101.9308944914155</v>
      </c>
      <c r="AB253" s="1825">
        <v>9671.1886124478242</v>
      </c>
      <c r="AC253" s="1825">
        <v>9120.2470401114297</v>
      </c>
      <c r="AD253" s="1826">
        <v>10477.07621910588</v>
      </c>
      <c r="AE253" s="1824">
        <v>9611.7445703524172</v>
      </c>
      <c r="AF253" s="1680">
        <v>9580.9697078732752</v>
      </c>
      <c r="AG253" s="1680">
        <v>10025.134228924268</v>
      </c>
      <c r="AH253" s="1681">
        <v>9232.644929535496</v>
      </c>
      <c r="AI253" s="1680">
        <v>7618.1564331858617</v>
      </c>
      <c r="AJ253" s="1680">
        <v>6565.829016583225</v>
      </c>
      <c r="AK253" s="1680">
        <v>9399.4393190765804</v>
      </c>
      <c r="AL253" s="1681">
        <v>7066.9504901112114</v>
      </c>
      <c r="AM253" s="1680">
        <v>7616.7891957904303</v>
      </c>
      <c r="AN253" s="1680">
        <v>12260.09265387161</v>
      </c>
      <c r="AO253" s="1680">
        <v>13180.515759312319</v>
      </c>
      <c r="AP253" s="1681">
        <v>13337.950138504159</v>
      </c>
      <c r="AQ253" s="1680">
        <v>12476.166964736271</v>
      </c>
      <c r="AR253" s="1680">
        <v>13453.482204801772</v>
      </c>
      <c r="AS253" s="1680">
        <v>15729.035256212897</v>
      </c>
      <c r="AT253" s="1681">
        <v>12833.726601162503</v>
      </c>
      <c r="AU253" s="1680">
        <v>13182.832885276595</v>
      </c>
      <c r="AV253" s="1680">
        <v>14215.504500078907</v>
      </c>
      <c r="AW253" s="1680">
        <v>16619.947762430536</v>
      </c>
      <c r="AX253" s="1681">
        <v>13560.64515300677</v>
      </c>
      <c r="AY253" s="1680">
        <v>13153.941016853727</v>
      </c>
      <c r="AZ253" s="1680">
        <v>14184.349399414645</v>
      </c>
      <c r="BA253" s="1680">
        <v>16583.523016086117</v>
      </c>
      <c r="BB253" s="1908">
        <v>13530.925260560325</v>
      </c>
      <c r="BC253" s="1529"/>
      <c r="BD253" s="1529"/>
      <c r="BE253" s="1529">
        <f t="shared" si="420"/>
        <v>6344.9420175231335</v>
      </c>
      <c r="BF253" s="1529">
        <f t="shared" si="421"/>
        <v>4782.5803702216508</v>
      </c>
      <c r="BG253" s="1529">
        <f t="shared" si="422"/>
        <v>6412.6550370668974</v>
      </c>
      <c r="BH253" s="1529">
        <f t="shared" si="423"/>
        <v>8495.1960878212794</v>
      </c>
      <c r="BI253" s="1529">
        <f t="shared" si="424"/>
        <v>7182.3763187064278</v>
      </c>
      <c r="BJ253" s="1529">
        <f t="shared" si="425"/>
        <v>9592.6106915391374</v>
      </c>
      <c r="BK253" s="1529">
        <f t="shared" si="426"/>
        <v>9612.6233591713644</v>
      </c>
      <c r="BL253" s="1529">
        <f t="shared" si="427"/>
        <v>7662.5938147392199</v>
      </c>
      <c r="BM253" s="1529">
        <f t="shared" si="428"/>
        <v>11598.836936869629</v>
      </c>
      <c r="BN253" s="1529">
        <f t="shared" si="429"/>
        <v>13623.10275672836</v>
      </c>
      <c r="BO253" s="1529">
        <f t="shared" si="430"/>
        <v>14394.732575198203</v>
      </c>
      <c r="BP253" s="1529">
        <f t="shared" si="431"/>
        <v>14363.184673228703</v>
      </c>
      <c r="BQ253" s="1529"/>
      <c r="BR253" s="1476"/>
      <c r="BS253" s="1477"/>
      <c r="BV253" s="1444"/>
      <c r="BW253" s="1443"/>
      <c r="BX253" s="1443"/>
      <c r="BY253" s="1443"/>
    </row>
    <row r="254" spans="2:77" ht="12.75" customHeight="1">
      <c r="B254" s="1549"/>
      <c r="C254" s="1773" t="s">
        <v>817</v>
      </c>
      <c r="D254" s="1729"/>
      <c r="E254" s="1729"/>
      <c r="F254" s="1731"/>
      <c r="G254" s="1716">
        <v>7426.4580925837827</v>
      </c>
      <c r="H254" s="1712">
        <v>5010.1388926342906</v>
      </c>
      <c r="I254" s="1712">
        <v>6534.2814502677575</v>
      </c>
      <c r="J254" s="1717">
        <v>7663.4892753526874</v>
      </c>
      <c r="K254" s="1716">
        <v>3929.5845308814478</v>
      </c>
      <c r="L254" s="1712">
        <v>2019.2783189557053</v>
      </c>
      <c r="M254" s="1712">
        <v>4670.8573279366547</v>
      </c>
      <c r="N254" s="1717">
        <v>7514.4082343612945</v>
      </c>
      <c r="O254" s="1716">
        <v>6973.3021358291335</v>
      </c>
      <c r="P254" s="1712">
        <v>28.782848697248738</v>
      </c>
      <c r="Q254" s="1712">
        <v>4227.0980279257255</v>
      </c>
      <c r="R254" s="1712">
        <v>6727.2801290828729</v>
      </c>
      <c r="S254" s="1716">
        <v>7153.2681962593506</v>
      </c>
      <c r="T254" s="1712">
        <v>4191.4647898805733</v>
      </c>
      <c r="U254" s="1712">
        <v>6208.3880299897546</v>
      </c>
      <c r="V254" s="1712">
        <v>9165.8261083092457</v>
      </c>
      <c r="W254" s="1824">
        <v>4535.3497131161557</v>
      </c>
      <c r="X254" s="1825">
        <v>2842.1256826512813</v>
      </c>
      <c r="Y254" s="1825">
        <v>6174.4647234642125</v>
      </c>
      <c r="Z254" s="1826">
        <v>6739.3189580413173</v>
      </c>
      <c r="AA254" s="1824">
        <v>5272.3423493712744</v>
      </c>
      <c r="AB254" s="1825">
        <v>8070.6412815660206</v>
      </c>
      <c r="AC254" s="1825">
        <v>7444.7534957486841</v>
      </c>
      <c r="AD254" s="1826">
        <v>7741.2731719518661</v>
      </c>
      <c r="AE254" s="1824">
        <v>7078.7259123138783</v>
      </c>
      <c r="AF254" s="1680">
        <v>4819.6778604479841</v>
      </c>
      <c r="AG254" s="1680">
        <v>8065.3674973948418</v>
      </c>
      <c r="AH254" s="1681">
        <v>6021.0210358521981</v>
      </c>
      <c r="AI254" s="1680">
        <v>5379.6174287968361</v>
      </c>
      <c r="AJ254" s="1680">
        <v>1169.9251809150007</v>
      </c>
      <c r="AK254" s="1680">
        <v>7370.4596656258645</v>
      </c>
      <c r="AL254" s="1681">
        <v>5207.6474963728888</v>
      </c>
      <c r="AM254" s="1680">
        <v>4481.8108025744623</v>
      </c>
      <c r="AN254" s="1680">
        <v>2680.344142951687</v>
      </c>
      <c r="AO254" s="1680">
        <v>7122.3905034793297</v>
      </c>
      <c r="AP254" s="1681">
        <v>8538.7811634349055</v>
      </c>
      <c r="AQ254" s="1680">
        <v>9294.2311509543069</v>
      </c>
      <c r="AR254" s="1680">
        <v>5469.5978144865967</v>
      </c>
      <c r="AS254" s="1680">
        <v>11009.808729651124</v>
      </c>
      <c r="AT254" s="1681">
        <v>7014.3272150574057</v>
      </c>
      <c r="AU254" s="1680">
        <v>10558.398782517217</v>
      </c>
      <c r="AV254" s="1680">
        <v>6213.5526830968138</v>
      </c>
      <c r="AW254" s="1680">
        <v>12507.32300486846</v>
      </c>
      <c r="AX254" s="1681">
        <v>7968.3905774212635</v>
      </c>
      <c r="AY254" s="1680">
        <v>11008.480327842066</v>
      </c>
      <c r="AZ254" s="1680">
        <v>6478.4229016943764</v>
      </c>
      <c r="BA254" s="1680">
        <v>13040.482945297053</v>
      </c>
      <c r="BB254" s="1908">
        <v>8308.0657136527334</v>
      </c>
      <c r="BC254" s="1529"/>
      <c r="BD254" s="1529"/>
      <c r="BE254" s="1529">
        <f t="shared" si="420"/>
        <v>6658.5919277096291</v>
      </c>
      <c r="BF254" s="1529">
        <f t="shared" si="421"/>
        <v>4533.5321030337755</v>
      </c>
      <c r="BG254" s="1529">
        <f t="shared" si="422"/>
        <v>4489.1157853837449</v>
      </c>
      <c r="BH254" s="1529">
        <f t="shared" si="423"/>
        <v>6679.7367811097301</v>
      </c>
      <c r="BI254" s="1529">
        <f t="shared" si="424"/>
        <v>5072.8147693182418</v>
      </c>
      <c r="BJ254" s="1529">
        <f t="shared" si="425"/>
        <v>7132.2525746594611</v>
      </c>
      <c r="BK254" s="1529">
        <f t="shared" si="426"/>
        <v>6496.1980765022263</v>
      </c>
      <c r="BL254" s="1529">
        <f t="shared" si="427"/>
        <v>4781.9124429276471</v>
      </c>
      <c r="BM254" s="1529">
        <f t="shared" si="428"/>
        <v>5705.8316531100963</v>
      </c>
      <c r="BN254" s="1529">
        <f t="shared" si="429"/>
        <v>8196.991227537359</v>
      </c>
      <c r="BO254" s="1529">
        <f t="shared" si="430"/>
        <v>9311.9162619759391</v>
      </c>
      <c r="BP254" s="1529">
        <f t="shared" si="431"/>
        <v>9708.8629721215584</v>
      </c>
      <c r="BQ254" s="1529"/>
      <c r="BR254" s="1476"/>
      <c r="BS254" s="1477"/>
      <c r="BV254" s="1444"/>
      <c r="BW254" s="1443"/>
      <c r="BX254" s="1443"/>
      <c r="BY254" s="1443"/>
    </row>
    <row r="255" spans="2:77" ht="12.75" customHeight="1">
      <c r="B255" s="1549"/>
      <c r="C255" s="1773"/>
      <c r="D255" s="1729"/>
      <c r="E255" s="1729"/>
      <c r="F255" s="1731"/>
      <c r="G255" s="1716">
        <v>0</v>
      </c>
      <c r="H255" s="1712">
        <v>0</v>
      </c>
      <c r="I255" s="1712">
        <v>0</v>
      </c>
      <c r="J255" s="1717">
        <v>5127.6255850361686</v>
      </c>
      <c r="K255" s="1720">
        <v>5240.9261466320195</v>
      </c>
      <c r="L255" s="1712">
        <v>3623.7222932969935</v>
      </c>
      <c r="M255" s="1712">
        <v>7637.5478537222789</v>
      </c>
      <c r="N255" s="1717">
        <v>5145.6041120023128</v>
      </c>
      <c r="O255" s="1716">
        <v>5809.5791548366151</v>
      </c>
      <c r="P255" s="1712">
        <v>5954.1949848390959</v>
      </c>
      <c r="Q255" s="1712">
        <v>6888.4287903141694</v>
      </c>
      <c r="R255" s="1715">
        <v>6233.7685965003757</v>
      </c>
      <c r="S255" s="1714">
        <v>5988.0913357535692</v>
      </c>
      <c r="T255" s="1713">
        <v>6007.9038515154725</v>
      </c>
      <c r="U255" s="1713">
        <v>7349.2540806565275</v>
      </c>
      <c r="V255" s="1715">
        <v>6994.6325194419514</v>
      </c>
      <c r="W255" s="1680">
        <v>6080.7198049477747</v>
      </c>
      <c r="X255" s="1680">
        <v>6970.9778782114672</v>
      </c>
      <c r="Y255" s="1680">
        <v>7239.820470198154</v>
      </c>
      <c r="Z255" s="1681">
        <v>6868.5436968988715</v>
      </c>
      <c r="AA255" s="1680">
        <v>8226.1888723536613</v>
      </c>
      <c r="AB255" s="1825">
        <v>7516.0998993134817</v>
      </c>
      <c r="AC255" s="1680">
        <v>7447.7740060088181</v>
      </c>
      <c r="AD255" s="1681">
        <v>7059.7639774892332</v>
      </c>
      <c r="AE255" s="1680">
        <v>7250.2204400046912</v>
      </c>
      <c r="AF255" s="1680">
        <v>6926.0052986481123</v>
      </c>
      <c r="AG255" s="1680">
        <v>7584.2582143532491</v>
      </c>
      <c r="AH255" s="1681">
        <v>6265.3734073086953</v>
      </c>
      <c r="AI255" s="1680">
        <v>5413.0436677824982</v>
      </c>
      <c r="AJ255" s="1680">
        <v>6726.7779529208856</v>
      </c>
      <c r="AK255" s="1680">
        <v>7976.1185813343263</v>
      </c>
      <c r="AL255" s="1681">
        <v>6750.161788693903</v>
      </c>
      <c r="AM255" s="1680">
        <v>6422.2133266124401</v>
      </c>
      <c r="AN255" s="1680">
        <v>8048.0608695652172</v>
      </c>
      <c r="AO255" s="1680">
        <v>11474.906464924346</v>
      </c>
      <c r="AP255" s="1681">
        <v>6852.997364953887</v>
      </c>
      <c r="AQ255" s="1680">
        <v>6265.0137776610345</v>
      </c>
      <c r="AR255" s="1680">
        <v>6530.144494614603</v>
      </c>
      <c r="AS255" s="1680">
        <v>8725.0995759322941</v>
      </c>
      <c r="AT255" s="1681">
        <v>6597.9020800638746</v>
      </c>
      <c r="AU255" s="1680">
        <v>6031.9099537832089</v>
      </c>
      <c r="AV255" s="1680">
        <v>6195.5449296090837</v>
      </c>
      <c r="AW255" s="1680">
        <v>8244.6650067023384</v>
      </c>
      <c r="AX255" s="1681">
        <v>6266.7223668496872</v>
      </c>
      <c r="AY255" s="1680">
        <v>5639.6195767479512</v>
      </c>
      <c r="AZ255" s="1680">
        <v>5777.3245530193408</v>
      </c>
      <c r="BA255" s="1680">
        <v>7670.2250040588715</v>
      </c>
      <c r="BB255" s="1908">
        <v>5829.5160354141863</v>
      </c>
      <c r="BC255" s="1529"/>
      <c r="BD255" s="1529"/>
      <c r="BE255" s="1529"/>
      <c r="BF255" s="1529"/>
      <c r="BG255" s="1529"/>
      <c r="BH255" s="1529"/>
      <c r="BI255" s="1529"/>
      <c r="BJ255" s="1529"/>
      <c r="BK255" s="1529"/>
      <c r="BL255" s="1529"/>
      <c r="BM255" s="1529"/>
      <c r="BN255" s="1529"/>
      <c r="BO255" s="1529"/>
      <c r="BP255" s="1529"/>
      <c r="BQ255" s="1529"/>
      <c r="BR255" s="1476"/>
      <c r="BS255" s="1477"/>
      <c r="BV255" s="1444"/>
      <c r="BW255" s="1443"/>
      <c r="BX255" s="1443"/>
      <c r="BY255" s="1443"/>
    </row>
    <row r="256" spans="2:77" ht="12.75" customHeight="1">
      <c r="B256" s="1549"/>
      <c r="C256" s="1776" t="s">
        <v>898</v>
      </c>
      <c r="D256" s="1739"/>
      <c r="E256" s="1739"/>
      <c r="F256" s="1740"/>
      <c r="G256" s="1720"/>
      <c r="H256" s="1723"/>
      <c r="I256" s="1723"/>
      <c r="J256" s="1724"/>
      <c r="K256" s="1720"/>
      <c r="L256" s="1723"/>
      <c r="M256" s="1723"/>
      <c r="N256" s="1724"/>
      <c r="O256" s="1720"/>
      <c r="P256" s="1723"/>
      <c r="Q256" s="1723"/>
      <c r="R256" s="1711"/>
      <c r="S256" s="1710"/>
      <c r="T256" s="1708"/>
      <c r="U256" s="1708"/>
      <c r="V256" s="1711"/>
      <c r="W256" s="1656"/>
      <c r="X256" s="1656"/>
      <c r="Y256" s="1656"/>
      <c r="Z256" s="1659"/>
      <c r="AA256" s="1660"/>
      <c r="AB256" s="1660"/>
      <c r="AC256" s="1660"/>
      <c r="AD256" s="1659"/>
      <c r="AE256" s="1660"/>
      <c r="AF256" s="1660"/>
      <c r="AG256" s="1660"/>
      <c r="AH256" s="1659"/>
      <c r="AI256" s="1660"/>
      <c r="AJ256" s="1660"/>
      <c r="AK256" s="1660"/>
      <c r="AL256" s="1659"/>
      <c r="AM256" s="1660"/>
      <c r="AN256" s="1660"/>
      <c r="AO256" s="1660"/>
      <c r="AP256" s="1659"/>
      <c r="AQ256" s="1660"/>
      <c r="AR256" s="1660"/>
      <c r="AS256" s="1660"/>
      <c r="AT256" s="1659"/>
      <c r="AU256" s="1660"/>
      <c r="AV256" s="1660"/>
      <c r="AW256" s="1660"/>
      <c r="AX256" s="1659"/>
      <c r="AY256" s="1660"/>
      <c r="AZ256" s="1660"/>
      <c r="BA256" s="1660"/>
      <c r="BB256" s="1906"/>
      <c r="BC256" s="1494"/>
      <c r="BD256" s="1494"/>
      <c r="BE256" s="1494"/>
      <c r="BF256" s="1494"/>
      <c r="BG256" s="1494"/>
      <c r="BH256" s="1494"/>
      <c r="BI256" s="1494"/>
      <c r="BJ256" s="1494"/>
      <c r="BK256" s="1494"/>
      <c r="BL256" s="1494"/>
      <c r="BM256" s="1494"/>
      <c r="BN256" s="1494"/>
      <c r="BO256" s="1494"/>
      <c r="BP256" s="1494"/>
      <c r="BQ256" s="1494"/>
      <c r="BR256" s="1476"/>
      <c r="BS256" s="1477"/>
      <c r="BV256" s="1444"/>
      <c r="BW256" s="1443"/>
      <c r="BX256" s="1443"/>
      <c r="BY256" s="1443"/>
    </row>
    <row r="257" spans="2:77" ht="12.75" customHeight="1">
      <c r="B257" s="1549"/>
      <c r="C257" s="1773" t="s">
        <v>283</v>
      </c>
      <c r="D257" s="1729"/>
      <c r="E257" s="1729"/>
      <c r="F257" s="1738"/>
      <c r="G257" s="1720"/>
      <c r="H257" s="1723"/>
      <c r="I257" s="1723"/>
      <c r="J257" s="1724"/>
      <c r="K257" s="1716"/>
      <c r="L257" s="1723"/>
      <c r="M257" s="1723"/>
      <c r="N257" s="1724"/>
      <c r="O257" s="1744">
        <v>102.54</v>
      </c>
      <c r="P257" s="1745">
        <v>95.373333333333335</v>
      </c>
      <c r="Q257" s="1745">
        <v>81.040000000000006</v>
      </c>
      <c r="R257" s="1746">
        <v>81.040000000000006</v>
      </c>
      <c r="S257" s="1744">
        <v>81.040000000000006</v>
      </c>
      <c r="T257" s="1745">
        <v>79.626666666666665</v>
      </c>
      <c r="U257" s="1745">
        <v>76.8</v>
      </c>
      <c r="V257" s="1746">
        <v>76.8</v>
      </c>
      <c r="W257" s="1685">
        <v>76.8</v>
      </c>
      <c r="X257" s="1685">
        <v>82.486666666666665</v>
      </c>
      <c r="Y257" s="1685">
        <v>93.86</v>
      </c>
      <c r="Z257" s="1686">
        <v>93.86</v>
      </c>
      <c r="AA257" s="1685">
        <v>93.86</v>
      </c>
      <c r="AB257" s="1685">
        <v>96.874703196347028</v>
      </c>
      <c r="AC257" s="1685">
        <v>102.9041095890411</v>
      </c>
      <c r="AD257" s="1686">
        <v>102.9041095890411</v>
      </c>
      <c r="AE257" s="1685">
        <v>103</v>
      </c>
      <c r="AF257" s="1685">
        <v>98.736666666666665</v>
      </c>
      <c r="AG257" s="1685">
        <v>90.21</v>
      </c>
      <c r="AH257" s="1686">
        <v>90.21</v>
      </c>
      <c r="AI257" s="1687">
        <v>90.21</v>
      </c>
      <c r="AJ257" s="1687">
        <v>137.126301369863</v>
      </c>
      <c r="AK257" s="1687">
        <v>230.95890410958907</v>
      </c>
      <c r="AL257" s="1688">
        <v>230.95890410958907</v>
      </c>
      <c r="AM257" s="1687">
        <v>230.95890410958907</v>
      </c>
      <c r="AN257" s="1687">
        <v>258.63013698630141</v>
      </c>
      <c r="AO257" s="1687">
        <v>313.97260273972609</v>
      </c>
      <c r="AP257" s="1688">
        <v>313.97260273972609</v>
      </c>
      <c r="AQ257" s="1687">
        <v>313.97260273972609</v>
      </c>
      <c r="AR257" s="1687">
        <v>286.35616438356169</v>
      </c>
      <c r="AS257" s="1687">
        <v>231.12328767123287</v>
      </c>
      <c r="AT257" s="1688">
        <v>231.12328767123287</v>
      </c>
      <c r="AU257" s="1687">
        <v>231.12328767123287</v>
      </c>
      <c r="AV257" s="1687">
        <v>231.12328767123287</v>
      </c>
      <c r="AW257" s="1687">
        <v>231.12328767123287</v>
      </c>
      <c r="AX257" s="1688">
        <v>231.12328767123287</v>
      </c>
      <c r="AY257" s="1687">
        <v>231.12328767123287</v>
      </c>
      <c r="AZ257" s="1687">
        <v>231.12328767123287</v>
      </c>
      <c r="BA257" s="1687">
        <v>231.12328767123287</v>
      </c>
      <c r="BB257" s="1909">
        <v>231.12328767123287</v>
      </c>
      <c r="BC257" s="1529"/>
      <c r="BD257" s="1529"/>
      <c r="BE257" s="1529"/>
      <c r="BF257" s="1529"/>
      <c r="BG257" s="1529">
        <f t="shared" ref="BG257:BG271" si="432">AVERAGE(O257:R257)</f>
        <v>89.998333333333349</v>
      </c>
      <c r="BH257" s="1529">
        <f t="shared" ref="BH257:BH271" si="433">AVERAGE(S257:V257)</f>
        <v>78.566666666666677</v>
      </c>
      <c r="BI257" s="1529">
        <f t="shared" ref="BI257:BI271" si="434">AVERAGE(W257:Z257)</f>
        <v>86.751666666666665</v>
      </c>
      <c r="BJ257" s="1529">
        <f t="shared" ref="BJ257:BJ271" si="435">AVERAGE(AA257:AD257)</f>
        <v>99.13573059360732</v>
      </c>
      <c r="BK257" s="1529">
        <f t="shared" ref="BK257:BK271" si="436">AVERAGE(AE257:AH257)</f>
        <v>95.539166666666659</v>
      </c>
      <c r="BL257" s="1529">
        <f t="shared" ref="BL257:BL271" si="437">AVERAGE(AI257:AL257)</f>
        <v>172.31352739726029</v>
      </c>
      <c r="BM257" s="1529">
        <f t="shared" ref="BM257:BM271" si="438">AVERAGE(AM257:AP257)</f>
        <v>279.38356164383566</v>
      </c>
      <c r="BN257" s="1529">
        <f t="shared" ref="BN257:BN271" si="439">AVERAGE(AQ257:AT257)</f>
        <v>265.64383561643837</v>
      </c>
      <c r="BO257" s="1529">
        <f t="shared" ref="BO257:BO271" si="440">AVERAGE(AU257:AX257)</f>
        <v>231.12328767123287</v>
      </c>
      <c r="BP257" s="1529">
        <f t="shared" ref="BP257:BP271" si="441">AVERAGE(AY257:BB257)</f>
        <v>231.12328767123287</v>
      </c>
      <c r="BQ257" s="1529"/>
      <c r="BR257" s="1476"/>
      <c r="BS257" s="1477"/>
      <c r="BV257" s="1444"/>
      <c r="BW257" s="1443"/>
      <c r="BX257" s="1443"/>
      <c r="BY257" s="1443"/>
    </row>
    <row r="258" spans="2:77" ht="12.75" customHeight="1">
      <c r="B258" s="1549"/>
      <c r="C258" s="1773" t="s">
        <v>823</v>
      </c>
      <c r="D258" s="1729"/>
      <c r="E258" s="1729"/>
      <c r="F258" s="1731"/>
      <c r="G258" s="1716"/>
      <c r="H258" s="1712"/>
      <c r="I258" s="1712"/>
      <c r="J258" s="1717"/>
      <c r="K258" s="1716"/>
      <c r="L258" s="1712"/>
      <c r="M258" s="1712"/>
      <c r="N258" s="1717"/>
      <c r="O258" s="1744">
        <v>102.54</v>
      </c>
      <c r="P258" s="1745">
        <v>96.14</v>
      </c>
      <c r="Q258" s="1745">
        <v>83.34</v>
      </c>
      <c r="R258" s="1746">
        <v>83.34</v>
      </c>
      <c r="S258" s="1744">
        <v>83.34</v>
      </c>
      <c r="T258" s="1745">
        <v>83.13333333333334</v>
      </c>
      <c r="U258" s="1745">
        <v>82.72</v>
      </c>
      <c r="V258" s="1746">
        <v>82.72</v>
      </c>
      <c r="W258" s="1685">
        <v>82.72</v>
      </c>
      <c r="X258" s="1685">
        <v>86.433333333333337</v>
      </c>
      <c r="Y258" s="1685">
        <v>93.86</v>
      </c>
      <c r="Z258" s="1686">
        <v>93.86</v>
      </c>
      <c r="AA258" s="1685">
        <v>93.86</v>
      </c>
      <c r="AB258" s="1685">
        <v>96.874703196347028</v>
      </c>
      <c r="AC258" s="1685">
        <v>102.9041095890411</v>
      </c>
      <c r="AD258" s="1686">
        <v>102.9041095890411</v>
      </c>
      <c r="AE258" s="1685">
        <v>103</v>
      </c>
      <c r="AF258" s="1685">
        <v>98.736666666666665</v>
      </c>
      <c r="AG258" s="1685">
        <v>90.21</v>
      </c>
      <c r="AH258" s="1686">
        <v>90.21</v>
      </c>
      <c r="AI258" s="1687">
        <v>90.21</v>
      </c>
      <c r="AJ258" s="1687">
        <v>137.126301369863</v>
      </c>
      <c r="AK258" s="1687">
        <v>230.95890410958907</v>
      </c>
      <c r="AL258" s="1688">
        <v>230.95890410958907</v>
      </c>
      <c r="AM258" s="1687">
        <v>230.95890410958907</v>
      </c>
      <c r="AN258" s="1687">
        <v>258.63013698630141</v>
      </c>
      <c r="AO258" s="1687">
        <v>313.97260273972609</v>
      </c>
      <c r="AP258" s="1688">
        <v>313.97260273972609</v>
      </c>
      <c r="AQ258" s="1687">
        <v>313.97260273972609</v>
      </c>
      <c r="AR258" s="1687">
        <v>286.35616438356169</v>
      </c>
      <c r="AS258" s="1687">
        <v>231.12328767123287</v>
      </c>
      <c r="AT258" s="1688">
        <v>231.12328767123287</v>
      </c>
      <c r="AU258" s="1687">
        <v>231.12328767123287</v>
      </c>
      <c r="AV258" s="1687">
        <v>231.12328767123287</v>
      </c>
      <c r="AW258" s="1687">
        <v>231.12328767123287</v>
      </c>
      <c r="AX258" s="1688">
        <v>231.12328767123287</v>
      </c>
      <c r="AY258" s="1687">
        <v>231.12328767123287</v>
      </c>
      <c r="AZ258" s="1687">
        <v>231.12328767123287</v>
      </c>
      <c r="BA258" s="1687">
        <v>231.12328767123287</v>
      </c>
      <c r="BB258" s="1909">
        <v>231.12328767123287</v>
      </c>
      <c r="BC258" s="1529"/>
      <c r="BD258" s="1529"/>
      <c r="BE258" s="1529"/>
      <c r="BF258" s="1529"/>
      <c r="BG258" s="1529">
        <f t="shared" si="432"/>
        <v>91.34</v>
      </c>
      <c r="BH258" s="1529">
        <f t="shared" si="433"/>
        <v>82.978333333333339</v>
      </c>
      <c r="BI258" s="1529">
        <f t="shared" si="434"/>
        <v>89.218333333333334</v>
      </c>
      <c r="BJ258" s="1529">
        <f t="shared" si="435"/>
        <v>99.13573059360732</v>
      </c>
      <c r="BK258" s="1529">
        <f t="shared" si="436"/>
        <v>95.539166666666659</v>
      </c>
      <c r="BL258" s="1529">
        <f t="shared" si="437"/>
        <v>172.31352739726029</v>
      </c>
      <c r="BM258" s="1529">
        <f t="shared" si="438"/>
        <v>279.38356164383566</v>
      </c>
      <c r="BN258" s="1529">
        <f t="shared" si="439"/>
        <v>265.64383561643837</v>
      </c>
      <c r="BO258" s="1529">
        <f t="shared" si="440"/>
        <v>231.12328767123287</v>
      </c>
      <c r="BP258" s="1529">
        <f t="shared" si="441"/>
        <v>231.12328767123287</v>
      </c>
      <c r="BQ258" s="1529"/>
      <c r="BR258" s="1476"/>
      <c r="BS258" s="1477"/>
      <c r="BV258" s="1444"/>
      <c r="BW258" s="1443"/>
      <c r="BX258" s="1443"/>
      <c r="BY258" s="1443"/>
    </row>
    <row r="259" spans="2:77" ht="12.75" customHeight="1">
      <c r="B259" s="1549"/>
      <c r="C259" s="1773" t="s">
        <v>824</v>
      </c>
      <c r="D259" s="1729"/>
      <c r="E259" s="1729"/>
      <c r="F259" s="1731"/>
      <c r="G259" s="1716"/>
      <c r="H259" s="1712"/>
      <c r="I259" s="1712"/>
      <c r="J259" s="1717"/>
      <c r="K259" s="1716"/>
      <c r="L259" s="1712"/>
      <c r="M259" s="1712"/>
      <c r="N259" s="1717"/>
      <c r="O259" s="1744">
        <v>110</v>
      </c>
      <c r="P259" s="1745">
        <v>78.819999999999993</v>
      </c>
      <c r="Q259" s="1745">
        <v>16.46</v>
      </c>
      <c r="R259" s="1746">
        <v>16.46</v>
      </c>
      <c r="S259" s="1744">
        <v>16.46</v>
      </c>
      <c r="T259" s="1745">
        <v>20.216666666666669</v>
      </c>
      <c r="U259" s="1745">
        <v>27.73</v>
      </c>
      <c r="V259" s="1746">
        <v>27.73</v>
      </c>
      <c r="W259" s="1685">
        <v>27.73</v>
      </c>
      <c r="X259" s="1685">
        <v>60.483333333333327</v>
      </c>
      <c r="Y259" s="1685">
        <v>125.99</v>
      </c>
      <c r="Z259" s="1686">
        <v>125.99</v>
      </c>
      <c r="AA259" s="1685">
        <v>125.99</v>
      </c>
      <c r="AB259" s="1685">
        <v>129.32666666666668</v>
      </c>
      <c r="AC259" s="1685">
        <v>136</v>
      </c>
      <c r="AD259" s="1686">
        <v>136</v>
      </c>
      <c r="AE259" s="1685">
        <v>136</v>
      </c>
      <c r="AF259" s="1685">
        <v>110.45666666666666</v>
      </c>
      <c r="AG259" s="1685">
        <v>59.37</v>
      </c>
      <c r="AH259" s="1686">
        <v>59.37</v>
      </c>
      <c r="AI259" s="1687">
        <v>59.37</v>
      </c>
      <c r="AJ259" s="1687">
        <v>79.58</v>
      </c>
      <c r="AK259" s="1687">
        <v>120</v>
      </c>
      <c r="AL259" s="1688">
        <v>120</v>
      </c>
      <c r="AM259" s="1687">
        <v>120</v>
      </c>
      <c r="AN259" s="1687">
        <v>134.92333333333335</v>
      </c>
      <c r="AO259" s="1687">
        <v>164.77</v>
      </c>
      <c r="AP259" s="1688">
        <v>164.77</v>
      </c>
      <c r="AQ259" s="1687">
        <v>164.77</v>
      </c>
      <c r="AR259" s="1687">
        <v>143.18</v>
      </c>
      <c r="AS259" s="1687">
        <v>100</v>
      </c>
      <c r="AT259" s="1688">
        <v>100</v>
      </c>
      <c r="AU259" s="1687">
        <v>100</v>
      </c>
      <c r="AV259" s="1687">
        <v>100</v>
      </c>
      <c r="AW259" s="1687">
        <v>76.53</v>
      </c>
      <c r="AX259" s="1688">
        <v>76.53</v>
      </c>
      <c r="AY259" s="1687">
        <v>76.53</v>
      </c>
      <c r="AZ259" s="1828">
        <v>76.53</v>
      </c>
      <c r="BA259" s="1828">
        <v>76.53</v>
      </c>
      <c r="BB259" s="1910">
        <v>76.53</v>
      </c>
      <c r="BC259" s="1529"/>
      <c r="BD259" s="1529"/>
      <c r="BE259" s="1529"/>
      <c r="BF259" s="1529"/>
      <c r="BG259" s="1529">
        <f t="shared" si="432"/>
        <v>55.435000000000002</v>
      </c>
      <c r="BH259" s="1529">
        <f t="shared" si="433"/>
        <v>23.034166666666668</v>
      </c>
      <c r="BI259" s="1529">
        <f t="shared" si="434"/>
        <v>85.048333333333332</v>
      </c>
      <c r="BJ259" s="1529">
        <f t="shared" si="435"/>
        <v>131.82916666666665</v>
      </c>
      <c r="BK259" s="1529">
        <f t="shared" si="436"/>
        <v>91.299166666666665</v>
      </c>
      <c r="BL259" s="1529">
        <f t="shared" si="437"/>
        <v>94.737499999999997</v>
      </c>
      <c r="BM259" s="1529">
        <f t="shared" si="438"/>
        <v>146.11583333333334</v>
      </c>
      <c r="BN259" s="1529">
        <f t="shared" si="439"/>
        <v>126.98750000000001</v>
      </c>
      <c r="BO259" s="1529">
        <f t="shared" si="440"/>
        <v>88.264999999999986</v>
      </c>
      <c r="BP259" s="1529">
        <f t="shared" si="441"/>
        <v>76.53</v>
      </c>
      <c r="BQ259" s="1529"/>
      <c r="BR259" s="1476"/>
      <c r="BS259" s="1477"/>
      <c r="BV259" s="1444"/>
      <c r="BW259" s="1443"/>
      <c r="BX259" s="1443"/>
      <c r="BY259" s="1443"/>
    </row>
    <row r="260" spans="2:77" ht="12.75" customHeight="1">
      <c r="B260" s="1549"/>
      <c r="C260" s="1773" t="s">
        <v>825</v>
      </c>
      <c r="D260" s="1729"/>
      <c r="E260" s="1729"/>
      <c r="F260" s="1731"/>
      <c r="G260" s="1716"/>
      <c r="H260" s="1712"/>
      <c r="I260" s="1712"/>
      <c r="J260" s="1717"/>
      <c r="K260" s="1716"/>
      <c r="L260" s="1712"/>
      <c r="M260" s="1712"/>
      <c r="N260" s="1717"/>
      <c r="O260" s="1744">
        <v>110</v>
      </c>
      <c r="P260" s="1745">
        <v>117.79</v>
      </c>
      <c r="Q260" s="1745">
        <v>133.37</v>
      </c>
      <c r="R260" s="1746">
        <v>133.37</v>
      </c>
      <c r="S260" s="1744">
        <v>133.37</v>
      </c>
      <c r="T260" s="1745">
        <v>164.29666666666665</v>
      </c>
      <c r="U260" s="1745">
        <v>226.15</v>
      </c>
      <c r="V260" s="1746">
        <v>226.15</v>
      </c>
      <c r="W260" s="1685">
        <v>226.15</v>
      </c>
      <c r="X260" s="1685">
        <v>196.26666666666665</v>
      </c>
      <c r="Y260" s="1685">
        <v>136.5</v>
      </c>
      <c r="Z260" s="1686">
        <v>136.5</v>
      </c>
      <c r="AA260" s="1685">
        <v>136.5</v>
      </c>
      <c r="AB260" s="1685">
        <v>146.82</v>
      </c>
      <c r="AC260" s="1685">
        <v>167.46</v>
      </c>
      <c r="AD260" s="1686">
        <v>167.46</v>
      </c>
      <c r="AE260" s="1685">
        <v>167.46</v>
      </c>
      <c r="AF260" s="1685">
        <v>151.35</v>
      </c>
      <c r="AG260" s="1685">
        <v>119.13</v>
      </c>
      <c r="AH260" s="1686">
        <v>119.13</v>
      </c>
      <c r="AI260" s="1687">
        <v>119.13</v>
      </c>
      <c r="AJ260" s="1687">
        <v>119.41999999999999</v>
      </c>
      <c r="AK260" s="1687">
        <v>120</v>
      </c>
      <c r="AL260" s="1688">
        <v>120</v>
      </c>
      <c r="AM260" s="1687">
        <v>120</v>
      </c>
      <c r="AN260" s="1687">
        <v>134.92333333333335</v>
      </c>
      <c r="AO260" s="1687">
        <v>164.77</v>
      </c>
      <c r="AP260" s="1688">
        <v>164.77</v>
      </c>
      <c r="AQ260" s="1687">
        <v>164.77</v>
      </c>
      <c r="AR260" s="1687">
        <v>143.18</v>
      </c>
      <c r="AS260" s="1687">
        <v>100</v>
      </c>
      <c r="AT260" s="1688">
        <v>100</v>
      </c>
      <c r="AU260" s="1687">
        <v>100</v>
      </c>
      <c r="AV260" s="1687">
        <v>100</v>
      </c>
      <c r="AW260" s="1687">
        <v>86.04</v>
      </c>
      <c r="AX260" s="1688">
        <v>86.04</v>
      </c>
      <c r="AY260" s="1687">
        <v>86.04</v>
      </c>
      <c r="AZ260" s="1828">
        <v>86.04</v>
      </c>
      <c r="BA260" s="1828">
        <v>86.04</v>
      </c>
      <c r="BB260" s="1910">
        <v>86.04</v>
      </c>
      <c r="BC260" s="1529"/>
      <c r="BD260" s="1529"/>
      <c r="BE260" s="1529"/>
      <c r="BF260" s="1529"/>
      <c r="BG260" s="1529">
        <f t="shared" si="432"/>
        <v>123.63250000000001</v>
      </c>
      <c r="BH260" s="1529">
        <f t="shared" si="433"/>
        <v>187.49166666666665</v>
      </c>
      <c r="BI260" s="1529">
        <f t="shared" si="434"/>
        <v>173.85416666666666</v>
      </c>
      <c r="BJ260" s="1529">
        <f t="shared" si="435"/>
        <v>154.56</v>
      </c>
      <c r="BK260" s="1529">
        <f t="shared" si="436"/>
        <v>139.26749999999998</v>
      </c>
      <c r="BL260" s="1529">
        <f t="shared" si="437"/>
        <v>119.63749999999999</v>
      </c>
      <c r="BM260" s="1529">
        <f t="shared" si="438"/>
        <v>146.11583333333334</v>
      </c>
      <c r="BN260" s="1529">
        <f t="shared" si="439"/>
        <v>126.98750000000001</v>
      </c>
      <c r="BO260" s="1529">
        <f t="shared" si="440"/>
        <v>93.02000000000001</v>
      </c>
      <c r="BP260" s="1529">
        <f t="shared" si="441"/>
        <v>86.04</v>
      </c>
      <c r="BQ260" s="1529"/>
      <c r="BR260" s="1476"/>
      <c r="BS260" s="1477"/>
      <c r="BV260" s="1444"/>
      <c r="BW260" s="1443"/>
      <c r="BX260" s="1443"/>
      <c r="BY260" s="1443"/>
    </row>
    <row r="261" spans="2:77" ht="12.75" customHeight="1">
      <c r="B261" s="1549"/>
      <c r="C261" s="1773" t="s">
        <v>826</v>
      </c>
      <c r="D261" s="1729"/>
      <c r="E261" s="1729"/>
      <c r="F261" s="1731"/>
      <c r="G261" s="1716"/>
      <c r="H261" s="1712"/>
      <c r="I261" s="1712"/>
      <c r="J261" s="1717"/>
      <c r="K261" s="1716"/>
      <c r="L261" s="1712"/>
      <c r="M261" s="1712"/>
      <c r="N261" s="1717"/>
      <c r="O261" s="1744">
        <v>110</v>
      </c>
      <c r="P261" s="1745">
        <v>117.79</v>
      </c>
      <c r="Q261" s="1745">
        <v>133.37</v>
      </c>
      <c r="R261" s="1746">
        <v>133.37</v>
      </c>
      <c r="S261" s="1744">
        <v>133.37</v>
      </c>
      <c r="T261" s="1745">
        <v>164.29666666666665</v>
      </c>
      <c r="U261" s="1745">
        <v>226.15</v>
      </c>
      <c r="V261" s="1746">
        <v>226.15</v>
      </c>
      <c r="W261" s="1685">
        <v>226.15</v>
      </c>
      <c r="X261" s="1685">
        <v>196.26666666666665</v>
      </c>
      <c r="Y261" s="1685">
        <v>136.5</v>
      </c>
      <c r="Z261" s="1686">
        <v>136.5</v>
      </c>
      <c r="AA261" s="1685">
        <v>136.5</v>
      </c>
      <c r="AB261" s="1685">
        <v>146.82</v>
      </c>
      <c r="AC261" s="1685">
        <v>167.46</v>
      </c>
      <c r="AD261" s="1686">
        <v>167.46</v>
      </c>
      <c r="AE261" s="1685">
        <v>167.46</v>
      </c>
      <c r="AF261" s="1685">
        <v>151.35</v>
      </c>
      <c r="AG261" s="1685">
        <v>119.13</v>
      </c>
      <c r="AH261" s="1686">
        <v>119.13</v>
      </c>
      <c r="AI261" s="1687">
        <v>119.13</v>
      </c>
      <c r="AJ261" s="1687">
        <v>119.41999999999999</v>
      </c>
      <c r="AK261" s="1687">
        <v>120</v>
      </c>
      <c r="AL261" s="1688">
        <v>120</v>
      </c>
      <c r="AM261" s="1687">
        <v>120</v>
      </c>
      <c r="AN261" s="1687">
        <v>134.92333333333335</v>
      </c>
      <c r="AO261" s="1687">
        <v>164.77</v>
      </c>
      <c r="AP261" s="1688">
        <v>164.77</v>
      </c>
      <c r="AQ261" s="1687">
        <v>164.77</v>
      </c>
      <c r="AR261" s="1687">
        <v>143.18</v>
      </c>
      <c r="AS261" s="1687">
        <v>100</v>
      </c>
      <c r="AT261" s="1688">
        <v>100</v>
      </c>
      <c r="AU261" s="1687">
        <v>100</v>
      </c>
      <c r="AV261" s="1687">
        <v>100</v>
      </c>
      <c r="AW261" s="1687">
        <v>86.04</v>
      </c>
      <c r="AX261" s="1688">
        <v>86.04</v>
      </c>
      <c r="AY261" s="1687">
        <v>86.04</v>
      </c>
      <c r="AZ261" s="1828">
        <v>86.04</v>
      </c>
      <c r="BA261" s="1828">
        <v>86.04</v>
      </c>
      <c r="BB261" s="1910">
        <v>86.04</v>
      </c>
      <c r="BC261" s="1529"/>
      <c r="BD261" s="1529"/>
      <c r="BE261" s="1529"/>
      <c r="BF261" s="1529"/>
      <c r="BG261" s="1529">
        <f t="shared" si="432"/>
        <v>123.63250000000001</v>
      </c>
      <c r="BH261" s="1529">
        <f t="shared" si="433"/>
        <v>187.49166666666665</v>
      </c>
      <c r="BI261" s="1529">
        <f t="shared" si="434"/>
        <v>173.85416666666666</v>
      </c>
      <c r="BJ261" s="1529">
        <f t="shared" si="435"/>
        <v>154.56</v>
      </c>
      <c r="BK261" s="1529">
        <f t="shared" si="436"/>
        <v>139.26749999999998</v>
      </c>
      <c r="BL261" s="1529">
        <f t="shared" si="437"/>
        <v>119.63749999999999</v>
      </c>
      <c r="BM261" s="1529">
        <f t="shared" si="438"/>
        <v>146.11583333333334</v>
      </c>
      <c r="BN261" s="1529">
        <f t="shared" si="439"/>
        <v>126.98750000000001</v>
      </c>
      <c r="BO261" s="1529">
        <f t="shared" si="440"/>
        <v>93.02000000000001</v>
      </c>
      <c r="BP261" s="1529">
        <f t="shared" si="441"/>
        <v>86.04</v>
      </c>
      <c r="BQ261" s="1529"/>
      <c r="BR261" s="1476"/>
      <c r="BS261" s="1477"/>
      <c r="BV261" s="1444"/>
      <c r="BW261" s="1443"/>
      <c r="BX261" s="1443"/>
      <c r="BY261" s="1443"/>
    </row>
    <row r="262" spans="2:77" ht="12.75" customHeight="1">
      <c r="B262" s="1549"/>
      <c r="C262" s="1773" t="s">
        <v>827</v>
      </c>
      <c r="D262" s="1729"/>
      <c r="E262" s="1729"/>
      <c r="F262" s="1731"/>
      <c r="G262" s="1716"/>
      <c r="H262" s="1712"/>
      <c r="I262" s="1712"/>
      <c r="J262" s="1717"/>
      <c r="K262" s="1716"/>
      <c r="L262" s="1712"/>
      <c r="M262" s="1712"/>
      <c r="N262" s="1717"/>
      <c r="O262" s="1744">
        <v>110</v>
      </c>
      <c r="P262" s="1745">
        <v>119.91</v>
      </c>
      <c r="Q262" s="1745">
        <v>139.72999999999999</v>
      </c>
      <c r="R262" s="1746">
        <v>139.72999999999999</v>
      </c>
      <c r="S262" s="1744">
        <v>139.72999999999999</v>
      </c>
      <c r="T262" s="1745">
        <v>174.82</v>
      </c>
      <c r="U262" s="1745">
        <v>245</v>
      </c>
      <c r="V262" s="1746">
        <v>245</v>
      </c>
      <c r="W262" s="1685">
        <v>245</v>
      </c>
      <c r="X262" s="1685">
        <v>208.83333333333334</v>
      </c>
      <c r="Y262" s="1685">
        <v>136.5</v>
      </c>
      <c r="Z262" s="1686">
        <v>136.5</v>
      </c>
      <c r="AA262" s="1685">
        <v>136.5</v>
      </c>
      <c r="AB262" s="1685">
        <v>146.82</v>
      </c>
      <c r="AC262" s="1685">
        <v>167.46</v>
      </c>
      <c r="AD262" s="1686">
        <v>167.46</v>
      </c>
      <c r="AE262" s="1685">
        <v>167.46</v>
      </c>
      <c r="AF262" s="1685">
        <v>151.35</v>
      </c>
      <c r="AG262" s="1685">
        <v>119.13</v>
      </c>
      <c r="AH262" s="1686">
        <v>119.13</v>
      </c>
      <c r="AI262" s="1687">
        <v>119.13</v>
      </c>
      <c r="AJ262" s="1687">
        <v>119.41999999999999</v>
      </c>
      <c r="AK262" s="1687">
        <v>120</v>
      </c>
      <c r="AL262" s="1688">
        <v>120</v>
      </c>
      <c r="AM262" s="1687">
        <v>120</v>
      </c>
      <c r="AN262" s="1687">
        <v>155.13999999999999</v>
      </c>
      <c r="AO262" s="1687">
        <v>225.42</v>
      </c>
      <c r="AP262" s="1688">
        <v>225.42</v>
      </c>
      <c r="AQ262" s="1687">
        <v>225.42</v>
      </c>
      <c r="AR262" s="1687">
        <v>190.27999999999997</v>
      </c>
      <c r="AS262" s="1687">
        <v>120</v>
      </c>
      <c r="AT262" s="1688">
        <v>120</v>
      </c>
      <c r="AU262" s="1687">
        <v>120</v>
      </c>
      <c r="AV262" s="1687">
        <v>142.62333333333333</v>
      </c>
      <c r="AW262" s="1687">
        <v>187.87</v>
      </c>
      <c r="AX262" s="1688">
        <v>187.87</v>
      </c>
      <c r="AY262" s="1687">
        <v>187.87</v>
      </c>
      <c r="AZ262" s="1828">
        <v>187.87</v>
      </c>
      <c r="BA262" s="1828">
        <v>187.87</v>
      </c>
      <c r="BB262" s="1910">
        <v>187.87</v>
      </c>
      <c r="BC262" s="1529"/>
      <c r="BD262" s="1529"/>
      <c r="BE262" s="1529"/>
      <c r="BF262" s="1529"/>
      <c r="BG262" s="1529">
        <f t="shared" si="432"/>
        <v>127.3425</v>
      </c>
      <c r="BH262" s="1529">
        <f t="shared" si="433"/>
        <v>201.13749999999999</v>
      </c>
      <c r="BI262" s="1529">
        <f t="shared" si="434"/>
        <v>181.70833333333334</v>
      </c>
      <c r="BJ262" s="1529">
        <f t="shared" si="435"/>
        <v>154.56</v>
      </c>
      <c r="BK262" s="1529">
        <f t="shared" si="436"/>
        <v>139.26749999999998</v>
      </c>
      <c r="BL262" s="1529">
        <f t="shared" si="437"/>
        <v>119.63749999999999</v>
      </c>
      <c r="BM262" s="1529">
        <f t="shared" si="438"/>
        <v>181.49499999999998</v>
      </c>
      <c r="BN262" s="1529">
        <f t="shared" si="439"/>
        <v>163.92499999999998</v>
      </c>
      <c r="BO262" s="1529">
        <f t="shared" si="440"/>
        <v>159.59083333333334</v>
      </c>
      <c r="BP262" s="1529">
        <f t="shared" si="441"/>
        <v>187.87</v>
      </c>
      <c r="BQ262" s="1529"/>
      <c r="BR262" s="1476"/>
      <c r="BS262" s="1477"/>
      <c r="BV262" s="1444"/>
      <c r="BW262" s="1443"/>
      <c r="BX262" s="1443"/>
      <c r="BY262" s="1443"/>
    </row>
    <row r="263" spans="2:77" ht="12.75" customHeight="1">
      <c r="B263" s="1549"/>
      <c r="C263" s="1773" t="s">
        <v>828</v>
      </c>
      <c r="D263" s="1729"/>
      <c r="E263" s="1729"/>
      <c r="F263" s="1731"/>
      <c r="G263" s="1716"/>
      <c r="H263" s="1712"/>
      <c r="I263" s="1712"/>
      <c r="J263" s="1717"/>
      <c r="K263" s="1716"/>
      <c r="L263" s="1712"/>
      <c r="M263" s="1712"/>
      <c r="N263" s="1717"/>
      <c r="O263" s="1744">
        <v>110</v>
      </c>
      <c r="P263" s="1745">
        <v>119.91</v>
      </c>
      <c r="Q263" s="1745">
        <v>139.72999999999999</v>
      </c>
      <c r="R263" s="1746">
        <v>139.72999999999999</v>
      </c>
      <c r="S263" s="1744">
        <v>139.72999999999999</v>
      </c>
      <c r="T263" s="1745">
        <v>174.82</v>
      </c>
      <c r="U263" s="1745">
        <v>245</v>
      </c>
      <c r="V263" s="1746">
        <v>245</v>
      </c>
      <c r="W263" s="1685">
        <v>245</v>
      </c>
      <c r="X263" s="1685">
        <v>208.83333333333334</v>
      </c>
      <c r="Y263" s="1685">
        <v>136.5</v>
      </c>
      <c r="Z263" s="1686">
        <v>136.5</v>
      </c>
      <c r="AA263" s="1685">
        <v>136.5</v>
      </c>
      <c r="AB263" s="1685">
        <v>146.82</v>
      </c>
      <c r="AC263" s="1685">
        <v>167.46</v>
      </c>
      <c r="AD263" s="1686">
        <v>167.46</v>
      </c>
      <c r="AE263" s="1685">
        <v>167.46</v>
      </c>
      <c r="AF263" s="1685">
        <v>151.35</v>
      </c>
      <c r="AG263" s="1685">
        <v>119.13</v>
      </c>
      <c r="AH263" s="1686">
        <v>119.13</v>
      </c>
      <c r="AI263" s="1687">
        <v>119.13</v>
      </c>
      <c r="AJ263" s="1687">
        <v>119.41999999999999</v>
      </c>
      <c r="AK263" s="1687">
        <v>120</v>
      </c>
      <c r="AL263" s="1688">
        <v>120</v>
      </c>
      <c r="AM263" s="1687">
        <v>120</v>
      </c>
      <c r="AN263" s="1687">
        <v>155.13999999999999</v>
      </c>
      <c r="AO263" s="1687">
        <v>225.42</v>
      </c>
      <c r="AP263" s="1688">
        <v>225.42</v>
      </c>
      <c r="AQ263" s="1687">
        <v>225.42</v>
      </c>
      <c r="AR263" s="1687">
        <v>190.20333333333332</v>
      </c>
      <c r="AS263" s="1687">
        <v>119.77</v>
      </c>
      <c r="AT263" s="1688">
        <v>119.77</v>
      </c>
      <c r="AU263" s="1687">
        <v>119.77</v>
      </c>
      <c r="AV263" s="1687">
        <v>119.77</v>
      </c>
      <c r="AW263" s="1687">
        <v>187.87</v>
      </c>
      <c r="AX263" s="1688">
        <v>187.87</v>
      </c>
      <c r="AY263" s="1687">
        <v>187.87</v>
      </c>
      <c r="AZ263" s="1828">
        <v>187.87</v>
      </c>
      <c r="BA263" s="1828">
        <v>187.87</v>
      </c>
      <c r="BB263" s="1910">
        <v>187.87</v>
      </c>
      <c r="BC263" s="1529"/>
      <c r="BD263" s="1529"/>
      <c r="BE263" s="1529"/>
      <c r="BF263" s="1529"/>
      <c r="BG263" s="1529">
        <f t="shared" si="432"/>
        <v>127.3425</v>
      </c>
      <c r="BH263" s="1529">
        <f t="shared" si="433"/>
        <v>201.13749999999999</v>
      </c>
      <c r="BI263" s="1529">
        <f t="shared" si="434"/>
        <v>181.70833333333334</v>
      </c>
      <c r="BJ263" s="1529">
        <f t="shared" si="435"/>
        <v>154.56</v>
      </c>
      <c r="BK263" s="1529">
        <f t="shared" si="436"/>
        <v>139.26749999999998</v>
      </c>
      <c r="BL263" s="1529">
        <f t="shared" si="437"/>
        <v>119.63749999999999</v>
      </c>
      <c r="BM263" s="1529">
        <f t="shared" si="438"/>
        <v>181.49499999999998</v>
      </c>
      <c r="BN263" s="1529">
        <f t="shared" si="439"/>
        <v>163.79083333333332</v>
      </c>
      <c r="BO263" s="1529">
        <f t="shared" si="440"/>
        <v>153.82</v>
      </c>
      <c r="BP263" s="1529">
        <f t="shared" si="441"/>
        <v>187.87</v>
      </c>
      <c r="BQ263" s="1529"/>
      <c r="BR263" s="1476"/>
      <c r="BS263" s="1477"/>
      <c r="BV263" s="1444"/>
      <c r="BW263" s="1443"/>
      <c r="BX263" s="1443"/>
      <c r="BY263" s="1443"/>
    </row>
    <row r="264" spans="2:77" ht="12.75" customHeight="1">
      <c r="B264" s="1549"/>
      <c r="C264" s="1773" t="s">
        <v>829</v>
      </c>
      <c r="D264" s="1729"/>
      <c r="E264" s="1729"/>
      <c r="F264" s="1731"/>
      <c r="G264" s="1716"/>
      <c r="H264" s="1712"/>
      <c r="I264" s="1712"/>
      <c r="J264" s="1717"/>
      <c r="K264" s="1716"/>
      <c r="L264" s="1712"/>
      <c r="M264" s="1712"/>
      <c r="N264" s="1717"/>
      <c r="O264" s="1744">
        <v>110</v>
      </c>
      <c r="P264" s="1745">
        <v>78.819999999999993</v>
      </c>
      <c r="Q264" s="1745">
        <v>16.46</v>
      </c>
      <c r="R264" s="1746">
        <v>16.46</v>
      </c>
      <c r="S264" s="1744">
        <v>16.46</v>
      </c>
      <c r="T264" s="1745">
        <v>20.216666666666669</v>
      </c>
      <c r="U264" s="1745">
        <v>27.73</v>
      </c>
      <c r="V264" s="1746">
        <v>27.73</v>
      </c>
      <c r="W264" s="1685">
        <v>27.73</v>
      </c>
      <c r="X264" s="1685">
        <v>60.483333333333327</v>
      </c>
      <c r="Y264" s="1685">
        <v>125.99</v>
      </c>
      <c r="Z264" s="1686">
        <v>125.99</v>
      </c>
      <c r="AA264" s="1685">
        <v>125.99</v>
      </c>
      <c r="AB264" s="1685">
        <v>129.32666666666668</v>
      </c>
      <c r="AC264" s="1685">
        <v>136</v>
      </c>
      <c r="AD264" s="1686">
        <v>136</v>
      </c>
      <c r="AE264" s="1685">
        <v>136</v>
      </c>
      <c r="AF264" s="1685">
        <v>110.45666666666666</v>
      </c>
      <c r="AG264" s="1685">
        <v>59.37</v>
      </c>
      <c r="AH264" s="1686">
        <v>59.37</v>
      </c>
      <c r="AI264" s="1687">
        <v>59.37</v>
      </c>
      <c r="AJ264" s="1687">
        <v>79.58</v>
      </c>
      <c r="AK264" s="1687">
        <v>120</v>
      </c>
      <c r="AL264" s="1688">
        <v>120</v>
      </c>
      <c r="AM264" s="1687">
        <v>120</v>
      </c>
      <c r="AN264" s="1687">
        <v>151.66666666666666</v>
      </c>
      <c r="AO264" s="1687">
        <v>215</v>
      </c>
      <c r="AP264" s="1688">
        <v>215</v>
      </c>
      <c r="AQ264" s="1687">
        <v>215</v>
      </c>
      <c r="AR264" s="1687">
        <v>210.92333333333332</v>
      </c>
      <c r="AS264" s="1687">
        <v>202.77</v>
      </c>
      <c r="AT264" s="1688">
        <v>202.77</v>
      </c>
      <c r="AU264" s="1687">
        <v>202.77</v>
      </c>
      <c r="AV264" s="1687">
        <v>202.77</v>
      </c>
      <c r="AW264" s="1687">
        <v>188.12</v>
      </c>
      <c r="AX264" s="1688">
        <v>188.12</v>
      </c>
      <c r="AY264" s="1687">
        <v>188.12</v>
      </c>
      <c r="AZ264" s="1828">
        <v>188.12</v>
      </c>
      <c r="BA264" s="1828">
        <v>188.12</v>
      </c>
      <c r="BB264" s="1910">
        <v>188.12</v>
      </c>
      <c r="BC264" s="1529"/>
      <c r="BD264" s="1529"/>
      <c r="BE264" s="1529"/>
      <c r="BF264" s="1529"/>
      <c r="BG264" s="1529">
        <f t="shared" si="432"/>
        <v>55.435000000000002</v>
      </c>
      <c r="BH264" s="1529">
        <f t="shared" si="433"/>
        <v>23.034166666666668</v>
      </c>
      <c r="BI264" s="1529">
        <f t="shared" si="434"/>
        <v>85.048333333333332</v>
      </c>
      <c r="BJ264" s="1529">
        <f t="shared" si="435"/>
        <v>131.82916666666665</v>
      </c>
      <c r="BK264" s="1529">
        <f t="shared" si="436"/>
        <v>91.299166666666665</v>
      </c>
      <c r="BL264" s="1529">
        <f t="shared" si="437"/>
        <v>94.737499999999997</v>
      </c>
      <c r="BM264" s="1529">
        <f t="shared" si="438"/>
        <v>175.41666666666666</v>
      </c>
      <c r="BN264" s="1529">
        <f t="shared" si="439"/>
        <v>207.86583333333331</v>
      </c>
      <c r="BO264" s="1529">
        <f t="shared" si="440"/>
        <v>195.44500000000002</v>
      </c>
      <c r="BP264" s="1529">
        <f t="shared" si="441"/>
        <v>188.12</v>
      </c>
      <c r="BQ264" s="1529"/>
      <c r="BR264" s="1476"/>
      <c r="BS264" s="1477"/>
      <c r="BV264" s="1444"/>
      <c r="BW264" s="1443"/>
      <c r="BX264" s="1443"/>
      <c r="BY264" s="1443"/>
    </row>
    <row r="265" spans="2:77" ht="12.75" customHeight="1">
      <c r="B265" s="1549"/>
      <c r="C265" s="1773" t="s">
        <v>830</v>
      </c>
      <c r="D265" s="1729"/>
      <c r="E265" s="1729"/>
      <c r="F265" s="1731"/>
      <c r="G265" s="1716"/>
      <c r="H265" s="1712"/>
      <c r="I265" s="1712"/>
      <c r="J265" s="1717"/>
      <c r="K265" s="1716"/>
      <c r="L265" s="1712"/>
      <c r="M265" s="1712"/>
      <c r="N265" s="1717"/>
      <c r="O265" s="1744">
        <v>110</v>
      </c>
      <c r="P265" s="1745">
        <v>135</v>
      </c>
      <c r="Q265" s="1745">
        <v>185</v>
      </c>
      <c r="R265" s="1746">
        <v>185</v>
      </c>
      <c r="S265" s="1744">
        <v>185</v>
      </c>
      <c r="T265" s="1745">
        <v>205</v>
      </c>
      <c r="U265" s="1745">
        <v>245</v>
      </c>
      <c r="V265" s="1746">
        <v>245</v>
      </c>
      <c r="W265" s="1685">
        <v>245</v>
      </c>
      <c r="X265" s="1685">
        <v>238.33333333333334</v>
      </c>
      <c r="Y265" s="1685">
        <v>225</v>
      </c>
      <c r="Z265" s="1686">
        <v>225</v>
      </c>
      <c r="AA265" s="1685">
        <v>225</v>
      </c>
      <c r="AB265" s="1685">
        <v>205.82</v>
      </c>
      <c r="AC265" s="1685">
        <v>167.46</v>
      </c>
      <c r="AD265" s="1686">
        <v>167.46</v>
      </c>
      <c r="AE265" s="1685">
        <v>167.46</v>
      </c>
      <c r="AF265" s="1685">
        <v>184.64</v>
      </c>
      <c r="AG265" s="1685">
        <v>219</v>
      </c>
      <c r="AH265" s="1686">
        <v>219</v>
      </c>
      <c r="AI265" s="1687">
        <v>219</v>
      </c>
      <c r="AJ265" s="1687">
        <v>217.66666666666666</v>
      </c>
      <c r="AK265" s="1687">
        <v>215</v>
      </c>
      <c r="AL265" s="1688">
        <v>215</v>
      </c>
      <c r="AM265" s="1687">
        <v>215</v>
      </c>
      <c r="AN265" s="1687">
        <v>218.4733333333333</v>
      </c>
      <c r="AO265" s="1687">
        <v>225.42</v>
      </c>
      <c r="AP265" s="1688">
        <v>225.42</v>
      </c>
      <c r="AQ265" s="1687">
        <v>225.42</v>
      </c>
      <c r="AR265" s="1687">
        <v>190.27999999999997</v>
      </c>
      <c r="AS265" s="1687">
        <v>120</v>
      </c>
      <c r="AT265" s="1688">
        <v>120</v>
      </c>
      <c r="AU265" s="1687">
        <v>120</v>
      </c>
      <c r="AV265" s="1687">
        <v>142.62333333333333</v>
      </c>
      <c r="AW265" s="1687">
        <v>187.87</v>
      </c>
      <c r="AX265" s="1688">
        <v>187.87</v>
      </c>
      <c r="AY265" s="1687">
        <v>187.87</v>
      </c>
      <c r="AZ265" s="1828">
        <v>187.87</v>
      </c>
      <c r="BA265" s="1828">
        <v>187.87</v>
      </c>
      <c r="BB265" s="1910">
        <v>187.87</v>
      </c>
      <c r="BC265" s="1529"/>
      <c r="BD265" s="1529"/>
      <c r="BE265" s="1529"/>
      <c r="BF265" s="1529"/>
      <c r="BG265" s="1529">
        <f t="shared" si="432"/>
        <v>153.75</v>
      </c>
      <c r="BH265" s="1529">
        <f t="shared" si="433"/>
        <v>220</v>
      </c>
      <c r="BI265" s="1529">
        <f t="shared" si="434"/>
        <v>233.33333333333334</v>
      </c>
      <c r="BJ265" s="1529">
        <f t="shared" si="435"/>
        <v>191.435</v>
      </c>
      <c r="BK265" s="1529">
        <f t="shared" si="436"/>
        <v>197.52500000000001</v>
      </c>
      <c r="BL265" s="1529">
        <f t="shared" si="437"/>
        <v>216.66666666666666</v>
      </c>
      <c r="BM265" s="1529">
        <f t="shared" si="438"/>
        <v>221.07833333333332</v>
      </c>
      <c r="BN265" s="1529">
        <f t="shared" si="439"/>
        <v>163.92499999999998</v>
      </c>
      <c r="BO265" s="1529">
        <f t="shared" si="440"/>
        <v>159.59083333333334</v>
      </c>
      <c r="BP265" s="1529">
        <f t="shared" si="441"/>
        <v>187.87</v>
      </c>
      <c r="BQ265" s="1529"/>
      <c r="BR265" s="1476"/>
      <c r="BS265" s="1477"/>
      <c r="BV265" s="1444"/>
      <c r="BW265" s="1443"/>
      <c r="BX265" s="1443"/>
      <c r="BY265" s="1443"/>
    </row>
    <row r="266" spans="2:77" ht="12.75" customHeight="1">
      <c r="B266" s="1549"/>
      <c r="C266" s="1773" t="s">
        <v>831</v>
      </c>
      <c r="D266" s="1729"/>
      <c r="E266" s="1729"/>
      <c r="F266" s="1731"/>
      <c r="G266" s="1716"/>
      <c r="H266" s="1712"/>
      <c r="I266" s="1712"/>
      <c r="J266" s="1717"/>
      <c r="K266" s="1716"/>
      <c r="L266" s="1712"/>
      <c r="M266" s="1712"/>
      <c r="N266" s="1717"/>
      <c r="O266" s="1744">
        <v>5</v>
      </c>
      <c r="P266" s="1745">
        <v>29</v>
      </c>
      <c r="Q266" s="1745">
        <v>41</v>
      </c>
      <c r="R266" s="1746">
        <v>31.666666666666668</v>
      </c>
      <c r="S266" s="1744">
        <v>27</v>
      </c>
      <c r="T266" s="1745">
        <v>101</v>
      </c>
      <c r="U266" s="1745">
        <v>138</v>
      </c>
      <c r="V266" s="1746">
        <v>108.66666666666667</v>
      </c>
      <c r="W266" s="1685">
        <v>94</v>
      </c>
      <c r="X266" s="1691">
        <v>144</v>
      </c>
      <c r="Y266" s="1691">
        <v>169</v>
      </c>
      <c r="Z266" s="1681">
        <v>108.38812785388127</v>
      </c>
      <c r="AA266" s="1680">
        <v>78.082191780821915</v>
      </c>
      <c r="AB266" s="1680">
        <v>103.83561643835614</v>
      </c>
      <c r="AC266" s="1680">
        <v>116.71232876712327</v>
      </c>
      <c r="AD266" s="1681">
        <v>63.452054794520535</v>
      </c>
      <c r="AE266" s="1680">
        <v>36.821917808219183</v>
      </c>
      <c r="AF266" s="1680">
        <v>91.61643835616438</v>
      </c>
      <c r="AG266" s="1680">
        <v>119.01369863013699</v>
      </c>
      <c r="AH266" s="1681">
        <v>56.109589041095887</v>
      </c>
      <c r="AI266" s="1680">
        <v>24.657534246575342</v>
      </c>
      <c r="AJ266" s="1680">
        <v>101.36986301369862</v>
      </c>
      <c r="AK266" s="1828">
        <v>139.72602739726028</v>
      </c>
      <c r="AL266" s="1829">
        <v>75.06849315068493</v>
      </c>
      <c r="AM266" s="1680">
        <v>42.739726027397268</v>
      </c>
      <c r="AN266" s="1680">
        <v>123.83561643835615</v>
      </c>
      <c r="AO266" s="1828">
        <v>164.38356164383561</v>
      </c>
      <c r="AP266" s="1829">
        <v>83.287671232876704</v>
      </c>
      <c r="AQ266" s="1680">
        <v>42.739726027397268</v>
      </c>
      <c r="AR266" s="1680">
        <v>123.83561643835615</v>
      </c>
      <c r="AS266" s="1828">
        <v>164.38356164383561</v>
      </c>
      <c r="AT266" s="1829">
        <v>83.287671232876704</v>
      </c>
      <c r="AU266" s="1680">
        <v>42.739726027397268</v>
      </c>
      <c r="AV266" s="1680">
        <v>123.83561643835615</v>
      </c>
      <c r="AW266" s="1828">
        <v>164.38356164383561</v>
      </c>
      <c r="AX266" s="1829">
        <v>83.287671232876704</v>
      </c>
      <c r="AY266" s="1828">
        <v>42.739726027397268</v>
      </c>
      <c r="AZ266" s="1828">
        <v>123.83561643835615</v>
      </c>
      <c r="BA266" s="1828">
        <v>164.38356164383561</v>
      </c>
      <c r="BB266" s="1910">
        <v>83.287671232876704</v>
      </c>
      <c r="BC266" s="1529"/>
      <c r="BD266" s="1529"/>
      <c r="BE266" s="1529"/>
      <c r="BF266" s="1529"/>
      <c r="BG266" s="1529">
        <f t="shared" si="432"/>
        <v>26.666666666666668</v>
      </c>
      <c r="BH266" s="1529">
        <f t="shared" si="433"/>
        <v>93.666666666666671</v>
      </c>
      <c r="BI266" s="1529">
        <f t="shared" si="434"/>
        <v>128.84703196347033</v>
      </c>
      <c r="BJ266" s="1529">
        <f t="shared" si="435"/>
        <v>90.520547945205465</v>
      </c>
      <c r="BK266" s="1529">
        <f t="shared" si="436"/>
        <v>75.890410958904113</v>
      </c>
      <c r="BL266" s="1529">
        <f t="shared" si="437"/>
        <v>85.205479452054789</v>
      </c>
      <c r="BM266" s="1529">
        <f t="shared" si="438"/>
        <v>103.56164383561642</v>
      </c>
      <c r="BN266" s="1529">
        <f t="shared" si="439"/>
        <v>103.56164383561642</v>
      </c>
      <c r="BO266" s="1529">
        <f t="shared" si="440"/>
        <v>103.56164383561642</v>
      </c>
      <c r="BP266" s="1529">
        <f t="shared" si="441"/>
        <v>103.56164383561642</v>
      </c>
      <c r="BQ266" s="1529"/>
      <c r="BR266" s="1476"/>
      <c r="BS266" s="1477"/>
      <c r="BV266" s="1444"/>
      <c r="BW266" s="1443"/>
      <c r="BX266" s="1443"/>
      <c r="BY266" s="1443"/>
    </row>
    <row r="267" spans="2:77" ht="12.75" customHeight="1">
      <c r="B267" s="1549"/>
      <c r="C267" s="1773" t="s">
        <v>832</v>
      </c>
      <c r="D267" s="1729"/>
      <c r="E267" s="1729"/>
      <c r="F267" s="1731"/>
      <c r="G267" s="1716"/>
      <c r="H267" s="1712"/>
      <c r="I267" s="1712"/>
      <c r="J267" s="1717"/>
      <c r="K267" s="1716"/>
      <c r="L267" s="1712"/>
      <c r="M267" s="1712"/>
      <c r="N267" s="1717"/>
      <c r="O267" s="1744">
        <v>89</v>
      </c>
      <c r="P267" s="1745">
        <v>286.33333333333331</v>
      </c>
      <c r="Q267" s="1745">
        <v>385</v>
      </c>
      <c r="R267" s="1746">
        <v>227</v>
      </c>
      <c r="S267" s="1744">
        <v>148</v>
      </c>
      <c r="T267" s="1745">
        <v>374</v>
      </c>
      <c r="U267" s="1745">
        <v>487</v>
      </c>
      <c r="V267" s="1746">
        <v>326.33333333333331</v>
      </c>
      <c r="W267" s="1685">
        <v>246</v>
      </c>
      <c r="X267" s="1691">
        <v>437.33333333333331</v>
      </c>
      <c r="Y267" s="1691">
        <v>533</v>
      </c>
      <c r="Z267" s="1681">
        <v>374.05022831050229</v>
      </c>
      <c r="AA267" s="1680">
        <v>294.57534246575347</v>
      </c>
      <c r="AB267" s="1680">
        <v>441.20547945205482</v>
      </c>
      <c r="AC267" s="1680">
        <v>514.52054794520552</v>
      </c>
      <c r="AD267" s="1681">
        <v>299.28767123287673</v>
      </c>
      <c r="AE267" s="1680">
        <v>191.67123287671237</v>
      </c>
      <c r="AF267" s="1680">
        <v>304.76712328767127</v>
      </c>
      <c r="AG267" s="1680">
        <v>361.3150684931507</v>
      </c>
      <c r="AH267" s="1681">
        <v>197.15068493150685</v>
      </c>
      <c r="AI267" s="1680">
        <v>115.06849315068493</v>
      </c>
      <c r="AJ267" s="1680">
        <v>306.84931506849313</v>
      </c>
      <c r="AK267" s="1828">
        <v>402.73972602739724</v>
      </c>
      <c r="AL267" s="1829">
        <v>240.10958904109589</v>
      </c>
      <c r="AM267" s="1680">
        <v>158.79452054794521</v>
      </c>
      <c r="AN267" s="1680">
        <v>321.42465753424653</v>
      </c>
      <c r="AO267" s="1828">
        <v>402.73972602739724</v>
      </c>
      <c r="AP267" s="1829">
        <v>240.10958904109589</v>
      </c>
      <c r="AQ267" s="1680">
        <v>158.79452054794521</v>
      </c>
      <c r="AR267" s="1680">
        <v>321.42465753424653</v>
      </c>
      <c r="AS267" s="1828">
        <v>402.73972602739724</v>
      </c>
      <c r="AT267" s="1829">
        <v>240.10958904109589</v>
      </c>
      <c r="AU267" s="1680">
        <v>158.79452054794521</v>
      </c>
      <c r="AV267" s="1680">
        <v>321.42465753424653</v>
      </c>
      <c r="AW267" s="1828">
        <v>402.73972602739724</v>
      </c>
      <c r="AX267" s="1829">
        <v>240.10958904109589</v>
      </c>
      <c r="AY267" s="1828">
        <v>158.79452054794521</v>
      </c>
      <c r="AZ267" s="1828">
        <v>321.42465753424653</v>
      </c>
      <c r="BA267" s="1828">
        <v>402.73972602739724</v>
      </c>
      <c r="BB267" s="1910">
        <v>240.10958904109589</v>
      </c>
      <c r="BC267" s="1529"/>
      <c r="BD267" s="1529"/>
      <c r="BE267" s="1529"/>
      <c r="BF267" s="1529"/>
      <c r="BG267" s="1529">
        <f t="shared" si="432"/>
        <v>246.83333333333331</v>
      </c>
      <c r="BH267" s="1529">
        <f t="shared" si="433"/>
        <v>333.83333333333331</v>
      </c>
      <c r="BI267" s="1529">
        <f t="shared" si="434"/>
        <v>397.59589041095887</v>
      </c>
      <c r="BJ267" s="1529">
        <f t="shared" si="435"/>
        <v>387.39726027397262</v>
      </c>
      <c r="BK267" s="1529">
        <f t="shared" si="436"/>
        <v>263.72602739726034</v>
      </c>
      <c r="BL267" s="1529">
        <f t="shared" si="437"/>
        <v>266.1917808219178</v>
      </c>
      <c r="BM267" s="1529">
        <f t="shared" si="438"/>
        <v>280.76712328767121</v>
      </c>
      <c r="BN267" s="1529">
        <f t="shared" si="439"/>
        <v>280.76712328767121</v>
      </c>
      <c r="BO267" s="1529">
        <f t="shared" si="440"/>
        <v>280.76712328767121</v>
      </c>
      <c r="BP267" s="1529">
        <f t="shared" si="441"/>
        <v>280.76712328767121</v>
      </c>
      <c r="BQ267" s="1529"/>
      <c r="BR267" s="1476"/>
      <c r="BS267" s="1477"/>
      <c r="BV267" s="1444"/>
      <c r="BW267" s="1443"/>
      <c r="BX267" s="1443"/>
      <c r="BY267" s="1443"/>
    </row>
    <row r="268" spans="2:77" ht="12.75" customHeight="1">
      <c r="B268" s="1549"/>
      <c r="C268" s="1773" t="s">
        <v>685</v>
      </c>
      <c r="D268" s="1729"/>
      <c r="E268" s="1729"/>
      <c r="F268" s="1731"/>
      <c r="G268" s="1716"/>
      <c r="H268" s="1712"/>
      <c r="I268" s="1712"/>
      <c r="J268" s="1717"/>
      <c r="K268" s="1716"/>
      <c r="L268" s="1712"/>
      <c r="M268" s="1712"/>
      <c r="N268" s="1717"/>
      <c r="O268" s="1744">
        <v>110</v>
      </c>
      <c r="P268" s="1745">
        <v>78.819999999999993</v>
      </c>
      <c r="Q268" s="1745">
        <v>16.46</v>
      </c>
      <c r="R268" s="1746">
        <v>16.46</v>
      </c>
      <c r="S268" s="1744">
        <v>16.46</v>
      </c>
      <c r="T268" s="1745">
        <v>20.216666666666669</v>
      </c>
      <c r="U268" s="1745">
        <v>27.73</v>
      </c>
      <c r="V268" s="1746">
        <v>27.73</v>
      </c>
      <c r="W268" s="1685">
        <v>27.73</v>
      </c>
      <c r="X268" s="1685">
        <v>60.483333333333327</v>
      </c>
      <c r="Y268" s="1685">
        <v>125.99</v>
      </c>
      <c r="Z268" s="1686">
        <v>125.99</v>
      </c>
      <c r="AA268" s="1685">
        <v>125.99</v>
      </c>
      <c r="AB268" s="1685">
        <v>129.32666666666668</v>
      </c>
      <c r="AC268" s="1685">
        <v>357</v>
      </c>
      <c r="AD268" s="1686">
        <v>357</v>
      </c>
      <c r="AE268" s="1685">
        <v>357</v>
      </c>
      <c r="AF268" s="1685">
        <v>276.07666666666665</v>
      </c>
      <c r="AG268" s="1685">
        <v>114.23</v>
      </c>
      <c r="AH268" s="1686">
        <v>114.23</v>
      </c>
      <c r="AI268" s="1687">
        <v>114.23</v>
      </c>
      <c r="AJ268" s="1687">
        <v>116.15333333333334</v>
      </c>
      <c r="AK268" s="1687">
        <v>120</v>
      </c>
      <c r="AL268" s="1688">
        <v>120</v>
      </c>
      <c r="AM268" s="1687">
        <v>120</v>
      </c>
      <c r="AN268" s="1687">
        <v>134.92333333333335</v>
      </c>
      <c r="AO268" s="1687">
        <v>164.77</v>
      </c>
      <c r="AP268" s="1688">
        <v>164.77</v>
      </c>
      <c r="AQ268" s="1687">
        <v>164.77</v>
      </c>
      <c r="AR268" s="1687">
        <v>143.18</v>
      </c>
      <c r="AS268" s="1687">
        <v>100</v>
      </c>
      <c r="AT268" s="1688">
        <v>100</v>
      </c>
      <c r="AU268" s="1687">
        <v>100</v>
      </c>
      <c r="AV268" s="1687">
        <v>100</v>
      </c>
      <c r="AW268" s="1687">
        <v>76.53</v>
      </c>
      <c r="AX268" s="1688">
        <v>76.53</v>
      </c>
      <c r="AY268" s="1687">
        <v>76.53</v>
      </c>
      <c r="AZ268" s="1828">
        <v>76.53</v>
      </c>
      <c r="BA268" s="1828">
        <v>76.53</v>
      </c>
      <c r="BB268" s="1910">
        <v>76.53</v>
      </c>
      <c r="BC268" s="1529"/>
      <c r="BD268" s="1529"/>
      <c r="BE268" s="1529"/>
      <c r="BF268" s="1529"/>
      <c r="BG268" s="1529">
        <f t="shared" si="432"/>
        <v>55.435000000000002</v>
      </c>
      <c r="BH268" s="1529">
        <f t="shared" si="433"/>
        <v>23.034166666666668</v>
      </c>
      <c r="BI268" s="1529">
        <f t="shared" si="434"/>
        <v>85.048333333333332</v>
      </c>
      <c r="BJ268" s="1529">
        <f t="shared" si="435"/>
        <v>242.32916666666665</v>
      </c>
      <c r="BK268" s="1529">
        <f t="shared" si="436"/>
        <v>215.38416666666666</v>
      </c>
      <c r="BL268" s="1529">
        <f t="shared" si="437"/>
        <v>117.59583333333333</v>
      </c>
      <c r="BM268" s="1529">
        <f t="shared" si="438"/>
        <v>146.11583333333334</v>
      </c>
      <c r="BN268" s="1529">
        <f t="shared" si="439"/>
        <v>126.98750000000001</v>
      </c>
      <c r="BO268" s="1529">
        <f t="shared" si="440"/>
        <v>88.264999999999986</v>
      </c>
      <c r="BP268" s="1529">
        <f t="shared" si="441"/>
        <v>76.53</v>
      </c>
      <c r="BQ268" s="1529"/>
      <c r="BR268" s="1476"/>
      <c r="BS268" s="1477"/>
      <c r="BV268" s="1444"/>
      <c r="BW268" s="1443"/>
      <c r="BX268" s="1443"/>
      <c r="BY268" s="1443"/>
    </row>
    <row r="269" spans="2:77" ht="12.75" customHeight="1">
      <c r="B269" s="1549"/>
      <c r="C269" s="1773" t="s">
        <v>284</v>
      </c>
      <c r="D269" s="1729"/>
      <c r="E269" s="1729"/>
      <c r="F269" s="1731"/>
      <c r="G269" s="1716"/>
      <c r="H269" s="1712"/>
      <c r="I269" s="1712"/>
      <c r="J269" s="1717"/>
      <c r="K269" s="1716"/>
      <c r="L269" s="1712"/>
      <c r="M269" s="1712"/>
      <c r="N269" s="1717"/>
      <c r="O269" s="1744">
        <v>0</v>
      </c>
      <c r="P269" s="1745">
        <v>0</v>
      </c>
      <c r="Q269" s="1745">
        <v>0</v>
      </c>
      <c r="R269" s="1746">
        <v>0</v>
      </c>
      <c r="S269" s="1744">
        <v>0.1</v>
      </c>
      <c r="T269" s="1745">
        <v>0.41666666666666669</v>
      </c>
      <c r="U269" s="1745">
        <v>1.05</v>
      </c>
      <c r="V269" s="1746">
        <v>1.05</v>
      </c>
      <c r="W269" s="1685">
        <v>1.05</v>
      </c>
      <c r="X269" s="1685">
        <v>11.516666666666666</v>
      </c>
      <c r="Y269" s="1680">
        <v>16.75</v>
      </c>
      <c r="Z269" s="1681">
        <v>16.75</v>
      </c>
      <c r="AA269" s="1685">
        <v>16.75</v>
      </c>
      <c r="AB269" s="1685">
        <v>105.58333333333333</v>
      </c>
      <c r="AC269" s="1685">
        <v>150</v>
      </c>
      <c r="AD269" s="1686">
        <v>150</v>
      </c>
      <c r="AE269" s="1685">
        <v>150</v>
      </c>
      <c r="AF269" s="1825">
        <v>150</v>
      </c>
      <c r="AG269" s="1825">
        <v>150</v>
      </c>
      <c r="AH269" s="1826">
        <v>150</v>
      </c>
      <c r="AI269" s="1825">
        <v>150</v>
      </c>
      <c r="AJ269" s="1825">
        <v>150</v>
      </c>
      <c r="AK269" s="1825">
        <v>150</v>
      </c>
      <c r="AL269" s="1826">
        <v>150</v>
      </c>
      <c r="AM269" s="1825">
        <v>150</v>
      </c>
      <c r="AN269" s="1825">
        <v>150</v>
      </c>
      <c r="AO269" s="1825">
        <v>150</v>
      </c>
      <c r="AP269" s="1826">
        <v>150</v>
      </c>
      <c r="AQ269" s="1825">
        <v>150</v>
      </c>
      <c r="AR269" s="1825">
        <v>150</v>
      </c>
      <c r="AS269" s="1825">
        <v>150</v>
      </c>
      <c r="AT269" s="1826">
        <v>150</v>
      </c>
      <c r="AU269" s="1825">
        <v>150</v>
      </c>
      <c r="AV269" s="1825">
        <v>150</v>
      </c>
      <c r="AW269" s="1825">
        <v>150</v>
      </c>
      <c r="AX269" s="1826">
        <v>150</v>
      </c>
      <c r="AY269" s="1825">
        <v>150</v>
      </c>
      <c r="AZ269" s="1825">
        <v>150</v>
      </c>
      <c r="BA269" s="1825">
        <v>150</v>
      </c>
      <c r="BB269" s="1911">
        <v>150</v>
      </c>
      <c r="BC269" s="1529"/>
      <c r="BD269" s="1529"/>
      <c r="BE269" s="1529"/>
      <c r="BF269" s="1529"/>
      <c r="BG269" s="1529">
        <f t="shared" si="432"/>
        <v>0</v>
      </c>
      <c r="BH269" s="1529">
        <f t="shared" si="433"/>
        <v>0.65416666666666679</v>
      </c>
      <c r="BI269" s="1529">
        <f t="shared" si="434"/>
        <v>11.516666666666666</v>
      </c>
      <c r="BJ269" s="1529">
        <f t="shared" si="435"/>
        <v>105.58333333333333</v>
      </c>
      <c r="BK269" s="1529">
        <f t="shared" si="436"/>
        <v>150</v>
      </c>
      <c r="BL269" s="1529">
        <f t="shared" si="437"/>
        <v>150</v>
      </c>
      <c r="BM269" s="1529">
        <f t="shared" si="438"/>
        <v>150</v>
      </c>
      <c r="BN269" s="1529">
        <f t="shared" si="439"/>
        <v>150</v>
      </c>
      <c r="BO269" s="1529">
        <f t="shared" si="440"/>
        <v>150</v>
      </c>
      <c r="BP269" s="1529">
        <f t="shared" si="441"/>
        <v>150</v>
      </c>
      <c r="BQ269" s="1529"/>
      <c r="BR269" s="1476"/>
      <c r="BS269" s="1477"/>
      <c r="BV269" s="1444"/>
      <c r="BW269" s="1443"/>
      <c r="BX269" s="1443"/>
      <c r="BY269" s="1443"/>
    </row>
    <row r="270" spans="2:77" ht="12.75" customHeight="1">
      <c r="B270" s="1549"/>
      <c r="C270" s="1773" t="s">
        <v>285</v>
      </c>
      <c r="D270" s="1729"/>
      <c r="E270" s="1729"/>
      <c r="F270" s="1731"/>
      <c r="G270" s="1716"/>
      <c r="H270" s="1712"/>
      <c r="I270" s="1712"/>
      <c r="J270" s="1717"/>
      <c r="K270" s="1716"/>
      <c r="L270" s="1712"/>
      <c r="M270" s="1712"/>
      <c r="N270" s="1717"/>
      <c r="O270" s="1744">
        <v>102.54</v>
      </c>
      <c r="P270" s="1745">
        <v>96.14</v>
      </c>
      <c r="Q270" s="1745">
        <v>83.34</v>
      </c>
      <c r="R270" s="1746">
        <v>83.34</v>
      </c>
      <c r="S270" s="1744">
        <v>83.34</v>
      </c>
      <c r="T270" s="1745">
        <v>83.13333333333334</v>
      </c>
      <c r="U270" s="1745">
        <v>82.72</v>
      </c>
      <c r="V270" s="1746">
        <v>82.72</v>
      </c>
      <c r="W270" s="1685">
        <v>82.72</v>
      </c>
      <c r="X270" s="1685">
        <v>86.433333333333337</v>
      </c>
      <c r="Y270" s="1685">
        <v>93.86</v>
      </c>
      <c r="Z270" s="1686">
        <v>93.86</v>
      </c>
      <c r="AA270" s="1685">
        <v>93.86</v>
      </c>
      <c r="AB270" s="1685">
        <v>96.874703196347028</v>
      </c>
      <c r="AC270" s="1685">
        <v>102.9041095890411</v>
      </c>
      <c r="AD270" s="1686">
        <v>102.9041095890411</v>
      </c>
      <c r="AE270" s="1685">
        <v>103</v>
      </c>
      <c r="AF270" s="1685">
        <v>98.89</v>
      </c>
      <c r="AG270" s="1685">
        <v>94.78</v>
      </c>
      <c r="AH270" s="1686">
        <v>94.78</v>
      </c>
      <c r="AI270" s="1687">
        <v>94.78</v>
      </c>
      <c r="AJ270" s="1687">
        <v>140.17296803652968</v>
      </c>
      <c r="AK270" s="1687">
        <v>230.95890410958907</v>
      </c>
      <c r="AL270" s="1688">
        <v>230.95890410958907</v>
      </c>
      <c r="AM270" s="1687">
        <v>230.95890410958907</v>
      </c>
      <c r="AN270" s="1687">
        <v>258.63013698630141</v>
      </c>
      <c r="AO270" s="1687">
        <v>313.97260273972609</v>
      </c>
      <c r="AP270" s="1688">
        <v>313.97260273972609</v>
      </c>
      <c r="AQ270" s="1687">
        <v>313.97260273972609</v>
      </c>
      <c r="AR270" s="1687">
        <v>286.35616438356169</v>
      </c>
      <c r="AS270" s="1687">
        <v>231.12328767123287</v>
      </c>
      <c r="AT270" s="1688">
        <v>231.12328767123287</v>
      </c>
      <c r="AU270" s="1687">
        <v>231.12328767123287</v>
      </c>
      <c r="AV270" s="1687">
        <v>212.13150684931506</v>
      </c>
      <c r="AW270" s="1687">
        <v>174.14794520547943</v>
      </c>
      <c r="AX270" s="1688">
        <v>174.14794520547943</v>
      </c>
      <c r="AY270" s="1687">
        <v>174.14794520547943</v>
      </c>
      <c r="AZ270" s="1687">
        <v>174.14794520547943</v>
      </c>
      <c r="BA270" s="1687">
        <v>174.14794520547943</v>
      </c>
      <c r="BB270" s="1909">
        <v>174.14794520547943</v>
      </c>
      <c r="BC270" s="1529"/>
      <c r="BD270" s="1529"/>
      <c r="BE270" s="1529"/>
      <c r="BF270" s="1529"/>
      <c r="BG270" s="1529">
        <f t="shared" si="432"/>
        <v>91.34</v>
      </c>
      <c r="BH270" s="1529">
        <f t="shared" si="433"/>
        <v>82.978333333333339</v>
      </c>
      <c r="BI270" s="1529">
        <f t="shared" si="434"/>
        <v>89.218333333333334</v>
      </c>
      <c r="BJ270" s="1529">
        <f t="shared" si="435"/>
        <v>99.13573059360732</v>
      </c>
      <c r="BK270" s="1529">
        <f t="shared" si="436"/>
        <v>97.862499999999983</v>
      </c>
      <c r="BL270" s="1529">
        <f t="shared" si="437"/>
        <v>174.21769406392696</v>
      </c>
      <c r="BM270" s="1529">
        <f t="shared" si="438"/>
        <v>279.38356164383566</v>
      </c>
      <c r="BN270" s="1529">
        <f t="shared" si="439"/>
        <v>265.64383561643837</v>
      </c>
      <c r="BO270" s="1529">
        <f t="shared" si="440"/>
        <v>197.8876712328767</v>
      </c>
      <c r="BP270" s="1529">
        <f t="shared" si="441"/>
        <v>174.14794520547943</v>
      </c>
      <c r="BQ270" s="1529"/>
      <c r="BR270" s="1476"/>
      <c r="BS270" s="1477"/>
      <c r="BV270" s="1444"/>
      <c r="BW270" s="1443"/>
      <c r="BX270" s="1443"/>
      <c r="BY270" s="1443"/>
    </row>
    <row r="271" spans="2:77" ht="12.75" customHeight="1">
      <c r="B271" s="1549"/>
      <c r="C271" s="1773" t="s">
        <v>286</v>
      </c>
      <c r="D271" s="1729"/>
      <c r="E271" s="1729"/>
      <c r="F271" s="1731"/>
      <c r="G271" s="1716"/>
      <c r="H271" s="1712"/>
      <c r="I271" s="1712"/>
      <c r="J271" s="1717"/>
      <c r="K271" s="1716"/>
      <c r="L271" s="1712"/>
      <c r="M271" s="1712"/>
      <c r="N271" s="1717"/>
      <c r="O271" s="1744">
        <v>102.54</v>
      </c>
      <c r="P271" s="1745">
        <v>96.14</v>
      </c>
      <c r="Q271" s="1745">
        <v>83.34</v>
      </c>
      <c r="R271" s="1746">
        <v>83.34</v>
      </c>
      <c r="S271" s="1744">
        <v>83.34</v>
      </c>
      <c r="T271" s="1745">
        <v>83.13333333333334</v>
      </c>
      <c r="U271" s="1745">
        <v>82.72</v>
      </c>
      <c r="V271" s="1746">
        <v>82.72</v>
      </c>
      <c r="W271" s="1685">
        <v>82.72</v>
      </c>
      <c r="X271" s="1685">
        <v>86.433333333333337</v>
      </c>
      <c r="Y271" s="1685">
        <v>93.86</v>
      </c>
      <c r="Z271" s="1686">
        <v>93.86</v>
      </c>
      <c r="AA271" s="1685">
        <v>93.86</v>
      </c>
      <c r="AB271" s="1685">
        <v>96.874703196347028</v>
      </c>
      <c r="AC271" s="1685">
        <v>102.9041095890411</v>
      </c>
      <c r="AD271" s="1686">
        <v>102.9041095890411</v>
      </c>
      <c r="AE271" s="1685">
        <v>103</v>
      </c>
      <c r="AF271" s="1685">
        <v>161</v>
      </c>
      <c r="AG271" s="1685">
        <v>219</v>
      </c>
      <c r="AH271" s="1686">
        <v>219</v>
      </c>
      <c r="AI271" s="1687">
        <v>219</v>
      </c>
      <c r="AJ271" s="1687">
        <v>310.38356164383561</v>
      </c>
      <c r="AK271" s="1687">
        <v>493.15068493150687</v>
      </c>
      <c r="AL271" s="1688">
        <v>493.15068493150687</v>
      </c>
      <c r="AM271" s="1687">
        <v>493.15068493150687</v>
      </c>
      <c r="AN271" s="1687">
        <v>433.42465753424653</v>
      </c>
      <c r="AO271" s="1687">
        <v>313.97260273972609</v>
      </c>
      <c r="AP271" s="1688">
        <v>313.97260273972609</v>
      </c>
      <c r="AQ271" s="1687">
        <v>313.97260273972609</v>
      </c>
      <c r="AR271" s="1687">
        <v>286.35616438356169</v>
      </c>
      <c r="AS271" s="1687">
        <v>231.12328767123287</v>
      </c>
      <c r="AT271" s="1688">
        <v>231.12328767123287</v>
      </c>
      <c r="AU271" s="1687">
        <v>231.12328767123287</v>
      </c>
      <c r="AV271" s="1687">
        <v>212.13150684931506</v>
      </c>
      <c r="AW271" s="1687">
        <v>174.14794520547943</v>
      </c>
      <c r="AX271" s="1688">
        <v>174.14794520547943</v>
      </c>
      <c r="AY271" s="1687">
        <v>174.14794520547943</v>
      </c>
      <c r="AZ271" s="1687">
        <v>174.14794520547943</v>
      </c>
      <c r="BA271" s="1687">
        <v>174.14794520547943</v>
      </c>
      <c r="BB271" s="1909">
        <v>174.14794520547943</v>
      </c>
      <c r="BC271" s="1529"/>
      <c r="BD271" s="1529"/>
      <c r="BE271" s="1529"/>
      <c r="BF271" s="1529"/>
      <c r="BG271" s="1529">
        <f t="shared" si="432"/>
        <v>91.34</v>
      </c>
      <c r="BH271" s="1529">
        <f t="shared" si="433"/>
        <v>82.978333333333339</v>
      </c>
      <c r="BI271" s="1529">
        <f t="shared" si="434"/>
        <v>89.218333333333334</v>
      </c>
      <c r="BJ271" s="1529">
        <f t="shared" si="435"/>
        <v>99.13573059360732</v>
      </c>
      <c r="BK271" s="1529">
        <f t="shared" si="436"/>
        <v>175.5</v>
      </c>
      <c r="BL271" s="1529">
        <f t="shared" si="437"/>
        <v>378.92123287671234</v>
      </c>
      <c r="BM271" s="1529">
        <f t="shared" si="438"/>
        <v>388.63013698630141</v>
      </c>
      <c r="BN271" s="1529">
        <f t="shared" si="439"/>
        <v>265.64383561643837</v>
      </c>
      <c r="BO271" s="1529">
        <f t="shared" si="440"/>
        <v>197.8876712328767</v>
      </c>
      <c r="BP271" s="1529">
        <f t="shared" si="441"/>
        <v>174.14794520547943</v>
      </c>
      <c r="BQ271" s="1529"/>
      <c r="BR271" s="1476"/>
      <c r="BS271" s="1477"/>
      <c r="BV271" s="1444"/>
      <c r="BW271" s="1443"/>
      <c r="BX271" s="1443"/>
      <c r="BY271" s="1443"/>
    </row>
    <row r="272" spans="2:77" ht="12.75" customHeight="1">
      <c r="B272" s="1549"/>
      <c r="C272" s="1773"/>
      <c r="D272" s="1729"/>
      <c r="E272" s="1729"/>
      <c r="F272" s="1731"/>
      <c r="G272" s="1716"/>
      <c r="H272" s="1712"/>
      <c r="I272" s="1712"/>
      <c r="J272" s="1717"/>
      <c r="K272" s="1720"/>
      <c r="L272" s="1712"/>
      <c r="M272" s="1712"/>
      <c r="N272" s="1717"/>
      <c r="O272" s="1716">
        <v>5</v>
      </c>
      <c r="P272" s="1712">
        <v>29</v>
      </c>
      <c r="Q272" s="1712">
        <v>41</v>
      </c>
      <c r="R272" s="1715">
        <v>31.666666666666668</v>
      </c>
      <c r="S272" s="1714">
        <v>27</v>
      </c>
      <c r="T272" s="1713">
        <v>101</v>
      </c>
      <c r="U272" s="1713">
        <v>138</v>
      </c>
      <c r="V272" s="1715">
        <v>108.66666666666667</v>
      </c>
      <c r="W272" s="1685">
        <v>246</v>
      </c>
      <c r="X272" s="1691">
        <v>300.30136986301369</v>
      </c>
      <c r="Y272" s="1691">
        <v>327.45205479452056</v>
      </c>
      <c r="Z272" s="1681">
        <v>238.46575342465755</v>
      </c>
      <c r="AA272" s="1680">
        <v>193.97260273972606</v>
      </c>
      <c r="AB272" s="1680">
        <v>250.95890410958904</v>
      </c>
      <c r="AC272" s="1680">
        <v>279.45205479452056</v>
      </c>
      <c r="AD272" s="1681">
        <v>174.90410958904107</v>
      </c>
      <c r="AE272" s="1680">
        <v>122.63013698630137</v>
      </c>
      <c r="AF272" s="1680">
        <v>221.69863013698631</v>
      </c>
      <c r="AG272" s="1680">
        <v>271.23287671232879</v>
      </c>
      <c r="AH272" s="1681">
        <v>167.12328767123287</v>
      </c>
      <c r="AI272" s="1680">
        <v>115.06849315068493</v>
      </c>
      <c r="AJ272" s="1680">
        <v>219.17808219178082</v>
      </c>
      <c r="AK272" s="1828">
        <v>271.23287671232879</v>
      </c>
      <c r="AL272" s="1829">
        <v>167.12328767123287</v>
      </c>
      <c r="AM272" s="1680">
        <v>115.06849315068493</v>
      </c>
      <c r="AN272" s="1680">
        <v>219.17808219178082</v>
      </c>
      <c r="AO272" s="1828">
        <v>271.23287671232879</v>
      </c>
      <c r="AP272" s="1829">
        <v>167.12328767123287</v>
      </c>
      <c r="AQ272" s="1680">
        <v>115.06849315068493</v>
      </c>
      <c r="AR272" s="1680">
        <v>219.17808219178082</v>
      </c>
      <c r="AS272" s="1828">
        <v>271.23287671232879</v>
      </c>
      <c r="AT272" s="1829">
        <v>167.12328767123287</v>
      </c>
      <c r="AU272" s="1680">
        <v>115.06849315068493</v>
      </c>
      <c r="AV272" s="1680">
        <v>219.17808219178082</v>
      </c>
      <c r="AW272" s="1828">
        <v>271.23287671232879</v>
      </c>
      <c r="AX272" s="1829">
        <v>167.12328767123287</v>
      </c>
      <c r="AY272" s="1828">
        <v>115.06849315068493</v>
      </c>
      <c r="AZ272" s="1828">
        <v>219.17808219178082</v>
      </c>
      <c r="BA272" s="1828">
        <v>271.23287671232879</v>
      </c>
      <c r="BB272" s="1910">
        <v>167.12328767123287</v>
      </c>
      <c r="BC272" s="1529"/>
      <c r="BD272" s="1529"/>
      <c r="BE272" s="1529"/>
      <c r="BF272" s="1529"/>
      <c r="BG272" s="1529"/>
      <c r="BH272" s="1529"/>
      <c r="BI272" s="1529"/>
      <c r="BJ272" s="1529"/>
      <c r="BK272" s="1529"/>
      <c r="BL272" s="1529"/>
      <c r="BM272" s="1529"/>
      <c r="BN272" s="1529"/>
      <c r="BO272" s="1529"/>
      <c r="BP272" s="1529"/>
      <c r="BQ272" s="1529"/>
      <c r="BR272" s="1476"/>
      <c r="BS272" s="1477"/>
      <c r="BV272" s="1444"/>
      <c r="BW272" s="1443"/>
      <c r="BX272" s="1443"/>
      <c r="BY272" s="1443"/>
    </row>
    <row r="273" spans="2:79" ht="12.75" customHeight="1">
      <c r="B273" s="1549"/>
      <c r="C273" s="1773"/>
      <c r="D273" s="1729"/>
      <c r="E273" s="1729"/>
      <c r="F273" s="1731"/>
      <c r="G273" s="1720"/>
      <c r="H273" s="1723"/>
      <c r="I273" s="1723"/>
      <c r="J273" s="1724"/>
      <c r="K273" s="1716"/>
      <c r="L273" s="1723"/>
      <c r="M273" s="1723"/>
      <c r="N273" s="1724"/>
      <c r="O273" s="1720">
        <v>102.54</v>
      </c>
      <c r="P273" s="1723">
        <v>96.14</v>
      </c>
      <c r="Q273" s="1723">
        <v>83.34</v>
      </c>
      <c r="R273" s="1711">
        <v>83.34</v>
      </c>
      <c r="S273" s="1710">
        <v>83.34</v>
      </c>
      <c r="T273" s="1708">
        <v>83.13333333333334</v>
      </c>
      <c r="U273" s="1708">
        <v>82.72</v>
      </c>
      <c r="V273" s="1711">
        <v>82.72</v>
      </c>
      <c r="W273" s="1685">
        <v>82.72</v>
      </c>
      <c r="X273" s="1685">
        <v>86.433333333333337</v>
      </c>
      <c r="Y273" s="1685">
        <v>93.86</v>
      </c>
      <c r="Z273" s="1686">
        <v>93.86</v>
      </c>
      <c r="AA273" s="1685">
        <v>93.86</v>
      </c>
      <c r="AB273" s="1685">
        <v>96.874703196347028</v>
      </c>
      <c r="AC273" s="1685">
        <v>102.9041095890411</v>
      </c>
      <c r="AD273" s="1686">
        <v>102.9041095890411</v>
      </c>
      <c r="AE273" s="1685">
        <v>103</v>
      </c>
      <c r="AF273" s="1685">
        <v>98.736666666666665</v>
      </c>
      <c r="AG273" s="1685">
        <v>90.21</v>
      </c>
      <c r="AH273" s="1686">
        <v>90.21</v>
      </c>
      <c r="AI273" s="1687">
        <v>90.21</v>
      </c>
      <c r="AJ273" s="1687">
        <v>137.126301369863</v>
      </c>
      <c r="AK273" s="1687">
        <v>230.95890410958907</v>
      </c>
      <c r="AL273" s="1688">
        <v>230.95890410958907</v>
      </c>
      <c r="AM273" s="1687">
        <v>230.95890410958907</v>
      </c>
      <c r="AN273" s="1687">
        <v>275.39726027397262</v>
      </c>
      <c r="AO273" s="1687">
        <v>364.27397260273972</v>
      </c>
      <c r="AP273" s="1688">
        <v>364.27397260273972</v>
      </c>
      <c r="AQ273" s="1687">
        <v>364.27397260273972</v>
      </c>
      <c r="AR273" s="1687">
        <v>319.89041095890411</v>
      </c>
      <c r="AS273" s="1687">
        <v>231.12328767123287</v>
      </c>
      <c r="AT273" s="1688">
        <v>231.12328767123287</v>
      </c>
      <c r="AU273" s="1687">
        <v>231.12328767123287</v>
      </c>
      <c r="AV273" s="1687">
        <v>212.13150684931506</v>
      </c>
      <c r="AW273" s="1687">
        <v>174.14794520547943</v>
      </c>
      <c r="AX273" s="1688">
        <v>174.14794520547943</v>
      </c>
      <c r="AY273" s="1687">
        <v>174.14794520547943</v>
      </c>
      <c r="AZ273" s="1687">
        <v>174.14794520547943</v>
      </c>
      <c r="BA273" s="1687">
        <v>174.14794520547943</v>
      </c>
      <c r="BB273" s="1909">
        <v>174.14794520547943</v>
      </c>
      <c r="BC273" s="1494"/>
      <c r="BD273" s="1494"/>
      <c r="BE273" s="1494"/>
      <c r="BF273" s="1494"/>
      <c r="BG273" s="1494"/>
      <c r="BH273" s="1494"/>
      <c r="BI273" s="1494"/>
      <c r="BJ273" s="1494"/>
      <c r="BK273" s="1494"/>
      <c r="BL273" s="1494"/>
      <c r="BM273" s="1494"/>
      <c r="BN273" s="1494"/>
      <c r="BO273" s="1494"/>
      <c r="BP273" s="1494"/>
      <c r="BQ273" s="1494"/>
      <c r="BR273" s="1476"/>
      <c r="BS273" s="1477"/>
      <c r="BV273" s="1444"/>
      <c r="BW273" s="1443"/>
      <c r="BX273" s="1443"/>
      <c r="BY273" s="1443"/>
    </row>
    <row r="274" spans="2:79" ht="12.75" customHeight="1">
      <c r="B274" s="1549"/>
      <c r="C274" s="1774" t="s">
        <v>910</v>
      </c>
      <c r="D274" s="1739"/>
      <c r="E274" s="1739"/>
      <c r="F274" s="1740"/>
      <c r="G274" s="1716"/>
      <c r="H274" s="1712"/>
      <c r="I274" s="1712"/>
      <c r="J274" s="1717"/>
      <c r="K274" s="1716"/>
      <c r="L274" s="1712"/>
      <c r="M274" s="1712"/>
      <c r="N274" s="1717"/>
      <c r="O274" s="1716"/>
      <c r="P274" s="1712"/>
      <c r="Q274" s="1712"/>
      <c r="R274" s="1715"/>
      <c r="S274" s="1714"/>
      <c r="T274" s="1713"/>
      <c r="U274" s="1713"/>
      <c r="V274" s="1715"/>
      <c r="W274" s="1680"/>
      <c r="X274" s="1680"/>
      <c r="Y274" s="1680"/>
      <c r="Z274" s="1681"/>
      <c r="AA274" s="1680"/>
      <c r="AB274" s="1680"/>
      <c r="AC274" s="1680"/>
      <c r="AD274" s="1681"/>
      <c r="AE274" s="1680"/>
      <c r="AF274" s="1680"/>
      <c r="AG274" s="1680"/>
      <c r="AH274" s="1681"/>
      <c r="AI274" s="1691"/>
      <c r="AJ274" s="1691"/>
      <c r="AK274" s="1691"/>
      <c r="AL274" s="1696"/>
      <c r="AM274" s="1691"/>
      <c r="AN274" s="1691"/>
      <c r="AO274" s="1691"/>
      <c r="AP274" s="1696"/>
      <c r="AQ274" s="1691"/>
      <c r="AR274" s="1691"/>
      <c r="AS274" s="1691"/>
      <c r="AT274" s="1696"/>
      <c r="AU274" s="1691"/>
      <c r="AV274" s="1691"/>
      <c r="AW274" s="1691"/>
      <c r="AX274" s="1696"/>
      <c r="AY274" s="1825"/>
      <c r="AZ274" s="1825"/>
      <c r="BA274" s="1825"/>
      <c r="BB274" s="1911"/>
      <c r="BC274" s="1529"/>
      <c r="BD274" s="1529"/>
      <c r="BE274" s="1529"/>
      <c r="BF274" s="1529"/>
      <c r="BG274" s="1529"/>
      <c r="BH274" s="1529"/>
      <c r="BI274" s="1529"/>
      <c r="BJ274" s="1529"/>
      <c r="BK274" s="1529"/>
      <c r="BL274" s="1529"/>
      <c r="BM274" s="1529"/>
      <c r="BN274" s="1529"/>
      <c r="BO274" s="1529"/>
      <c r="BP274" s="1529"/>
      <c r="BQ274" s="1529"/>
      <c r="BR274" s="1476"/>
      <c r="BS274" s="1477"/>
      <c r="BV274" s="1444"/>
      <c r="BW274" s="1443"/>
      <c r="BX274" s="1443"/>
      <c r="BY274" s="1443"/>
    </row>
    <row r="275" spans="2:79" ht="12.75" customHeight="1">
      <c r="B275" s="1549"/>
      <c r="C275" s="1773" t="s">
        <v>833</v>
      </c>
      <c r="D275" s="1729"/>
      <c r="E275" s="1729"/>
      <c r="F275" s="1731"/>
      <c r="G275" s="1716"/>
      <c r="H275" s="1712"/>
      <c r="I275" s="1712"/>
      <c r="J275" s="1717"/>
      <c r="K275" s="1716"/>
      <c r="L275" s="1713"/>
      <c r="M275" s="1713"/>
      <c r="N275" s="1715"/>
      <c r="O275" s="1714"/>
      <c r="P275" s="1713"/>
      <c r="Q275" s="1713"/>
      <c r="R275" s="1715"/>
      <c r="S275" s="1714">
        <v>0</v>
      </c>
      <c r="T275" s="1713">
        <v>0</v>
      </c>
      <c r="U275" s="1713">
        <v>0</v>
      </c>
      <c r="V275" s="1715">
        <v>0</v>
      </c>
      <c r="W275" s="1680">
        <v>0</v>
      </c>
      <c r="X275" s="1680">
        <v>0</v>
      </c>
      <c r="Y275" s="1680">
        <v>0</v>
      </c>
      <c r="Z275" s="1681">
        <v>0</v>
      </c>
      <c r="AA275" s="1680">
        <v>0</v>
      </c>
      <c r="AB275" s="1680">
        <v>0</v>
      </c>
      <c r="AC275" s="1680">
        <v>0</v>
      </c>
      <c r="AD275" s="1681">
        <v>0</v>
      </c>
      <c r="AE275" s="1680">
        <v>0</v>
      </c>
      <c r="AF275" s="1680">
        <v>0</v>
      </c>
      <c r="AG275" s="1680">
        <v>0</v>
      </c>
      <c r="AH275" s="1681">
        <v>0</v>
      </c>
      <c r="AI275" s="1680">
        <v>0</v>
      </c>
      <c r="AJ275" s="1680">
        <v>0</v>
      </c>
      <c r="AK275" s="1680">
        <v>0</v>
      </c>
      <c r="AL275" s="1681">
        <v>0</v>
      </c>
      <c r="AM275" s="1680">
        <v>0</v>
      </c>
      <c r="AN275" s="1680">
        <v>0</v>
      </c>
      <c r="AO275" s="1680">
        <v>0</v>
      </c>
      <c r="AP275" s="1681">
        <v>0</v>
      </c>
      <c r="AQ275" s="1680">
        <v>0</v>
      </c>
      <c r="AR275" s="1680">
        <v>0</v>
      </c>
      <c r="AS275" s="1680">
        <v>0</v>
      </c>
      <c r="AT275" s="1681">
        <v>0</v>
      </c>
      <c r="AU275" s="1680">
        <v>0</v>
      </c>
      <c r="AV275" s="1680">
        <v>0</v>
      </c>
      <c r="AW275" s="1680">
        <v>0</v>
      </c>
      <c r="AX275" s="1681">
        <v>0</v>
      </c>
      <c r="AY275" s="1825">
        <v>0</v>
      </c>
      <c r="AZ275" s="1825">
        <v>0</v>
      </c>
      <c r="BA275" s="1825">
        <v>0</v>
      </c>
      <c r="BB275" s="1911">
        <v>0</v>
      </c>
      <c r="BC275" s="1529"/>
      <c r="BD275" s="1529"/>
      <c r="BE275" s="1529"/>
      <c r="BF275" s="1529"/>
      <c r="BG275" s="1529"/>
      <c r="BH275" s="1529">
        <f t="shared" ref="BH275:BH281" si="442">AVERAGE(S275:V275)</f>
        <v>0</v>
      </c>
      <c r="BI275" s="1529">
        <f t="shared" ref="BI275:BI281" si="443">AVERAGE(W275:Z275)</f>
        <v>0</v>
      </c>
      <c r="BJ275" s="1529">
        <f t="shared" ref="BJ275:BJ281" si="444">AVERAGE(AA275:AD275)</f>
        <v>0</v>
      </c>
      <c r="BK275" s="1529">
        <f t="shared" ref="BK275:BK281" si="445">AVERAGE(AE275:AH275)</f>
        <v>0</v>
      </c>
      <c r="BL275" s="1529">
        <f t="shared" ref="BL275:BL281" si="446">AVERAGE(AI275:AL275)</f>
        <v>0</v>
      </c>
      <c r="BM275" s="1529">
        <f t="shared" ref="BM275:BM281" si="447">AVERAGE(AM275:AP275)</f>
        <v>0</v>
      </c>
      <c r="BN275" s="1529">
        <f t="shared" ref="BN275:BN281" si="448">AVERAGE(AQ275:AT275)</f>
        <v>0</v>
      </c>
      <c r="BO275" s="1529">
        <f t="shared" ref="BO275:BO281" si="449">AVERAGE(AU275:AX275)</f>
        <v>0</v>
      </c>
      <c r="BP275" s="1529">
        <f t="shared" ref="BP275:BP281" si="450">AVERAGE(AY275:BB275)</f>
        <v>0</v>
      </c>
      <c r="BQ275" s="1529"/>
      <c r="BR275" s="1476"/>
      <c r="BS275" s="1477"/>
      <c r="BV275" s="1444"/>
      <c r="BW275" s="1443"/>
      <c r="BX275" s="1443"/>
      <c r="BY275" s="1443"/>
    </row>
    <row r="276" spans="2:79" ht="12.75" customHeight="1">
      <c r="B276" s="1549"/>
      <c r="C276" s="1773" t="s">
        <v>834</v>
      </c>
      <c r="D276" s="1729"/>
      <c r="E276" s="1729"/>
      <c r="F276" s="1731"/>
      <c r="G276" s="1716"/>
      <c r="H276" s="1712"/>
      <c r="I276" s="1712"/>
      <c r="J276" s="1717"/>
      <c r="K276" s="1716"/>
      <c r="L276" s="1713"/>
      <c r="M276" s="1713"/>
      <c r="N276" s="1715"/>
      <c r="O276" s="1714"/>
      <c r="P276" s="1713"/>
      <c r="Q276" s="1713"/>
      <c r="R276" s="1715"/>
      <c r="S276" s="1714">
        <v>1.97</v>
      </c>
      <c r="T276" s="1713">
        <v>1.97</v>
      </c>
      <c r="U276" s="1713">
        <v>1.97</v>
      </c>
      <c r="V276" s="1715">
        <v>1.97</v>
      </c>
      <c r="W276" s="1680">
        <v>4</v>
      </c>
      <c r="X276" s="1680">
        <v>4</v>
      </c>
      <c r="Y276" s="1680">
        <v>4</v>
      </c>
      <c r="Z276" s="1681">
        <v>4</v>
      </c>
      <c r="AA276" s="1680">
        <v>6</v>
      </c>
      <c r="AB276" s="1680">
        <v>6</v>
      </c>
      <c r="AC276" s="1680">
        <v>6</v>
      </c>
      <c r="AD276" s="1681">
        <v>6</v>
      </c>
      <c r="AE276" s="1680">
        <v>8</v>
      </c>
      <c r="AF276" s="1680">
        <v>8</v>
      </c>
      <c r="AG276" s="1680">
        <v>8</v>
      </c>
      <c r="AH276" s="1681">
        <v>8</v>
      </c>
      <c r="AI276" s="1680">
        <v>10</v>
      </c>
      <c r="AJ276" s="1680">
        <v>10</v>
      </c>
      <c r="AK276" s="1680">
        <v>10</v>
      </c>
      <c r="AL276" s="1681">
        <v>10</v>
      </c>
      <c r="AM276" s="1680">
        <v>10</v>
      </c>
      <c r="AN276" s="1680">
        <v>10</v>
      </c>
      <c r="AO276" s="1680">
        <v>10</v>
      </c>
      <c r="AP276" s="1681">
        <v>10</v>
      </c>
      <c r="AQ276" s="1680">
        <v>10</v>
      </c>
      <c r="AR276" s="1680">
        <v>10</v>
      </c>
      <c r="AS276" s="1680">
        <v>10</v>
      </c>
      <c r="AT276" s="1681">
        <v>10</v>
      </c>
      <c r="AU276" s="1680">
        <v>10</v>
      </c>
      <c r="AV276" s="1680">
        <v>10</v>
      </c>
      <c r="AW276" s="1680">
        <v>10</v>
      </c>
      <c r="AX276" s="1681">
        <v>10</v>
      </c>
      <c r="AY276" s="1825">
        <v>10</v>
      </c>
      <c r="AZ276" s="1825">
        <v>10</v>
      </c>
      <c r="BA276" s="1825">
        <v>10</v>
      </c>
      <c r="BB276" s="1911">
        <v>10</v>
      </c>
      <c r="BC276" s="1529"/>
      <c r="BD276" s="1529"/>
      <c r="BE276" s="1529"/>
      <c r="BF276" s="1529"/>
      <c r="BG276" s="1529"/>
      <c r="BH276" s="1529">
        <f t="shared" si="442"/>
        <v>1.97</v>
      </c>
      <c r="BI276" s="1529">
        <f t="shared" si="443"/>
        <v>4</v>
      </c>
      <c r="BJ276" s="1529">
        <f t="shared" si="444"/>
        <v>6</v>
      </c>
      <c r="BK276" s="1529">
        <f t="shared" si="445"/>
        <v>8</v>
      </c>
      <c r="BL276" s="1529">
        <f t="shared" si="446"/>
        <v>10</v>
      </c>
      <c r="BM276" s="1529">
        <f t="shared" si="447"/>
        <v>10</v>
      </c>
      <c r="BN276" s="1529">
        <f t="shared" si="448"/>
        <v>10</v>
      </c>
      <c r="BO276" s="1529">
        <f t="shared" si="449"/>
        <v>10</v>
      </c>
      <c r="BP276" s="1529">
        <f t="shared" si="450"/>
        <v>10</v>
      </c>
      <c r="BQ276" s="1529"/>
      <c r="BR276" s="1476"/>
      <c r="BS276" s="1477"/>
      <c r="BV276" s="1444"/>
      <c r="BW276" s="1443"/>
      <c r="BX276" s="1443"/>
      <c r="BY276" s="1443"/>
    </row>
    <row r="277" spans="2:79" ht="12.75" customHeight="1">
      <c r="B277" s="1554"/>
      <c r="C277" s="1773" t="s">
        <v>835</v>
      </c>
      <c r="D277" s="1729"/>
      <c r="E277" s="1729"/>
      <c r="F277" s="1731"/>
      <c r="G277" s="1716"/>
      <c r="H277" s="1712"/>
      <c r="I277" s="1712"/>
      <c r="J277" s="1717"/>
      <c r="K277" s="1716"/>
      <c r="L277" s="1713"/>
      <c r="M277" s="1713"/>
      <c r="N277" s="1715"/>
      <c r="O277" s="1714"/>
      <c r="P277" s="1713"/>
      <c r="Q277" s="1713"/>
      <c r="R277" s="1715"/>
      <c r="S277" s="1714">
        <v>0</v>
      </c>
      <c r="T277" s="1713">
        <v>0</v>
      </c>
      <c r="U277" s="1713">
        <v>0</v>
      </c>
      <c r="V277" s="1715">
        <v>0</v>
      </c>
      <c r="W277" s="1680">
        <v>0</v>
      </c>
      <c r="X277" s="1680">
        <v>0</v>
      </c>
      <c r="Y277" s="1680">
        <v>0</v>
      </c>
      <c r="Z277" s="1681">
        <v>0</v>
      </c>
      <c r="AA277" s="1680">
        <v>0</v>
      </c>
      <c r="AB277" s="1680">
        <v>0</v>
      </c>
      <c r="AC277" s="1680">
        <v>0</v>
      </c>
      <c r="AD277" s="1681">
        <v>0</v>
      </c>
      <c r="AE277" s="1680">
        <v>0</v>
      </c>
      <c r="AF277" s="1680">
        <v>0</v>
      </c>
      <c r="AG277" s="1680">
        <v>0</v>
      </c>
      <c r="AH277" s="1681">
        <v>0</v>
      </c>
      <c r="AI277" s="1680">
        <v>0</v>
      </c>
      <c r="AJ277" s="1680">
        <v>0</v>
      </c>
      <c r="AK277" s="1680">
        <v>0</v>
      </c>
      <c r="AL277" s="1681">
        <v>0</v>
      </c>
      <c r="AM277" s="1680">
        <v>0</v>
      </c>
      <c r="AN277" s="1680">
        <v>0</v>
      </c>
      <c r="AO277" s="1680">
        <v>0</v>
      </c>
      <c r="AP277" s="1681">
        <v>0</v>
      </c>
      <c r="AQ277" s="1680">
        <v>0</v>
      </c>
      <c r="AR277" s="1680">
        <v>0</v>
      </c>
      <c r="AS277" s="1680">
        <v>0</v>
      </c>
      <c r="AT277" s="1681">
        <v>0</v>
      </c>
      <c r="AU277" s="1680">
        <v>0</v>
      </c>
      <c r="AV277" s="1680">
        <v>0</v>
      </c>
      <c r="AW277" s="1680">
        <v>0</v>
      </c>
      <c r="AX277" s="1681">
        <v>0</v>
      </c>
      <c r="AY277" s="1825">
        <v>0</v>
      </c>
      <c r="AZ277" s="1825">
        <v>0</v>
      </c>
      <c r="BA277" s="1825">
        <v>0</v>
      </c>
      <c r="BB277" s="1911">
        <v>0</v>
      </c>
      <c r="BC277" s="1529"/>
      <c r="BD277" s="1529"/>
      <c r="BE277" s="1529"/>
      <c r="BF277" s="1529"/>
      <c r="BG277" s="1529"/>
      <c r="BH277" s="1529">
        <f t="shared" si="442"/>
        <v>0</v>
      </c>
      <c r="BI277" s="1529">
        <f t="shared" si="443"/>
        <v>0</v>
      </c>
      <c r="BJ277" s="1529">
        <f t="shared" si="444"/>
        <v>0</v>
      </c>
      <c r="BK277" s="1529">
        <f t="shared" si="445"/>
        <v>0</v>
      </c>
      <c r="BL277" s="1529">
        <f t="shared" si="446"/>
        <v>0</v>
      </c>
      <c r="BM277" s="1529">
        <f t="shared" si="447"/>
        <v>0</v>
      </c>
      <c r="BN277" s="1529">
        <f t="shared" si="448"/>
        <v>0</v>
      </c>
      <c r="BO277" s="1529">
        <f t="shared" si="449"/>
        <v>0</v>
      </c>
      <c r="BP277" s="1529">
        <f t="shared" si="450"/>
        <v>0</v>
      </c>
      <c r="BQ277" s="1529"/>
      <c r="BR277" s="1476"/>
      <c r="BS277" s="1477"/>
      <c r="BV277" s="1444"/>
      <c r="BW277" s="1443"/>
      <c r="BX277" s="1443"/>
      <c r="BY277" s="1443"/>
    </row>
    <row r="278" spans="2:79" ht="12.75" customHeight="1">
      <c r="B278" s="1555"/>
      <c r="C278" s="1773" t="s">
        <v>836</v>
      </c>
      <c r="D278" s="1729"/>
      <c r="E278" s="1729"/>
      <c r="F278" s="1731"/>
      <c r="G278" s="1716"/>
      <c r="H278" s="1712"/>
      <c r="I278" s="1712"/>
      <c r="J278" s="1717"/>
      <c r="K278" s="1716"/>
      <c r="L278" s="1713"/>
      <c r="M278" s="1713"/>
      <c r="N278" s="1715"/>
      <c r="O278" s="1714"/>
      <c r="P278" s="1713"/>
      <c r="Q278" s="1713"/>
      <c r="R278" s="1715"/>
      <c r="S278" s="1714">
        <v>0</v>
      </c>
      <c r="T278" s="1713">
        <v>0</v>
      </c>
      <c r="U278" s="1713">
        <v>0</v>
      </c>
      <c r="V278" s="1715">
        <v>0</v>
      </c>
      <c r="W278" s="1680">
        <v>0</v>
      </c>
      <c r="X278" s="1680">
        <v>0</v>
      </c>
      <c r="Y278" s="1680">
        <v>0</v>
      </c>
      <c r="Z278" s="1681">
        <v>0</v>
      </c>
      <c r="AA278" s="1680">
        <v>0</v>
      </c>
      <c r="AB278" s="1680">
        <v>0</v>
      </c>
      <c r="AC278" s="1680">
        <v>0</v>
      </c>
      <c r="AD278" s="1681">
        <v>0</v>
      </c>
      <c r="AE278" s="1680">
        <v>0</v>
      </c>
      <c r="AF278" s="1680">
        <v>0</v>
      </c>
      <c r="AG278" s="1680">
        <v>0</v>
      </c>
      <c r="AH278" s="1681">
        <v>0</v>
      </c>
      <c r="AI278" s="1680">
        <v>0</v>
      </c>
      <c r="AJ278" s="1680">
        <v>0</v>
      </c>
      <c r="AK278" s="1680">
        <v>0</v>
      </c>
      <c r="AL278" s="1681">
        <v>0</v>
      </c>
      <c r="AM278" s="1680">
        <v>0</v>
      </c>
      <c r="AN278" s="1680">
        <v>0</v>
      </c>
      <c r="AO278" s="1680">
        <v>0</v>
      </c>
      <c r="AP278" s="1681">
        <v>0</v>
      </c>
      <c r="AQ278" s="1680">
        <v>0</v>
      </c>
      <c r="AR278" s="1680">
        <v>0</v>
      </c>
      <c r="AS278" s="1680">
        <v>0</v>
      </c>
      <c r="AT278" s="1681">
        <v>0</v>
      </c>
      <c r="AU278" s="1680">
        <v>0</v>
      </c>
      <c r="AV278" s="1680">
        <v>0</v>
      </c>
      <c r="AW278" s="1680">
        <v>0</v>
      </c>
      <c r="AX278" s="1681">
        <v>0</v>
      </c>
      <c r="AY278" s="1825">
        <v>0</v>
      </c>
      <c r="AZ278" s="1825">
        <v>0</v>
      </c>
      <c r="BA278" s="1825">
        <v>0</v>
      </c>
      <c r="BB278" s="1911">
        <v>0</v>
      </c>
      <c r="BC278" s="1529"/>
      <c r="BD278" s="1529"/>
      <c r="BE278" s="1529"/>
      <c r="BF278" s="1529"/>
      <c r="BG278" s="1529"/>
      <c r="BH278" s="1529">
        <f t="shared" si="442"/>
        <v>0</v>
      </c>
      <c r="BI278" s="1529">
        <f t="shared" si="443"/>
        <v>0</v>
      </c>
      <c r="BJ278" s="1529">
        <f t="shared" si="444"/>
        <v>0</v>
      </c>
      <c r="BK278" s="1529">
        <f t="shared" si="445"/>
        <v>0</v>
      </c>
      <c r="BL278" s="1529">
        <f t="shared" si="446"/>
        <v>0</v>
      </c>
      <c r="BM278" s="1529">
        <f t="shared" si="447"/>
        <v>0</v>
      </c>
      <c r="BN278" s="1529">
        <f t="shared" si="448"/>
        <v>0</v>
      </c>
      <c r="BO278" s="1529">
        <f t="shared" si="449"/>
        <v>0</v>
      </c>
      <c r="BP278" s="1529">
        <f t="shared" si="450"/>
        <v>0</v>
      </c>
      <c r="BQ278" s="1529"/>
      <c r="BR278" s="1476"/>
      <c r="BS278" s="1477"/>
      <c r="BV278" s="1444"/>
      <c r="BW278" s="1443"/>
      <c r="BX278" s="1443"/>
      <c r="BY278" s="1443"/>
    </row>
    <row r="279" spans="2:79" ht="12.75" customHeight="1">
      <c r="B279" s="1555"/>
      <c r="C279" s="1773" t="s">
        <v>837</v>
      </c>
      <c r="D279" s="1729"/>
      <c r="E279" s="1729"/>
      <c r="F279" s="1731"/>
      <c r="G279" s="1716"/>
      <c r="H279" s="1712"/>
      <c r="I279" s="1712"/>
      <c r="J279" s="1717"/>
      <c r="K279" s="1716"/>
      <c r="L279" s="1713"/>
      <c r="M279" s="1713"/>
      <c r="N279" s="1715"/>
      <c r="O279" s="1714"/>
      <c r="P279" s="1713"/>
      <c r="Q279" s="1713"/>
      <c r="R279" s="1715"/>
      <c r="S279" s="1714">
        <v>0</v>
      </c>
      <c r="T279" s="1713">
        <v>0</v>
      </c>
      <c r="U279" s="1713">
        <v>0</v>
      </c>
      <c r="V279" s="1715">
        <v>0</v>
      </c>
      <c r="W279" s="1680">
        <v>0</v>
      </c>
      <c r="X279" s="1680">
        <v>0</v>
      </c>
      <c r="Y279" s="1680">
        <v>0</v>
      </c>
      <c r="Z279" s="1681">
        <v>0</v>
      </c>
      <c r="AA279" s="1680">
        <v>0</v>
      </c>
      <c r="AB279" s="1680">
        <v>0</v>
      </c>
      <c r="AC279" s="1680">
        <v>0</v>
      </c>
      <c r="AD279" s="1681">
        <v>0</v>
      </c>
      <c r="AE279" s="1680">
        <v>0</v>
      </c>
      <c r="AF279" s="1680">
        <v>0</v>
      </c>
      <c r="AG279" s="1680">
        <v>0</v>
      </c>
      <c r="AH279" s="1681">
        <v>0</v>
      </c>
      <c r="AI279" s="1680">
        <v>0</v>
      </c>
      <c r="AJ279" s="1680">
        <v>0</v>
      </c>
      <c r="AK279" s="1680">
        <v>0</v>
      </c>
      <c r="AL279" s="1681">
        <v>0</v>
      </c>
      <c r="AM279" s="1680">
        <v>0</v>
      </c>
      <c r="AN279" s="1680">
        <v>0</v>
      </c>
      <c r="AO279" s="1680">
        <v>0</v>
      </c>
      <c r="AP279" s="1681">
        <v>0</v>
      </c>
      <c r="AQ279" s="1680">
        <v>0</v>
      </c>
      <c r="AR279" s="1680">
        <v>0</v>
      </c>
      <c r="AS279" s="1680">
        <v>0</v>
      </c>
      <c r="AT279" s="1681">
        <v>0</v>
      </c>
      <c r="AU279" s="1680">
        <v>0</v>
      </c>
      <c r="AV279" s="1680">
        <v>0</v>
      </c>
      <c r="AW279" s="1680">
        <v>0</v>
      </c>
      <c r="AX279" s="1681">
        <v>0</v>
      </c>
      <c r="AY279" s="1825">
        <v>0</v>
      </c>
      <c r="AZ279" s="1825">
        <v>0</v>
      </c>
      <c r="BA279" s="1825">
        <v>0</v>
      </c>
      <c r="BB279" s="1911">
        <v>0</v>
      </c>
      <c r="BC279" s="1529"/>
      <c r="BD279" s="1529"/>
      <c r="BE279" s="1529"/>
      <c r="BF279" s="1529"/>
      <c r="BG279" s="1529"/>
      <c r="BH279" s="1529">
        <f t="shared" si="442"/>
        <v>0</v>
      </c>
      <c r="BI279" s="1529">
        <f t="shared" si="443"/>
        <v>0</v>
      </c>
      <c r="BJ279" s="1529">
        <f t="shared" si="444"/>
        <v>0</v>
      </c>
      <c r="BK279" s="1529">
        <f t="shared" si="445"/>
        <v>0</v>
      </c>
      <c r="BL279" s="1529">
        <f t="shared" si="446"/>
        <v>0</v>
      </c>
      <c r="BM279" s="1529">
        <f t="shared" si="447"/>
        <v>0</v>
      </c>
      <c r="BN279" s="1529">
        <f t="shared" si="448"/>
        <v>0</v>
      </c>
      <c r="BO279" s="1529">
        <f t="shared" si="449"/>
        <v>0</v>
      </c>
      <c r="BP279" s="1529">
        <f t="shared" si="450"/>
        <v>0</v>
      </c>
      <c r="BQ279" s="1529"/>
      <c r="BR279" s="1476"/>
      <c r="BS279" s="1477"/>
      <c r="BV279" s="1444"/>
      <c r="BW279" s="1443"/>
      <c r="BX279" s="1443"/>
      <c r="BY279" s="1443"/>
    </row>
    <row r="280" spans="2:79" ht="12.75" customHeight="1">
      <c r="B280" s="1555"/>
      <c r="C280" s="1773" t="s">
        <v>838</v>
      </c>
      <c r="D280" s="1729"/>
      <c r="E280" s="1729"/>
      <c r="F280" s="1731"/>
      <c r="G280" s="1716"/>
      <c r="H280" s="1712"/>
      <c r="I280" s="1712"/>
      <c r="J280" s="1717"/>
      <c r="K280" s="1716"/>
      <c r="L280" s="1713"/>
      <c r="M280" s="1713"/>
      <c r="N280" s="1715"/>
      <c r="O280" s="1714"/>
      <c r="P280" s="1713"/>
      <c r="Q280" s="1713"/>
      <c r="R280" s="1715"/>
      <c r="S280" s="1714">
        <v>0</v>
      </c>
      <c r="T280" s="1713">
        <v>0</v>
      </c>
      <c r="U280" s="1713">
        <v>0</v>
      </c>
      <c r="V280" s="1715">
        <v>0</v>
      </c>
      <c r="W280" s="1680">
        <v>0</v>
      </c>
      <c r="X280" s="1680">
        <v>0</v>
      </c>
      <c r="Y280" s="1680">
        <v>0</v>
      </c>
      <c r="Z280" s="1681">
        <v>0</v>
      </c>
      <c r="AA280" s="1680">
        <v>0</v>
      </c>
      <c r="AB280" s="1680">
        <v>0</v>
      </c>
      <c r="AC280" s="1680">
        <v>0</v>
      </c>
      <c r="AD280" s="1681">
        <v>0</v>
      </c>
      <c r="AE280" s="1680">
        <v>0</v>
      </c>
      <c r="AF280" s="1680">
        <v>0</v>
      </c>
      <c r="AG280" s="1680">
        <v>0</v>
      </c>
      <c r="AH280" s="1681">
        <v>0</v>
      </c>
      <c r="AI280" s="1680">
        <v>0</v>
      </c>
      <c r="AJ280" s="1680">
        <v>0</v>
      </c>
      <c r="AK280" s="1680">
        <v>0</v>
      </c>
      <c r="AL280" s="1681">
        <v>0</v>
      </c>
      <c r="AM280" s="1680">
        <v>0</v>
      </c>
      <c r="AN280" s="1680">
        <v>0</v>
      </c>
      <c r="AO280" s="1680">
        <v>0</v>
      </c>
      <c r="AP280" s="1681">
        <v>0</v>
      </c>
      <c r="AQ280" s="1680">
        <v>0</v>
      </c>
      <c r="AR280" s="1680">
        <v>0</v>
      </c>
      <c r="AS280" s="1680">
        <v>0</v>
      </c>
      <c r="AT280" s="1681">
        <v>0</v>
      </c>
      <c r="AU280" s="1680">
        <v>0</v>
      </c>
      <c r="AV280" s="1680">
        <v>0</v>
      </c>
      <c r="AW280" s="1680">
        <v>0</v>
      </c>
      <c r="AX280" s="1681">
        <v>0</v>
      </c>
      <c r="AY280" s="1825">
        <v>0</v>
      </c>
      <c r="AZ280" s="1825">
        <v>0</v>
      </c>
      <c r="BA280" s="1825">
        <v>0</v>
      </c>
      <c r="BB280" s="1911">
        <v>0</v>
      </c>
      <c r="BC280" s="1529"/>
      <c r="BD280" s="1529"/>
      <c r="BE280" s="1529"/>
      <c r="BF280" s="1529"/>
      <c r="BG280" s="1529"/>
      <c r="BH280" s="1529">
        <f t="shared" si="442"/>
        <v>0</v>
      </c>
      <c r="BI280" s="1529">
        <f t="shared" si="443"/>
        <v>0</v>
      </c>
      <c r="BJ280" s="1529">
        <f t="shared" si="444"/>
        <v>0</v>
      </c>
      <c r="BK280" s="1529">
        <f t="shared" si="445"/>
        <v>0</v>
      </c>
      <c r="BL280" s="1529">
        <f t="shared" si="446"/>
        <v>0</v>
      </c>
      <c r="BM280" s="1529">
        <f t="shared" si="447"/>
        <v>0</v>
      </c>
      <c r="BN280" s="1529">
        <f t="shared" si="448"/>
        <v>0</v>
      </c>
      <c r="BO280" s="1529">
        <f t="shared" si="449"/>
        <v>0</v>
      </c>
      <c r="BP280" s="1529">
        <f t="shared" si="450"/>
        <v>0</v>
      </c>
      <c r="BQ280" s="1529"/>
      <c r="BR280" s="1476"/>
      <c r="BS280" s="1477"/>
      <c r="BV280" s="1444"/>
      <c r="BW280" s="1443"/>
      <c r="BX280" s="1443"/>
      <c r="BY280" s="1443"/>
    </row>
    <row r="281" spans="2:79" ht="12.75" customHeight="1">
      <c r="B281" s="1555"/>
      <c r="C281" s="1773" t="s">
        <v>839</v>
      </c>
      <c r="D281" s="1729"/>
      <c r="E281" s="1729"/>
      <c r="F281" s="1731"/>
      <c r="G281" s="1716"/>
      <c r="H281" s="1712"/>
      <c r="I281" s="1712"/>
      <c r="J281" s="1717"/>
      <c r="K281" s="1716"/>
      <c r="L281" s="1713"/>
      <c r="M281" s="1713"/>
      <c r="N281" s="1715"/>
      <c r="O281" s="1714"/>
      <c r="P281" s="1713"/>
      <c r="Q281" s="1713"/>
      <c r="R281" s="1715"/>
      <c r="S281" s="1714">
        <v>0</v>
      </c>
      <c r="T281" s="1713">
        <v>0</v>
      </c>
      <c r="U281" s="1713">
        <v>0</v>
      </c>
      <c r="V281" s="1715">
        <v>0</v>
      </c>
      <c r="W281" s="1680">
        <v>0</v>
      </c>
      <c r="X281" s="1680">
        <v>0</v>
      </c>
      <c r="Y281" s="1680">
        <v>0</v>
      </c>
      <c r="Z281" s="1681">
        <v>0</v>
      </c>
      <c r="AA281" s="1680">
        <v>0</v>
      </c>
      <c r="AB281" s="1680">
        <v>0</v>
      </c>
      <c r="AC281" s="1680">
        <v>0</v>
      </c>
      <c r="AD281" s="1681">
        <v>0</v>
      </c>
      <c r="AE281" s="1680">
        <v>0</v>
      </c>
      <c r="AF281" s="1680">
        <v>0</v>
      </c>
      <c r="AG281" s="1680">
        <v>0</v>
      </c>
      <c r="AH281" s="1681">
        <v>0</v>
      </c>
      <c r="AI281" s="1680">
        <v>0</v>
      </c>
      <c r="AJ281" s="1680">
        <v>0</v>
      </c>
      <c r="AK281" s="1680">
        <v>0</v>
      </c>
      <c r="AL281" s="1681">
        <v>0</v>
      </c>
      <c r="AM281" s="1680">
        <v>0</v>
      </c>
      <c r="AN281" s="1680">
        <v>0</v>
      </c>
      <c r="AO281" s="1680">
        <v>0</v>
      </c>
      <c r="AP281" s="1681">
        <v>0</v>
      </c>
      <c r="AQ281" s="1680">
        <v>0</v>
      </c>
      <c r="AR281" s="1680">
        <v>0</v>
      </c>
      <c r="AS281" s="1680">
        <v>0</v>
      </c>
      <c r="AT281" s="1681">
        <v>0</v>
      </c>
      <c r="AU281" s="1680">
        <v>0</v>
      </c>
      <c r="AV281" s="1680">
        <v>0</v>
      </c>
      <c r="AW281" s="1680">
        <v>0</v>
      </c>
      <c r="AX281" s="1681">
        <v>0</v>
      </c>
      <c r="AY281" s="1825">
        <v>0</v>
      </c>
      <c r="AZ281" s="1825">
        <v>0</v>
      </c>
      <c r="BA281" s="1825">
        <v>0</v>
      </c>
      <c r="BB281" s="1911">
        <v>0</v>
      </c>
      <c r="BC281" s="1529"/>
      <c r="BD281" s="1529"/>
      <c r="BE281" s="1529"/>
      <c r="BF281" s="1529"/>
      <c r="BG281" s="1529"/>
      <c r="BH281" s="1529">
        <f t="shared" si="442"/>
        <v>0</v>
      </c>
      <c r="BI281" s="1529">
        <f t="shared" si="443"/>
        <v>0</v>
      </c>
      <c r="BJ281" s="1529">
        <f t="shared" si="444"/>
        <v>0</v>
      </c>
      <c r="BK281" s="1529">
        <f t="shared" si="445"/>
        <v>0</v>
      </c>
      <c r="BL281" s="1529">
        <f t="shared" si="446"/>
        <v>0</v>
      </c>
      <c r="BM281" s="1529">
        <f t="shared" si="447"/>
        <v>0</v>
      </c>
      <c r="BN281" s="1529">
        <f t="shared" si="448"/>
        <v>0</v>
      </c>
      <c r="BO281" s="1529">
        <f t="shared" si="449"/>
        <v>0</v>
      </c>
      <c r="BP281" s="1529">
        <f t="shared" si="450"/>
        <v>0</v>
      </c>
      <c r="BQ281" s="1529"/>
      <c r="BR281" s="1476"/>
      <c r="BS281" s="1477"/>
      <c r="BV281" s="1444"/>
      <c r="BW281" s="1443"/>
      <c r="BX281" s="1443"/>
      <c r="BY281" s="1443"/>
    </row>
    <row r="282" spans="2:79" ht="12.75" customHeight="1">
      <c r="B282" s="1555"/>
      <c r="C282" s="1778"/>
      <c r="D282" s="1540"/>
      <c r="E282" s="1540"/>
      <c r="F282" s="1488"/>
      <c r="G282" s="1551"/>
      <c r="H282" s="1552"/>
      <c r="I282" s="1552"/>
      <c r="J282" s="1553"/>
      <c r="K282" s="1556"/>
      <c r="L282" s="1552"/>
      <c r="M282" s="1552"/>
      <c r="N282" s="1553"/>
      <c r="O282" s="1551"/>
      <c r="P282" s="1552"/>
      <c r="Q282" s="1552"/>
      <c r="R282" s="1553"/>
      <c r="S282" s="1551"/>
      <c r="T282" s="1552"/>
      <c r="U282" s="1552"/>
      <c r="V282" s="1553"/>
      <c r="W282" s="1552"/>
      <c r="X282" s="1552"/>
      <c r="Y282" s="1552"/>
      <c r="Z282" s="1553"/>
      <c r="AA282" s="1552"/>
      <c r="AB282" s="1552"/>
      <c r="AC282" s="1552"/>
      <c r="AD282" s="1553"/>
      <c r="AE282" s="1552"/>
      <c r="AF282" s="1552"/>
      <c r="AG282" s="1552"/>
      <c r="AH282" s="1553"/>
      <c r="AI282" s="1552"/>
      <c r="AJ282" s="1552"/>
      <c r="AK282" s="1552"/>
      <c r="AL282" s="1553"/>
      <c r="AM282" s="1552"/>
      <c r="AN282" s="1552"/>
      <c r="AO282" s="1552"/>
      <c r="AP282" s="1553"/>
      <c r="AQ282" s="1552"/>
      <c r="AR282" s="1552"/>
      <c r="AS282" s="1552"/>
      <c r="AT282" s="1553"/>
      <c r="AU282" s="1552"/>
      <c r="AV282" s="1552"/>
      <c r="AW282" s="1552"/>
      <c r="AX282" s="1553"/>
      <c r="AY282" s="1552"/>
      <c r="AZ282" s="1552"/>
      <c r="BA282" s="1552"/>
      <c r="BB282" s="1779"/>
      <c r="BC282" s="1531"/>
      <c r="BD282" s="1531"/>
      <c r="BE282" s="1531"/>
      <c r="BF282" s="1531"/>
      <c r="BG282" s="1531"/>
      <c r="BH282" s="1531"/>
      <c r="BI282" s="1531"/>
      <c r="BJ282" s="1531"/>
      <c r="BK282" s="1531"/>
      <c r="BL282" s="1531"/>
      <c r="BM282" s="1531"/>
      <c r="BN282" s="1531"/>
      <c r="BO282" s="1531"/>
      <c r="BP282" s="1531"/>
      <c r="BQ282" s="1531"/>
      <c r="BR282" s="1476"/>
      <c r="BS282" s="1477"/>
      <c r="BV282" s="1444"/>
      <c r="BW282" s="1443"/>
      <c r="BX282" s="1443"/>
      <c r="BY282" s="1443"/>
    </row>
    <row r="283" spans="2:79" ht="12.75" customHeight="1">
      <c r="B283" s="1557"/>
      <c r="C283" s="1778"/>
      <c r="D283" s="1540"/>
      <c r="E283" s="1540"/>
      <c r="F283" s="1510"/>
      <c r="G283" s="1479"/>
      <c r="H283" s="1480"/>
      <c r="I283" s="1480"/>
      <c r="J283" s="1481"/>
      <c r="K283" s="1533"/>
      <c r="L283" s="1480"/>
      <c r="M283" s="1480"/>
      <c r="N283" s="1481"/>
      <c r="O283" s="1479"/>
      <c r="P283" s="1480"/>
      <c r="Q283" s="1480"/>
      <c r="R283" s="1481"/>
      <c r="S283" s="1479"/>
      <c r="T283" s="1480"/>
      <c r="U283" s="1480"/>
      <c r="V283" s="1481"/>
      <c r="W283" s="1480"/>
      <c r="X283" s="1480"/>
      <c r="Y283" s="1480"/>
      <c r="Z283" s="1481"/>
      <c r="AA283" s="1480"/>
      <c r="AB283" s="1480"/>
      <c r="AC283" s="1480"/>
      <c r="AD283" s="1481"/>
      <c r="AE283" s="1480"/>
      <c r="AF283" s="1480"/>
      <c r="AG283" s="1480"/>
      <c r="AH283" s="1481"/>
      <c r="AI283" s="1480"/>
      <c r="AJ283" s="1480"/>
      <c r="AK283" s="1480"/>
      <c r="AL283" s="1481"/>
      <c r="AM283" s="1480"/>
      <c r="AN283" s="1480"/>
      <c r="AO283" s="1480"/>
      <c r="AP283" s="1481"/>
      <c r="AQ283" s="1480"/>
      <c r="AR283" s="1480"/>
      <c r="AS283" s="1480"/>
      <c r="AT283" s="1481"/>
      <c r="AU283" s="1480"/>
      <c r="AV283" s="1480"/>
      <c r="AW283" s="1480"/>
      <c r="AX283" s="1481"/>
      <c r="AY283" s="1480"/>
      <c r="AZ283" s="1480"/>
      <c r="BA283" s="1480"/>
      <c r="BB283" s="1780"/>
      <c r="BC283" s="1534"/>
      <c r="BD283" s="1534"/>
      <c r="BE283" s="1534"/>
      <c r="BF283" s="1534"/>
      <c r="BG283" s="1534"/>
      <c r="BH283" s="1534"/>
      <c r="BI283" s="1534"/>
      <c r="BJ283" s="1534"/>
      <c r="BK283" s="1534"/>
      <c r="BL283" s="1534"/>
      <c r="BM283" s="1534"/>
      <c r="BN283" s="1534"/>
      <c r="BO283" s="1534"/>
      <c r="BP283" s="1534"/>
      <c r="BQ283" s="1534"/>
      <c r="BR283" s="1476"/>
      <c r="BS283" s="1511"/>
      <c r="BV283" s="1444"/>
      <c r="BW283" s="1443"/>
      <c r="BX283" s="1443"/>
      <c r="BY283" s="1443"/>
    </row>
    <row r="284" spans="2:79" ht="12.75" customHeight="1">
      <c r="B284" s="1558"/>
      <c r="C284" s="1781"/>
      <c r="D284" s="1535"/>
      <c r="E284" s="1535"/>
      <c r="F284" s="1537"/>
      <c r="G284" s="1533"/>
      <c r="H284" s="1538"/>
      <c r="I284" s="1538"/>
      <c r="J284" s="1539"/>
      <c r="K284" s="1538"/>
      <c r="L284" s="1538"/>
      <c r="M284" s="1538"/>
      <c r="N284" s="1539"/>
      <c r="O284" s="1533"/>
      <c r="P284" s="1538"/>
      <c r="Q284" s="1538"/>
      <c r="R284" s="1539"/>
      <c r="S284" s="1533"/>
      <c r="T284" s="1538"/>
      <c r="U284" s="1538"/>
      <c r="V284" s="1539"/>
      <c r="W284" s="1538"/>
      <c r="X284" s="1538"/>
      <c r="Y284" s="1538"/>
      <c r="Z284" s="1539"/>
      <c r="AA284" s="1538"/>
      <c r="AB284" s="1538"/>
      <c r="AC284" s="1538"/>
      <c r="AD284" s="1539"/>
      <c r="AE284" s="1538"/>
      <c r="AF284" s="1538"/>
      <c r="AG284" s="1538"/>
      <c r="AH284" s="1539"/>
      <c r="AI284" s="1538"/>
      <c r="AJ284" s="1538"/>
      <c r="AK284" s="1538"/>
      <c r="AL284" s="1539"/>
      <c r="AM284" s="1538"/>
      <c r="AN284" s="1538"/>
      <c r="AO284" s="1538"/>
      <c r="AP284" s="1539"/>
      <c r="AQ284" s="1538"/>
      <c r="AR284" s="1538"/>
      <c r="AS284" s="1538"/>
      <c r="AT284" s="1539"/>
      <c r="AU284" s="1538"/>
      <c r="AV284" s="1538"/>
      <c r="AW284" s="1538"/>
      <c r="AX284" s="1539"/>
      <c r="AY284" s="1538"/>
      <c r="AZ284" s="1538"/>
      <c r="BA284" s="1538"/>
      <c r="BB284" s="1782"/>
      <c r="BC284" s="1540"/>
      <c r="BD284" s="1540"/>
      <c r="BE284" s="1540"/>
      <c r="BF284" s="1540"/>
      <c r="BG284" s="1540"/>
      <c r="BH284" s="1540"/>
      <c r="BI284" s="1540"/>
      <c r="BJ284" s="1540"/>
      <c r="BK284" s="1540"/>
      <c r="BL284" s="1540"/>
      <c r="BM284" s="1540"/>
      <c r="BN284" s="1540"/>
      <c r="BO284" s="1540"/>
      <c r="BP284" s="1540"/>
      <c r="BQ284" s="1540"/>
      <c r="BR284" s="1476"/>
      <c r="BS284" s="1511"/>
      <c r="BV284" s="1444"/>
      <c r="BW284" s="1443"/>
      <c r="BX284" s="1443"/>
      <c r="BY284" s="1443"/>
    </row>
    <row r="285" spans="2:79" ht="12.75" customHeight="1" thickBot="1">
      <c r="B285" s="1559"/>
      <c r="C285" s="1783"/>
      <c r="D285" s="1784"/>
      <c r="E285" s="1784"/>
      <c r="F285" s="1785"/>
      <c r="G285" s="1786"/>
      <c r="H285" s="1784"/>
      <c r="I285" s="1787"/>
      <c r="J285" s="1787"/>
      <c r="K285" s="1787"/>
      <c r="L285" s="1787"/>
      <c r="M285" s="1787"/>
      <c r="N285" s="1787"/>
      <c r="O285" s="1787"/>
      <c r="P285" s="1787"/>
      <c r="Q285" s="1787"/>
      <c r="R285" s="1787"/>
      <c r="S285" s="1786"/>
      <c r="T285" s="1787"/>
      <c r="U285" s="1787"/>
      <c r="V285" s="1787"/>
      <c r="W285" s="1787"/>
      <c r="X285" s="1787"/>
      <c r="Y285" s="1787"/>
      <c r="Z285" s="1786"/>
      <c r="AA285" s="1787"/>
      <c r="AB285" s="1787"/>
      <c r="AC285" s="1787"/>
      <c r="AD285" s="1787"/>
      <c r="AE285" s="1787"/>
      <c r="AF285" s="1787"/>
      <c r="AG285" s="1787"/>
      <c r="AH285" s="1787"/>
      <c r="AI285" s="1787"/>
      <c r="AJ285" s="1787"/>
      <c r="AK285" s="1787"/>
      <c r="AL285" s="1787"/>
      <c r="AM285" s="1787"/>
      <c r="AN285" s="1787"/>
      <c r="AO285" s="1787"/>
      <c r="AP285" s="1787"/>
      <c r="AQ285" s="1787"/>
      <c r="AR285" s="1787"/>
      <c r="AS285" s="1787"/>
      <c r="AT285" s="1787"/>
      <c r="AU285" s="1787"/>
      <c r="AV285" s="1787"/>
      <c r="AW285" s="1787"/>
      <c r="AX285" s="1787"/>
      <c r="AY285" s="1787"/>
      <c r="AZ285" s="1787"/>
      <c r="BA285" s="1787"/>
      <c r="BB285" s="1788"/>
      <c r="BC285" s="1545"/>
      <c r="BD285" s="1545"/>
      <c r="BE285" s="1545"/>
      <c r="BF285" s="1545"/>
      <c r="BG285" s="1545"/>
      <c r="BH285" s="1545"/>
      <c r="BI285" s="1545"/>
      <c r="BJ285" s="1545"/>
      <c r="BK285" s="1545"/>
      <c r="BL285" s="1545"/>
      <c r="BM285" s="1545"/>
      <c r="BN285" s="1545"/>
      <c r="BO285" s="1545"/>
      <c r="BP285" s="1545"/>
      <c r="BQ285" s="1545"/>
      <c r="BR285" s="1560"/>
      <c r="BS285" s="1511"/>
      <c r="BV285" s="1444"/>
      <c r="BW285" s="1443"/>
      <c r="BX285" s="1443"/>
      <c r="BY285" s="1443"/>
    </row>
    <row r="286" spans="2:79" ht="12.75" customHeight="1">
      <c r="G286" s="1416"/>
      <c r="H286" s="1416"/>
      <c r="I286" s="1416"/>
      <c r="J286" s="1416"/>
      <c r="BG286" s="1416"/>
      <c r="BH286" s="1416"/>
      <c r="BI286" s="1416"/>
      <c r="BJ286" s="1416"/>
      <c r="BK286" s="1416"/>
      <c r="BL286" s="1416"/>
      <c r="BM286" s="1416"/>
      <c r="BN286" s="1416"/>
      <c r="BO286" s="1416"/>
      <c r="BP286" s="1416"/>
      <c r="BQ286" s="1416"/>
      <c r="BR286" s="1416"/>
      <c r="BV286" s="1444"/>
      <c r="BW286" s="1443"/>
      <c r="BX286" s="1443"/>
      <c r="BY286" s="1443"/>
    </row>
    <row r="287" spans="2:79" ht="12.75" customHeight="1">
      <c r="B287" s="1555"/>
      <c r="C287" s="1561"/>
      <c r="D287" s="1561"/>
      <c r="E287" s="1561"/>
      <c r="F287" s="1562"/>
      <c r="G287" s="1563"/>
      <c r="H287" s="1563"/>
      <c r="I287" s="1563"/>
      <c r="J287" s="1563"/>
      <c r="K287" s="1561"/>
      <c r="L287" s="1561"/>
      <c r="M287" s="1561"/>
      <c r="N287" s="1561"/>
      <c r="O287" s="1561"/>
      <c r="P287" s="1561"/>
      <c r="Q287" s="1561"/>
      <c r="R287" s="1561"/>
      <c r="S287" s="1561"/>
      <c r="T287" s="1561"/>
      <c r="U287" s="1561"/>
      <c r="V287" s="1561"/>
      <c r="W287" s="1561"/>
      <c r="X287" s="1561"/>
      <c r="Y287" s="1561"/>
      <c r="Z287" s="1561"/>
      <c r="AA287" s="1561"/>
      <c r="AB287" s="1561"/>
      <c r="AC287" s="1561"/>
      <c r="AD287" s="1561"/>
      <c r="AE287" s="1561"/>
      <c r="AF287" s="1561"/>
      <c r="AG287" s="1561"/>
      <c r="AH287" s="1561"/>
      <c r="AI287" s="1561"/>
      <c r="AJ287" s="1561"/>
      <c r="AK287" s="1561"/>
      <c r="AL287" s="1561"/>
      <c r="AM287" s="1561"/>
      <c r="AN287" s="1561"/>
      <c r="AO287" s="1561"/>
      <c r="AP287" s="1561"/>
      <c r="AQ287" s="1561"/>
      <c r="AR287" s="1561"/>
      <c r="AS287" s="1561"/>
      <c r="AT287" s="1561"/>
      <c r="AU287" s="1561"/>
      <c r="AV287" s="1561"/>
      <c r="AW287" s="1561"/>
      <c r="AX287" s="1561"/>
      <c r="AY287" s="1561"/>
      <c r="AZ287" s="1561"/>
      <c r="BA287" s="1561"/>
      <c r="BB287" s="1561"/>
      <c r="BC287" s="1561"/>
      <c r="BD287" s="1561"/>
      <c r="BE287" s="1561"/>
      <c r="BF287" s="1561"/>
      <c r="BS287" s="1561"/>
      <c r="BT287" s="1561"/>
      <c r="BU287" s="1561"/>
      <c r="BV287" s="1444"/>
      <c r="BW287" s="1443"/>
      <c r="BX287" s="1443"/>
      <c r="BY287" s="1443"/>
      <c r="BZ287" s="1561"/>
      <c r="CA287" s="1561"/>
    </row>
    <row r="288" spans="2:79" ht="12.75" customHeight="1">
      <c r="B288" s="1555"/>
      <c r="C288" s="1561"/>
      <c r="D288" s="1561"/>
      <c r="E288" s="1561"/>
      <c r="F288" s="1562"/>
      <c r="G288" s="1563"/>
      <c r="H288" s="1563"/>
      <c r="I288" s="1563"/>
      <c r="J288" s="1563"/>
      <c r="K288" s="1561"/>
      <c r="L288" s="1561"/>
      <c r="M288" s="1561"/>
      <c r="N288" s="1561"/>
      <c r="O288" s="1561"/>
      <c r="P288" s="1561"/>
      <c r="Q288" s="1561"/>
      <c r="R288" s="1561"/>
      <c r="S288" s="1561"/>
      <c r="T288" s="1561"/>
      <c r="U288" s="1561"/>
      <c r="V288" s="1561"/>
      <c r="W288" s="1561"/>
      <c r="X288" s="1561"/>
      <c r="Y288" s="1561"/>
      <c r="Z288" s="1561"/>
      <c r="AA288" s="1561"/>
      <c r="AB288" s="1561"/>
      <c r="AC288" s="1561"/>
      <c r="AD288" s="1561"/>
      <c r="AE288" s="1561"/>
      <c r="AF288" s="1561"/>
      <c r="AG288" s="1561"/>
      <c r="AH288" s="1561"/>
      <c r="AI288" s="1561"/>
      <c r="AJ288" s="1561"/>
      <c r="AK288" s="1561"/>
      <c r="AL288" s="1561"/>
      <c r="AM288" s="1561"/>
      <c r="AN288" s="1561"/>
      <c r="AO288" s="1561"/>
      <c r="AP288" s="1561"/>
      <c r="AQ288" s="1561"/>
      <c r="AR288" s="1561"/>
      <c r="AS288" s="1561"/>
      <c r="AT288" s="1561"/>
      <c r="AU288" s="1561"/>
      <c r="AV288" s="1561"/>
      <c r="AW288" s="1561"/>
      <c r="AX288" s="1561"/>
      <c r="AY288" s="1561"/>
      <c r="AZ288" s="1561"/>
      <c r="BA288" s="1561"/>
      <c r="BB288" s="1561"/>
      <c r="BC288" s="1561"/>
      <c r="BD288" s="1561"/>
      <c r="BE288" s="1561"/>
      <c r="BF288" s="1561"/>
      <c r="BS288" s="1561"/>
      <c r="BT288" s="1561"/>
      <c r="BU288" s="1561"/>
      <c r="BV288" s="1444"/>
      <c r="BW288" s="1443"/>
      <c r="BX288" s="1443"/>
      <c r="BY288" s="1443"/>
      <c r="BZ288" s="1561"/>
      <c r="CA288" s="1561"/>
    </row>
    <row r="289" spans="2:79" ht="12.75" customHeight="1">
      <c r="B289" s="1555"/>
      <c r="C289" s="1561"/>
      <c r="D289" s="1561"/>
      <c r="E289" s="1561"/>
      <c r="F289" s="1562"/>
      <c r="G289" s="1563"/>
      <c r="H289" s="1563"/>
      <c r="I289" s="1563"/>
      <c r="J289" s="1563"/>
      <c r="K289" s="1561"/>
      <c r="L289" s="1561"/>
      <c r="M289" s="1561"/>
      <c r="N289" s="1561"/>
      <c r="O289" s="1561"/>
      <c r="P289" s="1561"/>
      <c r="Q289" s="1561"/>
      <c r="R289" s="1561"/>
      <c r="S289" s="1561"/>
      <c r="T289" s="1561"/>
      <c r="U289" s="1561"/>
      <c r="V289" s="1561"/>
      <c r="W289" s="1561"/>
      <c r="X289" s="1561"/>
      <c r="Y289" s="1561"/>
      <c r="Z289" s="1561"/>
      <c r="AA289" s="1561"/>
      <c r="AB289" s="1561"/>
      <c r="AC289" s="1561"/>
      <c r="AD289" s="1561"/>
      <c r="AE289" s="1561"/>
      <c r="AF289" s="1561"/>
      <c r="AG289" s="1561"/>
      <c r="AH289" s="1561"/>
      <c r="AI289" s="1561"/>
      <c r="AJ289" s="1561"/>
      <c r="AK289" s="1561"/>
      <c r="AL289" s="1561"/>
      <c r="AM289" s="1561"/>
      <c r="AN289" s="1561"/>
      <c r="AO289" s="1561"/>
      <c r="AP289" s="1561"/>
      <c r="AQ289" s="1561"/>
      <c r="AR289" s="1561"/>
      <c r="AS289" s="1561"/>
      <c r="AT289" s="1561"/>
      <c r="AU289" s="1561"/>
      <c r="AV289" s="1561"/>
      <c r="AW289" s="1561"/>
      <c r="AX289" s="1561"/>
      <c r="AY289" s="1561"/>
      <c r="AZ289" s="1561"/>
      <c r="BA289" s="1561"/>
      <c r="BB289" s="1561"/>
      <c r="BC289" s="1561"/>
      <c r="BD289" s="1561"/>
      <c r="BE289" s="1561"/>
      <c r="BF289" s="1561"/>
      <c r="BS289" s="1561"/>
      <c r="BT289" s="1561"/>
      <c r="BU289" s="1561"/>
      <c r="BV289" s="1444"/>
      <c r="BW289" s="1443"/>
      <c r="BX289" s="1443"/>
      <c r="BY289" s="1443"/>
      <c r="BZ289" s="1561"/>
      <c r="CA289" s="1561"/>
    </row>
    <row r="290" spans="2:79" ht="12.75" customHeight="1">
      <c r="B290" s="1555"/>
      <c r="C290" s="1561"/>
      <c r="D290" s="1561"/>
      <c r="E290" s="1561"/>
      <c r="F290" s="1562"/>
      <c r="G290" s="1563"/>
      <c r="H290" s="1563"/>
      <c r="I290" s="1563"/>
      <c r="J290" s="1563"/>
      <c r="K290" s="1561"/>
      <c r="L290" s="1561"/>
      <c r="M290" s="1561"/>
      <c r="N290" s="1561"/>
      <c r="O290" s="1561"/>
      <c r="P290" s="1561"/>
      <c r="Q290" s="1561"/>
      <c r="R290" s="1561"/>
      <c r="S290" s="1561"/>
      <c r="T290" s="1561"/>
      <c r="U290" s="1561"/>
      <c r="V290" s="1561"/>
      <c r="W290" s="1561"/>
      <c r="X290" s="1561"/>
      <c r="Y290" s="1561"/>
      <c r="Z290" s="1561"/>
      <c r="AA290" s="1561"/>
      <c r="AB290" s="1561"/>
      <c r="AC290" s="1561"/>
      <c r="AD290" s="1561"/>
      <c r="AE290" s="1561"/>
      <c r="AF290" s="1561"/>
      <c r="AG290" s="1561"/>
      <c r="AH290" s="1561"/>
      <c r="AI290" s="1561"/>
      <c r="AJ290" s="1561"/>
      <c r="AK290" s="1561"/>
      <c r="AL290" s="1561"/>
      <c r="AM290" s="1561"/>
      <c r="AN290" s="1561"/>
      <c r="AO290" s="1561"/>
      <c r="AP290" s="1561"/>
      <c r="AQ290" s="1561"/>
      <c r="AR290" s="1561"/>
      <c r="AS290" s="1561"/>
      <c r="AT290" s="1561"/>
      <c r="AU290" s="1561"/>
      <c r="AV290" s="1561"/>
      <c r="AW290" s="1561"/>
      <c r="AX290" s="1561"/>
      <c r="AY290" s="1561"/>
      <c r="AZ290" s="1561"/>
      <c r="BA290" s="1561"/>
      <c r="BB290" s="1561"/>
      <c r="BC290" s="1561"/>
      <c r="BD290" s="1561"/>
      <c r="BE290" s="1561"/>
      <c r="BF290" s="1561"/>
      <c r="BS290" s="1561"/>
      <c r="BT290" s="1561"/>
      <c r="BU290" s="1561"/>
      <c r="BV290" s="1444"/>
      <c r="BW290" s="1443"/>
      <c r="BX290" s="1443"/>
      <c r="BY290" s="1443"/>
      <c r="BZ290" s="1561"/>
      <c r="CA290" s="1561"/>
    </row>
    <row r="291" spans="2:79" ht="12.75" customHeight="1">
      <c r="B291" s="1555"/>
      <c r="C291" s="1561"/>
      <c r="D291" s="1561"/>
      <c r="E291" s="1561"/>
      <c r="F291" s="1562"/>
      <c r="G291" s="1563"/>
      <c r="H291" s="1563"/>
      <c r="I291" s="1563"/>
      <c r="J291" s="1563"/>
      <c r="K291" s="1561"/>
      <c r="L291" s="1561"/>
      <c r="M291" s="1561"/>
      <c r="N291" s="1561"/>
      <c r="O291" s="1561"/>
      <c r="P291" s="1561"/>
      <c r="Q291" s="1561"/>
      <c r="R291" s="1561"/>
      <c r="S291" s="1561"/>
      <c r="T291" s="1561"/>
      <c r="U291" s="1561"/>
      <c r="V291" s="1561"/>
      <c r="W291" s="1561"/>
      <c r="X291" s="1561"/>
      <c r="Y291" s="1561"/>
      <c r="Z291" s="1561"/>
      <c r="AA291" s="1561"/>
      <c r="AB291" s="1561"/>
      <c r="AC291" s="1561"/>
      <c r="AD291" s="1561"/>
      <c r="AE291" s="1561"/>
      <c r="AF291" s="1561"/>
      <c r="AG291" s="1561"/>
      <c r="AH291" s="1561"/>
      <c r="AI291" s="1561"/>
      <c r="AJ291" s="1561"/>
      <c r="AK291" s="1561"/>
      <c r="AL291" s="1561"/>
      <c r="AM291" s="1561"/>
      <c r="AN291" s="1561"/>
      <c r="AO291" s="1561"/>
      <c r="AP291" s="1561"/>
      <c r="AQ291" s="1561"/>
      <c r="AR291" s="1561"/>
      <c r="AS291" s="1561"/>
      <c r="AT291" s="1561"/>
      <c r="AU291" s="1561"/>
      <c r="AV291" s="1561"/>
      <c r="AW291" s="1561"/>
      <c r="AX291" s="1561"/>
      <c r="AY291" s="1561"/>
      <c r="AZ291" s="1561"/>
      <c r="BA291" s="1561"/>
      <c r="BB291" s="1561"/>
      <c r="BC291" s="1561"/>
      <c r="BD291" s="1561"/>
      <c r="BE291" s="1561"/>
      <c r="BF291" s="1561"/>
      <c r="BS291" s="1561"/>
      <c r="BT291" s="1561"/>
      <c r="BU291" s="1561"/>
      <c r="BV291" s="1444"/>
      <c r="BW291" s="1443"/>
      <c r="BX291" s="1443"/>
      <c r="BY291" s="1443"/>
      <c r="BZ291" s="1561"/>
      <c r="CA291" s="1561"/>
    </row>
    <row r="292" spans="2:79" ht="12.75" customHeight="1">
      <c r="B292" s="1555"/>
      <c r="C292" s="1561"/>
      <c r="D292" s="1561"/>
      <c r="E292" s="1561"/>
      <c r="F292" s="1562"/>
      <c r="G292" s="1563"/>
      <c r="H292" s="1563"/>
      <c r="I292" s="1563"/>
      <c r="J292" s="1563"/>
      <c r="K292" s="1561"/>
      <c r="L292" s="1561"/>
      <c r="M292" s="1561"/>
      <c r="N292" s="1561"/>
      <c r="O292" s="1561"/>
      <c r="P292" s="1561"/>
      <c r="Q292" s="1561"/>
      <c r="R292" s="1561"/>
      <c r="S292" s="1561"/>
      <c r="T292" s="1561"/>
      <c r="U292" s="1561"/>
      <c r="V292" s="1561"/>
      <c r="W292" s="1561"/>
      <c r="X292" s="1561"/>
      <c r="Y292" s="1561"/>
      <c r="Z292" s="1561"/>
      <c r="AA292" s="1561"/>
      <c r="AB292" s="1561"/>
      <c r="AC292" s="1561"/>
      <c r="AD292" s="1561"/>
      <c r="AE292" s="1561"/>
      <c r="AF292" s="1561"/>
      <c r="AG292" s="1561"/>
      <c r="AH292" s="1561"/>
      <c r="AI292" s="1561"/>
      <c r="AJ292" s="1561"/>
      <c r="AK292" s="1561"/>
      <c r="AL292" s="1561"/>
      <c r="AM292" s="1561"/>
      <c r="AN292" s="1561"/>
      <c r="AO292" s="1561"/>
      <c r="AP292" s="1561"/>
      <c r="AQ292" s="1561"/>
      <c r="AR292" s="1561"/>
      <c r="AS292" s="1561"/>
      <c r="AT292" s="1561"/>
      <c r="AU292" s="1561"/>
      <c r="AV292" s="1561"/>
      <c r="AW292" s="1561"/>
      <c r="AX292" s="1561"/>
      <c r="AY292" s="1561"/>
      <c r="AZ292" s="1561"/>
      <c r="BA292" s="1561"/>
      <c r="BB292" s="1561"/>
      <c r="BC292" s="1561"/>
      <c r="BD292" s="1561"/>
      <c r="BE292" s="1561"/>
      <c r="BF292" s="1561"/>
      <c r="BS292" s="1561"/>
      <c r="BT292" s="1561"/>
      <c r="BU292" s="1561"/>
      <c r="BV292" s="1444"/>
      <c r="BW292" s="1443"/>
      <c r="BX292" s="1443"/>
      <c r="BY292" s="1443"/>
      <c r="BZ292" s="1561"/>
      <c r="CA292" s="1561"/>
    </row>
    <row r="293" spans="2:79" ht="12.75" customHeight="1">
      <c r="B293" s="1555"/>
      <c r="C293" s="1561"/>
      <c r="D293" s="1561"/>
      <c r="E293" s="1561"/>
      <c r="F293" s="1562"/>
      <c r="G293" s="1563"/>
      <c r="H293" s="1563"/>
      <c r="I293" s="1563"/>
      <c r="J293" s="1563"/>
      <c r="K293" s="1561"/>
      <c r="L293" s="1561"/>
      <c r="M293" s="1561"/>
      <c r="N293" s="1561"/>
      <c r="O293" s="1561"/>
      <c r="P293" s="1561"/>
      <c r="Q293" s="1561"/>
      <c r="R293" s="1561"/>
      <c r="S293" s="1561"/>
      <c r="T293" s="1561"/>
      <c r="U293" s="1561"/>
      <c r="V293" s="1561"/>
      <c r="W293" s="1561"/>
      <c r="X293" s="1561"/>
      <c r="Y293" s="1561"/>
      <c r="Z293" s="1561"/>
      <c r="AA293" s="1561"/>
      <c r="AB293" s="1561"/>
      <c r="AC293" s="1561"/>
      <c r="AD293" s="1561"/>
      <c r="AE293" s="1561"/>
      <c r="AF293" s="1561"/>
      <c r="AG293" s="1561"/>
      <c r="AH293" s="1561"/>
      <c r="AI293" s="1561"/>
      <c r="AJ293" s="1561"/>
      <c r="AK293" s="1561"/>
      <c r="AL293" s="1561"/>
      <c r="AM293" s="1561"/>
      <c r="AN293" s="1561"/>
      <c r="AO293" s="1561"/>
      <c r="AP293" s="1561"/>
      <c r="AQ293" s="1561"/>
      <c r="AR293" s="1561"/>
      <c r="AS293" s="1561"/>
      <c r="AT293" s="1561"/>
      <c r="AU293" s="1561"/>
      <c r="AV293" s="1561"/>
      <c r="AW293" s="1561"/>
      <c r="AX293" s="1561"/>
      <c r="AY293" s="1561"/>
      <c r="AZ293" s="1561"/>
      <c r="BA293" s="1561"/>
      <c r="BB293" s="1561"/>
      <c r="BC293" s="1561"/>
      <c r="BD293" s="1561"/>
      <c r="BE293" s="1561"/>
      <c r="BF293" s="1561"/>
      <c r="BS293" s="1561"/>
      <c r="BT293" s="1561"/>
      <c r="BU293" s="1561"/>
      <c r="BV293" s="1444"/>
      <c r="BW293" s="1443"/>
      <c r="BX293" s="1443"/>
      <c r="BY293" s="1443"/>
      <c r="BZ293" s="1561"/>
      <c r="CA293" s="1561"/>
    </row>
    <row r="294" spans="2:79" ht="12.75" customHeight="1">
      <c r="B294" s="1555"/>
      <c r="C294" s="1561"/>
      <c r="D294" s="1561"/>
      <c r="E294" s="1561"/>
      <c r="F294" s="1562"/>
      <c r="G294" s="1563"/>
      <c r="H294" s="1563"/>
      <c r="I294" s="1563"/>
      <c r="J294" s="1563"/>
      <c r="K294" s="1561"/>
      <c r="L294" s="1561"/>
      <c r="M294" s="1561"/>
      <c r="N294" s="1561"/>
      <c r="O294" s="1561"/>
      <c r="P294" s="1561"/>
      <c r="Q294" s="1561"/>
      <c r="R294" s="1561"/>
      <c r="S294" s="1561"/>
      <c r="T294" s="1561"/>
      <c r="U294" s="1561"/>
      <c r="V294" s="1561"/>
      <c r="W294" s="1561"/>
      <c r="X294" s="1561"/>
      <c r="Y294" s="1561"/>
      <c r="Z294" s="1561"/>
      <c r="AA294" s="1561"/>
      <c r="AB294" s="1561"/>
      <c r="AC294" s="1561"/>
      <c r="AD294" s="1561"/>
      <c r="AE294" s="1561"/>
      <c r="AF294" s="1561"/>
      <c r="AG294" s="1561"/>
      <c r="AH294" s="1561"/>
      <c r="AI294" s="1561"/>
      <c r="AJ294" s="1561"/>
      <c r="AK294" s="1561"/>
      <c r="AL294" s="1561"/>
      <c r="AM294" s="1561"/>
      <c r="AN294" s="1561"/>
      <c r="AO294" s="1561"/>
      <c r="AP294" s="1561"/>
      <c r="AQ294" s="1561"/>
      <c r="AR294" s="1561"/>
      <c r="AS294" s="1561"/>
      <c r="AT294" s="1561"/>
      <c r="AU294" s="1561"/>
      <c r="AV294" s="1561"/>
      <c r="AW294" s="1561"/>
      <c r="AX294" s="1561"/>
      <c r="AY294" s="1561"/>
      <c r="AZ294" s="1561"/>
      <c r="BA294" s="1561"/>
      <c r="BB294" s="1561"/>
      <c r="BC294" s="1561"/>
      <c r="BD294" s="1561"/>
      <c r="BE294" s="1561"/>
      <c r="BF294" s="1561"/>
      <c r="BS294" s="1561"/>
      <c r="BT294" s="1561"/>
      <c r="BU294" s="1561"/>
      <c r="BV294" s="1444"/>
      <c r="BW294" s="1443"/>
      <c r="BX294" s="1443"/>
      <c r="BY294" s="1443"/>
      <c r="BZ294" s="1561"/>
      <c r="CA294" s="1561"/>
    </row>
    <row r="295" spans="2:79" ht="12.75" customHeight="1">
      <c r="B295" s="1555"/>
      <c r="C295" s="1561"/>
      <c r="D295" s="1561"/>
      <c r="E295" s="1561"/>
      <c r="F295" s="1562"/>
      <c r="G295" s="1563"/>
      <c r="H295" s="1563"/>
      <c r="I295" s="1563"/>
      <c r="J295" s="1563"/>
      <c r="K295" s="1561"/>
      <c r="L295" s="1561"/>
      <c r="M295" s="1561"/>
      <c r="N295" s="1561"/>
      <c r="O295" s="1561"/>
      <c r="P295" s="1561"/>
      <c r="Q295" s="1561"/>
      <c r="R295" s="1561"/>
      <c r="S295" s="1561"/>
      <c r="T295" s="1561"/>
      <c r="U295" s="1561"/>
      <c r="V295" s="1561"/>
      <c r="W295" s="1561"/>
      <c r="X295" s="1561"/>
      <c r="Y295" s="1561"/>
      <c r="Z295" s="1561"/>
      <c r="AA295" s="1561"/>
      <c r="AB295" s="1561"/>
      <c r="AC295" s="1561"/>
      <c r="AD295" s="1561"/>
      <c r="AE295" s="1561"/>
      <c r="AF295" s="1561"/>
      <c r="AG295" s="1561"/>
      <c r="AH295" s="1561"/>
      <c r="AI295" s="1561"/>
      <c r="AJ295" s="1561"/>
      <c r="AK295" s="1561"/>
      <c r="AL295" s="1561"/>
      <c r="AM295" s="1561"/>
      <c r="AN295" s="1561"/>
      <c r="AO295" s="1561"/>
      <c r="AP295" s="1561"/>
      <c r="AQ295" s="1561"/>
      <c r="AR295" s="1561"/>
      <c r="AS295" s="1561"/>
      <c r="AT295" s="1561"/>
      <c r="AU295" s="1561"/>
      <c r="AV295" s="1561"/>
      <c r="AW295" s="1561"/>
      <c r="AX295" s="1561"/>
      <c r="AY295" s="1561"/>
      <c r="AZ295" s="1561"/>
      <c r="BA295" s="1561"/>
      <c r="BB295" s="1561"/>
      <c r="BC295" s="1561"/>
      <c r="BD295" s="1561"/>
      <c r="BE295" s="1561"/>
      <c r="BF295" s="1561"/>
      <c r="BS295" s="1561"/>
      <c r="BT295" s="1561"/>
      <c r="BU295" s="1561"/>
      <c r="BV295" s="1444"/>
      <c r="BW295" s="1443"/>
      <c r="BX295" s="1443"/>
      <c r="BY295" s="1443"/>
      <c r="BZ295" s="1561"/>
      <c r="CA295" s="1561"/>
    </row>
    <row r="296" spans="2:79" ht="12.75" customHeight="1">
      <c r="B296" s="1555"/>
      <c r="C296" s="1561"/>
      <c r="D296" s="1561"/>
      <c r="E296" s="1561"/>
      <c r="F296" s="1562"/>
      <c r="G296" s="1563"/>
      <c r="H296" s="1563"/>
      <c r="I296" s="1563"/>
      <c r="J296" s="1563"/>
      <c r="K296" s="1561"/>
      <c r="L296" s="1561"/>
      <c r="M296" s="1561"/>
      <c r="N296" s="1561"/>
      <c r="O296" s="1561"/>
      <c r="P296" s="1561"/>
      <c r="Q296" s="1561"/>
      <c r="R296" s="1561"/>
      <c r="S296" s="1561"/>
      <c r="T296" s="1561"/>
      <c r="U296" s="1561"/>
      <c r="V296" s="1561"/>
      <c r="W296" s="1561"/>
      <c r="X296" s="1561"/>
      <c r="Y296" s="1561"/>
      <c r="Z296" s="1561"/>
      <c r="AA296" s="1561"/>
      <c r="AB296" s="1561"/>
      <c r="AC296" s="1561"/>
      <c r="AD296" s="1561"/>
      <c r="AE296" s="1561"/>
      <c r="AF296" s="1561"/>
      <c r="AG296" s="1561"/>
      <c r="AH296" s="1561"/>
      <c r="AI296" s="1561"/>
      <c r="AJ296" s="1561"/>
      <c r="AK296" s="1561"/>
      <c r="AL296" s="1561"/>
      <c r="AM296" s="1561"/>
      <c r="AN296" s="1561"/>
      <c r="AO296" s="1561"/>
      <c r="AP296" s="1561"/>
      <c r="AQ296" s="1561"/>
      <c r="AR296" s="1561"/>
      <c r="AS296" s="1561"/>
      <c r="AT296" s="1561"/>
      <c r="AU296" s="1561"/>
      <c r="AV296" s="1561"/>
      <c r="AW296" s="1561"/>
      <c r="AX296" s="1561"/>
      <c r="AY296" s="1561"/>
      <c r="AZ296" s="1561"/>
      <c r="BA296" s="1561"/>
      <c r="BB296" s="1561"/>
      <c r="BC296" s="1561"/>
      <c r="BD296" s="1561"/>
      <c r="BE296" s="1561"/>
      <c r="BF296" s="1561"/>
      <c r="BS296" s="1561"/>
      <c r="BT296" s="1561"/>
      <c r="BU296" s="1561"/>
      <c r="BV296" s="1444"/>
      <c r="BW296" s="1443"/>
      <c r="BX296" s="1443"/>
      <c r="BY296" s="1443"/>
      <c r="BZ296" s="1561"/>
      <c r="CA296" s="1561"/>
    </row>
    <row r="297" spans="2:79" ht="12.75" customHeight="1">
      <c r="B297" s="1555"/>
      <c r="C297" s="1561"/>
      <c r="D297" s="1561"/>
      <c r="E297" s="1561"/>
      <c r="F297" s="1562"/>
      <c r="G297" s="1563"/>
      <c r="H297" s="1563"/>
      <c r="I297" s="1563"/>
      <c r="J297" s="1563"/>
      <c r="K297" s="1561"/>
      <c r="L297" s="1561"/>
      <c r="M297" s="1561"/>
      <c r="N297" s="1561"/>
      <c r="O297" s="1561"/>
      <c r="P297" s="1561"/>
      <c r="Q297" s="1561"/>
      <c r="R297" s="1561"/>
      <c r="S297" s="1561"/>
      <c r="T297" s="1561"/>
      <c r="U297" s="1561"/>
      <c r="V297" s="1561"/>
      <c r="W297" s="1561"/>
      <c r="X297" s="1561"/>
      <c r="Y297" s="1561"/>
      <c r="Z297" s="1561"/>
      <c r="AA297" s="1561"/>
      <c r="AB297" s="1561"/>
      <c r="AC297" s="1561"/>
      <c r="AD297" s="1561"/>
      <c r="AE297" s="1561"/>
      <c r="AF297" s="1561"/>
      <c r="AG297" s="1561"/>
      <c r="AH297" s="1561"/>
      <c r="AI297" s="1561"/>
      <c r="AJ297" s="1561"/>
      <c r="AK297" s="1561"/>
      <c r="AL297" s="1561"/>
      <c r="AM297" s="1561"/>
      <c r="AN297" s="1561"/>
      <c r="AO297" s="1561"/>
      <c r="AP297" s="1561"/>
      <c r="AQ297" s="1561"/>
      <c r="AR297" s="1561"/>
      <c r="AS297" s="1561"/>
      <c r="AT297" s="1561"/>
      <c r="AU297" s="1561"/>
      <c r="AV297" s="1561"/>
      <c r="AW297" s="1561"/>
      <c r="AX297" s="1561"/>
      <c r="AY297" s="1561"/>
      <c r="AZ297" s="1561"/>
      <c r="BA297" s="1561"/>
      <c r="BB297" s="1561"/>
      <c r="BC297" s="1561"/>
      <c r="BD297" s="1561"/>
      <c r="BE297" s="1561"/>
      <c r="BF297" s="1561"/>
      <c r="BS297" s="1561"/>
      <c r="BT297" s="1561"/>
      <c r="BU297" s="1561"/>
      <c r="BV297" s="1444"/>
      <c r="BW297" s="1443"/>
      <c r="BX297" s="1443"/>
      <c r="BY297" s="1443"/>
      <c r="BZ297" s="1561"/>
      <c r="CA297" s="1561"/>
    </row>
    <row r="298" spans="2:79" ht="12.75" customHeight="1">
      <c r="B298" s="1555"/>
      <c r="C298" s="1561"/>
      <c r="D298" s="1561"/>
      <c r="E298" s="1561"/>
      <c r="F298" s="1562"/>
      <c r="G298" s="1563"/>
      <c r="H298" s="1563"/>
      <c r="I298" s="1563"/>
      <c r="J298" s="1563"/>
      <c r="K298" s="1561"/>
      <c r="L298" s="1561"/>
      <c r="M298" s="1561"/>
      <c r="N298" s="1561"/>
      <c r="O298" s="1561"/>
      <c r="P298" s="1561"/>
      <c r="Q298" s="1561"/>
      <c r="R298" s="1561"/>
      <c r="S298" s="1561"/>
      <c r="T298" s="1561"/>
      <c r="U298" s="1561"/>
      <c r="V298" s="1561"/>
      <c r="W298" s="1561"/>
      <c r="X298" s="1561"/>
      <c r="Y298" s="1561"/>
      <c r="Z298" s="1561"/>
      <c r="AA298" s="1561"/>
      <c r="AB298" s="1561"/>
      <c r="AC298" s="1561"/>
      <c r="AD298" s="1561"/>
      <c r="AE298" s="1561"/>
      <c r="AF298" s="1561"/>
      <c r="AG298" s="1561"/>
      <c r="AH298" s="1561"/>
      <c r="AI298" s="1561"/>
      <c r="AJ298" s="1561"/>
      <c r="AK298" s="1561"/>
      <c r="AL298" s="1561"/>
      <c r="AM298" s="1561"/>
      <c r="AN298" s="1561"/>
      <c r="AO298" s="1561"/>
      <c r="AP298" s="1561"/>
      <c r="AQ298" s="1561"/>
      <c r="AR298" s="1561"/>
      <c r="AS298" s="1561"/>
      <c r="AT298" s="1561"/>
      <c r="AU298" s="1561"/>
      <c r="AV298" s="1561"/>
      <c r="AW298" s="1561"/>
      <c r="AX298" s="1561"/>
      <c r="AY298" s="1561"/>
      <c r="AZ298" s="1561"/>
      <c r="BA298" s="1561"/>
      <c r="BB298" s="1561"/>
      <c r="BC298" s="1561"/>
      <c r="BD298" s="1561"/>
      <c r="BE298" s="1561"/>
      <c r="BF298" s="1561"/>
      <c r="BS298" s="1561"/>
      <c r="BT298" s="1561"/>
      <c r="BU298" s="1561"/>
      <c r="BV298" s="1444"/>
      <c r="BW298" s="1443"/>
      <c r="BX298" s="1443"/>
      <c r="BY298" s="1443"/>
      <c r="BZ298" s="1561"/>
      <c r="CA298" s="1561"/>
    </row>
    <row r="299" spans="2:79" ht="12.75" customHeight="1">
      <c r="B299" s="1555"/>
      <c r="C299" s="1561"/>
      <c r="D299" s="1561"/>
      <c r="E299" s="1561"/>
      <c r="F299" s="1562"/>
      <c r="G299" s="1563"/>
      <c r="H299" s="1563"/>
      <c r="I299" s="1563"/>
      <c r="J299" s="1563"/>
      <c r="K299" s="1561"/>
      <c r="L299" s="1561"/>
      <c r="M299" s="1561"/>
      <c r="N299" s="1561"/>
      <c r="O299" s="1561"/>
      <c r="P299" s="1561"/>
      <c r="Q299" s="1561"/>
      <c r="R299" s="1561"/>
      <c r="S299" s="1561"/>
      <c r="T299" s="1561"/>
      <c r="U299" s="1561"/>
      <c r="V299" s="1561"/>
      <c r="W299" s="1561"/>
      <c r="X299" s="1561"/>
      <c r="Y299" s="1561"/>
      <c r="Z299" s="1561"/>
      <c r="AA299" s="1561"/>
      <c r="AB299" s="1561"/>
      <c r="AC299" s="1561"/>
      <c r="AD299" s="1561"/>
      <c r="AE299" s="1561"/>
      <c r="AF299" s="1561"/>
      <c r="AG299" s="1561"/>
      <c r="AH299" s="1561"/>
      <c r="AI299" s="1561"/>
      <c r="AJ299" s="1561"/>
      <c r="AK299" s="1561"/>
      <c r="AL299" s="1561"/>
      <c r="AM299" s="1561"/>
      <c r="AN299" s="1561"/>
      <c r="AO299" s="1561"/>
      <c r="AP299" s="1561"/>
      <c r="AQ299" s="1561"/>
      <c r="AR299" s="1561"/>
      <c r="AS299" s="1561"/>
      <c r="AT299" s="1561"/>
      <c r="AU299" s="1561"/>
      <c r="AV299" s="1561"/>
      <c r="AW299" s="1561"/>
      <c r="AX299" s="1561"/>
      <c r="AY299" s="1561"/>
      <c r="AZ299" s="1561"/>
      <c r="BA299" s="1561"/>
      <c r="BB299" s="1561"/>
      <c r="BC299" s="1561"/>
      <c r="BD299" s="1561"/>
      <c r="BE299" s="1561"/>
      <c r="BF299" s="1561"/>
      <c r="BS299" s="1561"/>
      <c r="BT299" s="1561"/>
      <c r="BU299" s="1561"/>
      <c r="BV299" s="1444"/>
      <c r="BW299" s="1443"/>
      <c r="BX299" s="1443"/>
      <c r="BY299" s="1443"/>
      <c r="BZ299" s="1561"/>
      <c r="CA299" s="1561"/>
    </row>
    <row r="300" spans="2:79" ht="12.75" customHeight="1">
      <c r="B300" s="1555"/>
      <c r="C300" s="1561"/>
      <c r="D300" s="1561"/>
      <c r="E300" s="1561"/>
      <c r="F300" s="1562"/>
      <c r="G300" s="1563"/>
      <c r="H300" s="1563"/>
      <c r="I300" s="1563"/>
      <c r="J300" s="1563"/>
      <c r="K300" s="1561"/>
      <c r="L300" s="1561"/>
      <c r="M300" s="1561"/>
      <c r="N300" s="1561"/>
      <c r="O300" s="1561"/>
      <c r="P300" s="1561"/>
      <c r="Q300" s="1561"/>
      <c r="R300" s="1561"/>
      <c r="S300" s="1561"/>
      <c r="T300" s="1561"/>
      <c r="U300" s="1561"/>
      <c r="V300" s="1561"/>
      <c r="W300" s="1561"/>
      <c r="X300" s="1561"/>
      <c r="Y300" s="1561"/>
      <c r="Z300" s="1561"/>
      <c r="AA300" s="1561"/>
      <c r="AB300" s="1561"/>
      <c r="AC300" s="1561"/>
      <c r="AD300" s="1561"/>
      <c r="AE300" s="1561"/>
      <c r="AF300" s="1561"/>
      <c r="AG300" s="1561"/>
      <c r="AH300" s="1561"/>
      <c r="AI300" s="1561"/>
      <c r="AJ300" s="1561"/>
      <c r="AK300" s="1561"/>
      <c r="AL300" s="1561"/>
      <c r="AM300" s="1561"/>
      <c r="AN300" s="1561"/>
      <c r="AO300" s="1561"/>
      <c r="AP300" s="1561"/>
      <c r="AQ300" s="1561"/>
      <c r="AR300" s="1561"/>
      <c r="AS300" s="1561"/>
      <c r="AT300" s="1561"/>
      <c r="AU300" s="1561"/>
      <c r="AV300" s="1561"/>
      <c r="AW300" s="1561"/>
      <c r="AX300" s="1561"/>
      <c r="AY300" s="1561"/>
      <c r="AZ300" s="1561"/>
      <c r="BA300" s="1561"/>
      <c r="BB300" s="1561"/>
      <c r="BC300" s="1561"/>
      <c r="BD300" s="1561"/>
      <c r="BE300" s="1561"/>
      <c r="BF300" s="1561"/>
      <c r="BS300" s="1561"/>
      <c r="BT300" s="1561"/>
      <c r="BU300" s="1561"/>
      <c r="BV300" s="1444"/>
      <c r="BW300" s="1443"/>
      <c r="BX300" s="1443"/>
      <c r="BY300" s="1443"/>
      <c r="BZ300" s="1561"/>
      <c r="CA300" s="1561"/>
    </row>
    <row r="301" spans="2:79" ht="12.75" customHeight="1">
      <c r="B301" s="1555"/>
      <c r="C301" s="1561"/>
      <c r="D301" s="1561"/>
      <c r="E301" s="1561"/>
      <c r="F301" s="1562"/>
      <c r="G301" s="1563"/>
      <c r="H301" s="1563"/>
      <c r="I301" s="1563"/>
      <c r="J301" s="1563"/>
      <c r="K301" s="1561"/>
      <c r="L301" s="1561"/>
      <c r="M301" s="1561"/>
      <c r="N301" s="1561"/>
      <c r="O301" s="1561"/>
      <c r="P301" s="1561"/>
      <c r="Q301" s="1561"/>
      <c r="R301" s="1561"/>
      <c r="S301" s="1561"/>
      <c r="T301" s="1561"/>
      <c r="U301" s="1561"/>
      <c r="V301" s="1561"/>
      <c r="W301" s="1561"/>
      <c r="X301" s="1561"/>
      <c r="Y301" s="1561"/>
      <c r="Z301" s="1561"/>
      <c r="AA301" s="1561"/>
      <c r="AB301" s="1561"/>
      <c r="AC301" s="1561"/>
      <c r="AD301" s="1561"/>
      <c r="AE301" s="1561"/>
      <c r="AF301" s="1561"/>
      <c r="AG301" s="1561"/>
      <c r="AH301" s="1561"/>
      <c r="AI301" s="1561"/>
      <c r="AJ301" s="1561"/>
      <c r="AK301" s="1561"/>
      <c r="AL301" s="1561"/>
      <c r="AM301" s="1561"/>
      <c r="AN301" s="1561"/>
      <c r="AO301" s="1561"/>
      <c r="AP301" s="1561"/>
      <c r="AQ301" s="1561"/>
      <c r="AR301" s="1561"/>
      <c r="AS301" s="1561"/>
      <c r="AT301" s="1561"/>
      <c r="AU301" s="1561"/>
      <c r="AV301" s="1561"/>
      <c r="AW301" s="1561"/>
      <c r="AX301" s="1561"/>
      <c r="AY301" s="1561"/>
      <c r="AZ301" s="1561"/>
      <c r="BA301" s="1561"/>
      <c r="BB301" s="1561"/>
      <c r="BC301" s="1561"/>
      <c r="BD301" s="1561"/>
      <c r="BE301" s="1561"/>
      <c r="BF301" s="1561"/>
      <c r="BS301" s="1561"/>
      <c r="BT301" s="1561"/>
      <c r="BU301" s="1561"/>
      <c r="BV301" s="1444"/>
      <c r="BW301" s="1443"/>
      <c r="BX301" s="1443"/>
      <c r="BY301" s="1443"/>
      <c r="BZ301" s="1561"/>
      <c r="CA301" s="1561"/>
    </row>
    <row r="302" spans="2:79" ht="12.75" customHeight="1">
      <c r="B302" s="1555"/>
      <c r="C302" s="1561"/>
      <c r="D302" s="1561"/>
      <c r="E302" s="1561"/>
      <c r="F302" s="1562"/>
      <c r="G302" s="1563"/>
      <c r="H302" s="1563"/>
      <c r="I302" s="1563"/>
      <c r="J302" s="1563"/>
      <c r="K302" s="1561"/>
      <c r="L302" s="1561"/>
      <c r="M302" s="1561"/>
      <c r="N302" s="1561"/>
      <c r="O302" s="1561"/>
      <c r="P302" s="1561"/>
      <c r="Q302" s="1561"/>
      <c r="R302" s="1561"/>
      <c r="S302" s="1561"/>
      <c r="T302" s="1561"/>
      <c r="U302" s="1561"/>
      <c r="V302" s="1561"/>
      <c r="W302" s="1561"/>
      <c r="X302" s="1561"/>
      <c r="Y302" s="1561"/>
      <c r="Z302" s="1561"/>
      <c r="AA302" s="1561"/>
      <c r="AB302" s="1561"/>
      <c r="AC302" s="1561"/>
      <c r="AD302" s="1561"/>
      <c r="AE302" s="1561"/>
      <c r="AF302" s="1561"/>
      <c r="AG302" s="1561"/>
      <c r="AH302" s="1561"/>
      <c r="AI302" s="1561"/>
      <c r="AJ302" s="1561"/>
      <c r="AK302" s="1561"/>
      <c r="AL302" s="1561"/>
      <c r="AM302" s="1561"/>
      <c r="AN302" s="1561"/>
      <c r="AO302" s="1561"/>
      <c r="AP302" s="1561"/>
      <c r="AQ302" s="1561"/>
      <c r="AR302" s="1561"/>
      <c r="AS302" s="1561"/>
      <c r="AT302" s="1561"/>
      <c r="AU302" s="1561"/>
      <c r="AV302" s="1561"/>
      <c r="AW302" s="1561"/>
      <c r="AX302" s="1561"/>
      <c r="AY302" s="1561"/>
      <c r="AZ302" s="1561"/>
      <c r="BA302" s="1561"/>
      <c r="BB302" s="1561"/>
      <c r="BC302" s="1561"/>
      <c r="BD302" s="1561"/>
      <c r="BE302" s="1561"/>
      <c r="BF302" s="1561"/>
      <c r="BS302" s="1561"/>
      <c r="BT302" s="1561"/>
      <c r="BU302" s="1561"/>
      <c r="BV302" s="1444"/>
      <c r="BW302" s="1443"/>
      <c r="BX302" s="1443"/>
      <c r="BY302" s="1443"/>
      <c r="BZ302" s="1561"/>
      <c r="CA302" s="1561"/>
    </row>
    <row r="303" spans="2:79" ht="12.75" customHeight="1">
      <c r="B303" s="1555"/>
      <c r="C303" s="1561"/>
      <c r="D303" s="1561"/>
      <c r="E303" s="1561"/>
      <c r="F303" s="1562"/>
      <c r="G303" s="1563"/>
      <c r="H303" s="1563"/>
      <c r="I303" s="1563"/>
      <c r="J303" s="1563"/>
      <c r="K303" s="1561"/>
      <c r="L303" s="1561"/>
      <c r="M303" s="1561"/>
      <c r="N303" s="1561"/>
      <c r="O303" s="1561"/>
      <c r="P303" s="1561"/>
      <c r="Q303" s="1561"/>
      <c r="R303" s="1561"/>
      <c r="S303" s="1561"/>
      <c r="T303" s="1561"/>
      <c r="U303" s="1561"/>
      <c r="V303" s="1561"/>
      <c r="W303" s="1561"/>
      <c r="X303" s="1561"/>
      <c r="Y303" s="1561"/>
      <c r="Z303" s="1561"/>
      <c r="AA303" s="1561"/>
      <c r="AB303" s="1561"/>
      <c r="AC303" s="1561"/>
      <c r="AD303" s="1561"/>
      <c r="AE303" s="1561"/>
      <c r="AF303" s="1561"/>
      <c r="AG303" s="1561"/>
      <c r="AH303" s="1561"/>
      <c r="AI303" s="1561"/>
      <c r="AJ303" s="1561"/>
      <c r="AK303" s="1561"/>
      <c r="AL303" s="1561"/>
      <c r="AM303" s="1561"/>
      <c r="AN303" s="1561"/>
      <c r="AO303" s="1561"/>
      <c r="AP303" s="1561"/>
      <c r="AQ303" s="1561"/>
      <c r="AR303" s="1561"/>
      <c r="AS303" s="1561"/>
      <c r="AT303" s="1561"/>
      <c r="AU303" s="1561"/>
      <c r="AV303" s="1561"/>
      <c r="AW303" s="1561"/>
      <c r="AX303" s="1561"/>
      <c r="AY303" s="1561"/>
      <c r="AZ303" s="1561"/>
      <c r="BA303" s="1561"/>
      <c r="BB303" s="1561"/>
      <c r="BC303" s="1561"/>
      <c r="BD303" s="1561"/>
      <c r="BE303" s="1561"/>
      <c r="BF303" s="1561"/>
      <c r="BS303" s="1561"/>
      <c r="BT303" s="1561"/>
      <c r="BU303" s="1561"/>
      <c r="BV303" s="1444"/>
      <c r="BW303" s="1443"/>
      <c r="BX303" s="1443"/>
      <c r="BY303" s="1443"/>
      <c r="BZ303" s="1561"/>
      <c r="CA303" s="1561"/>
    </row>
    <row r="304" spans="2:79" ht="12.75" customHeight="1">
      <c r="B304" s="1555"/>
      <c r="C304" s="1561"/>
      <c r="D304" s="1561"/>
      <c r="E304" s="1561"/>
      <c r="F304" s="1562"/>
      <c r="G304" s="1563"/>
      <c r="H304" s="1563"/>
      <c r="I304" s="1563"/>
      <c r="J304" s="1563"/>
      <c r="K304" s="1561"/>
      <c r="L304" s="1561"/>
      <c r="M304" s="1561"/>
      <c r="N304" s="1561"/>
      <c r="O304" s="1561"/>
      <c r="P304" s="1561"/>
      <c r="Q304" s="1561"/>
      <c r="R304" s="1561"/>
      <c r="S304" s="1561"/>
      <c r="T304" s="1561"/>
      <c r="U304" s="1561"/>
      <c r="V304" s="1561"/>
      <c r="W304" s="1561"/>
      <c r="X304" s="1561"/>
      <c r="Y304" s="1561"/>
      <c r="Z304" s="1561"/>
      <c r="AA304" s="1561"/>
      <c r="AB304" s="1561"/>
      <c r="AC304" s="1561"/>
      <c r="AD304" s="1561"/>
      <c r="AE304" s="1561"/>
      <c r="AF304" s="1561"/>
      <c r="AG304" s="1561"/>
      <c r="AH304" s="1561"/>
      <c r="AI304" s="1561"/>
      <c r="AJ304" s="1561"/>
      <c r="AK304" s="1561"/>
      <c r="AL304" s="1561"/>
      <c r="AM304" s="1561"/>
      <c r="AN304" s="1561"/>
      <c r="AO304" s="1561"/>
      <c r="AP304" s="1561"/>
      <c r="AQ304" s="1561"/>
      <c r="AR304" s="1561"/>
      <c r="AS304" s="1561"/>
      <c r="AT304" s="1561"/>
      <c r="AU304" s="1561"/>
      <c r="AV304" s="1561"/>
      <c r="AW304" s="1561"/>
      <c r="AX304" s="1561"/>
      <c r="AY304" s="1561"/>
      <c r="AZ304" s="1561"/>
      <c r="BA304" s="1561"/>
      <c r="BB304" s="1561"/>
      <c r="BC304" s="1561"/>
      <c r="BD304" s="1561"/>
      <c r="BE304" s="1561"/>
      <c r="BF304" s="1561"/>
      <c r="BS304" s="1561"/>
      <c r="BT304" s="1561"/>
      <c r="BU304" s="1561"/>
      <c r="BV304" s="1444"/>
      <c r="BW304" s="1443"/>
      <c r="BX304" s="1443"/>
      <c r="BY304" s="1443"/>
      <c r="BZ304" s="1561"/>
      <c r="CA304" s="1561"/>
    </row>
    <row r="305" spans="2:79" ht="12.75" customHeight="1">
      <c r="B305" s="1555"/>
      <c r="C305" s="1561"/>
      <c r="D305" s="1561"/>
      <c r="E305" s="1561"/>
      <c r="F305" s="1562"/>
      <c r="G305" s="1563"/>
      <c r="H305" s="1563"/>
      <c r="I305" s="1563"/>
      <c r="J305" s="1563"/>
      <c r="K305" s="1561"/>
      <c r="L305" s="1561"/>
      <c r="M305" s="1561"/>
      <c r="N305" s="1561"/>
      <c r="O305" s="1561"/>
      <c r="P305" s="1561"/>
      <c r="Q305" s="1561"/>
      <c r="R305" s="1561"/>
      <c r="S305" s="1561"/>
      <c r="T305" s="1561"/>
      <c r="U305" s="1561"/>
      <c r="V305" s="1561"/>
      <c r="W305" s="1561"/>
      <c r="X305" s="1561"/>
      <c r="Y305" s="1561"/>
      <c r="Z305" s="1561"/>
      <c r="AA305" s="1561"/>
      <c r="AB305" s="1561"/>
      <c r="AC305" s="1561"/>
      <c r="AD305" s="1561"/>
      <c r="AE305" s="1561"/>
      <c r="AF305" s="1561"/>
      <c r="AG305" s="1561"/>
      <c r="AH305" s="1561"/>
      <c r="AI305" s="1561"/>
      <c r="AJ305" s="1561"/>
      <c r="AK305" s="1561"/>
      <c r="AL305" s="1561"/>
      <c r="AM305" s="1561"/>
      <c r="AN305" s="1561"/>
      <c r="AO305" s="1561"/>
      <c r="AP305" s="1561"/>
      <c r="AQ305" s="1561"/>
      <c r="AR305" s="1561"/>
      <c r="AS305" s="1561"/>
      <c r="AT305" s="1561"/>
      <c r="AU305" s="1561"/>
      <c r="AV305" s="1561"/>
      <c r="AW305" s="1561"/>
      <c r="AX305" s="1561"/>
      <c r="AY305" s="1561"/>
      <c r="AZ305" s="1561"/>
      <c r="BA305" s="1561"/>
      <c r="BB305" s="1561"/>
      <c r="BC305" s="1561"/>
      <c r="BD305" s="1561"/>
      <c r="BE305" s="1561"/>
      <c r="BF305" s="1561"/>
      <c r="BS305" s="1561"/>
      <c r="BT305" s="1561"/>
      <c r="BU305" s="1561"/>
      <c r="BV305" s="1444"/>
      <c r="BW305" s="1443"/>
      <c r="BX305" s="1443"/>
      <c r="BY305" s="1443"/>
      <c r="BZ305" s="1561"/>
      <c r="CA305" s="1561"/>
    </row>
    <row r="306" spans="2:79" ht="12.75" customHeight="1">
      <c r="B306" s="1555"/>
      <c r="C306" s="1561"/>
      <c r="D306" s="1561"/>
      <c r="E306" s="1561"/>
      <c r="F306" s="1562"/>
      <c r="G306" s="1563"/>
      <c r="H306" s="1563"/>
      <c r="I306" s="1563"/>
      <c r="J306" s="1563"/>
      <c r="K306" s="1561"/>
      <c r="L306" s="1561"/>
      <c r="M306" s="1561"/>
      <c r="N306" s="1561"/>
      <c r="O306" s="1561"/>
      <c r="P306" s="1561"/>
      <c r="Q306" s="1561"/>
      <c r="R306" s="1561"/>
      <c r="S306" s="1561"/>
      <c r="T306" s="1561"/>
      <c r="U306" s="1561"/>
      <c r="V306" s="1561"/>
      <c r="W306" s="1561"/>
      <c r="X306" s="1561"/>
      <c r="Y306" s="1561"/>
      <c r="Z306" s="1561"/>
      <c r="AA306" s="1561"/>
      <c r="AB306" s="1561"/>
      <c r="AC306" s="1561"/>
      <c r="AD306" s="1561"/>
      <c r="AE306" s="1561"/>
      <c r="AF306" s="1561"/>
      <c r="AG306" s="1561"/>
      <c r="AH306" s="1561"/>
      <c r="AI306" s="1561"/>
      <c r="AJ306" s="1561"/>
      <c r="AK306" s="1561"/>
      <c r="AL306" s="1561"/>
      <c r="AM306" s="1561"/>
      <c r="AN306" s="1561"/>
      <c r="AO306" s="1561"/>
      <c r="AP306" s="1561"/>
      <c r="AQ306" s="1561"/>
      <c r="AR306" s="1561"/>
      <c r="AS306" s="1561"/>
      <c r="AT306" s="1561"/>
      <c r="AU306" s="1561"/>
      <c r="AV306" s="1561"/>
      <c r="AW306" s="1561"/>
      <c r="AX306" s="1561"/>
      <c r="AY306" s="1561"/>
      <c r="AZ306" s="1561"/>
      <c r="BA306" s="1561"/>
      <c r="BB306" s="1561"/>
      <c r="BC306" s="1561"/>
      <c r="BD306" s="1561"/>
      <c r="BE306" s="1561"/>
      <c r="BF306" s="1561"/>
      <c r="BS306" s="1561"/>
      <c r="BT306" s="1561"/>
      <c r="BU306" s="1561"/>
      <c r="BV306" s="1444"/>
      <c r="BW306" s="1443"/>
      <c r="BX306" s="1443"/>
      <c r="BY306" s="1443"/>
      <c r="BZ306" s="1561"/>
      <c r="CA306" s="1561"/>
    </row>
    <row r="307" spans="2:79" ht="12.75" customHeight="1">
      <c r="B307" s="1555"/>
      <c r="C307" s="1561"/>
      <c r="D307" s="1561"/>
      <c r="E307" s="1561"/>
      <c r="F307" s="1562"/>
      <c r="G307" s="1563"/>
      <c r="H307" s="1563"/>
      <c r="I307" s="1563"/>
      <c r="J307" s="1563"/>
      <c r="K307" s="1561"/>
      <c r="L307" s="1561"/>
      <c r="M307" s="1561"/>
      <c r="N307" s="1561"/>
      <c r="O307" s="1561"/>
      <c r="P307" s="1561"/>
      <c r="Q307" s="1561"/>
      <c r="R307" s="1561"/>
      <c r="S307" s="1561"/>
      <c r="T307" s="1561"/>
      <c r="U307" s="1561"/>
      <c r="V307" s="1561"/>
      <c r="W307" s="1561"/>
      <c r="X307" s="1561"/>
      <c r="Y307" s="1561"/>
      <c r="Z307" s="1561"/>
      <c r="AA307" s="1561"/>
      <c r="AB307" s="1561"/>
      <c r="AC307" s="1561"/>
      <c r="AD307" s="1561"/>
      <c r="AE307" s="1561"/>
      <c r="AF307" s="1561"/>
      <c r="AG307" s="1561"/>
      <c r="AH307" s="1561"/>
      <c r="AI307" s="1561"/>
      <c r="AJ307" s="1561"/>
      <c r="AK307" s="1561"/>
      <c r="AL307" s="1561"/>
      <c r="AM307" s="1561"/>
      <c r="AN307" s="1561"/>
      <c r="AO307" s="1561"/>
      <c r="AP307" s="1561"/>
      <c r="AQ307" s="1561"/>
      <c r="AR307" s="1561"/>
      <c r="AS307" s="1561"/>
      <c r="AT307" s="1561"/>
      <c r="AU307" s="1561"/>
      <c r="AV307" s="1561"/>
      <c r="AW307" s="1561"/>
      <c r="AX307" s="1561"/>
      <c r="AY307" s="1561"/>
      <c r="AZ307" s="1561"/>
      <c r="BA307" s="1561"/>
      <c r="BB307" s="1561"/>
      <c r="BC307" s="1561"/>
      <c r="BD307" s="1561"/>
      <c r="BE307" s="1561"/>
      <c r="BF307" s="1561"/>
      <c r="BS307" s="1561"/>
      <c r="BT307" s="1561"/>
      <c r="BU307" s="1561"/>
      <c r="BV307" s="1444"/>
      <c r="BW307" s="1443"/>
      <c r="BX307" s="1443"/>
      <c r="BY307" s="1443"/>
      <c r="BZ307" s="1561"/>
      <c r="CA307" s="1561"/>
    </row>
    <row r="308" spans="2:79" ht="12.75" customHeight="1">
      <c r="B308" s="1555"/>
      <c r="C308" s="1561"/>
      <c r="D308" s="1561"/>
      <c r="E308" s="1561"/>
      <c r="F308" s="1562"/>
      <c r="G308" s="1563"/>
      <c r="H308" s="1563"/>
      <c r="I308" s="1563"/>
      <c r="J308" s="1563"/>
      <c r="K308" s="1561"/>
      <c r="L308" s="1561"/>
      <c r="M308" s="1561"/>
      <c r="N308" s="1561"/>
      <c r="O308" s="1561"/>
      <c r="P308" s="1561"/>
      <c r="Q308" s="1561"/>
      <c r="R308" s="1561"/>
      <c r="S308" s="1561"/>
      <c r="T308" s="1561"/>
      <c r="U308" s="1561"/>
      <c r="V308" s="1561"/>
      <c r="W308" s="1561"/>
      <c r="X308" s="1561"/>
      <c r="Y308" s="1561"/>
      <c r="Z308" s="1561"/>
      <c r="AA308" s="1561"/>
      <c r="AB308" s="1561"/>
      <c r="AC308" s="1561"/>
      <c r="AD308" s="1561"/>
      <c r="AE308" s="1561"/>
      <c r="AF308" s="1561"/>
      <c r="AG308" s="1561"/>
      <c r="AH308" s="1561"/>
      <c r="AI308" s="1561"/>
      <c r="AJ308" s="1561"/>
      <c r="AK308" s="1561"/>
      <c r="AL308" s="1561"/>
      <c r="AM308" s="1561"/>
      <c r="AN308" s="1561"/>
      <c r="AO308" s="1561"/>
      <c r="AP308" s="1561"/>
      <c r="AQ308" s="1561"/>
      <c r="AR308" s="1561"/>
      <c r="AS308" s="1561"/>
      <c r="AT308" s="1561"/>
      <c r="AU308" s="1561"/>
      <c r="AV308" s="1561"/>
      <c r="AW308" s="1561"/>
      <c r="AX308" s="1561"/>
      <c r="AY308" s="1561"/>
      <c r="AZ308" s="1561"/>
      <c r="BA308" s="1561"/>
      <c r="BB308" s="1561"/>
      <c r="BC308" s="1561"/>
      <c r="BD308" s="1561"/>
      <c r="BE308" s="1561"/>
      <c r="BF308" s="1561"/>
      <c r="BS308" s="1561"/>
      <c r="BT308" s="1561"/>
      <c r="BU308" s="1561"/>
      <c r="BV308" s="1444"/>
      <c r="BW308" s="1443"/>
      <c r="BX308" s="1443"/>
      <c r="BY308" s="1443"/>
      <c r="BZ308" s="1561"/>
      <c r="CA308" s="1561"/>
    </row>
    <row r="309" spans="2:79" ht="12.75" customHeight="1">
      <c r="B309" s="1555"/>
      <c r="C309" s="1561"/>
      <c r="D309" s="1561"/>
      <c r="E309" s="1561"/>
      <c r="F309" s="1562"/>
      <c r="G309" s="1563"/>
      <c r="H309" s="1563"/>
      <c r="I309" s="1563"/>
      <c r="J309" s="1563"/>
      <c r="K309" s="1561"/>
      <c r="L309" s="1561"/>
      <c r="M309" s="1561"/>
      <c r="N309" s="1561"/>
      <c r="O309" s="1561"/>
      <c r="P309" s="1561"/>
      <c r="Q309" s="1561"/>
      <c r="R309" s="1561"/>
      <c r="S309" s="1561"/>
      <c r="T309" s="1561"/>
      <c r="U309" s="1561"/>
      <c r="V309" s="1561"/>
      <c r="W309" s="1561"/>
      <c r="X309" s="1561"/>
      <c r="Y309" s="1561"/>
      <c r="Z309" s="1561"/>
      <c r="AA309" s="1561"/>
      <c r="AB309" s="1561"/>
      <c r="AC309" s="1561"/>
      <c r="AD309" s="1561"/>
      <c r="AE309" s="1561"/>
      <c r="AF309" s="1561"/>
      <c r="AG309" s="1561"/>
      <c r="AH309" s="1561"/>
      <c r="AI309" s="1561"/>
      <c r="AJ309" s="1561"/>
      <c r="AK309" s="1561"/>
      <c r="AL309" s="1561"/>
      <c r="AM309" s="1561"/>
      <c r="AN309" s="1561"/>
      <c r="AO309" s="1561"/>
      <c r="AP309" s="1561"/>
      <c r="AQ309" s="1561"/>
      <c r="AR309" s="1561"/>
      <c r="AS309" s="1561"/>
      <c r="AT309" s="1561"/>
      <c r="AU309" s="1561"/>
      <c r="AV309" s="1561"/>
      <c r="AW309" s="1561"/>
      <c r="AX309" s="1561"/>
      <c r="AY309" s="1561"/>
      <c r="AZ309" s="1561"/>
      <c r="BA309" s="1561"/>
      <c r="BB309" s="1561"/>
      <c r="BC309" s="1561"/>
      <c r="BD309" s="1561"/>
      <c r="BE309" s="1561"/>
      <c r="BF309" s="1561"/>
      <c r="BS309" s="1561"/>
      <c r="BT309" s="1561"/>
      <c r="BU309" s="1561"/>
      <c r="BV309" s="1444"/>
      <c r="BW309" s="1443"/>
      <c r="BX309" s="1443"/>
      <c r="BY309" s="1443"/>
      <c r="BZ309" s="1561"/>
      <c r="CA309" s="1561"/>
    </row>
    <row r="310" spans="2:79" ht="12.75" customHeight="1">
      <c r="B310" s="1555"/>
      <c r="C310" s="1561"/>
      <c r="D310" s="1561"/>
      <c r="E310" s="1561"/>
      <c r="F310" s="1562"/>
      <c r="G310" s="1563"/>
      <c r="H310" s="1563"/>
      <c r="I310" s="1563"/>
      <c r="J310" s="1563"/>
      <c r="K310" s="1561"/>
      <c r="L310" s="1561"/>
      <c r="M310" s="1561"/>
      <c r="N310" s="1561"/>
      <c r="O310" s="1561"/>
      <c r="P310" s="1561"/>
      <c r="Q310" s="1561"/>
      <c r="R310" s="1561"/>
      <c r="S310" s="1561"/>
      <c r="T310" s="1561"/>
      <c r="U310" s="1561"/>
      <c r="V310" s="1561"/>
      <c r="W310" s="1561"/>
      <c r="X310" s="1561"/>
      <c r="Y310" s="1561"/>
      <c r="Z310" s="1561"/>
      <c r="AA310" s="1561"/>
      <c r="AB310" s="1561"/>
      <c r="AC310" s="1561"/>
      <c r="AD310" s="1561"/>
      <c r="AE310" s="1561"/>
      <c r="AF310" s="1561"/>
      <c r="AG310" s="1561"/>
      <c r="AH310" s="1561"/>
      <c r="AI310" s="1561"/>
      <c r="AJ310" s="1561"/>
      <c r="AK310" s="1561"/>
      <c r="AL310" s="1561"/>
      <c r="AM310" s="1561"/>
      <c r="AN310" s="1561"/>
      <c r="AO310" s="1561"/>
      <c r="AP310" s="1561"/>
      <c r="AQ310" s="1561"/>
      <c r="AR310" s="1561"/>
      <c r="AS310" s="1561"/>
      <c r="AT310" s="1561"/>
      <c r="AU310" s="1561"/>
      <c r="AV310" s="1561"/>
      <c r="AW310" s="1561"/>
      <c r="AX310" s="1561"/>
      <c r="AY310" s="1561"/>
      <c r="AZ310" s="1561"/>
      <c r="BA310" s="1561"/>
      <c r="BB310" s="1561"/>
      <c r="BC310" s="1561"/>
      <c r="BD310" s="1561"/>
      <c r="BE310" s="1561"/>
      <c r="BF310" s="1561"/>
      <c r="BS310" s="1561"/>
      <c r="BT310" s="1561"/>
      <c r="BU310" s="1561"/>
      <c r="BV310" s="1444"/>
      <c r="BW310" s="1443"/>
      <c r="BX310" s="1443"/>
      <c r="BY310" s="1443"/>
      <c r="BZ310" s="1561"/>
      <c r="CA310" s="1561"/>
    </row>
    <row r="311" spans="2:79" ht="12.75" customHeight="1">
      <c r="B311" s="1555"/>
      <c r="C311" s="1561"/>
      <c r="D311" s="1561"/>
      <c r="E311" s="1561"/>
      <c r="F311" s="1562"/>
      <c r="G311" s="1563"/>
      <c r="H311" s="1563"/>
      <c r="I311" s="1563"/>
      <c r="J311" s="1563"/>
      <c r="K311" s="1561"/>
      <c r="L311" s="1561"/>
      <c r="M311" s="1561"/>
      <c r="N311" s="1561"/>
      <c r="O311" s="1561"/>
      <c r="P311" s="1561"/>
      <c r="Q311" s="1561"/>
      <c r="R311" s="1561"/>
      <c r="S311" s="1561"/>
      <c r="T311" s="1561"/>
      <c r="U311" s="1561"/>
      <c r="V311" s="1561"/>
      <c r="W311" s="1561"/>
      <c r="X311" s="1561"/>
      <c r="Y311" s="1561"/>
      <c r="Z311" s="1561"/>
      <c r="AA311" s="1561"/>
      <c r="AB311" s="1561"/>
      <c r="AC311" s="1561"/>
      <c r="AD311" s="1561"/>
      <c r="AE311" s="1561"/>
      <c r="AF311" s="1561"/>
      <c r="AG311" s="1561"/>
      <c r="AH311" s="1561"/>
      <c r="AI311" s="1561"/>
      <c r="AJ311" s="1561"/>
      <c r="AK311" s="1561"/>
      <c r="AL311" s="1561"/>
      <c r="AM311" s="1561"/>
      <c r="AN311" s="1561"/>
      <c r="AO311" s="1561"/>
      <c r="AP311" s="1561"/>
      <c r="AQ311" s="1561"/>
      <c r="AR311" s="1561"/>
      <c r="AS311" s="1561"/>
      <c r="AT311" s="1561"/>
      <c r="AU311" s="1561"/>
      <c r="AV311" s="1561"/>
      <c r="AW311" s="1561"/>
      <c r="AX311" s="1561"/>
      <c r="AY311" s="1561"/>
      <c r="AZ311" s="1561"/>
      <c r="BA311" s="1561"/>
      <c r="BB311" s="1561"/>
      <c r="BC311" s="1561"/>
      <c r="BD311" s="1561"/>
      <c r="BE311" s="1561"/>
      <c r="BF311" s="1561"/>
      <c r="BS311" s="1561"/>
      <c r="BT311" s="1561"/>
      <c r="BU311" s="1561"/>
      <c r="BV311" s="1444"/>
      <c r="BW311" s="1443"/>
      <c r="BX311" s="1443"/>
      <c r="BY311" s="1443"/>
      <c r="BZ311" s="1561"/>
      <c r="CA311" s="1561"/>
    </row>
    <row r="312" spans="2:79" ht="12.75" customHeight="1">
      <c r="B312" s="1555"/>
      <c r="C312" s="1561"/>
      <c r="D312" s="1561"/>
      <c r="E312" s="1561"/>
      <c r="F312" s="1562"/>
      <c r="G312" s="1563"/>
      <c r="H312" s="1563"/>
      <c r="I312" s="1563"/>
      <c r="J312" s="1563"/>
      <c r="K312" s="1561"/>
      <c r="L312" s="1561"/>
      <c r="M312" s="1561"/>
      <c r="N312" s="1561"/>
      <c r="O312" s="1561"/>
      <c r="P312" s="1561"/>
      <c r="Q312" s="1561"/>
      <c r="R312" s="1561"/>
      <c r="S312" s="1561"/>
      <c r="T312" s="1561"/>
      <c r="U312" s="1561"/>
      <c r="V312" s="1561"/>
      <c r="W312" s="1561"/>
      <c r="X312" s="1561"/>
      <c r="Y312" s="1561"/>
      <c r="Z312" s="1561"/>
      <c r="AA312" s="1561"/>
      <c r="AB312" s="1561"/>
      <c r="AC312" s="1561"/>
      <c r="AD312" s="1561"/>
      <c r="AE312" s="1561"/>
      <c r="AF312" s="1561"/>
      <c r="AG312" s="1561"/>
      <c r="AH312" s="1561"/>
      <c r="AI312" s="1561"/>
      <c r="AJ312" s="1561"/>
      <c r="AK312" s="1561"/>
      <c r="AL312" s="1561"/>
      <c r="AM312" s="1561"/>
      <c r="AN312" s="1561"/>
      <c r="AO312" s="1561"/>
      <c r="AP312" s="1561"/>
      <c r="AQ312" s="1561"/>
      <c r="AR312" s="1561"/>
      <c r="AS312" s="1561"/>
      <c r="AT312" s="1561"/>
      <c r="AU312" s="1561"/>
      <c r="AV312" s="1561"/>
      <c r="AW312" s="1561"/>
      <c r="AX312" s="1561"/>
      <c r="AY312" s="1561"/>
      <c r="AZ312" s="1561"/>
      <c r="BA312" s="1561"/>
      <c r="BB312" s="1561"/>
      <c r="BC312" s="1561"/>
      <c r="BD312" s="1561"/>
      <c r="BE312" s="1561"/>
      <c r="BF312" s="1561"/>
      <c r="BS312" s="1561"/>
      <c r="BT312" s="1561"/>
      <c r="BU312" s="1561"/>
      <c r="BV312" s="1444"/>
      <c r="BW312" s="1443"/>
      <c r="BX312" s="1443"/>
      <c r="BY312" s="1443"/>
      <c r="BZ312" s="1561"/>
      <c r="CA312" s="1561"/>
    </row>
    <row r="313" spans="2:79" ht="12.75" customHeight="1">
      <c r="B313" s="1555"/>
      <c r="C313" s="1561"/>
      <c r="D313" s="1561"/>
      <c r="E313" s="1561"/>
      <c r="F313" s="1562"/>
      <c r="G313" s="1563"/>
      <c r="H313" s="1563"/>
      <c r="I313" s="1563"/>
      <c r="J313" s="1563"/>
      <c r="K313" s="1561"/>
      <c r="L313" s="1561"/>
      <c r="M313" s="1561"/>
      <c r="N313" s="1561"/>
      <c r="O313" s="1561"/>
      <c r="P313" s="1561"/>
      <c r="Q313" s="1561"/>
      <c r="R313" s="1561"/>
      <c r="S313" s="1561"/>
      <c r="T313" s="1561"/>
      <c r="U313" s="1561"/>
      <c r="V313" s="1561"/>
      <c r="W313" s="1561"/>
      <c r="X313" s="1561"/>
      <c r="Y313" s="1561"/>
      <c r="Z313" s="1561"/>
      <c r="AA313" s="1561"/>
      <c r="AB313" s="1561"/>
      <c r="AC313" s="1561"/>
      <c r="AD313" s="1561"/>
      <c r="AE313" s="1561"/>
      <c r="AF313" s="1561"/>
      <c r="AG313" s="1561"/>
      <c r="AH313" s="1561"/>
      <c r="AI313" s="1561"/>
      <c r="AJ313" s="1561"/>
      <c r="AK313" s="1561"/>
      <c r="AL313" s="1561"/>
      <c r="AM313" s="1561"/>
      <c r="AN313" s="1561"/>
      <c r="AO313" s="1561"/>
      <c r="AP313" s="1561"/>
      <c r="AQ313" s="1561"/>
      <c r="AR313" s="1561"/>
      <c r="AS313" s="1561"/>
      <c r="AT313" s="1561"/>
      <c r="AU313" s="1561"/>
      <c r="AV313" s="1561"/>
      <c r="AW313" s="1561"/>
      <c r="AX313" s="1561"/>
      <c r="AY313" s="1561"/>
      <c r="AZ313" s="1561"/>
      <c r="BA313" s="1561"/>
      <c r="BB313" s="1561"/>
      <c r="BC313" s="1561"/>
      <c r="BD313" s="1561"/>
      <c r="BE313" s="1561"/>
      <c r="BF313" s="1561"/>
      <c r="BS313" s="1561"/>
      <c r="BT313" s="1561"/>
      <c r="BU313" s="1561"/>
      <c r="BV313" s="1444"/>
      <c r="BW313" s="1443"/>
      <c r="BX313" s="1443"/>
      <c r="BY313" s="1443"/>
      <c r="BZ313" s="1561"/>
      <c r="CA313" s="1561"/>
    </row>
    <row r="314" spans="2:79" ht="12.75" customHeight="1">
      <c r="B314" s="1555"/>
      <c r="C314" s="1561"/>
      <c r="D314" s="1561"/>
      <c r="E314" s="1561"/>
      <c r="F314" s="1562"/>
      <c r="G314" s="1563"/>
      <c r="H314" s="1563"/>
      <c r="I314" s="1563"/>
      <c r="J314" s="1563"/>
      <c r="K314" s="1561"/>
      <c r="L314" s="1561"/>
      <c r="M314" s="1561"/>
      <c r="N314" s="1561"/>
      <c r="O314" s="1561"/>
      <c r="P314" s="1561"/>
      <c r="Q314" s="1561"/>
      <c r="R314" s="1561"/>
      <c r="S314" s="1561"/>
      <c r="T314" s="1561"/>
      <c r="U314" s="1561"/>
      <c r="V314" s="1561"/>
      <c r="W314" s="1561"/>
      <c r="X314" s="1561"/>
      <c r="Y314" s="1561"/>
      <c r="Z314" s="1561"/>
      <c r="AA314" s="1561"/>
      <c r="AB314" s="1561"/>
      <c r="AC314" s="1561"/>
      <c r="AD314" s="1561"/>
      <c r="AE314" s="1561"/>
      <c r="AF314" s="1561"/>
      <c r="AG314" s="1561"/>
      <c r="AH314" s="1561"/>
      <c r="AI314" s="1561"/>
      <c r="AJ314" s="1561"/>
      <c r="AK314" s="1561"/>
      <c r="AL314" s="1561"/>
      <c r="AM314" s="1561"/>
      <c r="AN314" s="1561"/>
      <c r="AO314" s="1561"/>
      <c r="AP314" s="1561"/>
      <c r="AQ314" s="1561"/>
      <c r="AR314" s="1561"/>
      <c r="AS314" s="1561"/>
      <c r="AT314" s="1561"/>
      <c r="AU314" s="1561"/>
      <c r="AV314" s="1561"/>
      <c r="AW314" s="1561"/>
      <c r="AX314" s="1561"/>
      <c r="AY314" s="1561"/>
      <c r="AZ314" s="1561"/>
      <c r="BA314" s="1561"/>
      <c r="BB314" s="1561"/>
      <c r="BC314" s="1561"/>
      <c r="BD314" s="1561"/>
      <c r="BE314" s="1561"/>
      <c r="BF314" s="1561"/>
      <c r="BS314" s="1561"/>
      <c r="BT314" s="1561"/>
      <c r="BU314" s="1561"/>
      <c r="BV314" s="1444"/>
      <c r="BW314" s="1443"/>
      <c r="BX314" s="1443"/>
      <c r="BY314" s="1443"/>
      <c r="BZ314" s="1561"/>
      <c r="CA314" s="1561"/>
    </row>
    <row r="315" spans="2:79" ht="12.75" customHeight="1">
      <c r="B315" s="1555"/>
      <c r="C315" s="1561"/>
      <c r="D315" s="1561"/>
      <c r="E315" s="1561"/>
      <c r="F315" s="1562"/>
      <c r="G315" s="1563"/>
      <c r="H315" s="1563"/>
      <c r="I315" s="1563"/>
      <c r="J315" s="1563"/>
      <c r="K315" s="1561"/>
      <c r="L315" s="1561"/>
      <c r="M315" s="1561"/>
      <c r="N315" s="1561"/>
      <c r="O315" s="1561"/>
      <c r="P315" s="1561"/>
      <c r="Q315" s="1561"/>
      <c r="R315" s="1561"/>
      <c r="S315" s="1561"/>
      <c r="T315" s="1561"/>
      <c r="U315" s="1561"/>
      <c r="V315" s="1561"/>
      <c r="W315" s="1561"/>
      <c r="X315" s="1561"/>
      <c r="Y315" s="1561"/>
      <c r="Z315" s="1561"/>
      <c r="AA315" s="1561"/>
      <c r="AB315" s="1561"/>
      <c r="AC315" s="1561"/>
      <c r="AD315" s="1561"/>
      <c r="AE315" s="1561"/>
      <c r="AF315" s="1561"/>
      <c r="AG315" s="1561"/>
      <c r="AH315" s="1561"/>
      <c r="AI315" s="1561"/>
      <c r="AJ315" s="1561"/>
      <c r="AK315" s="1561"/>
      <c r="AL315" s="1561"/>
      <c r="AM315" s="1561"/>
      <c r="AN315" s="1561"/>
      <c r="AO315" s="1561"/>
      <c r="AP315" s="1561"/>
      <c r="AQ315" s="1561"/>
      <c r="AR315" s="1561"/>
      <c r="AS315" s="1561"/>
      <c r="AT315" s="1561"/>
      <c r="AU315" s="1561"/>
      <c r="AV315" s="1561"/>
      <c r="AW315" s="1561"/>
      <c r="AX315" s="1561"/>
      <c r="AY315" s="1561"/>
      <c r="AZ315" s="1561"/>
      <c r="BA315" s="1561"/>
      <c r="BB315" s="1561"/>
      <c r="BC315" s="1561"/>
      <c r="BD315" s="1561"/>
      <c r="BE315" s="1561"/>
      <c r="BF315" s="1561"/>
      <c r="BS315" s="1561"/>
      <c r="BT315" s="1561"/>
      <c r="BU315" s="1561"/>
      <c r="BV315" s="1444"/>
      <c r="BW315" s="1443"/>
      <c r="BX315" s="1443"/>
      <c r="BY315" s="1443"/>
      <c r="BZ315" s="1561"/>
      <c r="CA315" s="1561"/>
    </row>
    <row r="316" spans="2:79" ht="12.75" customHeight="1">
      <c r="B316" s="1555"/>
      <c r="C316" s="1561"/>
      <c r="D316" s="1561"/>
      <c r="E316" s="1561"/>
      <c r="F316" s="1562"/>
      <c r="G316" s="1563"/>
      <c r="H316" s="1563"/>
      <c r="I316" s="1563"/>
      <c r="J316" s="1563"/>
      <c r="K316" s="1561"/>
      <c r="L316" s="1561"/>
      <c r="M316" s="1561"/>
      <c r="N316" s="1561"/>
      <c r="O316" s="1561"/>
      <c r="P316" s="1561"/>
      <c r="Q316" s="1561"/>
      <c r="R316" s="1561"/>
      <c r="S316" s="1561"/>
      <c r="T316" s="1561"/>
      <c r="U316" s="1561"/>
      <c r="V316" s="1561"/>
      <c r="W316" s="1561"/>
      <c r="X316" s="1561"/>
      <c r="Y316" s="1561"/>
      <c r="Z316" s="1561"/>
      <c r="AA316" s="1561"/>
      <c r="AB316" s="1561"/>
      <c r="AC316" s="1561"/>
      <c r="AD316" s="1561"/>
      <c r="AE316" s="1561"/>
      <c r="AF316" s="1561"/>
      <c r="AG316" s="1561"/>
      <c r="AH316" s="1561"/>
      <c r="AI316" s="1561"/>
      <c r="AJ316" s="1561"/>
      <c r="AK316" s="1561"/>
      <c r="AL316" s="1561"/>
      <c r="AM316" s="1561"/>
      <c r="AN316" s="1561"/>
      <c r="AO316" s="1561"/>
      <c r="AP316" s="1561"/>
      <c r="AQ316" s="1561"/>
      <c r="AR316" s="1561"/>
      <c r="AS316" s="1561"/>
      <c r="AT316" s="1561"/>
      <c r="AU316" s="1561"/>
      <c r="AV316" s="1561"/>
      <c r="AW316" s="1561"/>
      <c r="AX316" s="1561"/>
      <c r="AY316" s="1561"/>
      <c r="AZ316" s="1561"/>
      <c r="BA316" s="1561"/>
      <c r="BB316" s="1561"/>
      <c r="BC316" s="1561"/>
      <c r="BD316" s="1561"/>
      <c r="BE316" s="1561"/>
      <c r="BF316" s="1561"/>
      <c r="BS316" s="1561"/>
      <c r="BT316" s="1561"/>
      <c r="BU316" s="1561"/>
      <c r="BV316" s="1444"/>
      <c r="BW316" s="1443"/>
      <c r="BX316" s="1443"/>
      <c r="BY316" s="1443"/>
      <c r="BZ316" s="1561"/>
      <c r="CA316" s="1561"/>
    </row>
    <row r="317" spans="2:79" ht="12.75" customHeight="1">
      <c r="B317" s="1555"/>
      <c r="C317" s="1561"/>
      <c r="D317" s="1561"/>
      <c r="E317" s="1561"/>
      <c r="F317" s="1562"/>
      <c r="G317" s="1563"/>
      <c r="H317" s="1563"/>
      <c r="I317" s="1563"/>
      <c r="J317" s="1563"/>
      <c r="K317" s="1561"/>
      <c r="L317" s="1561"/>
      <c r="M317" s="1561"/>
      <c r="N317" s="1561"/>
      <c r="O317" s="1561"/>
      <c r="P317" s="1561"/>
      <c r="Q317" s="1561"/>
      <c r="R317" s="1561"/>
      <c r="S317" s="1561"/>
      <c r="T317" s="1561"/>
      <c r="U317" s="1561"/>
      <c r="V317" s="1561"/>
      <c r="W317" s="1561"/>
      <c r="X317" s="1561"/>
      <c r="Y317" s="1561"/>
      <c r="Z317" s="1561"/>
      <c r="AA317" s="1561"/>
      <c r="AB317" s="1561"/>
      <c r="AC317" s="1561"/>
      <c r="AD317" s="1561"/>
      <c r="AE317" s="1561"/>
      <c r="AF317" s="1561"/>
      <c r="AG317" s="1561"/>
      <c r="AH317" s="1561"/>
      <c r="AI317" s="1561"/>
      <c r="AJ317" s="1561"/>
      <c r="AK317" s="1561"/>
      <c r="AL317" s="1561"/>
      <c r="AM317" s="1561"/>
      <c r="AN317" s="1561"/>
      <c r="AO317" s="1561"/>
      <c r="AP317" s="1561"/>
      <c r="AQ317" s="1561"/>
      <c r="AR317" s="1561"/>
      <c r="AS317" s="1561"/>
      <c r="AT317" s="1561"/>
      <c r="AU317" s="1561"/>
      <c r="AV317" s="1561"/>
      <c r="AW317" s="1561"/>
      <c r="AX317" s="1561"/>
      <c r="AY317" s="1561"/>
      <c r="AZ317" s="1561"/>
      <c r="BA317" s="1561"/>
      <c r="BB317" s="1561"/>
      <c r="BC317" s="1561"/>
      <c r="BD317" s="1561"/>
      <c r="BE317" s="1561"/>
      <c r="BF317" s="1561"/>
      <c r="BS317" s="1561"/>
      <c r="BT317" s="1561"/>
      <c r="BU317" s="1561"/>
      <c r="BV317" s="1444"/>
      <c r="BW317" s="1443"/>
      <c r="BX317" s="1443"/>
      <c r="BY317" s="1443"/>
      <c r="BZ317" s="1561"/>
      <c r="CA317" s="1561"/>
    </row>
    <row r="318" spans="2:79" ht="12.75" customHeight="1">
      <c r="B318" s="1555"/>
      <c r="C318" s="1561"/>
      <c r="D318" s="1561"/>
      <c r="E318" s="1561"/>
      <c r="F318" s="1562"/>
      <c r="G318" s="1563"/>
      <c r="H318" s="1563"/>
      <c r="I318" s="1563"/>
      <c r="J318" s="1563"/>
      <c r="K318" s="1561"/>
      <c r="L318" s="1561"/>
      <c r="M318" s="1561"/>
      <c r="N318" s="1561"/>
      <c r="O318" s="1561"/>
      <c r="P318" s="1561"/>
      <c r="Q318" s="1561"/>
      <c r="R318" s="1561"/>
      <c r="S318" s="1561"/>
      <c r="T318" s="1561"/>
      <c r="U318" s="1561"/>
      <c r="V318" s="1561"/>
      <c r="W318" s="1561"/>
      <c r="X318" s="1561"/>
      <c r="Y318" s="1561"/>
      <c r="Z318" s="1561"/>
      <c r="AA318" s="1561"/>
      <c r="AB318" s="1561"/>
      <c r="AC318" s="1561"/>
      <c r="AD318" s="1561"/>
      <c r="AE318" s="1561"/>
      <c r="AF318" s="1561"/>
      <c r="AG318" s="1561"/>
      <c r="AH318" s="1561"/>
      <c r="AI318" s="1561"/>
      <c r="AJ318" s="1561"/>
      <c r="AK318" s="1561"/>
      <c r="AL318" s="1561"/>
      <c r="AM318" s="1561"/>
      <c r="AN318" s="1561"/>
      <c r="AO318" s="1561"/>
      <c r="AP318" s="1561"/>
      <c r="AQ318" s="1561"/>
      <c r="AR318" s="1561"/>
      <c r="AS318" s="1561"/>
      <c r="AT318" s="1561"/>
      <c r="AU318" s="1561"/>
      <c r="AV318" s="1561"/>
      <c r="AW318" s="1561"/>
      <c r="AX318" s="1561"/>
      <c r="AY318" s="1561"/>
      <c r="AZ318" s="1561"/>
      <c r="BA318" s="1561"/>
      <c r="BB318" s="1561"/>
      <c r="BC318" s="1561"/>
      <c r="BD318" s="1561"/>
      <c r="BE318" s="1561"/>
      <c r="BF318" s="1561"/>
      <c r="BS318" s="1561"/>
      <c r="BT318" s="1561"/>
      <c r="BU318" s="1561"/>
      <c r="BV318" s="1444"/>
      <c r="BW318" s="1443"/>
      <c r="BX318" s="1443"/>
      <c r="BY318" s="1443"/>
      <c r="BZ318" s="1561"/>
      <c r="CA318" s="1561"/>
    </row>
    <row r="319" spans="2:79" ht="12.75" customHeight="1">
      <c r="B319" s="1555"/>
      <c r="C319" s="1561"/>
      <c r="D319" s="1561"/>
      <c r="E319" s="1561"/>
      <c r="F319" s="1562"/>
      <c r="G319" s="1563"/>
      <c r="H319" s="1563"/>
      <c r="I319" s="1563"/>
      <c r="J319" s="1563"/>
      <c r="K319" s="1561"/>
      <c r="L319" s="1561"/>
      <c r="M319" s="1561"/>
      <c r="N319" s="1561"/>
      <c r="O319" s="1561"/>
      <c r="P319" s="1561"/>
      <c r="Q319" s="1561"/>
      <c r="R319" s="1561"/>
      <c r="S319" s="1561"/>
      <c r="T319" s="1561"/>
      <c r="U319" s="1561"/>
      <c r="V319" s="1561"/>
      <c r="W319" s="1561"/>
      <c r="X319" s="1561"/>
      <c r="Y319" s="1561"/>
      <c r="Z319" s="1561"/>
      <c r="AA319" s="1561"/>
      <c r="AB319" s="1561"/>
      <c r="AC319" s="1561"/>
      <c r="AD319" s="1561"/>
      <c r="AE319" s="1561"/>
      <c r="AF319" s="1561"/>
      <c r="AG319" s="1561"/>
      <c r="AH319" s="1561"/>
      <c r="AI319" s="1561"/>
      <c r="AJ319" s="1561"/>
      <c r="AK319" s="1561"/>
      <c r="AL319" s="1561"/>
      <c r="AM319" s="1561"/>
      <c r="AN319" s="1561"/>
      <c r="AO319" s="1561"/>
      <c r="AP319" s="1561"/>
      <c r="AQ319" s="1561"/>
      <c r="AR319" s="1561"/>
      <c r="AS319" s="1561"/>
      <c r="AT319" s="1561"/>
      <c r="AU319" s="1561"/>
      <c r="AV319" s="1561"/>
      <c r="AW319" s="1561"/>
      <c r="AX319" s="1561"/>
      <c r="AY319" s="1561"/>
      <c r="AZ319" s="1561"/>
      <c r="BA319" s="1561"/>
      <c r="BB319" s="1561"/>
      <c r="BC319" s="1561"/>
      <c r="BD319" s="1561"/>
      <c r="BE319" s="1561"/>
      <c r="BF319" s="1561"/>
      <c r="BS319" s="1561"/>
      <c r="BT319" s="1561"/>
      <c r="BU319" s="1561"/>
      <c r="BV319" s="1444"/>
      <c r="BW319" s="1443"/>
      <c r="BX319" s="1443"/>
      <c r="BY319" s="1443"/>
      <c r="BZ319" s="1561"/>
      <c r="CA319" s="1561"/>
    </row>
    <row r="320" spans="2:79" ht="12.75" customHeight="1">
      <c r="B320" s="1555"/>
      <c r="C320" s="1561"/>
      <c r="D320" s="1561"/>
      <c r="E320" s="1561"/>
      <c r="F320" s="1562"/>
      <c r="G320" s="1563"/>
      <c r="H320" s="1563"/>
      <c r="I320" s="1563"/>
      <c r="J320" s="1563"/>
      <c r="K320" s="1561"/>
      <c r="L320" s="1561"/>
      <c r="M320" s="1561"/>
      <c r="N320" s="1561"/>
      <c r="O320" s="1561"/>
      <c r="P320" s="1561"/>
      <c r="Q320" s="1561"/>
      <c r="R320" s="1561"/>
      <c r="S320" s="1561"/>
      <c r="T320" s="1561"/>
      <c r="U320" s="1561"/>
      <c r="V320" s="1561"/>
      <c r="W320" s="1561"/>
      <c r="X320" s="1561"/>
      <c r="Y320" s="1561"/>
      <c r="Z320" s="1561"/>
      <c r="AA320" s="1561"/>
      <c r="AB320" s="1561"/>
      <c r="AC320" s="1561"/>
      <c r="AD320" s="1561"/>
      <c r="AE320" s="1561"/>
      <c r="AF320" s="1561"/>
      <c r="AG320" s="1561"/>
      <c r="AH320" s="1561"/>
      <c r="AI320" s="1561"/>
      <c r="AJ320" s="1561"/>
      <c r="AK320" s="1561"/>
      <c r="AL320" s="1561"/>
      <c r="AM320" s="1561"/>
      <c r="AN320" s="1561"/>
      <c r="AO320" s="1561"/>
      <c r="AP320" s="1561"/>
      <c r="AQ320" s="1561"/>
      <c r="AR320" s="1561"/>
      <c r="AS320" s="1561"/>
      <c r="AT320" s="1561"/>
      <c r="AU320" s="1561"/>
      <c r="AV320" s="1561"/>
      <c r="AW320" s="1561"/>
      <c r="AX320" s="1561"/>
      <c r="AY320" s="1561"/>
      <c r="AZ320" s="1561"/>
      <c r="BA320" s="1561"/>
      <c r="BB320" s="1561"/>
      <c r="BC320" s="1561"/>
      <c r="BD320" s="1561"/>
      <c r="BE320" s="1561"/>
      <c r="BF320" s="1561"/>
      <c r="BS320" s="1561"/>
      <c r="BT320" s="1561"/>
      <c r="BU320" s="1561"/>
      <c r="BV320" s="1444"/>
      <c r="BW320" s="1443"/>
      <c r="BX320" s="1443"/>
      <c r="BY320" s="1443"/>
      <c r="BZ320" s="1561"/>
      <c r="CA320" s="1561"/>
    </row>
    <row r="321" spans="2:79" ht="12.75" customHeight="1">
      <c r="B321" s="1555"/>
      <c r="C321" s="1561"/>
      <c r="D321" s="1561"/>
      <c r="E321" s="1561"/>
      <c r="F321" s="1562"/>
      <c r="G321" s="1563"/>
      <c r="H321" s="1563"/>
      <c r="I321" s="1563"/>
      <c r="J321" s="1563"/>
      <c r="K321" s="1561"/>
      <c r="L321" s="1561"/>
      <c r="M321" s="1561"/>
      <c r="N321" s="1561"/>
      <c r="O321" s="1561"/>
      <c r="P321" s="1561"/>
      <c r="Q321" s="1561"/>
      <c r="R321" s="1561"/>
      <c r="S321" s="1561"/>
      <c r="T321" s="1561"/>
      <c r="U321" s="1561"/>
      <c r="V321" s="1561"/>
      <c r="W321" s="1561"/>
      <c r="X321" s="1561"/>
      <c r="Y321" s="1561"/>
      <c r="Z321" s="1561"/>
      <c r="AA321" s="1561"/>
      <c r="AB321" s="1561"/>
      <c r="AC321" s="1561"/>
      <c r="AD321" s="1561"/>
      <c r="AE321" s="1561"/>
      <c r="AF321" s="1561"/>
      <c r="AG321" s="1561"/>
      <c r="AH321" s="1561"/>
      <c r="AI321" s="1561"/>
      <c r="AJ321" s="1561"/>
      <c r="AK321" s="1561"/>
      <c r="AL321" s="1561"/>
      <c r="AM321" s="1561"/>
      <c r="AN321" s="1561"/>
      <c r="AO321" s="1561"/>
      <c r="AP321" s="1561"/>
      <c r="AQ321" s="1561"/>
      <c r="AR321" s="1561"/>
      <c r="AS321" s="1561"/>
      <c r="AT321" s="1561"/>
      <c r="AU321" s="1561"/>
      <c r="AV321" s="1561"/>
      <c r="AW321" s="1561"/>
      <c r="AX321" s="1561"/>
      <c r="AY321" s="1561"/>
      <c r="AZ321" s="1561"/>
      <c r="BA321" s="1561"/>
      <c r="BB321" s="1561"/>
      <c r="BC321" s="1561"/>
      <c r="BD321" s="1561"/>
      <c r="BE321" s="1561"/>
      <c r="BF321" s="1561"/>
      <c r="BS321" s="1561"/>
      <c r="BT321" s="1561"/>
      <c r="BU321" s="1561"/>
      <c r="BV321" s="1444"/>
      <c r="BW321" s="1443"/>
      <c r="BX321" s="1443"/>
      <c r="BY321" s="1443"/>
      <c r="BZ321" s="1561"/>
      <c r="CA321" s="1561"/>
    </row>
    <row r="322" spans="2:79" ht="12.75" customHeight="1">
      <c r="B322" s="1555"/>
      <c r="C322" s="1561"/>
      <c r="D322" s="1561"/>
      <c r="E322" s="1561"/>
      <c r="F322" s="1562"/>
      <c r="G322" s="1563"/>
      <c r="H322" s="1563"/>
      <c r="I322" s="1563"/>
      <c r="J322" s="1563"/>
      <c r="K322" s="1561"/>
      <c r="L322" s="1561"/>
      <c r="M322" s="1561"/>
      <c r="N322" s="1561"/>
      <c r="O322" s="1561"/>
      <c r="P322" s="1561"/>
      <c r="Q322" s="1561"/>
      <c r="R322" s="1561"/>
      <c r="S322" s="1561"/>
      <c r="T322" s="1561"/>
      <c r="U322" s="1561"/>
      <c r="V322" s="1561"/>
      <c r="W322" s="1561"/>
      <c r="X322" s="1561"/>
      <c r="Y322" s="1561"/>
      <c r="Z322" s="1561"/>
      <c r="AA322" s="1561"/>
      <c r="AB322" s="1561"/>
      <c r="AC322" s="1561"/>
      <c r="AD322" s="1561"/>
      <c r="AE322" s="1561"/>
      <c r="AF322" s="1561"/>
      <c r="AG322" s="1561"/>
      <c r="AH322" s="1561"/>
      <c r="AI322" s="1561"/>
      <c r="AJ322" s="1561"/>
      <c r="AK322" s="1561"/>
      <c r="AL322" s="1561"/>
      <c r="AM322" s="1561"/>
      <c r="AN322" s="1561"/>
      <c r="AO322" s="1561"/>
      <c r="AP322" s="1561"/>
      <c r="AQ322" s="1561"/>
      <c r="AR322" s="1561"/>
      <c r="AS322" s="1561"/>
      <c r="AT322" s="1561"/>
      <c r="AU322" s="1561"/>
      <c r="AV322" s="1561"/>
      <c r="AW322" s="1561"/>
      <c r="AX322" s="1561"/>
      <c r="AY322" s="1561"/>
      <c r="AZ322" s="1561"/>
      <c r="BA322" s="1561"/>
      <c r="BB322" s="1561"/>
      <c r="BC322" s="1561"/>
      <c r="BD322" s="1561"/>
      <c r="BE322" s="1561"/>
      <c r="BF322" s="1561"/>
      <c r="BS322" s="1561"/>
      <c r="BT322" s="1561"/>
      <c r="BU322" s="1561"/>
      <c r="BV322" s="1444"/>
      <c r="BW322" s="1443"/>
      <c r="BX322" s="1443"/>
      <c r="BY322" s="1443"/>
      <c r="BZ322" s="1561"/>
      <c r="CA322" s="1561"/>
    </row>
    <row r="323" spans="2:79" ht="12.75" customHeight="1">
      <c r="B323" s="1555"/>
      <c r="C323" s="1561"/>
      <c r="D323" s="1561"/>
      <c r="E323" s="1561"/>
      <c r="F323" s="1562"/>
      <c r="G323" s="1563"/>
      <c r="H323" s="1563"/>
      <c r="I323" s="1563"/>
      <c r="J323" s="1563"/>
      <c r="K323" s="1561"/>
      <c r="L323" s="1561"/>
      <c r="M323" s="1561"/>
      <c r="N323" s="1561"/>
      <c r="O323" s="1561"/>
      <c r="P323" s="1561"/>
      <c r="Q323" s="1561"/>
      <c r="R323" s="1561"/>
      <c r="S323" s="1561"/>
      <c r="T323" s="1561"/>
      <c r="U323" s="1561"/>
      <c r="V323" s="1561"/>
      <c r="W323" s="1561"/>
      <c r="X323" s="1561"/>
      <c r="Y323" s="1561"/>
      <c r="Z323" s="1561"/>
      <c r="AA323" s="1561"/>
      <c r="AB323" s="1561"/>
      <c r="AC323" s="1561"/>
      <c r="AD323" s="1561"/>
      <c r="AE323" s="1561"/>
      <c r="AF323" s="1561"/>
      <c r="AG323" s="1561"/>
      <c r="AH323" s="1561"/>
      <c r="AI323" s="1561"/>
      <c r="AJ323" s="1561"/>
      <c r="AK323" s="1561"/>
      <c r="AL323" s="1561"/>
      <c r="AM323" s="1561"/>
      <c r="AN323" s="1561"/>
      <c r="AO323" s="1561"/>
      <c r="AP323" s="1561"/>
      <c r="AQ323" s="1561"/>
      <c r="AR323" s="1561"/>
      <c r="AS323" s="1561"/>
      <c r="AT323" s="1561"/>
      <c r="AU323" s="1561"/>
      <c r="AV323" s="1561"/>
      <c r="AW323" s="1561"/>
      <c r="AX323" s="1561"/>
      <c r="AY323" s="1561"/>
      <c r="AZ323" s="1561"/>
      <c r="BA323" s="1561"/>
      <c r="BB323" s="1561"/>
      <c r="BC323" s="1561"/>
      <c r="BD323" s="1561"/>
      <c r="BE323" s="1561"/>
      <c r="BF323" s="1561"/>
      <c r="BS323" s="1561"/>
      <c r="BT323" s="1561"/>
      <c r="BU323" s="1561"/>
      <c r="BV323" s="1444"/>
      <c r="BW323" s="1443"/>
      <c r="BX323" s="1443"/>
      <c r="BY323" s="1443"/>
      <c r="BZ323" s="1561"/>
      <c r="CA323" s="1561"/>
    </row>
    <row r="324" spans="2:79" ht="12.75" customHeight="1">
      <c r="B324" s="1555"/>
      <c r="C324" s="1561"/>
      <c r="D324" s="1561"/>
      <c r="E324" s="1561"/>
      <c r="F324" s="1562"/>
      <c r="G324" s="1563"/>
      <c r="H324" s="1563"/>
      <c r="I324" s="1563"/>
      <c r="J324" s="1563"/>
      <c r="K324" s="1561"/>
      <c r="L324" s="1561"/>
      <c r="M324" s="1561"/>
      <c r="N324" s="1561"/>
      <c r="O324" s="1561"/>
      <c r="P324" s="1561"/>
      <c r="Q324" s="1561"/>
      <c r="R324" s="1561"/>
      <c r="S324" s="1561"/>
      <c r="T324" s="1561"/>
      <c r="U324" s="1561"/>
      <c r="V324" s="1561"/>
      <c r="W324" s="1561"/>
      <c r="X324" s="1561"/>
      <c r="Y324" s="1561"/>
      <c r="Z324" s="1561"/>
      <c r="AA324" s="1561"/>
      <c r="AB324" s="1561"/>
      <c r="AC324" s="1561"/>
      <c r="AD324" s="1561"/>
      <c r="AE324" s="1561"/>
      <c r="AF324" s="1561"/>
      <c r="AG324" s="1561"/>
      <c r="AH324" s="1561"/>
      <c r="AI324" s="1561"/>
      <c r="AJ324" s="1561"/>
      <c r="AK324" s="1561"/>
      <c r="AL324" s="1561"/>
      <c r="AM324" s="1561"/>
      <c r="AN324" s="1561"/>
      <c r="AO324" s="1561"/>
      <c r="AP324" s="1561"/>
      <c r="AQ324" s="1561"/>
      <c r="AR324" s="1561"/>
      <c r="AS324" s="1561"/>
      <c r="AT324" s="1561"/>
      <c r="AU324" s="1561"/>
      <c r="AV324" s="1561"/>
      <c r="AW324" s="1561"/>
      <c r="AX324" s="1561"/>
      <c r="AY324" s="1561"/>
      <c r="AZ324" s="1561"/>
      <c r="BA324" s="1561"/>
      <c r="BB324" s="1561"/>
      <c r="BC324" s="1561"/>
      <c r="BD324" s="1561"/>
      <c r="BE324" s="1561"/>
      <c r="BF324" s="1561"/>
      <c r="BS324" s="1561"/>
      <c r="BT324" s="1561"/>
      <c r="BU324" s="1561"/>
      <c r="BV324" s="1444"/>
      <c r="BW324" s="1443"/>
      <c r="BX324" s="1443"/>
      <c r="BY324" s="1443"/>
      <c r="BZ324" s="1561"/>
      <c r="CA324" s="1561"/>
    </row>
    <row r="325" spans="2:79" ht="12.75" customHeight="1">
      <c r="B325" s="1555"/>
      <c r="C325" s="1561"/>
      <c r="D325" s="1561"/>
      <c r="E325" s="1561"/>
      <c r="F325" s="1562"/>
      <c r="G325" s="1563"/>
      <c r="H325" s="1563"/>
      <c r="I325" s="1563"/>
      <c r="J325" s="1563"/>
      <c r="K325" s="1561"/>
      <c r="L325" s="1561"/>
      <c r="M325" s="1561"/>
      <c r="N325" s="1561"/>
      <c r="O325" s="1561"/>
      <c r="P325" s="1561"/>
      <c r="Q325" s="1561"/>
      <c r="R325" s="1561"/>
      <c r="S325" s="1561"/>
      <c r="T325" s="1561"/>
      <c r="U325" s="1561"/>
      <c r="V325" s="1561"/>
      <c r="W325" s="1561"/>
      <c r="X325" s="1561"/>
      <c r="Y325" s="1561"/>
      <c r="Z325" s="1561"/>
      <c r="AA325" s="1561"/>
      <c r="AB325" s="1561"/>
      <c r="AC325" s="1561"/>
      <c r="AD325" s="1561"/>
      <c r="AE325" s="1561"/>
      <c r="AF325" s="1561"/>
      <c r="AG325" s="1561"/>
      <c r="AH325" s="1561"/>
      <c r="AI325" s="1561"/>
      <c r="AJ325" s="1561"/>
      <c r="AK325" s="1561"/>
      <c r="AL325" s="1561"/>
      <c r="AM325" s="1561"/>
      <c r="AN325" s="1561"/>
      <c r="AO325" s="1561"/>
      <c r="AP325" s="1561"/>
      <c r="AQ325" s="1561"/>
      <c r="AR325" s="1561"/>
      <c r="AS325" s="1561"/>
      <c r="AT325" s="1561"/>
      <c r="AU325" s="1561"/>
      <c r="AV325" s="1561"/>
      <c r="AW325" s="1561"/>
      <c r="AX325" s="1561"/>
      <c r="AY325" s="1561"/>
      <c r="AZ325" s="1561"/>
      <c r="BA325" s="1561"/>
      <c r="BB325" s="1561"/>
      <c r="BC325" s="1561"/>
      <c r="BD325" s="1561"/>
      <c r="BE325" s="1561"/>
      <c r="BF325" s="1561"/>
      <c r="BS325" s="1561"/>
      <c r="BT325" s="1561"/>
      <c r="BU325" s="1561"/>
      <c r="BV325" s="1444"/>
      <c r="BW325" s="1443"/>
      <c r="BX325" s="1443"/>
      <c r="BY325" s="1443"/>
      <c r="BZ325" s="1561"/>
      <c r="CA325" s="1561"/>
    </row>
    <row r="326" spans="2:79" ht="12.75" customHeight="1">
      <c r="B326" s="1555"/>
      <c r="C326" s="1561"/>
      <c r="D326" s="1561"/>
      <c r="E326" s="1561"/>
      <c r="F326" s="1562"/>
      <c r="G326" s="1563"/>
      <c r="H326" s="1563"/>
      <c r="I326" s="1563"/>
      <c r="J326" s="1563"/>
      <c r="K326" s="1561"/>
      <c r="L326" s="1561"/>
      <c r="M326" s="1561"/>
      <c r="N326" s="1561"/>
      <c r="O326" s="1561"/>
      <c r="P326" s="1561"/>
      <c r="Q326" s="1561"/>
      <c r="R326" s="1561"/>
      <c r="S326" s="1561"/>
      <c r="T326" s="1561"/>
      <c r="U326" s="1561"/>
      <c r="V326" s="1561"/>
      <c r="W326" s="1561"/>
      <c r="X326" s="1561"/>
      <c r="Y326" s="1561"/>
      <c r="Z326" s="1561"/>
      <c r="AA326" s="1561"/>
      <c r="AB326" s="1561"/>
      <c r="AC326" s="1561"/>
      <c r="AD326" s="1561"/>
      <c r="AE326" s="1561"/>
      <c r="AF326" s="1561"/>
      <c r="AG326" s="1561"/>
      <c r="AH326" s="1561"/>
      <c r="AI326" s="1561"/>
      <c r="AJ326" s="1561"/>
      <c r="AK326" s="1561"/>
      <c r="AL326" s="1561"/>
      <c r="AM326" s="1561"/>
      <c r="AN326" s="1561"/>
      <c r="AO326" s="1561"/>
      <c r="AP326" s="1561"/>
      <c r="AQ326" s="1561"/>
      <c r="AR326" s="1561"/>
      <c r="AS326" s="1561"/>
      <c r="AT326" s="1561"/>
      <c r="AU326" s="1561"/>
      <c r="AV326" s="1561"/>
      <c r="AW326" s="1561"/>
      <c r="AX326" s="1561"/>
      <c r="AY326" s="1561"/>
      <c r="AZ326" s="1561"/>
      <c r="BA326" s="1561"/>
      <c r="BB326" s="1561"/>
      <c r="BC326" s="1561"/>
      <c r="BD326" s="1561"/>
      <c r="BE326" s="1561"/>
      <c r="BF326" s="1561"/>
      <c r="BS326" s="1561"/>
      <c r="BT326" s="1561"/>
      <c r="BU326" s="1561"/>
      <c r="BV326" s="1444"/>
      <c r="BW326" s="1443"/>
      <c r="BX326" s="1443"/>
      <c r="BY326" s="1443"/>
      <c r="BZ326" s="1561"/>
      <c r="CA326" s="1561"/>
    </row>
    <row r="327" spans="2:79" ht="12.75" customHeight="1">
      <c r="B327" s="1555"/>
      <c r="C327" s="1561"/>
      <c r="D327" s="1561"/>
      <c r="E327" s="1561"/>
      <c r="F327" s="1562"/>
      <c r="G327" s="1563"/>
      <c r="H327" s="1563"/>
      <c r="I327" s="1563"/>
      <c r="J327" s="1563"/>
      <c r="K327" s="1561"/>
      <c r="L327" s="1561"/>
      <c r="M327" s="1561"/>
      <c r="N327" s="1561"/>
      <c r="O327" s="1561"/>
      <c r="P327" s="1561"/>
      <c r="Q327" s="1561"/>
      <c r="R327" s="1561"/>
      <c r="S327" s="1561"/>
      <c r="T327" s="1561"/>
      <c r="U327" s="1561"/>
      <c r="V327" s="1561"/>
      <c r="W327" s="1561"/>
      <c r="X327" s="1561"/>
      <c r="Y327" s="1561"/>
      <c r="Z327" s="1561"/>
      <c r="AA327" s="1561"/>
      <c r="AB327" s="1561"/>
      <c r="AC327" s="1561"/>
      <c r="AD327" s="1561"/>
      <c r="AE327" s="1561"/>
      <c r="AF327" s="1561"/>
      <c r="AG327" s="1561"/>
      <c r="AH327" s="1561"/>
      <c r="AI327" s="1561"/>
      <c r="AJ327" s="1561"/>
      <c r="AK327" s="1561"/>
      <c r="AL327" s="1561"/>
      <c r="AM327" s="1561"/>
      <c r="AN327" s="1561"/>
      <c r="AO327" s="1561"/>
      <c r="AP327" s="1561"/>
      <c r="AQ327" s="1561"/>
      <c r="AR327" s="1561"/>
      <c r="AS327" s="1561"/>
      <c r="AT327" s="1561"/>
      <c r="AU327" s="1561"/>
      <c r="AV327" s="1561"/>
      <c r="AW327" s="1561"/>
      <c r="AX327" s="1561"/>
      <c r="AY327" s="1561"/>
      <c r="AZ327" s="1561"/>
      <c r="BA327" s="1561"/>
      <c r="BB327" s="1561"/>
      <c r="BC327" s="1561"/>
      <c r="BD327" s="1561"/>
      <c r="BE327" s="1561"/>
      <c r="BF327" s="1561"/>
      <c r="BS327" s="1561"/>
      <c r="BT327" s="1561"/>
      <c r="BU327" s="1561"/>
      <c r="BV327" s="1444"/>
      <c r="BW327" s="1443"/>
      <c r="BX327" s="1443"/>
      <c r="BY327" s="1443"/>
      <c r="BZ327" s="1561"/>
      <c r="CA327" s="1561"/>
    </row>
    <row r="328" spans="2:79" ht="12.75" customHeight="1">
      <c r="B328" s="1555"/>
      <c r="C328" s="1561"/>
      <c r="D328" s="1561"/>
      <c r="E328" s="1561"/>
      <c r="F328" s="1562"/>
      <c r="G328" s="1563"/>
      <c r="H328" s="1563"/>
      <c r="I328" s="1563"/>
      <c r="J328" s="1563"/>
      <c r="K328" s="1561"/>
      <c r="L328" s="1561"/>
      <c r="M328" s="1561"/>
      <c r="N328" s="1561"/>
      <c r="O328" s="1561"/>
      <c r="P328" s="1561"/>
      <c r="Q328" s="1561"/>
      <c r="R328" s="1561"/>
      <c r="S328" s="1561"/>
      <c r="T328" s="1561"/>
      <c r="U328" s="1561"/>
      <c r="V328" s="1561"/>
      <c r="W328" s="1561"/>
      <c r="X328" s="1561"/>
      <c r="Y328" s="1561"/>
      <c r="Z328" s="1561"/>
      <c r="AA328" s="1561"/>
      <c r="AB328" s="1561"/>
      <c r="AC328" s="1561"/>
      <c r="AD328" s="1561"/>
      <c r="AE328" s="1561"/>
      <c r="AF328" s="1561"/>
      <c r="AG328" s="1561"/>
      <c r="AH328" s="1561"/>
      <c r="AI328" s="1561"/>
      <c r="AJ328" s="1561"/>
      <c r="AK328" s="1561"/>
      <c r="AL328" s="1561"/>
      <c r="AM328" s="1561"/>
      <c r="AN328" s="1561"/>
      <c r="AO328" s="1561"/>
      <c r="AP328" s="1561"/>
      <c r="AQ328" s="1561"/>
      <c r="AR328" s="1561"/>
      <c r="AS328" s="1561"/>
      <c r="AT328" s="1561"/>
      <c r="AU328" s="1561"/>
      <c r="AV328" s="1561"/>
      <c r="AW328" s="1561"/>
      <c r="AX328" s="1561"/>
      <c r="AY328" s="1561"/>
      <c r="AZ328" s="1561"/>
      <c r="BA328" s="1561"/>
      <c r="BB328" s="1561"/>
      <c r="BC328" s="1561"/>
      <c r="BD328" s="1561"/>
      <c r="BE328" s="1561"/>
      <c r="BF328" s="1561"/>
      <c r="BS328" s="1561"/>
      <c r="BT328" s="1561"/>
      <c r="BU328" s="1561"/>
      <c r="BV328" s="1444"/>
      <c r="BW328" s="1443"/>
      <c r="BX328" s="1443"/>
      <c r="BY328" s="1443"/>
      <c r="BZ328" s="1561"/>
      <c r="CA328" s="1561"/>
    </row>
    <row r="329" spans="2:79" ht="12.75" customHeight="1">
      <c r="B329" s="1555"/>
      <c r="C329" s="1561"/>
      <c r="D329" s="1561"/>
      <c r="E329" s="1561"/>
      <c r="F329" s="1562"/>
      <c r="G329" s="1563"/>
      <c r="H329" s="1563"/>
      <c r="I329" s="1563"/>
      <c r="J329" s="1563"/>
      <c r="K329" s="1561"/>
      <c r="L329" s="1561"/>
      <c r="M329" s="1561"/>
      <c r="N329" s="1561"/>
      <c r="O329" s="1561"/>
      <c r="P329" s="1561"/>
      <c r="Q329" s="1561"/>
      <c r="R329" s="1561"/>
      <c r="S329" s="1561"/>
      <c r="T329" s="1561"/>
      <c r="U329" s="1561"/>
      <c r="V329" s="1561"/>
      <c r="W329" s="1561"/>
      <c r="X329" s="1561"/>
      <c r="Y329" s="1561"/>
      <c r="Z329" s="1561"/>
      <c r="AA329" s="1561"/>
      <c r="AB329" s="1561"/>
      <c r="AC329" s="1561"/>
      <c r="AD329" s="1561"/>
      <c r="AE329" s="1561"/>
      <c r="AF329" s="1561"/>
      <c r="AG329" s="1561"/>
      <c r="AH329" s="1561"/>
      <c r="AI329" s="1561"/>
      <c r="AJ329" s="1561"/>
      <c r="AK329" s="1561"/>
      <c r="AL329" s="1561"/>
      <c r="AM329" s="1561"/>
      <c r="AN329" s="1561"/>
      <c r="AO329" s="1561"/>
      <c r="AP329" s="1561"/>
      <c r="AQ329" s="1561"/>
      <c r="AR329" s="1561"/>
      <c r="AS329" s="1561"/>
      <c r="AT329" s="1561"/>
      <c r="AU329" s="1561"/>
      <c r="AV329" s="1561"/>
      <c r="AW329" s="1561"/>
      <c r="AX329" s="1561"/>
      <c r="AY329" s="1561"/>
      <c r="AZ329" s="1561"/>
      <c r="BA329" s="1561"/>
      <c r="BB329" s="1561"/>
      <c r="BC329" s="1561"/>
      <c r="BD329" s="1561"/>
      <c r="BE329" s="1561"/>
      <c r="BF329" s="1561"/>
      <c r="BS329" s="1561"/>
      <c r="BT329" s="1561"/>
      <c r="BU329" s="1561"/>
      <c r="BV329" s="1444"/>
      <c r="BW329" s="1443"/>
      <c r="BX329" s="1443"/>
      <c r="BY329" s="1443"/>
      <c r="BZ329" s="1561"/>
      <c r="CA329" s="1561"/>
    </row>
    <row r="330" spans="2:79" ht="12.75" customHeight="1">
      <c r="B330" s="1555"/>
      <c r="C330" s="1561"/>
      <c r="D330" s="1561"/>
      <c r="E330" s="1561"/>
      <c r="F330" s="1562"/>
      <c r="G330" s="1563"/>
      <c r="H330" s="1563"/>
      <c r="I330" s="1563"/>
      <c r="J330" s="1563"/>
      <c r="K330" s="1561"/>
      <c r="L330" s="1561"/>
      <c r="M330" s="1561"/>
      <c r="N330" s="1561"/>
      <c r="O330" s="1561"/>
      <c r="P330" s="1561"/>
      <c r="Q330" s="1561"/>
      <c r="R330" s="1561"/>
      <c r="S330" s="1561"/>
      <c r="T330" s="1561"/>
      <c r="U330" s="1561"/>
      <c r="V330" s="1561"/>
      <c r="W330" s="1561"/>
      <c r="X330" s="1561"/>
      <c r="Y330" s="1561"/>
      <c r="Z330" s="1561"/>
      <c r="AA330" s="1561"/>
      <c r="AB330" s="1561"/>
      <c r="AC330" s="1561"/>
      <c r="AD330" s="1561"/>
      <c r="AE330" s="1561"/>
      <c r="AF330" s="1561"/>
      <c r="AG330" s="1561"/>
      <c r="AH330" s="1561"/>
      <c r="AI330" s="1561"/>
      <c r="AJ330" s="1561"/>
      <c r="AK330" s="1561"/>
      <c r="AL330" s="1561"/>
      <c r="AM330" s="1561"/>
      <c r="AN330" s="1561"/>
      <c r="AO330" s="1561"/>
      <c r="AP330" s="1561"/>
      <c r="AQ330" s="1561"/>
      <c r="AR330" s="1561"/>
      <c r="AS330" s="1561"/>
      <c r="AT330" s="1561"/>
      <c r="AU330" s="1561"/>
      <c r="AV330" s="1561"/>
      <c r="AW330" s="1561"/>
      <c r="AX330" s="1561"/>
      <c r="AY330" s="1561"/>
      <c r="AZ330" s="1561"/>
      <c r="BA330" s="1561"/>
      <c r="BB330" s="1561"/>
      <c r="BC330" s="1561"/>
      <c r="BD330" s="1561"/>
      <c r="BE330" s="1561"/>
      <c r="BF330" s="1561"/>
      <c r="BS330" s="1561"/>
      <c r="BT330" s="1561"/>
      <c r="BU330" s="1561"/>
      <c r="BV330" s="1444"/>
      <c r="BW330" s="1443"/>
      <c r="BX330" s="1443"/>
      <c r="BY330" s="1443"/>
      <c r="BZ330" s="1561"/>
      <c r="CA330" s="1561"/>
    </row>
    <row r="331" spans="2:79" ht="12.75" customHeight="1">
      <c r="B331" s="1555"/>
      <c r="C331" s="1561"/>
      <c r="D331" s="1561"/>
      <c r="E331" s="1561"/>
      <c r="F331" s="1562"/>
      <c r="G331" s="1563"/>
      <c r="H331" s="1563"/>
      <c r="I331" s="1563"/>
      <c r="J331" s="1563"/>
      <c r="K331" s="1561"/>
      <c r="L331" s="1561"/>
      <c r="M331" s="1561"/>
      <c r="N331" s="1561"/>
      <c r="O331" s="1561"/>
      <c r="P331" s="1561"/>
      <c r="Q331" s="1561"/>
      <c r="R331" s="1561"/>
      <c r="S331" s="1561"/>
      <c r="T331" s="1561"/>
      <c r="U331" s="1561"/>
      <c r="V331" s="1561"/>
      <c r="W331" s="1561"/>
      <c r="X331" s="1561"/>
      <c r="Y331" s="1561"/>
      <c r="Z331" s="1561"/>
      <c r="AA331" s="1561"/>
      <c r="AB331" s="1561"/>
      <c r="AC331" s="1561"/>
      <c r="AD331" s="1561"/>
      <c r="AE331" s="1561"/>
      <c r="AF331" s="1561"/>
      <c r="AG331" s="1561"/>
      <c r="AH331" s="1561"/>
      <c r="AI331" s="1561"/>
      <c r="AJ331" s="1561"/>
      <c r="AK331" s="1561"/>
      <c r="AL331" s="1561"/>
      <c r="AM331" s="1561"/>
      <c r="AN331" s="1561"/>
      <c r="AO331" s="1561"/>
      <c r="AP331" s="1561"/>
      <c r="AQ331" s="1561"/>
      <c r="AR331" s="1561"/>
      <c r="AS331" s="1561"/>
      <c r="AT331" s="1561"/>
      <c r="AU331" s="1561"/>
      <c r="AV331" s="1561"/>
      <c r="AW331" s="1561"/>
      <c r="AX331" s="1561"/>
      <c r="AY331" s="1561"/>
      <c r="AZ331" s="1561"/>
      <c r="BA331" s="1561"/>
      <c r="BB331" s="1561"/>
      <c r="BC331" s="1561"/>
      <c r="BD331" s="1561"/>
      <c r="BE331" s="1561"/>
      <c r="BF331" s="1561"/>
      <c r="BS331" s="1561"/>
      <c r="BT331" s="1561"/>
      <c r="BU331" s="1561"/>
      <c r="BV331" s="1444"/>
      <c r="BW331" s="1443"/>
      <c r="BX331" s="1443"/>
      <c r="BY331" s="1443"/>
      <c r="BZ331" s="1561"/>
      <c r="CA331" s="1561"/>
    </row>
    <row r="332" spans="2:79" ht="12.75" customHeight="1">
      <c r="B332" s="1555"/>
      <c r="C332" s="1561"/>
      <c r="D332" s="1561"/>
      <c r="E332" s="1561"/>
      <c r="F332" s="1562"/>
      <c r="G332" s="1563"/>
      <c r="H332" s="1563"/>
      <c r="I332" s="1563"/>
      <c r="J332" s="1563"/>
      <c r="K332" s="1561"/>
      <c r="L332" s="1561"/>
      <c r="M332" s="1561"/>
      <c r="N332" s="1561"/>
      <c r="O332" s="1561"/>
      <c r="P332" s="1561"/>
      <c r="Q332" s="1561"/>
      <c r="R332" s="1561"/>
      <c r="S332" s="1561"/>
      <c r="T332" s="1561"/>
      <c r="U332" s="1561"/>
      <c r="V332" s="1561"/>
      <c r="W332" s="1561"/>
      <c r="X332" s="1561"/>
      <c r="Y332" s="1561"/>
      <c r="Z332" s="1561"/>
      <c r="AA332" s="1561"/>
      <c r="AB332" s="1561"/>
      <c r="AC332" s="1561"/>
      <c r="AD332" s="1561"/>
      <c r="AE332" s="1561"/>
      <c r="AF332" s="1561"/>
      <c r="AG332" s="1561"/>
      <c r="AH332" s="1561"/>
      <c r="AI332" s="1561"/>
      <c r="AJ332" s="1561"/>
      <c r="AK332" s="1561"/>
      <c r="AL332" s="1561"/>
      <c r="AM332" s="1561"/>
      <c r="AN332" s="1561"/>
      <c r="AO332" s="1561"/>
      <c r="AP332" s="1561"/>
      <c r="AQ332" s="1561"/>
      <c r="AR332" s="1561"/>
      <c r="AS332" s="1561"/>
      <c r="AT332" s="1561"/>
      <c r="AU332" s="1561"/>
      <c r="AV332" s="1561"/>
      <c r="AW332" s="1561"/>
      <c r="AX332" s="1561"/>
      <c r="AY332" s="1561"/>
      <c r="AZ332" s="1561"/>
      <c r="BA332" s="1561"/>
      <c r="BB332" s="1561"/>
      <c r="BC332" s="1561"/>
      <c r="BD332" s="1561"/>
      <c r="BE332" s="1561"/>
      <c r="BF332" s="1561"/>
      <c r="BS332" s="1561"/>
      <c r="BT332" s="1561"/>
      <c r="BU332" s="1561"/>
      <c r="BV332" s="1444"/>
      <c r="BW332" s="1443"/>
      <c r="BX332" s="1443"/>
      <c r="BY332" s="1443"/>
      <c r="BZ332" s="1561"/>
      <c r="CA332" s="1561"/>
    </row>
    <row r="333" spans="2:79" ht="12.75" customHeight="1">
      <c r="B333" s="1555"/>
      <c r="C333" s="1561"/>
      <c r="D333" s="1561"/>
      <c r="E333" s="1561"/>
      <c r="F333" s="1562"/>
      <c r="G333" s="1563"/>
      <c r="H333" s="1563"/>
      <c r="I333" s="1563"/>
      <c r="J333" s="1563"/>
      <c r="K333" s="1561"/>
      <c r="L333" s="1561"/>
      <c r="M333" s="1561"/>
      <c r="N333" s="1561"/>
      <c r="O333" s="1561"/>
      <c r="P333" s="1561"/>
      <c r="Q333" s="1561"/>
      <c r="R333" s="1561"/>
      <c r="S333" s="1561"/>
      <c r="T333" s="1561"/>
      <c r="U333" s="1561"/>
      <c r="V333" s="1561"/>
      <c r="W333" s="1561"/>
      <c r="X333" s="1561"/>
      <c r="Y333" s="1561"/>
      <c r="Z333" s="1561"/>
      <c r="AA333" s="1561"/>
      <c r="AB333" s="1561"/>
      <c r="AC333" s="1561"/>
      <c r="AD333" s="1561"/>
      <c r="AE333" s="1561"/>
      <c r="AF333" s="1561"/>
      <c r="AG333" s="1561"/>
      <c r="AH333" s="1561"/>
      <c r="AI333" s="1561"/>
      <c r="AJ333" s="1561"/>
      <c r="AK333" s="1561"/>
      <c r="AL333" s="1561"/>
      <c r="AM333" s="1561"/>
      <c r="AN333" s="1561"/>
      <c r="AO333" s="1561"/>
      <c r="AP333" s="1561"/>
      <c r="AQ333" s="1561"/>
      <c r="AR333" s="1561"/>
      <c r="AS333" s="1561"/>
      <c r="AT333" s="1561"/>
      <c r="AU333" s="1561"/>
      <c r="AV333" s="1561"/>
      <c r="AW333" s="1561"/>
      <c r="AX333" s="1561"/>
      <c r="AY333" s="1561"/>
      <c r="AZ333" s="1561"/>
      <c r="BA333" s="1561"/>
      <c r="BB333" s="1561"/>
      <c r="BC333" s="1561"/>
      <c r="BD333" s="1561"/>
      <c r="BE333" s="1561"/>
      <c r="BF333" s="1561"/>
      <c r="BS333" s="1561"/>
      <c r="BT333" s="1561"/>
      <c r="BU333" s="1561"/>
      <c r="BV333" s="1444"/>
      <c r="BW333" s="1443"/>
      <c r="BX333" s="1443"/>
      <c r="BY333" s="1443"/>
      <c r="BZ333" s="1561"/>
      <c r="CA333" s="1561"/>
    </row>
    <row r="334" spans="2:79" ht="12.75" customHeight="1">
      <c r="B334" s="1555"/>
      <c r="C334" s="1561"/>
      <c r="D334" s="1561"/>
      <c r="E334" s="1561"/>
      <c r="F334" s="1562"/>
      <c r="G334" s="1563"/>
      <c r="H334" s="1563"/>
      <c r="I334" s="1563"/>
      <c r="J334" s="1563"/>
      <c r="K334" s="1561"/>
      <c r="L334" s="1561"/>
      <c r="M334" s="1561"/>
      <c r="N334" s="1561"/>
      <c r="O334" s="1561"/>
      <c r="P334" s="1561"/>
      <c r="Q334" s="1561"/>
      <c r="R334" s="1561"/>
      <c r="S334" s="1561"/>
      <c r="T334" s="1561"/>
      <c r="U334" s="1561"/>
      <c r="V334" s="1561"/>
      <c r="W334" s="1561"/>
      <c r="X334" s="1561"/>
      <c r="Y334" s="1561"/>
      <c r="Z334" s="1561"/>
      <c r="AA334" s="1561"/>
      <c r="AB334" s="1561"/>
      <c r="AC334" s="1561"/>
      <c r="AD334" s="1561"/>
      <c r="AE334" s="1561"/>
      <c r="AF334" s="1561"/>
      <c r="AG334" s="1561"/>
      <c r="AH334" s="1561"/>
      <c r="AI334" s="1561"/>
      <c r="AJ334" s="1561"/>
      <c r="AK334" s="1561"/>
      <c r="AL334" s="1561"/>
      <c r="AM334" s="1561"/>
      <c r="AN334" s="1561"/>
      <c r="AO334" s="1561"/>
      <c r="AP334" s="1561"/>
      <c r="AQ334" s="1561"/>
      <c r="AR334" s="1561"/>
      <c r="AS334" s="1561"/>
      <c r="AT334" s="1561"/>
      <c r="AU334" s="1561"/>
      <c r="AV334" s="1561"/>
      <c r="AW334" s="1561"/>
      <c r="AX334" s="1561"/>
      <c r="AY334" s="1561"/>
      <c r="AZ334" s="1561"/>
      <c r="BA334" s="1561"/>
      <c r="BB334" s="1561"/>
      <c r="BC334" s="1561"/>
      <c r="BD334" s="1561"/>
      <c r="BE334" s="1561"/>
      <c r="BF334" s="1561"/>
      <c r="BS334" s="1561"/>
      <c r="BT334" s="1561"/>
      <c r="BU334" s="1561"/>
      <c r="BV334" s="1444"/>
      <c r="BW334" s="1443"/>
      <c r="BX334" s="1443"/>
      <c r="BY334" s="1443"/>
      <c r="BZ334" s="1561"/>
      <c r="CA334" s="1561"/>
    </row>
    <row r="335" spans="2:79" ht="12.75" customHeight="1">
      <c r="B335" s="1555"/>
      <c r="C335" s="1561"/>
      <c r="D335" s="1561"/>
      <c r="E335" s="1561"/>
      <c r="F335" s="1562"/>
      <c r="G335" s="1563"/>
      <c r="H335" s="1563"/>
      <c r="I335" s="1563"/>
      <c r="J335" s="1563"/>
      <c r="K335" s="1561"/>
      <c r="L335" s="1561"/>
      <c r="M335" s="1561"/>
      <c r="N335" s="1561"/>
      <c r="O335" s="1561"/>
      <c r="P335" s="1561"/>
      <c r="Q335" s="1561"/>
      <c r="R335" s="1561"/>
      <c r="S335" s="1561"/>
      <c r="T335" s="1561"/>
      <c r="U335" s="1561"/>
      <c r="V335" s="1561"/>
      <c r="W335" s="1561"/>
      <c r="X335" s="1561"/>
      <c r="Y335" s="1561"/>
      <c r="Z335" s="1561"/>
      <c r="AA335" s="1561"/>
      <c r="AB335" s="1561"/>
      <c r="AC335" s="1561"/>
      <c r="AD335" s="1561"/>
      <c r="AE335" s="1561"/>
      <c r="AF335" s="1561"/>
      <c r="AG335" s="1561"/>
      <c r="AH335" s="1561"/>
      <c r="AI335" s="1561"/>
      <c r="AJ335" s="1561"/>
      <c r="AK335" s="1561"/>
      <c r="AL335" s="1561"/>
      <c r="AM335" s="1561"/>
      <c r="AN335" s="1561"/>
      <c r="AO335" s="1561"/>
      <c r="AP335" s="1561"/>
      <c r="AQ335" s="1561"/>
      <c r="AR335" s="1561"/>
      <c r="AS335" s="1561"/>
      <c r="AT335" s="1561"/>
      <c r="AU335" s="1561"/>
      <c r="AV335" s="1561"/>
      <c r="AW335" s="1561"/>
      <c r="AX335" s="1561"/>
      <c r="AY335" s="1561"/>
      <c r="AZ335" s="1561"/>
      <c r="BA335" s="1561"/>
      <c r="BB335" s="1561"/>
      <c r="BC335" s="1561"/>
      <c r="BD335" s="1561"/>
      <c r="BE335" s="1561"/>
      <c r="BF335" s="1561"/>
      <c r="BS335" s="1561"/>
      <c r="BT335" s="1561"/>
      <c r="BU335" s="1561"/>
      <c r="BV335" s="1444"/>
      <c r="BW335" s="1443"/>
      <c r="BX335" s="1443"/>
      <c r="BY335" s="1443"/>
      <c r="BZ335" s="1561"/>
      <c r="CA335" s="1561"/>
    </row>
    <row r="336" spans="2:79" ht="12.75" customHeight="1">
      <c r="B336" s="1555"/>
      <c r="C336" s="1561"/>
      <c r="D336" s="1561"/>
      <c r="E336" s="1561"/>
      <c r="F336" s="1562"/>
      <c r="G336" s="1563"/>
      <c r="H336" s="1563"/>
      <c r="I336" s="1563"/>
      <c r="J336" s="1563"/>
      <c r="K336" s="1561"/>
      <c r="L336" s="1561"/>
      <c r="M336" s="1561"/>
      <c r="N336" s="1561"/>
      <c r="O336" s="1561"/>
      <c r="P336" s="1561"/>
      <c r="Q336" s="1561"/>
      <c r="R336" s="1561"/>
      <c r="S336" s="1561"/>
      <c r="T336" s="1561"/>
      <c r="U336" s="1561"/>
      <c r="V336" s="1561"/>
      <c r="W336" s="1561"/>
      <c r="X336" s="1561"/>
      <c r="Y336" s="1561"/>
      <c r="Z336" s="1561"/>
      <c r="AA336" s="1561"/>
      <c r="AB336" s="1561"/>
      <c r="AC336" s="1561"/>
      <c r="AD336" s="1561"/>
      <c r="AE336" s="1561"/>
      <c r="AF336" s="1561"/>
      <c r="AG336" s="1561"/>
      <c r="AH336" s="1561"/>
      <c r="AI336" s="1561"/>
      <c r="AJ336" s="1561"/>
      <c r="AK336" s="1561"/>
      <c r="AL336" s="1561"/>
      <c r="AM336" s="1561"/>
      <c r="AN336" s="1561"/>
      <c r="AO336" s="1561"/>
      <c r="AP336" s="1561"/>
      <c r="AQ336" s="1561"/>
      <c r="AR336" s="1561"/>
      <c r="AS336" s="1561"/>
      <c r="AT336" s="1561"/>
      <c r="AU336" s="1561"/>
      <c r="AV336" s="1561"/>
      <c r="AW336" s="1561"/>
      <c r="AX336" s="1561"/>
      <c r="AY336" s="1561"/>
      <c r="AZ336" s="1561"/>
      <c r="BA336" s="1561"/>
      <c r="BB336" s="1561"/>
      <c r="BC336" s="1561"/>
      <c r="BD336" s="1561"/>
      <c r="BE336" s="1561"/>
      <c r="BF336" s="1561"/>
      <c r="BS336" s="1561"/>
      <c r="BT336" s="1561"/>
      <c r="BU336" s="1561"/>
      <c r="BV336" s="1444"/>
      <c r="BW336" s="1443"/>
      <c r="BX336" s="1443"/>
      <c r="BY336" s="1443"/>
      <c r="BZ336" s="1561"/>
      <c r="CA336" s="1561"/>
    </row>
    <row r="337" spans="2:79" ht="12.75" customHeight="1">
      <c r="B337" s="1555"/>
      <c r="C337" s="1561"/>
      <c r="D337" s="1561"/>
      <c r="E337" s="1561"/>
      <c r="F337" s="1562"/>
      <c r="G337" s="1563"/>
      <c r="H337" s="1563"/>
      <c r="I337" s="1563"/>
      <c r="J337" s="1563"/>
      <c r="K337" s="1561"/>
      <c r="L337" s="1561"/>
      <c r="M337" s="1561"/>
      <c r="N337" s="1561"/>
      <c r="O337" s="1561"/>
      <c r="P337" s="1561"/>
      <c r="Q337" s="1561"/>
      <c r="R337" s="1561"/>
      <c r="S337" s="1561"/>
      <c r="T337" s="1561"/>
      <c r="U337" s="1561"/>
      <c r="V337" s="1561"/>
      <c r="W337" s="1561"/>
      <c r="X337" s="1561"/>
      <c r="Y337" s="1561"/>
      <c r="Z337" s="1561"/>
      <c r="AA337" s="1561"/>
      <c r="AB337" s="1561"/>
      <c r="AC337" s="1561"/>
      <c r="AD337" s="1561"/>
      <c r="AE337" s="1561"/>
      <c r="AF337" s="1561"/>
      <c r="AG337" s="1561"/>
      <c r="AH337" s="1561"/>
      <c r="AI337" s="1561"/>
      <c r="AJ337" s="1561"/>
      <c r="AK337" s="1561"/>
      <c r="AL337" s="1561"/>
      <c r="AM337" s="1561"/>
      <c r="AN337" s="1561"/>
      <c r="AO337" s="1561"/>
      <c r="AP337" s="1561"/>
      <c r="AQ337" s="1561"/>
      <c r="AR337" s="1561"/>
      <c r="AS337" s="1561"/>
      <c r="AT337" s="1561"/>
      <c r="AU337" s="1561"/>
      <c r="AV337" s="1561"/>
      <c r="AW337" s="1561"/>
      <c r="AX337" s="1561"/>
      <c r="AY337" s="1561"/>
      <c r="AZ337" s="1561"/>
      <c r="BA337" s="1561"/>
      <c r="BB337" s="1561"/>
      <c r="BC337" s="1561"/>
      <c r="BD337" s="1561"/>
      <c r="BE337" s="1561"/>
      <c r="BF337" s="1561"/>
      <c r="BS337" s="1561"/>
      <c r="BT337" s="1561"/>
      <c r="BU337" s="1561"/>
      <c r="BV337" s="1444"/>
      <c r="BW337" s="1443"/>
      <c r="BX337" s="1443"/>
      <c r="BY337" s="1443"/>
      <c r="BZ337" s="1561"/>
      <c r="CA337" s="1561"/>
    </row>
    <row r="338" spans="2:79" ht="12.75" customHeight="1">
      <c r="B338" s="1555"/>
      <c r="C338" s="1561"/>
      <c r="D338" s="1561"/>
      <c r="E338" s="1561"/>
      <c r="F338" s="1562"/>
      <c r="G338" s="1563"/>
      <c r="H338" s="1563"/>
      <c r="I338" s="1563"/>
      <c r="J338" s="1563"/>
      <c r="K338" s="1561"/>
      <c r="L338" s="1561"/>
      <c r="M338" s="1561"/>
      <c r="N338" s="1561"/>
      <c r="O338" s="1561"/>
      <c r="P338" s="1561"/>
      <c r="Q338" s="1561"/>
      <c r="R338" s="1561"/>
      <c r="S338" s="1561"/>
      <c r="T338" s="1561"/>
      <c r="U338" s="1561"/>
      <c r="V338" s="1561"/>
      <c r="W338" s="1561"/>
      <c r="X338" s="1561"/>
      <c r="Y338" s="1561"/>
      <c r="Z338" s="1561"/>
      <c r="AA338" s="1561"/>
      <c r="AB338" s="1561"/>
      <c r="AC338" s="1561"/>
      <c r="AD338" s="1561"/>
      <c r="AE338" s="1561"/>
      <c r="AF338" s="1561"/>
      <c r="AG338" s="1561"/>
      <c r="AH338" s="1561"/>
      <c r="AI338" s="1561"/>
      <c r="AJ338" s="1561"/>
      <c r="AK338" s="1561"/>
      <c r="AL338" s="1561"/>
      <c r="AM338" s="1561"/>
      <c r="AN338" s="1561"/>
      <c r="AO338" s="1561"/>
      <c r="AP338" s="1561"/>
      <c r="AQ338" s="1561"/>
      <c r="AR338" s="1561"/>
      <c r="AS338" s="1561"/>
      <c r="AT338" s="1561"/>
      <c r="AU338" s="1561"/>
      <c r="AV338" s="1561"/>
      <c r="AW338" s="1561"/>
      <c r="AX338" s="1561"/>
      <c r="AY338" s="1561"/>
      <c r="AZ338" s="1561"/>
      <c r="BA338" s="1561"/>
      <c r="BB338" s="1561"/>
      <c r="BC338" s="1561"/>
      <c r="BD338" s="1561"/>
      <c r="BE338" s="1561"/>
      <c r="BF338" s="1561"/>
      <c r="BS338" s="1561"/>
      <c r="BT338" s="1561"/>
      <c r="BU338" s="1561"/>
      <c r="BV338" s="1444"/>
      <c r="BW338" s="1443"/>
      <c r="BX338" s="1443"/>
      <c r="BY338" s="1443"/>
      <c r="BZ338" s="1561"/>
      <c r="CA338" s="1561"/>
    </row>
    <row r="339" spans="2:79" ht="12.75" customHeight="1">
      <c r="B339" s="1555"/>
      <c r="C339" s="1561"/>
      <c r="D339" s="1561"/>
      <c r="E339" s="1561"/>
      <c r="F339" s="1562"/>
      <c r="G339" s="1563"/>
      <c r="H339" s="1563"/>
      <c r="I339" s="1563"/>
      <c r="J339" s="1563"/>
      <c r="K339" s="1561"/>
      <c r="L339" s="1561"/>
      <c r="M339" s="1561"/>
      <c r="N339" s="1561"/>
      <c r="O339" s="1561"/>
      <c r="P339" s="1561"/>
      <c r="Q339" s="1561"/>
      <c r="R339" s="1561"/>
      <c r="S339" s="1561"/>
      <c r="T339" s="1561"/>
      <c r="U339" s="1561"/>
      <c r="V339" s="1561"/>
      <c r="W339" s="1561"/>
      <c r="X339" s="1561"/>
      <c r="Y339" s="1561"/>
      <c r="Z339" s="1561"/>
      <c r="AA339" s="1561"/>
      <c r="AB339" s="1561"/>
      <c r="AC339" s="1561"/>
      <c r="AD339" s="1561"/>
      <c r="AE339" s="1561"/>
      <c r="AF339" s="1561"/>
      <c r="AG339" s="1561"/>
      <c r="AH339" s="1561"/>
      <c r="AI339" s="1561"/>
      <c r="AJ339" s="1561"/>
      <c r="AK339" s="1561"/>
      <c r="AL339" s="1561"/>
      <c r="AM339" s="1561"/>
      <c r="AN339" s="1561"/>
      <c r="AO339" s="1561"/>
      <c r="AP339" s="1561"/>
      <c r="AQ339" s="1561"/>
      <c r="AR339" s="1561"/>
      <c r="AS339" s="1561"/>
      <c r="AT339" s="1561"/>
      <c r="AU339" s="1561"/>
      <c r="AV339" s="1561"/>
      <c r="AW339" s="1561"/>
      <c r="AX339" s="1561"/>
      <c r="AY339" s="1561"/>
      <c r="AZ339" s="1561"/>
      <c r="BA339" s="1561"/>
      <c r="BB339" s="1561"/>
      <c r="BC339" s="1561"/>
      <c r="BD339" s="1561"/>
      <c r="BE339" s="1561"/>
      <c r="BF339" s="1561"/>
      <c r="BS339" s="1561"/>
      <c r="BT339" s="1561"/>
      <c r="BU339" s="1561"/>
      <c r="BV339" s="1444"/>
      <c r="BW339" s="1443"/>
      <c r="BX339" s="1443"/>
      <c r="BY339" s="1443"/>
      <c r="BZ339" s="1561"/>
      <c r="CA339" s="1561"/>
    </row>
    <row r="340" spans="2:79" ht="12.75" customHeight="1">
      <c r="B340" s="1555"/>
      <c r="C340" s="1561"/>
      <c r="D340" s="1561"/>
      <c r="E340" s="1561"/>
      <c r="F340" s="1562"/>
      <c r="G340" s="1563"/>
      <c r="H340" s="1563"/>
      <c r="I340" s="1563"/>
      <c r="J340" s="1563"/>
      <c r="K340" s="1561"/>
      <c r="L340" s="1561"/>
      <c r="M340" s="1561"/>
      <c r="N340" s="1561"/>
      <c r="O340" s="1561"/>
      <c r="P340" s="1561"/>
      <c r="Q340" s="1561"/>
      <c r="R340" s="1561"/>
      <c r="S340" s="1561"/>
      <c r="T340" s="1561"/>
      <c r="U340" s="1561"/>
      <c r="V340" s="1561"/>
      <c r="W340" s="1561"/>
      <c r="X340" s="1561"/>
      <c r="Y340" s="1561"/>
      <c r="Z340" s="1561"/>
      <c r="AA340" s="1561"/>
      <c r="AB340" s="1561"/>
      <c r="AC340" s="1561"/>
      <c r="AD340" s="1561"/>
      <c r="AE340" s="1561"/>
      <c r="AF340" s="1561"/>
      <c r="AG340" s="1561"/>
      <c r="AH340" s="1561"/>
      <c r="AI340" s="1561"/>
      <c r="AJ340" s="1561"/>
      <c r="AK340" s="1561"/>
      <c r="AL340" s="1561"/>
      <c r="AM340" s="1561"/>
      <c r="AN340" s="1561"/>
      <c r="AO340" s="1561"/>
      <c r="AP340" s="1561"/>
      <c r="AQ340" s="1561"/>
      <c r="AR340" s="1561"/>
      <c r="AS340" s="1561"/>
      <c r="AT340" s="1561"/>
      <c r="AU340" s="1561"/>
      <c r="AV340" s="1561"/>
      <c r="AW340" s="1561"/>
      <c r="AX340" s="1561"/>
      <c r="AY340" s="1561"/>
      <c r="AZ340" s="1561"/>
      <c r="BA340" s="1561"/>
      <c r="BB340" s="1561"/>
      <c r="BC340" s="1561"/>
      <c r="BD340" s="1561"/>
      <c r="BE340" s="1561"/>
      <c r="BF340" s="1561"/>
      <c r="BS340" s="1561"/>
      <c r="BT340" s="1561"/>
      <c r="BU340" s="1561"/>
      <c r="BV340" s="1444"/>
      <c r="BW340" s="1443"/>
      <c r="BX340" s="1443"/>
      <c r="BY340" s="1443"/>
      <c r="BZ340" s="1561"/>
      <c r="CA340" s="1561"/>
    </row>
    <row r="341" spans="2:79" ht="12.75" customHeight="1">
      <c r="B341" s="1555"/>
      <c r="C341" s="1561"/>
      <c r="D341" s="1561"/>
      <c r="E341" s="1561"/>
      <c r="F341" s="1562"/>
      <c r="G341" s="1563"/>
      <c r="H341" s="1563"/>
      <c r="I341" s="1563"/>
      <c r="J341" s="1563"/>
      <c r="K341" s="1561"/>
      <c r="L341" s="1561"/>
      <c r="M341" s="1561"/>
      <c r="N341" s="1561"/>
      <c r="O341" s="1561"/>
      <c r="P341" s="1561"/>
      <c r="Q341" s="1561"/>
      <c r="R341" s="1561"/>
      <c r="S341" s="1561"/>
      <c r="T341" s="1561"/>
      <c r="U341" s="1561"/>
      <c r="V341" s="1561"/>
      <c r="W341" s="1561"/>
      <c r="X341" s="1561"/>
      <c r="Y341" s="1561"/>
      <c r="Z341" s="1561"/>
      <c r="AA341" s="1561"/>
      <c r="AB341" s="1561"/>
      <c r="AC341" s="1561"/>
      <c r="AD341" s="1561"/>
      <c r="AE341" s="1561"/>
      <c r="AF341" s="1561"/>
      <c r="AG341" s="1561"/>
      <c r="AH341" s="1561"/>
      <c r="AI341" s="1561"/>
      <c r="AJ341" s="1561"/>
      <c r="AK341" s="1561"/>
      <c r="AL341" s="1561"/>
      <c r="AM341" s="1561"/>
      <c r="AN341" s="1561"/>
      <c r="AO341" s="1561"/>
      <c r="AP341" s="1561"/>
      <c r="AQ341" s="1561"/>
      <c r="AR341" s="1561"/>
      <c r="AS341" s="1561"/>
      <c r="AT341" s="1561"/>
      <c r="AU341" s="1561"/>
      <c r="AV341" s="1561"/>
      <c r="AW341" s="1561"/>
      <c r="AX341" s="1561"/>
      <c r="AY341" s="1561"/>
      <c r="AZ341" s="1561"/>
      <c r="BA341" s="1561"/>
      <c r="BB341" s="1561"/>
      <c r="BC341" s="1561"/>
      <c r="BD341" s="1561"/>
      <c r="BE341" s="1561"/>
      <c r="BF341" s="1561"/>
      <c r="BS341" s="1561"/>
      <c r="BT341" s="1561"/>
      <c r="BU341" s="1561"/>
      <c r="BV341" s="1444"/>
      <c r="BW341" s="1443"/>
      <c r="BX341" s="1443"/>
      <c r="BY341" s="1443"/>
      <c r="BZ341" s="1561"/>
      <c r="CA341" s="1561"/>
    </row>
    <row r="342" spans="2:79" ht="12.75" customHeight="1">
      <c r="B342" s="1555"/>
      <c r="C342" s="1561"/>
      <c r="D342" s="1561"/>
      <c r="E342" s="1561"/>
      <c r="F342" s="1562"/>
      <c r="G342" s="1563"/>
      <c r="H342" s="1563"/>
      <c r="I342" s="1563"/>
      <c r="J342" s="1563"/>
      <c r="K342" s="1561"/>
      <c r="L342" s="1561"/>
      <c r="M342" s="1561"/>
      <c r="N342" s="1561"/>
      <c r="O342" s="1561"/>
      <c r="P342" s="1561"/>
      <c r="Q342" s="1561"/>
      <c r="R342" s="1561"/>
      <c r="S342" s="1561"/>
      <c r="T342" s="1561"/>
      <c r="U342" s="1561"/>
      <c r="V342" s="1561"/>
      <c r="W342" s="1561"/>
      <c r="X342" s="1561"/>
      <c r="Y342" s="1561"/>
      <c r="Z342" s="1561"/>
      <c r="AA342" s="1561"/>
      <c r="AB342" s="1561"/>
      <c r="AC342" s="1561"/>
      <c r="AD342" s="1561"/>
      <c r="AE342" s="1561"/>
      <c r="AF342" s="1561"/>
      <c r="AG342" s="1561"/>
      <c r="AH342" s="1561"/>
      <c r="AI342" s="1561"/>
      <c r="AJ342" s="1561"/>
      <c r="AK342" s="1561"/>
      <c r="AL342" s="1561"/>
      <c r="AM342" s="1561"/>
      <c r="AN342" s="1561"/>
      <c r="AO342" s="1561"/>
      <c r="AP342" s="1561"/>
      <c r="AQ342" s="1561"/>
      <c r="AR342" s="1561"/>
      <c r="AS342" s="1561"/>
      <c r="AT342" s="1561"/>
      <c r="AU342" s="1561"/>
      <c r="AV342" s="1561"/>
      <c r="AW342" s="1561"/>
      <c r="AX342" s="1561"/>
      <c r="AY342" s="1561"/>
      <c r="AZ342" s="1561"/>
      <c r="BA342" s="1561"/>
      <c r="BB342" s="1561"/>
      <c r="BC342" s="1561"/>
      <c r="BD342" s="1561"/>
      <c r="BE342" s="1561"/>
      <c r="BF342" s="1561"/>
      <c r="BS342" s="1561"/>
      <c r="BT342" s="1561"/>
      <c r="BU342" s="1561"/>
      <c r="BV342" s="1444"/>
      <c r="BW342" s="1443"/>
      <c r="BX342" s="1443"/>
      <c r="BY342" s="1443"/>
      <c r="BZ342" s="1561"/>
      <c r="CA342" s="1561"/>
    </row>
    <row r="343" spans="2:79" ht="12.75" customHeight="1">
      <c r="B343" s="1555"/>
      <c r="C343" s="1561"/>
      <c r="D343" s="1561"/>
      <c r="E343" s="1561"/>
      <c r="F343" s="1562"/>
      <c r="G343" s="1563"/>
      <c r="H343" s="1563"/>
      <c r="I343" s="1563"/>
      <c r="J343" s="1563"/>
      <c r="K343" s="1561"/>
      <c r="L343" s="1561"/>
      <c r="M343" s="1561"/>
      <c r="N343" s="1561"/>
      <c r="O343" s="1561"/>
      <c r="P343" s="1561"/>
      <c r="Q343" s="1561"/>
      <c r="R343" s="1561"/>
      <c r="S343" s="1561"/>
      <c r="T343" s="1561"/>
      <c r="U343" s="1561"/>
      <c r="V343" s="1561"/>
      <c r="W343" s="1561"/>
      <c r="X343" s="1561"/>
      <c r="Y343" s="1561"/>
      <c r="Z343" s="1561"/>
      <c r="AA343" s="1561"/>
      <c r="AB343" s="1561"/>
      <c r="AC343" s="1561"/>
      <c r="AD343" s="1561"/>
      <c r="AE343" s="1561"/>
      <c r="AF343" s="1561"/>
      <c r="AG343" s="1561"/>
      <c r="AH343" s="1561"/>
      <c r="AI343" s="1561"/>
      <c r="AJ343" s="1561"/>
      <c r="AK343" s="1561"/>
      <c r="AL343" s="1561"/>
      <c r="AM343" s="1561"/>
      <c r="AN343" s="1561"/>
      <c r="AO343" s="1561"/>
      <c r="AP343" s="1561"/>
      <c r="AQ343" s="1561"/>
      <c r="AR343" s="1561"/>
      <c r="AS343" s="1561"/>
      <c r="AT343" s="1561"/>
      <c r="AU343" s="1561"/>
      <c r="AV343" s="1561"/>
      <c r="AW343" s="1561"/>
      <c r="AX343" s="1561"/>
      <c r="AY343" s="1561"/>
      <c r="AZ343" s="1561"/>
      <c r="BA343" s="1561"/>
      <c r="BB343" s="1561"/>
      <c r="BC343" s="1561"/>
      <c r="BD343" s="1561"/>
      <c r="BE343" s="1561"/>
      <c r="BF343" s="1561"/>
      <c r="BS343" s="1561"/>
      <c r="BT343" s="1561"/>
      <c r="BU343" s="1561"/>
      <c r="BV343" s="1444"/>
      <c r="BW343" s="1443"/>
      <c r="BX343" s="1443"/>
      <c r="BY343" s="1443"/>
      <c r="BZ343" s="1561"/>
      <c r="CA343" s="1561"/>
    </row>
    <row r="344" spans="2:79" ht="12.75" customHeight="1">
      <c r="B344" s="1555"/>
      <c r="C344" s="1561"/>
      <c r="D344" s="1561"/>
      <c r="E344" s="1561"/>
      <c r="F344" s="1562"/>
      <c r="G344" s="1563"/>
      <c r="H344" s="1563"/>
      <c r="I344" s="1563"/>
      <c r="J344" s="1563"/>
      <c r="K344" s="1561"/>
      <c r="L344" s="1561"/>
      <c r="M344" s="1561"/>
      <c r="N344" s="1561"/>
      <c r="O344" s="1561"/>
      <c r="P344" s="1561"/>
      <c r="Q344" s="1561"/>
      <c r="R344" s="1561"/>
      <c r="S344" s="1561"/>
      <c r="T344" s="1561"/>
      <c r="U344" s="1561"/>
      <c r="V344" s="1561"/>
      <c r="W344" s="1561"/>
      <c r="X344" s="1561"/>
      <c r="Y344" s="1561"/>
      <c r="Z344" s="1561"/>
      <c r="AA344" s="1561"/>
      <c r="AB344" s="1561"/>
      <c r="AC344" s="1561"/>
      <c r="AD344" s="1561"/>
      <c r="AE344" s="1561"/>
      <c r="AF344" s="1561"/>
      <c r="AG344" s="1561"/>
      <c r="AH344" s="1561"/>
      <c r="AI344" s="1561"/>
      <c r="AJ344" s="1561"/>
      <c r="AK344" s="1561"/>
      <c r="AL344" s="1561"/>
      <c r="AM344" s="1561"/>
      <c r="AN344" s="1561"/>
      <c r="AO344" s="1561"/>
      <c r="AP344" s="1561"/>
      <c r="AQ344" s="1561"/>
      <c r="AR344" s="1561"/>
      <c r="AS344" s="1561"/>
      <c r="AT344" s="1561"/>
      <c r="AU344" s="1561"/>
      <c r="AV344" s="1561"/>
      <c r="AW344" s="1561"/>
      <c r="AX344" s="1561"/>
      <c r="AY344" s="1561"/>
      <c r="AZ344" s="1561"/>
      <c r="BA344" s="1561"/>
      <c r="BB344" s="1561"/>
      <c r="BC344" s="1561"/>
      <c r="BD344" s="1561"/>
      <c r="BE344" s="1561"/>
      <c r="BF344" s="1561"/>
      <c r="BS344" s="1561"/>
      <c r="BT344" s="1561"/>
      <c r="BU344" s="1561"/>
      <c r="BV344" s="1444"/>
      <c r="BW344" s="1443"/>
      <c r="BX344" s="1443"/>
      <c r="BY344" s="1443"/>
      <c r="BZ344" s="1561"/>
      <c r="CA344" s="1561"/>
    </row>
    <row r="345" spans="2:79" ht="12.75" customHeight="1">
      <c r="B345" s="1555"/>
      <c r="C345" s="1561"/>
      <c r="D345" s="1561"/>
      <c r="E345" s="1561"/>
      <c r="F345" s="1562"/>
      <c r="G345" s="1563"/>
      <c r="H345" s="1563"/>
      <c r="I345" s="1563"/>
      <c r="J345" s="1563"/>
      <c r="K345" s="1561"/>
      <c r="L345" s="1561"/>
      <c r="M345" s="1561"/>
      <c r="N345" s="1561"/>
      <c r="O345" s="1561"/>
      <c r="P345" s="1561"/>
      <c r="Q345" s="1561"/>
      <c r="R345" s="1561"/>
      <c r="S345" s="1561"/>
      <c r="T345" s="1561"/>
      <c r="U345" s="1561"/>
      <c r="V345" s="1561"/>
      <c r="W345" s="1561"/>
      <c r="X345" s="1561"/>
      <c r="Y345" s="1561"/>
      <c r="Z345" s="1561"/>
      <c r="AA345" s="1561"/>
      <c r="AB345" s="1561"/>
      <c r="AC345" s="1561"/>
      <c r="AD345" s="1561"/>
      <c r="AE345" s="1561"/>
      <c r="AF345" s="1561"/>
      <c r="AG345" s="1561"/>
      <c r="AH345" s="1561"/>
      <c r="AI345" s="1561"/>
      <c r="AJ345" s="1561"/>
      <c r="AK345" s="1561"/>
      <c r="AL345" s="1561"/>
      <c r="AM345" s="1561"/>
      <c r="AN345" s="1561"/>
      <c r="AO345" s="1561"/>
      <c r="AP345" s="1561"/>
      <c r="AQ345" s="1561"/>
      <c r="AR345" s="1561"/>
      <c r="AS345" s="1561"/>
      <c r="AT345" s="1561"/>
      <c r="AU345" s="1561"/>
      <c r="AV345" s="1561"/>
      <c r="AW345" s="1561"/>
      <c r="AX345" s="1561"/>
      <c r="AY345" s="1561"/>
      <c r="AZ345" s="1561"/>
      <c r="BA345" s="1561"/>
      <c r="BB345" s="1561"/>
      <c r="BC345" s="1561"/>
      <c r="BD345" s="1561"/>
      <c r="BE345" s="1561"/>
      <c r="BF345" s="1561"/>
      <c r="BS345" s="1561"/>
      <c r="BT345" s="1561"/>
      <c r="BU345" s="1561"/>
      <c r="BV345" s="1444"/>
      <c r="BW345" s="1443"/>
      <c r="BX345" s="1443"/>
      <c r="BY345" s="1443"/>
      <c r="BZ345" s="1561"/>
      <c r="CA345" s="1561"/>
    </row>
    <row r="346" spans="2:79" ht="12.75" customHeight="1">
      <c r="B346" s="1555"/>
      <c r="C346" s="1561"/>
      <c r="D346" s="1561"/>
      <c r="E346" s="1561"/>
      <c r="F346" s="1562"/>
      <c r="G346" s="1563"/>
      <c r="H346" s="1563"/>
      <c r="I346" s="1563"/>
      <c r="J346" s="1563"/>
      <c r="K346" s="1561"/>
      <c r="L346" s="1561"/>
      <c r="M346" s="1561"/>
      <c r="N346" s="1561"/>
      <c r="O346" s="1561"/>
      <c r="P346" s="1561"/>
      <c r="Q346" s="1561"/>
      <c r="R346" s="1561"/>
      <c r="S346" s="1561"/>
      <c r="T346" s="1561"/>
      <c r="U346" s="1561"/>
      <c r="V346" s="1561"/>
      <c r="W346" s="1561"/>
      <c r="X346" s="1561"/>
      <c r="Y346" s="1561"/>
      <c r="Z346" s="1561"/>
      <c r="AA346" s="1561"/>
      <c r="AB346" s="1561"/>
      <c r="AC346" s="1561"/>
      <c r="AD346" s="1561"/>
      <c r="AE346" s="1561"/>
      <c r="AF346" s="1561"/>
      <c r="AG346" s="1561"/>
      <c r="AH346" s="1561"/>
      <c r="AI346" s="1561"/>
      <c r="AJ346" s="1561"/>
      <c r="AK346" s="1561"/>
      <c r="AL346" s="1561"/>
      <c r="AM346" s="1561"/>
      <c r="AN346" s="1561"/>
      <c r="AO346" s="1561"/>
      <c r="AP346" s="1561"/>
      <c r="AQ346" s="1561"/>
      <c r="AR346" s="1561"/>
      <c r="AS346" s="1561"/>
      <c r="AT346" s="1561"/>
      <c r="AU346" s="1561"/>
      <c r="AV346" s="1561"/>
      <c r="AW346" s="1561"/>
      <c r="AX346" s="1561"/>
      <c r="AY346" s="1561"/>
      <c r="AZ346" s="1561"/>
      <c r="BA346" s="1561"/>
      <c r="BB346" s="1561"/>
      <c r="BC346" s="1561"/>
      <c r="BD346" s="1561"/>
      <c r="BE346" s="1561"/>
      <c r="BF346" s="1561"/>
      <c r="BS346" s="1561"/>
      <c r="BT346" s="1561"/>
      <c r="BU346" s="1561"/>
      <c r="BV346" s="1444"/>
      <c r="BW346" s="1443"/>
      <c r="BX346" s="1443"/>
      <c r="BY346" s="1443"/>
      <c r="BZ346" s="1561"/>
      <c r="CA346" s="1561"/>
    </row>
    <row r="347" spans="2:79" ht="12.75" customHeight="1">
      <c r="B347" s="1555"/>
      <c r="C347" s="1561"/>
      <c r="D347" s="1561"/>
      <c r="E347" s="1561"/>
      <c r="F347" s="1562"/>
      <c r="G347" s="1563"/>
      <c r="H347" s="1563"/>
      <c r="I347" s="1563"/>
      <c r="J347" s="1563"/>
      <c r="K347" s="1561"/>
      <c r="L347" s="1561"/>
      <c r="M347" s="1561"/>
      <c r="N347" s="1561"/>
      <c r="O347" s="1561"/>
      <c r="P347" s="1561"/>
      <c r="Q347" s="1561"/>
      <c r="R347" s="1561"/>
      <c r="S347" s="1561"/>
      <c r="T347" s="1561"/>
      <c r="U347" s="1561"/>
      <c r="V347" s="1561"/>
      <c r="W347" s="1561"/>
      <c r="X347" s="1561"/>
      <c r="Y347" s="1561"/>
      <c r="Z347" s="1561"/>
      <c r="AA347" s="1561"/>
      <c r="AB347" s="1561"/>
      <c r="AC347" s="1561"/>
      <c r="AD347" s="1561"/>
      <c r="AE347" s="1561"/>
      <c r="AF347" s="1561"/>
      <c r="AG347" s="1561"/>
      <c r="AH347" s="1561"/>
      <c r="AI347" s="1561"/>
      <c r="AJ347" s="1561"/>
      <c r="AK347" s="1561"/>
      <c r="AL347" s="1561"/>
      <c r="AM347" s="1561"/>
      <c r="AN347" s="1561"/>
      <c r="AO347" s="1561"/>
      <c r="AP347" s="1561"/>
      <c r="AQ347" s="1561"/>
      <c r="AR347" s="1561"/>
      <c r="AS347" s="1561"/>
      <c r="AT347" s="1561"/>
      <c r="AU347" s="1561"/>
      <c r="AV347" s="1561"/>
      <c r="AW347" s="1561"/>
      <c r="AX347" s="1561"/>
      <c r="AY347" s="1561"/>
      <c r="AZ347" s="1561"/>
      <c r="BA347" s="1561"/>
      <c r="BB347" s="1561"/>
      <c r="BC347" s="1561"/>
      <c r="BD347" s="1561"/>
      <c r="BE347" s="1561"/>
      <c r="BF347" s="1561"/>
      <c r="BS347" s="1561"/>
      <c r="BT347" s="1561"/>
      <c r="BU347" s="1561"/>
      <c r="BV347" s="1444"/>
      <c r="BW347" s="1443"/>
      <c r="BX347" s="1443"/>
      <c r="BY347" s="1443"/>
      <c r="BZ347" s="1561"/>
      <c r="CA347" s="1561"/>
    </row>
    <row r="348" spans="2:79" ht="12.75" customHeight="1">
      <c r="B348" s="1555"/>
      <c r="C348" s="1561"/>
      <c r="D348" s="1561"/>
      <c r="E348" s="1561"/>
      <c r="F348" s="1562"/>
      <c r="G348" s="1563"/>
      <c r="H348" s="1563"/>
      <c r="I348" s="1563"/>
      <c r="J348" s="1563"/>
      <c r="K348" s="1561"/>
      <c r="L348" s="1561"/>
      <c r="M348" s="1561"/>
      <c r="N348" s="1561"/>
      <c r="O348" s="1561"/>
      <c r="P348" s="1561"/>
      <c r="Q348" s="1561"/>
      <c r="R348" s="1561"/>
      <c r="S348" s="1561"/>
      <c r="T348" s="1561"/>
      <c r="U348" s="1561"/>
      <c r="V348" s="1561"/>
      <c r="W348" s="1561"/>
      <c r="X348" s="1561"/>
      <c r="Y348" s="1561"/>
      <c r="Z348" s="1561"/>
      <c r="AA348" s="1561"/>
      <c r="AB348" s="1561"/>
      <c r="AC348" s="1561"/>
      <c r="AD348" s="1561"/>
      <c r="AE348" s="1561"/>
      <c r="AF348" s="1561"/>
      <c r="AG348" s="1561"/>
      <c r="AH348" s="1561"/>
      <c r="AI348" s="1561"/>
      <c r="AJ348" s="1561"/>
      <c r="AK348" s="1561"/>
      <c r="AL348" s="1561"/>
      <c r="AM348" s="1561"/>
      <c r="AN348" s="1561"/>
      <c r="AO348" s="1561"/>
      <c r="AP348" s="1561"/>
      <c r="AQ348" s="1561"/>
      <c r="AR348" s="1561"/>
      <c r="AS348" s="1561"/>
      <c r="AT348" s="1561"/>
      <c r="AU348" s="1561"/>
      <c r="AV348" s="1561"/>
      <c r="AW348" s="1561"/>
      <c r="AX348" s="1561"/>
      <c r="AY348" s="1561"/>
      <c r="AZ348" s="1561"/>
      <c r="BA348" s="1561"/>
      <c r="BB348" s="1561"/>
      <c r="BC348" s="1561"/>
      <c r="BD348" s="1561"/>
      <c r="BE348" s="1561"/>
      <c r="BF348" s="1561"/>
      <c r="BS348" s="1561"/>
      <c r="BT348" s="1561"/>
      <c r="BU348" s="1561"/>
      <c r="BV348" s="1444"/>
      <c r="BW348" s="1443"/>
      <c r="BX348" s="1443"/>
      <c r="BY348" s="1443"/>
      <c r="BZ348" s="1561"/>
      <c r="CA348" s="1561"/>
    </row>
    <row r="349" spans="2:79" ht="12.75" customHeight="1">
      <c r="B349" s="1555"/>
      <c r="C349" s="1561"/>
      <c r="D349" s="1561"/>
      <c r="E349" s="1561"/>
      <c r="F349" s="1562"/>
      <c r="G349" s="1563"/>
      <c r="H349" s="1563"/>
      <c r="I349" s="1563"/>
      <c r="J349" s="1563"/>
      <c r="K349" s="1561"/>
      <c r="L349" s="1561"/>
      <c r="M349" s="1561"/>
      <c r="N349" s="1561"/>
      <c r="O349" s="1561"/>
      <c r="P349" s="1561"/>
      <c r="Q349" s="1561"/>
      <c r="R349" s="1561"/>
      <c r="S349" s="1561"/>
      <c r="T349" s="1561"/>
      <c r="U349" s="1561"/>
      <c r="V349" s="1561"/>
      <c r="W349" s="1561"/>
      <c r="X349" s="1561"/>
      <c r="Y349" s="1561"/>
      <c r="Z349" s="1561"/>
      <c r="AA349" s="1561"/>
      <c r="AB349" s="1561"/>
      <c r="AC349" s="1561"/>
      <c r="AD349" s="1561"/>
      <c r="AE349" s="1561"/>
      <c r="AF349" s="1561"/>
      <c r="AG349" s="1561"/>
      <c r="AH349" s="1561"/>
      <c r="AI349" s="1561"/>
      <c r="AJ349" s="1561"/>
      <c r="AK349" s="1561"/>
      <c r="AL349" s="1561"/>
      <c r="AM349" s="1561"/>
      <c r="AN349" s="1561"/>
      <c r="AO349" s="1561"/>
      <c r="AP349" s="1561"/>
      <c r="AQ349" s="1561"/>
      <c r="AR349" s="1561"/>
      <c r="AS349" s="1561"/>
      <c r="AT349" s="1561"/>
      <c r="AU349" s="1561"/>
      <c r="AV349" s="1561"/>
      <c r="AW349" s="1561"/>
      <c r="AX349" s="1561"/>
      <c r="AY349" s="1561"/>
      <c r="AZ349" s="1561"/>
      <c r="BA349" s="1561"/>
      <c r="BB349" s="1561"/>
      <c r="BC349" s="1561"/>
      <c r="BD349" s="1561"/>
      <c r="BE349" s="1561"/>
      <c r="BF349" s="1561"/>
      <c r="BS349" s="1561"/>
      <c r="BT349" s="1561"/>
      <c r="BU349" s="1561"/>
      <c r="BV349" s="1444"/>
      <c r="BW349" s="1443"/>
      <c r="BX349" s="1443"/>
      <c r="BY349" s="1443"/>
      <c r="BZ349" s="1561"/>
      <c r="CA349" s="1561"/>
    </row>
    <row r="350" spans="2:79" ht="12.75" customHeight="1">
      <c r="B350" s="1555"/>
      <c r="C350" s="1561"/>
      <c r="D350" s="1561"/>
      <c r="E350" s="1561"/>
      <c r="F350" s="1562"/>
      <c r="G350" s="1563"/>
      <c r="H350" s="1563"/>
      <c r="I350" s="1563"/>
      <c r="J350" s="1563"/>
      <c r="K350" s="1561"/>
      <c r="L350" s="1561"/>
      <c r="M350" s="1561"/>
      <c r="N350" s="1561"/>
      <c r="O350" s="1561"/>
      <c r="P350" s="1561"/>
      <c r="Q350" s="1561"/>
      <c r="R350" s="1561"/>
      <c r="S350" s="1561"/>
      <c r="T350" s="1561"/>
      <c r="U350" s="1561"/>
      <c r="V350" s="1561"/>
      <c r="W350" s="1561"/>
      <c r="X350" s="1561"/>
      <c r="Y350" s="1561"/>
      <c r="Z350" s="1561"/>
      <c r="AA350" s="1561"/>
      <c r="AB350" s="1561"/>
      <c r="AC350" s="1561"/>
      <c r="AD350" s="1561"/>
      <c r="AE350" s="1561"/>
      <c r="AF350" s="1561"/>
      <c r="AG350" s="1561"/>
      <c r="AH350" s="1561"/>
      <c r="AI350" s="1561"/>
      <c r="AJ350" s="1561"/>
      <c r="AK350" s="1561"/>
      <c r="AL350" s="1561"/>
      <c r="AM350" s="1561"/>
      <c r="AN350" s="1561"/>
      <c r="AO350" s="1561"/>
      <c r="AP350" s="1561"/>
      <c r="AQ350" s="1561"/>
      <c r="AR350" s="1561"/>
      <c r="AS350" s="1561"/>
      <c r="AT350" s="1561"/>
      <c r="AU350" s="1561"/>
      <c r="AV350" s="1561"/>
      <c r="AW350" s="1561"/>
      <c r="AX350" s="1561"/>
      <c r="AY350" s="1561"/>
      <c r="AZ350" s="1561"/>
      <c r="BA350" s="1561"/>
      <c r="BB350" s="1561"/>
      <c r="BC350" s="1561"/>
      <c r="BD350" s="1561"/>
      <c r="BE350" s="1561"/>
      <c r="BF350" s="1561"/>
      <c r="BS350" s="1561"/>
      <c r="BT350" s="1561"/>
      <c r="BU350" s="1561"/>
      <c r="BV350" s="1444"/>
      <c r="BW350" s="1443"/>
      <c r="BX350" s="1443"/>
      <c r="BY350" s="1443"/>
      <c r="BZ350" s="1561"/>
      <c r="CA350" s="1561"/>
    </row>
    <row r="351" spans="2:79" ht="12.75" customHeight="1">
      <c r="B351" s="1555"/>
      <c r="C351" s="1561"/>
      <c r="D351" s="1561"/>
      <c r="E351" s="1561"/>
      <c r="F351" s="1562"/>
      <c r="G351" s="1563"/>
      <c r="H351" s="1563"/>
      <c r="I351" s="1563"/>
      <c r="J351" s="1563"/>
      <c r="K351" s="1561"/>
      <c r="L351" s="1561"/>
      <c r="M351" s="1561"/>
      <c r="N351" s="1561"/>
      <c r="O351" s="1561"/>
      <c r="P351" s="1561"/>
      <c r="Q351" s="1561"/>
      <c r="R351" s="1561"/>
      <c r="S351" s="1561"/>
      <c r="T351" s="1561"/>
      <c r="U351" s="1561"/>
      <c r="V351" s="1561"/>
      <c r="W351" s="1561"/>
      <c r="X351" s="1561"/>
      <c r="Y351" s="1561"/>
      <c r="Z351" s="1561"/>
      <c r="AA351" s="1561"/>
      <c r="AB351" s="1561"/>
      <c r="AC351" s="1561"/>
      <c r="AD351" s="1561"/>
      <c r="AE351" s="1561"/>
      <c r="AF351" s="1561"/>
      <c r="AG351" s="1561"/>
      <c r="AH351" s="1561"/>
      <c r="AI351" s="1561"/>
      <c r="AJ351" s="1561"/>
      <c r="AK351" s="1561"/>
      <c r="AL351" s="1561"/>
      <c r="AM351" s="1561"/>
      <c r="AN351" s="1561"/>
      <c r="AO351" s="1561"/>
      <c r="AP351" s="1561"/>
      <c r="AQ351" s="1561"/>
      <c r="AR351" s="1561"/>
      <c r="AS351" s="1561"/>
      <c r="AT351" s="1561"/>
      <c r="AU351" s="1561"/>
      <c r="AV351" s="1561"/>
      <c r="AW351" s="1561"/>
      <c r="AX351" s="1561"/>
      <c r="AY351" s="1561"/>
      <c r="AZ351" s="1561"/>
      <c r="BA351" s="1561"/>
      <c r="BB351" s="1561"/>
      <c r="BC351" s="1561"/>
      <c r="BD351" s="1561"/>
      <c r="BE351" s="1561"/>
      <c r="BF351" s="1561"/>
      <c r="BS351" s="1561"/>
      <c r="BT351" s="1561"/>
      <c r="BU351" s="1561"/>
      <c r="BV351" s="1444"/>
      <c r="BW351" s="1443"/>
      <c r="BX351" s="1443"/>
      <c r="BY351" s="1443"/>
      <c r="BZ351" s="1561"/>
      <c r="CA351" s="1561"/>
    </row>
    <row r="352" spans="2:79" ht="12.75" customHeight="1">
      <c r="B352" s="1555"/>
      <c r="C352" s="1561"/>
      <c r="D352" s="1561"/>
      <c r="E352" s="1561"/>
      <c r="F352" s="1562"/>
      <c r="G352" s="1563"/>
      <c r="H352" s="1563"/>
      <c r="I352" s="1563"/>
      <c r="J352" s="1563"/>
      <c r="K352" s="1561"/>
      <c r="L352" s="1561"/>
      <c r="M352" s="1561"/>
      <c r="N352" s="1561"/>
      <c r="O352" s="1561"/>
      <c r="P352" s="1561"/>
      <c r="Q352" s="1561"/>
      <c r="R352" s="1561"/>
      <c r="S352" s="1561"/>
      <c r="T352" s="1561"/>
      <c r="U352" s="1561"/>
      <c r="V352" s="1561"/>
      <c r="W352" s="1561"/>
      <c r="X352" s="1561"/>
      <c r="Y352" s="1561"/>
      <c r="Z352" s="1561"/>
      <c r="AA352" s="1561"/>
      <c r="AB352" s="1561"/>
      <c r="AC352" s="1561"/>
      <c r="AD352" s="1561"/>
      <c r="AE352" s="1561"/>
      <c r="AF352" s="1561"/>
      <c r="AG352" s="1561"/>
      <c r="AH352" s="1561"/>
      <c r="AI352" s="1561"/>
      <c r="AJ352" s="1561"/>
      <c r="AK352" s="1561"/>
      <c r="AL352" s="1561"/>
      <c r="AM352" s="1561"/>
      <c r="AN352" s="1561"/>
      <c r="AO352" s="1561"/>
      <c r="AP352" s="1561"/>
      <c r="AQ352" s="1561"/>
      <c r="AR352" s="1561"/>
      <c r="AS352" s="1561"/>
      <c r="AT352" s="1561"/>
      <c r="AU352" s="1561"/>
      <c r="AV352" s="1561"/>
      <c r="AW352" s="1561"/>
      <c r="AX352" s="1561"/>
      <c r="AY352" s="1561"/>
      <c r="AZ352" s="1561"/>
      <c r="BA352" s="1561"/>
      <c r="BB352" s="1561"/>
      <c r="BC352" s="1561"/>
      <c r="BD352" s="1561"/>
      <c r="BE352" s="1561"/>
      <c r="BF352" s="1561"/>
      <c r="BS352" s="1561"/>
      <c r="BT352" s="1561"/>
      <c r="BU352" s="1561"/>
      <c r="BV352" s="1444"/>
      <c r="BW352" s="1443"/>
      <c r="BX352" s="1443"/>
      <c r="BY352" s="1443"/>
      <c r="BZ352" s="1561"/>
      <c r="CA352" s="1561"/>
    </row>
    <row r="353" spans="2:79" ht="12.75" customHeight="1">
      <c r="B353" s="1555"/>
      <c r="C353" s="1561"/>
      <c r="D353" s="1561"/>
      <c r="E353" s="1561"/>
      <c r="F353" s="1562"/>
      <c r="G353" s="1563"/>
      <c r="H353" s="1563"/>
      <c r="I353" s="1563"/>
      <c r="J353" s="1563"/>
      <c r="K353" s="1561"/>
      <c r="L353" s="1561"/>
      <c r="M353" s="1561"/>
      <c r="N353" s="1561"/>
      <c r="O353" s="1561"/>
      <c r="P353" s="1561"/>
      <c r="Q353" s="1561"/>
      <c r="R353" s="1561"/>
      <c r="S353" s="1561"/>
      <c r="T353" s="1561"/>
      <c r="U353" s="1561"/>
      <c r="V353" s="1561"/>
      <c r="W353" s="1561"/>
      <c r="X353" s="1561"/>
      <c r="Y353" s="1561"/>
      <c r="Z353" s="1561"/>
      <c r="AA353" s="1561"/>
      <c r="AB353" s="1561"/>
      <c r="AC353" s="1561"/>
      <c r="AD353" s="1561"/>
      <c r="AE353" s="1561"/>
      <c r="AF353" s="1561"/>
      <c r="AG353" s="1561"/>
      <c r="AH353" s="1561"/>
      <c r="AI353" s="1561"/>
      <c r="AJ353" s="1561"/>
      <c r="AK353" s="1561"/>
      <c r="AL353" s="1561"/>
      <c r="AM353" s="1561"/>
      <c r="AN353" s="1561"/>
      <c r="AO353" s="1561"/>
      <c r="AP353" s="1561"/>
      <c r="AQ353" s="1561"/>
      <c r="AR353" s="1561"/>
      <c r="AS353" s="1561"/>
      <c r="AT353" s="1561"/>
      <c r="AU353" s="1561"/>
      <c r="AV353" s="1561"/>
      <c r="AW353" s="1561"/>
      <c r="AX353" s="1561"/>
      <c r="AY353" s="1561"/>
      <c r="AZ353" s="1561"/>
      <c r="BA353" s="1561"/>
      <c r="BB353" s="1561"/>
      <c r="BC353" s="1561"/>
      <c r="BD353" s="1561"/>
      <c r="BE353" s="1561"/>
      <c r="BF353" s="1561"/>
      <c r="BS353" s="1561"/>
      <c r="BT353" s="1561"/>
      <c r="BU353" s="1561"/>
      <c r="BV353" s="1444"/>
      <c r="BW353" s="1443"/>
      <c r="BX353" s="1443"/>
      <c r="BY353" s="1443"/>
      <c r="BZ353" s="1561"/>
      <c r="CA353" s="1561"/>
    </row>
    <row r="354" spans="2:79" ht="12.75" customHeight="1">
      <c r="B354" s="1555"/>
      <c r="C354" s="1561"/>
      <c r="D354" s="1561"/>
      <c r="E354" s="1561"/>
      <c r="F354" s="1562"/>
      <c r="G354" s="1563"/>
      <c r="H354" s="1563"/>
      <c r="I354" s="1563"/>
      <c r="J354" s="1563"/>
      <c r="K354" s="1561"/>
      <c r="L354" s="1561"/>
      <c r="M354" s="1561"/>
      <c r="N354" s="1561"/>
      <c r="O354" s="1561"/>
      <c r="P354" s="1561"/>
      <c r="Q354" s="1561"/>
      <c r="R354" s="1561"/>
      <c r="S354" s="1561"/>
      <c r="T354" s="1561"/>
      <c r="U354" s="1561"/>
      <c r="V354" s="1561"/>
      <c r="W354" s="1561"/>
      <c r="X354" s="1561"/>
      <c r="Y354" s="1561"/>
      <c r="Z354" s="1561"/>
      <c r="AA354" s="1561"/>
      <c r="AB354" s="1561"/>
      <c r="AC354" s="1561"/>
      <c r="AD354" s="1561"/>
      <c r="AE354" s="1561"/>
      <c r="AF354" s="1561"/>
      <c r="AG354" s="1561"/>
      <c r="AH354" s="1561"/>
      <c r="AI354" s="1561"/>
      <c r="AJ354" s="1561"/>
      <c r="AK354" s="1561"/>
      <c r="AL354" s="1561"/>
      <c r="AM354" s="1561"/>
      <c r="AN354" s="1561"/>
      <c r="AO354" s="1561"/>
      <c r="AP354" s="1561"/>
      <c r="AQ354" s="1561"/>
      <c r="AR354" s="1561"/>
      <c r="AS354" s="1561"/>
      <c r="AT354" s="1561"/>
      <c r="AU354" s="1561"/>
      <c r="AV354" s="1561"/>
      <c r="AW354" s="1561"/>
      <c r="AX354" s="1561"/>
      <c r="AY354" s="1561"/>
      <c r="AZ354" s="1561"/>
      <c r="BA354" s="1561"/>
      <c r="BB354" s="1561"/>
      <c r="BC354" s="1561"/>
      <c r="BD354" s="1561"/>
      <c r="BE354" s="1561"/>
      <c r="BF354" s="1561"/>
      <c r="BS354" s="1561"/>
      <c r="BT354" s="1561"/>
      <c r="BU354" s="1561"/>
      <c r="BV354" s="1444"/>
      <c r="BW354" s="1443"/>
      <c r="BX354" s="1443"/>
      <c r="BY354" s="1443"/>
      <c r="BZ354" s="1561"/>
      <c r="CA354" s="1561"/>
    </row>
    <row r="355" spans="2:79" ht="12.75" customHeight="1">
      <c r="B355" s="1555"/>
      <c r="C355" s="1561"/>
      <c r="D355" s="1561"/>
      <c r="E355" s="1561"/>
      <c r="F355" s="1562"/>
      <c r="G355" s="1563"/>
      <c r="H355" s="1563"/>
      <c r="I355" s="1563"/>
      <c r="J355" s="1563"/>
      <c r="K355" s="1561"/>
      <c r="L355" s="1561"/>
      <c r="M355" s="1561"/>
      <c r="N355" s="1561"/>
      <c r="O355" s="1561"/>
      <c r="P355" s="1561"/>
      <c r="Q355" s="1561"/>
      <c r="R355" s="1561"/>
      <c r="S355" s="1561"/>
      <c r="T355" s="1561"/>
      <c r="U355" s="1561"/>
      <c r="V355" s="1561"/>
      <c r="W355" s="1561"/>
      <c r="X355" s="1561"/>
      <c r="Y355" s="1561"/>
      <c r="Z355" s="1561"/>
      <c r="AA355" s="1561"/>
      <c r="AB355" s="1561"/>
      <c r="AC355" s="1561"/>
      <c r="AD355" s="1561"/>
      <c r="AE355" s="1561"/>
      <c r="AF355" s="1561"/>
      <c r="AG355" s="1561"/>
      <c r="AH355" s="1561"/>
      <c r="AI355" s="1561"/>
      <c r="AJ355" s="1561"/>
      <c r="AK355" s="1561"/>
      <c r="AL355" s="1561"/>
      <c r="AM355" s="1561"/>
      <c r="AN355" s="1561"/>
      <c r="AO355" s="1561"/>
      <c r="AP355" s="1561"/>
      <c r="AQ355" s="1561"/>
      <c r="AR355" s="1561"/>
      <c r="AS355" s="1561"/>
      <c r="AT355" s="1561"/>
      <c r="AU355" s="1561"/>
      <c r="AV355" s="1561"/>
      <c r="AW355" s="1561"/>
      <c r="AX355" s="1561"/>
      <c r="AY355" s="1561"/>
      <c r="AZ355" s="1561"/>
      <c r="BA355" s="1561"/>
      <c r="BB355" s="1561"/>
      <c r="BC355" s="1561"/>
      <c r="BD355" s="1561"/>
      <c r="BE355" s="1561"/>
      <c r="BF355" s="1561"/>
      <c r="BS355" s="1561"/>
      <c r="BT355" s="1561"/>
      <c r="BU355" s="1561"/>
      <c r="BV355" s="1444"/>
      <c r="BW355" s="1443"/>
      <c r="BX355" s="1443"/>
      <c r="BY355" s="1443"/>
      <c r="BZ355" s="1561"/>
      <c r="CA355" s="1561"/>
    </row>
    <row r="356" spans="2:79" ht="12.75" customHeight="1">
      <c r="B356" s="1555"/>
      <c r="C356" s="1561"/>
      <c r="D356" s="1561"/>
      <c r="E356" s="1561"/>
      <c r="F356" s="1562"/>
      <c r="G356" s="1563"/>
      <c r="H356" s="1563"/>
      <c r="I356" s="1563"/>
      <c r="J356" s="1563"/>
      <c r="K356" s="1561"/>
      <c r="L356" s="1561"/>
      <c r="M356" s="1561"/>
      <c r="N356" s="1561"/>
      <c r="O356" s="1561"/>
      <c r="P356" s="1561"/>
      <c r="Q356" s="1561"/>
      <c r="R356" s="1561"/>
      <c r="S356" s="1561"/>
      <c r="T356" s="1561"/>
      <c r="U356" s="1561"/>
      <c r="V356" s="1561"/>
      <c r="W356" s="1561"/>
      <c r="X356" s="1561"/>
      <c r="Y356" s="1561"/>
      <c r="Z356" s="1561"/>
      <c r="AA356" s="1561"/>
      <c r="AB356" s="1561"/>
      <c r="AC356" s="1561"/>
      <c r="AD356" s="1561"/>
      <c r="AE356" s="1561"/>
      <c r="AF356" s="1561"/>
      <c r="AG356" s="1561"/>
      <c r="AH356" s="1561"/>
      <c r="AI356" s="1561"/>
      <c r="AJ356" s="1561"/>
      <c r="AK356" s="1561"/>
      <c r="AL356" s="1561"/>
      <c r="AM356" s="1561"/>
      <c r="AN356" s="1561"/>
      <c r="AO356" s="1561"/>
      <c r="AP356" s="1561"/>
      <c r="AQ356" s="1561"/>
      <c r="AR356" s="1561"/>
      <c r="AS356" s="1561"/>
      <c r="AT356" s="1561"/>
      <c r="AU356" s="1561"/>
      <c r="AV356" s="1561"/>
      <c r="AW356" s="1561"/>
      <c r="AX356" s="1561"/>
      <c r="AY356" s="1561"/>
      <c r="AZ356" s="1561"/>
      <c r="BA356" s="1561"/>
      <c r="BB356" s="1561"/>
      <c r="BC356" s="1561"/>
      <c r="BD356" s="1561"/>
      <c r="BE356" s="1561"/>
      <c r="BF356" s="1561"/>
      <c r="BS356" s="1561"/>
      <c r="BT356" s="1561"/>
      <c r="BU356" s="1561"/>
      <c r="BV356" s="1444"/>
      <c r="BW356" s="1443"/>
      <c r="BX356" s="1443"/>
      <c r="BY356" s="1443"/>
      <c r="BZ356" s="1561"/>
      <c r="CA356" s="1561"/>
    </row>
    <row r="357" spans="2:79" ht="12.75" customHeight="1">
      <c r="B357" s="1555"/>
      <c r="C357" s="1561"/>
      <c r="D357" s="1561"/>
      <c r="E357" s="1561"/>
      <c r="F357" s="1562"/>
      <c r="G357" s="1563"/>
      <c r="H357" s="1563"/>
      <c r="I357" s="1563"/>
      <c r="J357" s="1563"/>
      <c r="K357" s="1561"/>
      <c r="L357" s="1561"/>
      <c r="M357" s="1561"/>
      <c r="N357" s="1561"/>
      <c r="O357" s="1561"/>
      <c r="P357" s="1561"/>
      <c r="Q357" s="1561"/>
      <c r="R357" s="1561"/>
      <c r="S357" s="1561"/>
      <c r="T357" s="1561"/>
      <c r="U357" s="1561"/>
      <c r="V357" s="1561"/>
      <c r="W357" s="1561"/>
      <c r="X357" s="1561"/>
      <c r="Y357" s="1561"/>
      <c r="Z357" s="1561"/>
      <c r="AA357" s="1561"/>
      <c r="AB357" s="1561"/>
      <c r="AC357" s="1561"/>
      <c r="AD357" s="1561"/>
      <c r="AE357" s="1561"/>
      <c r="AF357" s="1561"/>
      <c r="AG357" s="1561"/>
      <c r="AH357" s="1561"/>
      <c r="AI357" s="1561"/>
      <c r="AJ357" s="1561"/>
      <c r="AK357" s="1561"/>
      <c r="AL357" s="1561"/>
      <c r="AM357" s="1561"/>
      <c r="AN357" s="1561"/>
      <c r="AO357" s="1561"/>
      <c r="AP357" s="1561"/>
      <c r="AQ357" s="1561"/>
      <c r="AR357" s="1561"/>
      <c r="AS357" s="1561"/>
      <c r="AT357" s="1561"/>
      <c r="AU357" s="1561"/>
      <c r="AV357" s="1561"/>
      <c r="AW357" s="1561"/>
      <c r="AX357" s="1561"/>
      <c r="AY357" s="1561"/>
      <c r="AZ357" s="1561"/>
      <c r="BA357" s="1561"/>
      <c r="BB357" s="1561"/>
      <c r="BC357" s="1561"/>
      <c r="BD357" s="1561"/>
      <c r="BE357" s="1561"/>
      <c r="BF357" s="1561"/>
      <c r="BS357" s="1561"/>
      <c r="BT357" s="1561"/>
      <c r="BU357" s="1561"/>
      <c r="BV357" s="1444"/>
      <c r="BW357" s="1443"/>
      <c r="BX357" s="1443"/>
      <c r="BY357" s="1443"/>
      <c r="BZ357" s="1561"/>
      <c r="CA357" s="1561"/>
    </row>
    <row r="358" spans="2:79" ht="12.75" customHeight="1">
      <c r="B358" s="1555"/>
      <c r="C358" s="1561"/>
      <c r="D358" s="1561"/>
      <c r="E358" s="1561"/>
      <c r="F358" s="1562"/>
      <c r="G358" s="1563"/>
      <c r="H358" s="1563"/>
      <c r="I358" s="1563"/>
      <c r="J358" s="1563"/>
      <c r="K358" s="1561"/>
      <c r="L358" s="1561"/>
      <c r="M358" s="1561"/>
      <c r="N358" s="1561"/>
      <c r="O358" s="1561"/>
      <c r="P358" s="1561"/>
      <c r="Q358" s="1561"/>
      <c r="R358" s="1561"/>
      <c r="S358" s="1561"/>
      <c r="T358" s="1561"/>
      <c r="U358" s="1561"/>
      <c r="V358" s="1561"/>
      <c r="W358" s="1561"/>
      <c r="X358" s="1561"/>
      <c r="Y358" s="1561"/>
      <c r="Z358" s="1561"/>
      <c r="AA358" s="1561"/>
      <c r="AB358" s="1561"/>
      <c r="AC358" s="1561"/>
      <c r="AD358" s="1561"/>
      <c r="AE358" s="1561"/>
      <c r="AF358" s="1561"/>
      <c r="AG358" s="1561"/>
      <c r="AH358" s="1561"/>
      <c r="AI358" s="1561"/>
      <c r="AJ358" s="1561"/>
      <c r="AK358" s="1561"/>
      <c r="AL358" s="1561"/>
      <c r="AM358" s="1561"/>
      <c r="AN358" s="1561"/>
      <c r="AO358" s="1561"/>
      <c r="AP358" s="1561"/>
      <c r="AQ358" s="1561"/>
      <c r="AR358" s="1561"/>
      <c r="AS358" s="1561"/>
      <c r="AT358" s="1561"/>
      <c r="AU358" s="1561"/>
      <c r="AV358" s="1561"/>
      <c r="AW358" s="1561"/>
      <c r="AX358" s="1561"/>
      <c r="AY358" s="1561"/>
      <c r="AZ358" s="1561"/>
      <c r="BA358" s="1561"/>
      <c r="BB358" s="1561"/>
      <c r="BC358" s="1561"/>
      <c r="BD358" s="1561"/>
      <c r="BE358" s="1561"/>
      <c r="BF358" s="1561"/>
      <c r="BS358" s="1561"/>
      <c r="BT358" s="1561"/>
      <c r="BU358" s="1561"/>
      <c r="BV358" s="1444"/>
      <c r="BW358" s="1443"/>
      <c r="BX358" s="1443"/>
      <c r="BY358" s="1443"/>
      <c r="BZ358" s="1561"/>
      <c r="CA358" s="1561"/>
    </row>
    <row r="359" spans="2:79" ht="12.75" customHeight="1">
      <c r="B359" s="1555"/>
      <c r="C359" s="1561"/>
      <c r="D359" s="1561"/>
      <c r="E359" s="1561"/>
      <c r="F359" s="1562"/>
      <c r="G359" s="1563"/>
      <c r="H359" s="1563"/>
      <c r="I359" s="1563"/>
      <c r="J359" s="1563"/>
      <c r="K359" s="1561"/>
      <c r="L359" s="1561"/>
      <c r="M359" s="1561"/>
      <c r="N359" s="1561"/>
      <c r="O359" s="1561"/>
      <c r="P359" s="1561"/>
      <c r="Q359" s="1561"/>
      <c r="R359" s="1561"/>
      <c r="S359" s="1561"/>
      <c r="T359" s="1561"/>
      <c r="U359" s="1561"/>
      <c r="V359" s="1561"/>
      <c r="W359" s="1561"/>
      <c r="X359" s="1561"/>
      <c r="Y359" s="1561"/>
      <c r="Z359" s="1561"/>
      <c r="AA359" s="1561"/>
      <c r="AB359" s="1561"/>
      <c r="AC359" s="1561"/>
      <c r="AD359" s="1561"/>
      <c r="AE359" s="1561"/>
      <c r="AF359" s="1561"/>
      <c r="AG359" s="1561"/>
      <c r="AH359" s="1561"/>
      <c r="AI359" s="1561"/>
      <c r="AJ359" s="1561"/>
      <c r="AK359" s="1561"/>
      <c r="AL359" s="1561"/>
      <c r="AM359" s="1561"/>
      <c r="AN359" s="1561"/>
      <c r="AO359" s="1561"/>
      <c r="AP359" s="1561"/>
      <c r="AQ359" s="1561"/>
      <c r="AR359" s="1561"/>
      <c r="AS359" s="1561"/>
      <c r="AT359" s="1561"/>
      <c r="AU359" s="1561"/>
      <c r="AV359" s="1561"/>
      <c r="AW359" s="1561"/>
      <c r="AX359" s="1561"/>
      <c r="AY359" s="1561"/>
      <c r="AZ359" s="1561"/>
      <c r="BA359" s="1561"/>
      <c r="BB359" s="1561"/>
      <c r="BC359" s="1561"/>
      <c r="BD359" s="1561"/>
      <c r="BE359" s="1561"/>
      <c r="BF359" s="1561"/>
      <c r="BS359" s="1561"/>
      <c r="BT359" s="1561"/>
      <c r="BU359" s="1561"/>
      <c r="BV359" s="1444"/>
      <c r="BW359" s="1561"/>
      <c r="BX359" s="1561"/>
      <c r="BY359" s="1561"/>
      <c r="BZ359" s="1561"/>
      <c r="CA359" s="1561"/>
    </row>
    <row r="360" spans="2:79" ht="12.75" customHeight="1">
      <c r="B360" s="1555"/>
      <c r="C360" s="1561"/>
      <c r="D360" s="1561"/>
      <c r="E360" s="1561"/>
      <c r="F360" s="1562"/>
      <c r="G360" s="1563"/>
      <c r="H360" s="1563"/>
      <c r="I360" s="1563"/>
      <c r="J360" s="1563"/>
      <c r="K360" s="1561"/>
      <c r="L360" s="1561"/>
      <c r="M360" s="1561"/>
      <c r="N360" s="1561"/>
      <c r="O360" s="1561"/>
      <c r="P360" s="1561"/>
      <c r="Q360" s="1561"/>
      <c r="R360" s="1561"/>
      <c r="S360" s="1561"/>
      <c r="T360" s="1561"/>
      <c r="U360" s="1561"/>
      <c r="V360" s="1561"/>
      <c r="W360" s="1561"/>
      <c r="X360" s="1561"/>
      <c r="Y360" s="1561"/>
      <c r="Z360" s="1561"/>
      <c r="AA360" s="1561"/>
      <c r="AB360" s="1561"/>
      <c r="AC360" s="1561"/>
      <c r="AD360" s="1561"/>
      <c r="AE360" s="1561"/>
      <c r="AF360" s="1561"/>
      <c r="AG360" s="1561"/>
      <c r="AH360" s="1561"/>
      <c r="AI360" s="1561"/>
      <c r="AJ360" s="1561"/>
      <c r="AK360" s="1561"/>
      <c r="AL360" s="1561"/>
      <c r="AM360" s="1561"/>
      <c r="AN360" s="1561"/>
      <c r="AO360" s="1561"/>
      <c r="AP360" s="1561"/>
      <c r="AQ360" s="1561"/>
      <c r="AR360" s="1561"/>
      <c r="AS360" s="1561"/>
      <c r="AT360" s="1561"/>
      <c r="AU360" s="1561"/>
      <c r="AV360" s="1561"/>
      <c r="AW360" s="1561"/>
      <c r="AX360" s="1561"/>
      <c r="AY360" s="1561"/>
      <c r="AZ360" s="1561"/>
      <c r="BA360" s="1561"/>
      <c r="BB360" s="1561"/>
      <c r="BC360" s="1561"/>
      <c r="BD360" s="1561"/>
      <c r="BE360" s="1561"/>
      <c r="BF360" s="1561"/>
      <c r="BS360" s="1561"/>
      <c r="BT360" s="1561"/>
      <c r="BU360" s="1561"/>
      <c r="BV360" s="1444"/>
      <c r="BW360" s="1561"/>
      <c r="BX360" s="1561"/>
      <c r="BY360" s="1561"/>
      <c r="BZ360" s="1561"/>
      <c r="CA360" s="1561"/>
    </row>
    <row r="361" spans="2:79" ht="12.75" customHeight="1">
      <c r="B361" s="1555"/>
      <c r="C361" s="1561"/>
      <c r="D361" s="1561"/>
      <c r="E361" s="1561"/>
      <c r="F361" s="1562"/>
      <c r="G361" s="1563"/>
      <c r="H361" s="1563"/>
      <c r="I361" s="1563"/>
      <c r="J361" s="1563"/>
      <c r="K361" s="1561"/>
      <c r="L361" s="1561"/>
      <c r="M361" s="1561"/>
      <c r="N361" s="1561"/>
      <c r="O361" s="1561"/>
      <c r="P361" s="1561"/>
      <c r="Q361" s="1561"/>
      <c r="R361" s="1561"/>
      <c r="S361" s="1561"/>
      <c r="T361" s="1561"/>
      <c r="U361" s="1561"/>
      <c r="V361" s="1561"/>
      <c r="W361" s="1561"/>
      <c r="X361" s="1561"/>
      <c r="Y361" s="1561"/>
      <c r="Z361" s="1561"/>
      <c r="AA361" s="1561"/>
      <c r="AB361" s="1561"/>
      <c r="AC361" s="1561"/>
      <c r="AD361" s="1561"/>
      <c r="AE361" s="1561"/>
      <c r="AF361" s="1561"/>
      <c r="AG361" s="1561"/>
      <c r="AH361" s="1561"/>
      <c r="AI361" s="1561"/>
      <c r="AJ361" s="1561"/>
      <c r="AK361" s="1561"/>
      <c r="AL361" s="1561"/>
      <c r="AM361" s="1561"/>
      <c r="AN361" s="1561"/>
      <c r="AO361" s="1561"/>
      <c r="AP361" s="1561"/>
      <c r="AQ361" s="1561"/>
      <c r="AR361" s="1561"/>
      <c r="AS361" s="1561"/>
      <c r="AT361" s="1561"/>
      <c r="AU361" s="1561"/>
      <c r="AV361" s="1561"/>
      <c r="AW361" s="1561"/>
      <c r="AX361" s="1561"/>
      <c r="AY361" s="1561"/>
      <c r="AZ361" s="1561"/>
      <c r="BA361" s="1561"/>
      <c r="BB361" s="1561"/>
      <c r="BC361" s="1561"/>
      <c r="BD361" s="1561"/>
      <c r="BE361" s="1561"/>
      <c r="BF361" s="1561"/>
      <c r="BS361" s="1561"/>
      <c r="BT361" s="1561"/>
      <c r="BU361" s="1561"/>
      <c r="BV361" s="1444"/>
      <c r="BW361" s="1561"/>
      <c r="BX361" s="1561"/>
      <c r="BY361" s="1561"/>
      <c r="BZ361" s="1561"/>
      <c r="CA361" s="1561"/>
    </row>
    <row r="362" spans="2:79" ht="12.75" customHeight="1">
      <c r="B362" s="1555"/>
      <c r="C362" s="1561"/>
      <c r="D362" s="1561"/>
      <c r="E362" s="1561"/>
      <c r="F362" s="1562"/>
      <c r="G362" s="1563"/>
      <c r="H362" s="1563"/>
      <c r="I362" s="1563"/>
      <c r="J362" s="1563"/>
      <c r="K362" s="1561"/>
      <c r="L362" s="1561"/>
      <c r="M362" s="1561"/>
      <c r="N362" s="1561"/>
      <c r="O362" s="1561"/>
      <c r="P362" s="1561"/>
      <c r="Q362" s="1561"/>
      <c r="R362" s="1561"/>
      <c r="S362" s="1561"/>
      <c r="T362" s="1561"/>
      <c r="U362" s="1561"/>
      <c r="V362" s="1561"/>
      <c r="W362" s="1561"/>
      <c r="X362" s="1561"/>
      <c r="Y362" s="1561"/>
      <c r="Z362" s="1561"/>
      <c r="AA362" s="1561"/>
      <c r="AB362" s="1561"/>
      <c r="AC362" s="1561"/>
      <c r="AD362" s="1561"/>
      <c r="AE362" s="1561"/>
      <c r="AF362" s="1561"/>
      <c r="AG362" s="1561"/>
      <c r="AH362" s="1561"/>
      <c r="AI362" s="1561"/>
      <c r="AJ362" s="1561"/>
      <c r="AK362" s="1561"/>
      <c r="AL362" s="1561"/>
      <c r="AM362" s="1561"/>
      <c r="AN362" s="1561"/>
      <c r="AO362" s="1561"/>
      <c r="AP362" s="1561"/>
      <c r="AQ362" s="1561"/>
      <c r="AR362" s="1561"/>
      <c r="AS362" s="1561"/>
      <c r="AT362" s="1561"/>
      <c r="AU362" s="1561"/>
      <c r="AV362" s="1561"/>
      <c r="AW362" s="1561"/>
      <c r="AX362" s="1561"/>
      <c r="AY362" s="1561"/>
      <c r="AZ362" s="1561"/>
      <c r="BA362" s="1561"/>
      <c r="BB362" s="1561"/>
      <c r="BC362" s="1561"/>
      <c r="BD362" s="1561"/>
      <c r="BE362" s="1561"/>
      <c r="BF362" s="1561"/>
      <c r="BS362" s="1561"/>
      <c r="BT362" s="1561"/>
      <c r="BU362" s="1561"/>
      <c r="BV362" s="1444"/>
      <c r="BW362" s="1561"/>
      <c r="BX362" s="1561"/>
      <c r="BY362" s="1561"/>
      <c r="BZ362" s="1561"/>
      <c r="CA362" s="1561"/>
    </row>
    <row r="363" spans="2:79" ht="12.75" customHeight="1">
      <c r="B363" s="1555"/>
      <c r="C363" s="1561"/>
      <c r="D363" s="1561"/>
      <c r="E363" s="1561"/>
      <c r="F363" s="1562"/>
      <c r="G363" s="1563"/>
      <c r="H363" s="1563"/>
      <c r="I363" s="1563"/>
      <c r="J363" s="1563"/>
      <c r="K363" s="1561"/>
      <c r="L363" s="1561"/>
      <c r="M363" s="1561"/>
      <c r="N363" s="1561"/>
      <c r="O363" s="1561"/>
      <c r="P363" s="1561"/>
      <c r="Q363" s="1561"/>
      <c r="R363" s="1561"/>
      <c r="S363" s="1561"/>
      <c r="T363" s="1561"/>
      <c r="U363" s="1561"/>
      <c r="V363" s="1561"/>
      <c r="W363" s="1561"/>
      <c r="X363" s="1561"/>
      <c r="Y363" s="1561"/>
      <c r="Z363" s="1561"/>
      <c r="AA363" s="1561"/>
      <c r="AB363" s="1561"/>
      <c r="AC363" s="1561"/>
      <c r="AD363" s="1561"/>
      <c r="AE363" s="1561"/>
      <c r="AF363" s="1561"/>
      <c r="AG363" s="1561"/>
      <c r="AH363" s="1561"/>
      <c r="AI363" s="1561"/>
      <c r="AJ363" s="1561"/>
      <c r="AK363" s="1561"/>
      <c r="AL363" s="1561"/>
      <c r="AM363" s="1561"/>
      <c r="AN363" s="1561"/>
      <c r="AO363" s="1561"/>
      <c r="AP363" s="1561"/>
      <c r="AQ363" s="1561"/>
      <c r="AR363" s="1561"/>
      <c r="AS363" s="1561"/>
      <c r="AT363" s="1561"/>
      <c r="AU363" s="1561"/>
      <c r="AV363" s="1561"/>
      <c r="AW363" s="1561"/>
      <c r="AX363" s="1561"/>
      <c r="AY363" s="1561"/>
      <c r="AZ363" s="1561"/>
      <c r="BA363" s="1561"/>
      <c r="BB363" s="1561"/>
      <c r="BC363" s="1561"/>
      <c r="BD363" s="1561"/>
      <c r="BE363" s="1561"/>
      <c r="BF363" s="1561"/>
      <c r="BS363" s="1561"/>
      <c r="BT363" s="1561"/>
      <c r="BU363" s="1561"/>
      <c r="BV363" s="1444"/>
      <c r="BW363" s="1561"/>
      <c r="BX363" s="1561"/>
      <c r="BY363" s="1561"/>
      <c r="BZ363" s="1561"/>
      <c r="CA363" s="1561"/>
    </row>
    <row r="364" spans="2:79" ht="12.75" customHeight="1">
      <c r="B364" s="1555"/>
      <c r="C364" s="1561"/>
      <c r="D364" s="1561"/>
      <c r="E364" s="1561"/>
      <c r="F364" s="1562"/>
      <c r="G364" s="1563"/>
      <c r="H364" s="1563"/>
      <c r="I364" s="1563"/>
      <c r="J364" s="1563"/>
      <c r="K364" s="1561"/>
      <c r="L364" s="1561"/>
      <c r="M364" s="1561"/>
      <c r="N364" s="1561"/>
      <c r="O364" s="1561"/>
      <c r="P364" s="1561"/>
      <c r="Q364" s="1561"/>
      <c r="R364" s="1561"/>
      <c r="S364" s="1561"/>
      <c r="T364" s="1561"/>
      <c r="U364" s="1561"/>
      <c r="V364" s="1561"/>
      <c r="W364" s="1561"/>
      <c r="X364" s="1561"/>
      <c r="Y364" s="1561"/>
      <c r="Z364" s="1561"/>
      <c r="AA364" s="1561"/>
      <c r="AB364" s="1561"/>
      <c r="AC364" s="1561"/>
      <c r="AD364" s="1561"/>
      <c r="AE364" s="1561"/>
      <c r="AF364" s="1561"/>
      <c r="AG364" s="1561"/>
      <c r="AH364" s="1561"/>
      <c r="AI364" s="1561"/>
      <c r="AJ364" s="1561"/>
      <c r="AK364" s="1561"/>
      <c r="AL364" s="1561"/>
      <c r="AM364" s="1561"/>
      <c r="AN364" s="1561"/>
      <c r="AO364" s="1561"/>
      <c r="AP364" s="1561"/>
      <c r="AQ364" s="1561"/>
      <c r="AR364" s="1561"/>
      <c r="AS364" s="1561"/>
      <c r="AT364" s="1561"/>
      <c r="AU364" s="1561"/>
      <c r="AV364" s="1561"/>
      <c r="AW364" s="1561"/>
      <c r="AX364" s="1561"/>
      <c r="AY364" s="1561"/>
      <c r="AZ364" s="1561"/>
      <c r="BA364" s="1561"/>
      <c r="BB364" s="1561"/>
      <c r="BC364" s="1561"/>
      <c r="BD364" s="1561"/>
      <c r="BE364" s="1561"/>
      <c r="BF364" s="1561"/>
      <c r="BS364" s="1561"/>
      <c r="BT364" s="1561"/>
      <c r="BU364" s="1561"/>
      <c r="BV364" s="1444"/>
      <c r="BW364" s="1561"/>
      <c r="BX364" s="1561"/>
      <c r="BY364" s="1561"/>
      <c r="BZ364" s="1561"/>
      <c r="CA364" s="1561"/>
    </row>
    <row r="365" spans="2:79" ht="12.75" customHeight="1">
      <c r="B365" s="1555"/>
      <c r="C365" s="1561"/>
      <c r="D365" s="1561"/>
      <c r="E365" s="1561"/>
      <c r="F365" s="1562"/>
      <c r="G365" s="1563"/>
      <c r="H365" s="1563"/>
      <c r="I365" s="1563"/>
      <c r="J365" s="1563"/>
      <c r="K365" s="1561"/>
      <c r="L365" s="1561"/>
      <c r="M365" s="1561"/>
      <c r="N365" s="1561"/>
      <c r="O365" s="1561"/>
      <c r="P365" s="1561"/>
      <c r="Q365" s="1561"/>
      <c r="R365" s="1561"/>
      <c r="S365" s="1561"/>
      <c r="T365" s="1561"/>
      <c r="U365" s="1561"/>
      <c r="V365" s="1561"/>
      <c r="W365" s="1561"/>
      <c r="X365" s="1561"/>
      <c r="Y365" s="1561"/>
      <c r="Z365" s="1561"/>
      <c r="AA365" s="1561"/>
      <c r="AB365" s="1561"/>
      <c r="AC365" s="1561"/>
      <c r="AD365" s="1561"/>
      <c r="AE365" s="1561"/>
      <c r="AF365" s="1561"/>
      <c r="AG365" s="1561"/>
      <c r="AH365" s="1561"/>
      <c r="AI365" s="1561"/>
      <c r="AJ365" s="1561"/>
      <c r="AK365" s="1561"/>
      <c r="AL365" s="1561"/>
      <c r="AM365" s="1561"/>
      <c r="AN365" s="1561"/>
      <c r="AO365" s="1561"/>
      <c r="AP365" s="1561"/>
      <c r="AQ365" s="1561"/>
      <c r="AR365" s="1561"/>
      <c r="AS365" s="1561"/>
      <c r="AT365" s="1561"/>
      <c r="AU365" s="1561"/>
      <c r="AV365" s="1561"/>
      <c r="AW365" s="1561"/>
      <c r="AX365" s="1561"/>
      <c r="AY365" s="1561"/>
      <c r="AZ365" s="1561"/>
      <c r="BA365" s="1561"/>
      <c r="BB365" s="1561"/>
      <c r="BC365" s="1561"/>
      <c r="BD365" s="1561"/>
      <c r="BE365" s="1561"/>
      <c r="BF365" s="1561"/>
      <c r="BS365" s="1561"/>
      <c r="BT365" s="1561"/>
      <c r="BU365" s="1561"/>
      <c r="BV365" s="1444"/>
      <c r="BW365" s="1561"/>
      <c r="BX365" s="1561"/>
      <c r="BY365" s="1561"/>
      <c r="BZ365" s="1561"/>
      <c r="CA365" s="1561"/>
    </row>
    <row r="366" spans="2:79" ht="12.75" customHeight="1">
      <c r="B366" s="1555"/>
      <c r="C366" s="1561"/>
      <c r="D366" s="1561"/>
      <c r="E366" s="1561"/>
      <c r="F366" s="1562"/>
      <c r="G366" s="1563"/>
      <c r="H366" s="1563"/>
      <c r="I366" s="1563"/>
      <c r="J366" s="1563"/>
      <c r="K366" s="1561"/>
      <c r="L366" s="1561"/>
      <c r="M366" s="1561"/>
      <c r="N366" s="1561"/>
      <c r="O366" s="1561"/>
      <c r="P366" s="1561"/>
      <c r="Q366" s="1561"/>
      <c r="R366" s="1561"/>
      <c r="S366" s="1561"/>
      <c r="T366" s="1561"/>
      <c r="U366" s="1561"/>
      <c r="V366" s="1561"/>
      <c r="W366" s="1561"/>
      <c r="X366" s="1561"/>
      <c r="Y366" s="1561"/>
      <c r="Z366" s="1561"/>
      <c r="AA366" s="1561"/>
      <c r="AB366" s="1561"/>
      <c r="AC366" s="1561"/>
      <c r="AD366" s="1561"/>
      <c r="AE366" s="1561"/>
      <c r="AF366" s="1561"/>
      <c r="AG366" s="1561"/>
      <c r="AH366" s="1561"/>
      <c r="AI366" s="1561"/>
      <c r="AJ366" s="1561"/>
      <c r="AK366" s="1561"/>
      <c r="AL366" s="1561"/>
      <c r="AM366" s="1561"/>
      <c r="AN366" s="1561"/>
      <c r="AO366" s="1561"/>
      <c r="AP366" s="1561"/>
      <c r="AQ366" s="1561"/>
      <c r="AR366" s="1561"/>
      <c r="AS366" s="1561"/>
      <c r="AT366" s="1561"/>
      <c r="AU366" s="1561"/>
      <c r="AV366" s="1561"/>
      <c r="AW366" s="1561"/>
      <c r="AX366" s="1561"/>
      <c r="AY366" s="1561"/>
      <c r="AZ366" s="1561"/>
      <c r="BA366" s="1561"/>
      <c r="BB366" s="1561"/>
      <c r="BC366" s="1561"/>
      <c r="BD366" s="1561"/>
      <c r="BE366" s="1561"/>
      <c r="BF366" s="1561"/>
      <c r="BS366" s="1561"/>
      <c r="BT366" s="1561"/>
      <c r="BU366" s="1561"/>
      <c r="BV366" s="1444"/>
      <c r="BW366" s="1561"/>
      <c r="BX366" s="1561"/>
      <c r="BY366" s="1561"/>
      <c r="BZ366" s="1561"/>
      <c r="CA366" s="1561"/>
    </row>
    <row r="367" spans="2:79" ht="12.75" customHeight="1">
      <c r="B367" s="1555"/>
      <c r="C367" s="1561"/>
      <c r="D367" s="1561"/>
      <c r="E367" s="1561"/>
      <c r="F367" s="1562"/>
      <c r="G367" s="1563"/>
      <c r="H367" s="1563"/>
      <c r="I367" s="1563"/>
      <c r="J367" s="1563"/>
      <c r="K367" s="1561"/>
      <c r="L367" s="1561"/>
      <c r="M367" s="1561"/>
      <c r="N367" s="1561"/>
      <c r="O367" s="1561"/>
      <c r="P367" s="1561"/>
      <c r="Q367" s="1561"/>
      <c r="R367" s="1561"/>
      <c r="S367" s="1561"/>
      <c r="T367" s="1561"/>
      <c r="U367" s="1561"/>
      <c r="V367" s="1561"/>
      <c r="W367" s="1561"/>
      <c r="X367" s="1561"/>
      <c r="Y367" s="1561"/>
      <c r="Z367" s="1561"/>
      <c r="AA367" s="1561"/>
      <c r="AB367" s="1561"/>
      <c r="AC367" s="1561"/>
      <c r="AD367" s="1561"/>
      <c r="AE367" s="1561"/>
      <c r="AF367" s="1561"/>
      <c r="AG367" s="1561"/>
      <c r="AH367" s="1561"/>
      <c r="AI367" s="1561"/>
      <c r="AJ367" s="1561"/>
      <c r="AK367" s="1561"/>
      <c r="AL367" s="1561"/>
      <c r="AM367" s="1561"/>
      <c r="AN367" s="1561"/>
      <c r="AO367" s="1561"/>
      <c r="AP367" s="1561"/>
      <c r="AQ367" s="1561"/>
      <c r="AR367" s="1561"/>
      <c r="AS367" s="1561"/>
      <c r="AT367" s="1561"/>
      <c r="AU367" s="1561"/>
      <c r="AV367" s="1561"/>
      <c r="AW367" s="1561"/>
      <c r="AX367" s="1561"/>
      <c r="AY367" s="1561"/>
      <c r="AZ367" s="1561"/>
      <c r="BA367" s="1561"/>
      <c r="BB367" s="1561"/>
      <c r="BC367" s="1561"/>
      <c r="BD367" s="1561"/>
      <c r="BE367" s="1561"/>
      <c r="BF367" s="1561"/>
      <c r="BS367" s="1561"/>
      <c r="BT367" s="1561"/>
      <c r="BU367" s="1561"/>
      <c r="BV367" s="1444"/>
      <c r="BW367" s="1561"/>
      <c r="BX367" s="1561"/>
      <c r="BY367" s="1561"/>
      <c r="BZ367" s="1561"/>
      <c r="CA367" s="1561"/>
    </row>
    <row r="368" spans="2:79" ht="12.75" customHeight="1">
      <c r="B368" s="1555"/>
      <c r="C368" s="1561"/>
      <c r="D368" s="1561"/>
      <c r="E368" s="1561"/>
      <c r="F368" s="1562"/>
      <c r="G368" s="1563"/>
      <c r="H368" s="1563"/>
      <c r="I368" s="1563"/>
      <c r="J368" s="1563"/>
      <c r="K368" s="1561"/>
      <c r="L368" s="1561"/>
      <c r="M368" s="1561"/>
      <c r="N368" s="1561"/>
      <c r="O368" s="1561"/>
      <c r="P368" s="1561"/>
      <c r="Q368" s="1561"/>
      <c r="R368" s="1561"/>
      <c r="S368" s="1561"/>
      <c r="T368" s="1561"/>
      <c r="U368" s="1561"/>
      <c r="V368" s="1561"/>
      <c r="W368" s="1561"/>
      <c r="X368" s="1561"/>
      <c r="Y368" s="1561"/>
      <c r="Z368" s="1561"/>
      <c r="AA368" s="1561"/>
      <c r="AB368" s="1561"/>
      <c r="AC368" s="1561"/>
      <c r="AD368" s="1561"/>
      <c r="AE368" s="1561"/>
      <c r="AF368" s="1561"/>
      <c r="AG368" s="1561"/>
      <c r="AH368" s="1561"/>
      <c r="AI368" s="1561"/>
      <c r="AJ368" s="1561"/>
      <c r="AK368" s="1561"/>
      <c r="AL368" s="1561"/>
      <c r="AM368" s="1561"/>
      <c r="AN368" s="1561"/>
      <c r="AO368" s="1561"/>
      <c r="AP368" s="1561"/>
      <c r="AQ368" s="1561"/>
      <c r="AR368" s="1561"/>
      <c r="AS368" s="1561"/>
      <c r="AT368" s="1561"/>
      <c r="AU368" s="1561"/>
      <c r="AV368" s="1561"/>
      <c r="AW368" s="1561"/>
      <c r="AX368" s="1561"/>
      <c r="AY368" s="1561"/>
      <c r="AZ368" s="1561"/>
      <c r="BA368" s="1561"/>
      <c r="BB368" s="1561"/>
      <c r="BC368" s="1561"/>
      <c r="BD368" s="1561"/>
      <c r="BE368" s="1561"/>
      <c r="BF368" s="1561"/>
      <c r="BS368" s="1561"/>
      <c r="BT368" s="1561"/>
      <c r="BU368" s="1561"/>
      <c r="BV368" s="1444"/>
      <c r="BW368" s="1561"/>
      <c r="BX368" s="1561"/>
      <c r="BY368" s="1561"/>
      <c r="BZ368" s="1561"/>
      <c r="CA368" s="1561"/>
    </row>
    <row r="369" spans="2:79" ht="12.75" customHeight="1">
      <c r="B369" s="1555"/>
      <c r="C369" s="1561"/>
      <c r="D369" s="1561"/>
      <c r="E369" s="1561"/>
      <c r="F369" s="1562"/>
      <c r="G369" s="1563"/>
      <c r="H369" s="1563"/>
      <c r="I369" s="1563"/>
      <c r="J369" s="1563"/>
      <c r="K369" s="1561"/>
      <c r="L369" s="1561"/>
      <c r="M369" s="1561"/>
      <c r="N369" s="1561"/>
      <c r="O369" s="1561"/>
      <c r="P369" s="1561"/>
      <c r="Q369" s="1561"/>
      <c r="R369" s="1561"/>
      <c r="S369" s="1561"/>
      <c r="T369" s="1561"/>
      <c r="U369" s="1561"/>
      <c r="V369" s="1561"/>
      <c r="W369" s="1561"/>
      <c r="X369" s="1561"/>
      <c r="Y369" s="1561"/>
      <c r="Z369" s="1561"/>
      <c r="AA369" s="1561"/>
      <c r="AB369" s="1561"/>
      <c r="AC369" s="1561"/>
      <c r="AD369" s="1561"/>
      <c r="AE369" s="1561"/>
      <c r="AF369" s="1561"/>
      <c r="AG369" s="1561"/>
      <c r="AH369" s="1561"/>
      <c r="AI369" s="1561"/>
      <c r="AJ369" s="1561"/>
      <c r="AK369" s="1561"/>
      <c r="AL369" s="1561"/>
      <c r="AM369" s="1561"/>
      <c r="AN369" s="1561"/>
      <c r="AO369" s="1561"/>
      <c r="AP369" s="1561"/>
      <c r="AQ369" s="1561"/>
      <c r="AR369" s="1561"/>
      <c r="AS369" s="1561"/>
      <c r="AT369" s="1561"/>
      <c r="AU369" s="1561"/>
      <c r="AV369" s="1561"/>
      <c r="AW369" s="1561"/>
      <c r="AX369" s="1561"/>
      <c r="AY369" s="1561"/>
      <c r="AZ369" s="1561"/>
      <c r="BA369" s="1561"/>
      <c r="BB369" s="1561"/>
      <c r="BC369" s="1561"/>
      <c r="BD369" s="1561"/>
      <c r="BE369" s="1561"/>
      <c r="BF369" s="1561"/>
      <c r="BS369" s="1561"/>
      <c r="BT369" s="1561"/>
      <c r="BU369" s="1561"/>
      <c r="BV369" s="1444"/>
      <c r="BW369" s="1561"/>
      <c r="BX369" s="1561"/>
      <c r="BY369" s="1561"/>
      <c r="BZ369" s="1561"/>
      <c r="CA369" s="1561"/>
    </row>
    <row r="370" spans="2:79" ht="12.75" customHeight="1">
      <c r="B370" s="1555"/>
      <c r="C370" s="1561"/>
      <c r="D370" s="1561"/>
      <c r="E370" s="1561"/>
      <c r="F370" s="1562"/>
      <c r="G370" s="1563"/>
      <c r="H370" s="1563"/>
      <c r="I370" s="1563"/>
      <c r="J370" s="1563"/>
      <c r="K370" s="1561"/>
      <c r="L370" s="1561"/>
      <c r="M370" s="1561"/>
      <c r="N370" s="1561"/>
      <c r="O370" s="1561"/>
      <c r="P370" s="1561"/>
      <c r="Q370" s="1561"/>
      <c r="R370" s="1561"/>
      <c r="S370" s="1561"/>
      <c r="T370" s="1561"/>
      <c r="U370" s="1561"/>
      <c r="V370" s="1561"/>
      <c r="W370" s="1561"/>
      <c r="X370" s="1561"/>
      <c r="Y370" s="1561"/>
      <c r="Z370" s="1561"/>
      <c r="AA370" s="1561"/>
      <c r="AB370" s="1561"/>
      <c r="AC370" s="1561"/>
      <c r="AD370" s="1561"/>
      <c r="AE370" s="1561"/>
      <c r="AF370" s="1561"/>
      <c r="AG370" s="1561"/>
      <c r="AH370" s="1561"/>
      <c r="AI370" s="1561"/>
      <c r="AJ370" s="1561"/>
      <c r="AK370" s="1561"/>
      <c r="AL370" s="1561"/>
      <c r="AM370" s="1561"/>
      <c r="AN370" s="1561"/>
      <c r="AO370" s="1561"/>
      <c r="AP370" s="1561"/>
      <c r="AQ370" s="1561"/>
      <c r="AR370" s="1561"/>
      <c r="AS370" s="1561"/>
      <c r="AT370" s="1561"/>
      <c r="AU370" s="1561"/>
      <c r="AV370" s="1561"/>
      <c r="AW370" s="1561"/>
      <c r="AX370" s="1561"/>
      <c r="AY370" s="1561"/>
      <c r="AZ370" s="1561"/>
      <c r="BA370" s="1561"/>
      <c r="BB370" s="1561"/>
      <c r="BC370" s="1561"/>
      <c r="BD370" s="1561"/>
      <c r="BE370" s="1561"/>
      <c r="BF370" s="1561"/>
      <c r="BS370" s="1561"/>
      <c r="BT370" s="1561"/>
      <c r="BU370" s="1561"/>
      <c r="BV370" s="1444"/>
      <c r="BW370" s="1561"/>
      <c r="BX370" s="1561"/>
      <c r="BY370" s="1561"/>
      <c r="BZ370" s="1561"/>
      <c r="CA370" s="1561"/>
    </row>
    <row r="371" spans="2:79" ht="12.75" customHeight="1">
      <c r="B371" s="1555"/>
      <c r="C371" s="1561"/>
      <c r="D371" s="1561"/>
      <c r="E371" s="1561"/>
      <c r="F371" s="1562"/>
      <c r="G371" s="1563"/>
      <c r="H371" s="1563"/>
      <c r="I371" s="1563"/>
      <c r="J371" s="1563"/>
      <c r="K371" s="1561"/>
      <c r="L371" s="1561"/>
      <c r="M371" s="1561"/>
      <c r="N371" s="1561"/>
      <c r="O371" s="1561"/>
      <c r="P371" s="1561"/>
      <c r="Q371" s="1561"/>
      <c r="R371" s="1561"/>
      <c r="S371" s="1561"/>
      <c r="T371" s="1561"/>
      <c r="U371" s="1561"/>
      <c r="V371" s="1561"/>
      <c r="W371" s="1561"/>
      <c r="X371" s="1561"/>
      <c r="Y371" s="1561"/>
      <c r="Z371" s="1561"/>
      <c r="AA371" s="1561"/>
      <c r="AB371" s="1561"/>
      <c r="AC371" s="1561"/>
      <c r="AD371" s="1561"/>
      <c r="AE371" s="1561"/>
      <c r="AF371" s="1561"/>
      <c r="AG371" s="1561"/>
      <c r="AH371" s="1561"/>
      <c r="AI371" s="1561"/>
      <c r="AJ371" s="1561"/>
      <c r="AK371" s="1561"/>
      <c r="AL371" s="1561"/>
      <c r="AM371" s="1561"/>
      <c r="AN371" s="1561"/>
      <c r="AO371" s="1561"/>
      <c r="AP371" s="1561"/>
      <c r="AQ371" s="1561"/>
      <c r="AR371" s="1561"/>
      <c r="AS371" s="1561"/>
      <c r="AT371" s="1561"/>
      <c r="AU371" s="1561"/>
      <c r="AV371" s="1561"/>
      <c r="AW371" s="1561"/>
      <c r="AX371" s="1561"/>
      <c r="AY371" s="1561"/>
      <c r="AZ371" s="1561"/>
      <c r="BA371" s="1561"/>
      <c r="BB371" s="1561"/>
      <c r="BC371" s="1561"/>
      <c r="BD371" s="1561"/>
      <c r="BE371" s="1561"/>
      <c r="BF371" s="1561"/>
      <c r="BS371" s="1561"/>
      <c r="BT371" s="1561"/>
      <c r="BU371" s="1561"/>
      <c r="BV371" s="1444"/>
      <c r="BW371" s="1561"/>
      <c r="BX371" s="1561"/>
      <c r="BY371" s="1561"/>
      <c r="BZ371" s="1561"/>
      <c r="CA371" s="1561"/>
    </row>
    <row r="372" spans="2:79" ht="12.75" customHeight="1">
      <c r="B372" s="1555"/>
      <c r="C372" s="1561"/>
      <c r="D372" s="1561"/>
      <c r="E372" s="1561"/>
      <c r="F372" s="1562"/>
      <c r="G372" s="1563"/>
      <c r="H372" s="1563"/>
      <c r="I372" s="1563"/>
      <c r="J372" s="1563"/>
      <c r="K372" s="1561"/>
      <c r="L372" s="1561"/>
      <c r="M372" s="1561"/>
      <c r="N372" s="1561"/>
      <c r="O372" s="1561"/>
      <c r="P372" s="1561"/>
      <c r="Q372" s="1561"/>
      <c r="R372" s="1561"/>
      <c r="S372" s="1561"/>
      <c r="T372" s="1561"/>
      <c r="U372" s="1561"/>
      <c r="V372" s="1561"/>
      <c r="W372" s="1561"/>
      <c r="X372" s="1561"/>
      <c r="Y372" s="1561"/>
      <c r="Z372" s="1561"/>
      <c r="AA372" s="1561"/>
      <c r="AB372" s="1561"/>
      <c r="AC372" s="1561"/>
      <c r="AD372" s="1561"/>
      <c r="AE372" s="1561"/>
      <c r="AF372" s="1561"/>
      <c r="AG372" s="1561"/>
      <c r="AH372" s="1561"/>
      <c r="AI372" s="1561"/>
      <c r="AJ372" s="1561"/>
      <c r="AK372" s="1561"/>
      <c r="AL372" s="1561"/>
      <c r="AM372" s="1561"/>
      <c r="AN372" s="1561"/>
      <c r="AO372" s="1561"/>
      <c r="AP372" s="1561"/>
      <c r="AQ372" s="1561"/>
      <c r="AR372" s="1561"/>
      <c r="AS372" s="1561"/>
      <c r="AT372" s="1561"/>
      <c r="AU372" s="1561"/>
      <c r="AV372" s="1561"/>
      <c r="AW372" s="1561"/>
      <c r="AX372" s="1561"/>
      <c r="AY372" s="1561"/>
      <c r="AZ372" s="1561"/>
      <c r="BA372" s="1561"/>
      <c r="BB372" s="1561"/>
      <c r="BC372" s="1561"/>
      <c r="BD372" s="1561"/>
      <c r="BE372" s="1561"/>
      <c r="BF372" s="1561"/>
      <c r="BS372" s="1561"/>
      <c r="BT372" s="1561"/>
      <c r="BU372" s="1561"/>
      <c r="BV372" s="1444"/>
      <c r="BW372" s="1561"/>
      <c r="BX372" s="1561"/>
      <c r="BY372" s="1561"/>
      <c r="BZ372" s="1561"/>
      <c r="CA372" s="1561"/>
    </row>
    <row r="373" spans="2:79" ht="12.75" customHeight="1">
      <c r="B373" s="1555"/>
      <c r="C373" s="1561"/>
      <c r="D373" s="1561"/>
      <c r="E373" s="1561"/>
      <c r="F373" s="1562"/>
      <c r="G373" s="1563"/>
      <c r="H373" s="1563"/>
      <c r="I373" s="1563"/>
      <c r="J373" s="1563"/>
      <c r="K373" s="1561"/>
      <c r="L373" s="1561"/>
      <c r="M373" s="1561"/>
      <c r="N373" s="1561"/>
      <c r="O373" s="1561"/>
      <c r="P373" s="1561"/>
      <c r="Q373" s="1561"/>
      <c r="R373" s="1561"/>
      <c r="S373" s="1561"/>
      <c r="T373" s="1561"/>
      <c r="U373" s="1561"/>
      <c r="V373" s="1561"/>
      <c r="W373" s="1561"/>
      <c r="X373" s="1561"/>
      <c r="Y373" s="1561"/>
      <c r="Z373" s="1561"/>
      <c r="AA373" s="1561"/>
      <c r="AB373" s="1561"/>
      <c r="AC373" s="1561"/>
      <c r="AD373" s="1561"/>
      <c r="AE373" s="1561"/>
      <c r="AF373" s="1561"/>
      <c r="AG373" s="1561"/>
      <c r="AH373" s="1561"/>
      <c r="AI373" s="1561"/>
      <c r="AJ373" s="1561"/>
      <c r="AK373" s="1561"/>
      <c r="AL373" s="1561"/>
      <c r="AM373" s="1561"/>
      <c r="AN373" s="1561"/>
      <c r="AO373" s="1561"/>
      <c r="AP373" s="1561"/>
      <c r="AQ373" s="1561"/>
      <c r="AR373" s="1561"/>
      <c r="AS373" s="1561"/>
      <c r="AT373" s="1561"/>
      <c r="AU373" s="1561"/>
      <c r="AV373" s="1561"/>
      <c r="AW373" s="1561"/>
      <c r="AX373" s="1561"/>
      <c r="AY373" s="1561"/>
      <c r="AZ373" s="1561"/>
      <c r="BA373" s="1561"/>
      <c r="BB373" s="1561"/>
      <c r="BC373" s="1561"/>
      <c r="BD373" s="1561"/>
      <c r="BE373" s="1561"/>
      <c r="BF373" s="1561"/>
      <c r="BS373" s="1561"/>
      <c r="BT373" s="1561"/>
      <c r="BU373" s="1561"/>
      <c r="BV373" s="1444"/>
      <c r="BW373" s="1561"/>
      <c r="BX373" s="1561"/>
      <c r="BY373" s="1561"/>
      <c r="BZ373" s="1561"/>
      <c r="CA373" s="1561"/>
    </row>
    <row r="374" spans="2:79" ht="12.75" customHeight="1">
      <c r="B374" s="1555"/>
      <c r="C374" s="1561"/>
      <c r="D374" s="1561"/>
      <c r="E374" s="1561"/>
      <c r="F374" s="1562"/>
      <c r="G374" s="1563"/>
      <c r="H374" s="1563"/>
      <c r="I374" s="1563"/>
      <c r="J374" s="1563"/>
      <c r="K374" s="1561"/>
      <c r="L374" s="1561"/>
      <c r="M374" s="1561"/>
      <c r="N374" s="1561"/>
      <c r="O374" s="1561"/>
      <c r="P374" s="1561"/>
      <c r="Q374" s="1561"/>
      <c r="R374" s="1561"/>
      <c r="S374" s="1561"/>
      <c r="T374" s="1561"/>
      <c r="U374" s="1561"/>
      <c r="V374" s="1561"/>
      <c r="W374" s="1561"/>
      <c r="X374" s="1561"/>
      <c r="Y374" s="1561"/>
      <c r="Z374" s="1561"/>
      <c r="AA374" s="1561"/>
      <c r="AB374" s="1561"/>
      <c r="AC374" s="1561"/>
      <c r="AD374" s="1561"/>
      <c r="AE374" s="1561"/>
      <c r="AF374" s="1561"/>
      <c r="AG374" s="1561"/>
      <c r="AH374" s="1561"/>
      <c r="AI374" s="1561"/>
      <c r="AJ374" s="1561"/>
      <c r="AK374" s="1561"/>
      <c r="AL374" s="1561"/>
      <c r="AM374" s="1561"/>
      <c r="AN374" s="1561"/>
      <c r="AO374" s="1561"/>
      <c r="AP374" s="1561"/>
      <c r="AQ374" s="1561"/>
      <c r="AR374" s="1561"/>
      <c r="AS374" s="1561"/>
      <c r="AT374" s="1561"/>
      <c r="AU374" s="1561"/>
      <c r="AV374" s="1561"/>
      <c r="AW374" s="1561"/>
      <c r="AX374" s="1561"/>
      <c r="AY374" s="1561"/>
      <c r="AZ374" s="1561"/>
      <c r="BA374" s="1561"/>
      <c r="BB374" s="1561"/>
      <c r="BC374" s="1561"/>
      <c r="BD374" s="1561"/>
      <c r="BE374" s="1561"/>
      <c r="BF374" s="1561"/>
      <c r="BS374" s="1561"/>
      <c r="BT374" s="1561"/>
      <c r="BU374" s="1561"/>
      <c r="BV374" s="1444"/>
      <c r="BW374" s="1561"/>
      <c r="BX374" s="1561"/>
      <c r="BY374" s="1561"/>
      <c r="BZ374" s="1561"/>
      <c r="CA374" s="1561"/>
    </row>
    <row r="375" spans="2:79" ht="12.75" customHeight="1">
      <c r="B375" s="1555"/>
      <c r="C375" s="1561"/>
      <c r="D375" s="1561"/>
      <c r="E375" s="1561"/>
      <c r="F375" s="1562"/>
      <c r="G375" s="1563"/>
      <c r="H375" s="1563"/>
      <c r="I375" s="1563"/>
      <c r="J375" s="1563"/>
      <c r="K375" s="1561"/>
      <c r="L375" s="1561"/>
      <c r="M375" s="1561"/>
      <c r="N375" s="1561"/>
      <c r="O375" s="1561"/>
      <c r="P375" s="1561"/>
      <c r="Q375" s="1561"/>
      <c r="R375" s="1561"/>
      <c r="S375" s="1561"/>
      <c r="T375" s="1561"/>
      <c r="U375" s="1561"/>
      <c r="V375" s="1561"/>
      <c r="W375" s="1561"/>
      <c r="X375" s="1561"/>
      <c r="Y375" s="1561"/>
      <c r="Z375" s="1561"/>
      <c r="AA375" s="1561"/>
      <c r="AB375" s="1561"/>
      <c r="AC375" s="1561"/>
      <c r="AD375" s="1561"/>
      <c r="AE375" s="1561"/>
      <c r="AF375" s="1561"/>
      <c r="AG375" s="1561"/>
      <c r="AH375" s="1561"/>
      <c r="AI375" s="1561"/>
      <c r="AJ375" s="1561"/>
      <c r="AK375" s="1561"/>
      <c r="AL375" s="1561"/>
      <c r="AM375" s="1561"/>
      <c r="AN375" s="1561"/>
      <c r="AO375" s="1561"/>
      <c r="AP375" s="1561"/>
      <c r="AQ375" s="1561"/>
      <c r="AR375" s="1561"/>
      <c r="AS375" s="1561"/>
      <c r="AT375" s="1561"/>
      <c r="AU375" s="1561"/>
      <c r="AV375" s="1561"/>
      <c r="AW375" s="1561"/>
      <c r="AX375" s="1561"/>
      <c r="AY375" s="1561"/>
      <c r="AZ375" s="1561"/>
      <c r="BA375" s="1561"/>
      <c r="BB375" s="1561"/>
      <c r="BC375" s="1561"/>
      <c r="BD375" s="1561"/>
      <c r="BE375" s="1561"/>
      <c r="BF375" s="1561"/>
      <c r="BS375" s="1561"/>
      <c r="BT375" s="1561"/>
      <c r="BU375" s="1561"/>
      <c r="BV375" s="1444"/>
      <c r="BW375" s="1561"/>
      <c r="BX375" s="1561"/>
      <c r="BY375" s="1561"/>
      <c r="BZ375" s="1561"/>
      <c r="CA375" s="1561"/>
    </row>
    <row r="376" spans="2:79" ht="12.75" customHeight="1">
      <c r="B376" s="1555"/>
      <c r="C376" s="1561"/>
      <c r="D376" s="1561"/>
      <c r="E376" s="1561"/>
      <c r="F376" s="1562"/>
      <c r="G376" s="1563"/>
      <c r="H376" s="1563"/>
      <c r="I376" s="1563"/>
      <c r="J376" s="1563"/>
      <c r="K376" s="1561"/>
      <c r="L376" s="1561"/>
      <c r="M376" s="1561"/>
      <c r="N376" s="1561"/>
      <c r="O376" s="1561"/>
      <c r="P376" s="1561"/>
      <c r="Q376" s="1561"/>
      <c r="R376" s="1561"/>
      <c r="S376" s="1561"/>
      <c r="T376" s="1561"/>
      <c r="U376" s="1561"/>
      <c r="V376" s="1561"/>
      <c r="W376" s="1561"/>
      <c r="X376" s="1561"/>
      <c r="Y376" s="1561"/>
      <c r="Z376" s="1561"/>
      <c r="AA376" s="1561"/>
      <c r="AB376" s="1561"/>
      <c r="AC376" s="1561"/>
      <c r="AD376" s="1561"/>
      <c r="AE376" s="1561"/>
      <c r="AF376" s="1561"/>
      <c r="AG376" s="1561"/>
      <c r="AH376" s="1561"/>
      <c r="AI376" s="1561"/>
      <c r="AJ376" s="1561"/>
      <c r="AK376" s="1561"/>
      <c r="AL376" s="1561"/>
      <c r="AM376" s="1561"/>
      <c r="AN376" s="1561"/>
      <c r="AO376" s="1561"/>
      <c r="AP376" s="1561"/>
      <c r="AQ376" s="1561"/>
      <c r="AR376" s="1561"/>
      <c r="AS376" s="1561"/>
      <c r="AT376" s="1561"/>
      <c r="AU376" s="1561"/>
      <c r="AV376" s="1561"/>
      <c r="AW376" s="1561"/>
      <c r="AX376" s="1561"/>
      <c r="AY376" s="1561"/>
      <c r="AZ376" s="1561"/>
      <c r="BA376" s="1561"/>
      <c r="BB376" s="1561"/>
      <c r="BC376" s="1561"/>
      <c r="BD376" s="1561"/>
      <c r="BE376" s="1561"/>
      <c r="BF376" s="1561"/>
      <c r="BS376" s="1561"/>
      <c r="BT376" s="1561"/>
      <c r="BU376" s="1561"/>
      <c r="BV376" s="1444"/>
      <c r="BW376" s="1561"/>
      <c r="BX376" s="1561"/>
      <c r="BY376" s="1561"/>
      <c r="BZ376" s="1561"/>
      <c r="CA376" s="1561"/>
    </row>
    <row r="377" spans="2:79" ht="12.75" customHeight="1">
      <c r="B377" s="1555"/>
      <c r="C377" s="1561"/>
      <c r="D377" s="1561"/>
      <c r="E377" s="1561"/>
      <c r="F377" s="1562"/>
      <c r="G377" s="1563"/>
      <c r="H377" s="1563"/>
      <c r="I377" s="1563"/>
      <c r="J377" s="1563"/>
      <c r="K377" s="1561"/>
      <c r="L377" s="1561"/>
      <c r="M377" s="1561"/>
      <c r="N377" s="1561"/>
      <c r="O377" s="1561"/>
      <c r="P377" s="1561"/>
      <c r="Q377" s="1561"/>
      <c r="R377" s="1561"/>
      <c r="S377" s="1561"/>
      <c r="T377" s="1561"/>
      <c r="U377" s="1561"/>
      <c r="V377" s="1561"/>
      <c r="W377" s="1561"/>
      <c r="X377" s="1561"/>
      <c r="Y377" s="1561"/>
      <c r="Z377" s="1561"/>
      <c r="AA377" s="1561"/>
      <c r="AB377" s="1561"/>
      <c r="AC377" s="1561"/>
      <c r="AD377" s="1561"/>
      <c r="AE377" s="1561"/>
      <c r="AF377" s="1561"/>
      <c r="AG377" s="1561"/>
      <c r="AH377" s="1561"/>
      <c r="AI377" s="1561"/>
      <c r="AJ377" s="1561"/>
      <c r="AK377" s="1561"/>
      <c r="AL377" s="1561"/>
      <c r="AM377" s="1561"/>
      <c r="AN377" s="1561"/>
      <c r="AO377" s="1561"/>
      <c r="AP377" s="1561"/>
      <c r="AQ377" s="1561"/>
      <c r="AR377" s="1561"/>
      <c r="AS377" s="1561"/>
      <c r="AT377" s="1561"/>
      <c r="AU377" s="1561"/>
      <c r="AV377" s="1561"/>
      <c r="AW377" s="1561"/>
      <c r="AX377" s="1561"/>
      <c r="AY377" s="1561"/>
      <c r="AZ377" s="1561"/>
      <c r="BA377" s="1561"/>
      <c r="BB377" s="1561"/>
      <c r="BC377" s="1561"/>
      <c r="BD377" s="1561"/>
      <c r="BE377" s="1561"/>
      <c r="BF377" s="1561"/>
      <c r="BS377" s="1561"/>
      <c r="BT377" s="1561"/>
      <c r="BU377" s="1561"/>
      <c r="BV377" s="1444"/>
      <c r="BW377" s="1561"/>
      <c r="BX377" s="1561"/>
      <c r="BY377" s="1561"/>
      <c r="BZ377" s="1561"/>
      <c r="CA377" s="1561"/>
    </row>
    <row r="378" spans="2:79" ht="12.75" customHeight="1">
      <c r="B378" s="1555"/>
      <c r="C378" s="1561"/>
      <c r="D378" s="1561"/>
      <c r="E378" s="1561"/>
      <c r="F378" s="1562"/>
      <c r="G378" s="1563"/>
      <c r="H378" s="1563"/>
      <c r="I378" s="1563"/>
      <c r="J378" s="1563"/>
      <c r="K378" s="1561"/>
      <c r="L378" s="1561"/>
      <c r="M378" s="1561"/>
      <c r="N378" s="1561"/>
      <c r="O378" s="1561"/>
      <c r="P378" s="1561"/>
      <c r="Q378" s="1561"/>
      <c r="R378" s="1561"/>
      <c r="S378" s="1561"/>
      <c r="T378" s="1561"/>
      <c r="U378" s="1561"/>
      <c r="V378" s="1561"/>
      <c r="W378" s="1561"/>
      <c r="X378" s="1561"/>
      <c r="Y378" s="1561"/>
      <c r="Z378" s="1561"/>
      <c r="AA378" s="1561"/>
      <c r="AB378" s="1561"/>
      <c r="AC378" s="1561"/>
      <c r="AD378" s="1561"/>
      <c r="AE378" s="1561"/>
      <c r="AF378" s="1561"/>
      <c r="AG378" s="1561"/>
      <c r="AH378" s="1561"/>
      <c r="AI378" s="1561"/>
      <c r="AJ378" s="1561"/>
      <c r="AK378" s="1561"/>
      <c r="AL378" s="1561"/>
      <c r="AM378" s="1561"/>
      <c r="AN378" s="1561"/>
      <c r="AO378" s="1561"/>
      <c r="AP378" s="1561"/>
      <c r="AQ378" s="1561"/>
      <c r="AR378" s="1561"/>
      <c r="AS378" s="1561"/>
      <c r="AT378" s="1561"/>
      <c r="AU378" s="1561"/>
      <c r="AV378" s="1561"/>
      <c r="AW378" s="1561"/>
      <c r="AX378" s="1561"/>
      <c r="AY378" s="1561"/>
      <c r="AZ378" s="1561"/>
      <c r="BA378" s="1561"/>
      <c r="BB378" s="1561"/>
      <c r="BC378" s="1561"/>
      <c r="BD378" s="1561"/>
      <c r="BE378" s="1561"/>
      <c r="BF378" s="1561"/>
      <c r="BS378" s="1561"/>
      <c r="BT378" s="1561"/>
      <c r="BU378" s="1561"/>
      <c r="BV378" s="1444"/>
      <c r="BW378" s="1561"/>
      <c r="BX378" s="1561"/>
      <c r="BY378" s="1561"/>
      <c r="BZ378" s="1561"/>
      <c r="CA378" s="1561"/>
    </row>
    <row r="379" spans="2:79" ht="12.75" customHeight="1">
      <c r="B379" s="1555"/>
      <c r="C379" s="1561"/>
      <c r="D379" s="1561"/>
      <c r="E379" s="1561"/>
      <c r="F379" s="1562"/>
      <c r="G379" s="1563"/>
      <c r="H379" s="1563"/>
      <c r="I379" s="1563"/>
      <c r="J379" s="1563"/>
      <c r="K379" s="1561"/>
      <c r="L379" s="1561"/>
      <c r="M379" s="1561"/>
      <c r="N379" s="1561"/>
      <c r="O379" s="1561"/>
      <c r="P379" s="1561"/>
      <c r="Q379" s="1561"/>
      <c r="R379" s="1561"/>
      <c r="S379" s="1561"/>
      <c r="T379" s="1561"/>
      <c r="U379" s="1561"/>
      <c r="V379" s="1561"/>
      <c r="W379" s="1561"/>
      <c r="X379" s="1561"/>
      <c r="Y379" s="1561"/>
      <c r="Z379" s="1561"/>
      <c r="AA379" s="1561"/>
      <c r="AB379" s="1561"/>
      <c r="AC379" s="1561"/>
      <c r="AD379" s="1561"/>
      <c r="AE379" s="1561"/>
      <c r="AF379" s="1561"/>
      <c r="AG379" s="1561"/>
      <c r="AH379" s="1561"/>
      <c r="AI379" s="1561"/>
      <c r="AJ379" s="1561"/>
      <c r="AK379" s="1561"/>
      <c r="AL379" s="1561"/>
      <c r="AM379" s="1561"/>
      <c r="AN379" s="1561"/>
      <c r="AO379" s="1561"/>
      <c r="AP379" s="1561"/>
      <c r="AQ379" s="1561"/>
      <c r="AR379" s="1561"/>
      <c r="AS379" s="1561"/>
      <c r="AT379" s="1561"/>
      <c r="AU379" s="1561"/>
      <c r="AV379" s="1561"/>
      <c r="AW379" s="1561"/>
      <c r="AX379" s="1561"/>
      <c r="AY379" s="1561"/>
      <c r="AZ379" s="1561"/>
      <c r="BA379" s="1561"/>
      <c r="BB379" s="1561"/>
      <c r="BC379" s="1561"/>
      <c r="BD379" s="1561"/>
      <c r="BE379" s="1561"/>
      <c r="BF379" s="1561"/>
      <c r="BS379" s="1561"/>
      <c r="BT379" s="1561"/>
      <c r="BU379" s="1561"/>
      <c r="BV379" s="1444"/>
      <c r="BW379" s="1561"/>
      <c r="BX379" s="1561"/>
      <c r="BY379" s="1561"/>
      <c r="BZ379" s="1561"/>
      <c r="CA379" s="1561"/>
    </row>
    <row r="380" spans="2:79" ht="12.75" customHeight="1">
      <c r="B380" s="1555"/>
      <c r="C380" s="1561"/>
      <c r="D380" s="1561"/>
      <c r="E380" s="1561"/>
      <c r="F380" s="1562"/>
      <c r="G380" s="1563"/>
      <c r="H380" s="1563"/>
      <c r="I380" s="1563"/>
      <c r="J380" s="1563"/>
      <c r="K380" s="1561"/>
      <c r="L380" s="1561"/>
      <c r="M380" s="1561"/>
      <c r="N380" s="1561"/>
      <c r="O380" s="1561"/>
      <c r="P380" s="1561"/>
      <c r="Q380" s="1561"/>
      <c r="R380" s="1561"/>
      <c r="S380" s="1561"/>
      <c r="T380" s="1561"/>
      <c r="U380" s="1561"/>
      <c r="V380" s="1561"/>
      <c r="W380" s="1561"/>
      <c r="X380" s="1561"/>
      <c r="Y380" s="1561"/>
      <c r="Z380" s="1561"/>
      <c r="AA380" s="1561"/>
      <c r="AB380" s="1561"/>
      <c r="AC380" s="1561"/>
      <c r="AD380" s="1561"/>
      <c r="AE380" s="1561"/>
      <c r="AF380" s="1561"/>
      <c r="AG380" s="1561"/>
      <c r="AH380" s="1561"/>
      <c r="AI380" s="1561"/>
      <c r="AJ380" s="1561"/>
      <c r="AK380" s="1561"/>
      <c r="AL380" s="1561"/>
      <c r="AM380" s="1561"/>
      <c r="AN380" s="1561"/>
      <c r="AO380" s="1561"/>
      <c r="AP380" s="1561"/>
      <c r="AQ380" s="1561"/>
      <c r="AR380" s="1561"/>
      <c r="AS380" s="1561"/>
      <c r="AT380" s="1561"/>
      <c r="AU380" s="1561"/>
      <c r="AV380" s="1561"/>
      <c r="AW380" s="1561"/>
      <c r="AX380" s="1561"/>
      <c r="AY380" s="1561"/>
      <c r="AZ380" s="1561"/>
      <c r="BA380" s="1561"/>
      <c r="BB380" s="1561"/>
      <c r="BC380" s="1561"/>
      <c r="BD380" s="1561"/>
      <c r="BE380" s="1561"/>
      <c r="BF380" s="1561"/>
      <c r="BS380" s="1561"/>
      <c r="BT380" s="1561"/>
      <c r="BU380" s="1561"/>
      <c r="BV380" s="1444"/>
      <c r="BW380" s="1561"/>
      <c r="BX380" s="1561"/>
      <c r="BY380" s="1561"/>
      <c r="BZ380" s="1561"/>
      <c r="CA380" s="1561"/>
    </row>
    <row r="381" spans="2:79" ht="12.75" customHeight="1">
      <c r="B381" s="1555"/>
      <c r="C381" s="1561"/>
      <c r="D381" s="1561"/>
      <c r="E381" s="1561"/>
      <c r="F381" s="1562"/>
      <c r="G381" s="1563"/>
      <c r="H381" s="1563"/>
      <c r="I381" s="1563"/>
      <c r="J381" s="1563"/>
      <c r="K381" s="1561"/>
      <c r="L381" s="1561"/>
      <c r="M381" s="1561"/>
      <c r="N381" s="1561"/>
      <c r="O381" s="1561"/>
      <c r="P381" s="1561"/>
      <c r="Q381" s="1561"/>
      <c r="R381" s="1561"/>
      <c r="S381" s="1561"/>
      <c r="T381" s="1561"/>
      <c r="U381" s="1561"/>
      <c r="V381" s="1561"/>
      <c r="W381" s="1561"/>
      <c r="X381" s="1561"/>
      <c r="Y381" s="1561"/>
      <c r="Z381" s="1561"/>
      <c r="AA381" s="1561"/>
      <c r="AB381" s="1561"/>
      <c r="AC381" s="1561"/>
      <c r="AD381" s="1561"/>
      <c r="AE381" s="1561"/>
      <c r="AF381" s="1561"/>
      <c r="AG381" s="1561"/>
      <c r="AH381" s="1561"/>
      <c r="AI381" s="1561"/>
      <c r="AJ381" s="1561"/>
      <c r="AK381" s="1561"/>
      <c r="AL381" s="1561"/>
      <c r="AM381" s="1561"/>
      <c r="AN381" s="1561"/>
      <c r="AO381" s="1561"/>
      <c r="AP381" s="1561"/>
      <c r="AQ381" s="1561"/>
      <c r="AR381" s="1561"/>
      <c r="AS381" s="1561"/>
      <c r="AT381" s="1561"/>
      <c r="AU381" s="1561"/>
      <c r="AV381" s="1561"/>
      <c r="AW381" s="1561"/>
      <c r="AX381" s="1561"/>
      <c r="AY381" s="1561"/>
      <c r="AZ381" s="1561"/>
      <c r="BA381" s="1561"/>
      <c r="BB381" s="1561"/>
      <c r="BC381" s="1561"/>
      <c r="BD381" s="1561"/>
      <c r="BE381" s="1561"/>
      <c r="BF381" s="1561"/>
      <c r="BS381" s="1561"/>
      <c r="BT381" s="1561"/>
      <c r="BU381" s="1561"/>
      <c r="BV381" s="1444"/>
      <c r="BW381" s="1561"/>
      <c r="BX381" s="1561"/>
      <c r="BY381" s="1561"/>
      <c r="BZ381" s="1561"/>
      <c r="CA381" s="1561"/>
    </row>
    <row r="382" spans="2:79" ht="12.75" customHeight="1">
      <c r="B382" s="1555"/>
      <c r="C382" s="1561"/>
      <c r="D382" s="1561"/>
      <c r="E382" s="1561"/>
      <c r="F382" s="1562"/>
      <c r="G382" s="1563"/>
      <c r="H382" s="1563"/>
      <c r="I382" s="1563"/>
      <c r="J382" s="1563"/>
      <c r="K382" s="1561"/>
      <c r="L382" s="1561"/>
      <c r="M382" s="1561"/>
      <c r="N382" s="1561"/>
      <c r="O382" s="1561"/>
      <c r="P382" s="1561"/>
      <c r="Q382" s="1561"/>
      <c r="R382" s="1561"/>
      <c r="S382" s="1561"/>
      <c r="T382" s="1561"/>
      <c r="U382" s="1561"/>
      <c r="V382" s="1561"/>
      <c r="W382" s="1561"/>
      <c r="X382" s="1561"/>
      <c r="Y382" s="1561"/>
      <c r="Z382" s="1561"/>
      <c r="AA382" s="1561"/>
      <c r="AB382" s="1561"/>
      <c r="AC382" s="1561"/>
      <c r="AD382" s="1561"/>
      <c r="AE382" s="1561"/>
      <c r="AF382" s="1561"/>
      <c r="AG382" s="1561"/>
      <c r="AH382" s="1561"/>
      <c r="AI382" s="1561"/>
      <c r="AJ382" s="1561"/>
      <c r="AK382" s="1561"/>
      <c r="AL382" s="1561"/>
      <c r="AM382" s="1561"/>
      <c r="AN382" s="1561"/>
      <c r="AO382" s="1561"/>
      <c r="AP382" s="1561"/>
      <c r="AQ382" s="1561"/>
      <c r="AR382" s="1561"/>
      <c r="AS382" s="1561"/>
      <c r="AT382" s="1561"/>
      <c r="AU382" s="1561"/>
      <c r="AV382" s="1561"/>
      <c r="AW382" s="1561"/>
      <c r="AX382" s="1561"/>
      <c r="AY382" s="1561"/>
      <c r="AZ382" s="1561"/>
      <c r="BA382" s="1561"/>
      <c r="BB382" s="1561"/>
      <c r="BC382" s="1561"/>
      <c r="BD382" s="1561"/>
      <c r="BE382" s="1561"/>
      <c r="BF382" s="1561"/>
      <c r="BS382" s="1561"/>
      <c r="BT382" s="1561"/>
      <c r="BU382" s="1561"/>
      <c r="BV382" s="1444"/>
      <c r="BW382" s="1561"/>
      <c r="BX382" s="1561"/>
      <c r="BY382" s="1561"/>
      <c r="BZ382" s="1561"/>
      <c r="CA382" s="1561"/>
    </row>
    <row r="383" spans="2:79" ht="12.75" customHeight="1">
      <c r="B383" s="1555"/>
      <c r="C383" s="1561"/>
      <c r="D383" s="1561"/>
      <c r="E383" s="1561"/>
      <c r="F383" s="1562"/>
      <c r="G383" s="1563"/>
      <c r="H383" s="1563"/>
      <c r="I383" s="1563"/>
      <c r="J383" s="1563"/>
      <c r="K383" s="1561"/>
      <c r="L383" s="1561"/>
      <c r="M383" s="1561"/>
      <c r="N383" s="1561"/>
      <c r="O383" s="1561"/>
      <c r="P383" s="1561"/>
      <c r="Q383" s="1561"/>
      <c r="R383" s="1561"/>
      <c r="S383" s="1561"/>
      <c r="T383" s="1561"/>
      <c r="U383" s="1561"/>
      <c r="V383" s="1561"/>
      <c r="W383" s="1561"/>
      <c r="X383" s="1561"/>
      <c r="Y383" s="1561"/>
      <c r="Z383" s="1561"/>
      <c r="AA383" s="1561"/>
      <c r="AB383" s="1561"/>
      <c r="AC383" s="1561"/>
      <c r="AD383" s="1561"/>
      <c r="AE383" s="1561"/>
      <c r="AF383" s="1561"/>
      <c r="AG383" s="1561"/>
      <c r="AH383" s="1561"/>
      <c r="AI383" s="1561"/>
      <c r="AJ383" s="1561"/>
      <c r="AK383" s="1561"/>
      <c r="AL383" s="1561"/>
      <c r="AM383" s="1561"/>
      <c r="AN383" s="1561"/>
      <c r="AO383" s="1561"/>
      <c r="AP383" s="1561"/>
      <c r="AQ383" s="1561"/>
      <c r="AR383" s="1561"/>
      <c r="AS383" s="1561"/>
      <c r="AT383" s="1561"/>
      <c r="AU383" s="1561"/>
      <c r="AV383" s="1561"/>
      <c r="AW383" s="1561"/>
      <c r="AX383" s="1561"/>
      <c r="AY383" s="1561"/>
      <c r="AZ383" s="1561"/>
      <c r="BA383" s="1561"/>
      <c r="BB383" s="1561"/>
      <c r="BC383" s="1561"/>
      <c r="BD383" s="1561"/>
      <c r="BE383" s="1561"/>
      <c r="BF383" s="1561"/>
      <c r="BS383" s="1561"/>
      <c r="BT383" s="1561"/>
      <c r="BU383" s="1561"/>
      <c r="BV383" s="1444"/>
      <c r="BW383" s="1561"/>
      <c r="BX383" s="1561"/>
      <c r="BY383" s="1561"/>
      <c r="BZ383" s="1561"/>
      <c r="CA383" s="1561"/>
    </row>
    <row r="384" spans="2:79" ht="12.75" customHeight="1">
      <c r="B384" s="1555"/>
      <c r="C384" s="1561"/>
      <c r="D384" s="1561"/>
      <c r="E384" s="1561"/>
      <c r="F384" s="1562"/>
      <c r="G384" s="1563"/>
      <c r="H384" s="1563"/>
      <c r="I384" s="1563"/>
      <c r="J384" s="1563"/>
      <c r="K384" s="1561"/>
      <c r="L384" s="1561"/>
      <c r="M384" s="1561"/>
      <c r="N384" s="1561"/>
      <c r="O384" s="1561"/>
      <c r="P384" s="1561"/>
      <c r="Q384" s="1561"/>
      <c r="R384" s="1561"/>
      <c r="S384" s="1561"/>
      <c r="T384" s="1561"/>
      <c r="U384" s="1561"/>
      <c r="V384" s="1561"/>
      <c r="W384" s="1561"/>
      <c r="X384" s="1561"/>
      <c r="Y384" s="1561"/>
      <c r="Z384" s="1561"/>
      <c r="AA384" s="1561"/>
      <c r="AB384" s="1561"/>
      <c r="AC384" s="1561"/>
      <c r="AD384" s="1561"/>
      <c r="AE384" s="1561"/>
      <c r="AF384" s="1561"/>
      <c r="AG384" s="1561"/>
      <c r="AH384" s="1561"/>
      <c r="AI384" s="1561"/>
      <c r="AJ384" s="1561"/>
      <c r="AK384" s="1561"/>
      <c r="AL384" s="1561"/>
      <c r="AM384" s="1561"/>
      <c r="AN384" s="1561"/>
      <c r="AO384" s="1561"/>
      <c r="AP384" s="1561"/>
      <c r="AQ384" s="1561"/>
      <c r="AR384" s="1561"/>
      <c r="AS384" s="1561"/>
      <c r="AT384" s="1561"/>
      <c r="AU384" s="1561"/>
      <c r="AV384" s="1561"/>
      <c r="AW384" s="1561"/>
      <c r="AX384" s="1561"/>
      <c r="AY384" s="1561"/>
      <c r="AZ384" s="1561"/>
      <c r="BA384" s="1561"/>
      <c r="BB384" s="1561"/>
      <c r="BC384" s="1561"/>
      <c r="BD384" s="1561"/>
      <c r="BE384" s="1561"/>
      <c r="BF384" s="1561"/>
      <c r="BS384" s="1561"/>
      <c r="BT384" s="1561"/>
      <c r="BU384" s="1561"/>
      <c r="BV384" s="1444"/>
      <c r="BW384" s="1561"/>
      <c r="BX384" s="1561"/>
      <c r="BY384" s="1561"/>
      <c r="BZ384" s="1561"/>
      <c r="CA384" s="1561"/>
    </row>
    <row r="385" spans="2:79" ht="12.75" customHeight="1">
      <c r="B385" s="1555"/>
      <c r="C385" s="1561"/>
      <c r="D385" s="1561"/>
      <c r="E385" s="1561"/>
      <c r="F385" s="1562"/>
      <c r="G385" s="1563"/>
      <c r="H385" s="1563"/>
      <c r="I385" s="1563"/>
      <c r="J385" s="1563"/>
      <c r="K385" s="1561"/>
      <c r="L385" s="1561"/>
      <c r="M385" s="1561"/>
      <c r="N385" s="1561"/>
      <c r="O385" s="1561"/>
      <c r="P385" s="1561"/>
      <c r="Q385" s="1561"/>
      <c r="R385" s="1561"/>
      <c r="S385" s="1561"/>
      <c r="T385" s="1561"/>
      <c r="U385" s="1561"/>
      <c r="V385" s="1561"/>
      <c r="W385" s="1561"/>
      <c r="X385" s="1561"/>
      <c r="Y385" s="1561"/>
      <c r="Z385" s="1561"/>
      <c r="AA385" s="1561"/>
      <c r="AB385" s="1561"/>
      <c r="AC385" s="1561"/>
      <c r="AD385" s="1561"/>
      <c r="AE385" s="1561"/>
      <c r="AF385" s="1561"/>
      <c r="AG385" s="1561"/>
      <c r="AH385" s="1561"/>
      <c r="AI385" s="1561"/>
      <c r="AJ385" s="1561"/>
      <c r="AK385" s="1561"/>
      <c r="AL385" s="1561"/>
      <c r="AM385" s="1561"/>
      <c r="AN385" s="1561"/>
      <c r="AO385" s="1561"/>
      <c r="AP385" s="1561"/>
      <c r="AQ385" s="1561"/>
      <c r="AR385" s="1561"/>
      <c r="AS385" s="1561"/>
      <c r="AT385" s="1561"/>
      <c r="AU385" s="1561"/>
      <c r="AV385" s="1561"/>
      <c r="AW385" s="1561"/>
      <c r="AX385" s="1561"/>
      <c r="AY385" s="1561"/>
      <c r="AZ385" s="1561"/>
      <c r="BA385" s="1561"/>
      <c r="BB385" s="1561"/>
      <c r="BC385" s="1561"/>
      <c r="BD385" s="1561"/>
      <c r="BE385" s="1561"/>
      <c r="BF385" s="1561"/>
      <c r="BS385" s="1561"/>
      <c r="BT385" s="1561"/>
      <c r="BU385" s="1561"/>
      <c r="BV385" s="1444"/>
      <c r="BW385" s="1561"/>
      <c r="BX385" s="1561"/>
      <c r="BY385" s="1561"/>
      <c r="BZ385" s="1561"/>
      <c r="CA385" s="1561"/>
    </row>
    <row r="386" spans="2:79" ht="12.75" customHeight="1">
      <c r="B386" s="1555"/>
      <c r="C386" s="1561"/>
      <c r="D386" s="1561"/>
      <c r="E386" s="1561"/>
      <c r="F386" s="1562"/>
      <c r="G386" s="1563"/>
      <c r="H386" s="1563"/>
      <c r="I386" s="1563"/>
      <c r="J386" s="1563"/>
      <c r="K386" s="1561"/>
      <c r="L386" s="1561"/>
      <c r="M386" s="1561"/>
      <c r="N386" s="1561"/>
      <c r="O386" s="1561"/>
      <c r="P386" s="1561"/>
      <c r="Q386" s="1561"/>
      <c r="R386" s="1561"/>
      <c r="S386" s="1561"/>
      <c r="T386" s="1561"/>
      <c r="U386" s="1561"/>
      <c r="V386" s="1561"/>
      <c r="W386" s="1561"/>
      <c r="X386" s="1561"/>
      <c r="Y386" s="1561"/>
      <c r="Z386" s="1561"/>
      <c r="AA386" s="1561"/>
      <c r="AB386" s="1561"/>
      <c r="AC386" s="1561"/>
      <c r="AD386" s="1561"/>
      <c r="AE386" s="1561"/>
      <c r="AF386" s="1561"/>
      <c r="AG386" s="1561"/>
      <c r="AH386" s="1561"/>
      <c r="AI386" s="1561"/>
      <c r="AJ386" s="1561"/>
      <c r="AK386" s="1561"/>
      <c r="AL386" s="1561"/>
      <c r="AM386" s="1561"/>
      <c r="AN386" s="1561"/>
      <c r="AO386" s="1561"/>
      <c r="AP386" s="1561"/>
      <c r="AQ386" s="1561"/>
      <c r="AR386" s="1561"/>
      <c r="AS386" s="1561"/>
      <c r="AT386" s="1561"/>
      <c r="AU386" s="1561"/>
      <c r="AV386" s="1561"/>
      <c r="AW386" s="1561"/>
      <c r="AX386" s="1561"/>
      <c r="AY386" s="1561"/>
      <c r="AZ386" s="1561"/>
      <c r="BA386" s="1561"/>
      <c r="BB386" s="1561"/>
      <c r="BC386" s="1561"/>
      <c r="BD386" s="1561"/>
      <c r="BE386" s="1561"/>
      <c r="BF386" s="1561"/>
      <c r="BS386" s="1561"/>
      <c r="BT386" s="1561"/>
      <c r="BU386" s="1561"/>
      <c r="BV386" s="1444"/>
      <c r="BW386" s="1561"/>
      <c r="BX386" s="1561"/>
      <c r="BY386" s="1561"/>
      <c r="BZ386" s="1561"/>
      <c r="CA386" s="1561"/>
    </row>
    <row r="387" spans="2:79" ht="12.75" customHeight="1">
      <c r="B387" s="1555"/>
      <c r="C387" s="1561"/>
      <c r="D387" s="1561"/>
      <c r="E387" s="1561"/>
      <c r="F387" s="1562"/>
      <c r="G387" s="1563"/>
      <c r="H387" s="1563"/>
      <c r="I387" s="1563"/>
      <c r="J387" s="1563"/>
      <c r="K387" s="1561"/>
      <c r="L387" s="1561"/>
      <c r="M387" s="1561"/>
      <c r="N387" s="1561"/>
      <c r="O387" s="1561"/>
      <c r="P387" s="1561"/>
      <c r="Q387" s="1561"/>
      <c r="R387" s="1561"/>
      <c r="S387" s="1561"/>
      <c r="T387" s="1561"/>
      <c r="U387" s="1561"/>
      <c r="V387" s="1561"/>
      <c r="W387" s="1561"/>
      <c r="X387" s="1561"/>
      <c r="Y387" s="1561"/>
      <c r="Z387" s="1561"/>
      <c r="AA387" s="1561"/>
      <c r="AB387" s="1561"/>
      <c r="AC387" s="1561"/>
      <c r="AD387" s="1561"/>
      <c r="AE387" s="1561"/>
      <c r="AF387" s="1561"/>
      <c r="AG387" s="1561"/>
      <c r="AH387" s="1561"/>
      <c r="AI387" s="1561"/>
      <c r="AJ387" s="1561"/>
      <c r="AK387" s="1561"/>
      <c r="AL387" s="1561"/>
      <c r="AM387" s="1561"/>
      <c r="AN387" s="1561"/>
      <c r="AO387" s="1561"/>
      <c r="AP387" s="1561"/>
      <c r="AQ387" s="1561"/>
      <c r="AR387" s="1561"/>
      <c r="AS387" s="1561"/>
      <c r="AT387" s="1561"/>
      <c r="AU387" s="1561"/>
      <c r="AV387" s="1561"/>
      <c r="AW387" s="1561"/>
      <c r="AX387" s="1561"/>
      <c r="AY387" s="1561"/>
      <c r="AZ387" s="1561"/>
      <c r="BA387" s="1561"/>
      <c r="BB387" s="1561"/>
      <c r="BC387" s="1561"/>
      <c r="BD387" s="1561"/>
      <c r="BE387" s="1561"/>
      <c r="BF387" s="1561"/>
      <c r="BS387" s="1561"/>
      <c r="BT387" s="1561"/>
      <c r="BU387" s="1561"/>
      <c r="BV387" s="1444"/>
      <c r="BW387" s="1561"/>
      <c r="BX387" s="1561"/>
      <c r="BY387" s="1561"/>
      <c r="BZ387" s="1561"/>
      <c r="CA387" s="1561"/>
    </row>
    <row r="388" spans="2:79" ht="12.75" customHeight="1">
      <c r="B388" s="1555"/>
      <c r="C388" s="1561"/>
      <c r="D388" s="1561"/>
      <c r="E388" s="1561"/>
      <c r="F388" s="1562"/>
      <c r="G388" s="1563"/>
      <c r="H388" s="1563"/>
      <c r="I388" s="1563"/>
      <c r="J388" s="1563"/>
      <c r="K388" s="1561"/>
      <c r="L388" s="1561"/>
      <c r="M388" s="1561"/>
      <c r="N388" s="1561"/>
      <c r="O388" s="1561"/>
      <c r="P388" s="1561"/>
      <c r="Q388" s="1561"/>
      <c r="R388" s="1561"/>
      <c r="S388" s="1561"/>
      <c r="T388" s="1561"/>
      <c r="U388" s="1561"/>
      <c r="V388" s="1561"/>
      <c r="W388" s="1561"/>
      <c r="X388" s="1561"/>
      <c r="Y388" s="1561"/>
      <c r="Z388" s="1561"/>
      <c r="AA388" s="1561"/>
      <c r="AB388" s="1561"/>
      <c r="AC388" s="1561"/>
      <c r="AD388" s="1561"/>
      <c r="AE388" s="1561"/>
      <c r="AF388" s="1561"/>
      <c r="AG388" s="1561"/>
      <c r="AH388" s="1561"/>
      <c r="AI388" s="1561"/>
      <c r="AJ388" s="1561"/>
      <c r="AK388" s="1561"/>
      <c r="AL388" s="1561"/>
      <c r="AM388" s="1561"/>
      <c r="AN388" s="1561"/>
      <c r="AO388" s="1561"/>
      <c r="AP388" s="1561"/>
      <c r="AQ388" s="1561"/>
      <c r="AR388" s="1561"/>
      <c r="AS388" s="1561"/>
      <c r="AT388" s="1561"/>
      <c r="AU388" s="1561"/>
      <c r="AV388" s="1561"/>
      <c r="AW388" s="1561"/>
      <c r="AX388" s="1561"/>
      <c r="AY388" s="1561"/>
      <c r="AZ388" s="1561"/>
      <c r="BA388" s="1561"/>
      <c r="BB388" s="1561"/>
      <c r="BC388" s="1561"/>
      <c r="BD388" s="1561"/>
      <c r="BE388" s="1561"/>
      <c r="BF388" s="1561"/>
      <c r="BS388" s="1561"/>
      <c r="BT388" s="1561"/>
      <c r="BU388" s="1561"/>
      <c r="BV388" s="1444"/>
      <c r="BW388" s="1561"/>
      <c r="BX388" s="1561"/>
      <c r="BY388" s="1561"/>
      <c r="BZ388" s="1561"/>
      <c r="CA388" s="1561"/>
    </row>
    <row r="389" spans="2:79" ht="12.75" customHeight="1">
      <c r="B389" s="1555"/>
      <c r="C389" s="1561"/>
      <c r="D389" s="1561"/>
      <c r="E389" s="1561"/>
      <c r="F389" s="1562"/>
      <c r="G389" s="1563"/>
      <c r="H389" s="1563"/>
      <c r="I389" s="1563"/>
      <c r="J389" s="1563"/>
      <c r="K389" s="1561"/>
      <c r="L389" s="1561"/>
      <c r="M389" s="1561"/>
      <c r="N389" s="1561"/>
      <c r="O389" s="1561"/>
      <c r="P389" s="1561"/>
      <c r="Q389" s="1561"/>
      <c r="R389" s="1561"/>
      <c r="S389" s="1561"/>
      <c r="T389" s="1561"/>
      <c r="U389" s="1561"/>
      <c r="V389" s="1561"/>
      <c r="W389" s="1561"/>
      <c r="X389" s="1561"/>
      <c r="Y389" s="1561"/>
      <c r="Z389" s="1561"/>
      <c r="AA389" s="1561"/>
      <c r="AB389" s="1561"/>
      <c r="AC389" s="1561"/>
      <c r="AD389" s="1561"/>
      <c r="AE389" s="1561"/>
      <c r="AF389" s="1561"/>
      <c r="AG389" s="1561"/>
      <c r="AH389" s="1561"/>
      <c r="AI389" s="1561"/>
      <c r="AJ389" s="1561"/>
      <c r="AK389" s="1561"/>
      <c r="AL389" s="1561"/>
      <c r="AM389" s="1561"/>
      <c r="AN389" s="1561"/>
      <c r="AO389" s="1561"/>
      <c r="AP389" s="1561"/>
      <c r="AQ389" s="1561"/>
      <c r="AR389" s="1561"/>
      <c r="AS389" s="1561"/>
      <c r="AT389" s="1561"/>
      <c r="AU389" s="1561"/>
      <c r="AV389" s="1561"/>
      <c r="AW389" s="1561"/>
      <c r="AX389" s="1561"/>
      <c r="AY389" s="1561"/>
      <c r="AZ389" s="1561"/>
      <c r="BA389" s="1561"/>
      <c r="BB389" s="1561"/>
      <c r="BC389" s="1561"/>
      <c r="BD389" s="1561"/>
      <c r="BE389" s="1561"/>
      <c r="BF389" s="1561"/>
      <c r="BS389" s="1561"/>
      <c r="BT389" s="1561"/>
      <c r="BU389" s="1561"/>
      <c r="BV389" s="1444"/>
      <c r="BW389" s="1561"/>
      <c r="BX389" s="1561"/>
      <c r="BY389" s="1561"/>
      <c r="BZ389" s="1561"/>
      <c r="CA389" s="1561"/>
    </row>
    <row r="390" spans="2:79" ht="12.75" customHeight="1">
      <c r="B390" s="1555"/>
      <c r="C390" s="1561"/>
      <c r="D390" s="1561"/>
      <c r="E390" s="1561"/>
      <c r="F390" s="1562"/>
      <c r="G390" s="1563"/>
      <c r="H390" s="1563"/>
      <c r="I390" s="1563"/>
      <c r="J390" s="1563"/>
      <c r="K390" s="1561"/>
      <c r="L390" s="1561"/>
      <c r="M390" s="1561"/>
      <c r="N390" s="1561"/>
      <c r="O390" s="1561"/>
      <c r="P390" s="1561"/>
      <c r="Q390" s="1561"/>
      <c r="R390" s="1561"/>
      <c r="S390" s="1561"/>
      <c r="T390" s="1561"/>
      <c r="U390" s="1561"/>
      <c r="V390" s="1561"/>
      <c r="W390" s="1561"/>
      <c r="X390" s="1561"/>
      <c r="Y390" s="1561"/>
      <c r="Z390" s="1561"/>
      <c r="AA390" s="1561"/>
      <c r="AB390" s="1561"/>
      <c r="AC390" s="1561"/>
      <c r="AD390" s="1561"/>
      <c r="AE390" s="1561"/>
      <c r="AF390" s="1561"/>
      <c r="AG390" s="1561"/>
      <c r="AH390" s="1561"/>
      <c r="AI390" s="1561"/>
      <c r="AJ390" s="1561"/>
      <c r="AK390" s="1561"/>
      <c r="AL390" s="1561"/>
      <c r="AM390" s="1561"/>
      <c r="AN390" s="1561"/>
      <c r="AO390" s="1561"/>
      <c r="AP390" s="1561"/>
      <c r="AQ390" s="1561"/>
      <c r="AR390" s="1561"/>
      <c r="AS390" s="1561"/>
      <c r="AT390" s="1561"/>
      <c r="AU390" s="1561"/>
      <c r="AV390" s="1561"/>
      <c r="AW390" s="1561"/>
      <c r="AX390" s="1561"/>
      <c r="AY390" s="1561"/>
      <c r="AZ390" s="1561"/>
      <c r="BA390" s="1561"/>
      <c r="BB390" s="1561"/>
      <c r="BC390" s="1561"/>
      <c r="BD390" s="1561"/>
      <c r="BE390" s="1561"/>
      <c r="BF390" s="1561"/>
      <c r="BS390" s="1561"/>
      <c r="BT390" s="1561"/>
      <c r="BU390" s="1561"/>
      <c r="BV390" s="1444"/>
      <c r="BW390" s="1561"/>
      <c r="BX390" s="1561"/>
      <c r="BY390" s="1561"/>
      <c r="BZ390" s="1561"/>
      <c r="CA390" s="1561"/>
    </row>
    <row r="391" spans="2:79" ht="12.75" customHeight="1">
      <c r="B391" s="1555"/>
      <c r="C391" s="1561"/>
      <c r="D391" s="1561"/>
      <c r="E391" s="1561"/>
      <c r="F391" s="1562"/>
      <c r="G391" s="1563"/>
      <c r="H391" s="1563"/>
      <c r="I391" s="1563"/>
      <c r="J391" s="1563"/>
      <c r="K391" s="1561"/>
      <c r="L391" s="1561"/>
      <c r="M391" s="1561"/>
      <c r="N391" s="1561"/>
      <c r="O391" s="1561"/>
      <c r="P391" s="1561"/>
      <c r="Q391" s="1561"/>
      <c r="R391" s="1561"/>
      <c r="S391" s="1561"/>
      <c r="T391" s="1561"/>
      <c r="U391" s="1561"/>
      <c r="V391" s="1561"/>
      <c r="W391" s="1561"/>
      <c r="X391" s="1561"/>
      <c r="Y391" s="1561"/>
      <c r="Z391" s="1561"/>
      <c r="AA391" s="1561"/>
      <c r="AB391" s="1561"/>
      <c r="AC391" s="1561"/>
      <c r="AD391" s="1561"/>
      <c r="AE391" s="1561"/>
      <c r="AF391" s="1561"/>
      <c r="AG391" s="1561"/>
      <c r="AH391" s="1561"/>
      <c r="AI391" s="1561"/>
      <c r="AJ391" s="1561"/>
      <c r="AK391" s="1561"/>
      <c r="AL391" s="1561"/>
      <c r="AM391" s="1561"/>
      <c r="AN391" s="1561"/>
      <c r="AO391" s="1561"/>
      <c r="AP391" s="1561"/>
      <c r="AQ391" s="1561"/>
      <c r="AR391" s="1561"/>
      <c r="AS391" s="1561"/>
      <c r="AT391" s="1561"/>
      <c r="AU391" s="1561"/>
      <c r="AV391" s="1561"/>
      <c r="AW391" s="1561"/>
      <c r="AX391" s="1561"/>
      <c r="AY391" s="1561"/>
      <c r="AZ391" s="1561"/>
      <c r="BA391" s="1561"/>
      <c r="BB391" s="1561"/>
      <c r="BC391" s="1561"/>
      <c r="BD391" s="1561"/>
      <c r="BE391" s="1561"/>
      <c r="BF391" s="1561"/>
      <c r="BS391" s="1561"/>
      <c r="BT391" s="1561"/>
      <c r="BU391" s="1561"/>
      <c r="BV391" s="1444"/>
      <c r="BW391" s="1561"/>
      <c r="BX391" s="1561"/>
      <c r="BY391" s="1561"/>
      <c r="BZ391" s="1561"/>
      <c r="CA391" s="1561"/>
    </row>
    <row r="392" spans="2:79" ht="12.75" customHeight="1">
      <c r="BS392" s="1561"/>
      <c r="BV392" s="1444"/>
    </row>
    <row r="393" spans="2:79" ht="12.75" customHeight="1">
      <c r="BS393" s="1561"/>
      <c r="BV393" s="1444"/>
    </row>
    <row r="394" spans="2:79" ht="12.75" customHeight="1">
      <c r="BS394" s="1561"/>
      <c r="BV394" s="1444"/>
    </row>
    <row r="395" spans="2:79" ht="12.75" customHeight="1">
      <c r="BS395" s="1561"/>
      <c r="BV395" s="1444"/>
    </row>
    <row r="396" spans="2:79" ht="12.75" customHeight="1">
      <c r="BS396" s="1561"/>
      <c r="BV396" s="1444"/>
    </row>
    <row r="397" spans="2:79" ht="12.75" customHeight="1">
      <c r="BS397" s="1561"/>
      <c r="BV397" s="1444"/>
    </row>
    <row r="398" spans="2:79" ht="12.75" customHeight="1">
      <c r="BS398" s="1561"/>
      <c r="BV398" s="1444"/>
    </row>
    <row r="399" spans="2:79" ht="12.75" customHeight="1">
      <c r="BS399" s="1561"/>
      <c r="BV399" s="1444"/>
    </row>
    <row r="400" spans="2:79" ht="12.75" customHeight="1">
      <c r="BS400" s="1561"/>
      <c r="BV400" s="1444"/>
    </row>
    <row r="401" spans="71:74" ht="12.75" customHeight="1">
      <c r="BS401" s="1561"/>
      <c r="BV401" s="1444"/>
    </row>
    <row r="402" spans="71:74" ht="12.75" customHeight="1">
      <c r="BS402" s="1561"/>
      <c r="BV402" s="1444"/>
    </row>
    <row r="403" spans="71:74" ht="12.75" customHeight="1">
      <c r="BS403" s="1561"/>
      <c r="BV403" s="1444"/>
    </row>
    <row r="404" spans="71:74" ht="12.75" customHeight="1">
      <c r="BS404" s="1561"/>
      <c r="BV404" s="1444"/>
    </row>
    <row r="405" spans="71:74" ht="12.75" customHeight="1">
      <c r="BS405" s="1561"/>
      <c r="BV405" s="1444"/>
    </row>
    <row r="406" spans="71:74" ht="12.75" customHeight="1">
      <c r="BS406" s="1561"/>
      <c r="BV406" s="1444"/>
    </row>
    <row r="407" spans="71:74" ht="12.75" customHeight="1">
      <c r="BS407" s="1561"/>
      <c r="BV407" s="1444"/>
    </row>
    <row r="408" spans="71:74" ht="12.75" customHeight="1">
      <c r="BV408" s="1444"/>
    </row>
    <row r="409" spans="71:74" ht="12.75" customHeight="1">
      <c r="BV409" s="1444"/>
    </row>
    <row r="410" spans="71:74" ht="12.75" customHeight="1">
      <c r="BV410" s="1444"/>
    </row>
    <row r="411" spans="71:74" ht="12.75" customHeight="1">
      <c r="BV411" s="1444"/>
    </row>
    <row r="412" spans="71:74" ht="12.75" customHeight="1">
      <c r="BV412" s="1444"/>
    </row>
    <row r="413" spans="71:74" ht="12.75" customHeight="1">
      <c r="BV413" s="1444"/>
    </row>
    <row r="414" spans="71:74" ht="12.75" customHeight="1">
      <c r="BV414" s="1444"/>
    </row>
    <row r="415" spans="71:74" ht="12.75" customHeight="1">
      <c r="BV415" s="1444"/>
    </row>
    <row r="416" spans="71:74" ht="12.75" customHeight="1">
      <c r="BV416" s="1444"/>
    </row>
    <row r="417" spans="74:74" ht="12.75" customHeight="1">
      <c r="BV417" s="1444"/>
    </row>
    <row r="418" spans="74:74" ht="12.75" customHeight="1">
      <c r="BV418" s="1444"/>
    </row>
    <row r="419" spans="74:74" ht="12.75" customHeight="1">
      <c r="BV419" s="1444"/>
    </row>
    <row r="420" spans="74:74" ht="12.75" customHeight="1">
      <c r="BV420" s="1444"/>
    </row>
    <row r="421" spans="74:74" ht="12.75" customHeight="1">
      <c r="BV421" s="1444"/>
    </row>
    <row r="422" spans="74:74" ht="12.75" customHeight="1">
      <c r="BV422" s="1444"/>
    </row>
    <row r="423" spans="74:74" ht="12.75" customHeight="1">
      <c r="BV423" s="1444"/>
    </row>
    <row r="424" spans="74:74" ht="12.75" customHeight="1">
      <c r="BV424" s="1444"/>
    </row>
    <row r="425" spans="74:74" ht="12.75" customHeight="1">
      <c r="BV425" s="1444"/>
    </row>
    <row r="426" spans="74:74" ht="12.75" customHeight="1">
      <c r="BV426" s="1444"/>
    </row>
    <row r="427" spans="74:74" ht="12.75" customHeight="1">
      <c r="BV427" s="1444"/>
    </row>
    <row r="428" spans="74:74" ht="12.75" customHeight="1">
      <c r="BV428" s="1444"/>
    </row>
    <row r="429" spans="74:74" ht="12.75" customHeight="1">
      <c r="BV429" s="1444"/>
    </row>
    <row r="430" spans="74:74" ht="12.75" customHeight="1">
      <c r="BV430" s="1444"/>
    </row>
    <row r="431" spans="74:74" ht="12.75" customHeight="1">
      <c r="BV431" s="1444"/>
    </row>
    <row r="432" spans="74:74" ht="12.75" customHeight="1">
      <c r="BV432" s="1444"/>
    </row>
    <row r="433" spans="74:74" ht="12.75" customHeight="1">
      <c r="BV433" s="1444"/>
    </row>
    <row r="434" spans="74:74" ht="12.75" customHeight="1">
      <c r="BV434" s="1444"/>
    </row>
    <row r="435" spans="74:74" ht="12.75" customHeight="1">
      <c r="BV435" s="1444"/>
    </row>
    <row r="436" spans="74:74" ht="12.75" customHeight="1">
      <c r="BV436" s="1444"/>
    </row>
    <row r="437" spans="74:74" ht="12.75" customHeight="1">
      <c r="BV437" s="1444"/>
    </row>
    <row r="438" spans="74:74" ht="12.75" customHeight="1">
      <c r="BV438" s="1444"/>
    </row>
    <row r="439" spans="74:74" ht="12.75" customHeight="1">
      <c r="BV439" s="1444"/>
    </row>
    <row r="440" spans="74:74" ht="12.75" customHeight="1">
      <c r="BV440" s="1444"/>
    </row>
    <row r="441" spans="74:74" ht="12.75" customHeight="1">
      <c r="BV441" s="1444"/>
    </row>
    <row r="442" spans="74:74" ht="12.75" customHeight="1">
      <c r="BV442" s="1444"/>
    </row>
    <row r="443" spans="74:74" ht="12.75" customHeight="1">
      <c r="BV443" s="1444"/>
    </row>
    <row r="444" spans="74:74" ht="12.75" customHeight="1">
      <c r="BV444" s="1444"/>
    </row>
    <row r="445" spans="74:74" ht="12.75" customHeight="1">
      <c r="BV445" s="1444"/>
    </row>
    <row r="446" spans="74:74" ht="12.75" customHeight="1">
      <c r="BV446" s="1444"/>
    </row>
    <row r="447" spans="74:74" ht="12.75" customHeight="1">
      <c r="BV447" s="1444"/>
    </row>
    <row r="448" spans="74:74" ht="12.75" customHeight="1">
      <c r="BV448" s="1444"/>
    </row>
    <row r="449" spans="74:74" ht="12.75" customHeight="1">
      <c r="BV449" s="1444"/>
    </row>
    <row r="450" spans="74:74" ht="12.75" customHeight="1">
      <c r="BV450" s="1444"/>
    </row>
    <row r="451" spans="74:74" ht="12.75" customHeight="1"/>
    <row r="452" spans="74:74" ht="12.75" customHeight="1"/>
    <row r="453" spans="74:74" ht="12.75" customHeight="1"/>
    <row r="454" spans="74:74" ht="12.75" customHeight="1"/>
    <row r="455" spans="74:74" ht="12.75" customHeight="1"/>
    <row r="456" spans="74:74" ht="12.75" customHeight="1"/>
    <row r="457" spans="74:74" ht="12.75" customHeight="1"/>
    <row r="458" spans="74:74" ht="12.75" customHeight="1"/>
    <row r="459" spans="74:74" ht="12.75" customHeight="1"/>
    <row r="460" spans="74:74" ht="12.75" customHeight="1"/>
    <row r="461" spans="74:74" ht="12.75" customHeight="1"/>
    <row r="462" spans="74:74" ht="12.75" customHeight="1"/>
    <row r="463" spans="74:74" ht="12.75" customHeight="1"/>
    <row r="464" spans="74:7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</sheetData>
  <phoneticPr fontId="21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DR261"/>
  <sheetViews>
    <sheetView zoomScale="85" zoomScaleNormal="85" zoomScaleSheetLayoutView="40" workbookViewId="0">
      <pane xSplit="4" ySplit="6" topLeftCell="E7" activePane="bottomRight" state="frozen"/>
      <selection activeCell="AT12" sqref="AT12"/>
      <selection pane="topRight" activeCell="AT12" sqref="AT12"/>
      <selection pane="bottomLeft" activeCell="AT12" sqref="AT12"/>
      <selection pane="bottomRight" activeCell="AT25" sqref="AT25"/>
    </sheetView>
  </sheetViews>
  <sheetFormatPr defaultRowHeight="12.75" outlineLevelCol="1"/>
  <cols>
    <col min="1" max="2" width="2.7109375" customWidth="1"/>
    <col min="3" max="3" width="81.28515625" style="275" bestFit="1" customWidth="1"/>
    <col min="4" max="4" width="3.28515625" style="275" customWidth="1"/>
    <col min="5" max="7" width="8.85546875" style="275" customWidth="1"/>
    <col min="8" max="8" width="11.42578125" style="587" customWidth="1"/>
    <col min="9" max="9" width="10.7109375" style="587" customWidth="1"/>
    <col min="10" max="10" width="7.7109375" style="625" customWidth="1"/>
    <col min="11" max="11" width="1.85546875" style="568" customWidth="1"/>
    <col min="12" max="13" width="8.85546875" style="275" hidden="1" customWidth="1" outlineLevel="1"/>
    <col min="14" max="14" width="10.140625" style="275" hidden="1" customWidth="1" outlineLevel="1"/>
    <col min="15" max="15" width="8.85546875" style="275" hidden="1" customWidth="1" outlineLevel="1"/>
    <col min="16" max="16" width="8.85546875" style="275" hidden="1" customWidth="1" collapsed="1"/>
    <col min="17" max="18" width="8.85546875" style="275" hidden="1" customWidth="1" outlineLevel="1"/>
    <col min="19" max="19" width="10.140625" style="275" hidden="1" customWidth="1" outlineLevel="1"/>
    <col min="20" max="20" width="8.85546875" style="275" hidden="1" customWidth="1" outlineLevel="1"/>
    <col min="21" max="21" width="8.85546875" style="275" hidden="1" customWidth="1" collapsed="1"/>
    <col min="22" max="25" width="8.85546875" style="275" hidden="1" customWidth="1" outlineLevel="1"/>
    <col min="26" max="26" width="8.85546875" style="275" hidden="1" customWidth="1" collapsed="1"/>
    <col min="27" max="30" width="8.85546875" style="275" hidden="1" customWidth="1" outlineLevel="1"/>
    <col min="31" max="31" width="8.85546875" style="275" hidden="1" customWidth="1" collapsed="1"/>
    <col min="32" max="34" width="8.85546875" style="275" hidden="1" customWidth="1" outlineLevel="1"/>
    <col min="35" max="35" width="10.140625" style="275" hidden="1" customWidth="1" outlineLevel="1"/>
    <col min="36" max="36" width="10.140625" style="275" bestFit="1" customWidth="1" collapsed="1"/>
    <col min="37" max="39" width="8.85546875" style="275" hidden="1" customWidth="1" outlineLevel="1"/>
    <col min="40" max="40" width="10.140625" style="275" hidden="1" customWidth="1" outlineLevel="1"/>
    <col min="41" max="41" width="10.140625" style="275" bestFit="1" customWidth="1" collapsed="1"/>
    <col min="42" max="44" width="8.85546875" style="275" hidden="1" customWidth="1" outlineLevel="1"/>
    <col min="45" max="45" width="10.140625" style="275" hidden="1" customWidth="1" outlineLevel="1"/>
    <col min="46" max="46" width="10.140625" style="275" bestFit="1" customWidth="1" collapsed="1"/>
    <col min="47" max="49" width="8.85546875" style="275" hidden="1" customWidth="1" outlineLevel="1"/>
    <col min="50" max="50" width="10.140625" style="275" hidden="1" customWidth="1" outlineLevel="1"/>
    <col min="51" max="51" width="10.140625" style="275" bestFit="1" customWidth="1" collapsed="1"/>
    <col min="52" max="54" width="8.85546875" style="275" hidden="1" customWidth="1" outlineLevel="1"/>
    <col min="55" max="55" width="10.140625" style="275" hidden="1" customWidth="1" outlineLevel="1"/>
    <col min="56" max="56" width="10.140625" style="275" bestFit="1" customWidth="1" collapsed="1"/>
    <col min="57" max="59" width="8.85546875" style="275" hidden="1" customWidth="1" outlineLevel="1"/>
    <col min="60" max="60" width="10.140625" style="275" hidden="1" customWidth="1" outlineLevel="1"/>
    <col min="61" max="61" width="10.140625" style="275" bestFit="1" customWidth="1" collapsed="1"/>
    <col min="62" max="64" width="8.85546875" style="275" hidden="1" customWidth="1" outlineLevel="1"/>
    <col min="65" max="65" width="10.140625" style="275" hidden="1" customWidth="1" outlineLevel="1"/>
    <col min="66" max="66" width="10.140625" style="275" bestFit="1" customWidth="1" collapsed="1"/>
    <col min="67" max="67" width="2.5703125" style="568" customWidth="1"/>
    <col min="68" max="71" width="8.7109375" style="275" hidden="1" customWidth="1" outlineLevel="1"/>
    <col min="72" max="72" width="8.7109375" style="275" customWidth="1" collapsed="1"/>
    <col min="73" max="76" width="8.7109375" style="275" hidden="1" customWidth="1" outlineLevel="1"/>
    <col min="77" max="77" width="8.7109375" style="275" customWidth="1" collapsed="1"/>
    <col min="78" max="81" width="8.7109375" style="275" hidden="1" customWidth="1" outlineLevel="1"/>
    <col min="82" max="82" width="8.7109375" style="275" customWidth="1" collapsed="1"/>
    <col min="83" max="86" width="8.7109375" style="275" hidden="1" customWidth="1" outlineLevel="1"/>
    <col min="87" max="87" width="8.7109375" style="275" customWidth="1" collapsed="1"/>
    <col min="88" max="91" width="8.7109375" style="275" hidden="1" customWidth="1" outlineLevel="1"/>
    <col min="92" max="92" width="8.7109375" style="275" customWidth="1" collapsed="1"/>
    <col min="93" max="96" width="8.7109375" style="275" hidden="1" customWidth="1" outlineLevel="1"/>
    <col min="97" max="97" width="8.7109375" style="275" customWidth="1" collapsed="1"/>
    <col min="98" max="101" width="8.7109375" style="275" hidden="1" customWidth="1" outlineLevel="1"/>
    <col min="102" max="102" width="8.7109375" style="275" customWidth="1" collapsed="1"/>
    <col min="103" max="106" width="8.7109375" style="275" hidden="1" customWidth="1" outlineLevel="1"/>
    <col min="107" max="107" width="8.7109375" style="275" customWidth="1" collapsed="1"/>
    <col min="108" max="111" width="8.7109375" style="275" hidden="1" customWidth="1" outlineLevel="1"/>
    <col min="112" max="112" width="8.7109375" style="275" customWidth="1" collapsed="1"/>
    <col min="113" max="116" width="8.7109375" style="275" hidden="1" customWidth="1" outlineLevel="1"/>
    <col min="117" max="117" width="8.7109375" style="275" customWidth="1" collapsed="1"/>
    <col min="118" max="121" width="8.7109375" style="275" hidden="1" customWidth="1" outlineLevel="1"/>
    <col min="122" max="122" width="8.7109375" style="275" customWidth="1" collapsed="1"/>
  </cols>
  <sheetData>
    <row r="1" spans="1:122" ht="15" customHeight="1">
      <c r="A1" s="204"/>
      <c r="B1" s="204"/>
      <c r="C1" s="396"/>
      <c r="D1" s="207"/>
      <c r="E1" s="225"/>
      <c r="F1" s="225"/>
      <c r="G1" s="225"/>
      <c r="H1" s="382"/>
      <c r="I1" s="382"/>
      <c r="J1" s="653"/>
      <c r="K1" s="281"/>
      <c r="L1" s="382"/>
      <c r="M1" s="382"/>
      <c r="N1" s="382"/>
      <c r="O1" s="382"/>
      <c r="P1" s="382"/>
      <c r="Q1" s="382"/>
      <c r="R1" s="382"/>
      <c r="S1" s="382"/>
      <c r="T1" s="382"/>
      <c r="U1" s="382"/>
      <c r="V1" s="382"/>
      <c r="W1" s="382"/>
      <c r="X1" s="382"/>
      <c r="Y1" s="382"/>
      <c r="Z1" s="382"/>
      <c r="AA1" s="382"/>
      <c r="AB1" s="382"/>
      <c r="AC1" s="382"/>
      <c r="AD1" s="382"/>
      <c r="AE1" s="382"/>
      <c r="AF1" s="382"/>
      <c r="AG1" s="382"/>
      <c r="AH1" s="382"/>
      <c r="AI1" s="382"/>
      <c r="AJ1" s="382"/>
      <c r="AK1" s="382"/>
      <c r="AL1" s="382"/>
      <c r="AM1" s="382"/>
      <c r="AN1" s="382"/>
      <c r="AO1" s="382"/>
      <c r="AP1" s="382"/>
      <c r="AQ1" s="382"/>
      <c r="AR1" s="382"/>
      <c r="AS1" s="382"/>
      <c r="AT1" s="382"/>
      <c r="AU1" s="382"/>
      <c r="AV1" s="382"/>
      <c r="AW1" s="382"/>
      <c r="AX1" s="382"/>
      <c r="AY1" s="382"/>
      <c r="AZ1" s="382"/>
      <c r="BA1" s="382"/>
      <c r="BB1" s="382"/>
      <c r="BC1" s="382"/>
      <c r="BD1" s="382"/>
      <c r="BE1" s="382"/>
      <c r="BF1" s="382"/>
      <c r="BG1" s="382"/>
      <c r="BH1" s="382"/>
      <c r="BI1" s="382"/>
      <c r="BJ1" s="382"/>
      <c r="BK1" s="382"/>
      <c r="BL1" s="382"/>
      <c r="BM1" s="382"/>
      <c r="BN1" s="382"/>
      <c r="BO1" s="383"/>
      <c r="BP1" s="382"/>
      <c r="BQ1" s="382"/>
      <c r="BR1" s="382"/>
      <c r="BS1" s="382"/>
      <c r="BT1" s="382"/>
      <c r="BU1" s="382"/>
      <c r="BV1" s="382"/>
      <c r="BW1" s="382"/>
      <c r="BX1" s="382"/>
      <c r="BY1" s="382"/>
      <c r="BZ1" s="382"/>
      <c r="CA1" s="382"/>
      <c r="CB1" s="382"/>
      <c r="CC1" s="382"/>
      <c r="CD1" s="382"/>
      <c r="CE1" s="382"/>
      <c r="CF1" s="382"/>
      <c r="CG1" s="382"/>
      <c r="CH1" s="382"/>
      <c r="CI1" s="382"/>
      <c r="CJ1" s="382"/>
      <c r="CK1" s="382"/>
      <c r="CL1" s="382"/>
      <c r="CM1" s="382"/>
      <c r="CN1" s="382"/>
      <c r="CO1" s="382"/>
      <c r="CP1" s="382"/>
      <c r="CQ1" s="382"/>
      <c r="CR1" s="382"/>
      <c r="CS1" s="382"/>
      <c r="CT1" s="382"/>
      <c r="CU1" s="382"/>
      <c r="CV1" s="382"/>
      <c r="CW1" s="382"/>
      <c r="CX1" s="382"/>
      <c r="CY1" s="382"/>
      <c r="CZ1" s="382"/>
      <c r="DA1" s="382"/>
      <c r="DB1" s="382"/>
      <c r="DC1" s="382"/>
      <c r="DD1" s="382"/>
      <c r="DE1" s="382"/>
      <c r="DF1" s="382"/>
      <c r="DG1" s="382"/>
      <c r="DH1" s="382"/>
      <c r="DI1" s="382"/>
      <c r="DJ1" s="382"/>
      <c r="DK1" s="382"/>
      <c r="DL1" s="382"/>
      <c r="DM1" s="382"/>
      <c r="DN1" s="382"/>
      <c r="DO1" s="382"/>
      <c r="DP1" s="382"/>
      <c r="DQ1" s="382"/>
      <c r="DR1" s="382"/>
    </row>
    <row r="2" spans="1:122" ht="15" customHeight="1">
      <c r="A2" s="204"/>
      <c r="B2" s="204" t="s">
        <v>344</v>
      </c>
      <c r="C2" s="396"/>
      <c r="D2" s="207"/>
      <c r="E2" s="225"/>
      <c r="F2" s="225"/>
      <c r="G2" s="225"/>
      <c r="H2" s="382"/>
      <c r="I2" s="382"/>
      <c r="J2" s="653"/>
      <c r="K2" s="281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2"/>
      <c r="BF2" s="382"/>
      <c r="BG2" s="382"/>
      <c r="BH2" s="382"/>
      <c r="BI2" s="382"/>
      <c r="BJ2" s="382"/>
      <c r="BK2" s="382"/>
      <c r="BL2" s="382"/>
      <c r="BM2" s="382"/>
      <c r="BN2" s="382"/>
      <c r="BO2" s="383"/>
      <c r="BP2" s="382"/>
      <c r="BQ2" s="382"/>
      <c r="BR2" s="382"/>
      <c r="BS2" s="382"/>
      <c r="BT2" s="382"/>
      <c r="BU2" s="382"/>
      <c r="BV2" s="382"/>
      <c r="BW2" s="382"/>
      <c r="BX2" s="382"/>
      <c r="BY2" s="382"/>
      <c r="BZ2" s="382"/>
      <c r="CA2" s="382"/>
      <c r="CB2" s="382"/>
      <c r="CC2" s="382"/>
      <c r="CD2" s="382"/>
      <c r="CE2" s="382"/>
      <c r="CF2" s="382"/>
      <c r="CG2" s="382"/>
      <c r="CH2" s="382"/>
      <c r="CI2" s="382"/>
      <c r="CJ2" s="382"/>
      <c r="CK2" s="382"/>
      <c r="CL2" s="382"/>
      <c r="CM2" s="382"/>
      <c r="CN2" s="382"/>
      <c r="CO2" s="382"/>
      <c r="CP2" s="382"/>
      <c r="CQ2" s="382"/>
      <c r="CR2" s="382"/>
      <c r="CS2" s="382"/>
      <c r="CT2" s="382"/>
      <c r="CU2" s="382"/>
      <c r="CV2" s="382"/>
      <c r="CW2" s="382"/>
      <c r="CX2" s="382"/>
      <c r="CY2" s="382"/>
      <c r="CZ2" s="382"/>
      <c r="DA2" s="382"/>
      <c r="DB2" s="382"/>
      <c r="DC2" s="382"/>
      <c r="DD2" s="382"/>
      <c r="DE2" s="382"/>
      <c r="DF2" s="382"/>
      <c r="DG2" s="382"/>
      <c r="DH2" s="382"/>
      <c r="DI2" s="382"/>
      <c r="DJ2" s="382"/>
      <c r="DK2" s="382"/>
      <c r="DL2" s="382"/>
      <c r="DM2" s="382"/>
      <c r="DN2" s="382"/>
      <c r="DO2" s="382"/>
      <c r="DP2" s="382"/>
      <c r="DQ2" s="382"/>
      <c r="DR2" s="382"/>
    </row>
    <row r="3" spans="1:122" ht="15" customHeight="1">
      <c r="A3" s="205"/>
      <c r="B3" s="224" t="s">
        <v>296</v>
      </c>
      <c r="C3" s="397"/>
      <c r="D3" s="225"/>
      <c r="E3" s="225"/>
      <c r="F3" s="225"/>
      <c r="G3" s="225"/>
      <c r="H3" s="382"/>
      <c r="I3" s="382"/>
      <c r="J3" s="653"/>
      <c r="K3" s="281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2"/>
      <c r="AG3" s="382"/>
      <c r="AH3" s="382"/>
      <c r="AI3" s="382"/>
      <c r="AJ3" s="382"/>
      <c r="AK3" s="382"/>
      <c r="AL3" s="382"/>
      <c r="AM3" s="382"/>
      <c r="AN3" s="382"/>
      <c r="AO3" s="382"/>
      <c r="AP3" s="382"/>
      <c r="AQ3" s="382"/>
      <c r="AR3" s="382"/>
      <c r="AS3" s="382"/>
      <c r="AT3" s="382"/>
      <c r="AU3" s="382"/>
      <c r="AV3" s="382"/>
      <c r="AW3" s="382"/>
      <c r="AX3" s="382"/>
      <c r="AY3" s="382"/>
      <c r="AZ3" s="382"/>
      <c r="BA3" s="382"/>
      <c r="BB3" s="382"/>
      <c r="BC3" s="382"/>
      <c r="BD3" s="382"/>
      <c r="BE3" s="382"/>
      <c r="BF3" s="382"/>
      <c r="BG3" s="382"/>
      <c r="BH3" s="382"/>
      <c r="BI3" s="382"/>
      <c r="BJ3" s="382"/>
      <c r="BK3" s="382"/>
      <c r="BL3" s="382"/>
      <c r="BM3" s="382"/>
      <c r="BN3" s="382"/>
      <c r="BO3" s="383"/>
      <c r="BP3" s="382"/>
      <c r="BQ3" s="382"/>
      <c r="BR3" s="382"/>
      <c r="BS3" s="382"/>
      <c r="BT3" s="382"/>
      <c r="BU3" s="382"/>
      <c r="BV3" s="382"/>
      <c r="BW3" s="382"/>
      <c r="BX3" s="382"/>
      <c r="BY3" s="382"/>
      <c r="BZ3" s="382"/>
      <c r="CA3" s="382"/>
      <c r="CB3" s="382"/>
      <c r="CC3" s="382"/>
      <c r="CD3" s="382"/>
      <c r="CE3" s="382"/>
      <c r="CF3" s="382"/>
      <c r="CG3" s="382"/>
      <c r="CH3" s="382"/>
      <c r="CI3" s="382"/>
      <c r="CJ3" s="382"/>
      <c r="CK3" s="382"/>
      <c r="CL3" s="382"/>
      <c r="CM3" s="382"/>
      <c r="CN3" s="382"/>
      <c r="CO3" s="382"/>
      <c r="CP3" s="382"/>
      <c r="CQ3" s="382"/>
      <c r="CR3" s="382"/>
      <c r="CS3" s="382"/>
      <c r="CT3" s="382"/>
      <c r="CU3" s="382"/>
      <c r="CV3" s="382"/>
      <c r="CW3" s="382"/>
      <c r="CX3" s="382"/>
      <c r="CY3" s="382"/>
      <c r="CZ3" s="382"/>
      <c r="DA3" s="382"/>
      <c r="DB3" s="382"/>
      <c r="DC3" s="382"/>
      <c r="DD3" s="382"/>
      <c r="DE3" s="382"/>
      <c r="DF3" s="382"/>
      <c r="DG3" s="382"/>
      <c r="DH3" s="382"/>
      <c r="DI3" s="382"/>
      <c r="DJ3" s="382"/>
      <c r="DK3" s="382"/>
      <c r="DL3" s="382"/>
      <c r="DM3" s="382"/>
      <c r="DN3" s="382"/>
      <c r="DO3" s="382"/>
      <c r="DP3" s="382"/>
      <c r="DQ3" s="382"/>
      <c r="DR3" s="382"/>
    </row>
    <row r="4" spans="1:122">
      <c r="A4" s="207"/>
      <c r="B4" s="381" t="s">
        <v>3</v>
      </c>
      <c r="C4" s="207"/>
      <c r="D4" s="207"/>
      <c r="E4" s="225"/>
      <c r="F4" s="225"/>
      <c r="G4" s="225"/>
      <c r="H4" s="382"/>
      <c r="I4" s="382"/>
      <c r="J4" s="653"/>
      <c r="K4" s="281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82"/>
      <c r="AC4" s="382"/>
      <c r="AD4" s="382"/>
      <c r="AE4" s="382"/>
      <c r="AF4" s="382"/>
      <c r="AG4" s="382"/>
      <c r="AH4" s="382"/>
      <c r="AI4" s="382"/>
      <c r="AJ4" s="382"/>
      <c r="AK4" s="382"/>
      <c r="AL4" s="382"/>
      <c r="AM4" s="382"/>
      <c r="AN4" s="382"/>
      <c r="AO4" s="382"/>
      <c r="AP4" s="382"/>
      <c r="AQ4" s="382"/>
      <c r="AR4" s="382"/>
      <c r="AS4" s="382"/>
      <c r="AT4" s="382"/>
      <c r="AU4" s="382"/>
      <c r="AV4" s="382"/>
      <c r="AW4" s="382"/>
      <c r="AX4" s="382"/>
      <c r="AY4" s="382"/>
      <c r="AZ4" s="382"/>
      <c r="BA4" s="382"/>
      <c r="BB4" s="382"/>
      <c r="BC4" s="382"/>
      <c r="BD4" s="382"/>
      <c r="BE4" s="382"/>
      <c r="BF4" s="382"/>
      <c r="BG4" s="382"/>
      <c r="BH4" s="382"/>
      <c r="BI4" s="382"/>
      <c r="BJ4" s="382"/>
      <c r="BK4" s="382"/>
      <c r="BL4" s="382"/>
      <c r="BM4" s="382"/>
      <c r="BN4" s="382"/>
      <c r="BO4" s="383"/>
      <c r="BP4" s="382"/>
      <c r="BQ4" s="382"/>
      <c r="BR4" s="382"/>
      <c r="BS4" s="382"/>
      <c r="BT4" s="382"/>
      <c r="BU4" s="382"/>
      <c r="BV4" s="382"/>
      <c r="BW4" s="382"/>
      <c r="BX4" s="382"/>
      <c r="BY4" s="382"/>
      <c r="BZ4" s="382"/>
      <c r="CA4" s="382"/>
      <c r="CB4" s="382"/>
      <c r="CC4" s="382"/>
      <c r="CD4" s="382"/>
      <c r="CE4" s="382"/>
      <c r="CF4" s="382"/>
      <c r="CG4" s="382"/>
      <c r="CH4" s="382"/>
      <c r="CI4" s="382"/>
      <c r="CJ4" s="382"/>
      <c r="CK4" s="382"/>
      <c r="CL4" s="382"/>
      <c r="CM4" s="382"/>
      <c r="CN4" s="382"/>
      <c r="CO4" s="382"/>
      <c r="CP4" s="382"/>
      <c r="CQ4" s="382"/>
      <c r="CR4" s="382"/>
      <c r="CS4" s="382"/>
      <c r="CT4" s="382"/>
      <c r="CU4" s="382"/>
      <c r="CV4" s="382"/>
      <c r="CW4" s="382"/>
      <c r="CX4" s="382"/>
      <c r="CY4" s="382"/>
      <c r="CZ4" s="382"/>
      <c r="DA4" s="382"/>
      <c r="DB4" s="382"/>
      <c r="DC4" s="382"/>
      <c r="DD4" s="382"/>
      <c r="DE4" s="382"/>
      <c r="DF4" s="382"/>
      <c r="DG4" s="382"/>
      <c r="DH4" s="382"/>
      <c r="DI4" s="382"/>
      <c r="DJ4" s="382"/>
      <c r="DK4" s="382"/>
      <c r="DL4" s="382"/>
      <c r="DM4" s="382"/>
      <c r="DN4" s="382"/>
      <c r="DO4" s="382"/>
      <c r="DP4" s="382"/>
      <c r="DQ4" s="382"/>
      <c r="DR4" s="382"/>
    </row>
    <row r="5" spans="1:122">
      <c r="A5" s="384"/>
      <c r="B5" s="384" t="s">
        <v>22</v>
      </c>
      <c r="C5" s="398"/>
      <c r="D5" s="518"/>
      <c r="E5" s="519" t="s">
        <v>297</v>
      </c>
      <c r="F5" s="520">
        <v>2017</v>
      </c>
      <c r="G5" s="520">
        <v>2016</v>
      </c>
      <c r="H5" s="576" t="s">
        <v>298</v>
      </c>
      <c r="I5" s="628" t="s">
        <v>299</v>
      </c>
      <c r="J5" s="657" t="s">
        <v>300</v>
      </c>
      <c r="K5" s="521"/>
      <c r="L5" s="416" t="s">
        <v>181</v>
      </c>
      <c r="M5" s="417" t="s">
        <v>182</v>
      </c>
      <c r="N5" s="417" t="s">
        <v>771</v>
      </c>
      <c r="O5" s="418" t="s">
        <v>218</v>
      </c>
      <c r="P5" s="474">
        <v>2011</v>
      </c>
      <c r="Q5" s="416" t="s">
        <v>475</v>
      </c>
      <c r="R5" s="417" t="s">
        <v>929</v>
      </c>
      <c r="S5" s="417" t="s">
        <v>742</v>
      </c>
      <c r="T5" s="418" t="s">
        <v>767</v>
      </c>
      <c r="U5" s="474">
        <v>2012</v>
      </c>
      <c r="V5" s="416" t="s">
        <v>769</v>
      </c>
      <c r="W5" s="417" t="s">
        <v>76</v>
      </c>
      <c r="X5" s="417" t="s">
        <v>77</v>
      </c>
      <c r="Y5" s="418" t="s">
        <v>670</v>
      </c>
      <c r="Z5" s="474">
        <v>2013</v>
      </c>
      <c r="AA5" s="416" t="s">
        <v>90</v>
      </c>
      <c r="AB5" s="417" t="s">
        <v>91</v>
      </c>
      <c r="AC5" s="417" t="s">
        <v>92</v>
      </c>
      <c r="AD5" s="418" t="s">
        <v>960</v>
      </c>
      <c r="AE5" s="474">
        <v>2014</v>
      </c>
      <c r="AF5" s="416" t="s">
        <v>962</v>
      </c>
      <c r="AG5" s="417" t="s">
        <v>963</v>
      </c>
      <c r="AH5" s="67" t="s">
        <v>1005</v>
      </c>
      <c r="AI5" s="418" t="s">
        <v>1009</v>
      </c>
      <c r="AJ5" s="474">
        <v>2015</v>
      </c>
      <c r="AK5" s="868" t="s">
        <v>1060</v>
      </c>
      <c r="AL5" s="869" t="s">
        <v>1062</v>
      </c>
      <c r="AM5" s="869" t="s">
        <v>1134</v>
      </c>
      <c r="AN5" s="418" t="s">
        <v>1157</v>
      </c>
      <c r="AO5" s="474">
        <v>2016</v>
      </c>
      <c r="AP5" s="868" t="s">
        <v>1187</v>
      </c>
      <c r="AQ5" s="869" t="s">
        <v>1200</v>
      </c>
      <c r="AR5" s="869" t="s">
        <v>1207</v>
      </c>
      <c r="AS5" s="871" t="s">
        <v>1218</v>
      </c>
      <c r="AT5" s="474">
        <v>2017</v>
      </c>
      <c r="AU5" s="416" t="s">
        <v>130</v>
      </c>
      <c r="AV5" s="417" t="s">
        <v>131</v>
      </c>
      <c r="AW5" s="417" t="s">
        <v>132</v>
      </c>
      <c r="AX5" s="418" t="s">
        <v>133</v>
      </c>
      <c r="AY5" s="419">
        <v>2018</v>
      </c>
      <c r="AZ5" s="416" t="s">
        <v>971</v>
      </c>
      <c r="BA5" s="417" t="s">
        <v>972</v>
      </c>
      <c r="BB5" s="417" t="s">
        <v>973</v>
      </c>
      <c r="BC5" s="418" t="s">
        <v>974</v>
      </c>
      <c r="BD5" s="419">
        <v>2019</v>
      </c>
      <c r="BE5" s="416" t="s">
        <v>975</v>
      </c>
      <c r="BF5" s="417" t="s">
        <v>976</v>
      </c>
      <c r="BG5" s="417" t="s">
        <v>977</v>
      </c>
      <c r="BH5" s="418" t="s">
        <v>978</v>
      </c>
      <c r="BI5" s="419">
        <v>2020</v>
      </c>
      <c r="BJ5" s="416" t="s">
        <v>1137</v>
      </c>
      <c r="BK5" s="417" t="s">
        <v>1138</v>
      </c>
      <c r="BL5" s="417" t="s">
        <v>1139</v>
      </c>
      <c r="BM5" s="418" t="s">
        <v>1140</v>
      </c>
      <c r="BN5" s="419">
        <v>2021</v>
      </c>
      <c r="BO5" s="420"/>
      <c r="BP5" s="416" t="s">
        <v>181</v>
      </c>
      <c r="BQ5" s="417" t="s">
        <v>182</v>
      </c>
      <c r="BR5" s="417" t="s">
        <v>771</v>
      </c>
      <c r="BS5" s="418" t="s">
        <v>218</v>
      </c>
      <c r="BT5" s="474">
        <v>2011</v>
      </c>
      <c r="BU5" s="416" t="s">
        <v>475</v>
      </c>
      <c r="BV5" s="417" t="s">
        <v>929</v>
      </c>
      <c r="BW5" s="417" t="s">
        <v>183</v>
      </c>
      <c r="BX5" s="418" t="s">
        <v>184</v>
      </c>
      <c r="BY5" s="474">
        <v>2012</v>
      </c>
      <c r="BZ5" s="416" t="s">
        <v>769</v>
      </c>
      <c r="CA5" s="417" t="s">
        <v>76</v>
      </c>
      <c r="CB5" s="417" t="s">
        <v>77</v>
      </c>
      <c r="CC5" s="418" t="s">
        <v>670</v>
      </c>
      <c r="CD5" s="474">
        <v>2013</v>
      </c>
      <c r="CE5" s="416" t="s">
        <v>90</v>
      </c>
      <c r="CF5" s="417" t="s">
        <v>91</v>
      </c>
      <c r="CG5" s="417" t="s">
        <v>92</v>
      </c>
      <c r="CH5" s="418" t="s">
        <v>960</v>
      </c>
      <c r="CI5" s="474">
        <v>2014</v>
      </c>
      <c r="CJ5" s="416" t="s">
        <v>962</v>
      </c>
      <c r="CK5" s="417" t="s">
        <v>963</v>
      </c>
      <c r="CL5" s="67" t="s">
        <v>1005</v>
      </c>
      <c r="CM5" s="418" t="s">
        <v>1009</v>
      </c>
      <c r="CN5" s="474">
        <v>2015</v>
      </c>
      <c r="CO5" s="868" t="s">
        <v>1060</v>
      </c>
      <c r="CP5" s="869" t="s">
        <v>1062</v>
      </c>
      <c r="CQ5" s="417" t="s">
        <v>1134</v>
      </c>
      <c r="CR5" s="418" t="s">
        <v>1157</v>
      </c>
      <c r="CS5" s="474">
        <v>2016</v>
      </c>
      <c r="CT5" s="868" t="s">
        <v>1187</v>
      </c>
      <c r="CU5" s="869" t="s">
        <v>1200</v>
      </c>
      <c r="CV5" s="869" t="s">
        <v>1207</v>
      </c>
      <c r="CW5" s="871" t="s">
        <v>1218</v>
      </c>
      <c r="CX5" s="474">
        <v>2017</v>
      </c>
      <c r="CY5" s="416" t="s">
        <v>130</v>
      </c>
      <c r="CZ5" s="417" t="s">
        <v>131</v>
      </c>
      <c r="DA5" s="417" t="s">
        <v>132</v>
      </c>
      <c r="DB5" s="418" t="s">
        <v>133</v>
      </c>
      <c r="DC5" s="419">
        <v>2018</v>
      </c>
      <c r="DD5" s="416" t="s">
        <v>971</v>
      </c>
      <c r="DE5" s="417" t="s">
        <v>972</v>
      </c>
      <c r="DF5" s="417" t="s">
        <v>973</v>
      </c>
      <c r="DG5" s="418" t="s">
        <v>974</v>
      </c>
      <c r="DH5" s="419">
        <v>2019</v>
      </c>
      <c r="DI5" s="416" t="s">
        <v>975</v>
      </c>
      <c r="DJ5" s="417" t="s">
        <v>976</v>
      </c>
      <c r="DK5" s="417" t="s">
        <v>977</v>
      </c>
      <c r="DL5" s="418" t="s">
        <v>978</v>
      </c>
      <c r="DM5" s="419">
        <v>2020</v>
      </c>
      <c r="DN5" s="416" t="s">
        <v>1137</v>
      </c>
      <c r="DO5" s="417" t="s">
        <v>1138</v>
      </c>
      <c r="DP5" s="417" t="s">
        <v>1139</v>
      </c>
      <c r="DQ5" s="418" t="s">
        <v>1140</v>
      </c>
      <c r="DR5" s="419">
        <v>2021</v>
      </c>
    </row>
    <row r="6" spans="1:122" ht="12.75" customHeight="1" thickBot="1">
      <c r="A6" s="92"/>
      <c r="B6" s="385"/>
      <c r="C6" s="399"/>
      <c r="D6" s="399"/>
      <c r="E6" s="522"/>
      <c r="F6" s="523"/>
      <c r="G6" s="523"/>
      <c r="H6" s="577"/>
      <c r="I6" s="577"/>
      <c r="J6" s="654"/>
      <c r="K6" s="524"/>
      <c r="L6" s="422" t="s">
        <v>301</v>
      </c>
      <c r="M6" s="423" t="s">
        <v>301</v>
      </c>
      <c r="N6" s="423" t="s">
        <v>301</v>
      </c>
      <c r="O6" s="424" t="s">
        <v>301</v>
      </c>
      <c r="P6" s="421" t="s">
        <v>301</v>
      </c>
      <c r="Q6" s="422" t="s">
        <v>301</v>
      </c>
      <c r="R6" s="423" t="s">
        <v>301</v>
      </c>
      <c r="S6" s="423" t="s">
        <v>301</v>
      </c>
      <c r="T6" s="424" t="s">
        <v>301</v>
      </c>
      <c r="U6" s="421" t="s">
        <v>301</v>
      </c>
      <c r="V6" s="422" t="s">
        <v>301</v>
      </c>
      <c r="W6" s="423" t="s">
        <v>301</v>
      </c>
      <c r="X6" s="423" t="s">
        <v>301</v>
      </c>
      <c r="Y6" s="424" t="s">
        <v>301</v>
      </c>
      <c r="Z6" s="421" t="s">
        <v>301</v>
      </c>
      <c r="AA6" s="422" t="s">
        <v>301</v>
      </c>
      <c r="AB6" s="423" t="s">
        <v>301</v>
      </c>
      <c r="AC6" s="423" t="s">
        <v>301</v>
      </c>
      <c r="AD6" s="424" t="s">
        <v>301</v>
      </c>
      <c r="AE6" s="421" t="s">
        <v>301</v>
      </c>
      <c r="AF6" s="422" t="s">
        <v>301</v>
      </c>
      <c r="AG6" s="423" t="s">
        <v>301</v>
      </c>
      <c r="AH6" s="423" t="s">
        <v>301</v>
      </c>
      <c r="AI6" s="424" t="s">
        <v>301</v>
      </c>
      <c r="AJ6" s="421" t="s">
        <v>301</v>
      </c>
      <c r="AK6" s="422" t="s">
        <v>301</v>
      </c>
      <c r="AL6" s="423" t="s">
        <v>301</v>
      </c>
      <c r="AM6" s="423" t="s">
        <v>301</v>
      </c>
      <c r="AN6" s="424" t="s">
        <v>301</v>
      </c>
      <c r="AO6" s="421" t="s">
        <v>301</v>
      </c>
      <c r="AP6" s="422" t="s">
        <v>301</v>
      </c>
      <c r="AQ6" s="423" t="s">
        <v>301</v>
      </c>
      <c r="AR6" s="423" t="s">
        <v>301</v>
      </c>
      <c r="AS6" s="424" t="s">
        <v>301</v>
      </c>
      <c r="AT6" s="421" t="s">
        <v>301</v>
      </c>
      <c r="AU6" s="422" t="s">
        <v>301</v>
      </c>
      <c r="AV6" s="423" t="s">
        <v>301</v>
      </c>
      <c r="AW6" s="423" t="s">
        <v>301</v>
      </c>
      <c r="AX6" s="424" t="s">
        <v>301</v>
      </c>
      <c r="AY6" s="421" t="s">
        <v>301</v>
      </c>
      <c r="AZ6" s="422" t="s">
        <v>301</v>
      </c>
      <c r="BA6" s="423" t="s">
        <v>301</v>
      </c>
      <c r="BB6" s="423" t="s">
        <v>301</v>
      </c>
      <c r="BC6" s="424" t="s">
        <v>301</v>
      </c>
      <c r="BD6" s="421" t="s">
        <v>301</v>
      </c>
      <c r="BE6" s="422" t="s">
        <v>301</v>
      </c>
      <c r="BF6" s="423" t="s">
        <v>301</v>
      </c>
      <c r="BG6" s="423" t="s">
        <v>301</v>
      </c>
      <c r="BH6" s="424" t="s">
        <v>301</v>
      </c>
      <c r="BI6" s="421" t="s">
        <v>301</v>
      </c>
      <c r="BJ6" s="422" t="s">
        <v>301</v>
      </c>
      <c r="BK6" s="423" t="s">
        <v>301</v>
      </c>
      <c r="BL6" s="423" t="s">
        <v>301</v>
      </c>
      <c r="BM6" s="424" t="s">
        <v>301</v>
      </c>
      <c r="BN6" s="421" t="s">
        <v>301</v>
      </c>
      <c r="BO6" s="425"/>
      <c r="BP6" s="422" t="s">
        <v>302</v>
      </c>
      <c r="BQ6" s="423" t="s">
        <v>302</v>
      </c>
      <c r="BR6" s="423" t="s">
        <v>302</v>
      </c>
      <c r="BS6" s="424" t="s">
        <v>302</v>
      </c>
      <c r="BT6" s="421" t="s">
        <v>302</v>
      </c>
      <c r="BU6" s="422" t="s">
        <v>302</v>
      </c>
      <c r="BV6" s="423" t="s">
        <v>302</v>
      </c>
      <c r="BW6" s="423" t="s">
        <v>302</v>
      </c>
      <c r="BX6" s="424" t="s">
        <v>302</v>
      </c>
      <c r="BY6" s="421" t="s">
        <v>302</v>
      </c>
      <c r="BZ6" s="422" t="s">
        <v>302</v>
      </c>
      <c r="CA6" s="423" t="s">
        <v>302</v>
      </c>
      <c r="CB6" s="423" t="s">
        <v>302</v>
      </c>
      <c r="CC6" s="424" t="s">
        <v>302</v>
      </c>
      <c r="CD6" s="421" t="s">
        <v>302</v>
      </c>
      <c r="CE6" s="422" t="s">
        <v>302</v>
      </c>
      <c r="CF6" s="423" t="s">
        <v>302</v>
      </c>
      <c r="CG6" s="423" t="s">
        <v>302</v>
      </c>
      <c r="CH6" s="424" t="s">
        <v>302</v>
      </c>
      <c r="CI6" s="421" t="s">
        <v>302</v>
      </c>
      <c r="CJ6" s="422" t="s">
        <v>302</v>
      </c>
      <c r="CK6" s="423" t="s">
        <v>302</v>
      </c>
      <c r="CL6" s="423" t="s">
        <v>302</v>
      </c>
      <c r="CM6" s="424" t="s">
        <v>302</v>
      </c>
      <c r="CN6" s="421" t="s">
        <v>302</v>
      </c>
      <c r="CO6" s="422" t="s">
        <v>302</v>
      </c>
      <c r="CP6" s="423" t="s">
        <v>302</v>
      </c>
      <c r="CQ6" s="423" t="s">
        <v>302</v>
      </c>
      <c r="CR6" s="424" t="s">
        <v>302</v>
      </c>
      <c r="CS6" s="421" t="s">
        <v>302</v>
      </c>
      <c r="CT6" s="422" t="s">
        <v>302</v>
      </c>
      <c r="CU6" s="423" t="s">
        <v>302</v>
      </c>
      <c r="CV6" s="423" t="s">
        <v>302</v>
      </c>
      <c r="CW6" s="424" t="s">
        <v>302</v>
      </c>
      <c r="CX6" s="421" t="s">
        <v>302</v>
      </c>
      <c r="CY6" s="422" t="s">
        <v>302</v>
      </c>
      <c r="CZ6" s="423" t="s">
        <v>302</v>
      </c>
      <c r="DA6" s="423" t="s">
        <v>302</v>
      </c>
      <c r="DB6" s="424" t="s">
        <v>302</v>
      </c>
      <c r="DC6" s="421" t="s">
        <v>302</v>
      </c>
      <c r="DD6" s="422" t="s">
        <v>302</v>
      </c>
      <c r="DE6" s="423" t="s">
        <v>302</v>
      </c>
      <c r="DF6" s="423" t="s">
        <v>302</v>
      </c>
      <c r="DG6" s="424" t="s">
        <v>302</v>
      </c>
      <c r="DH6" s="421" t="s">
        <v>302</v>
      </c>
      <c r="DI6" s="422" t="s">
        <v>302</v>
      </c>
      <c r="DJ6" s="423" t="s">
        <v>302</v>
      </c>
      <c r="DK6" s="423" t="s">
        <v>302</v>
      </c>
      <c r="DL6" s="424" t="s">
        <v>302</v>
      </c>
      <c r="DM6" s="421" t="s">
        <v>302</v>
      </c>
      <c r="DN6" s="422" t="s">
        <v>302</v>
      </c>
      <c r="DO6" s="423" t="s">
        <v>302</v>
      </c>
      <c r="DP6" s="423" t="s">
        <v>302</v>
      </c>
      <c r="DQ6" s="424" t="s">
        <v>302</v>
      </c>
      <c r="DR6" s="421" t="s">
        <v>302</v>
      </c>
    </row>
    <row r="7" spans="1:122" ht="12.75" customHeight="1">
      <c r="A7" s="92"/>
      <c r="B7" s="126" t="s">
        <v>303</v>
      </c>
      <c r="C7" s="193"/>
      <c r="D7" s="525"/>
      <c r="E7" s="526"/>
      <c r="F7" s="527"/>
      <c r="G7" s="527"/>
      <c r="H7" s="578"/>
      <c r="I7" s="600"/>
      <c r="J7" s="459"/>
      <c r="K7" s="528"/>
      <c r="L7" s="441"/>
      <c r="M7" s="442"/>
      <c r="N7" s="442"/>
      <c r="O7" s="443"/>
      <c r="P7" s="440"/>
      <c r="Q7" s="441"/>
      <c r="R7" s="442"/>
      <c r="S7" s="442"/>
      <c r="T7" s="443"/>
      <c r="U7" s="440"/>
      <c r="V7" s="441"/>
      <c r="W7" s="442"/>
      <c r="X7" s="442"/>
      <c r="Y7" s="443"/>
      <c r="Z7" s="440"/>
      <c r="AA7" s="441"/>
      <c r="AB7" s="442"/>
      <c r="AC7" s="442"/>
      <c r="AD7" s="443"/>
      <c r="AE7" s="440"/>
      <c r="AF7" s="441"/>
      <c r="AG7" s="442"/>
      <c r="AH7" s="442"/>
      <c r="AI7" s="443"/>
      <c r="AJ7" s="440"/>
      <c r="AK7" s="441"/>
      <c r="AL7" s="442"/>
      <c r="AM7" s="442"/>
      <c r="AN7" s="443"/>
      <c r="AO7" s="440"/>
      <c r="AP7" s="441"/>
      <c r="AQ7" s="442"/>
      <c r="AR7" s="442"/>
      <c r="AS7" s="443"/>
      <c r="AT7" s="440"/>
      <c r="AU7" s="441"/>
      <c r="AV7" s="442"/>
      <c r="AW7" s="442"/>
      <c r="AX7" s="443"/>
      <c r="AY7" s="440"/>
      <c r="AZ7" s="441"/>
      <c r="BA7" s="442"/>
      <c r="BB7" s="442"/>
      <c r="BC7" s="443"/>
      <c r="BD7" s="440"/>
      <c r="BE7" s="441"/>
      <c r="BF7" s="442"/>
      <c r="BG7" s="442"/>
      <c r="BH7" s="443"/>
      <c r="BI7" s="440"/>
      <c r="BJ7" s="441"/>
      <c r="BK7" s="442"/>
      <c r="BL7" s="442"/>
      <c r="BM7" s="443"/>
      <c r="BN7" s="440"/>
      <c r="BO7" s="529"/>
      <c r="BP7" s="531"/>
      <c r="BQ7" s="532"/>
      <c r="BR7" s="532"/>
      <c r="BS7" s="533"/>
      <c r="BT7" s="530"/>
      <c r="BU7" s="531"/>
      <c r="BV7" s="532"/>
      <c r="BW7" s="532"/>
      <c r="BX7" s="533"/>
      <c r="BY7" s="530"/>
      <c r="BZ7" s="531"/>
      <c r="CA7" s="532"/>
      <c r="CB7" s="532"/>
      <c r="CC7" s="533"/>
      <c r="CD7" s="530"/>
      <c r="CE7" s="531"/>
      <c r="CF7" s="532"/>
      <c r="CG7" s="532"/>
      <c r="CH7" s="533"/>
      <c r="CI7" s="530"/>
      <c r="CJ7" s="531"/>
      <c r="CK7" s="532"/>
      <c r="CL7" s="532"/>
      <c r="CM7" s="533"/>
      <c r="CN7" s="530"/>
      <c r="CO7" s="531"/>
      <c r="CP7" s="532"/>
      <c r="CQ7" s="532"/>
      <c r="CR7" s="533"/>
      <c r="CS7" s="530"/>
      <c r="CT7" s="531"/>
      <c r="CU7" s="532"/>
      <c r="CV7" s="532"/>
      <c r="CW7" s="533"/>
      <c r="CX7" s="530"/>
      <c r="CY7" s="531"/>
      <c r="CZ7" s="532"/>
      <c r="DA7" s="532"/>
      <c r="DB7" s="533"/>
      <c r="DC7" s="530"/>
      <c r="DD7" s="531"/>
      <c r="DE7" s="532"/>
      <c r="DF7" s="532"/>
      <c r="DG7" s="533"/>
      <c r="DH7" s="530"/>
      <c r="DI7" s="531"/>
      <c r="DJ7" s="532"/>
      <c r="DK7" s="532"/>
      <c r="DL7" s="533"/>
      <c r="DM7" s="530"/>
      <c r="DN7" s="531"/>
      <c r="DO7" s="532"/>
      <c r="DP7" s="532"/>
      <c r="DQ7" s="533"/>
      <c r="DR7" s="530"/>
    </row>
    <row r="8" spans="1:122" ht="12.75" customHeight="1">
      <c r="A8" s="92"/>
      <c r="B8" s="92"/>
      <c r="C8" s="400"/>
      <c r="D8" s="401"/>
      <c r="E8" s="526"/>
      <c r="F8" s="527"/>
      <c r="G8" s="527"/>
      <c r="H8" s="578"/>
      <c r="I8" s="600"/>
      <c r="J8" s="459"/>
      <c r="K8" s="528"/>
      <c r="L8" s="441"/>
      <c r="M8" s="442"/>
      <c r="N8" s="442"/>
      <c r="O8" s="443"/>
      <c r="P8" s="440"/>
      <c r="Q8" s="441"/>
      <c r="R8" s="442"/>
      <c r="S8" s="442"/>
      <c r="T8" s="443"/>
      <c r="U8" s="440"/>
      <c r="V8" s="441"/>
      <c r="W8" s="442"/>
      <c r="X8" s="442"/>
      <c r="Y8" s="443"/>
      <c r="Z8" s="440"/>
      <c r="AA8" s="441"/>
      <c r="AB8" s="442"/>
      <c r="AC8" s="442"/>
      <c r="AD8" s="443"/>
      <c r="AE8" s="440"/>
      <c r="AF8" s="441"/>
      <c r="AG8" s="442"/>
      <c r="AH8" s="442"/>
      <c r="AI8" s="443"/>
      <c r="AJ8" s="440"/>
      <c r="AK8" s="441"/>
      <c r="AL8" s="442"/>
      <c r="AM8" s="442"/>
      <c r="AN8" s="443"/>
      <c r="AO8" s="440"/>
      <c r="AP8" s="441"/>
      <c r="AQ8" s="442"/>
      <c r="AR8" s="442"/>
      <c r="AS8" s="443"/>
      <c r="AT8" s="440"/>
      <c r="AU8" s="441"/>
      <c r="AV8" s="442"/>
      <c r="AW8" s="442"/>
      <c r="AX8" s="443"/>
      <c r="AY8" s="440"/>
      <c r="AZ8" s="441"/>
      <c r="BA8" s="442"/>
      <c r="BB8" s="442"/>
      <c r="BC8" s="443"/>
      <c r="BD8" s="440"/>
      <c r="BE8" s="441"/>
      <c r="BF8" s="442"/>
      <c r="BG8" s="442"/>
      <c r="BH8" s="443"/>
      <c r="BI8" s="440"/>
      <c r="BJ8" s="441"/>
      <c r="BK8" s="442"/>
      <c r="BL8" s="442"/>
      <c r="BM8" s="443"/>
      <c r="BN8" s="440"/>
      <c r="BO8" s="534"/>
      <c r="BP8" s="531"/>
      <c r="BQ8" s="532"/>
      <c r="BR8" s="532"/>
      <c r="BS8" s="533"/>
      <c r="BT8" s="530"/>
      <c r="BU8" s="531"/>
      <c r="BV8" s="532"/>
      <c r="BW8" s="532"/>
      <c r="BX8" s="533"/>
      <c r="BY8" s="530"/>
      <c r="BZ8" s="531"/>
      <c r="CA8" s="532"/>
      <c r="CB8" s="532"/>
      <c r="CC8" s="533"/>
      <c r="CD8" s="530"/>
      <c r="CE8" s="531"/>
      <c r="CF8" s="532"/>
      <c r="CG8" s="532"/>
      <c r="CH8" s="533"/>
      <c r="CI8" s="530"/>
      <c r="CJ8" s="531"/>
      <c r="CK8" s="532"/>
      <c r="CL8" s="532"/>
      <c r="CM8" s="533"/>
      <c r="CN8" s="530"/>
      <c r="CO8" s="531"/>
      <c r="CP8" s="532"/>
      <c r="CQ8" s="532"/>
      <c r="CR8" s="533"/>
      <c r="CS8" s="530"/>
      <c r="CT8" s="531"/>
      <c r="CU8" s="532"/>
      <c r="CV8" s="532"/>
      <c r="CW8" s="533"/>
      <c r="CX8" s="530"/>
      <c r="CY8" s="531"/>
      <c r="CZ8" s="532"/>
      <c r="DA8" s="532"/>
      <c r="DB8" s="533"/>
      <c r="DC8" s="530"/>
      <c r="DD8" s="531"/>
      <c r="DE8" s="532"/>
      <c r="DF8" s="532"/>
      <c r="DG8" s="533"/>
      <c r="DH8" s="530"/>
      <c r="DI8" s="531"/>
      <c r="DJ8" s="532"/>
      <c r="DK8" s="532"/>
      <c r="DL8" s="533"/>
      <c r="DM8" s="530"/>
      <c r="DN8" s="531"/>
      <c r="DO8" s="532"/>
      <c r="DP8" s="532"/>
      <c r="DQ8" s="533"/>
      <c r="DR8" s="530"/>
    </row>
    <row r="9" spans="1:122" ht="12.75" customHeight="1">
      <c r="A9" s="92"/>
      <c r="B9" s="92"/>
      <c r="C9" s="400" t="s">
        <v>304</v>
      </c>
      <c r="D9" s="401"/>
      <c r="E9" s="526"/>
      <c r="F9" s="527"/>
      <c r="G9" s="527"/>
      <c r="H9" s="578"/>
      <c r="I9" s="600"/>
      <c r="J9" s="459"/>
      <c r="K9" s="528"/>
      <c r="L9" s="441"/>
      <c r="M9" s="442"/>
      <c r="N9" s="442"/>
      <c r="O9" s="443"/>
      <c r="P9" s="440"/>
      <c r="Q9" s="441"/>
      <c r="R9" s="442"/>
      <c r="S9" s="442"/>
      <c r="T9" s="443"/>
      <c r="U9" s="440"/>
      <c r="V9" s="441"/>
      <c r="W9" s="442"/>
      <c r="X9" s="442"/>
      <c r="Y9" s="443"/>
      <c r="Z9" s="440"/>
      <c r="AA9" s="441"/>
      <c r="AB9" s="442"/>
      <c r="AC9" s="442"/>
      <c r="AD9" s="443"/>
      <c r="AE9" s="440"/>
      <c r="AF9" s="441"/>
      <c r="AG9" s="442"/>
      <c r="AH9" s="442"/>
      <c r="AI9" s="443"/>
      <c r="AJ9" s="440"/>
      <c r="AK9" s="441"/>
      <c r="AL9" s="442"/>
      <c r="AM9" s="442"/>
      <c r="AN9" s="443"/>
      <c r="AO9" s="440"/>
      <c r="AP9" s="441"/>
      <c r="AQ9" s="442"/>
      <c r="AR9" s="442"/>
      <c r="AS9" s="443"/>
      <c r="AT9" s="440"/>
      <c r="AU9" s="441"/>
      <c r="AV9" s="442"/>
      <c r="AW9" s="442"/>
      <c r="AX9" s="443"/>
      <c r="AY9" s="440"/>
      <c r="AZ9" s="441"/>
      <c r="BA9" s="442"/>
      <c r="BB9" s="442"/>
      <c r="BC9" s="443"/>
      <c r="BD9" s="440"/>
      <c r="BE9" s="441"/>
      <c r="BF9" s="442"/>
      <c r="BG9" s="442"/>
      <c r="BH9" s="443"/>
      <c r="BI9" s="440"/>
      <c r="BJ9" s="441"/>
      <c r="BK9" s="442"/>
      <c r="BL9" s="442"/>
      <c r="BM9" s="443"/>
      <c r="BN9" s="440"/>
      <c r="BO9" s="534"/>
      <c r="BP9" s="531"/>
      <c r="BQ9" s="532"/>
      <c r="BR9" s="532"/>
      <c r="BS9" s="533"/>
      <c r="BT9" s="530"/>
      <c r="BU9" s="531"/>
      <c r="BV9" s="532"/>
      <c r="BW9" s="532"/>
      <c r="BX9" s="533"/>
      <c r="BY9" s="530"/>
      <c r="BZ9" s="531"/>
      <c r="CA9" s="532"/>
      <c r="CB9" s="532"/>
      <c r="CC9" s="533"/>
      <c r="CD9" s="530"/>
      <c r="CE9" s="531"/>
      <c r="CF9" s="532"/>
      <c r="CG9" s="532"/>
      <c r="CH9" s="533"/>
      <c r="CI9" s="530"/>
      <c r="CJ9" s="531"/>
      <c r="CK9" s="532"/>
      <c r="CL9" s="532"/>
      <c r="CM9" s="533"/>
      <c r="CN9" s="530"/>
      <c r="CO9" s="531"/>
      <c r="CP9" s="532"/>
      <c r="CQ9" s="532"/>
      <c r="CR9" s="533"/>
      <c r="CS9" s="530"/>
      <c r="CT9" s="531"/>
      <c r="CU9" s="532"/>
      <c r="CV9" s="532"/>
      <c r="CW9" s="533"/>
      <c r="CX9" s="530"/>
      <c r="CY9" s="531"/>
      <c r="CZ9" s="532"/>
      <c r="DA9" s="532"/>
      <c r="DB9" s="533"/>
      <c r="DC9" s="530"/>
      <c r="DD9" s="531"/>
      <c r="DE9" s="532"/>
      <c r="DF9" s="532"/>
      <c r="DG9" s="533"/>
      <c r="DH9" s="530"/>
      <c r="DI9" s="531"/>
      <c r="DJ9" s="532"/>
      <c r="DK9" s="532"/>
      <c r="DL9" s="533"/>
      <c r="DM9" s="530"/>
      <c r="DN9" s="531"/>
      <c r="DO9" s="532"/>
      <c r="DP9" s="532"/>
      <c r="DQ9" s="533"/>
      <c r="DR9" s="530"/>
    </row>
    <row r="10" spans="1:122" ht="12.75" customHeight="1">
      <c r="A10" s="92"/>
      <c r="B10" s="92"/>
      <c r="C10" s="401" t="s">
        <v>305</v>
      </c>
      <c r="D10" s="401"/>
      <c r="E10" s="440"/>
      <c r="F10" s="1903"/>
      <c r="G10" s="1903"/>
      <c r="H10" s="578"/>
      <c r="I10" s="600"/>
      <c r="J10" s="459"/>
      <c r="K10" s="528"/>
      <c r="L10" s="441">
        <f t="shared" ref="L10:AQ10" si="0">+SUM(L30,L108,L244)</f>
        <v>0</v>
      </c>
      <c r="M10" s="442">
        <f t="shared" si="0"/>
        <v>0</v>
      </c>
      <c r="N10" s="442">
        <f t="shared" si="0"/>
        <v>0</v>
      </c>
      <c r="O10" s="443">
        <f t="shared" si="0"/>
        <v>0</v>
      </c>
      <c r="P10" s="440">
        <f t="shared" si="0"/>
        <v>0</v>
      </c>
      <c r="Q10" s="441">
        <f t="shared" si="0"/>
        <v>0</v>
      </c>
      <c r="R10" s="442">
        <f t="shared" si="0"/>
        <v>0</v>
      </c>
      <c r="S10" s="442">
        <f t="shared" si="0"/>
        <v>0</v>
      </c>
      <c r="T10" s="443">
        <f t="shared" si="0"/>
        <v>0</v>
      </c>
      <c r="U10" s="440">
        <f t="shared" si="0"/>
        <v>0</v>
      </c>
      <c r="V10" s="441">
        <f t="shared" si="0"/>
        <v>0</v>
      </c>
      <c r="W10" s="442">
        <f t="shared" si="0"/>
        <v>0</v>
      </c>
      <c r="X10" s="442">
        <f t="shared" si="0"/>
        <v>0</v>
      </c>
      <c r="Y10" s="443">
        <f t="shared" si="0"/>
        <v>0</v>
      </c>
      <c r="Z10" s="440">
        <f t="shared" si="0"/>
        <v>0</v>
      </c>
      <c r="AA10" s="441">
        <f t="shared" si="0"/>
        <v>0</v>
      </c>
      <c r="AB10" s="442">
        <f t="shared" si="0"/>
        <v>0</v>
      </c>
      <c r="AC10" s="442">
        <f t="shared" si="0"/>
        <v>0</v>
      </c>
      <c r="AD10" s="443">
        <f t="shared" si="0"/>
        <v>0</v>
      </c>
      <c r="AE10" s="440">
        <f t="shared" si="0"/>
        <v>0</v>
      </c>
      <c r="AF10" s="441">
        <f t="shared" si="0"/>
        <v>0</v>
      </c>
      <c r="AG10" s="442">
        <f t="shared" si="0"/>
        <v>0</v>
      </c>
      <c r="AH10" s="442">
        <f t="shared" si="0"/>
        <v>0</v>
      </c>
      <c r="AI10" s="443">
        <f t="shared" si="0"/>
        <v>0</v>
      </c>
      <c r="AJ10" s="440">
        <f t="shared" si="0"/>
        <v>0</v>
      </c>
      <c r="AK10" s="441">
        <f t="shared" si="0"/>
        <v>0</v>
      </c>
      <c r="AL10" s="442">
        <f t="shared" si="0"/>
        <v>0</v>
      </c>
      <c r="AM10" s="442">
        <f t="shared" si="0"/>
        <v>0</v>
      </c>
      <c r="AN10" s="443">
        <f t="shared" si="0"/>
        <v>0</v>
      </c>
      <c r="AO10" s="440">
        <f t="shared" si="0"/>
        <v>0</v>
      </c>
      <c r="AP10" s="441">
        <f t="shared" si="0"/>
        <v>-184.41933700000001</v>
      </c>
      <c r="AQ10" s="442">
        <f t="shared" si="0"/>
        <v>-669.77668499999993</v>
      </c>
      <c r="AR10" s="442">
        <f t="shared" ref="AR10:BN10" si="1">+SUM(AR30,AR108,AR244)</f>
        <v>-809.61</v>
      </c>
      <c r="AS10" s="443">
        <f t="shared" si="1"/>
        <v>-575</v>
      </c>
      <c r="AT10" s="440">
        <f t="shared" si="1"/>
        <v>-2238.8060219999998</v>
      </c>
      <c r="AU10" s="441">
        <f t="shared" si="1"/>
        <v>-1450</v>
      </c>
      <c r="AV10" s="442">
        <f t="shared" si="1"/>
        <v>-295.86229200000002</v>
      </c>
      <c r="AW10" s="442">
        <f t="shared" si="1"/>
        <v>-43</v>
      </c>
      <c r="AX10" s="443">
        <f t="shared" si="1"/>
        <v>-325</v>
      </c>
      <c r="AY10" s="440">
        <f t="shared" si="1"/>
        <v>-2113.8622919999998</v>
      </c>
      <c r="AZ10" s="441">
        <f t="shared" si="1"/>
        <v>-600</v>
      </c>
      <c r="BA10" s="442">
        <f t="shared" si="1"/>
        <v>-215.14</v>
      </c>
      <c r="BB10" s="442">
        <f t="shared" si="1"/>
        <v>-1660.9622159999999</v>
      </c>
      <c r="BC10" s="443">
        <f t="shared" si="1"/>
        <v>-157.49300000000002</v>
      </c>
      <c r="BD10" s="440">
        <f t="shared" si="1"/>
        <v>-2633.5952160000002</v>
      </c>
      <c r="BE10" s="441">
        <f t="shared" si="1"/>
        <v>-352.95805300000001</v>
      </c>
      <c r="BF10" s="442">
        <f t="shared" si="1"/>
        <v>-250</v>
      </c>
      <c r="BG10" s="442">
        <f t="shared" si="1"/>
        <v>-177</v>
      </c>
      <c r="BH10" s="443">
        <f t="shared" si="1"/>
        <v>0</v>
      </c>
      <c r="BI10" s="440">
        <f t="shared" si="1"/>
        <v>-779.95805300000006</v>
      </c>
      <c r="BJ10" s="441">
        <f t="shared" si="1"/>
        <v>0</v>
      </c>
      <c r="BK10" s="442">
        <f t="shared" si="1"/>
        <v>-1251.1389999999999</v>
      </c>
      <c r="BL10" s="442">
        <f t="shared" si="1"/>
        <v>-332.30500000000001</v>
      </c>
      <c r="BM10" s="443">
        <f t="shared" si="1"/>
        <v>0</v>
      </c>
      <c r="BN10" s="440">
        <f t="shared" si="1"/>
        <v>-1583.444</v>
      </c>
      <c r="BO10" s="569"/>
      <c r="BP10" s="441">
        <f t="shared" ref="BP10:CU10" si="2">+SUM(BP30,BP108,BP244)</f>
        <v>0</v>
      </c>
      <c r="BQ10" s="442">
        <f t="shared" si="2"/>
        <v>0</v>
      </c>
      <c r="BR10" s="442">
        <f t="shared" si="2"/>
        <v>0</v>
      </c>
      <c r="BS10" s="443">
        <f t="shared" si="2"/>
        <v>0</v>
      </c>
      <c r="BT10" s="440">
        <f t="shared" si="2"/>
        <v>0</v>
      </c>
      <c r="BU10" s="441">
        <f t="shared" si="2"/>
        <v>0</v>
      </c>
      <c r="BV10" s="442">
        <f t="shared" si="2"/>
        <v>0</v>
      </c>
      <c r="BW10" s="442">
        <f t="shared" si="2"/>
        <v>0</v>
      </c>
      <c r="BX10" s="443">
        <f t="shared" si="2"/>
        <v>0</v>
      </c>
      <c r="BY10" s="440">
        <f t="shared" si="2"/>
        <v>0</v>
      </c>
      <c r="BZ10" s="441">
        <f t="shared" si="2"/>
        <v>0</v>
      </c>
      <c r="CA10" s="442">
        <f t="shared" si="2"/>
        <v>0</v>
      </c>
      <c r="CB10" s="442">
        <f t="shared" si="2"/>
        <v>0</v>
      </c>
      <c r="CC10" s="443">
        <f t="shared" si="2"/>
        <v>0</v>
      </c>
      <c r="CD10" s="440">
        <f t="shared" si="2"/>
        <v>0</v>
      </c>
      <c r="CE10" s="441">
        <f t="shared" si="2"/>
        <v>0</v>
      </c>
      <c r="CF10" s="442">
        <f t="shared" si="2"/>
        <v>0</v>
      </c>
      <c r="CG10" s="442">
        <f t="shared" si="2"/>
        <v>0</v>
      </c>
      <c r="CH10" s="443">
        <f t="shared" si="2"/>
        <v>0</v>
      </c>
      <c r="CI10" s="440">
        <f t="shared" si="2"/>
        <v>0</v>
      </c>
      <c r="CJ10" s="441">
        <f t="shared" si="2"/>
        <v>0</v>
      </c>
      <c r="CK10" s="442">
        <f t="shared" si="2"/>
        <v>0</v>
      </c>
      <c r="CL10" s="442">
        <f t="shared" si="2"/>
        <v>0</v>
      </c>
      <c r="CM10" s="443">
        <f t="shared" si="2"/>
        <v>0</v>
      </c>
      <c r="CN10" s="440">
        <f t="shared" si="2"/>
        <v>0</v>
      </c>
      <c r="CO10" s="441">
        <f t="shared" si="2"/>
        <v>0</v>
      </c>
      <c r="CP10" s="442">
        <f t="shared" si="2"/>
        <v>0</v>
      </c>
      <c r="CQ10" s="442">
        <f t="shared" si="2"/>
        <v>0</v>
      </c>
      <c r="CR10" s="443">
        <f t="shared" si="2"/>
        <v>0</v>
      </c>
      <c r="CS10" s="440">
        <f t="shared" si="2"/>
        <v>0</v>
      </c>
      <c r="CT10" s="441">
        <f t="shared" si="2"/>
        <v>-0.77361292872416665</v>
      </c>
      <c r="CU10" s="442">
        <f t="shared" si="2"/>
        <v>-3.9039286345241671</v>
      </c>
      <c r="CV10" s="442">
        <f t="shared" ref="CV10:DR10" si="3">+SUM(CV30,CV108,CV244)</f>
        <v>-10.687235046124167</v>
      </c>
      <c r="CW10" s="443">
        <f t="shared" si="3"/>
        <v>-23.14498504612417</v>
      </c>
      <c r="CX10" s="440">
        <f t="shared" si="3"/>
        <v>-38.509761655496668</v>
      </c>
      <c r="CY10" s="441">
        <f t="shared" si="3"/>
        <v>-45.193455450733339</v>
      </c>
      <c r="CZ10" s="442">
        <f t="shared" si="3"/>
        <v>-43.347055121466667</v>
      </c>
      <c r="DA10" s="442">
        <f t="shared" si="3"/>
        <v>-39.467516962933331</v>
      </c>
      <c r="DB10" s="443">
        <f t="shared" si="3"/>
        <v>-31.962891962933334</v>
      </c>
      <c r="DC10" s="440">
        <f t="shared" si="3"/>
        <v>-159.97091949806668</v>
      </c>
      <c r="DD10" s="441">
        <f t="shared" si="3"/>
        <v>-20.809558629600001</v>
      </c>
      <c r="DE10" s="442">
        <f t="shared" si="3"/>
        <v>-23.884155753066665</v>
      </c>
      <c r="DF10" s="442">
        <f t="shared" si="3"/>
        <v>-43.010721096365103</v>
      </c>
      <c r="DG10" s="443">
        <f t="shared" si="3"/>
        <v>-40.325202163031761</v>
      </c>
      <c r="DH10" s="440">
        <f t="shared" si="3"/>
        <v>-128.02963764206353</v>
      </c>
      <c r="DI10" s="441">
        <f t="shared" si="3"/>
        <v>-30.802966278393431</v>
      </c>
      <c r="DJ10" s="442">
        <f t="shared" si="3"/>
        <v>-31.098620445060099</v>
      </c>
      <c r="DK10" s="442">
        <f t="shared" si="3"/>
        <v>-10.749786848694999</v>
      </c>
      <c r="DL10" s="443">
        <f t="shared" si="3"/>
        <v>-9.3229307820283331</v>
      </c>
      <c r="DM10" s="440">
        <f t="shared" si="3"/>
        <v>-81.974304354176866</v>
      </c>
      <c r="DN10" s="441">
        <f t="shared" si="3"/>
        <v>-7.1764166666666664</v>
      </c>
      <c r="DO10" s="442">
        <f t="shared" si="3"/>
        <v>-7.761324825</v>
      </c>
      <c r="DP10" s="442">
        <f t="shared" si="3"/>
        <v>-21.173716558333332</v>
      </c>
      <c r="DQ10" s="443">
        <f t="shared" si="3"/>
        <v>-22.008337599999997</v>
      </c>
      <c r="DR10" s="440">
        <f t="shared" si="3"/>
        <v>-58.11979565</v>
      </c>
    </row>
    <row r="11" spans="1:122" ht="12.75" customHeight="1">
      <c r="A11" s="92"/>
      <c r="B11" s="92"/>
      <c r="C11" s="402" t="s">
        <v>306</v>
      </c>
      <c r="D11" s="402"/>
      <c r="F11" s="444"/>
      <c r="G11" s="444"/>
      <c r="H11" s="579"/>
      <c r="I11" s="601"/>
      <c r="J11" s="616"/>
      <c r="K11" s="536"/>
      <c r="L11" s="435">
        <f t="shared" ref="L11:AQ11" si="4">+SUM(L44,L116,L258)</f>
        <v>0</v>
      </c>
      <c r="M11" s="436">
        <f t="shared" si="4"/>
        <v>0</v>
      </c>
      <c r="N11" s="436">
        <f t="shared" si="4"/>
        <v>0</v>
      </c>
      <c r="O11" s="437">
        <f t="shared" si="4"/>
        <v>0</v>
      </c>
      <c r="P11" s="444">
        <f t="shared" si="4"/>
        <v>0</v>
      </c>
      <c r="Q11" s="435">
        <f t="shared" si="4"/>
        <v>0</v>
      </c>
      <c r="R11" s="436">
        <f t="shared" si="4"/>
        <v>0</v>
      </c>
      <c r="S11" s="436">
        <f t="shared" si="4"/>
        <v>0</v>
      </c>
      <c r="T11" s="437">
        <f t="shared" si="4"/>
        <v>0</v>
      </c>
      <c r="U11" s="444">
        <f t="shared" si="4"/>
        <v>0</v>
      </c>
      <c r="V11" s="435">
        <f t="shared" si="4"/>
        <v>0</v>
      </c>
      <c r="W11" s="436">
        <f t="shared" si="4"/>
        <v>0</v>
      </c>
      <c r="X11" s="436">
        <f t="shared" si="4"/>
        <v>0</v>
      </c>
      <c r="Y11" s="437">
        <f t="shared" si="4"/>
        <v>0</v>
      </c>
      <c r="Z11" s="444">
        <f t="shared" si="4"/>
        <v>0</v>
      </c>
      <c r="AA11" s="435">
        <f t="shared" si="4"/>
        <v>0</v>
      </c>
      <c r="AB11" s="436">
        <f t="shared" si="4"/>
        <v>0</v>
      </c>
      <c r="AC11" s="436">
        <f t="shared" si="4"/>
        <v>0</v>
      </c>
      <c r="AD11" s="437">
        <f t="shared" si="4"/>
        <v>0</v>
      </c>
      <c r="AE11" s="444">
        <f t="shared" si="4"/>
        <v>0</v>
      </c>
      <c r="AF11" s="435">
        <f t="shared" si="4"/>
        <v>0</v>
      </c>
      <c r="AG11" s="436">
        <f t="shared" si="4"/>
        <v>0</v>
      </c>
      <c r="AH11" s="436">
        <f t="shared" si="4"/>
        <v>0</v>
      </c>
      <c r="AI11" s="437">
        <f t="shared" si="4"/>
        <v>0</v>
      </c>
      <c r="AJ11" s="444">
        <f t="shared" si="4"/>
        <v>0</v>
      </c>
      <c r="AK11" s="435">
        <f t="shared" si="4"/>
        <v>0</v>
      </c>
      <c r="AL11" s="436">
        <f t="shared" si="4"/>
        <v>0</v>
      </c>
      <c r="AM11" s="436">
        <f t="shared" si="4"/>
        <v>0</v>
      </c>
      <c r="AN11" s="437">
        <f t="shared" si="4"/>
        <v>0</v>
      </c>
      <c r="AO11" s="444">
        <f t="shared" si="4"/>
        <v>0</v>
      </c>
      <c r="AP11" s="435">
        <f t="shared" si="4"/>
        <v>250</v>
      </c>
      <c r="AQ11" s="436">
        <f t="shared" si="4"/>
        <v>3250</v>
      </c>
      <c r="AR11" s="436">
        <f t="shared" ref="AR11:BN11" si="5">+SUM(AR44,AR116,AR258)</f>
        <v>550</v>
      </c>
      <c r="AS11" s="437">
        <f t="shared" si="5"/>
        <v>625</v>
      </c>
      <c r="AT11" s="444">
        <f t="shared" si="5"/>
        <v>4675</v>
      </c>
      <c r="AU11" s="435">
        <f t="shared" si="5"/>
        <v>1620</v>
      </c>
      <c r="AV11" s="436">
        <f t="shared" si="5"/>
        <v>0</v>
      </c>
      <c r="AW11" s="436">
        <f t="shared" si="5"/>
        <v>800</v>
      </c>
      <c r="AX11" s="437">
        <f t="shared" si="5"/>
        <v>0</v>
      </c>
      <c r="AY11" s="444">
        <f t="shared" si="5"/>
        <v>2420</v>
      </c>
      <c r="AZ11" s="435">
        <f t="shared" si="5"/>
        <v>0</v>
      </c>
      <c r="BA11" s="436">
        <f t="shared" si="5"/>
        <v>1900</v>
      </c>
      <c r="BB11" s="436">
        <f t="shared" si="5"/>
        <v>0</v>
      </c>
      <c r="BC11" s="437">
        <f t="shared" si="5"/>
        <v>0</v>
      </c>
      <c r="BD11" s="444">
        <f t="shared" si="5"/>
        <v>1900</v>
      </c>
      <c r="BE11" s="435">
        <f t="shared" si="5"/>
        <v>0</v>
      </c>
      <c r="BF11" s="436">
        <f t="shared" si="5"/>
        <v>1700</v>
      </c>
      <c r="BG11" s="436">
        <f t="shared" si="5"/>
        <v>250</v>
      </c>
      <c r="BH11" s="437">
        <f t="shared" si="5"/>
        <v>0</v>
      </c>
      <c r="BI11" s="444">
        <f t="shared" si="5"/>
        <v>1950</v>
      </c>
      <c r="BJ11" s="435">
        <f t="shared" si="5"/>
        <v>0</v>
      </c>
      <c r="BK11" s="436">
        <f t="shared" si="5"/>
        <v>1800</v>
      </c>
      <c r="BL11" s="436">
        <f t="shared" si="5"/>
        <v>500</v>
      </c>
      <c r="BM11" s="437">
        <f t="shared" si="5"/>
        <v>0</v>
      </c>
      <c r="BN11" s="444">
        <f t="shared" si="5"/>
        <v>2300</v>
      </c>
      <c r="BO11" s="596"/>
      <c r="BP11" s="435">
        <f t="shared" ref="BP11:CU11" si="6">+SUM(BP44,BP116,BP258)</f>
        <v>0</v>
      </c>
      <c r="BQ11" s="436">
        <f t="shared" si="6"/>
        <v>0</v>
      </c>
      <c r="BR11" s="436">
        <f t="shared" si="6"/>
        <v>0</v>
      </c>
      <c r="BS11" s="437">
        <f t="shared" si="6"/>
        <v>0</v>
      </c>
      <c r="BT11" s="444">
        <f t="shared" si="6"/>
        <v>0</v>
      </c>
      <c r="BU11" s="435">
        <f t="shared" si="6"/>
        <v>0</v>
      </c>
      <c r="BV11" s="436">
        <f t="shared" si="6"/>
        <v>0</v>
      </c>
      <c r="BW11" s="436">
        <f t="shared" si="6"/>
        <v>0</v>
      </c>
      <c r="BX11" s="437">
        <f t="shared" si="6"/>
        <v>0</v>
      </c>
      <c r="BY11" s="444">
        <f t="shared" si="6"/>
        <v>0</v>
      </c>
      <c r="BZ11" s="435">
        <f t="shared" si="6"/>
        <v>0</v>
      </c>
      <c r="CA11" s="436">
        <f t="shared" si="6"/>
        <v>0</v>
      </c>
      <c r="CB11" s="436">
        <f t="shared" si="6"/>
        <v>0</v>
      </c>
      <c r="CC11" s="437">
        <f t="shared" si="6"/>
        <v>0</v>
      </c>
      <c r="CD11" s="444">
        <f t="shared" si="6"/>
        <v>0</v>
      </c>
      <c r="CE11" s="435">
        <f t="shared" si="6"/>
        <v>0</v>
      </c>
      <c r="CF11" s="436">
        <f t="shared" si="6"/>
        <v>0</v>
      </c>
      <c r="CG11" s="436">
        <f t="shared" si="6"/>
        <v>0</v>
      </c>
      <c r="CH11" s="437">
        <f t="shared" si="6"/>
        <v>0</v>
      </c>
      <c r="CI11" s="444">
        <f t="shared" si="6"/>
        <v>0</v>
      </c>
      <c r="CJ11" s="435">
        <f t="shared" si="6"/>
        <v>0</v>
      </c>
      <c r="CK11" s="436">
        <f t="shared" si="6"/>
        <v>0</v>
      </c>
      <c r="CL11" s="436">
        <f t="shared" si="6"/>
        <v>0</v>
      </c>
      <c r="CM11" s="437">
        <f t="shared" si="6"/>
        <v>0</v>
      </c>
      <c r="CN11" s="444">
        <f t="shared" si="6"/>
        <v>0</v>
      </c>
      <c r="CO11" s="435">
        <f t="shared" si="6"/>
        <v>0</v>
      </c>
      <c r="CP11" s="436">
        <f t="shared" si="6"/>
        <v>0</v>
      </c>
      <c r="CQ11" s="436">
        <f t="shared" si="6"/>
        <v>0</v>
      </c>
      <c r="CR11" s="437">
        <f t="shared" si="6"/>
        <v>0</v>
      </c>
      <c r="CS11" s="444">
        <f t="shared" si="6"/>
        <v>0</v>
      </c>
      <c r="CT11" s="435">
        <f t="shared" si="6"/>
        <v>1.5999999999999999</v>
      </c>
      <c r="CU11" s="436">
        <f t="shared" si="6"/>
        <v>13.983333333333333</v>
      </c>
      <c r="CV11" s="436">
        <f t="shared" ref="CV11:DR11" si="7">+SUM(CV44,CV116,CV258)</f>
        <v>36.999583333333334</v>
      </c>
      <c r="CW11" s="437">
        <f t="shared" si="7"/>
        <v>43.774999999999999</v>
      </c>
      <c r="CX11" s="444">
        <f t="shared" si="7"/>
        <v>96.357916666666668</v>
      </c>
      <c r="CY11" s="435">
        <f t="shared" si="7"/>
        <v>65.341646608315102</v>
      </c>
      <c r="CZ11" s="436">
        <f t="shared" si="7"/>
        <v>52.958313274981762</v>
      </c>
      <c r="DA11" s="436">
        <f t="shared" si="7"/>
        <v>39.942063274981763</v>
      </c>
      <c r="DB11" s="437">
        <f t="shared" si="7"/>
        <v>33.166646608315098</v>
      </c>
      <c r="DC11" s="444">
        <f t="shared" si="7"/>
        <v>191.4086697665937</v>
      </c>
      <c r="DD11" s="435">
        <f t="shared" si="7"/>
        <v>10</v>
      </c>
      <c r="DE11" s="436">
        <f t="shared" si="7"/>
        <v>17.916666666666664</v>
      </c>
      <c r="DF11" s="436">
        <f t="shared" si="7"/>
        <v>23.75</v>
      </c>
      <c r="DG11" s="437">
        <f t="shared" si="7"/>
        <v>23.75</v>
      </c>
      <c r="DH11" s="444">
        <f t="shared" si="7"/>
        <v>75.416666666666671</v>
      </c>
      <c r="DI11" s="435">
        <f t="shared" si="7"/>
        <v>23.75</v>
      </c>
      <c r="DJ11" s="436">
        <f t="shared" si="7"/>
        <v>22.916666666666664</v>
      </c>
      <c r="DK11" s="436">
        <f t="shared" si="7"/>
        <v>24.375</v>
      </c>
      <c r="DL11" s="437">
        <f t="shared" si="7"/>
        <v>24.375</v>
      </c>
      <c r="DM11" s="444">
        <f t="shared" si="7"/>
        <v>95.416666666666657</v>
      </c>
      <c r="DN11" s="435">
        <f t="shared" si="7"/>
        <v>24.375</v>
      </c>
      <c r="DO11" s="436">
        <f t="shared" si="7"/>
        <v>24.791666666666664</v>
      </c>
      <c r="DP11" s="436">
        <f t="shared" si="7"/>
        <v>28.75</v>
      </c>
      <c r="DQ11" s="437">
        <f t="shared" si="7"/>
        <v>28.75</v>
      </c>
      <c r="DR11" s="444">
        <f t="shared" si="7"/>
        <v>106.66666666666667</v>
      </c>
    </row>
    <row r="12" spans="1:122" s="13" customFormat="1" ht="12.75" customHeight="1">
      <c r="A12" s="136"/>
      <c r="B12" s="136"/>
      <c r="C12" s="386" t="s">
        <v>307</v>
      </c>
      <c r="D12" s="386"/>
      <c r="E12" s="388">
        <f>E30+E108+E244</f>
        <v>27745.580361</v>
      </c>
      <c r="F12" s="388">
        <f>F30+F108+F244</f>
        <v>22436.774339000003</v>
      </c>
      <c r="G12" s="388">
        <f>G30+G108+G244</f>
        <v>20068.815196</v>
      </c>
      <c r="H12" s="632"/>
      <c r="I12" s="633"/>
      <c r="J12" s="634"/>
      <c r="K12" s="387"/>
      <c r="L12" s="390">
        <f>+L10+L11</f>
        <v>0</v>
      </c>
      <c r="M12" s="391">
        <f t="shared" ref="M12:AN12" si="8">+M10+M11</f>
        <v>0</v>
      </c>
      <c r="N12" s="391">
        <f t="shared" si="8"/>
        <v>0</v>
      </c>
      <c r="O12" s="392">
        <f t="shared" si="8"/>
        <v>0</v>
      </c>
      <c r="P12" s="389">
        <f t="shared" si="8"/>
        <v>0</v>
      </c>
      <c r="Q12" s="390">
        <f t="shared" si="8"/>
        <v>0</v>
      </c>
      <c r="R12" s="391">
        <f t="shared" si="8"/>
        <v>0</v>
      </c>
      <c r="S12" s="391">
        <f t="shared" si="8"/>
        <v>0</v>
      </c>
      <c r="T12" s="392">
        <f t="shared" si="8"/>
        <v>0</v>
      </c>
      <c r="U12" s="389">
        <f>+U10+U11</f>
        <v>0</v>
      </c>
      <c r="V12" s="390">
        <f t="shared" si="8"/>
        <v>0</v>
      </c>
      <c r="W12" s="391">
        <f t="shared" si="8"/>
        <v>0</v>
      </c>
      <c r="X12" s="391">
        <f t="shared" si="8"/>
        <v>0</v>
      </c>
      <c r="Y12" s="392">
        <f t="shared" si="8"/>
        <v>0</v>
      </c>
      <c r="Z12" s="389">
        <f>+Z10+Z11</f>
        <v>0</v>
      </c>
      <c r="AA12" s="390">
        <f>+AA10+AA11</f>
        <v>0</v>
      </c>
      <c r="AB12" s="391">
        <f>+AB10+AB11</f>
        <v>0</v>
      </c>
      <c r="AC12" s="391">
        <f>+AC10+AC11</f>
        <v>0</v>
      </c>
      <c r="AD12" s="392">
        <f>+AD10+AD11</f>
        <v>0</v>
      </c>
      <c r="AE12" s="389">
        <f t="shared" si="8"/>
        <v>0</v>
      </c>
      <c r="AF12" s="390">
        <f t="shared" si="8"/>
        <v>0</v>
      </c>
      <c r="AG12" s="391">
        <f t="shared" si="8"/>
        <v>0</v>
      </c>
      <c r="AH12" s="391">
        <f t="shared" si="8"/>
        <v>0</v>
      </c>
      <c r="AI12" s="392">
        <f t="shared" si="8"/>
        <v>0</v>
      </c>
      <c r="AJ12" s="389">
        <f t="shared" si="8"/>
        <v>0</v>
      </c>
      <c r="AK12" s="390">
        <f t="shared" si="8"/>
        <v>0</v>
      </c>
      <c r="AL12" s="391">
        <f t="shared" si="8"/>
        <v>0</v>
      </c>
      <c r="AM12" s="391">
        <f t="shared" si="8"/>
        <v>0</v>
      </c>
      <c r="AN12" s="392">
        <f t="shared" si="8"/>
        <v>0</v>
      </c>
      <c r="AO12" s="389">
        <f t="shared" ref="AO12:AT12" si="9">+AO10+AO11</f>
        <v>0</v>
      </c>
      <c r="AP12" s="390">
        <f t="shared" si="9"/>
        <v>65.580662999999987</v>
      </c>
      <c r="AQ12" s="391">
        <f t="shared" si="9"/>
        <v>2580.2233150000002</v>
      </c>
      <c r="AR12" s="391">
        <f t="shared" si="9"/>
        <v>-259.61</v>
      </c>
      <c r="AS12" s="392">
        <f t="shared" si="9"/>
        <v>50</v>
      </c>
      <c r="AT12" s="389">
        <f t="shared" si="9"/>
        <v>2436.1939780000002</v>
      </c>
      <c r="AU12" s="390">
        <f t="shared" ref="AU12:BI12" si="10">+AU10+AU11</f>
        <v>170</v>
      </c>
      <c r="AV12" s="391">
        <f t="shared" si="10"/>
        <v>-295.86229200000002</v>
      </c>
      <c r="AW12" s="391">
        <f t="shared" si="10"/>
        <v>757</v>
      </c>
      <c r="AX12" s="392">
        <f t="shared" si="10"/>
        <v>-325</v>
      </c>
      <c r="AY12" s="389">
        <f t="shared" si="10"/>
        <v>306.1377080000002</v>
      </c>
      <c r="AZ12" s="390">
        <f t="shared" si="10"/>
        <v>-600</v>
      </c>
      <c r="BA12" s="391">
        <f t="shared" si="10"/>
        <v>1684.8600000000001</v>
      </c>
      <c r="BB12" s="391">
        <f t="shared" si="10"/>
        <v>-1660.9622159999999</v>
      </c>
      <c r="BC12" s="392">
        <f t="shared" si="10"/>
        <v>-157.49300000000002</v>
      </c>
      <c r="BD12" s="389">
        <f t="shared" si="10"/>
        <v>-733.59521600000016</v>
      </c>
      <c r="BE12" s="390">
        <f t="shared" si="10"/>
        <v>-352.95805300000001</v>
      </c>
      <c r="BF12" s="391">
        <f t="shared" si="10"/>
        <v>1450</v>
      </c>
      <c r="BG12" s="391">
        <f t="shared" si="10"/>
        <v>73</v>
      </c>
      <c r="BH12" s="392">
        <f t="shared" si="10"/>
        <v>0</v>
      </c>
      <c r="BI12" s="389">
        <f t="shared" si="10"/>
        <v>1170.0419469999999</v>
      </c>
      <c r="BJ12" s="390">
        <f t="shared" ref="BJ12:BN12" si="11">+BJ10+BJ11</f>
        <v>0</v>
      </c>
      <c r="BK12" s="391">
        <f t="shared" si="11"/>
        <v>548.8610000000001</v>
      </c>
      <c r="BL12" s="391">
        <f t="shared" si="11"/>
        <v>167.69499999999999</v>
      </c>
      <c r="BM12" s="392">
        <f t="shared" si="11"/>
        <v>0</v>
      </c>
      <c r="BN12" s="389">
        <f t="shared" si="11"/>
        <v>716.55600000000004</v>
      </c>
      <c r="BO12" s="415"/>
      <c r="BP12" s="390">
        <f t="shared" ref="BP12:CS12" si="12">+BP10+BP11</f>
        <v>0</v>
      </c>
      <c r="BQ12" s="391">
        <f t="shared" si="12"/>
        <v>0</v>
      </c>
      <c r="BR12" s="391">
        <f t="shared" si="12"/>
        <v>0</v>
      </c>
      <c r="BS12" s="392">
        <f t="shared" si="12"/>
        <v>0</v>
      </c>
      <c r="BT12" s="389">
        <f t="shared" si="12"/>
        <v>0</v>
      </c>
      <c r="BU12" s="390">
        <f t="shared" si="12"/>
        <v>0</v>
      </c>
      <c r="BV12" s="391">
        <f t="shared" si="12"/>
        <v>0</v>
      </c>
      <c r="BW12" s="391">
        <f t="shared" si="12"/>
        <v>0</v>
      </c>
      <c r="BX12" s="392">
        <f t="shared" si="12"/>
        <v>0</v>
      </c>
      <c r="BY12" s="389">
        <f t="shared" si="12"/>
        <v>0</v>
      </c>
      <c r="BZ12" s="390">
        <f t="shared" si="12"/>
        <v>0</v>
      </c>
      <c r="CA12" s="391">
        <f t="shared" si="12"/>
        <v>0</v>
      </c>
      <c r="CB12" s="391">
        <f t="shared" si="12"/>
        <v>0</v>
      </c>
      <c r="CC12" s="392">
        <f t="shared" si="12"/>
        <v>0</v>
      </c>
      <c r="CD12" s="389">
        <f t="shared" si="12"/>
        <v>0</v>
      </c>
      <c r="CE12" s="390">
        <f t="shared" si="12"/>
        <v>0</v>
      </c>
      <c r="CF12" s="391">
        <f t="shared" si="12"/>
        <v>0</v>
      </c>
      <c r="CG12" s="391">
        <f t="shared" si="12"/>
        <v>0</v>
      </c>
      <c r="CH12" s="392">
        <f t="shared" si="12"/>
        <v>0</v>
      </c>
      <c r="CI12" s="389">
        <f t="shared" si="12"/>
        <v>0</v>
      </c>
      <c r="CJ12" s="390">
        <f t="shared" si="12"/>
        <v>0</v>
      </c>
      <c r="CK12" s="391">
        <f t="shared" si="12"/>
        <v>0</v>
      </c>
      <c r="CL12" s="391">
        <f t="shared" si="12"/>
        <v>0</v>
      </c>
      <c r="CM12" s="392">
        <f t="shared" si="12"/>
        <v>0</v>
      </c>
      <c r="CN12" s="389">
        <f t="shared" si="12"/>
        <v>0</v>
      </c>
      <c r="CO12" s="390">
        <f t="shared" si="12"/>
        <v>0</v>
      </c>
      <c r="CP12" s="391">
        <f t="shared" si="12"/>
        <v>0</v>
      </c>
      <c r="CQ12" s="391">
        <f t="shared" si="12"/>
        <v>0</v>
      </c>
      <c r="CR12" s="392">
        <f t="shared" si="12"/>
        <v>0</v>
      </c>
      <c r="CS12" s="389">
        <f t="shared" si="12"/>
        <v>0</v>
      </c>
      <c r="CT12" s="390">
        <f t="shared" ref="CT12:DC12" si="13">+CT10+CT11</f>
        <v>0.82638707127583322</v>
      </c>
      <c r="CU12" s="391">
        <f t="shared" si="13"/>
        <v>10.079404698809165</v>
      </c>
      <c r="CV12" s="391">
        <f t="shared" si="13"/>
        <v>26.312348287209169</v>
      </c>
      <c r="CW12" s="392">
        <f t="shared" si="13"/>
        <v>20.630014953875829</v>
      </c>
      <c r="CX12" s="389">
        <f t="shared" si="13"/>
        <v>57.84815501117</v>
      </c>
      <c r="CY12" s="390">
        <f t="shared" si="13"/>
        <v>20.148191157581763</v>
      </c>
      <c r="CZ12" s="391">
        <f t="shared" si="13"/>
        <v>9.6112581535150952</v>
      </c>
      <c r="DA12" s="391">
        <f t="shared" si="13"/>
        <v>0.47454631204843167</v>
      </c>
      <c r="DB12" s="392">
        <f t="shared" si="13"/>
        <v>1.203754645381764</v>
      </c>
      <c r="DC12" s="389">
        <f t="shared" si="13"/>
        <v>31.437750268527026</v>
      </c>
      <c r="DD12" s="390">
        <f t="shared" ref="DD12:DM12" si="14">+DD10+DD11</f>
        <v>-10.809558629600001</v>
      </c>
      <c r="DE12" s="391">
        <f t="shared" si="14"/>
        <v>-5.9674890864000005</v>
      </c>
      <c r="DF12" s="391">
        <f t="shared" si="14"/>
        <v>-19.260721096365103</v>
      </c>
      <c r="DG12" s="392">
        <f t="shared" si="14"/>
        <v>-16.575202163031761</v>
      </c>
      <c r="DH12" s="389">
        <f t="shared" si="14"/>
        <v>-52.612970975396863</v>
      </c>
      <c r="DI12" s="390">
        <f t="shared" si="14"/>
        <v>-7.0529662783934306</v>
      </c>
      <c r="DJ12" s="391">
        <f t="shared" si="14"/>
        <v>-8.1819537783934351</v>
      </c>
      <c r="DK12" s="391">
        <f t="shared" si="14"/>
        <v>13.625213151305001</v>
      </c>
      <c r="DL12" s="392">
        <f t="shared" si="14"/>
        <v>15.052069217971667</v>
      </c>
      <c r="DM12" s="389">
        <f t="shared" si="14"/>
        <v>13.442362312489792</v>
      </c>
      <c r="DN12" s="390">
        <f t="shared" ref="DN12:DR12" si="15">+DN10+DN11</f>
        <v>17.198583333333332</v>
      </c>
      <c r="DO12" s="391">
        <f t="shared" si="15"/>
        <v>17.030341841666665</v>
      </c>
      <c r="DP12" s="391">
        <f t="shared" si="15"/>
        <v>7.5762834416666678</v>
      </c>
      <c r="DQ12" s="392">
        <f t="shared" si="15"/>
        <v>6.7416624000000027</v>
      </c>
      <c r="DR12" s="389">
        <f t="shared" si="15"/>
        <v>48.546871016666671</v>
      </c>
    </row>
    <row r="13" spans="1:122" ht="12.75" customHeight="1" thickBot="1">
      <c r="A13" s="92"/>
      <c r="B13" s="393"/>
      <c r="C13" s="403"/>
      <c r="D13" s="403"/>
      <c r="E13" s="539"/>
      <c r="F13" s="581"/>
      <c r="G13" s="581"/>
      <c r="H13" s="581"/>
      <c r="I13" s="603"/>
      <c r="J13" s="618"/>
      <c r="K13" s="541"/>
      <c r="L13" s="435"/>
      <c r="M13" s="436"/>
      <c r="N13" s="436"/>
      <c r="O13" s="437"/>
      <c r="P13" s="434"/>
      <c r="Q13" s="435"/>
      <c r="R13" s="436"/>
      <c r="S13" s="436"/>
      <c r="T13" s="437"/>
      <c r="U13" s="434"/>
      <c r="V13" s="435"/>
      <c r="W13" s="436"/>
      <c r="X13" s="436"/>
      <c r="Y13" s="437"/>
      <c r="Z13" s="434"/>
      <c r="AA13" s="435"/>
      <c r="AB13" s="436"/>
      <c r="AC13" s="436"/>
      <c r="AD13" s="437"/>
      <c r="AE13" s="434"/>
      <c r="AF13" s="435"/>
      <c r="AG13" s="436"/>
      <c r="AH13" s="436"/>
      <c r="AI13" s="437"/>
      <c r="AJ13" s="434"/>
      <c r="AK13" s="435"/>
      <c r="AL13" s="436"/>
      <c r="AM13" s="436"/>
      <c r="AN13" s="437"/>
      <c r="AO13" s="434"/>
      <c r="AP13" s="435"/>
      <c r="AQ13" s="436"/>
      <c r="AR13" s="436"/>
      <c r="AS13" s="437"/>
      <c r="AT13" s="434"/>
      <c r="AU13" s="435"/>
      <c r="AV13" s="436"/>
      <c r="AW13" s="436"/>
      <c r="AX13" s="437"/>
      <c r="AY13" s="434"/>
      <c r="AZ13" s="435"/>
      <c r="BA13" s="436"/>
      <c r="BB13" s="436"/>
      <c r="BC13" s="437"/>
      <c r="BD13" s="434"/>
      <c r="BE13" s="435"/>
      <c r="BF13" s="436"/>
      <c r="BG13" s="436"/>
      <c r="BH13" s="437"/>
      <c r="BI13" s="434"/>
      <c r="BJ13" s="435"/>
      <c r="BK13" s="436"/>
      <c r="BL13" s="436"/>
      <c r="BM13" s="437"/>
      <c r="BN13" s="434"/>
      <c r="BO13" s="458"/>
      <c r="BP13" s="435"/>
      <c r="BQ13" s="436"/>
      <c r="BR13" s="436"/>
      <c r="BS13" s="437"/>
      <c r="BT13" s="434"/>
      <c r="BU13" s="435"/>
      <c r="BV13" s="436"/>
      <c r="BW13" s="436"/>
      <c r="BX13" s="437"/>
      <c r="BY13" s="434"/>
      <c r="BZ13" s="435"/>
      <c r="CA13" s="436"/>
      <c r="CB13" s="436"/>
      <c r="CC13" s="437"/>
      <c r="CD13" s="434"/>
      <c r="CE13" s="435"/>
      <c r="CF13" s="436"/>
      <c r="CG13" s="436"/>
      <c r="CH13" s="437"/>
      <c r="CI13" s="434"/>
      <c r="CJ13" s="435"/>
      <c r="CK13" s="436"/>
      <c r="CL13" s="436"/>
      <c r="CM13" s="437"/>
      <c r="CN13" s="434"/>
      <c r="CO13" s="435"/>
      <c r="CP13" s="436"/>
      <c r="CQ13" s="436"/>
      <c r="CR13" s="437"/>
      <c r="CS13" s="434"/>
      <c r="CT13" s="435"/>
      <c r="CU13" s="436"/>
      <c r="CV13" s="436"/>
      <c r="CW13" s="437"/>
      <c r="CX13" s="434"/>
      <c r="CY13" s="435"/>
      <c r="CZ13" s="436"/>
      <c r="DA13" s="436"/>
      <c r="DB13" s="437"/>
      <c r="DC13" s="434"/>
      <c r="DD13" s="435"/>
      <c r="DE13" s="436"/>
      <c r="DF13" s="436"/>
      <c r="DG13" s="437"/>
      <c r="DH13" s="434"/>
      <c r="DI13" s="435"/>
      <c r="DJ13" s="436"/>
      <c r="DK13" s="436"/>
      <c r="DL13" s="437"/>
      <c r="DM13" s="434"/>
      <c r="DN13" s="435"/>
      <c r="DO13" s="436"/>
      <c r="DP13" s="436"/>
      <c r="DQ13" s="437"/>
      <c r="DR13" s="434"/>
    </row>
    <row r="14" spans="1:122" ht="12.75" customHeight="1">
      <c r="A14" s="92"/>
      <c r="B14" s="126" t="s">
        <v>308</v>
      </c>
      <c r="C14" s="193"/>
      <c r="D14" s="525"/>
      <c r="E14" s="538"/>
      <c r="F14" s="438"/>
      <c r="G14" s="438"/>
      <c r="H14" s="438"/>
      <c r="I14" s="604"/>
      <c r="J14" s="619"/>
      <c r="K14" s="542"/>
      <c r="L14" s="460"/>
      <c r="M14" s="461"/>
      <c r="N14" s="461"/>
      <c r="O14" s="462"/>
      <c r="P14" s="459"/>
      <c r="Q14" s="460"/>
      <c r="R14" s="461"/>
      <c r="S14" s="461"/>
      <c r="T14" s="462"/>
      <c r="U14" s="459"/>
      <c r="V14" s="460"/>
      <c r="W14" s="461"/>
      <c r="X14" s="461"/>
      <c r="Y14" s="462"/>
      <c r="Z14" s="459"/>
      <c r="AA14" s="460"/>
      <c r="AB14" s="461"/>
      <c r="AC14" s="461"/>
      <c r="AD14" s="462"/>
      <c r="AE14" s="459"/>
      <c r="AF14" s="460"/>
      <c r="AG14" s="461"/>
      <c r="AH14" s="461"/>
      <c r="AI14" s="462"/>
      <c r="AJ14" s="459"/>
      <c r="AK14" s="460"/>
      <c r="AL14" s="461"/>
      <c r="AM14" s="461"/>
      <c r="AN14" s="462"/>
      <c r="AO14" s="459"/>
      <c r="AP14" s="460"/>
      <c r="AQ14" s="461"/>
      <c r="AR14" s="461"/>
      <c r="AS14" s="462"/>
      <c r="AT14" s="459"/>
      <c r="AU14" s="460"/>
      <c r="AV14" s="461"/>
      <c r="AW14" s="461"/>
      <c r="AX14" s="462"/>
      <c r="AY14" s="459"/>
      <c r="AZ14" s="460"/>
      <c r="BA14" s="461"/>
      <c r="BB14" s="461"/>
      <c r="BC14" s="462"/>
      <c r="BD14" s="459"/>
      <c r="BE14" s="460"/>
      <c r="BF14" s="461"/>
      <c r="BG14" s="461"/>
      <c r="BH14" s="462"/>
      <c r="BI14" s="459"/>
      <c r="BJ14" s="460"/>
      <c r="BK14" s="461"/>
      <c r="BL14" s="461"/>
      <c r="BM14" s="462"/>
      <c r="BN14" s="459"/>
      <c r="BO14" s="463"/>
      <c r="BP14" s="460"/>
      <c r="BQ14" s="461"/>
      <c r="BR14" s="461"/>
      <c r="BS14" s="462"/>
      <c r="BT14" s="459"/>
      <c r="BU14" s="460"/>
      <c r="BV14" s="461"/>
      <c r="BW14" s="461"/>
      <c r="BX14" s="462"/>
      <c r="BY14" s="459"/>
      <c r="BZ14" s="460"/>
      <c r="CA14" s="461"/>
      <c r="CB14" s="461"/>
      <c r="CC14" s="462"/>
      <c r="CD14" s="459"/>
      <c r="CE14" s="460"/>
      <c r="CF14" s="461"/>
      <c r="CG14" s="461"/>
      <c r="CH14" s="462"/>
      <c r="CI14" s="459"/>
      <c r="CJ14" s="460"/>
      <c r="CK14" s="461"/>
      <c r="CL14" s="461"/>
      <c r="CM14" s="462"/>
      <c r="CN14" s="459"/>
      <c r="CO14" s="460"/>
      <c r="CP14" s="461"/>
      <c r="CQ14" s="461"/>
      <c r="CR14" s="462"/>
      <c r="CS14" s="459"/>
      <c r="CT14" s="460"/>
      <c r="CU14" s="461"/>
      <c r="CV14" s="461"/>
      <c r="CW14" s="462"/>
      <c r="CX14" s="459"/>
      <c r="CY14" s="460"/>
      <c r="CZ14" s="461"/>
      <c r="DA14" s="461"/>
      <c r="DB14" s="462"/>
      <c r="DC14" s="459"/>
      <c r="DD14" s="460"/>
      <c r="DE14" s="461"/>
      <c r="DF14" s="461"/>
      <c r="DG14" s="462"/>
      <c r="DH14" s="459"/>
      <c r="DI14" s="460"/>
      <c r="DJ14" s="461"/>
      <c r="DK14" s="461"/>
      <c r="DL14" s="462"/>
      <c r="DM14" s="459"/>
      <c r="DN14" s="460"/>
      <c r="DO14" s="461"/>
      <c r="DP14" s="461"/>
      <c r="DQ14" s="462"/>
      <c r="DR14" s="459"/>
    </row>
    <row r="15" spans="1:122" ht="12.75" customHeight="1">
      <c r="A15" s="92"/>
      <c r="B15" s="92"/>
      <c r="C15" s="400"/>
      <c r="D15" s="400"/>
      <c r="E15" s="543"/>
      <c r="F15" s="535"/>
      <c r="G15" s="535"/>
      <c r="H15" s="439"/>
      <c r="I15" s="605"/>
      <c r="J15" s="620"/>
      <c r="K15" s="545"/>
      <c r="L15" s="460"/>
      <c r="M15" s="461"/>
      <c r="N15" s="461"/>
      <c r="O15" s="462"/>
      <c r="P15" s="464"/>
      <c r="Q15" s="460"/>
      <c r="R15" s="461"/>
      <c r="S15" s="461"/>
      <c r="T15" s="462"/>
      <c r="U15" s="464"/>
      <c r="V15" s="460"/>
      <c r="W15" s="461"/>
      <c r="X15" s="461"/>
      <c r="Y15" s="462"/>
      <c r="Z15" s="464"/>
      <c r="AA15" s="460"/>
      <c r="AB15" s="461"/>
      <c r="AC15" s="461"/>
      <c r="AD15" s="462"/>
      <c r="AE15" s="464"/>
      <c r="AF15" s="460"/>
      <c r="AG15" s="461"/>
      <c r="AH15" s="461"/>
      <c r="AI15" s="462"/>
      <c r="AJ15" s="464"/>
      <c r="AK15" s="460"/>
      <c r="AL15" s="461"/>
      <c r="AM15" s="461"/>
      <c r="AN15" s="462"/>
      <c r="AO15" s="464"/>
      <c r="AP15" s="460"/>
      <c r="AQ15" s="461"/>
      <c r="AR15" s="461"/>
      <c r="AS15" s="462"/>
      <c r="AT15" s="464"/>
      <c r="AU15" s="460"/>
      <c r="AV15" s="461"/>
      <c r="AW15" s="461"/>
      <c r="AX15" s="462"/>
      <c r="AY15" s="464"/>
      <c r="AZ15" s="460"/>
      <c r="BA15" s="461"/>
      <c r="BB15" s="461"/>
      <c r="BC15" s="462"/>
      <c r="BD15" s="464"/>
      <c r="BE15" s="460"/>
      <c r="BF15" s="461"/>
      <c r="BG15" s="461"/>
      <c r="BH15" s="462"/>
      <c r="BI15" s="464"/>
      <c r="BJ15" s="460"/>
      <c r="BK15" s="461"/>
      <c r="BL15" s="461"/>
      <c r="BM15" s="462"/>
      <c r="BN15" s="464"/>
      <c r="BO15" s="465"/>
      <c r="BP15" s="460"/>
      <c r="BQ15" s="461"/>
      <c r="BR15" s="461"/>
      <c r="BS15" s="462"/>
      <c r="BT15" s="464"/>
      <c r="BU15" s="460"/>
      <c r="BV15" s="461"/>
      <c r="BW15" s="461"/>
      <c r="BX15" s="462"/>
      <c r="BY15" s="464"/>
      <c r="BZ15" s="460"/>
      <c r="CA15" s="461"/>
      <c r="CB15" s="461"/>
      <c r="CC15" s="462"/>
      <c r="CD15" s="464"/>
      <c r="CE15" s="460"/>
      <c r="CF15" s="461"/>
      <c r="CG15" s="461"/>
      <c r="CH15" s="462"/>
      <c r="CI15" s="464"/>
      <c r="CJ15" s="460"/>
      <c r="CK15" s="461"/>
      <c r="CL15" s="461"/>
      <c r="CM15" s="462"/>
      <c r="CN15" s="464"/>
      <c r="CO15" s="460"/>
      <c r="CP15" s="461"/>
      <c r="CQ15" s="461"/>
      <c r="CR15" s="462"/>
      <c r="CS15" s="464"/>
      <c r="CT15" s="460"/>
      <c r="CU15" s="461"/>
      <c r="CV15" s="461"/>
      <c r="CW15" s="462"/>
      <c r="CX15" s="464"/>
      <c r="CY15" s="460"/>
      <c r="CZ15" s="461"/>
      <c r="DA15" s="461"/>
      <c r="DB15" s="462"/>
      <c r="DC15" s="464"/>
      <c r="DD15" s="460"/>
      <c r="DE15" s="461"/>
      <c r="DF15" s="461"/>
      <c r="DG15" s="462"/>
      <c r="DH15" s="464"/>
      <c r="DI15" s="460"/>
      <c r="DJ15" s="461"/>
      <c r="DK15" s="461"/>
      <c r="DL15" s="462"/>
      <c r="DM15" s="464"/>
      <c r="DN15" s="460"/>
      <c r="DO15" s="461"/>
      <c r="DP15" s="461"/>
      <c r="DQ15" s="462"/>
      <c r="DR15" s="464"/>
    </row>
    <row r="16" spans="1:122" ht="12.75" customHeight="1">
      <c r="A16" s="92"/>
      <c r="B16" s="92"/>
      <c r="C16" s="404" t="s">
        <v>309</v>
      </c>
      <c r="D16" s="404"/>
      <c r="E16" s="546"/>
      <c r="F16" s="1597"/>
      <c r="G16" s="1597"/>
      <c r="H16" s="2293"/>
      <c r="I16" s="606"/>
      <c r="J16" s="621"/>
      <c r="K16" s="547"/>
      <c r="L16" s="460"/>
      <c r="M16" s="461"/>
      <c r="N16" s="461"/>
      <c r="O16" s="462"/>
      <c r="P16" s="464"/>
      <c r="Q16" s="460"/>
      <c r="R16" s="461"/>
      <c r="S16" s="461"/>
      <c r="T16" s="462"/>
      <c r="U16" s="464"/>
      <c r="V16" s="460"/>
      <c r="W16" s="461"/>
      <c r="X16" s="461"/>
      <c r="Y16" s="462"/>
      <c r="Z16" s="464"/>
      <c r="AA16" s="460"/>
      <c r="AB16" s="461"/>
      <c r="AC16" s="461"/>
      <c r="AD16" s="462"/>
      <c r="AE16" s="464"/>
      <c r="AF16" s="460"/>
      <c r="AG16" s="461"/>
      <c r="AH16" s="461"/>
      <c r="AI16" s="462"/>
      <c r="AJ16" s="464"/>
      <c r="AK16" s="460"/>
      <c r="AL16" s="461"/>
      <c r="AM16" s="461"/>
      <c r="AN16" s="462"/>
      <c r="AO16" s="464"/>
      <c r="AP16" s="460"/>
      <c r="AQ16" s="461"/>
      <c r="AR16" s="461"/>
      <c r="AS16" s="462"/>
      <c r="AT16" s="464"/>
      <c r="AU16" s="460"/>
      <c r="AV16" s="461"/>
      <c r="AW16" s="461"/>
      <c r="AX16" s="462"/>
      <c r="AY16" s="464"/>
      <c r="AZ16" s="460"/>
      <c r="BA16" s="461"/>
      <c r="BB16" s="461"/>
      <c r="BC16" s="462"/>
      <c r="BD16" s="464"/>
      <c r="BE16" s="460"/>
      <c r="BF16" s="461"/>
      <c r="BG16" s="461"/>
      <c r="BH16" s="462"/>
      <c r="BI16" s="464"/>
      <c r="BJ16" s="460"/>
      <c r="BK16" s="461"/>
      <c r="BL16" s="461"/>
      <c r="BM16" s="462"/>
      <c r="BN16" s="464"/>
      <c r="BO16" s="465"/>
      <c r="BP16" s="460"/>
      <c r="BQ16" s="461"/>
      <c r="BR16" s="461"/>
      <c r="BS16" s="462"/>
      <c r="BT16" s="464"/>
      <c r="BU16" s="460"/>
      <c r="BV16" s="461"/>
      <c r="BW16" s="461"/>
      <c r="BX16" s="462"/>
      <c r="BY16" s="464"/>
      <c r="BZ16" s="460"/>
      <c r="CA16" s="461"/>
      <c r="CB16" s="461"/>
      <c r="CC16" s="462"/>
      <c r="CD16" s="464"/>
      <c r="CE16" s="460"/>
      <c r="CF16" s="461"/>
      <c r="CG16" s="461"/>
      <c r="CH16" s="462"/>
      <c r="CI16" s="464"/>
      <c r="CJ16" s="460"/>
      <c r="CK16" s="461"/>
      <c r="CL16" s="461"/>
      <c r="CM16" s="462"/>
      <c r="CN16" s="464"/>
      <c r="CO16" s="460"/>
      <c r="CP16" s="461"/>
      <c r="CQ16" s="461"/>
      <c r="CR16" s="462"/>
      <c r="CS16" s="464"/>
      <c r="CT16" s="460"/>
      <c r="CU16" s="461"/>
      <c r="CV16" s="461"/>
      <c r="CW16" s="462"/>
      <c r="CX16" s="464"/>
      <c r="CY16" s="460"/>
      <c r="CZ16" s="461"/>
      <c r="DA16" s="461"/>
      <c r="DB16" s="462"/>
      <c r="DC16" s="464"/>
      <c r="DD16" s="460"/>
      <c r="DE16" s="461"/>
      <c r="DF16" s="461"/>
      <c r="DG16" s="462"/>
      <c r="DH16" s="464"/>
      <c r="DI16" s="460"/>
      <c r="DJ16" s="461"/>
      <c r="DK16" s="461"/>
      <c r="DL16" s="462"/>
      <c r="DM16" s="464"/>
      <c r="DN16" s="460"/>
      <c r="DO16" s="461"/>
      <c r="DP16" s="461"/>
      <c r="DQ16" s="462"/>
      <c r="DR16" s="464"/>
    </row>
    <row r="17" spans="1:122" ht="12.75" customHeight="1">
      <c r="A17" s="92"/>
      <c r="B17" s="92"/>
      <c r="C17" s="405"/>
      <c r="D17" s="404"/>
      <c r="E17" s="546"/>
      <c r="F17" s="573"/>
      <c r="G17" s="573"/>
      <c r="H17" s="582"/>
      <c r="I17" s="606"/>
      <c r="J17" s="621"/>
      <c r="K17" s="547"/>
      <c r="L17" s="460"/>
      <c r="M17" s="461"/>
      <c r="N17" s="461"/>
      <c r="O17" s="462"/>
      <c r="P17" s="464"/>
      <c r="Q17" s="460"/>
      <c r="R17" s="461"/>
      <c r="S17" s="461"/>
      <c r="T17" s="462"/>
      <c r="U17" s="464"/>
      <c r="V17" s="460"/>
      <c r="W17" s="461"/>
      <c r="X17" s="461"/>
      <c r="Y17" s="462"/>
      <c r="Z17" s="464"/>
      <c r="AA17" s="460"/>
      <c r="AB17" s="461"/>
      <c r="AC17" s="461"/>
      <c r="AD17" s="462"/>
      <c r="AE17" s="464"/>
      <c r="AF17" s="460"/>
      <c r="AG17" s="461"/>
      <c r="AH17" s="461"/>
      <c r="AI17" s="462"/>
      <c r="AJ17" s="464"/>
      <c r="AK17" s="460"/>
      <c r="AL17" s="461"/>
      <c r="AM17" s="461"/>
      <c r="AN17" s="462"/>
      <c r="AO17" s="464"/>
      <c r="AP17" s="460"/>
      <c r="AQ17" s="461"/>
      <c r="AR17" s="461"/>
      <c r="AS17" s="462"/>
      <c r="AT17" s="464"/>
      <c r="AU17" s="460"/>
      <c r="AV17" s="461"/>
      <c r="AW17" s="461"/>
      <c r="AX17" s="462"/>
      <c r="AY17" s="464"/>
      <c r="AZ17" s="460"/>
      <c r="BA17" s="461"/>
      <c r="BB17" s="461"/>
      <c r="BC17" s="462"/>
      <c r="BD17" s="464"/>
      <c r="BE17" s="460"/>
      <c r="BF17" s="461"/>
      <c r="BG17" s="461"/>
      <c r="BH17" s="462"/>
      <c r="BI17" s="464"/>
      <c r="BJ17" s="460"/>
      <c r="BK17" s="461"/>
      <c r="BL17" s="461"/>
      <c r="BM17" s="462"/>
      <c r="BN17" s="464"/>
      <c r="BO17" s="465"/>
      <c r="BP17" s="460"/>
      <c r="BQ17" s="461"/>
      <c r="BR17" s="461"/>
      <c r="BS17" s="462"/>
      <c r="BT17" s="464"/>
      <c r="BU17" s="460"/>
      <c r="BV17" s="461"/>
      <c r="BW17" s="461"/>
      <c r="BX17" s="462"/>
      <c r="BY17" s="464"/>
      <c r="BZ17" s="460"/>
      <c r="CA17" s="461"/>
      <c r="CB17" s="461"/>
      <c r="CC17" s="462"/>
      <c r="CD17" s="464"/>
      <c r="CE17" s="460"/>
      <c r="CF17" s="461"/>
      <c r="CG17" s="461"/>
      <c r="CH17" s="462"/>
      <c r="CI17" s="464"/>
      <c r="CJ17" s="460"/>
      <c r="CK17" s="461"/>
      <c r="CL17" s="461"/>
      <c r="CM17" s="462"/>
      <c r="CN17" s="464"/>
      <c r="CO17" s="460"/>
      <c r="CP17" s="461"/>
      <c r="CQ17" s="461"/>
      <c r="CR17" s="462"/>
      <c r="CS17" s="464"/>
      <c r="CT17" s="460"/>
      <c r="CU17" s="461"/>
      <c r="CV17" s="461"/>
      <c r="CW17" s="462"/>
      <c r="CX17" s="464"/>
      <c r="CY17" s="460"/>
      <c r="CZ17" s="461"/>
      <c r="DA17" s="461"/>
      <c r="DB17" s="462"/>
      <c r="DC17" s="464"/>
      <c r="DD17" s="460"/>
      <c r="DE17" s="461"/>
      <c r="DF17" s="461"/>
      <c r="DG17" s="462"/>
      <c r="DH17" s="464"/>
      <c r="DI17" s="460"/>
      <c r="DJ17" s="461"/>
      <c r="DK17" s="461"/>
      <c r="DL17" s="462"/>
      <c r="DM17" s="464"/>
      <c r="DN17" s="460"/>
      <c r="DO17" s="461"/>
      <c r="DP17" s="461"/>
      <c r="DQ17" s="462"/>
      <c r="DR17" s="464"/>
    </row>
    <row r="18" spans="1:122" ht="12.75" customHeight="1">
      <c r="A18" s="92"/>
      <c r="B18" s="92"/>
      <c r="C18" s="406" t="s">
        <v>345</v>
      </c>
      <c r="D18" s="395"/>
      <c r="E18" s="445"/>
      <c r="F18" s="466"/>
      <c r="G18" s="466"/>
      <c r="H18" s="548"/>
      <c r="I18" s="607"/>
      <c r="J18" s="445"/>
      <c r="K18" s="549"/>
      <c r="L18" s="460"/>
      <c r="M18" s="461"/>
      <c r="N18" s="461"/>
      <c r="O18" s="462"/>
      <c r="P18" s="466"/>
      <c r="Q18" s="460"/>
      <c r="R18" s="461"/>
      <c r="S18" s="461"/>
      <c r="T18" s="462"/>
      <c r="U18" s="464"/>
      <c r="V18" s="460"/>
      <c r="W18" s="461"/>
      <c r="X18" s="461"/>
      <c r="Y18" s="462"/>
      <c r="Z18" s="464"/>
      <c r="AA18" s="460"/>
      <c r="AB18" s="461"/>
      <c r="AC18" s="461"/>
      <c r="AD18" s="462"/>
      <c r="AE18" s="464"/>
      <c r="AF18" s="460"/>
      <c r="AG18" s="461"/>
      <c r="AH18" s="461"/>
      <c r="AI18" s="462"/>
      <c r="AJ18" s="464"/>
      <c r="AK18" s="460"/>
      <c r="AL18" s="461"/>
      <c r="AM18" s="461"/>
      <c r="AN18" s="462"/>
      <c r="AO18" s="464"/>
      <c r="AP18" s="460"/>
      <c r="AQ18" s="461"/>
      <c r="AR18" s="461"/>
      <c r="AS18" s="462"/>
      <c r="AT18" s="464"/>
      <c r="AU18" s="460"/>
      <c r="AV18" s="461"/>
      <c r="AW18" s="461"/>
      <c r="AX18" s="462"/>
      <c r="AY18" s="464"/>
      <c r="AZ18" s="460"/>
      <c r="BA18" s="461"/>
      <c r="BB18" s="461"/>
      <c r="BC18" s="462"/>
      <c r="BD18" s="464"/>
      <c r="BE18" s="460"/>
      <c r="BF18" s="461"/>
      <c r="BG18" s="461"/>
      <c r="BH18" s="462"/>
      <c r="BI18" s="464"/>
      <c r="BJ18" s="460"/>
      <c r="BK18" s="461"/>
      <c r="BL18" s="461"/>
      <c r="BM18" s="462"/>
      <c r="BN18" s="464"/>
      <c r="BO18" s="465"/>
      <c r="BP18" s="460"/>
      <c r="BQ18" s="461"/>
      <c r="BR18" s="461"/>
      <c r="BS18" s="462"/>
      <c r="BT18" s="464"/>
      <c r="BU18" s="460"/>
      <c r="BV18" s="461"/>
      <c r="BW18" s="461"/>
      <c r="BX18" s="462"/>
      <c r="BY18" s="464"/>
      <c r="BZ18" s="460"/>
      <c r="CA18" s="461"/>
      <c r="CB18" s="461"/>
      <c r="CC18" s="462"/>
      <c r="CD18" s="464"/>
      <c r="CE18" s="460"/>
      <c r="CF18" s="461"/>
      <c r="CG18" s="461"/>
      <c r="CH18" s="462"/>
      <c r="CI18" s="464"/>
      <c r="CJ18" s="460"/>
      <c r="CK18" s="461"/>
      <c r="CL18" s="461"/>
      <c r="CM18" s="462"/>
      <c r="CN18" s="464"/>
      <c r="CO18" s="460"/>
      <c r="CP18" s="461"/>
      <c r="CQ18" s="461"/>
      <c r="CR18" s="462"/>
      <c r="CS18" s="464"/>
      <c r="CT18" s="460"/>
      <c r="CU18" s="461"/>
      <c r="CV18" s="461"/>
      <c r="CW18" s="462"/>
      <c r="CX18" s="464"/>
      <c r="CY18" s="460"/>
      <c r="CZ18" s="461"/>
      <c r="DA18" s="461"/>
      <c r="DB18" s="462"/>
      <c r="DC18" s="464"/>
      <c r="DD18" s="460"/>
      <c r="DE18" s="461"/>
      <c r="DF18" s="461"/>
      <c r="DG18" s="462"/>
      <c r="DH18" s="464"/>
      <c r="DI18" s="460"/>
      <c r="DJ18" s="461"/>
      <c r="DK18" s="461"/>
      <c r="DL18" s="462"/>
      <c r="DM18" s="464"/>
      <c r="DN18" s="460"/>
      <c r="DO18" s="461"/>
      <c r="DP18" s="461"/>
      <c r="DQ18" s="462"/>
      <c r="DR18" s="464"/>
    </row>
    <row r="19" spans="1:122" ht="12.75" customHeight="1">
      <c r="C19" s="27" t="s">
        <v>1188</v>
      </c>
      <c r="D19" s="395"/>
      <c r="E19" s="188">
        <f t="shared" ref="E19" si="16">IF(F19=0,G19,F19)</f>
        <v>250</v>
      </c>
      <c r="F19" s="1945">
        <v>250</v>
      </c>
      <c r="G19" s="1945">
        <v>0</v>
      </c>
      <c r="H19" s="1308">
        <v>2020</v>
      </c>
      <c r="I19" s="2036">
        <v>3.8399999999999997E-2</v>
      </c>
      <c r="J19" s="1357">
        <v>2</v>
      </c>
      <c r="K19" s="549"/>
      <c r="L19" s="441"/>
      <c r="M19" s="442"/>
      <c r="N19" s="442"/>
      <c r="O19" s="443"/>
      <c r="P19" s="440">
        <f t="shared" ref="P19:P25" si="17">IF(P$5=$H19,-$E19,0)</f>
        <v>0</v>
      </c>
      <c r="Q19" s="441">
        <f t="shared" ref="Q19:Q25" si="18">IF(U19=0,0,IF(U19&lt;0,IF($J19=3,U19,IF($J19=2,U19,IF($J19=1,U19,0)))))</f>
        <v>0</v>
      </c>
      <c r="R19" s="442">
        <f t="shared" ref="R19:R25" si="19">IF(U19=0,0,IF(U19&lt;0,IF($J19=6,U19,IF($J19=5,U19,IF($J19=4,U19,0)))))</f>
        <v>0</v>
      </c>
      <c r="S19" s="442">
        <f t="shared" ref="S19:S25" si="20">IF(U19=0,0,IF(U19&lt;0,IF($J19=9,U19,IF($J19=8,U19,IF($J19=7,U19,0)))))</f>
        <v>0</v>
      </c>
      <c r="T19" s="443">
        <f t="shared" ref="T19:T25" si="21">IF(U19=0,0,IF(U19&lt;0,IF($J19=12,U19,IF($J19=11,U19,IF($J19=10,U19,0)))))</f>
        <v>0</v>
      </c>
      <c r="U19" s="440">
        <f t="shared" ref="U19:U25" si="22">IF(U$5=$H19,-$E19,0)</f>
        <v>0</v>
      </c>
      <c r="V19" s="441">
        <f t="shared" ref="V19:V25" si="23">IF(Z19=0,0,IF(Z19&lt;0,IF($J19=3,Z19,IF($J19=2,Z19,IF($J19=1,Z19,0)))))</f>
        <v>0</v>
      </c>
      <c r="W19" s="442">
        <f t="shared" ref="W19:W25" si="24">IF(Z19=0,0,IF(Z19&lt;0,IF($J19=6,Z19,IF($J19=5,Z19,IF($J19=4,Z19,0)))))</f>
        <v>0</v>
      </c>
      <c r="X19" s="442">
        <f t="shared" ref="X19:X25" si="25">IF(Z19=0,0,IF(Z19&lt;0,IF($J19=9,Z19,IF($J19=8,Z19,IF($J19=7,Z19,0)))))</f>
        <v>0</v>
      </c>
      <c r="Y19" s="443">
        <f t="shared" ref="Y19:Y25" si="26">IF(Z19=0,0,IF(Z19&lt;0,IF($J19=12,Z19,IF($J19=11,Z19,IF($J19=10,Z19,0)))))</f>
        <v>0</v>
      </c>
      <c r="Z19" s="440">
        <f t="shared" ref="Z19:Z25" si="27">IF(Z$5=$H19,-$E19,0)</f>
        <v>0</v>
      </c>
      <c r="AA19" s="441">
        <f t="shared" ref="AA19:AA25" si="28">IF(AE19=0,0,IF(AE19&lt;0,IF($J19=3,AE19,IF($J19=2,AE19,IF($J19=1,AE19,0)))))</f>
        <v>0</v>
      </c>
      <c r="AB19" s="442">
        <f t="shared" ref="AB19:AB25" si="29">IF(AE19=0,0,IF(AE19&lt;0,IF($J19=6,AE19,IF($J19=5,AE19,IF($J19=4,AE19,0)))))</f>
        <v>0</v>
      </c>
      <c r="AC19" s="442">
        <f t="shared" ref="AC19:AC25" si="30">IF(AE19=0,0,IF(AE19&lt;0,IF($J19=9,AE19,IF($J19=8,AE19,IF($J19=7,AE19,0)))))</f>
        <v>0</v>
      </c>
      <c r="AD19" s="443">
        <f t="shared" ref="AD19:AD25" si="31">IF(AE19=0,0,IF(AE19&lt;0,IF($J19=12,AE19,IF($J19=11,AE19,IF($J19=10,AE19,0)))))</f>
        <v>0</v>
      </c>
      <c r="AE19" s="440">
        <f t="shared" ref="AE19:AE25" si="32">IF(AE$5=$H19,-$E19,0)</f>
        <v>0</v>
      </c>
      <c r="AF19" s="441">
        <f t="shared" ref="AF19:AF25" si="33">IF(AJ19=0,0,IF(AJ19&lt;0,IF($J19=3,AJ19,IF($J19=2,AJ19,IF($J19=1,AJ19,0)))))</f>
        <v>0</v>
      </c>
      <c r="AG19" s="442">
        <f t="shared" ref="AG19:AG25" si="34">IF(AJ19=0,0,IF(AJ19&lt;0,IF($J19=6,AJ19,IF($J19=5,AJ19,IF($J19=4,AJ19,0)))))</f>
        <v>0</v>
      </c>
      <c r="AH19" s="442">
        <f t="shared" ref="AH19:AH25" si="35">IF(AJ19=0,0,IF(AJ19&lt;0,IF($J19=9,AJ19,IF($J19=8,AJ19,IF($J19=7,AJ19,0)))))</f>
        <v>0</v>
      </c>
      <c r="AI19" s="443">
        <f t="shared" ref="AI19:AI25" si="36">IF(AJ19=0,0,IF(AJ19&lt;0,IF($J19=12,AJ19,IF($J19=11,AJ19,IF($J19=10,AJ19,0)))))</f>
        <v>0</v>
      </c>
      <c r="AJ19" s="440">
        <f t="shared" ref="AJ19:AJ25" si="37">IF(AJ$5=$H19,-$E19,0)</f>
        <v>0</v>
      </c>
      <c r="AK19" s="441">
        <f t="shared" ref="AK19:AK25" si="38">IF(AO19=0,0,IF(AO19&lt;0,IF($J19=3,AO19,IF($J19=2,AO19,IF($J19=1,AO19,0)))))</f>
        <v>0</v>
      </c>
      <c r="AL19" s="442">
        <f t="shared" ref="AL19:AL25" si="39">IF(AO19=0,0,IF(AO19&lt;0,IF($J19=6,AO19,IF($J19=5,AO19,IF($J19=4,AO19,0)))))</f>
        <v>0</v>
      </c>
      <c r="AM19" s="442">
        <f t="shared" ref="AM19:AM25" si="40">IF(AO19=0,0,IF(AO19&lt;0,IF($J19=9,AO19,IF($J19=8,AO19,IF($J19=7,AO19,0)))))</f>
        <v>0</v>
      </c>
      <c r="AN19" s="443">
        <f t="shared" ref="AN19:AN25" si="41">IF(AO19=0,0,IF(AO19&lt;0,IF($J19=12,AO19,IF($J19=11,AO19,IF($J19=10,AO19,0)))))</f>
        <v>0</v>
      </c>
      <c r="AO19" s="440">
        <f t="shared" ref="AO19:AO25" si="42">IF(AO$5=$H19,-$E19,0)</f>
        <v>0</v>
      </c>
      <c r="AP19" s="441">
        <f t="shared" ref="AP19:AP25" si="43">IF(AT19=0,0,IF(AT19&lt;0,IF($J19=3,AT19,IF($J19=2,AT19,IF($J19=1,AT19,0)))))</f>
        <v>0</v>
      </c>
      <c r="AQ19" s="442">
        <f t="shared" ref="AQ19:AQ25" si="44">IF(AT19=0,0,IF(AT19&lt;0,IF($J19=6,AT19,IF($J19=5,AT19,IF($J19=4,AT19,0)))))</f>
        <v>0</v>
      </c>
      <c r="AR19" s="442">
        <f t="shared" ref="AR19:AR25" si="45">IF(AT19=0,0,IF(AT19&lt;0,IF($J19=9,AT19,IF($J19=8,AT19,IF($J19=7,AT19,0)))))</f>
        <v>0</v>
      </c>
      <c r="AS19" s="443">
        <f t="shared" ref="AS19:AS25" si="46">IF(AT19=0,0,IF(AT19&lt;0,IF($J19=12,AT19,IF($J19=11,AT19,IF($J19=10,AT19,0)))))</f>
        <v>0</v>
      </c>
      <c r="AT19" s="440">
        <f t="shared" ref="AT19:AT25" si="47">IF(AT$5=$H19,-$E19,0)</f>
        <v>0</v>
      </c>
      <c r="AU19" s="441">
        <f t="shared" ref="AU19:AU25" si="48">IF(AY19=0,0,IF(AY19&lt;0,IF($J19=3,AY19,IF($J19=2,AY19,IF($J19=1,AY19,0)))))</f>
        <v>0</v>
      </c>
      <c r="AV19" s="442">
        <f t="shared" ref="AV19:AV25" si="49">IF(AY19=0,0,IF(AY19&lt;0,IF($J19=6,AY19,IF($J19=5,AY19,IF($J19=4,AY19,0)))))</f>
        <v>0</v>
      </c>
      <c r="AW19" s="442">
        <f t="shared" ref="AW19:AW25" si="50">IF(AY19=0,0,IF(AY19&lt;0,IF($J19=9,AY19,IF($J19=8,AY19,IF($J19=7,AY19,0)))))</f>
        <v>0</v>
      </c>
      <c r="AX19" s="443">
        <f t="shared" ref="AX19:AX25" si="51">IF(AY19=0,0,IF(AY19&lt;0,IF($J19=12,AY19,IF($J19=11,AY19,IF($J19=10,AY19,0)))))</f>
        <v>0</v>
      </c>
      <c r="AY19" s="440">
        <f t="shared" ref="AY19:AY25" si="52">IF(AY$5=$H19,-$E19,0)</f>
        <v>0</v>
      </c>
      <c r="AZ19" s="441">
        <f t="shared" ref="AZ19:AZ25" si="53">IF(BD19=0,0,IF(BD19&lt;0,IF($J19=3,BD19,IF($J19=2,BD19,IF($J19=1,BD19,0)))))</f>
        <v>0</v>
      </c>
      <c r="BA19" s="442">
        <f t="shared" ref="BA19:BA25" si="54">IF(BD19=0,0,IF(BD19&lt;0,IF($J19=6,BD19,IF($J19=5,BD19,IF($J19=4,BD19,0)))))</f>
        <v>0</v>
      </c>
      <c r="BB19" s="442">
        <f t="shared" ref="BB19:BB25" si="55">IF(BD19=0,0,IF(BD19&lt;0,IF($J19=9,BD19,IF($J19=8,BD19,IF($J19=7,BD19,0)))))</f>
        <v>0</v>
      </c>
      <c r="BC19" s="443">
        <f t="shared" ref="BC19:BC25" si="56">IF(BD19=0,0,IF(BD19&lt;0,IF($J19=12,BD19,IF($J19=11,BD19,IF($J19=10,BD19,0)))))</f>
        <v>0</v>
      </c>
      <c r="BD19" s="440">
        <f t="shared" ref="BD19:BD25" si="57">IF(BD$5=$H19,-$E19,0)</f>
        <v>0</v>
      </c>
      <c r="BE19" s="441">
        <f t="shared" ref="BE19:BE25" si="58">IF(BI19=0,0,IF(BI19&lt;0,IF($J19=3,BI19,IF($J19=2,BI19,IF($J19=1,BI19,0)))))</f>
        <v>-250</v>
      </c>
      <c r="BF19" s="442">
        <f t="shared" ref="BF19:BF25" si="59">IF(BI19=0,0,IF(BI19&lt;0,IF($J19=6,BI19,IF($J19=5,BI19,IF($J19=4,BI19,0)))))</f>
        <v>0</v>
      </c>
      <c r="BG19" s="442">
        <f t="shared" ref="BG19:BG25" si="60">IF(BI19=0,0,IF(BI19&lt;0,IF($J19=9,BI19,IF($J19=8,BI19,IF($J19=7,BI19,0)))))</f>
        <v>0</v>
      </c>
      <c r="BH19" s="443">
        <f t="shared" ref="BH19:BH25" si="61">IF(BI19=0,0,IF(BI19&lt;0,IF($J19=12,BI19,IF($J19=11,BI19,IF($J19=10,BI19,0)))))</f>
        <v>0</v>
      </c>
      <c r="BI19" s="440">
        <f t="shared" ref="BI19:BI25" si="62">IF(BI$5=$H19,-$E19,0)</f>
        <v>-250</v>
      </c>
      <c r="BJ19" s="441">
        <f t="shared" ref="BJ19:BJ25" si="63">IF(BN19=0,0,IF(BN19&lt;0,IF($J19=3,BN19,IF($J19=2,BN19,IF($J19=1,BN19,0)))))</f>
        <v>0</v>
      </c>
      <c r="BK19" s="442">
        <f t="shared" ref="BK19:BK25" si="64">IF(BN19=0,0,IF(BN19&lt;0,IF($J19=6,BN19,IF($J19=5,BN19,IF($J19=4,BN19,0)))))</f>
        <v>0</v>
      </c>
      <c r="BL19" s="442">
        <f t="shared" ref="BL19:BL25" si="65">IF(BN19=0,0,IF(BN19&lt;0,IF($J19=9,BN19,IF($J19=8,BN19,IF($J19=7,BN19,0)))))</f>
        <v>0</v>
      </c>
      <c r="BM19" s="443">
        <f t="shared" ref="BM19:BM25" si="66">IF(BN19=0,0,IF(BN19&lt;0,IF($J19=12,BN19,IF($J19=11,BN19,IF($J19=10,BN19,0)))))</f>
        <v>0</v>
      </c>
      <c r="BN19" s="440">
        <f t="shared" ref="BN19:BN25" si="67">IF(BN$5=$H19,-$E19,0)</f>
        <v>0</v>
      </c>
      <c r="BO19" s="473"/>
      <c r="BP19" s="441">
        <f t="shared" ref="BP19:BP25" si="68">IF($H19&lt;&gt;BT$5,0,IF(BT19&lt;0,IF($J19=1,-$E19*$I19/12*3,IF($J19=2,-$E19*$I19/12*2,IF($J19=3,-$E19*$I19/12*1,0)))))+IF(BO$5&lt;&gt;$H19,0,IF(BO19&lt;0,IF($J19=1,-$E19*$I19/12*0,IF($J19=2,-$E19*$I19/12*1,IF($J19=3,-$E19*$I19/12*2,IF($J19&gt;=4,-$E19*$I19/12*3,0))))))</f>
        <v>0</v>
      </c>
      <c r="BQ19" s="442">
        <f t="shared" ref="BQ19:BQ25" si="69">IF($H19&lt;&gt;BT$5,0,IF(BT19&lt;0,IF(OR($J19=1,$J19=2,$J19=3,$J19=4),-$E19*$I19/12*3,IF($J19=5,-$E19*$I19/12*2,IF($J19=6,-$E19*$I19/12*1,0)))))+IF(BO$5&lt;&gt;$H19,0,IF(BO19&lt;0,IF($J19=4,-$E19*$I19/12*0,IF($J19=5,-$E19*$I19/12*1,IF($J19=6,-$E19*$I19/12*2,IF($J19&gt;=7,-$E19*$I19/12*3,0))))))</f>
        <v>0</v>
      </c>
      <c r="BR19" s="442">
        <f t="shared" ref="BR19:BR25" si="70">IF($H19&lt;&gt;BT$5,0,IF(BT19&lt;0,IF(OR($J19=1,$J19=2,$J19=3,$J19=4,$J19=5,$J19=6,$J19=7),-$E19*$I19/12*3,IF($J19=8,-$E19*$I19/12*2,IF($J19=9,-$E19*$I19/12*1,0)))))+IF(BO$5&lt;&gt;$H19,0,IF(BO19&lt;0,IF($J19=7,-$E19*$I19/12*0,IF($J19=8,-$E19*$I19/12*1,IF($J19=9,-$E19*$I19/12*2,IF($J19&gt;=10,-$E19*$I19/12*3,0))))))</f>
        <v>0</v>
      </c>
      <c r="BS19" s="443">
        <f t="shared" ref="BS19:BS25" si="71">IF($H19&lt;&gt;BT$5,0,IF(BT19&lt;0,IF(OR($J19=1,$J19=2,$J19=3,$J19=4,$J19=5,$J19=6,$J19=7,$J19=8,$J19=9,$J19=10),-$E19*$I19/12*3,IF($J19=11,-$E19*$I19/12*2,IF($J19=12,-$E19*$I19/12*1,0)))))+IF(BO$5&lt;&gt;$H19,0,IF(BO19&lt;0,IF($J19=10,-$E19*$I19/12*0,IF($J19=11,-$E19*$I19/12*1,IF($J19=12,-$E19*$I19/12*2,0)))))</f>
        <v>0</v>
      </c>
      <c r="BT19" s="440">
        <f t="shared" ref="BT19:BT25" si="72">IF(AND(BO19&lt;&gt;0,BO$5=$H19),-$I19*$E19-BO19,IF(BT$5=$H19,-$I19*$E19*(12-$J19+1)/12,0))</f>
        <v>0</v>
      </c>
      <c r="BU19" s="441">
        <f t="shared" ref="BU19:BU25" si="73">IF($H19&lt;&gt;BY$5,0,IF(BY19&lt;0,IF($J19=1,-$E19*$I19/12*3,IF($J19=2,-$E19*$I19/12*2,IF($J19=3,-$E19*$I19/12*1,0)))))+IF(BT$5&lt;&gt;$H19,0,IF(BT19&lt;0,IF($J19=1,-$E19*$I19/12*0,IF($J19=2,-$E19*$I19/12*1,IF($J19=3,-$E19*$I19/12*2,IF($J19&gt;=4,-$E19*$I19/12*3,0))))))</f>
        <v>0</v>
      </c>
      <c r="BV19" s="442">
        <f t="shared" ref="BV19:BV25" si="74">IF($H19&lt;&gt;BY$5,0,IF(BY19&lt;0,IF(OR($J19=1,$J19=2,$J19=3,$J19=4),-$E19*$I19/12*3,IF($J19=5,-$E19*$I19/12*2,IF($J19=6,-$E19*$I19/12*1,0)))))+IF(BT$5&lt;&gt;$H19,0,IF(BT19&lt;0,IF($J19=4,-$E19*$I19/12*0,IF($J19=5,-$E19*$I19/12*1,IF($J19=6,-$E19*$I19/12*2,IF($J19&gt;=7,-$E19*$I19/12*3,0))))))</f>
        <v>0</v>
      </c>
      <c r="BW19" s="442">
        <f t="shared" ref="BW19:BW25" si="75">IF($H19&lt;&gt;BY$5,0,IF(BY19&lt;0,IF(OR($J19=1,$J19=2,$J19=3,$J19=4,$J19=5,$J19=6,$J19=7),-$E19*$I19/12*3,IF($J19=8,-$E19*$I19/12*2,IF($J19=9,-$E19*$I19/12*1,0)))))+IF(BT$5&lt;&gt;$H19,0,IF(BT19&lt;0,IF($J19=7,-$E19*$I19/12*0,IF($J19=8,-$E19*$I19/12*1,IF($J19=9,-$E19*$I19/12*2,IF($J19&gt;=10,-$E19*$I19/12*3,0))))))</f>
        <v>0</v>
      </c>
      <c r="BX19" s="443">
        <f t="shared" ref="BX19:BX25" si="76">IF($H19&lt;&gt;BY$5,0,IF(BY19&lt;0,IF(OR($J19=1,$J19=2,$J19=3,$J19=4,$J19=5,$J19=6,$J19=7,$J19=8,$J19=9,$J19=10),-$E19*$I19/12*3,IF($J19=11,-$E19*$I19/12*2,IF($J19=12,-$E19*$I19/12*1,0)))))+IF(BT$5&lt;&gt;$H19,0,IF(BT19&lt;0,IF($J19=10,-$E19*$I19/12*0,IF($J19=11,-$E19*$I19/12*1,IF($J19=12,-$E19*$I19/12*2,0)))))</f>
        <v>0</v>
      </c>
      <c r="BY19" s="440">
        <f t="shared" ref="BY19:BY25" si="77">IF(AND(BT19&lt;&gt;0,BT$5=$H19),-$I19*$E19-BT19,IF(BY$5=$H19,-$I19*$E19*(12-$J19+1)/12,0))</f>
        <v>0</v>
      </c>
      <c r="BZ19" s="441">
        <f t="shared" ref="BZ19:BZ25" si="78">IF($H19&lt;&gt;CD$5,0,IF(CD19&lt;0,IF($J19=1,-$E19*$I19/12*3,IF($J19=2,-$E19*$I19/12*2,IF($J19=3,-$E19*$I19/12*1,0)))))+IF(BY$5&lt;&gt;$H19,0,IF(BY19&lt;0,IF($J19=1,-$E19*$I19/12*0,IF($J19=2,-$E19*$I19/12*1,IF($J19=3,-$E19*$I19/12*2,IF($J19&gt;=4,-$E19*$I19/12*3,0))))))</f>
        <v>0</v>
      </c>
      <c r="CA19" s="442">
        <f t="shared" ref="CA19:CA25" si="79">IF($H19&lt;&gt;CD$5,0,IF(CD19&lt;0,IF(OR($J19=1,$J19=2,$J19=3,$J19=4),-$E19*$I19/12*3,IF($J19=5,-$E19*$I19/12*2,IF($J19=6,-$E19*$I19/12*1,0)))))+IF(BY$5&lt;&gt;$H19,0,IF(BY19&lt;0,IF($J19=4,-$E19*$I19/12*0,IF($J19=5,-$E19*$I19/12*1,IF($J19=6,-$E19*$I19/12*2,IF($J19&gt;=7,-$E19*$I19/12*3,0))))))</f>
        <v>0</v>
      </c>
      <c r="CB19" s="442">
        <f t="shared" ref="CB19:CB25" si="80">IF($H19&lt;&gt;CD$5,0,IF(CD19&lt;0,IF(OR($J19=1,$J19=2,$J19=3,$J19=4,$J19=5,$J19=6,$J19=7),-$E19*$I19/12*3,IF($J19=8,-$E19*$I19/12*2,IF($J19=9,-$E19*$I19/12*1,0)))))+IF(BY$5&lt;&gt;$H19,0,IF(BY19&lt;0,IF($J19=7,-$E19*$I19/12*0,IF($J19=8,-$E19*$I19/12*1,IF($J19=9,-$E19*$I19/12*2,IF($J19&gt;=10,-$E19*$I19/12*3,0))))))</f>
        <v>0</v>
      </c>
      <c r="CC19" s="443">
        <f t="shared" ref="CC19:CC25" si="81">IF($H19&lt;&gt;CD$5,0,IF(CD19&lt;0,IF(OR($J19=1,$J19=2,$J19=3,$J19=4,$J19=5,$J19=6,$J19=7,$J19=8,$J19=9,$J19=10),-$E19*$I19/12*3,IF($J19=11,-$E19*$I19/12*2,IF($J19=12,-$E19*$I19/12*1,0)))))+IF(BY$5&lt;&gt;$H19,0,IF(BY19&lt;0,IF($J19=10,-$E19*$I19/12*0,IF($J19=11,-$E19*$I19/12*1,IF($J19=12,-$E19*$I19/12*2,0)))))</f>
        <v>0</v>
      </c>
      <c r="CD19" s="440">
        <f t="shared" ref="CD19:CD25" si="82">IF(AND(BY19&lt;&gt;0,BY$5=$H19),-$I19*$E19-BY19,IF(CD$5=$H19,-$I19*$E19*(12-$J19+1)/12,0))</f>
        <v>0</v>
      </c>
      <c r="CE19" s="441">
        <f t="shared" ref="CE19:CE25" si="83">IF($H19&lt;&gt;CI$5,0,IF(CI19&lt;0,IF($J19=1,-$E19*$I19/12*3,IF($J19=2,-$E19*$I19/12*2,IF($J19=3,-$E19*$I19/12*1,0)))))+IF(CD$5&lt;&gt;$H19,0,IF(CD19&lt;0,IF($J19=1,-$E19*$I19/12*0,IF($J19=2,-$E19*$I19/12*1,IF($J19=3,-$E19*$I19/12*2,IF($J19&gt;=4,-$E19*$I19/12*3,0))))))</f>
        <v>0</v>
      </c>
      <c r="CF19" s="442">
        <f t="shared" ref="CF19:CF25" si="84">IF($H19&lt;&gt;CI$5,0,IF(CI19&lt;0,IF(OR($J19=1,$J19=2,$J19=3,$J19=4),-$E19*$I19/12*3,IF($J19=5,-$E19*$I19/12*2,IF($J19=6,-$E19*$I19/12*1,0)))))+IF(CD$5&lt;&gt;$H19,0,IF(CD19&lt;0,IF($J19=4,-$E19*$I19/12*0,IF($J19=5,-$E19*$I19/12*1,IF($J19=6,-$E19*$I19/12*2,IF($J19&gt;=7,-$E19*$I19/12*3,0))))))</f>
        <v>0</v>
      </c>
      <c r="CG19" s="442">
        <f t="shared" ref="CG19:CG25" si="85">IF($H19&lt;&gt;CI$5,0,IF(CI19&lt;0,IF(OR($J19=1,$J19=2,$J19=3,$J19=4,$J19=5,$J19=6,$J19=7),-$E19*$I19/12*3,IF($J19=8,-$E19*$I19/12*2,IF($J19=9,-$E19*$I19/12*1,0)))))+IF(CD$5&lt;&gt;$H19,0,IF(CD19&lt;0,IF($J19=7,-$E19*$I19/12*0,IF($J19=8,-$E19*$I19/12*1,IF($J19=9,-$E19*$I19/12*2,IF($J19&gt;=10,-$E19*$I19/12*3,0))))))</f>
        <v>0</v>
      </c>
      <c r="CH19" s="443">
        <f t="shared" ref="CH19:CH25" si="86">IF($H19&lt;&gt;CI$5,0,IF(CI19&lt;0,IF(OR($J19=1,$J19=2,$J19=3,$J19=4,$J19=5,$J19=6,$J19=7,$J19=8,$J19=9,$J19=10),-$E19*$I19/12*3,IF($J19=11,-$E19*$I19/12*2,IF($J19=12,-$E19*$I19/12*1,0)))))+IF(CD$5&lt;&gt;$H19,0,IF(CD19&lt;0,IF($J19=10,-$E19*$I19/12*0,IF($J19=11,-$E19*$I19/12*1,IF($J19=12,-$E19*$I19/12*2,0)))))</f>
        <v>0</v>
      </c>
      <c r="CI19" s="440">
        <f t="shared" ref="CI19:CI25" si="87">IF(AND(CD19&lt;&gt;0,CD$5=$H19),-$I19*$E19-CD19,IF(CI$5=$H19,-$I19*$E19*(12-$J19+1)/12,0))</f>
        <v>0</v>
      </c>
      <c r="CJ19" s="441">
        <f t="shared" ref="CJ19:CJ25" si="88">IF($H19&lt;&gt;CN$5,0,IF(CN19&lt;0,IF($J19=1,-$E19*$I19/12*3,IF($J19=2,-$E19*$I19/12*2,IF($J19=3,-$E19*$I19/12*1,0)))))+IF(CI$5&lt;&gt;$H19,0,IF(CI19&lt;0,IF($J19=1,-$E19*$I19/12*0,IF($J19=2,-$E19*$I19/12*1,IF($J19=3,-$E19*$I19/12*2,IF($J19&gt;=4,-$E19*$I19/12*3,0))))))</f>
        <v>0</v>
      </c>
      <c r="CK19" s="442">
        <f t="shared" ref="CK19:CK25" si="89">IF($H19&lt;&gt;CN$5,0,IF(CN19&lt;0,IF(OR($J19=1,$J19=2,$J19=3,$J19=4),-$E19*$I19/12*3,IF($J19=5,-$E19*$I19/12*2,IF($J19=6,-$E19*$I19/12*1,0)))))+IF(CI$5&lt;&gt;$H19,0,IF(CI19&lt;0,IF($J19=4,-$E19*$I19/12*0,IF($J19=5,-$E19*$I19/12*1,IF($J19=6,-$E19*$I19/12*2,IF($J19&gt;=7,-$E19*$I19/12*3,0))))))</f>
        <v>0</v>
      </c>
      <c r="CL19" s="442">
        <f t="shared" ref="CL19:CL25" si="90">IF($H19&lt;&gt;CN$5,0,IF(CN19&lt;0,IF(OR($J19=1,$J19=2,$J19=3,$J19=4,$J19=5,$J19=6,$J19=7),-$E19*$I19/12*3,IF($J19=8,-$E19*$I19/12*2,IF($J19=9,-$E19*$I19/12*1,0)))))+IF(CI$5&lt;&gt;$H19,0,IF(CI19&lt;0,IF($J19=7,-$E19*$I19/12*0,IF($J19=8,-$E19*$I19/12*1,IF($J19=9,-$E19*$I19/12*2,IF($J19&gt;=10,-$E19*$I19/12*3,0))))))</f>
        <v>0</v>
      </c>
      <c r="CM19" s="443">
        <f t="shared" ref="CM19:CM25" si="91">IF($H19&lt;&gt;CN$5,0,IF(CN19&lt;0,IF(OR($J19=1,$J19=2,$J19=3,$J19=4,$J19=5,$J19=6,$J19=7,$J19=8,$J19=9,$J19=10),-$E19*$I19/12*3,IF($J19=11,-$E19*$I19/12*2,IF($J19=12,-$E19*$I19/12*1,0)))))+IF(CI$5&lt;&gt;$H19,0,IF(CI19&lt;0,IF($J19=10,-$E19*$I19/12*0,IF($J19=11,-$E19*$I19/12*1,IF($J19=12,-$E19*$I19/12*2,0)))))</f>
        <v>0</v>
      </c>
      <c r="CN19" s="440">
        <f t="shared" ref="CN19:CN25" si="92">IF(AND(CI19&lt;&gt;0,CI$5=$H19),-$I19*$E19-CI19,IF(CN$5=$H19,-$I19*$E19*(12-$J19+1)/12,0))</f>
        <v>0</v>
      </c>
      <c r="CO19" s="441">
        <f t="shared" ref="CO19:CO25" si="93">IF($H19&lt;&gt;CS$5,0,IF(CS19&lt;0,IF($J19=1,-$E19*$I19/12*3,IF($J19=2,-$E19*$I19/12*2,IF($J19=3,-$E19*$I19/12*1,0)))))+IF(CN$5&lt;&gt;$H19,0,IF(CN19&lt;0,IF($J19=1,-$E19*$I19/12*0,IF($J19=2,-$E19*$I19/12*1,IF($J19=3,-$E19*$I19/12*2,IF($J19&gt;=4,-$E19*$I19/12*3,0))))))</f>
        <v>0</v>
      </c>
      <c r="CP19" s="442">
        <f t="shared" ref="CP19:CP25" si="94">IF($H19&lt;&gt;CS$5,0,IF(CS19&lt;0,IF(OR($J19=1,$J19=2,$J19=3,$J19=4),-$E19*$I19/12*3,IF($J19=5,-$E19*$I19/12*2,IF($J19=6,-$E19*$I19/12*1,0)))))+IF(CN$5&lt;&gt;$H19,0,IF(CN19&lt;0,IF($J19=4,-$E19*$I19/12*0,IF($J19=5,-$E19*$I19/12*1,IF($J19=6,-$E19*$I19/12*2,IF($J19&gt;=7,-$E19*$I19/12*3,0))))))</f>
        <v>0</v>
      </c>
      <c r="CQ19" s="442">
        <f t="shared" ref="CQ19:CQ25" si="95">IF($H19&lt;&gt;CS$5,0,IF(CS19&lt;0,IF(OR($J19=1,$J19=2,$J19=3,$J19=4,$J19=5,$J19=6,$J19=7),-$E19*$I19/12*3,IF($J19=8,-$E19*$I19/12*2,IF($J19=9,-$E19*$I19/12*1,0)))))+IF(CN$5&lt;&gt;$H19,0,IF(CN19&lt;0,IF($J19=7,-$E19*$I19/12*0,IF($J19=8,-$E19*$I19/12*1,IF($J19=9,-$E19*$I19/12*2,IF($J19&gt;=10,-$E19*$I19/12*3,0))))))</f>
        <v>0</v>
      </c>
      <c r="CR19" s="443">
        <f t="shared" ref="CR19:CR25" si="96">IF($H19&lt;&gt;CS$5,0,IF(CS19&lt;0,IF(OR($J19=1,$J19=2,$J19=3,$J19=4,$J19=5,$J19=6,$J19=7,$J19=8,$J19=9,$J19=10),-$E19*$I19/12*3,IF($J19=11,-$E19*$I19/12*2,IF($J19=12,-$E19*$I19/12*1,0)))))+IF(CN$5&lt;&gt;$H19,0,IF(CN19&lt;0,IF($J19=10,-$E19*$I19/12*0,IF($J19=11,-$E19*$I19/12*1,IF($J19=12,-$E19*$I19/12*2,0)))))</f>
        <v>0</v>
      </c>
      <c r="CS19" s="440">
        <f t="shared" ref="CS19:CS25" si="97">IF(AND(CN19&lt;&gt;0,CN$5=$H19),-$I19*$E19-CN19,IF(CS$5=$H19,-$I19*$E19*(12-$J19+1)/12,0))</f>
        <v>0</v>
      </c>
      <c r="CT19" s="441">
        <f t="shared" ref="CT19:CT25" si="98">IF($H19&lt;&gt;CX$5,0,IF(CX19&lt;0,IF($J19=1,-$E19*$I19/12*3,IF($J19=2,-$E19*$I19/12*2,IF($J19=3,-$E19*$I19/12*1,0)))))+IF(CS$5&lt;&gt;$H19,0,IF(CS19&lt;0,IF($J19=1,-$E19*$I19/12*0,IF($J19=2,-$E19*$I19/12*1,IF($J19=3,-$E19*$I19/12*2,IF($J19&gt;=4,-$E19*$I19/12*3,0))))))</f>
        <v>0</v>
      </c>
      <c r="CU19" s="442">
        <f t="shared" ref="CU19:CU25" si="99">IF($H19&lt;&gt;CX$5,0,IF(CX19&lt;0,IF(OR($J19=1,$J19=2,$J19=3,$J19=4),-$E19*$I19/12*3,IF($J19=5,-$E19*$I19/12*2,IF($J19=6,-$E19*$I19/12*1,0)))))+IF(CS$5&lt;&gt;$H19,0,IF(CS19&lt;0,IF($J19=4,-$E19*$I19/12*0,IF($J19=5,-$E19*$I19/12*1,IF($J19=6,-$E19*$I19/12*2,IF($J19&gt;=7,-$E19*$I19/12*3,0))))))</f>
        <v>0</v>
      </c>
      <c r="CV19" s="442">
        <f t="shared" ref="CV19:CV25" si="100">IF($H19&lt;&gt;CX$5,0,IF(CX19&lt;0,IF(OR($J19=1,$J19=2,$J19=3,$J19=4,$J19=5,$J19=6,$J19=7),-$E19*$I19/12*3,IF($J19=8,-$E19*$I19/12*2,IF($J19=9,-$E19*$I19/12*1,0)))))+IF(CS$5&lt;&gt;$H19,0,IF(CS19&lt;0,IF($J19=7,-$E19*$I19/12*0,IF($J19=8,-$E19*$I19/12*1,IF($J19=9,-$E19*$I19/12*2,IF($J19&gt;=10,-$E19*$I19/12*3,0))))))</f>
        <v>0</v>
      </c>
      <c r="CW19" s="443">
        <f t="shared" ref="CW19:CW25" si="101">IF($H19&lt;&gt;CX$5,0,IF(CX19&lt;0,IF(OR($J19=1,$J19=2,$J19=3,$J19=4,$J19=5,$J19=6,$J19=7,$J19=8,$J19=9,$J19=10),-$E19*$I19/12*3,IF($J19=11,-$E19*$I19/12*2,IF($J19=12,-$E19*$I19/12*1,0)))))+IF(CS$5&lt;&gt;$H19,0,IF(CS19&lt;0,IF($J19=10,-$E19*$I19/12*0,IF($J19=11,-$E19*$I19/12*1,IF($J19=12,-$E19*$I19/12*2,0)))))</f>
        <v>0</v>
      </c>
      <c r="CX19" s="440">
        <f t="shared" ref="CX19:CX25" si="102">IF(AND(CS19&lt;&gt;0,CS$5=$H19),-$I19*$E19-CS19,IF(CX$5=$H19,-$I19*$E19*(12-$J19+1)/12,0))</f>
        <v>0</v>
      </c>
      <c r="CY19" s="441">
        <f t="shared" ref="CY19:CY25" si="103">IF($H19&lt;&gt;DC$5,0,IF(DC19&lt;0,IF($J19=1,-$E19*$I19/12*3,IF($J19=2,-$E19*$I19/12*2,IF($J19=3,-$E19*$I19/12*1,0)))))+IF(CX$5&lt;&gt;$H19,0,IF(CX19&lt;0,IF($J19=1,-$E19*$I19/12*0,IF($J19=2,-$E19*$I19/12*1,IF($J19=3,-$E19*$I19/12*2,IF($J19&gt;=4,-$E19*$I19/12*3,0))))))</f>
        <v>0</v>
      </c>
      <c r="CZ19" s="442">
        <f t="shared" ref="CZ19:CZ25" si="104">IF($H19&lt;&gt;DC$5,0,IF(DC19&lt;0,IF(OR($J19=1,$J19=2,$J19=3,$J19=4),-$E19*$I19/12*3,IF($J19=5,-$E19*$I19/12*2,IF($J19=6,-$E19*$I19/12*1,0)))))+IF(CX$5&lt;&gt;$H19,0,IF(CX19&lt;0,IF($J19=4,-$E19*$I19/12*0,IF($J19=5,-$E19*$I19/12*1,IF($J19=6,-$E19*$I19/12*2,IF($J19&gt;=7,-$E19*$I19/12*3,0))))))</f>
        <v>0</v>
      </c>
      <c r="DA19" s="442">
        <f t="shared" ref="DA19:DA25" si="105">IF($H19&lt;&gt;DC$5,0,IF(DC19&lt;0,IF(OR($J19=1,$J19=2,$J19=3,$J19=4,$J19=5,$J19=6,$J19=7),-$E19*$I19/12*3,IF($J19=8,-$E19*$I19/12*2,IF($J19=9,-$E19*$I19/12*1,0)))))+IF(CX$5&lt;&gt;$H19,0,IF(CX19&lt;0,IF($J19=7,-$E19*$I19/12*0,IF($J19=8,-$E19*$I19/12*1,IF($J19=9,-$E19*$I19/12*2,IF($J19&gt;=10,-$E19*$I19/12*3,0))))))</f>
        <v>0</v>
      </c>
      <c r="DB19" s="443">
        <f t="shared" ref="DB19:DB25" si="106">IF($H19&lt;&gt;DC$5,0,IF(DC19&lt;0,IF(OR($J19=1,$J19=2,$J19=3,$J19=4,$J19=5,$J19=6,$J19=7,$J19=8,$J19=9,$J19=10),-$E19*$I19/12*3,IF($J19=11,-$E19*$I19/12*2,IF($J19=12,-$E19*$I19/12*1,0)))))+IF(CX$5&lt;&gt;$H19,0,IF(CX19&lt;0,IF($J19=10,-$E19*$I19/12*0,IF($J19=11,-$E19*$I19/12*1,IF($J19=12,-$E19*$I19/12*2,0)))))</f>
        <v>0</v>
      </c>
      <c r="DC19" s="440">
        <f t="shared" ref="DC19:DC25" si="107">IF(AND(CX19&lt;&gt;0,CX$5=$H19),-$I19*$E19-CX19,IF(DC$5=$H19,-$I19*$E19*(12-$J19+1)/12,0))</f>
        <v>0</v>
      </c>
      <c r="DD19" s="441">
        <f t="shared" ref="DD19:DD25" si="108">IF($H19&lt;&gt;DH$5,0,IF(DH19&lt;0,IF($J19=1,-$E19*$I19/12*3,IF($J19=2,-$E19*$I19/12*2,IF($J19=3,-$E19*$I19/12*1,0)))))+IF(DC$5&lt;&gt;$H19,0,IF(DC19&lt;0,IF($J19=1,-$E19*$I19/12*0,IF($J19=2,-$E19*$I19/12*1,IF($J19=3,-$E19*$I19/12*2,IF($J19&gt;=4,-$E19*$I19/12*3,0))))))</f>
        <v>0</v>
      </c>
      <c r="DE19" s="442">
        <f t="shared" ref="DE19:DE25" si="109">IF($H19&lt;&gt;DH$5,0,IF(DH19&lt;0,IF(OR($J19=1,$J19=2,$J19=3,$J19=4),-$E19*$I19/12*3,IF($J19=5,-$E19*$I19/12*2,IF($J19=6,-$E19*$I19/12*1,0)))))+IF(DC$5&lt;&gt;$H19,0,IF(DC19&lt;0,IF($J19=4,-$E19*$I19/12*0,IF($J19=5,-$E19*$I19/12*1,IF($J19=6,-$E19*$I19/12*2,IF($J19&gt;=7,-$E19*$I19/12*3,0))))))</f>
        <v>0</v>
      </c>
      <c r="DF19" s="442">
        <f t="shared" ref="DF19:DF25" si="110">IF($H19&lt;&gt;DH$5,0,IF(DH19&lt;0,IF(OR($J19=1,$J19=2,$J19=3,$J19=4,$J19=5,$J19=6,$J19=7),-$E19*$I19/12*3,IF($J19=8,-$E19*$I19/12*2,IF($J19=9,-$E19*$I19/12*1,0)))))+IF(DC$5&lt;&gt;$H19,0,IF(DC19&lt;0,IF($J19=7,-$E19*$I19/12*0,IF($J19=8,-$E19*$I19/12*1,IF($J19=9,-$E19*$I19/12*2,IF($J19&gt;=10,-$E19*$I19/12*3,0))))))</f>
        <v>0</v>
      </c>
      <c r="DG19" s="443">
        <f t="shared" ref="DG19:DG25" si="111">IF($H19&lt;&gt;DH$5,0,IF(DH19&lt;0,IF(OR($J19=1,$J19=2,$J19=3,$J19=4,$J19=5,$J19=6,$J19=7,$J19=8,$J19=9,$J19=10),-$E19*$I19/12*3,IF($J19=11,-$E19*$I19/12*2,IF($J19=12,-$E19*$I19/12*1,0)))))+IF(DC$5&lt;&gt;$H19,0,IF(DC19&lt;0,IF($J19=10,-$E19*$I19/12*0,IF($J19=11,-$E19*$I19/12*1,IF($J19=12,-$E19*$I19/12*2,0)))))</f>
        <v>0</v>
      </c>
      <c r="DH19" s="440">
        <f t="shared" ref="DH19:DH25" si="112">IF(AND(DC19&lt;&gt;0,DC$5=$H19),-$I19*$E19-DC19,IF(DH$5=$H19,-$I19*$E19*(12-$J19+1)/12,0))</f>
        <v>0</v>
      </c>
      <c r="DI19" s="441">
        <f t="shared" ref="DI19:DI25" si="113">IF($H19&lt;&gt;DM$5,0,IF(DM19&lt;0,IF($J19=1,-$E19*$I19/12*3,IF($J19=2,-$E19*$I19/12*2,IF($J19=3,-$E19*$I19/12*1,0)))))+IF(DH$5&lt;&gt;$H19,0,IF(DH19&lt;0,IF($J19=1,-$E19*$I19/12*0,IF($J19=2,-$E19*$I19/12*1,IF($J19=3,-$E19*$I19/12*2,IF($J19&gt;=4,-$E19*$I19/12*3,0))))))</f>
        <v>-1.5999999999999999</v>
      </c>
      <c r="DJ19" s="442">
        <f t="shared" ref="DJ19:DJ25" si="114">IF($H19&lt;&gt;DM$5,0,IF(DM19&lt;0,IF(OR($J19=1,$J19=2,$J19=3,$J19=4),-$E19*$I19/12*3,IF($J19=5,-$E19*$I19/12*2,IF($J19=6,-$E19*$I19/12*1,0)))))+IF(DH$5&lt;&gt;$H19,0,IF(DH19&lt;0,IF($J19=4,-$E19*$I19/12*0,IF($J19=5,-$E19*$I19/12*1,IF($J19=6,-$E19*$I19/12*2,IF($J19&gt;=7,-$E19*$I19/12*3,0))))))</f>
        <v>-2.4</v>
      </c>
      <c r="DK19" s="442">
        <f t="shared" ref="DK19:DK25" si="115">IF($H19&lt;&gt;DM$5,0,IF(DM19&lt;0,IF(OR($J19=1,$J19=2,$J19=3,$J19=4,$J19=5,$J19=6,$J19=7),-$E19*$I19/12*3,IF($J19=8,-$E19*$I19/12*2,IF($J19=9,-$E19*$I19/12*1,0)))))+IF(DH$5&lt;&gt;$H19,0,IF(DH19&lt;0,IF($J19=7,-$E19*$I19/12*0,IF($J19=8,-$E19*$I19/12*1,IF($J19=9,-$E19*$I19/12*2,IF($J19&gt;=10,-$E19*$I19/12*3,0))))))</f>
        <v>-2.4</v>
      </c>
      <c r="DL19" s="443">
        <f t="shared" ref="DL19:DL25" si="116">IF($H19&lt;&gt;DM$5,0,IF(DM19&lt;0,IF(OR($J19=1,$J19=2,$J19=3,$J19=4,$J19=5,$J19=6,$J19=7,$J19=8,$J19=9,$J19=10),-$E19*$I19/12*3,IF($J19=11,-$E19*$I19/12*2,IF($J19=12,-$E19*$I19/12*1,0)))))+IF(DH$5&lt;&gt;$H19,0,IF(DH19&lt;0,IF($J19=10,-$E19*$I19/12*0,IF($J19=11,-$E19*$I19/12*1,IF($J19=12,-$E19*$I19/12*2,0)))))</f>
        <v>-2.4</v>
      </c>
      <c r="DM19" s="440">
        <f t="shared" ref="DM19:DM25" si="117">IF(AND(DH19&lt;&gt;0,DH$5=$H19),-$I19*$E19-DH19,IF(DM$5=$H19,-$I19*$E19*(12-$J19+1)/12,0))</f>
        <v>-8.7999999999999989</v>
      </c>
      <c r="DN19" s="441">
        <f t="shared" ref="DN19:DN25" si="118">IF($H19&lt;&gt;DR$5,0,IF(DR19&lt;0,IF($J19=1,-$E19*$I19/12*3,IF($J19=2,-$E19*$I19/12*2,IF($J19=3,-$E19*$I19/12*1,0)))))+IF(DM$5&lt;&gt;$H19,0,IF(DM19&lt;0,IF($J19=1,-$E19*$I19/12*0,IF($J19=2,-$E19*$I19/12*1,IF($J19=3,-$E19*$I19/12*2,IF($J19&gt;=4,-$E19*$I19/12*3,0))))))</f>
        <v>-0.79999999999999993</v>
      </c>
      <c r="DO19" s="442">
        <f t="shared" ref="DO19:DO25" si="119">IF($H19&lt;&gt;DR$5,0,IF(DR19&lt;0,IF(OR($J19=1,$J19=2,$J19=3,$J19=4),-$E19*$I19/12*3,IF($J19=5,-$E19*$I19/12*2,IF($J19=6,-$E19*$I19/12*1,0)))))+IF(DM$5&lt;&gt;$H19,0,IF(DM19&lt;0,IF($J19=4,-$E19*$I19/12*0,IF($J19=5,-$E19*$I19/12*1,IF($J19=6,-$E19*$I19/12*2,IF($J19&gt;=7,-$E19*$I19/12*3,0))))))</f>
        <v>0</v>
      </c>
      <c r="DP19" s="442">
        <f t="shared" ref="DP19:DP25" si="120">IF($H19&lt;&gt;DR$5,0,IF(DR19&lt;0,IF(OR($J19=1,$J19=2,$J19=3,$J19=4,$J19=5,$J19=6,$J19=7),-$E19*$I19/12*3,IF($J19=8,-$E19*$I19/12*2,IF($J19=9,-$E19*$I19/12*1,0)))))+IF(DM$5&lt;&gt;$H19,0,IF(DM19&lt;0,IF($J19=7,-$E19*$I19/12*0,IF($J19=8,-$E19*$I19/12*1,IF($J19=9,-$E19*$I19/12*2,IF($J19&gt;=10,-$E19*$I19/12*3,0))))))</f>
        <v>0</v>
      </c>
      <c r="DQ19" s="443">
        <f t="shared" ref="DQ19:DQ25" si="121">IF($H19&lt;&gt;DR$5,0,IF(DR19&lt;0,IF(OR($J19=1,$J19=2,$J19=3,$J19=4,$J19=5,$J19=6,$J19=7,$J19=8,$J19=9,$J19=10),-$E19*$I19/12*3,IF($J19=11,-$E19*$I19/12*2,IF($J19=12,-$E19*$I19/12*1,0)))))+IF(DM$5&lt;&gt;$H19,0,IF(DM19&lt;0,IF($J19=10,-$E19*$I19/12*0,IF($J19=11,-$E19*$I19/12*1,IF($J19=12,-$E19*$I19/12*2,0)))))</f>
        <v>0</v>
      </c>
      <c r="DR19" s="440">
        <f t="shared" ref="DR19:DR25" si="122">IF(AND(DM19&lt;&gt;0,DM$5=$H19),-$I19*$E19-DM19,IF(DR$5=$H19,-$I19*$E19*(12-$J19+1)/12,0))</f>
        <v>-0.80000000000000071</v>
      </c>
    </row>
    <row r="20" spans="1:122" ht="12.75" customHeight="1">
      <c r="C20" s="2323" t="s">
        <v>1224</v>
      </c>
      <c r="D20" s="395"/>
      <c r="E20" s="2068">
        <v>1450</v>
      </c>
      <c r="F20" s="1945">
        <v>0</v>
      </c>
      <c r="G20" s="1945">
        <v>0</v>
      </c>
      <c r="H20" s="1967">
        <v>2018</v>
      </c>
      <c r="I20" s="2292">
        <v>0.05</v>
      </c>
      <c r="J20" s="2015">
        <v>1</v>
      </c>
      <c r="K20" s="549"/>
      <c r="L20" s="441"/>
      <c r="M20" s="442"/>
      <c r="N20" s="442"/>
      <c r="O20" s="443"/>
      <c r="P20" s="440">
        <f t="shared" si="17"/>
        <v>0</v>
      </c>
      <c r="Q20" s="441">
        <f t="shared" si="18"/>
        <v>0</v>
      </c>
      <c r="R20" s="442">
        <f t="shared" si="19"/>
        <v>0</v>
      </c>
      <c r="S20" s="442">
        <f t="shared" si="20"/>
        <v>0</v>
      </c>
      <c r="T20" s="443">
        <f t="shared" si="21"/>
        <v>0</v>
      </c>
      <c r="U20" s="440">
        <f t="shared" si="22"/>
        <v>0</v>
      </c>
      <c r="V20" s="441">
        <f t="shared" si="23"/>
        <v>0</v>
      </c>
      <c r="W20" s="442">
        <f t="shared" si="24"/>
        <v>0</v>
      </c>
      <c r="X20" s="442">
        <f t="shared" si="25"/>
        <v>0</v>
      </c>
      <c r="Y20" s="443">
        <f t="shared" si="26"/>
        <v>0</v>
      </c>
      <c r="Z20" s="440">
        <f t="shared" si="27"/>
        <v>0</v>
      </c>
      <c r="AA20" s="441">
        <f t="shared" si="28"/>
        <v>0</v>
      </c>
      <c r="AB20" s="442">
        <f t="shared" si="29"/>
        <v>0</v>
      </c>
      <c r="AC20" s="442">
        <f t="shared" si="30"/>
        <v>0</v>
      </c>
      <c r="AD20" s="443">
        <f t="shared" si="31"/>
        <v>0</v>
      </c>
      <c r="AE20" s="440">
        <f t="shared" si="32"/>
        <v>0</v>
      </c>
      <c r="AF20" s="441">
        <f t="shared" si="33"/>
        <v>0</v>
      </c>
      <c r="AG20" s="442">
        <f t="shared" si="34"/>
        <v>0</v>
      </c>
      <c r="AH20" s="442">
        <f t="shared" si="35"/>
        <v>0</v>
      </c>
      <c r="AI20" s="443">
        <f t="shared" si="36"/>
        <v>0</v>
      </c>
      <c r="AJ20" s="440">
        <f t="shared" si="37"/>
        <v>0</v>
      </c>
      <c r="AK20" s="441">
        <f t="shared" si="38"/>
        <v>0</v>
      </c>
      <c r="AL20" s="442">
        <f t="shared" si="39"/>
        <v>0</v>
      </c>
      <c r="AM20" s="442">
        <f t="shared" si="40"/>
        <v>0</v>
      </c>
      <c r="AN20" s="443">
        <f t="shared" si="41"/>
        <v>0</v>
      </c>
      <c r="AO20" s="440">
        <f t="shared" si="42"/>
        <v>0</v>
      </c>
      <c r="AP20" s="441">
        <f t="shared" si="43"/>
        <v>0</v>
      </c>
      <c r="AQ20" s="442">
        <f t="shared" si="44"/>
        <v>0</v>
      </c>
      <c r="AR20" s="442">
        <f t="shared" si="45"/>
        <v>0</v>
      </c>
      <c r="AS20" s="443">
        <f t="shared" si="46"/>
        <v>0</v>
      </c>
      <c r="AT20" s="440">
        <f t="shared" si="47"/>
        <v>0</v>
      </c>
      <c r="AU20" s="441">
        <f t="shared" si="48"/>
        <v>-1450</v>
      </c>
      <c r="AV20" s="442">
        <f t="shared" si="49"/>
        <v>0</v>
      </c>
      <c r="AW20" s="442">
        <f t="shared" si="50"/>
        <v>0</v>
      </c>
      <c r="AX20" s="443">
        <f t="shared" si="51"/>
        <v>0</v>
      </c>
      <c r="AY20" s="440">
        <f t="shared" si="52"/>
        <v>-1450</v>
      </c>
      <c r="AZ20" s="441">
        <f t="shared" si="53"/>
        <v>0</v>
      </c>
      <c r="BA20" s="442">
        <f t="shared" si="54"/>
        <v>0</v>
      </c>
      <c r="BB20" s="442">
        <f t="shared" si="55"/>
        <v>0</v>
      </c>
      <c r="BC20" s="443">
        <f t="shared" si="56"/>
        <v>0</v>
      </c>
      <c r="BD20" s="440">
        <f t="shared" si="57"/>
        <v>0</v>
      </c>
      <c r="BE20" s="441">
        <f t="shared" si="58"/>
        <v>0</v>
      </c>
      <c r="BF20" s="442">
        <f t="shared" si="59"/>
        <v>0</v>
      </c>
      <c r="BG20" s="442">
        <f t="shared" si="60"/>
        <v>0</v>
      </c>
      <c r="BH20" s="443">
        <f t="shared" si="61"/>
        <v>0</v>
      </c>
      <c r="BI20" s="440">
        <f t="shared" si="62"/>
        <v>0</v>
      </c>
      <c r="BJ20" s="441">
        <f t="shared" si="63"/>
        <v>0</v>
      </c>
      <c r="BK20" s="442">
        <f t="shared" si="64"/>
        <v>0</v>
      </c>
      <c r="BL20" s="442">
        <f t="shared" si="65"/>
        <v>0</v>
      </c>
      <c r="BM20" s="443">
        <f t="shared" si="66"/>
        <v>0</v>
      </c>
      <c r="BN20" s="440">
        <f t="shared" si="67"/>
        <v>0</v>
      </c>
      <c r="BO20" s="473"/>
      <c r="BP20" s="441">
        <f t="shared" si="68"/>
        <v>0</v>
      </c>
      <c r="BQ20" s="442">
        <f t="shared" si="69"/>
        <v>0</v>
      </c>
      <c r="BR20" s="442">
        <f t="shared" si="70"/>
        <v>0</v>
      </c>
      <c r="BS20" s="443">
        <f t="shared" si="71"/>
        <v>0</v>
      </c>
      <c r="BT20" s="440">
        <f t="shared" si="72"/>
        <v>0</v>
      </c>
      <c r="BU20" s="441">
        <f t="shared" si="73"/>
        <v>0</v>
      </c>
      <c r="BV20" s="442">
        <f t="shared" si="74"/>
        <v>0</v>
      </c>
      <c r="BW20" s="442">
        <f t="shared" si="75"/>
        <v>0</v>
      </c>
      <c r="BX20" s="443">
        <f t="shared" si="76"/>
        <v>0</v>
      </c>
      <c r="BY20" s="440">
        <f t="shared" si="77"/>
        <v>0</v>
      </c>
      <c r="BZ20" s="441">
        <f t="shared" si="78"/>
        <v>0</v>
      </c>
      <c r="CA20" s="442">
        <f t="shared" si="79"/>
        <v>0</v>
      </c>
      <c r="CB20" s="442">
        <f t="shared" si="80"/>
        <v>0</v>
      </c>
      <c r="CC20" s="443">
        <f t="shared" si="81"/>
        <v>0</v>
      </c>
      <c r="CD20" s="440">
        <f t="shared" si="82"/>
        <v>0</v>
      </c>
      <c r="CE20" s="441">
        <f t="shared" si="83"/>
        <v>0</v>
      </c>
      <c r="CF20" s="442">
        <f t="shared" si="84"/>
        <v>0</v>
      </c>
      <c r="CG20" s="442">
        <f t="shared" si="85"/>
        <v>0</v>
      </c>
      <c r="CH20" s="443">
        <f t="shared" si="86"/>
        <v>0</v>
      </c>
      <c r="CI20" s="440">
        <f t="shared" si="87"/>
        <v>0</v>
      </c>
      <c r="CJ20" s="441">
        <f t="shared" si="88"/>
        <v>0</v>
      </c>
      <c r="CK20" s="442">
        <f t="shared" si="89"/>
        <v>0</v>
      </c>
      <c r="CL20" s="442">
        <f t="shared" si="90"/>
        <v>0</v>
      </c>
      <c r="CM20" s="443">
        <f t="shared" si="91"/>
        <v>0</v>
      </c>
      <c r="CN20" s="440">
        <f t="shared" si="92"/>
        <v>0</v>
      </c>
      <c r="CO20" s="441">
        <f t="shared" si="93"/>
        <v>0</v>
      </c>
      <c r="CP20" s="442">
        <f t="shared" si="94"/>
        <v>0</v>
      </c>
      <c r="CQ20" s="442">
        <f t="shared" si="95"/>
        <v>0</v>
      </c>
      <c r="CR20" s="443">
        <f t="shared" si="96"/>
        <v>0</v>
      </c>
      <c r="CS20" s="440">
        <f t="shared" si="97"/>
        <v>0</v>
      </c>
      <c r="CT20" s="441">
        <f t="shared" si="98"/>
        <v>0</v>
      </c>
      <c r="CU20" s="442">
        <f t="shared" si="99"/>
        <v>0</v>
      </c>
      <c r="CV20" s="442">
        <f t="shared" si="100"/>
        <v>0</v>
      </c>
      <c r="CW20" s="443">
        <f t="shared" si="101"/>
        <v>0</v>
      </c>
      <c r="CX20" s="440">
        <f t="shared" si="102"/>
        <v>0</v>
      </c>
      <c r="CY20" s="441">
        <f t="shared" si="103"/>
        <v>-18.125</v>
      </c>
      <c r="CZ20" s="442">
        <f t="shared" si="104"/>
        <v>-18.125</v>
      </c>
      <c r="DA20" s="442">
        <f t="shared" si="105"/>
        <v>-18.125</v>
      </c>
      <c r="DB20" s="443">
        <f t="shared" si="106"/>
        <v>-18.125</v>
      </c>
      <c r="DC20" s="440">
        <f t="shared" si="107"/>
        <v>-72.5</v>
      </c>
      <c r="DD20" s="441">
        <f t="shared" si="108"/>
        <v>0</v>
      </c>
      <c r="DE20" s="442">
        <f t="shared" si="109"/>
        <v>0</v>
      </c>
      <c r="DF20" s="442">
        <f t="shared" si="110"/>
        <v>0</v>
      </c>
      <c r="DG20" s="443">
        <f t="shared" si="111"/>
        <v>0</v>
      </c>
      <c r="DH20" s="440">
        <f t="shared" si="112"/>
        <v>0</v>
      </c>
      <c r="DI20" s="441">
        <f t="shared" si="113"/>
        <v>0</v>
      </c>
      <c r="DJ20" s="442">
        <f t="shared" si="114"/>
        <v>0</v>
      </c>
      <c r="DK20" s="442">
        <f t="shared" si="115"/>
        <v>0</v>
      </c>
      <c r="DL20" s="443">
        <f t="shared" si="116"/>
        <v>0</v>
      </c>
      <c r="DM20" s="440">
        <f t="shared" si="117"/>
        <v>0</v>
      </c>
      <c r="DN20" s="441">
        <f t="shared" si="118"/>
        <v>0</v>
      </c>
      <c r="DO20" s="442">
        <f t="shared" si="119"/>
        <v>0</v>
      </c>
      <c r="DP20" s="442">
        <f t="shared" si="120"/>
        <v>0</v>
      </c>
      <c r="DQ20" s="443">
        <f t="shared" si="121"/>
        <v>0</v>
      </c>
      <c r="DR20" s="440">
        <f t="shared" si="122"/>
        <v>0</v>
      </c>
    </row>
    <row r="21" spans="1:122" ht="12.75" customHeight="1">
      <c r="C21" s="2320" t="s">
        <v>1212</v>
      </c>
      <c r="D21" s="2321"/>
      <c r="E21" s="2322">
        <v>1620</v>
      </c>
      <c r="F21" s="1945">
        <v>0</v>
      </c>
      <c r="G21" s="1945">
        <v>0</v>
      </c>
      <c r="H21" s="1967">
        <v>2019</v>
      </c>
      <c r="I21" s="2292">
        <f>1.44/27.42</f>
        <v>5.2516411378555797E-2</v>
      </c>
      <c r="J21" s="1904">
        <v>7</v>
      </c>
      <c r="K21" s="549"/>
      <c r="L21" s="441"/>
      <c r="M21" s="442"/>
      <c r="N21" s="442"/>
      <c r="O21" s="443"/>
      <c r="P21" s="440">
        <f t="shared" si="17"/>
        <v>0</v>
      </c>
      <c r="Q21" s="441">
        <f t="shared" si="18"/>
        <v>0</v>
      </c>
      <c r="R21" s="442">
        <f t="shared" si="19"/>
        <v>0</v>
      </c>
      <c r="S21" s="442">
        <f t="shared" si="20"/>
        <v>0</v>
      </c>
      <c r="T21" s="443">
        <f t="shared" si="21"/>
        <v>0</v>
      </c>
      <c r="U21" s="440">
        <f t="shared" si="22"/>
        <v>0</v>
      </c>
      <c r="V21" s="441">
        <f t="shared" si="23"/>
        <v>0</v>
      </c>
      <c r="W21" s="442">
        <f t="shared" si="24"/>
        <v>0</v>
      </c>
      <c r="X21" s="442">
        <f t="shared" si="25"/>
        <v>0</v>
      </c>
      <c r="Y21" s="443">
        <f t="shared" si="26"/>
        <v>0</v>
      </c>
      <c r="Z21" s="440">
        <f t="shared" si="27"/>
        <v>0</v>
      </c>
      <c r="AA21" s="441">
        <f t="shared" si="28"/>
        <v>0</v>
      </c>
      <c r="AB21" s="442">
        <f t="shared" si="29"/>
        <v>0</v>
      </c>
      <c r="AC21" s="442">
        <f t="shared" si="30"/>
        <v>0</v>
      </c>
      <c r="AD21" s="443">
        <f t="shared" si="31"/>
        <v>0</v>
      </c>
      <c r="AE21" s="440">
        <f t="shared" si="32"/>
        <v>0</v>
      </c>
      <c r="AF21" s="441">
        <f t="shared" si="33"/>
        <v>0</v>
      </c>
      <c r="AG21" s="442">
        <f t="shared" si="34"/>
        <v>0</v>
      </c>
      <c r="AH21" s="442">
        <f t="shared" si="35"/>
        <v>0</v>
      </c>
      <c r="AI21" s="443">
        <f t="shared" si="36"/>
        <v>0</v>
      </c>
      <c r="AJ21" s="440">
        <f t="shared" si="37"/>
        <v>0</v>
      </c>
      <c r="AK21" s="441">
        <f t="shared" si="38"/>
        <v>0</v>
      </c>
      <c r="AL21" s="442">
        <f t="shared" si="39"/>
        <v>0</v>
      </c>
      <c r="AM21" s="442">
        <f t="shared" si="40"/>
        <v>0</v>
      </c>
      <c r="AN21" s="443">
        <f t="shared" si="41"/>
        <v>0</v>
      </c>
      <c r="AO21" s="440">
        <f t="shared" si="42"/>
        <v>0</v>
      </c>
      <c r="AP21" s="441">
        <f t="shared" si="43"/>
        <v>0</v>
      </c>
      <c r="AQ21" s="442">
        <f t="shared" si="44"/>
        <v>0</v>
      </c>
      <c r="AR21" s="442">
        <f t="shared" si="45"/>
        <v>0</v>
      </c>
      <c r="AS21" s="443">
        <f t="shared" si="46"/>
        <v>0</v>
      </c>
      <c r="AT21" s="440">
        <f t="shared" si="47"/>
        <v>0</v>
      </c>
      <c r="AU21" s="441">
        <f t="shared" si="48"/>
        <v>0</v>
      </c>
      <c r="AV21" s="442">
        <f t="shared" si="49"/>
        <v>0</v>
      </c>
      <c r="AW21" s="442">
        <f t="shared" si="50"/>
        <v>0</v>
      </c>
      <c r="AX21" s="443">
        <f t="shared" si="51"/>
        <v>0</v>
      </c>
      <c r="AY21" s="440">
        <f t="shared" si="52"/>
        <v>0</v>
      </c>
      <c r="AZ21" s="441">
        <f t="shared" si="53"/>
        <v>0</v>
      </c>
      <c r="BA21" s="442">
        <f t="shared" si="54"/>
        <v>0</v>
      </c>
      <c r="BB21" s="442">
        <f t="shared" si="55"/>
        <v>-1620</v>
      </c>
      <c r="BC21" s="443">
        <f t="shared" si="56"/>
        <v>0</v>
      </c>
      <c r="BD21" s="440">
        <f t="shared" si="57"/>
        <v>-1620</v>
      </c>
      <c r="BE21" s="441">
        <f t="shared" si="58"/>
        <v>0</v>
      </c>
      <c r="BF21" s="442">
        <f t="shared" si="59"/>
        <v>0</v>
      </c>
      <c r="BG21" s="442">
        <f t="shared" si="60"/>
        <v>0</v>
      </c>
      <c r="BH21" s="443">
        <f t="shared" si="61"/>
        <v>0</v>
      </c>
      <c r="BI21" s="440">
        <f t="shared" si="62"/>
        <v>0</v>
      </c>
      <c r="BJ21" s="441">
        <f t="shared" si="63"/>
        <v>0</v>
      </c>
      <c r="BK21" s="442">
        <f t="shared" si="64"/>
        <v>0</v>
      </c>
      <c r="BL21" s="442">
        <f t="shared" si="65"/>
        <v>0</v>
      </c>
      <c r="BM21" s="443">
        <f t="shared" si="66"/>
        <v>0</v>
      </c>
      <c r="BN21" s="440">
        <f t="shared" si="67"/>
        <v>0</v>
      </c>
      <c r="BO21" s="473"/>
      <c r="BP21" s="441">
        <f t="shared" si="68"/>
        <v>0</v>
      </c>
      <c r="BQ21" s="442">
        <f t="shared" si="69"/>
        <v>0</v>
      </c>
      <c r="BR21" s="442">
        <f t="shared" si="70"/>
        <v>0</v>
      </c>
      <c r="BS21" s="443">
        <f t="shared" si="71"/>
        <v>0</v>
      </c>
      <c r="BT21" s="440">
        <f t="shared" si="72"/>
        <v>0</v>
      </c>
      <c r="BU21" s="441">
        <f t="shared" si="73"/>
        <v>0</v>
      </c>
      <c r="BV21" s="442">
        <f t="shared" si="74"/>
        <v>0</v>
      </c>
      <c r="BW21" s="442">
        <f t="shared" si="75"/>
        <v>0</v>
      </c>
      <c r="BX21" s="443">
        <f t="shared" si="76"/>
        <v>0</v>
      </c>
      <c r="BY21" s="440">
        <f t="shared" si="77"/>
        <v>0</v>
      </c>
      <c r="BZ21" s="441">
        <f t="shared" si="78"/>
        <v>0</v>
      </c>
      <c r="CA21" s="442">
        <f t="shared" si="79"/>
        <v>0</v>
      </c>
      <c r="CB21" s="442">
        <f t="shared" si="80"/>
        <v>0</v>
      </c>
      <c r="CC21" s="443">
        <f t="shared" si="81"/>
        <v>0</v>
      </c>
      <c r="CD21" s="440">
        <f t="shared" si="82"/>
        <v>0</v>
      </c>
      <c r="CE21" s="441">
        <f t="shared" si="83"/>
        <v>0</v>
      </c>
      <c r="CF21" s="442">
        <f t="shared" si="84"/>
        <v>0</v>
      </c>
      <c r="CG21" s="442">
        <f t="shared" si="85"/>
        <v>0</v>
      </c>
      <c r="CH21" s="443">
        <f t="shared" si="86"/>
        <v>0</v>
      </c>
      <c r="CI21" s="440">
        <f t="shared" si="87"/>
        <v>0</v>
      </c>
      <c r="CJ21" s="441">
        <f t="shared" si="88"/>
        <v>0</v>
      </c>
      <c r="CK21" s="442">
        <f t="shared" si="89"/>
        <v>0</v>
      </c>
      <c r="CL21" s="442">
        <f t="shared" si="90"/>
        <v>0</v>
      </c>
      <c r="CM21" s="443">
        <f t="shared" si="91"/>
        <v>0</v>
      </c>
      <c r="CN21" s="440">
        <f t="shared" si="92"/>
        <v>0</v>
      </c>
      <c r="CO21" s="441">
        <f t="shared" si="93"/>
        <v>0</v>
      </c>
      <c r="CP21" s="442">
        <f t="shared" si="94"/>
        <v>0</v>
      </c>
      <c r="CQ21" s="442">
        <f t="shared" si="95"/>
        <v>0</v>
      </c>
      <c r="CR21" s="443">
        <f t="shared" si="96"/>
        <v>0</v>
      </c>
      <c r="CS21" s="440">
        <f t="shared" si="97"/>
        <v>0</v>
      </c>
      <c r="CT21" s="441">
        <f t="shared" si="98"/>
        <v>0</v>
      </c>
      <c r="CU21" s="442">
        <f t="shared" si="99"/>
        <v>0</v>
      </c>
      <c r="CV21" s="442">
        <f t="shared" si="100"/>
        <v>0</v>
      </c>
      <c r="CW21" s="443">
        <f t="shared" si="101"/>
        <v>0</v>
      </c>
      <c r="CX21" s="440">
        <f t="shared" si="102"/>
        <v>0</v>
      </c>
      <c r="CY21" s="441">
        <f t="shared" si="103"/>
        <v>0</v>
      </c>
      <c r="CZ21" s="442">
        <f t="shared" si="104"/>
        <v>0</v>
      </c>
      <c r="DA21" s="442">
        <f t="shared" si="105"/>
        <v>0</v>
      </c>
      <c r="DB21" s="443">
        <f t="shared" si="106"/>
        <v>0</v>
      </c>
      <c r="DC21" s="440">
        <f t="shared" si="107"/>
        <v>0</v>
      </c>
      <c r="DD21" s="441">
        <f t="shared" si="108"/>
        <v>0</v>
      </c>
      <c r="DE21" s="442">
        <f t="shared" si="109"/>
        <v>0</v>
      </c>
      <c r="DF21" s="442">
        <f t="shared" si="110"/>
        <v>-21.269146608315097</v>
      </c>
      <c r="DG21" s="443">
        <f t="shared" si="111"/>
        <v>-21.269146608315097</v>
      </c>
      <c r="DH21" s="440">
        <f t="shared" si="112"/>
        <v>-42.538293216630194</v>
      </c>
      <c r="DI21" s="441">
        <f t="shared" si="113"/>
        <v>-21.269146608315097</v>
      </c>
      <c r="DJ21" s="442">
        <f t="shared" si="114"/>
        <v>-21.269146608315097</v>
      </c>
      <c r="DK21" s="442">
        <f t="shared" si="115"/>
        <v>0</v>
      </c>
      <c r="DL21" s="443">
        <f t="shared" si="116"/>
        <v>0</v>
      </c>
      <c r="DM21" s="440">
        <f t="shared" si="117"/>
        <v>-42.538293216630194</v>
      </c>
      <c r="DN21" s="441">
        <f t="shared" si="118"/>
        <v>0</v>
      </c>
      <c r="DO21" s="442">
        <f t="shared" si="119"/>
        <v>0</v>
      </c>
      <c r="DP21" s="442">
        <f t="shared" si="120"/>
        <v>0</v>
      </c>
      <c r="DQ21" s="443">
        <f t="shared" si="121"/>
        <v>0</v>
      </c>
      <c r="DR21" s="440">
        <f t="shared" si="122"/>
        <v>0</v>
      </c>
    </row>
    <row r="22" spans="1:122" ht="12.75" customHeight="1">
      <c r="C22" s="1946" t="s">
        <v>1160</v>
      </c>
      <c r="D22" s="395"/>
      <c r="E22" s="188">
        <f>IF(F22=0,G22,F22)</f>
        <v>1200</v>
      </c>
      <c r="F22" s="1945">
        <v>1200</v>
      </c>
      <c r="G22" s="1945">
        <v>1200</v>
      </c>
      <c r="H22" s="1308">
        <v>2021</v>
      </c>
      <c r="I22" s="1947">
        <v>0.05</v>
      </c>
      <c r="J22" s="1904">
        <v>6</v>
      </c>
      <c r="K22" s="549"/>
      <c r="L22" s="441">
        <f>IF(P22=0,0,IF(P22&lt;0,IF($J22=3,P22,IF($J22=2,P22,IF($J22=1,P22,0)))))</f>
        <v>0</v>
      </c>
      <c r="M22" s="442">
        <f>IF(P22=0,0,IF(P22&lt;0,IF($J22=6,P22,IF($J22=5,P22,IF($J22=4,P22,0)))))</f>
        <v>0</v>
      </c>
      <c r="N22" s="442">
        <f>IF(P22=0,0,IF(P22&lt;0,IF($J22=9,P22,IF($J22=8,P22,IF($J22=7,P22,0)))))</f>
        <v>0</v>
      </c>
      <c r="O22" s="443">
        <f>IF(P22=0,0,IF(P22&lt;0,IF($J22=12,P22,IF($J22=11,P22,IF($J22=10,P22,0)))))</f>
        <v>0</v>
      </c>
      <c r="P22" s="440">
        <f t="shared" si="17"/>
        <v>0</v>
      </c>
      <c r="Q22" s="441">
        <f t="shared" si="18"/>
        <v>0</v>
      </c>
      <c r="R22" s="442">
        <f t="shared" si="19"/>
        <v>0</v>
      </c>
      <c r="S22" s="442">
        <f t="shared" si="20"/>
        <v>0</v>
      </c>
      <c r="T22" s="443">
        <f t="shared" si="21"/>
        <v>0</v>
      </c>
      <c r="U22" s="440">
        <f t="shared" si="22"/>
        <v>0</v>
      </c>
      <c r="V22" s="441">
        <f t="shared" si="23"/>
        <v>0</v>
      </c>
      <c r="W22" s="442">
        <f t="shared" si="24"/>
        <v>0</v>
      </c>
      <c r="X22" s="442">
        <f t="shared" si="25"/>
        <v>0</v>
      </c>
      <c r="Y22" s="443">
        <f t="shared" si="26"/>
        <v>0</v>
      </c>
      <c r="Z22" s="440">
        <f t="shared" si="27"/>
        <v>0</v>
      </c>
      <c r="AA22" s="441">
        <f t="shared" si="28"/>
        <v>0</v>
      </c>
      <c r="AB22" s="442">
        <f t="shared" si="29"/>
        <v>0</v>
      </c>
      <c r="AC22" s="442">
        <f t="shared" si="30"/>
        <v>0</v>
      </c>
      <c r="AD22" s="443">
        <f t="shared" si="31"/>
        <v>0</v>
      </c>
      <c r="AE22" s="440">
        <f t="shared" si="32"/>
        <v>0</v>
      </c>
      <c r="AF22" s="441">
        <f t="shared" si="33"/>
        <v>0</v>
      </c>
      <c r="AG22" s="442">
        <f t="shared" si="34"/>
        <v>0</v>
      </c>
      <c r="AH22" s="442">
        <f t="shared" si="35"/>
        <v>0</v>
      </c>
      <c r="AI22" s="443">
        <f t="shared" si="36"/>
        <v>0</v>
      </c>
      <c r="AJ22" s="440">
        <f t="shared" si="37"/>
        <v>0</v>
      </c>
      <c r="AK22" s="441">
        <f t="shared" si="38"/>
        <v>0</v>
      </c>
      <c r="AL22" s="442">
        <f t="shared" si="39"/>
        <v>0</v>
      </c>
      <c r="AM22" s="442">
        <f t="shared" si="40"/>
        <v>0</v>
      </c>
      <c r="AN22" s="443">
        <f t="shared" si="41"/>
        <v>0</v>
      </c>
      <c r="AO22" s="440">
        <f t="shared" si="42"/>
        <v>0</v>
      </c>
      <c r="AP22" s="441">
        <f t="shared" si="43"/>
        <v>0</v>
      </c>
      <c r="AQ22" s="442">
        <f t="shared" si="44"/>
        <v>0</v>
      </c>
      <c r="AR22" s="442">
        <f t="shared" si="45"/>
        <v>0</v>
      </c>
      <c r="AS22" s="443">
        <f t="shared" si="46"/>
        <v>0</v>
      </c>
      <c r="AT22" s="440">
        <f t="shared" si="47"/>
        <v>0</v>
      </c>
      <c r="AU22" s="441">
        <f t="shared" si="48"/>
        <v>0</v>
      </c>
      <c r="AV22" s="442">
        <f t="shared" si="49"/>
        <v>0</v>
      </c>
      <c r="AW22" s="442">
        <f t="shared" si="50"/>
        <v>0</v>
      </c>
      <c r="AX22" s="443">
        <f t="shared" si="51"/>
        <v>0</v>
      </c>
      <c r="AY22" s="440">
        <f t="shared" si="52"/>
        <v>0</v>
      </c>
      <c r="AZ22" s="441">
        <f t="shared" si="53"/>
        <v>0</v>
      </c>
      <c r="BA22" s="442">
        <f t="shared" si="54"/>
        <v>0</v>
      </c>
      <c r="BB22" s="442">
        <f t="shared" si="55"/>
        <v>0</v>
      </c>
      <c r="BC22" s="443">
        <f t="shared" si="56"/>
        <v>0</v>
      </c>
      <c r="BD22" s="440">
        <f t="shared" si="57"/>
        <v>0</v>
      </c>
      <c r="BE22" s="441">
        <f t="shared" si="58"/>
        <v>0</v>
      </c>
      <c r="BF22" s="442">
        <f t="shared" si="59"/>
        <v>0</v>
      </c>
      <c r="BG22" s="442">
        <f t="shared" si="60"/>
        <v>0</v>
      </c>
      <c r="BH22" s="443">
        <f t="shared" si="61"/>
        <v>0</v>
      </c>
      <c r="BI22" s="440">
        <f t="shared" si="62"/>
        <v>0</v>
      </c>
      <c r="BJ22" s="441">
        <f t="shared" si="63"/>
        <v>0</v>
      </c>
      <c r="BK22" s="442">
        <f t="shared" si="64"/>
        <v>-1200</v>
      </c>
      <c r="BL22" s="442">
        <f t="shared" si="65"/>
        <v>0</v>
      </c>
      <c r="BM22" s="443">
        <f t="shared" si="66"/>
        <v>0</v>
      </c>
      <c r="BN22" s="440">
        <f t="shared" si="67"/>
        <v>-1200</v>
      </c>
      <c r="BO22" s="473"/>
      <c r="BP22" s="441">
        <f t="shared" si="68"/>
        <v>0</v>
      </c>
      <c r="BQ22" s="442">
        <f t="shared" si="69"/>
        <v>0</v>
      </c>
      <c r="BR22" s="442">
        <f t="shared" si="70"/>
        <v>0</v>
      </c>
      <c r="BS22" s="443">
        <f t="shared" si="71"/>
        <v>0</v>
      </c>
      <c r="BT22" s="440">
        <f t="shared" si="72"/>
        <v>0</v>
      </c>
      <c r="BU22" s="441">
        <f t="shared" si="73"/>
        <v>0</v>
      </c>
      <c r="BV22" s="442">
        <f t="shared" si="74"/>
        <v>0</v>
      </c>
      <c r="BW22" s="442">
        <f t="shared" si="75"/>
        <v>0</v>
      </c>
      <c r="BX22" s="443">
        <f t="shared" si="76"/>
        <v>0</v>
      </c>
      <c r="BY22" s="440">
        <f t="shared" si="77"/>
        <v>0</v>
      </c>
      <c r="BZ22" s="441">
        <f t="shared" si="78"/>
        <v>0</v>
      </c>
      <c r="CA22" s="442">
        <f t="shared" si="79"/>
        <v>0</v>
      </c>
      <c r="CB22" s="442">
        <f t="shared" si="80"/>
        <v>0</v>
      </c>
      <c r="CC22" s="443">
        <f t="shared" si="81"/>
        <v>0</v>
      </c>
      <c r="CD22" s="440">
        <f t="shared" si="82"/>
        <v>0</v>
      </c>
      <c r="CE22" s="441">
        <f t="shared" si="83"/>
        <v>0</v>
      </c>
      <c r="CF22" s="442">
        <f t="shared" si="84"/>
        <v>0</v>
      </c>
      <c r="CG22" s="442">
        <f t="shared" si="85"/>
        <v>0</v>
      </c>
      <c r="CH22" s="443">
        <f t="shared" si="86"/>
        <v>0</v>
      </c>
      <c r="CI22" s="440">
        <f t="shared" si="87"/>
        <v>0</v>
      </c>
      <c r="CJ22" s="441">
        <f t="shared" si="88"/>
        <v>0</v>
      </c>
      <c r="CK22" s="442">
        <f t="shared" si="89"/>
        <v>0</v>
      </c>
      <c r="CL22" s="442">
        <f t="shared" si="90"/>
        <v>0</v>
      </c>
      <c r="CM22" s="443">
        <f t="shared" si="91"/>
        <v>0</v>
      </c>
      <c r="CN22" s="440">
        <f t="shared" si="92"/>
        <v>0</v>
      </c>
      <c r="CO22" s="441">
        <f t="shared" si="93"/>
        <v>0</v>
      </c>
      <c r="CP22" s="442">
        <f t="shared" si="94"/>
        <v>0</v>
      </c>
      <c r="CQ22" s="442">
        <f t="shared" si="95"/>
        <v>0</v>
      </c>
      <c r="CR22" s="443">
        <f t="shared" si="96"/>
        <v>0</v>
      </c>
      <c r="CS22" s="440">
        <f t="shared" si="97"/>
        <v>0</v>
      </c>
      <c r="CT22" s="441">
        <f t="shared" si="98"/>
        <v>0</v>
      </c>
      <c r="CU22" s="442">
        <f t="shared" si="99"/>
        <v>0</v>
      </c>
      <c r="CV22" s="442">
        <f t="shared" si="100"/>
        <v>0</v>
      </c>
      <c r="CW22" s="443">
        <f t="shared" si="101"/>
        <v>0</v>
      </c>
      <c r="CX22" s="440">
        <f t="shared" si="102"/>
        <v>0</v>
      </c>
      <c r="CY22" s="441">
        <f t="shared" si="103"/>
        <v>0</v>
      </c>
      <c r="CZ22" s="442">
        <f t="shared" si="104"/>
        <v>0</v>
      </c>
      <c r="DA22" s="442">
        <f t="shared" si="105"/>
        <v>0</v>
      </c>
      <c r="DB22" s="443">
        <f t="shared" si="106"/>
        <v>0</v>
      </c>
      <c r="DC22" s="440">
        <f t="shared" si="107"/>
        <v>0</v>
      </c>
      <c r="DD22" s="441">
        <f t="shared" si="108"/>
        <v>0</v>
      </c>
      <c r="DE22" s="442">
        <f t="shared" si="109"/>
        <v>0</v>
      </c>
      <c r="DF22" s="442">
        <f t="shared" si="110"/>
        <v>0</v>
      </c>
      <c r="DG22" s="443">
        <f t="shared" si="111"/>
        <v>0</v>
      </c>
      <c r="DH22" s="440">
        <f t="shared" si="112"/>
        <v>0</v>
      </c>
      <c r="DI22" s="441">
        <f t="shared" si="113"/>
        <v>0</v>
      </c>
      <c r="DJ22" s="442">
        <f t="shared" si="114"/>
        <v>0</v>
      </c>
      <c r="DK22" s="442">
        <f t="shared" si="115"/>
        <v>0</v>
      </c>
      <c r="DL22" s="443">
        <f t="shared" si="116"/>
        <v>0</v>
      </c>
      <c r="DM22" s="440">
        <f t="shared" si="117"/>
        <v>0</v>
      </c>
      <c r="DN22" s="441">
        <f t="shared" si="118"/>
        <v>0</v>
      </c>
      <c r="DO22" s="442">
        <f t="shared" si="119"/>
        <v>-5</v>
      </c>
      <c r="DP22" s="442">
        <f t="shared" si="120"/>
        <v>-15</v>
      </c>
      <c r="DQ22" s="443">
        <f t="shared" si="121"/>
        <v>-15</v>
      </c>
      <c r="DR22" s="440">
        <f t="shared" si="122"/>
        <v>-35</v>
      </c>
    </row>
    <row r="23" spans="1:122" ht="12.75" customHeight="1">
      <c r="C23" s="27" t="s">
        <v>1201</v>
      </c>
      <c r="D23" s="395"/>
      <c r="E23" s="188">
        <f>IF(F23=0,G23,F23)</f>
        <v>500</v>
      </c>
      <c r="F23" s="559">
        <v>500</v>
      </c>
      <c r="G23" s="559"/>
      <c r="H23" s="1308">
        <v>2022</v>
      </c>
      <c r="I23" s="1354">
        <v>2.8500000000000001E-2</v>
      </c>
      <c r="J23" s="1749">
        <v>7</v>
      </c>
      <c r="K23" s="549"/>
      <c r="L23" s="441"/>
      <c r="M23" s="442"/>
      <c r="N23" s="442"/>
      <c r="O23" s="443"/>
      <c r="P23" s="440">
        <f t="shared" si="17"/>
        <v>0</v>
      </c>
      <c r="Q23" s="441">
        <f t="shared" si="18"/>
        <v>0</v>
      </c>
      <c r="R23" s="442">
        <f t="shared" si="19"/>
        <v>0</v>
      </c>
      <c r="S23" s="442">
        <f t="shared" si="20"/>
        <v>0</v>
      </c>
      <c r="T23" s="443">
        <f t="shared" si="21"/>
        <v>0</v>
      </c>
      <c r="U23" s="440">
        <f t="shared" si="22"/>
        <v>0</v>
      </c>
      <c r="V23" s="441">
        <f t="shared" si="23"/>
        <v>0</v>
      </c>
      <c r="W23" s="442">
        <f t="shared" si="24"/>
        <v>0</v>
      </c>
      <c r="X23" s="442">
        <f t="shared" si="25"/>
        <v>0</v>
      </c>
      <c r="Y23" s="443">
        <f t="shared" si="26"/>
        <v>0</v>
      </c>
      <c r="Z23" s="440">
        <f t="shared" si="27"/>
        <v>0</v>
      </c>
      <c r="AA23" s="441">
        <f t="shared" si="28"/>
        <v>0</v>
      </c>
      <c r="AB23" s="442">
        <f t="shared" si="29"/>
        <v>0</v>
      </c>
      <c r="AC23" s="442">
        <f t="shared" si="30"/>
        <v>0</v>
      </c>
      <c r="AD23" s="443">
        <f t="shared" si="31"/>
        <v>0</v>
      </c>
      <c r="AE23" s="440">
        <f t="shared" si="32"/>
        <v>0</v>
      </c>
      <c r="AF23" s="441">
        <f t="shared" si="33"/>
        <v>0</v>
      </c>
      <c r="AG23" s="442">
        <f t="shared" si="34"/>
        <v>0</v>
      </c>
      <c r="AH23" s="442">
        <f t="shared" si="35"/>
        <v>0</v>
      </c>
      <c r="AI23" s="443">
        <f t="shared" si="36"/>
        <v>0</v>
      </c>
      <c r="AJ23" s="440">
        <f t="shared" si="37"/>
        <v>0</v>
      </c>
      <c r="AK23" s="441">
        <f t="shared" si="38"/>
        <v>0</v>
      </c>
      <c r="AL23" s="442">
        <f t="shared" si="39"/>
        <v>0</v>
      </c>
      <c r="AM23" s="442">
        <f t="shared" si="40"/>
        <v>0</v>
      </c>
      <c r="AN23" s="443">
        <f t="shared" si="41"/>
        <v>0</v>
      </c>
      <c r="AO23" s="440">
        <f t="shared" si="42"/>
        <v>0</v>
      </c>
      <c r="AP23" s="441">
        <f t="shared" si="43"/>
        <v>0</v>
      </c>
      <c r="AQ23" s="442">
        <f t="shared" si="44"/>
        <v>0</v>
      </c>
      <c r="AR23" s="442">
        <f t="shared" si="45"/>
        <v>0</v>
      </c>
      <c r="AS23" s="443">
        <f t="shared" si="46"/>
        <v>0</v>
      </c>
      <c r="AT23" s="440">
        <f t="shared" si="47"/>
        <v>0</v>
      </c>
      <c r="AU23" s="441">
        <f t="shared" si="48"/>
        <v>0</v>
      </c>
      <c r="AV23" s="442">
        <f t="shared" si="49"/>
        <v>0</v>
      </c>
      <c r="AW23" s="442">
        <f t="shared" si="50"/>
        <v>0</v>
      </c>
      <c r="AX23" s="443">
        <f t="shared" si="51"/>
        <v>0</v>
      </c>
      <c r="AY23" s="440">
        <f t="shared" si="52"/>
        <v>0</v>
      </c>
      <c r="AZ23" s="441">
        <f t="shared" si="53"/>
        <v>0</v>
      </c>
      <c r="BA23" s="442">
        <f t="shared" si="54"/>
        <v>0</v>
      </c>
      <c r="BB23" s="442">
        <f t="shared" si="55"/>
        <v>0</v>
      </c>
      <c r="BC23" s="443">
        <f t="shared" si="56"/>
        <v>0</v>
      </c>
      <c r="BD23" s="440">
        <f t="shared" si="57"/>
        <v>0</v>
      </c>
      <c r="BE23" s="441">
        <f t="shared" si="58"/>
        <v>0</v>
      </c>
      <c r="BF23" s="442">
        <f t="shared" si="59"/>
        <v>0</v>
      </c>
      <c r="BG23" s="442">
        <f t="shared" si="60"/>
        <v>0</v>
      </c>
      <c r="BH23" s="443">
        <f t="shared" si="61"/>
        <v>0</v>
      </c>
      <c r="BI23" s="440">
        <f t="shared" si="62"/>
        <v>0</v>
      </c>
      <c r="BJ23" s="441">
        <f t="shared" si="63"/>
        <v>0</v>
      </c>
      <c r="BK23" s="442">
        <f t="shared" si="64"/>
        <v>0</v>
      </c>
      <c r="BL23" s="442">
        <f t="shared" si="65"/>
        <v>0</v>
      </c>
      <c r="BM23" s="443">
        <f t="shared" si="66"/>
        <v>0</v>
      </c>
      <c r="BN23" s="440">
        <f t="shared" si="67"/>
        <v>0</v>
      </c>
      <c r="BO23" s="473"/>
      <c r="BP23" s="441">
        <f t="shared" si="68"/>
        <v>0</v>
      </c>
      <c r="BQ23" s="442">
        <f t="shared" si="69"/>
        <v>0</v>
      </c>
      <c r="BR23" s="442">
        <f t="shared" si="70"/>
        <v>0</v>
      </c>
      <c r="BS23" s="443">
        <f t="shared" si="71"/>
        <v>0</v>
      </c>
      <c r="BT23" s="440">
        <f t="shared" si="72"/>
        <v>0</v>
      </c>
      <c r="BU23" s="441">
        <f t="shared" si="73"/>
        <v>0</v>
      </c>
      <c r="BV23" s="442">
        <f t="shared" si="74"/>
        <v>0</v>
      </c>
      <c r="BW23" s="442">
        <f t="shared" si="75"/>
        <v>0</v>
      </c>
      <c r="BX23" s="443">
        <f t="shared" si="76"/>
        <v>0</v>
      </c>
      <c r="BY23" s="440">
        <f t="shared" si="77"/>
        <v>0</v>
      </c>
      <c r="BZ23" s="441">
        <f t="shared" si="78"/>
        <v>0</v>
      </c>
      <c r="CA23" s="442">
        <f t="shared" si="79"/>
        <v>0</v>
      </c>
      <c r="CB23" s="442">
        <f t="shared" si="80"/>
        <v>0</v>
      </c>
      <c r="CC23" s="443">
        <f t="shared" si="81"/>
        <v>0</v>
      </c>
      <c r="CD23" s="440">
        <f t="shared" si="82"/>
        <v>0</v>
      </c>
      <c r="CE23" s="441">
        <f t="shared" si="83"/>
        <v>0</v>
      </c>
      <c r="CF23" s="442">
        <f t="shared" si="84"/>
        <v>0</v>
      </c>
      <c r="CG23" s="442">
        <f t="shared" si="85"/>
        <v>0</v>
      </c>
      <c r="CH23" s="443">
        <f t="shared" si="86"/>
        <v>0</v>
      </c>
      <c r="CI23" s="440">
        <f t="shared" si="87"/>
        <v>0</v>
      </c>
      <c r="CJ23" s="441">
        <f t="shared" si="88"/>
        <v>0</v>
      </c>
      <c r="CK23" s="442">
        <f t="shared" si="89"/>
        <v>0</v>
      </c>
      <c r="CL23" s="442">
        <f t="shared" si="90"/>
        <v>0</v>
      </c>
      <c r="CM23" s="443">
        <f t="shared" si="91"/>
        <v>0</v>
      </c>
      <c r="CN23" s="440">
        <f t="shared" si="92"/>
        <v>0</v>
      </c>
      <c r="CO23" s="441">
        <f t="shared" si="93"/>
        <v>0</v>
      </c>
      <c r="CP23" s="442">
        <f t="shared" si="94"/>
        <v>0</v>
      </c>
      <c r="CQ23" s="442">
        <f t="shared" si="95"/>
        <v>0</v>
      </c>
      <c r="CR23" s="443">
        <f t="shared" si="96"/>
        <v>0</v>
      </c>
      <c r="CS23" s="440">
        <f t="shared" si="97"/>
        <v>0</v>
      </c>
      <c r="CT23" s="441">
        <f t="shared" si="98"/>
        <v>0</v>
      </c>
      <c r="CU23" s="442">
        <f t="shared" si="99"/>
        <v>0</v>
      </c>
      <c r="CV23" s="442">
        <f t="shared" si="100"/>
        <v>0</v>
      </c>
      <c r="CW23" s="443">
        <f t="shared" si="101"/>
        <v>0</v>
      </c>
      <c r="CX23" s="440">
        <f t="shared" si="102"/>
        <v>0</v>
      </c>
      <c r="CY23" s="441">
        <f t="shared" si="103"/>
        <v>0</v>
      </c>
      <c r="CZ23" s="442">
        <f t="shared" si="104"/>
        <v>0</v>
      </c>
      <c r="DA23" s="442">
        <f t="shared" si="105"/>
        <v>0</v>
      </c>
      <c r="DB23" s="443">
        <f t="shared" si="106"/>
        <v>0</v>
      </c>
      <c r="DC23" s="440">
        <f t="shared" si="107"/>
        <v>0</v>
      </c>
      <c r="DD23" s="441">
        <f t="shared" si="108"/>
        <v>0</v>
      </c>
      <c r="DE23" s="442">
        <f t="shared" si="109"/>
        <v>0</v>
      </c>
      <c r="DF23" s="442">
        <f t="shared" si="110"/>
        <v>0</v>
      </c>
      <c r="DG23" s="443">
        <f t="shared" si="111"/>
        <v>0</v>
      </c>
      <c r="DH23" s="440">
        <f t="shared" si="112"/>
        <v>0</v>
      </c>
      <c r="DI23" s="441">
        <f t="shared" si="113"/>
        <v>0</v>
      </c>
      <c r="DJ23" s="442">
        <f t="shared" si="114"/>
        <v>0</v>
      </c>
      <c r="DK23" s="442">
        <f t="shared" si="115"/>
        <v>0</v>
      </c>
      <c r="DL23" s="443">
        <f t="shared" si="116"/>
        <v>0</v>
      </c>
      <c r="DM23" s="440">
        <f t="shared" si="117"/>
        <v>0</v>
      </c>
      <c r="DN23" s="441">
        <f t="shared" si="118"/>
        <v>0</v>
      </c>
      <c r="DO23" s="442">
        <f t="shared" si="119"/>
        <v>0</v>
      </c>
      <c r="DP23" s="442">
        <f t="shared" si="120"/>
        <v>0</v>
      </c>
      <c r="DQ23" s="443">
        <f t="shared" si="121"/>
        <v>0</v>
      </c>
      <c r="DR23" s="440">
        <f t="shared" si="122"/>
        <v>0</v>
      </c>
    </row>
    <row r="24" spans="1:122" ht="12.75" customHeight="1">
      <c r="A24" s="92"/>
      <c r="B24" s="92"/>
      <c r="C24" s="1123" t="s">
        <v>72</v>
      </c>
      <c r="D24" s="395"/>
      <c r="E24" s="188">
        <f>IF(F24=0,G24,F24)</f>
        <v>850</v>
      </c>
      <c r="F24" s="1945">
        <v>850</v>
      </c>
      <c r="G24" s="1945">
        <v>850</v>
      </c>
      <c r="H24" s="1308">
        <v>2023</v>
      </c>
      <c r="I24" s="1354">
        <v>4.2500000000000003E-2</v>
      </c>
      <c r="J24" s="2015">
        <v>6</v>
      </c>
      <c r="K24" s="549"/>
      <c r="L24" s="441">
        <f>IF(P24=0,0,IF(P24&lt;0,IF($J24=3,P24,IF($J24=2,P24,IF($J24=1,P24,0)))))</f>
        <v>0</v>
      </c>
      <c r="M24" s="442">
        <f>IF(P24=0,0,IF(P24&lt;0,IF($J24=6,P24,IF($J24=5,P24,IF($J24=4,P24,0)))))</f>
        <v>0</v>
      </c>
      <c r="N24" s="442">
        <f>IF(P24=0,0,IF(P24&lt;0,IF($J24=9,P24,IF($J24=8,P24,IF($J24=7,P24,0)))))</f>
        <v>0</v>
      </c>
      <c r="O24" s="443">
        <f>IF(P24=0,0,IF(P24&lt;0,IF($J24=12,P24,IF($J24=11,P24,IF($J24=10,P24,0)))))</f>
        <v>0</v>
      </c>
      <c r="P24" s="440">
        <f t="shared" si="17"/>
        <v>0</v>
      </c>
      <c r="Q24" s="441">
        <f t="shared" si="18"/>
        <v>0</v>
      </c>
      <c r="R24" s="442">
        <f t="shared" si="19"/>
        <v>0</v>
      </c>
      <c r="S24" s="442">
        <f t="shared" si="20"/>
        <v>0</v>
      </c>
      <c r="T24" s="443">
        <f t="shared" si="21"/>
        <v>0</v>
      </c>
      <c r="U24" s="440">
        <f t="shared" si="22"/>
        <v>0</v>
      </c>
      <c r="V24" s="441">
        <f t="shared" si="23"/>
        <v>0</v>
      </c>
      <c r="W24" s="442">
        <f t="shared" si="24"/>
        <v>0</v>
      </c>
      <c r="X24" s="442">
        <f t="shared" si="25"/>
        <v>0</v>
      </c>
      <c r="Y24" s="443">
        <f t="shared" si="26"/>
        <v>0</v>
      </c>
      <c r="Z24" s="440">
        <f t="shared" si="27"/>
        <v>0</v>
      </c>
      <c r="AA24" s="441">
        <f t="shared" si="28"/>
        <v>0</v>
      </c>
      <c r="AB24" s="442">
        <f t="shared" si="29"/>
        <v>0</v>
      </c>
      <c r="AC24" s="442">
        <f t="shared" si="30"/>
        <v>0</v>
      </c>
      <c r="AD24" s="443">
        <f t="shared" si="31"/>
        <v>0</v>
      </c>
      <c r="AE24" s="440">
        <f t="shared" si="32"/>
        <v>0</v>
      </c>
      <c r="AF24" s="441">
        <f t="shared" si="33"/>
        <v>0</v>
      </c>
      <c r="AG24" s="442">
        <f t="shared" si="34"/>
        <v>0</v>
      </c>
      <c r="AH24" s="442">
        <f t="shared" si="35"/>
        <v>0</v>
      </c>
      <c r="AI24" s="443">
        <f t="shared" si="36"/>
        <v>0</v>
      </c>
      <c r="AJ24" s="440">
        <f t="shared" si="37"/>
        <v>0</v>
      </c>
      <c r="AK24" s="441">
        <f t="shared" si="38"/>
        <v>0</v>
      </c>
      <c r="AL24" s="442">
        <f t="shared" si="39"/>
        <v>0</v>
      </c>
      <c r="AM24" s="442">
        <f t="shared" si="40"/>
        <v>0</v>
      </c>
      <c r="AN24" s="443">
        <f t="shared" si="41"/>
        <v>0</v>
      </c>
      <c r="AO24" s="440">
        <f t="shared" si="42"/>
        <v>0</v>
      </c>
      <c r="AP24" s="441">
        <f t="shared" si="43"/>
        <v>0</v>
      </c>
      <c r="AQ24" s="442">
        <f t="shared" si="44"/>
        <v>0</v>
      </c>
      <c r="AR24" s="442">
        <f t="shared" si="45"/>
        <v>0</v>
      </c>
      <c r="AS24" s="443">
        <f t="shared" si="46"/>
        <v>0</v>
      </c>
      <c r="AT24" s="440">
        <f t="shared" si="47"/>
        <v>0</v>
      </c>
      <c r="AU24" s="441">
        <f t="shared" si="48"/>
        <v>0</v>
      </c>
      <c r="AV24" s="442">
        <f t="shared" si="49"/>
        <v>0</v>
      </c>
      <c r="AW24" s="442">
        <f t="shared" si="50"/>
        <v>0</v>
      </c>
      <c r="AX24" s="443">
        <f t="shared" si="51"/>
        <v>0</v>
      </c>
      <c r="AY24" s="440">
        <f t="shared" si="52"/>
        <v>0</v>
      </c>
      <c r="AZ24" s="441">
        <f t="shared" si="53"/>
        <v>0</v>
      </c>
      <c r="BA24" s="442">
        <f t="shared" si="54"/>
        <v>0</v>
      </c>
      <c r="BB24" s="442">
        <f t="shared" si="55"/>
        <v>0</v>
      </c>
      <c r="BC24" s="443">
        <f t="shared" si="56"/>
        <v>0</v>
      </c>
      <c r="BD24" s="440">
        <f t="shared" si="57"/>
        <v>0</v>
      </c>
      <c r="BE24" s="441">
        <f t="shared" si="58"/>
        <v>0</v>
      </c>
      <c r="BF24" s="442">
        <f t="shared" si="59"/>
        <v>0</v>
      </c>
      <c r="BG24" s="442">
        <f t="shared" si="60"/>
        <v>0</v>
      </c>
      <c r="BH24" s="443">
        <f t="shared" si="61"/>
        <v>0</v>
      </c>
      <c r="BI24" s="440">
        <f t="shared" si="62"/>
        <v>0</v>
      </c>
      <c r="BJ24" s="441">
        <f t="shared" si="63"/>
        <v>0</v>
      </c>
      <c r="BK24" s="442">
        <f t="shared" si="64"/>
        <v>0</v>
      </c>
      <c r="BL24" s="442">
        <f t="shared" si="65"/>
        <v>0</v>
      </c>
      <c r="BM24" s="443">
        <f t="shared" si="66"/>
        <v>0</v>
      </c>
      <c r="BN24" s="440">
        <f t="shared" si="67"/>
        <v>0</v>
      </c>
      <c r="BO24" s="463"/>
      <c r="BP24" s="441">
        <f t="shared" si="68"/>
        <v>0</v>
      </c>
      <c r="BQ24" s="442">
        <f t="shared" si="69"/>
        <v>0</v>
      </c>
      <c r="BR24" s="442">
        <f t="shared" si="70"/>
        <v>0</v>
      </c>
      <c r="BS24" s="443">
        <f t="shared" si="71"/>
        <v>0</v>
      </c>
      <c r="BT24" s="440">
        <f t="shared" si="72"/>
        <v>0</v>
      </c>
      <c r="BU24" s="441">
        <f t="shared" si="73"/>
        <v>0</v>
      </c>
      <c r="BV24" s="442">
        <f t="shared" si="74"/>
        <v>0</v>
      </c>
      <c r="BW24" s="442">
        <f t="shared" si="75"/>
        <v>0</v>
      </c>
      <c r="BX24" s="443">
        <f t="shared" si="76"/>
        <v>0</v>
      </c>
      <c r="BY24" s="440">
        <f t="shared" si="77"/>
        <v>0</v>
      </c>
      <c r="BZ24" s="441">
        <f t="shared" si="78"/>
        <v>0</v>
      </c>
      <c r="CA24" s="442">
        <f t="shared" si="79"/>
        <v>0</v>
      </c>
      <c r="CB24" s="442">
        <f t="shared" si="80"/>
        <v>0</v>
      </c>
      <c r="CC24" s="443">
        <f t="shared" si="81"/>
        <v>0</v>
      </c>
      <c r="CD24" s="440">
        <f t="shared" si="82"/>
        <v>0</v>
      </c>
      <c r="CE24" s="441">
        <f t="shared" si="83"/>
        <v>0</v>
      </c>
      <c r="CF24" s="442">
        <f t="shared" si="84"/>
        <v>0</v>
      </c>
      <c r="CG24" s="442">
        <f t="shared" si="85"/>
        <v>0</v>
      </c>
      <c r="CH24" s="443">
        <f t="shared" si="86"/>
        <v>0</v>
      </c>
      <c r="CI24" s="440">
        <f t="shared" si="87"/>
        <v>0</v>
      </c>
      <c r="CJ24" s="441">
        <f t="shared" si="88"/>
        <v>0</v>
      </c>
      <c r="CK24" s="442">
        <f t="shared" si="89"/>
        <v>0</v>
      </c>
      <c r="CL24" s="442">
        <f t="shared" si="90"/>
        <v>0</v>
      </c>
      <c r="CM24" s="443">
        <f t="shared" si="91"/>
        <v>0</v>
      </c>
      <c r="CN24" s="440">
        <f t="shared" si="92"/>
        <v>0</v>
      </c>
      <c r="CO24" s="441">
        <f t="shared" si="93"/>
        <v>0</v>
      </c>
      <c r="CP24" s="442">
        <f t="shared" si="94"/>
        <v>0</v>
      </c>
      <c r="CQ24" s="442">
        <f t="shared" si="95"/>
        <v>0</v>
      </c>
      <c r="CR24" s="443">
        <f t="shared" si="96"/>
        <v>0</v>
      </c>
      <c r="CS24" s="440">
        <f t="shared" si="97"/>
        <v>0</v>
      </c>
      <c r="CT24" s="441">
        <f t="shared" si="98"/>
        <v>0</v>
      </c>
      <c r="CU24" s="442">
        <f t="shared" si="99"/>
        <v>0</v>
      </c>
      <c r="CV24" s="442">
        <f t="shared" si="100"/>
        <v>0</v>
      </c>
      <c r="CW24" s="443">
        <f t="shared" si="101"/>
        <v>0</v>
      </c>
      <c r="CX24" s="440">
        <f t="shared" si="102"/>
        <v>0</v>
      </c>
      <c r="CY24" s="441">
        <f t="shared" si="103"/>
        <v>0</v>
      </c>
      <c r="CZ24" s="442">
        <f t="shared" si="104"/>
        <v>0</v>
      </c>
      <c r="DA24" s="442">
        <f t="shared" si="105"/>
        <v>0</v>
      </c>
      <c r="DB24" s="443">
        <f t="shared" si="106"/>
        <v>0</v>
      </c>
      <c r="DC24" s="440">
        <f t="shared" si="107"/>
        <v>0</v>
      </c>
      <c r="DD24" s="441">
        <f t="shared" si="108"/>
        <v>0</v>
      </c>
      <c r="DE24" s="442">
        <f t="shared" si="109"/>
        <v>0</v>
      </c>
      <c r="DF24" s="442">
        <f t="shared" si="110"/>
        <v>0</v>
      </c>
      <c r="DG24" s="443">
        <f t="shared" si="111"/>
        <v>0</v>
      </c>
      <c r="DH24" s="440">
        <f t="shared" si="112"/>
        <v>0</v>
      </c>
      <c r="DI24" s="441">
        <f t="shared" si="113"/>
        <v>0</v>
      </c>
      <c r="DJ24" s="442">
        <f t="shared" si="114"/>
        <v>0</v>
      </c>
      <c r="DK24" s="442">
        <f t="shared" si="115"/>
        <v>0</v>
      </c>
      <c r="DL24" s="443">
        <f t="shared" si="116"/>
        <v>0</v>
      </c>
      <c r="DM24" s="440">
        <f t="shared" si="117"/>
        <v>0</v>
      </c>
      <c r="DN24" s="441">
        <f t="shared" si="118"/>
        <v>0</v>
      </c>
      <c r="DO24" s="442">
        <f t="shared" si="119"/>
        <v>0</v>
      </c>
      <c r="DP24" s="442">
        <f t="shared" si="120"/>
        <v>0</v>
      </c>
      <c r="DQ24" s="443">
        <f t="shared" si="121"/>
        <v>0</v>
      </c>
      <c r="DR24" s="440">
        <f t="shared" si="122"/>
        <v>0</v>
      </c>
    </row>
    <row r="25" spans="1:122" ht="12.75" customHeight="1">
      <c r="C25" s="27" t="s">
        <v>1202</v>
      </c>
      <c r="D25" s="574"/>
      <c r="E25" s="188">
        <f>IF(F25=0,G25,F25)</f>
        <v>1500</v>
      </c>
      <c r="F25" s="559">
        <v>1500</v>
      </c>
      <c r="G25" s="559">
        <v>0</v>
      </c>
      <c r="H25" s="1308">
        <v>2027</v>
      </c>
      <c r="I25" s="1354">
        <v>3.9E-2</v>
      </c>
      <c r="J25" s="1749">
        <v>7</v>
      </c>
      <c r="K25" s="549"/>
      <c r="L25" s="441"/>
      <c r="M25" s="442"/>
      <c r="N25" s="442"/>
      <c r="O25" s="443"/>
      <c r="P25" s="440">
        <f t="shared" si="17"/>
        <v>0</v>
      </c>
      <c r="Q25" s="441">
        <f t="shared" si="18"/>
        <v>0</v>
      </c>
      <c r="R25" s="442">
        <f t="shared" si="19"/>
        <v>0</v>
      </c>
      <c r="S25" s="442">
        <f t="shared" si="20"/>
        <v>0</v>
      </c>
      <c r="T25" s="443">
        <f t="shared" si="21"/>
        <v>0</v>
      </c>
      <c r="U25" s="440">
        <f t="shared" si="22"/>
        <v>0</v>
      </c>
      <c r="V25" s="441">
        <f t="shared" si="23"/>
        <v>0</v>
      </c>
      <c r="W25" s="442">
        <f t="shared" si="24"/>
        <v>0</v>
      </c>
      <c r="X25" s="442">
        <f t="shared" si="25"/>
        <v>0</v>
      </c>
      <c r="Y25" s="443">
        <f t="shared" si="26"/>
        <v>0</v>
      </c>
      <c r="Z25" s="440">
        <f t="shared" si="27"/>
        <v>0</v>
      </c>
      <c r="AA25" s="441">
        <f t="shared" si="28"/>
        <v>0</v>
      </c>
      <c r="AB25" s="442">
        <f t="shared" si="29"/>
        <v>0</v>
      </c>
      <c r="AC25" s="442">
        <f t="shared" si="30"/>
        <v>0</v>
      </c>
      <c r="AD25" s="443">
        <f t="shared" si="31"/>
        <v>0</v>
      </c>
      <c r="AE25" s="440">
        <f t="shared" si="32"/>
        <v>0</v>
      </c>
      <c r="AF25" s="441">
        <f t="shared" si="33"/>
        <v>0</v>
      </c>
      <c r="AG25" s="442">
        <f t="shared" si="34"/>
        <v>0</v>
      </c>
      <c r="AH25" s="442">
        <f t="shared" si="35"/>
        <v>0</v>
      </c>
      <c r="AI25" s="443">
        <f t="shared" si="36"/>
        <v>0</v>
      </c>
      <c r="AJ25" s="440">
        <f t="shared" si="37"/>
        <v>0</v>
      </c>
      <c r="AK25" s="441">
        <f t="shared" si="38"/>
        <v>0</v>
      </c>
      <c r="AL25" s="442">
        <f t="shared" si="39"/>
        <v>0</v>
      </c>
      <c r="AM25" s="442">
        <f t="shared" si="40"/>
        <v>0</v>
      </c>
      <c r="AN25" s="443">
        <f t="shared" si="41"/>
        <v>0</v>
      </c>
      <c r="AO25" s="440">
        <f t="shared" si="42"/>
        <v>0</v>
      </c>
      <c r="AP25" s="441">
        <f t="shared" si="43"/>
        <v>0</v>
      </c>
      <c r="AQ25" s="442">
        <f t="shared" si="44"/>
        <v>0</v>
      </c>
      <c r="AR25" s="442">
        <f t="shared" si="45"/>
        <v>0</v>
      </c>
      <c r="AS25" s="443">
        <f t="shared" si="46"/>
        <v>0</v>
      </c>
      <c r="AT25" s="440">
        <f t="shared" si="47"/>
        <v>0</v>
      </c>
      <c r="AU25" s="441">
        <f t="shared" si="48"/>
        <v>0</v>
      </c>
      <c r="AV25" s="442">
        <f t="shared" si="49"/>
        <v>0</v>
      </c>
      <c r="AW25" s="442">
        <f t="shared" si="50"/>
        <v>0</v>
      </c>
      <c r="AX25" s="443">
        <f t="shared" si="51"/>
        <v>0</v>
      </c>
      <c r="AY25" s="440">
        <f t="shared" si="52"/>
        <v>0</v>
      </c>
      <c r="AZ25" s="441">
        <f t="shared" si="53"/>
        <v>0</v>
      </c>
      <c r="BA25" s="442">
        <f t="shared" si="54"/>
        <v>0</v>
      </c>
      <c r="BB25" s="442">
        <f t="shared" si="55"/>
        <v>0</v>
      </c>
      <c r="BC25" s="443">
        <f t="shared" si="56"/>
        <v>0</v>
      </c>
      <c r="BD25" s="440">
        <f t="shared" si="57"/>
        <v>0</v>
      </c>
      <c r="BE25" s="441">
        <f t="shared" si="58"/>
        <v>0</v>
      </c>
      <c r="BF25" s="442">
        <f t="shared" si="59"/>
        <v>0</v>
      </c>
      <c r="BG25" s="442">
        <f t="shared" si="60"/>
        <v>0</v>
      </c>
      <c r="BH25" s="443">
        <f t="shared" si="61"/>
        <v>0</v>
      </c>
      <c r="BI25" s="440">
        <f t="shared" si="62"/>
        <v>0</v>
      </c>
      <c r="BJ25" s="441">
        <f t="shared" si="63"/>
        <v>0</v>
      </c>
      <c r="BK25" s="442">
        <f t="shared" si="64"/>
        <v>0</v>
      </c>
      <c r="BL25" s="442">
        <f t="shared" si="65"/>
        <v>0</v>
      </c>
      <c r="BM25" s="443">
        <f t="shared" si="66"/>
        <v>0</v>
      </c>
      <c r="BN25" s="440">
        <f t="shared" si="67"/>
        <v>0</v>
      </c>
      <c r="BO25" s="473"/>
      <c r="BP25" s="441">
        <f t="shared" si="68"/>
        <v>0</v>
      </c>
      <c r="BQ25" s="442">
        <f t="shared" si="69"/>
        <v>0</v>
      </c>
      <c r="BR25" s="442">
        <f t="shared" si="70"/>
        <v>0</v>
      </c>
      <c r="BS25" s="443">
        <f t="shared" si="71"/>
        <v>0</v>
      </c>
      <c r="BT25" s="440">
        <f t="shared" si="72"/>
        <v>0</v>
      </c>
      <c r="BU25" s="441">
        <f t="shared" si="73"/>
        <v>0</v>
      </c>
      <c r="BV25" s="442">
        <f t="shared" si="74"/>
        <v>0</v>
      </c>
      <c r="BW25" s="442">
        <f t="shared" si="75"/>
        <v>0</v>
      </c>
      <c r="BX25" s="443">
        <f t="shared" si="76"/>
        <v>0</v>
      </c>
      <c r="BY25" s="440">
        <f t="shared" si="77"/>
        <v>0</v>
      </c>
      <c r="BZ25" s="441">
        <f t="shared" si="78"/>
        <v>0</v>
      </c>
      <c r="CA25" s="442">
        <f t="shared" si="79"/>
        <v>0</v>
      </c>
      <c r="CB25" s="442">
        <f t="shared" si="80"/>
        <v>0</v>
      </c>
      <c r="CC25" s="443">
        <f t="shared" si="81"/>
        <v>0</v>
      </c>
      <c r="CD25" s="440">
        <f t="shared" si="82"/>
        <v>0</v>
      </c>
      <c r="CE25" s="441">
        <f t="shared" si="83"/>
        <v>0</v>
      </c>
      <c r="CF25" s="442">
        <f t="shared" si="84"/>
        <v>0</v>
      </c>
      <c r="CG25" s="442">
        <f t="shared" si="85"/>
        <v>0</v>
      </c>
      <c r="CH25" s="443">
        <f t="shared" si="86"/>
        <v>0</v>
      </c>
      <c r="CI25" s="440">
        <f t="shared" si="87"/>
        <v>0</v>
      </c>
      <c r="CJ25" s="441">
        <f t="shared" si="88"/>
        <v>0</v>
      </c>
      <c r="CK25" s="442">
        <f t="shared" si="89"/>
        <v>0</v>
      </c>
      <c r="CL25" s="442">
        <f t="shared" si="90"/>
        <v>0</v>
      </c>
      <c r="CM25" s="443">
        <f t="shared" si="91"/>
        <v>0</v>
      </c>
      <c r="CN25" s="440">
        <f t="shared" si="92"/>
        <v>0</v>
      </c>
      <c r="CO25" s="441">
        <f t="shared" si="93"/>
        <v>0</v>
      </c>
      <c r="CP25" s="442">
        <f t="shared" si="94"/>
        <v>0</v>
      </c>
      <c r="CQ25" s="442">
        <f t="shared" si="95"/>
        <v>0</v>
      </c>
      <c r="CR25" s="443">
        <f t="shared" si="96"/>
        <v>0</v>
      </c>
      <c r="CS25" s="440">
        <f t="shared" si="97"/>
        <v>0</v>
      </c>
      <c r="CT25" s="441">
        <f t="shared" si="98"/>
        <v>0</v>
      </c>
      <c r="CU25" s="442">
        <f t="shared" si="99"/>
        <v>0</v>
      </c>
      <c r="CV25" s="442">
        <f t="shared" si="100"/>
        <v>0</v>
      </c>
      <c r="CW25" s="443">
        <f t="shared" si="101"/>
        <v>0</v>
      </c>
      <c r="CX25" s="440">
        <f t="shared" si="102"/>
        <v>0</v>
      </c>
      <c r="CY25" s="441">
        <f t="shared" si="103"/>
        <v>0</v>
      </c>
      <c r="CZ25" s="442">
        <f t="shared" si="104"/>
        <v>0</v>
      </c>
      <c r="DA25" s="442">
        <f t="shared" si="105"/>
        <v>0</v>
      </c>
      <c r="DB25" s="443">
        <f t="shared" si="106"/>
        <v>0</v>
      </c>
      <c r="DC25" s="440">
        <f t="shared" si="107"/>
        <v>0</v>
      </c>
      <c r="DD25" s="441">
        <f t="shared" si="108"/>
        <v>0</v>
      </c>
      <c r="DE25" s="442">
        <f t="shared" si="109"/>
        <v>0</v>
      </c>
      <c r="DF25" s="442">
        <f t="shared" si="110"/>
        <v>0</v>
      </c>
      <c r="DG25" s="443">
        <f t="shared" si="111"/>
        <v>0</v>
      </c>
      <c r="DH25" s="440">
        <f t="shared" si="112"/>
        <v>0</v>
      </c>
      <c r="DI25" s="441">
        <f t="shared" si="113"/>
        <v>0</v>
      </c>
      <c r="DJ25" s="442">
        <f t="shared" si="114"/>
        <v>0</v>
      </c>
      <c r="DK25" s="442">
        <f t="shared" si="115"/>
        <v>0</v>
      </c>
      <c r="DL25" s="443">
        <f t="shared" si="116"/>
        <v>0</v>
      </c>
      <c r="DM25" s="440">
        <f t="shared" si="117"/>
        <v>0</v>
      </c>
      <c r="DN25" s="441">
        <f t="shared" si="118"/>
        <v>0</v>
      </c>
      <c r="DO25" s="442">
        <f t="shared" si="119"/>
        <v>0</v>
      </c>
      <c r="DP25" s="442">
        <f t="shared" si="120"/>
        <v>0</v>
      </c>
      <c r="DQ25" s="443">
        <f t="shared" si="121"/>
        <v>0</v>
      </c>
      <c r="DR25" s="440">
        <f t="shared" si="122"/>
        <v>0</v>
      </c>
    </row>
    <row r="26" spans="1:122" ht="12.75" customHeight="1">
      <c r="A26" s="92"/>
      <c r="B26" s="92"/>
      <c r="C26" s="1590" t="s">
        <v>71</v>
      </c>
      <c r="D26" s="395"/>
      <c r="E26" s="188">
        <f t="shared" ref="E26:E27" si="123">IF(F26=0,G26,F26)</f>
        <v>650</v>
      </c>
      <c r="F26" s="1945">
        <v>0</v>
      </c>
      <c r="G26" s="1945">
        <v>650</v>
      </c>
      <c r="H26" s="1308">
        <v>2017</v>
      </c>
      <c r="I26" s="1354">
        <v>2.75E-2</v>
      </c>
      <c r="J26" s="1353">
        <v>6</v>
      </c>
      <c r="K26" s="549"/>
      <c r="L26" s="441">
        <f t="shared" ref="L26" si="124">IF(P26=0,0,IF(P26&lt;0,IF($J26=3,P26,IF($J26=2,P26,IF($J26=1,P26,0)))))</f>
        <v>0</v>
      </c>
      <c r="M26" s="442">
        <f t="shared" ref="M26" si="125">IF(P26=0,0,IF(P26&lt;0,IF($J26=6,P26,IF($J26=5,P26,IF($J26=4,P26,0)))))</f>
        <v>0</v>
      </c>
      <c r="N26" s="442">
        <f t="shared" ref="N26" si="126">IF(P26=0,0,IF(P26&lt;0,IF($J26=9,P26,IF($J26=8,P26,IF($J26=7,P26,0)))))</f>
        <v>0</v>
      </c>
      <c r="O26" s="443">
        <f t="shared" ref="O26" si="127">IF(P26=0,0,IF(P26&lt;0,IF($J26=12,P26,IF($J26=11,P26,IF($J26=10,P26,0)))))</f>
        <v>0</v>
      </c>
      <c r="P26" s="440">
        <f t="shared" ref="P26" si="128">IF(P$5=$H26,-$E26,0)</f>
        <v>0</v>
      </c>
      <c r="Q26" s="441">
        <f t="shared" ref="Q26" si="129">IF(U26=0,0,IF(U26&lt;0,IF($J26=3,U26,IF($J26=2,U26,IF($J26=1,U26,0)))))</f>
        <v>0</v>
      </c>
      <c r="R26" s="442">
        <f t="shared" ref="R26" si="130">IF(U26=0,0,IF(U26&lt;0,IF($J26=6,U26,IF($J26=5,U26,IF($J26=4,U26,0)))))</f>
        <v>0</v>
      </c>
      <c r="S26" s="442">
        <f t="shared" ref="S26" si="131">IF(U26=0,0,IF(U26&lt;0,IF($J26=9,U26,IF($J26=8,U26,IF($J26=7,U26,0)))))</f>
        <v>0</v>
      </c>
      <c r="T26" s="443">
        <f t="shared" ref="T26" si="132">IF(U26=0,0,IF(U26&lt;0,IF($J26=12,U26,IF($J26=11,U26,IF($J26=10,U26,0)))))</f>
        <v>0</v>
      </c>
      <c r="U26" s="440">
        <f t="shared" ref="U26" si="133">IF(U$5=$H26,-$E26,0)</f>
        <v>0</v>
      </c>
      <c r="V26" s="441">
        <f t="shared" ref="V26" si="134">IF(Z26=0,0,IF(Z26&lt;0,IF($J26=3,Z26,IF($J26=2,Z26,IF($J26=1,Z26,0)))))</f>
        <v>0</v>
      </c>
      <c r="W26" s="442">
        <f t="shared" ref="W26" si="135">IF(Z26=0,0,IF(Z26&lt;0,IF($J26=6,Z26,IF($J26=5,Z26,IF($J26=4,Z26,0)))))</f>
        <v>0</v>
      </c>
      <c r="X26" s="442">
        <f t="shared" ref="X26" si="136">IF(Z26=0,0,IF(Z26&lt;0,IF($J26=9,Z26,IF($J26=8,Z26,IF($J26=7,Z26,0)))))</f>
        <v>0</v>
      </c>
      <c r="Y26" s="443">
        <f t="shared" ref="Y26" si="137">IF(Z26=0,0,IF(Z26&lt;0,IF($J26=12,Z26,IF($J26=11,Z26,IF($J26=10,Z26,0)))))</f>
        <v>0</v>
      </c>
      <c r="Z26" s="440">
        <f t="shared" ref="Z26" si="138">IF(Z$5=$H26,-$E26,0)</f>
        <v>0</v>
      </c>
      <c r="AA26" s="441">
        <f t="shared" ref="AA26" si="139">IF(AE26=0,0,IF(AE26&lt;0,IF($J26=3,AE26,IF($J26=2,AE26,IF($J26=1,AE26,0)))))</f>
        <v>0</v>
      </c>
      <c r="AB26" s="442">
        <f t="shared" ref="AB26" si="140">IF(AE26=0,0,IF(AE26&lt;0,IF($J26=6,AE26,IF($J26=5,AE26,IF($J26=4,AE26,0)))))</f>
        <v>0</v>
      </c>
      <c r="AC26" s="442">
        <f t="shared" ref="AC26" si="141">IF(AE26=0,0,IF(AE26&lt;0,IF($J26=9,AE26,IF($J26=8,AE26,IF($J26=7,AE26,0)))))</f>
        <v>0</v>
      </c>
      <c r="AD26" s="443">
        <f t="shared" ref="AD26" si="142">IF(AE26=0,0,IF(AE26&lt;0,IF($J26=12,AE26,IF($J26=11,AE26,IF($J26=10,AE26,0)))))</f>
        <v>0</v>
      </c>
      <c r="AE26" s="440">
        <f t="shared" ref="AE26" si="143">IF(AE$5=$H26,-$E26,0)</f>
        <v>0</v>
      </c>
      <c r="AF26" s="441">
        <f t="shared" ref="AF26" si="144">IF(AJ26=0,0,IF(AJ26&lt;0,IF($J26=3,AJ26,IF($J26=2,AJ26,IF($J26=1,AJ26,0)))))</f>
        <v>0</v>
      </c>
      <c r="AG26" s="442">
        <f t="shared" ref="AG26" si="145">IF(AJ26=0,0,IF(AJ26&lt;0,IF($J26=6,AJ26,IF($J26=5,AJ26,IF($J26=4,AJ26,0)))))</f>
        <v>0</v>
      </c>
      <c r="AH26" s="442">
        <f t="shared" ref="AH26" si="146">IF(AJ26=0,0,IF(AJ26&lt;0,IF($J26=9,AJ26,IF($J26=8,AJ26,IF($J26=7,AJ26,0)))))</f>
        <v>0</v>
      </c>
      <c r="AI26" s="443">
        <f t="shared" ref="AI26" si="147">IF(AJ26=0,0,IF(AJ26&lt;0,IF($J26=12,AJ26,IF($J26=11,AJ26,IF($J26=10,AJ26,0)))))</f>
        <v>0</v>
      </c>
      <c r="AJ26" s="440">
        <f t="shared" ref="AJ26" si="148">IF(AJ$5=$H26,-$E26,0)</f>
        <v>0</v>
      </c>
      <c r="AK26" s="441">
        <f t="shared" ref="AK26" si="149">IF(AO26=0,0,IF(AO26&lt;0,IF($J26=3,AO26,IF($J26=2,AO26,IF($J26=1,AO26,0)))))</f>
        <v>0</v>
      </c>
      <c r="AL26" s="442">
        <f t="shared" ref="AL26" si="150">IF(AO26=0,0,IF(AO26&lt;0,IF($J26=6,AO26,IF($J26=5,AO26,IF($J26=4,AO26,0)))))</f>
        <v>0</v>
      </c>
      <c r="AM26" s="442">
        <f t="shared" ref="AM26" si="151">IF(AO26=0,0,IF(AO26&lt;0,IF($J26=9,AO26,IF($J26=8,AO26,IF($J26=7,AO26,0)))))</f>
        <v>0</v>
      </c>
      <c r="AN26" s="443">
        <f t="shared" ref="AN26" si="152">IF(AO26=0,0,IF(AO26&lt;0,IF($J26=12,AO26,IF($J26=11,AO26,IF($J26=10,AO26,0)))))</f>
        <v>0</v>
      </c>
      <c r="AO26" s="440">
        <f t="shared" ref="AO26" si="153">IF(AO$5=$H26,-$E26,0)</f>
        <v>0</v>
      </c>
      <c r="AP26" s="441">
        <f t="shared" ref="AP26" si="154">IF(AT26=0,0,IF(AT26&lt;0,IF($J26=3,AT26,IF($J26=2,AT26,IF($J26=1,AT26,0)))))</f>
        <v>0</v>
      </c>
      <c r="AQ26" s="442">
        <f t="shared" ref="AQ26" si="155">IF(AT26=0,0,IF(AT26&lt;0,IF($J26=6,AT26,IF($J26=5,AT26,IF($J26=4,AT26,0)))))</f>
        <v>-650</v>
      </c>
      <c r="AR26" s="442">
        <f t="shared" ref="AR26" si="156">IF(AT26=0,0,IF(AT26&lt;0,IF($J26=9,AT26,IF($J26=8,AT26,IF($J26=7,AT26,0)))))</f>
        <v>0</v>
      </c>
      <c r="AS26" s="443">
        <f t="shared" ref="AS26" si="157">IF(AT26=0,0,IF(AT26&lt;0,IF($J26=12,AT26,IF($J26=11,AT26,IF($J26=10,AT26,0)))))</f>
        <v>0</v>
      </c>
      <c r="AT26" s="440">
        <f t="shared" ref="AT26" si="158">IF(AT$5=$H26,-$E26,0)</f>
        <v>-650</v>
      </c>
      <c r="AU26" s="441">
        <f t="shared" ref="AU26" si="159">IF(AY26=0,0,IF(AY26&lt;0,IF($J26=3,AY26,IF($J26=2,AY26,IF($J26=1,AY26,0)))))</f>
        <v>0</v>
      </c>
      <c r="AV26" s="442">
        <f t="shared" ref="AV26" si="160">IF(AY26=0,0,IF(AY26&lt;0,IF($J26=6,AY26,IF($J26=5,AY26,IF($J26=4,AY26,0)))))</f>
        <v>0</v>
      </c>
      <c r="AW26" s="442">
        <f t="shared" ref="AW26" si="161">IF(AY26=0,0,IF(AY26&lt;0,IF($J26=9,AY26,IF($J26=8,AY26,IF($J26=7,AY26,0)))))</f>
        <v>0</v>
      </c>
      <c r="AX26" s="443">
        <f t="shared" ref="AX26" si="162">IF(AY26=0,0,IF(AY26&lt;0,IF($J26=12,AY26,IF($J26=11,AY26,IF($J26=10,AY26,0)))))</f>
        <v>0</v>
      </c>
      <c r="AY26" s="440">
        <f t="shared" ref="AY26" si="163">IF(AY$5=$H26,-$E26,0)</f>
        <v>0</v>
      </c>
      <c r="AZ26" s="441">
        <f t="shared" ref="AZ26" si="164">IF(BD26=0,0,IF(BD26&lt;0,IF($J26=3,BD26,IF($J26=2,BD26,IF($J26=1,BD26,0)))))</f>
        <v>0</v>
      </c>
      <c r="BA26" s="442">
        <f t="shared" ref="BA26" si="165">IF(BD26=0,0,IF(BD26&lt;0,IF($J26=6,BD26,IF($J26=5,BD26,IF($J26=4,BD26,0)))))</f>
        <v>0</v>
      </c>
      <c r="BB26" s="442">
        <f t="shared" ref="BB26" si="166">IF(BD26=0,0,IF(BD26&lt;0,IF($J26=9,BD26,IF($J26=8,BD26,IF($J26=7,BD26,0)))))</f>
        <v>0</v>
      </c>
      <c r="BC26" s="443">
        <f t="shared" ref="BC26" si="167">IF(BD26=0,0,IF(BD26&lt;0,IF($J26=12,BD26,IF($J26=11,BD26,IF($J26=10,BD26,0)))))</f>
        <v>0</v>
      </c>
      <c r="BD26" s="440">
        <f t="shared" ref="BD26" si="168">IF(BD$5=$H26,-$E26,0)</f>
        <v>0</v>
      </c>
      <c r="BE26" s="441">
        <f t="shared" ref="BE26" si="169">IF(BI26=0,0,IF(BI26&lt;0,IF($J26=3,BI26,IF($J26=2,BI26,IF($J26=1,BI26,0)))))</f>
        <v>0</v>
      </c>
      <c r="BF26" s="442">
        <f t="shared" ref="BF26" si="170">IF(BI26=0,0,IF(BI26&lt;0,IF($J26=6,BI26,IF($J26=5,BI26,IF($J26=4,BI26,0)))))</f>
        <v>0</v>
      </c>
      <c r="BG26" s="442">
        <f t="shared" ref="BG26" si="171">IF(BI26=0,0,IF(BI26&lt;0,IF($J26=9,BI26,IF($J26=8,BI26,IF($J26=7,BI26,0)))))</f>
        <v>0</v>
      </c>
      <c r="BH26" s="443">
        <f t="shared" ref="BH26" si="172">IF(BI26=0,0,IF(BI26&lt;0,IF($J26=12,BI26,IF($J26=11,BI26,IF($J26=10,BI26,0)))))</f>
        <v>0</v>
      </c>
      <c r="BI26" s="440">
        <f t="shared" ref="BI26" si="173">IF(BI$5=$H26,-$E26,0)</f>
        <v>0</v>
      </c>
      <c r="BJ26" s="441">
        <f t="shared" ref="BJ26" si="174">IF(BN26=0,0,IF(BN26&lt;0,IF($J26=3,BN26,IF($J26=2,BN26,IF($J26=1,BN26,0)))))</f>
        <v>0</v>
      </c>
      <c r="BK26" s="442">
        <f t="shared" ref="BK26" si="175">IF(BN26=0,0,IF(BN26&lt;0,IF($J26=6,BN26,IF($J26=5,BN26,IF($J26=4,BN26,0)))))</f>
        <v>0</v>
      </c>
      <c r="BL26" s="442">
        <f t="shared" ref="BL26" si="176">IF(BN26=0,0,IF(BN26&lt;0,IF($J26=9,BN26,IF($J26=8,BN26,IF($J26=7,BN26,0)))))</f>
        <v>0</v>
      </c>
      <c r="BM26" s="443">
        <f t="shared" ref="BM26" si="177">IF(BN26=0,0,IF(BN26&lt;0,IF($J26=12,BN26,IF($J26=11,BN26,IF($J26=10,BN26,0)))))</f>
        <v>0</v>
      </c>
      <c r="BN26" s="440">
        <f t="shared" ref="BN26" si="178">IF(BN$5=$H26,-$E26,0)</f>
        <v>0</v>
      </c>
      <c r="BO26" s="463"/>
      <c r="BP26" s="441">
        <f t="shared" ref="BP26" si="179">IF($H26&lt;&gt;BT$5,0,IF(BT26&lt;0,IF($J26=1,-$E26*$I26/12*3,IF($J26=2,-$E26*$I26/12*2,IF($J26=3,-$E26*$I26/12*1,0)))))+IF(BO$5&lt;&gt;$H26,0,IF(BO26&lt;0,IF($J26=1,-$E26*$I26/12*0,IF($J26=2,-$E26*$I26/12*1,IF($J26=3,-$E26*$I26/12*2,IF($J26&gt;=4,-$E26*$I26/12*3,0))))))</f>
        <v>0</v>
      </c>
      <c r="BQ26" s="442">
        <f t="shared" ref="BQ26" si="180">IF($H26&lt;&gt;BT$5,0,IF(BT26&lt;0,IF(OR($J26=1,$J26=2,$J26=3,$J26=4),-$E26*$I26/12*3,IF($J26=5,-$E26*$I26/12*2,IF($J26=6,-$E26*$I26/12*1,0)))))+IF(BO$5&lt;&gt;$H26,0,IF(BO26&lt;0,IF($J26=4,-$E26*$I26/12*0,IF($J26=5,-$E26*$I26/12*1,IF($J26=6,-$E26*$I26/12*2,IF($J26&gt;=7,-$E26*$I26/12*3,0))))))</f>
        <v>0</v>
      </c>
      <c r="BR26" s="442">
        <f t="shared" ref="BR26" si="181">IF($H26&lt;&gt;BT$5,0,IF(BT26&lt;0,IF(OR($J26=1,$J26=2,$J26=3,$J26=4,$J26=5,$J26=6,$J26=7),-$E26*$I26/12*3,IF($J26=8,-$E26*$I26/12*2,IF($J26=9,-$E26*$I26/12*1,0)))))+IF(BO$5&lt;&gt;$H26,0,IF(BO26&lt;0,IF($J26=7,-$E26*$I26/12*0,IF($J26=8,-$E26*$I26/12*1,IF($J26=9,-$E26*$I26/12*2,IF($J26&gt;=10,-$E26*$I26/12*3,0))))))</f>
        <v>0</v>
      </c>
      <c r="BS26" s="443">
        <f t="shared" ref="BS26" si="182">IF($H26&lt;&gt;BT$5,0,IF(BT26&lt;0,IF(OR($J26=1,$J26=2,$J26=3,$J26=4,$J26=5,$J26=6,$J26=7,$J26=8,$J26=9,$J26=10),-$E26*$I26/12*3,IF($J26=11,-$E26*$I26/12*2,IF($J26=12,-$E26*$I26/12*1,0)))))+IF(BO$5&lt;&gt;$H26,0,IF(BO26&lt;0,IF($J26=10,-$E26*$I26/12*0,IF($J26=11,-$E26*$I26/12*1,IF($J26=12,-$E26*$I26/12*2,0)))))</f>
        <v>0</v>
      </c>
      <c r="BT26" s="440">
        <f t="shared" ref="BT26" si="183">IF(AND(BO26&lt;&gt;0,BO$5=$H26),-$I26*$E26-BO26,IF(BT$5=$H26,-$I26*$E26*(12-$J26+1)/12,0))</f>
        <v>0</v>
      </c>
      <c r="BU26" s="441">
        <f t="shared" ref="BU26" si="184">IF($H26&lt;&gt;BY$5,0,IF(BY26&lt;0,IF($J26=1,-$E26*$I26/12*3,IF($J26=2,-$E26*$I26/12*2,IF($J26=3,-$E26*$I26/12*1,0)))))+IF(BT$5&lt;&gt;$H26,0,IF(BT26&lt;0,IF($J26=1,-$E26*$I26/12*0,IF($J26=2,-$E26*$I26/12*1,IF($J26=3,-$E26*$I26/12*2,IF($J26&gt;=4,-$E26*$I26/12*3,0))))))</f>
        <v>0</v>
      </c>
      <c r="BV26" s="442">
        <f t="shared" ref="BV26" si="185">IF($H26&lt;&gt;BY$5,0,IF(BY26&lt;0,IF(OR($J26=1,$J26=2,$J26=3,$J26=4),-$E26*$I26/12*3,IF($J26=5,-$E26*$I26/12*2,IF($J26=6,-$E26*$I26/12*1,0)))))+IF(BT$5&lt;&gt;$H26,0,IF(BT26&lt;0,IF($J26=4,-$E26*$I26/12*0,IF($J26=5,-$E26*$I26/12*1,IF($J26=6,-$E26*$I26/12*2,IF($J26&gt;=7,-$E26*$I26/12*3,0))))))</f>
        <v>0</v>
      </c>
      <c r="BW26" s="442">
        <f t="shared" ref="BW26" si="186">IF($H26&lt;&gt;BY$5,0,IF(BY26&lt;0,IF(OR($J26=1,$J26=2,$J26=3,$J26=4,$J26=5,$J26=6,$J26=7),-$E26*$I26/12*3,IF($J26=8,-$E26*$I26/12*2,IF($J26=9,-$E26*$I26/12*1,0)))))+IF(BT$5&lt;&gt;$H26,0,IF(BT26&lt;0,IF($J26=7,-$E26*$I26/12*0,IF($J26=8,-$E26*$I26/12*1,IF($J26=9,-$E26*$I26/12*2,IF($J26&gt;=10,-$E26*$I26/12*3,0))))))</f>
        <v>0</v>
      </c>
      <c r="BX26" s="443">
        <f t="shared" ref="BX26" si="187">IF($H26&lt;&gt;BY$5,0,IF(BY26&lt;0,IF(OR($J26=1,$J26=2,$J26=3,$J26=4,$J26=5,$J26=6,$J26=7,$J26=8,$J26=9,$J26=10),-$E26*$I26/12*3,IF($J26=11,-$E26*$I26/12*2,IF($J26=12,-$E26*$I26/12*1,0)))))+IF(BT$5&lt;&gt;$H26,0,IF(BT26&lt;0,IF($J26=10,-$E26*$I26/12*0,IF($J26=11,-$E26*$I26/12*1,IF($J26=12,-$E26*$I26/12*2,0)))))</f>
        <v>0</v>
      </c>
      <c r="BY26" s="440">
        <f t="shared" ref="BY26" si="188">IF(AND(BT26&lt;&gt;0,BT$5=$H26),-$I26*$E26-BT26,IF(BY$5=$H26,-$I26*$E26*(12-$J26+1)/12,0))</f>
        <v>0</v>
      </c>
      <c r="BZ26" s="441">
        <f t="shared" ref="BZ26" si="189">IF($H26&lt;&gt;CD$5,0,IF(CD26&lt;0,IF($J26=1,-$E26*$I26/12*3,IF($J26=2,-$E26*$I26/12*2,IF($J26=3,-$E26*$I26/12*1,0)))))+IF(BY$5&lt;&gt;$H26,0,IF(BY26&lt;0,IF($J26=1,-$E26*$I26/12*0,IF($J26=2,-$E26*$I26/12*1,IF($J26=3,-$E26*$I26/12*2,IF($J26&gt;=4,-$E26*$I26/12*3,0))))))</f>
        <v>0</v>
      </c>
      <c r="CA26" s="442">
        <f t="shared" ref="CA26" si="190">IF($H26&lt;&gt;CD$5,0,IF(CD26&lt;0,IF(OR($J26=1,$J26=2,$J26=3,$J26=4),-$E26*$I26/12*3,IF($J26=5,-$E26*$I26/12*2,IF($J26=6,-$E26*$I26/12*1,0)))))+IF(BY$5&lt;&gt;$H26,0,IF(BY26&lt;0,IF($J26=4,-$E26*$I26/12*0,IF($J26=5,-$E26*$I26/12*1,IF($J26=6,-$E26*$I26/12*2,IF($J26&gt;=7,-$E26*$I26/12*3,0))))))</f>
        <v>0</v>
      </c>
      <c r="CB26" s="442">
        <f t="shared" ref="CB26" si="191">IF($H26&lt;&gt;CD$5,0,IF(CD26&lt;0,IF(OR($J26=1,$J26=2,$J26=3,$J26=4,$J26=5,$J26=6,$J26=7),-$E26*$I26/12*3,IF($J26=8,-$E26*$I26/12*2,IF($J26=9,-$E26*$I26/12*1,0)))))+IF(BY$5&lt;&gt;$H26,0,IF(BY26&lt;0,IF($J26=7,-$E26*$I26/12*0,IF($J26=8,-$E26*$I26/12*1,IF($J26=9,-$E26*$I26/12*2,IF($J26&gt;=10,-$E26*$I26/12*3,0))))))</f>
        <v>0</v>
      </c>
      <c r="CC26" s="443">
        <f t="shared" ref="CC26" si="192">IF($H26&lt;&gt;CD$5,0,IF(CD26&lt;0,IF(OR($J26=1,$J26=2,$J26=3,$J26=4,$J26=5,$J26=6,$J26=7,$J26=8,$J26=9,$J26=10),-$E26*$I26/12*3,IF($J26=11,-$E26*$I26/12*2,IF($J26=12,-$E26*$I26/12*1,0)))))+IF(BY$5&lt;&gt;$H26,0,IF(BY26&lt;0,IF($J26=10,-$E26*$I26/12*0,IF($J26=11,-$E26*$I26/12*1,IF($J26=12,-$E26*$I26/12*2,0)))))</f>
        <v>0</v>
      </c>
      <c r="CD26" s="440">
        <f t="shared" ref="CD26" si="193">IF(AND(BY26&lt;&gt;0,BY$5=$H26),-$I26*$E26-BY26,IF(CD$5=$H26,-$I26*$E26*(12-$J26+1)/12,0))</f>
        <v>0</v>
      </c>
      <c r="CE26" s="441">
        <f t="shared" ref="CE26" si="194">IF($H26&lt;&gt;CI$5,0,IF(CI26&lt;0,IF($J26=1,-$E26*$I26/12*3,IF($J26=2,-$E26*$I26/12*2,IF($J26=3,-$E26*$I26/12*1,0)))))+IF(CD$5&lt;&gt;$H26,0,IF(CD26&lt;0,IF($J26=1,-$E26*$I26/12*0,IF($J26=2,-$E26*$I26/12*1,IF($J26=3,-$E26*$I26/12*2,IF($J26&gt;=4,-$E26*$I26/12*3,0))))))</f>
        <v>0</v>
      </c>
      <c r="CF26" s="442">
        <f t="shared" ref="CF26" si="195">IF($H26&lt;&gt;CI$5,0,IF(CI26&lt;0,IF(OR($J26=1,$J26=2,$J26=3,$J26=4),-$E26*$I26/12*3,IF($J26=5,-$E26*$I26/12*2,IF($J26=6,-$E26*$I26/12*1,0)))))+IF(CD$5&lt;&gt;$H26,0,IF(CD26&lt;0,IF($J26=4,-$E26*$I26/12*0,IF($J26=5,-$E26*$I26/12*1,IF($J26=6,-$E26*$I26/12*2,IF($J26&gt;=7,-$E26*$I26/12*3,0))))))</f>
        <v>0</v>
      </c>
      <c r="CG26" s="442">
        <f t="shared" ref="CG26" si="196">IF($H26&lt;&gt;CI$5,0,IF(CI26&lt;0,IF(OR($J26=1,$J26=2,$J26=3,$J26=4,$J26=5,$J26=6,$J26=7),-$E26*$I26/12*3,IF($J26=8,-$E26*$I26/12*2,IF($J26=9,-$E26*$I26/12*1,0)))))+IF(CD$5&lt;&gt;$H26,0,IF(CD26&lt;0,IF($J26=7,-$E26*$I26/12*0,IF($J26=8,-$E26*$I26/12*1,IF($J26=9,-$E26*$I26/12*2,IF($J26&gt;=10,-$E26*$I26/12*3,0))))))</f>
        <v>0</v>
      </c>
      <c r="CH26" s="443">
        <f t="shared" ref="CH26" si="197">IF($H26&lt;&gt;CI$5,0,IF(CI26&lt;0,IF(OR($J26=1,$J26=2,$J26=3,$J26=4,$J26=5,$J26=6,$J26=7,$J26=8,$J26=9,$J26=10),-$E26*$I26/12*3,IF($J26=11,-$E26*$I26/12*2,IF($J26=12,-$E26*$I26/12*1,0)))))+IF(CD$5&lt;&gt;$H26,0,IF(CD26&lt;0,IF($J26=10,-$E26*$I26/12*0,IF($J26=11,-$E26*$I26/12*1,IF($J26=12,-$E26*$I26/12*2,0)))))</f>
        <v>0</v>
      </c>
      <c r="CI26" s="440">
        <f t="shared" ref="CI26" si="198">IF(AND(CD26&lt;&gt;0,CD$5=$H26),-$I26*$E26-CD26,IF(CI$5=$H26,-$I26*$E26*(12-$J26+1)/12,0))</f>
        <v>0</v>
      </c>
      <c r="CJ26" s="441">
        <f t="shared" ref="CJ26" si="199">IF($H26&lt;&gt;CN$5,0,IF(CN26&lt;0,IF($J26=1,-$E26*$I26/12*3,IF($J26=2,-$E26*$I26/12*2,IF($J26=3,-$E26*$I26/12*1,0)))))+IF(CI$5&lt;&gt;$H26,0,IF(CI26&lt;0,IF($J26=1,-$E26*$I26/12*0,IF($J26=2,-$E26*$I26/12*1,IF($J26=3,-$E26*$I26/12*2,IF($J26&gt;=4,-$E26*$I26/12*3,0))))))</f>
        <v>0</v>
      </c>
      <c r="CK26" s="442">
        <f t="shared" ref="CK26" si="200">IF($H26&lt;&gt;CN$5,0,IF(CN26&lt;0,IF(OR($J26=1,$J26=2,$J26=3,$J26=4),-$E26*$I26/12*3,IF($J26=5,-$E26*$I26/12*2,IF($J26=6,-$E26*$I26/12*1,0)))))+IF(CI$5&lt;&gt;$H26,0,IF(CI26&lt;0,IF($J26=4,-$E26*$I26/12*0,IF($J26=5,-$E26*$I26/12*1,IF($J26=6,-$E26*$I26/12*2,IF($J26&gt;=7,-$E26*$I26/12*3,0))))))</f>
        <v>0</v>
      </c>
      <c r="CL26" s="442">
        <f t="shared" ref="CL26" si="201">IF($H26&lt;&gt;CN$5,0,IF(CN26&lt;0,IF(OR($J26=1,$J26=2,$J26=3,$J26=4,$J26=5,$J26=6,$J26=7),-$E26*$I26/12*3,IF($J26=8,-$E26*$I26/12*2,IF($J26=9,-$E26*$I26/12*1,0)))))+IF(CI$5&lt;&gt;$H26,0,IF(CI26&lt;0,IF($J26=7,-$E26*$I26/12*0,IF($J26=8,-$E26*$I26/12*1,IF($J26=9,-$E26*$I26/12*2,IF($J26&gt;=10,-$E26*$I26/12*3,0))))))</f>
        <v>0</v>
      </c>
      <c r="CM26" s="443">
        <f t="shared" ref="CM26" si="202">IF($H26&lt;&gt;CN$5,0,IF(CN26&lt;0,IF(OR($J26=1,$J26=2,$J26=3,$J26=4,$J26=5,$J26=6,$J26=7,$J26=8,$J26=9,$J26=10),-$E26*$I26/12*3,IF($J26=11,-$E26*$I26/12*2,IF($J26=12,-$E26*$I26/12*1,0)))))+IF(CI$5&lt;&gt;$H26,0,IF(CI26&lt;0,IF($J26=10,-$E26*$I26/12*0,IF($J26=11,-$E26*$I26/12*1,IF($J26=12,-$E26*$I26/12*2,0)))))</f>
        <v>0</v>
      </c>
      <c r="CN26" s="440">
        <f t="shared" ref="CN26" si="203">IF(AND(CI26&lt;&gt;0,CI$5=$H26),-$I26*$E26-CI26,IF(CN$5=$H26,-$I26*$E26*(12-$J26+1)/12,0))</f>
        <v>0</v>
      </c>
      <c r="CO26" s="441">
        <f t="shared" ref="CO26" si="204">IF($H26&lt;&gt;CS$5,0,IF(CS26&lt;0,IF($J26=1,-$E26*$I26/12*3,IF($J26=2,-$E26*$I26/12*2,IF($J26=3,-$E26*$I26/12*1,0)))))+IF(CN$5&lt;&gt;$H26,0,IF(CN26&lt;0,IF($J26=1,-$E26*$I26/12*0,IF($J26=2,-$E26*$I26/12*1,IF($J26=3,-$E26*$I26/12*2,IF($J26&gt;=4,-$E26*$I26/12*3,0))))))</f>
        <v>0</v>
      </c>
      <c r="CP26" s="442">
        <f t="shared" ref="CP26" si="205">IF($H26&lt;&gt;CS$5,0,IF(CS26&lt;0,IF(OR($J26=1,$J26=2,$J26=3,$J26=4),-$E26*$I26/12*3,IF($J26=5,-$E26*$I26/12*2,IF($J26=6,-$E26*$I26/12*1,0)))))+IF(CN$5&lt;&gt;$H26,0,IF(CN26&lt;0,IF($J26=4,-$E26*$I26/12*0,IF($J26=5,-$E26*$I26/12*1,IF($J26=6,-$E26*$I26/12*2,IF($J26&gt;=7,-$E26*$I26/12*3,0))))))</f>
        <v>0</v>
      </c>
      <c r="CQ26" s="442">
        <f t="shared" ref="CQ26" si="206">IF($H26&lt;&gt;CS$5,0,IF(CS26&lt;0,IF(OR($J26=1,$J26=2,$J26=3,$J26=4,$J26=5,$J26=6,$J26=7),-$E26*$I26/12*3,IF($J26=8,-$E26*$I26/12*2,IF($J26=9,-$E26*$I26/12*1,0)))))+IF(CN$5&lt;&gt;$H26,0,IF(CN26&lt;0,IF($J26=7,-$E26*$I26/12*0,IF($J26=8,-$E26*$I26/12*1,IF($J26=9,-$E26*$I26/12*2,IF($J26&gt;=10,-$E26*$I26/12*3,0))))))</f>
        <v>0</v>
      </c>
      <c r="CR26" s="443">
        <f t="shared" ref="CR26" si="207">IF($H26&lt;&gt;CS$5,0,IF(CS26&lt;0,IF(OR($J26=1,$J26=2,$J26=3,$J26=4,$J26=5,$J26=6,$J26=7,$J26=8,$J26=9,$J26=10),-$E26*$I26/12*3,IF($J26=11,-$E26*$I26/12*2,IF($J26=12,-$E26*$I26/12*1,0)))))+IF(CN$5&lt;&gt;$H26,0,IF(CN26&lt;0,IF($J26=10,-$E26*$I26/12*0,IF($J26=11,-$E26*$I26/12*1,IF($J26=12,-$E26*$I26/12*2,0)))))</f>
        <v>0</v>
      </c>
      <c r="CS26" s="440">
        <f t="shared" ref="CS26" si="208">IF(AND(CN26&lt;&gt;0,CN$5=$H26),-$I26*$E26-CN26,IF(CS$5=$H26,-$I26*$E26*(12-$J26+1)/12,0))</f>
        <v>0</v>
      </c>
      <c r="CT26" s="441">
        <f t="shared" ref="CT26" si="209">IF($H26&lt;&gt;CX$5,0,IF(CX26&lt;0,IF($J26=1,-$E26*$I26/12*3,IF($J26=2,-$E26*$I26/12*2,IF($J26=3,-$E26*$I26/12*1,0)))))+IF(CS$5&lt;&gt;$H26,0,IF(CS26&lt;0,IF($J26=1,-$E26*$I26/12*0,IF($J26=2,-$E26*$I26/12*1,IF($J26=3,-$E26*$I26/12*2,IF($J26&gt;=4,-$E26*$I26/12*3,0))))))</f>
        <v>0</v>
      </c>
      <c r="CU26" s="442">
        <f t="shared" ref="CU26" si="210">IF($H26&lt;&gt;CX$5,0,IF(CX26&lt;0,IF(OR($J26=1,$J26=2,$J26=3,$J26=4),-$E26*$I26/12*3,IF($J26=5,-$E26*$I26/12*2,IF($J26=6,-$E26*$I26/12*1,0)))))+IF(CS$5&lt;&gt;$H26,0,IF(CS26&lt;0,IF($J26=4,-$E26*$I26/12*0,IF($J26=5,-$E26*$I26/12*1,IF($J26=6,-$E26*$I26/12*2,IF($J26&gt;=7,-$E26*$I26/12*3,0))))))</f>
        <v>-1.4895833333333333</v>
      </c>
      <c r="CV26" s="442">
        <f t="shared" ref="CV26" si="211">IF($H26&lt;&gt;CX$5,0,IF(CX26&lt;0,IF(OR($J26=1,$J26=2,$J26=3,$J26=4,$J26=5,$J26=6,$J26=7),-$E26*$I26/12*3,IF($J26=8,-$E26*$I26/12*2,IF($J26=9,-$E26*$I26/12*1,0)))))+IF(CS$5&lt;&gt;$H26,0,IF(CS26&lt;0,IF($J26=7,-$E26*$I26/12*0,IF($J26=8,-$E26*$I26/12*1,IF($J26=9,-$E26*$I26/12*2,IF($J26&gt;=10,-$E26*$I26/12*3,0))))))</f>
        <v>-4.46875</v>
      </c>
      <c r="CW26" s="443">
        <f t="shared" ref="CW26" si="212">IF($H26&lt;&gt;CX$5,0,IF(CX26&lt;0,IF(OR($J26=1,$J26=2,$J26=3,$J26=4,$J26=5,$J26=6,$J26=7,$J26=8,$J26=9,$J26=10),-$E26*$I26/12*3,IF($J26=11,-$E26*$I26/12*2,IF($J26=12,-$E26*$I26/12*1,0)))))+IF(CS$5&lt;&gt;$H26,0,IF(CS26&lt;0,IF($J26=10,-$E26*$I26/12*0,IF($J26=11,-$E26*$I26/12*1,IF($J26=12,-$E26*$I26/12*2,0)))))</f>
        <v>-4.46875</v>
      </c>
      <c r="CX26" s="440">
        <f t="shared" ref="CX26" si="213">IF(AND(CS26&lt;&gt;0,CS$5=$H26),-$I26*$E26-CS26,IF(CX$5=$H26,-$I26*$E26*(12-$J26+1)/12,0))</f>
        <v>-10.427083333333334</v>
      </c>
      <c r="CY26" s="441">
        <f t="shared" ref="CY26" si="214">IF($H26&lt;&gt;DC$5,0,IF(DC26&lt;0,IF($J26=1,-$E26*$I26/12*3,IF($J26=2,-$E26*$I26/12*2,IF($J26=3,-$E26*$I26/12*1,0)))))+IF(CX$5&lt;&gt;$H26,0,IF(CX26&lt;0,IF($J26=1,-$E26*$I26/12*0,IF($J26=2,-$E26*$I26/12*1,IF($J26=3,-$E26*$I26/12*2,IF($J26&gt;=4,-$E26*$I26/12*3,0))))))</f>
        <v>-4.46875</v>
      </c>
      <c r="CZ26" s="442">
        <f t="shared" ref="CZ26" si="215">IF($H26&lt;&gt;DC$5,0,IF(DC26&lt;0,IF(OR($J26=1,$J26=2,$J26=3,$J26=4),-$E26*$I26/12*3,IF($J26=5,-$E26*$I26/12*2,IF($J26=6,-$E26*$I26/12*1,0)))))+IF(CX$5&lt;&gt;$H26,0,IF(CX26&lt;0,IF($J26=4,-$E26*$I26/12*0,IF($J26=5,-$E26*$I26/12*1,IF($J26=6,-$E26*$I26/12*2,IF($J26&gt;=7,-$E26*$I26/12*3,0))))))</f>
        <v>-2.9791666666666665</v>
      </c>
      <c r="DA26" s="442">
        <f t="shared" ref="DA26" si="216">IF($H26&lt;&gt;DC$5,0,IF(DC26&lt;0,IF(OR($J26=1,$J26=2,$J26=3,$J26=4,$J26=5,$J26=6,$J26=7),-$E26*$I26/12*3,IF($J26=8,-$E26*$I26/12*2,IF($J26=9,-$E26*$I26/12*1,0)))))+IF(CX$5&lt;&gt;$H26,0,IF(CX26&lt;0,IF($J26=7,-$E26*$I26/12*0,IF($J26=8,-$E26*$I26/12*1,IF($J26=9,-$E26*$I26/12*2,IF($J26&gt;=10,-$E26*$I26/12*3,0))))))</f>
        <v>0</v>
      </c>
      <c r="DB26" s="443">
        <f t="shared" ref="DB26" si="217">IF($H26&lt;&gt;DC$5,0,IF(DC26&lt;0,IF(OR($J26=1,$J26=2,$J26=3,$J26=4,$J26=5,$J26=6,$J26=7,$J26=8,$J26=9,$J26=10),-$E26*$I26/12*3,IF($J26=11,-$E26*$I26/12*2,IF($J26=12,-$E26*$I26/12*1,0)))))+IF(CX$5&lt;&gt;$H26,0,IF(CX26&lt;0,IF($J26=10,-$E26*$I26/12*0,IF($J26=11,-$E26*$I26/12*1,IF($J26=12,-$E26*$I26/12*2,0)))))</f>
        <v>0</v>
      </c>
      <c r="DC26" s="440">
        <f t="shared" ref="DC26" si="218">IF(AND(CX26&lt;&gt;0,CX$5=$H26),-$I26*$E26-CX26,IF(DC$5=$H26,-$I26*$E26*(12-$J26+1)/12,0))</f>
        <v>-7.4479166666666661</v>
      </c>
      <c r="DD26" s="441">
        <f t="shared" ref="DD26" si="219">IF($H26&lt;&gt;DH$5,0,IF(DH26&lt;0,IF($J26=1,-$E26*$I26/12*3,IF($J26=2,-$E26*$I26/12*2,IF($J26=3,-$E26*$I26/12*1,0)))))+IF(DC$5&lt;&gt;$H26,0,IF(DC26&lt;0,IF($J26=1,-$E26*$I26/12*0,IF($J26=2,-$E26*$I26/12*1,IF($J26=3,-$E26*$I26/12*2,IF($J26&gt;=4,-$E26*$I26/12*3,0))))))</f>
        <v>0</v>
      </c>
      <c r="DE26" s="442">
        <f t="shared" ref="DE26" si="220">IF($H26&lt;&gt;DH$5,0,IF(DH26&lt;0,IF(OR($J26=1,$J26=2,$J26=3,$J26=4),-$E26*$I26/12*3,IF($J26=5,-$E26*$I26/12*2,IF($J26=6,-$E26*$I26/12*1,0)))))+IF(DC$5&lt;&gt;$H26,0,IF(DC26&lt;0,IF($J26=4,-$E26*$I26/12*0,IF($J26=5,-$E26*$I26/12*1,IF($J26=6,-$E26*$I26/12*2,IF($J26&gt;=7,-$E26*$I26/12*3,0))))))</f>
        <v>0</v>
      </c>
      <c r="DF26" s="442">
        <f t="shared" ref="DF26" si="221">IF($H26&lt;&gt;DH$5,0,IF(DH26&lt;0,IF(OR($J26=1,$J26=2,$J26=3,$J26=4,$J26=5,$J26=6,$J26=7),-$E26*$I26/12*3,IF($J26=8,-$E26*$I26/12*2,IF($J26=9,-$E26*$I26/12*1,0)))))+IF(DC$5&lt;&gt;$H26,0,IF(DC26&lt;0,IF($J26=7,-$E26*$I26/12*0,IF($J26=8,-$E26*$I26/12*1,IF($J26=9,-$E26*$I26/12*2,IF($J26&gt;=10,-$E26*$I26/12*3,0))))))</f>
        <v>0</v>
      </c>
      <c r="DG26" s="443">
        <f t="shared" ref="DG26" si="222">IF($H26&lt;&gt;DH$5,0,IF(DH26&lt;0,IF(OR($J26=1,$J26=2,$J26=3,$J26=4,$J26=5,$J26=6,$J26=7,$J26=8,$J26=9,$J26=10),-$E26*$I26/12*3,IF($J26=11,-$E26*$I26/12*2,IF($J26=12,-$E26*$I26/12*1,0)))))+IF(DC$5&lt;&gt;$H26,0,IF(DC26&lt;0,IF($J26=10,-$E26*$I26/12*0,IF($J26=11,-$E26*$I26/12*1,IF($J26=12,-$E26*$I26/12*2,0)))))</f>
        <v>0</v>
      </c>
      <c r="DH26" s="440">
        <f t="shared" ref="DH26" si="223">IF(AND(DC26&lt;&gt;0,DC$5=$H26),-$I26*$E26-DC26,IF(DH$5=$H26,-$I26*$E26*(12-$J26+1)/12,0))</f>
        <v>0</v>
      </c>
      <c r="DI26" s="441">
        <f t="shared" ref="DI26" si="224">IF($H26&lt;&gt;DM$5,0,IF(DM26&lt;0,IF($J26=1,-$E26*$I26/12*3,IF($J26=2,-$E26*$I26/12*2,IF($J26=3,-$E26*$I26/12*1,0)))))+IF(DH$5&lt;&gt;$H26,0,IF(DH26&lt;0,IF($J26=1,-$E26*$I26/12*0,IF($J26=2,-$E26*$I26/12*1,IF($J26=3,-$E26*$I26/12*2,IF($J26&gt;=4,-$E26*$I26/12*3,0))))))</f>
        <v>0</v>
      </c>
      <c r="DJ26" s="442">
        <f t="shared" ref="DJ26" si="225">IF($H26&lt;&gt;DM$5,0,IF(DM26&lt;0,IF(OR($J26=1,$J26=2,$J26=3,$J26=4),-$E26*$I26/12*3,IF($J26=5,-$E26*$I26/12*2,IF($J26=6,-$E26*$I26/12*1,0)))))+IF(DH$5&lt;&gt;$H26,0,IF(DH26&lt;0,IF($J26=4,-$E26*$I26/12*0,IF($J26=5,-$E26*$I26/12*1,IF($J26=6,-$E26*$I26/12*2,IF($J26&gt;=7,-$E26*$I26/12*3,0))))))</f>
        <v>0</v>
      </c>
      <c r="DK26" s="442">
        <f t="shared" ref="DK26" si="226">IF($H26&lt;&gt;DM$5,0,IF(DM26&lt;0,IF(OR($J26=1,$J26=2,$J26=3,$J26=4,$J26=5,$J26=6,$J26=7),-$E26*$I26/12*3,IF($J26=8,-$E26*$I26/12*2,IF($J26=9,-$E26*$I26/12*1,0)))))+IF(DH$5&lt;&gt;$H26,0,IF(DH26&lt;0,IF($J26=7,-$E26*$I26/12*0,IF($J26=8,-$E26*$I26/12*1,IF($J26=9,-$E26*$I26/12*2,IF($J26&gt;=10,-$E26*$I26/12*3,0))))))</f>
        <v>0</v>
      </c>
      <c r="DL26" s="443">
        <f t="shared" ref="DL26" si="227">IF($H26&lt;&gt;DM$5,0,IF(DM26&lt;0,IF(OR($J26=1,$J26=2,$J26=3,$J26=4,$J26=5,$J26=6,$J26=7,$J26=8,$J26=9,$J26=10),-$E26*$I26/12*3,IF($J26=11,-$E26*$I26/12*2,IF($J26=12,-$E26*$I26/12*1,0)))))+IF(DH$5&lt;&gt;$H26,0,IF(DH26&lt;0,IF($J26=10,-$E26*$I26/12*0,IF($J26=11,-$E26*$I26/12*1,IF($J26=12,-$E26*$I26/12*2,0)))))</f>
        <v>0</v>
      </c>
      <c r="DM26" s="440">
        <f t="shared" ref="DM26" si="228">IF(AND(DH26&lt;&gt;0,DH$5=$H26),-$I26*$E26-DH26,IF(DM$5=$H26,-$I26*$E26*(12-$J26+1)/12,0))</f>
        <v>0</v>
      </c>
      <c r="DN26" s="441">
        <f t="shared" ref="DN26" si="229">IF($H26&lt;&gt;DR$5,0,IF(DR26&lt;0,IF($J26=1,-$E26*$I26/12*3,IF($J26=2,-$E26*$I26/12*2,IF($J26=3,-$E26*$I26/12*1,0)))))+IF(DM$5&lt;&gt;$H26,0,IF(DM26&lt;0,IF($J26=1,-$E26*$I26/12*0,IF($J26=2,-$E26*$I26/12*1,IF($J26=3,-$E26*$I26/12*2,IF($J26&gt;=4,-$E26*$I26/12*3,0))))))</f>
        <v>0</v>
      </c>
      <c r="DO26" s="442">
        <f t="shared" ref="DO26" si="230">IF($H26&lt;&gt;DR$5,0,IF(DR26&lt;0,IF(OR($J26=1,$J26=2,$J26=3,$J26=4),-$E26*$I26/12*3,IF($J26=5,-$E26*$I26/12*2,IF($J26=6,-$E26*$I26/12*1,0)))))+IF(DM$5&lt;&gt;$H26,0,IF(DM26&lt;0,IF($J26=4,-$E26*$I26/12*0,IF($J26=5,-$E26*$I26/12*1,IF($J26=6,-$E26*$I26/12*2,IF($J26&gt;=7,-$E26*$I26/12*3,0))))))</f>
        <v>0</v>
      </c>
      <c r="DP26" s="442">
        <f t="shared" ref="DP26" si="231">IF($H26&lt;&gt;DR$5,0,IF(DR26&lt;0,IF(OR($J26=1,$J26=2,$J26=3,$J26=4,$J26=5,$J26=6,$J26=7),-$E26*$I26/12*3,IF($J26=8,-$E26*$I26/12*2,IF($J26=9,-$E26*$I26/12*1,0)))))+IF(DM$5&lt;&gt;$H26,0,IF(DM26&lt;0,IF($J26=7,-$E26*$I26/12*0,IF($J26=8,-$E26*$I26/12*1,IF($J26=9,-$E26*$I26/12*2,IF($J26&gt;=10,-$E26*$I26/12*3,0))))))</f>
        <v>0</v>
      </c>
      <c r="DQ26" s="443">
        <f t="shared" ref="DQ26" si="232">IF($H26&lt;&gt;DR$5,0,IF(DR26&lt;0,IF(OR($J26=1,$J26=2,$J26=3,$J26=4,$J26=5,$J26=6,$J26=7,$J26=8,$J26=9,$J26=10),-$E26*$I26/12*3,IF($J26=11,-$E26*$I26/12*2,IF($J26=12,-$E26*$I26/12*1,0)))))+IF(DM$5&lt;&gt;$H26,0,IF(DM26&lt;0,IF($J26=10,-$E26*$I26/12*0,IF($J26=11,-$E26*$I26/12*1,IF($J26=12,-$E26*$I26/12*2,0)))))</f>
        <v>0</v>
      </c>
      <c r="DR26" s="440">
        <f t="shared" ref="DR26" si="233">IF(AND(DM26&lt;&gt;0,DM$5=$H26),-$I26*$E26-DM26,IF(DR$5=$H26,-$I26*$E26*(12-$J26+1)/12,0))</f>
        <v>0</v>
      </c>
    </row>
    <row r="27" spans="1:122" ht="12.75" customHeight="1">
      <c r="C27" s="27" t="s">
        <v>1203</v>
      </c>
      <c r="D27" s="574"/>
      <c r="E27" s="188">
        <f t="shared" si="123"/>
        <v>1000</v>
      </c>
      <c r="F27" s="559">
        <v>1000</v>
      </c>
      <c r="G27" s="559">
        <v>0</v>
      </c>
      <c r="H27" s="1308">
        <v>2047</v>
      </c>
      <c r="I27" s="1354">
        <v>4.8500000000000001E-2</v>
      </c>
      <c r="J27" s="1749">
        <v>7</v>
      </c>
      <c r="K27" s="549"/>
      <c r="L27" s="441"/>
      <c r="M27" s="442"/>
      <c r="N27" s="442"/>
      <c r="O27" s="443"/>
      <c r="P27" s="440">
        <f>IF(P$5=$H27,-$E27,0)</f>
        <v>0</v>
      </c>
      <c r="Q27" s="441">
        <f>IF(U27=0,0,IF(U27&lt;0,IF($J27=3,U27,IF($J27=2,U27,IF($J27=1,U27,0)))))</f>
        <v>0</v>
      </c>
      <c r="R27" s="442">
        <f>IF(U27=0,0,IF(U27&lt;0,IF($J27=6,U27,IF($J27=5,U27,IF($J27=4,U27,0)))))</f>
        <v>0</v>
      </c>
      <c r="S27" s="442">
        <f>IF(U27=0,0,IF(U27&lt;0,IF($J27=9,U27,IF($J27=8,U27,IF($J27=7,U27,0)))))</f>
        <v>0</v>
      </c>
      <c r="T27" s="443">
        <f>IF(U27=0,0,IF(U27&lt;0,IF($J27=12,U27,IF($J27=11,U27,IF($J27=10,U27,0)))))</f>
        <v>0</v>
      </c>
      <c r="U27" s="440">
        <f>IF(U$5=$H27,-$E27,0)</f>
        <v>0</v>
      </c>
      <c r="V27" s="441">
        <f>IF(Z27=0,0,IF(Z27&lt;0,IF($J27=3,Z27,IF($J27=2,Z27,IF($J27=1,Z27,0)))))</f>
        <v>0</v>
      </c>
      <c r="W27" s="442">
        <f>IF(Z27=0,0,IF(Z27&lt;0,IF($J27=6,Z27,IF($J27=5,Z27,IF($J27=4,Z27,0)))))</f>
        <v>0</v>
      </c>
      <c r="X27" s="442">
        <f>IF(Z27=0,0,IF(Z27&lt;0,IF($J27=9,Z27,IF($J27=8,Z27,IF($J27=7,Z27,0)))))</f>
        <v>0</v>
      </c>
      <c r="Y27" s="443">
        <f>IF(Z27=0,0,IF(Z27&lt;0,IF($J27=12,Z27,IF($J27=11,Z27,IF($J27=10,Z27,0)))))</f>
        <v>0</v>
      </c>
      <c r="Z27" s="440">
        <f>IF(Z$5=$H27,-$E27,0)</f>
        <v>0</v>
      </c>
      <c r="AA27" s="441">
        <f>IF(AE27=0,0,IF(AE27&lt;0,IF($J27=3,AE27,IF($J27=2,AE27,IF($J27=1,AE27,0)))))</f>
        <v>0</v>
      </c>
      <c r="AB27" s="442">
        <f>IF(AE27=0,0,IF(AE27&lt;0,IF($J27=6,AE27,IF($J27=5,AE27,IF($J27=4,AE27,0)))))</f>
        <v>0</v>
      </c>
      <c r="AC27" s="442">
        <f>IF(AE27=0,0,IF(AE27&lt;0,IF($J27=9,AE27,IF($J27=8,AE27,IF($J27=7,AE27,0)))))</f>
        <v>0</v>
      </c>
      <c r="AD27" s="443">
        <f>IF(AE27=0,0,IF(AE27&lt;0,IF($J27=12,AE27,IF($J27=11,AE27,IF($J27=10,AE27,0)))))</f>
        <v>0</v>
      </c>
      <c r="AE27" s="440">
        <f>IF(AE$5=$H27,-$E27,0)</f>
        <v>0</v>
      </c>
      <c r="AF27" s="441">
        <f>IF(AJ27=0,0,IF(AJ27&lt;0,IF($J27=3,AJ27,IF($J27=2,AJ27,IF($J27=1,AJ27,0)))))</f>
        <v>0</v>
      </c>
      <c r="AG27" s="442">
        <f>IF(AJ27=0,0,IF(AJ27&lt;0,IF($J27=6,AJ27,IF($J27=5,AJ27,IF($J27=4,AJ27,0)))))</f>
        <v>0</v>
      </c>
      <c r="AH27" s="442">
        <f>IF(AJ27=0,0,IF(AJ27&lt;0,IF($J27=9,AJ27,IF($J27=8,AJ27,IF($J27=7,AJ27,0)))))</f>
        <v>0</v>
      </c>
      <c r="AI27" s="443">
        <f>IF(AJ27=0,0,IF(AJ27&lt;0,IF($J27=12,AJ27,IF($J27=11,AJ27,IF($J27=10,AJ27,0)))))</f>
        <v>0</v>
      </c>
      <c r="AJ27" s="440">
        <f>IF(AJ$5=$H27,-$E27,0)</f>
        <v>0</v>
      </c>
      <c r="AK27" s="441">
        <f>IF(AO27=0,0,IF(AO27&lt;0,IF($J27=3,AO27,IF($J27=2,AO27,IF($J27=1,AO27,0)))))</f>
        <v>0</v>
      </c>
      <c r="AL27" s="442">
        <f>IF(AO27=0,0,IF(AO27&lt;0,IF($J27=6,AO27,IF($J27=5,AO27,IF($J27=4,AO27,0)))))</f>
        <v>0</v>
      </c>
      <c r="AM27" s="442">
        <f>IF(AO27=0,0,IF(AO27&lt;0,IF($J27=9,AO27,IF($J27=8,AO27,IF($J27=7,AO27,0)))))</f>
        <v>0</v>
      </c>
      <c r="AN27" s="443">
        <f>IF(AO27=0,0,IF(AO27&lt;0,IF($J27=12,AO27,IF($J27=11,AO27,IF($J27=10,AO27,0)))))</f>
        <v>0</v>
      </c>
      <c r="AO27" s="440">
        <f>IF(AO$5=$H27,-$E27,0)</f>
        <v>0</v>
      </c>
      <c r="AP27" s="441">
        <f>IF(AT27=0,0,IF(AT27&lt;0,IF($J27=3,AT27,IF($J27=2,AT27,IF($J27=1,AT27,0)))))</f>
        <v>0</v>
      </c>
      <c r="AQ27" s="442">
        <f>IF(AT27=0,0,IF(AT27&lt;0,IF($J27=6,AT27,IF($J27=5,AT27,IF($J27=4,AT27,0)))))</f>
        <v>0</v>
      </c>
      <c r="AR27" s="442">
        <f>IF(AT27=0,0,IF(AT27&lt;0,IF($J27=9,AT27,IF($J27=8,AT27,IF($J27=7,AT27,0)))))</f>
        <v>0</v>
      </c>
      <c r="AS27" s="443">
        <f>IF(AT27=0,0,IF(AT27&lt;0,IF($J27=12,AT27,IF($J27=11,AT27,IF($J27=10,AT27,0)))))</f>
        <v>0</v>
      </c>
      <c r="AT27" s="440">
        <f>IF(AT$5=$H27,-$E27,0)</f>
        <v>0</v>
      </c>
      <c r="AU27" s="441">
        <f>IF(AY27=0,0,IF(AY27&lt;0,IF($J27=3,AY27,IF($J27=2,AY27,IF($J27=1,AY27,0)))))</f>
        <v>0</v>
      </c>
      <c r="AV27" s="442">
        <f>IF(AY27=0,0,IF(AY27&lt;0,IF($J27=6,AY27,IF($J27=5,AY27,IF($J27=4,AY27,0)))))</f>
        <v>0</v>
      </c>
      <c r="AW27" s="442">
        <f>IF(AY27=0,0,IF(AY27&lt;0,IF($J27=9,AY27,IF($J27=8,AY27,IF($J27=7,AY27,0)))))</f>
        <v>0</v>
      </c>
      <c r="AX27" s="443">
        <f>IF(AY27=0,0,IF(AY27&lt;0,IF($J27=12,AY27,IF($J27=11,AY27,IF($J27=10,AY27,0)))))</f>
        <v>0</v>
      </c>
      <c r="AY27" s="440">
        <f>IF(AY$5=$H27,-$E27,0)</f>
        <v>0</v>
      </c>
      <c r="AZ27" s="441">
        <f>IF(BD27=0,0,IF(BD27&lt;0,IF($J27=3,BD27,IF($J27=2,BD27,IF($J27=1,BD27,0)))))</f>
        <v>0</v>
      </c>
      <c r="BA27" s="442">
        <f>IF(BD27=0,0,IF(BD27&lt;0,IF($J27=6,BD27,IF($J27=5,BD27,IF($J27=4,BD27,0)))))</f>
        <v>0</v>
      </c>
      <c r="BB27" s="442">
        <f>IF(BD27=0,0,IF(BD27&lt;0,IF($J27=9,BD27,IF($J27=8,BD27,IF($J27=7,BD27,0)))))</f>
        <v>0</v>
      </c>
      <c r="BC27" s="443">
        <f>IF(BD27=0,0,IF(BD27&lt;0,IF($J27=12,BD27,IF($J27=11,BD27,IF($J27=10,BD27,0)))))</f>
        <v>0</v>
      </c>
      <c r="BD27" s="440">
        <f>IF(BD$5=$H27,-$E27,0)</f>
        <v>0</v>
      </c>
      <c r="BE27" s="441">
        <f>IF(BI27=0,0,IF(BI27&lt;0,IF($J27=3,BI27,IF($J27=2,BI27,IF($J27=1,BI27,0)))))</f>
        <v>0</v>
      </c>
      <c r="BF27" s="442">
        <f>IF(BI27=0,0,IF(BI27&lt;0,IF($J27=6,BI27,IF($J27=5,BI27,IF($J27=4,BI27,0)))))</f>
        <v>0</v>
      </c>
      <c r="BG27" s="442">
        <f>IF(BI27=0,0,IF(BI27&lt;0,IF($J27=9,BI27,IF($J27=8,BI27,IF($J27=7,BI27,0)))))</f>
        <v>0</v>
      </c>
      <c r="BH27" s="443">
        <f>IF(BI27=0,0,IF(BI27&lt;0,IF($J27=12,BI27,IF($J27=11,BI27,IF($J27=10,BI27,0)))))</f>
        <v>0</v>
      </c>
      <c r="BI27" s="440">
        <f>IF(BI$5=$H27,-$E27,0)</f>
        <v>0</v>
      </c>
      <c r="BJ27" s="441">
        <f>IF(BN27=0,0,IF(BN27&lt;0,IF($J27=3,BN27,IF($J27=2,BN27,IF($J27=1,BN27,0)))))</f>
        <v>0</v>
      </c>
      <c r="BK27" s="442">
        <f>IF(BN27=0,0,IF(BN27&lt;0,IF($J27=6,BN27,IF($J27=5,BN27,IF($J27=4,BN27,0)))))</f>
        <v>0</v>
      </c>
      <c r="BL27" s="442">
        <f>IF(BN27=0,0,IF(BN27&lt;0,IF($J27=9,BN27,IF($J27=8,BN27,IF($J27=7,BN27,0)))))</f>
        <v>0</v>
      </c>
      <c r="BM27" s="443">
        <f>IF(BN27=0,0,IF(BN27&lt;0,IF($J27=12,BN27,IF($J27=11,BN27,IF($J27=10,BN27,0)))))</f>
        <v>0</v>
      </c>
      <c r="BN27" s="440">
        <f>IF(BN$5=$H27,-$E27,0)</f>
        <v>0</v>
      </c>
      <c r="BO27" s="473"/>
      <c r="BP27" s="441">
        <f>IF($H27&lt;&gt;BT$5,0,IF(BT27&lt;0,IF($J27=1,-$E27*$I27/12*3,IF($J27=2,-$E27*$I27/12*2,IF($J27=3,-$E27*$I27/12*1,0)))))+IF(BO$5&lt;&gt;$H27,0,IF(BO27&lt;0,IF($J27=1,-$E27*$I27/12*0,IF($J27=2,-$E27*$I27/12*1,IF($J27=3,-$E27*$I27/12*2,IF($J27&gt;=4,-$E27*$I27/12*3,0))))))</f>
        <v>0</v>
      </c>
      <c r="BQ27" s="442">
        <f>IF($H27&lt;&gt;BT$5,0,IF(BT27&lt;0,IF(OR($J27=1,$J27=2,$J27=3,$J27=4),-$E27*$I27/12*3,IF($J27=5,-$E27*$I27/12*2,IF($J27=6,-$E27*$I27/12*1,0)))))+IF(BO$5&lt;&gt;$H27,0,IF(BO27&lt;0,IF($J27=4,-$E27*$I27/12*0,IF($J27=5,-$E27*$I27/12*1,IF($J27=6,-$E27*$I27/12*2,IF($J27&gt;=7,-$E27*$I27/12*3,0))))))</f>
        <v>0</v>
      </c>
      <c r="BR27" s="442">
        <f>IF($H27&lt;&gt;BT$5,0,IF(BT27&lt;0,IF(OR($J27=1,$J27=2,$J27=3,$J27=4,$J27=5,$J27=6,$J27=7),-$E27*$I27/12*3,IF($J27=8,-$E27*$I27/12*2,IF($J27=9,-$E27*$I27/12*1,0)))))+IF(BO$5&lt;&gt;$H27,0,IF(BO27&lt;0,IF($J27=7,-$E27*$I27/12*0,IF($J27=8,-$E27*$I27/12*1,IF($J27=9,-$E27*$I27/12*2,IF($J27&gt;=10,-$E27*$I27/12*3,0))))))</f>
        <v>0</v>
      </c>
      <c r="BS27" s="443">
        <f>IF($H27&lt;&gt;BT$5,0,IF(BT27&lt;0,IF(OR($J27=1,$J27=2,$J27=3,$J27=4,$J27=5,$J27=6,$J27=7,$J27=8,$J27=9,$J27=10),-$E27*$I27/12*3,IF($J27=11,-$E27*$I27/12*2,IF($J27=12,-$E27*$I27/12*1,0)))))+IF(BO$5&lt;&gt;$H27,0,IF(BO27&lt;0,IF($J27=10,-$E27*$I27/12*0,IF($J27=11,-$E27*$I27/12*1,IF($J27=12,-$E27*$I27/12*2,0)))))</f>
        <v>0</v>
      </c>
      <c r="BT27" s="440">
        <f>IF(AND(BO27&lt;&gt;0,BO$5=$H27),-$I27*$E27-BO27,IF(BT$5=$H27,-$I27*$E27*(12-$J27+1)/12,0))</f>
        <v>0</v>
      </c>
      <c r="BU27" s="441">
        <f>IF($H27&lt;&gt;BY$5,0,IF(BY27&lt;0,IF($J27=1,-$E27*$I27/12*3,IF($J27=2,-$E27*$I27/12*2,IF($J27=3,-$E27*$I27/12*1,0)))))+IF(BT$5&lt;&gt;$H27,0,IF(BT27&lt;0,IF($J27=1,-$E27*$I27/12*0,IF($J27=2,-$E27*$I27/12*1,IF($J27=3,-$E27*$I27/12*2,IF($J27&gt;=4,-$E27*$I27/12*3,0))))))</f>
        <v>0</v>
      </c>
      <c r="BV27" s="442">
        <f>IF($H27&lt;&gt;BY$5,0,IF(BY27&lt;0,IF(OR($J27=1,$J27=2,$J27=3,$J27=4),-$E27*$I27/12*3,IF($J27=5,-$E27*$I27/12*2,IF($J27=6,-$E27*$I27/12*1,0)))))+IF(BT$5&lt;&gt;$H27,0,IF(BT27&lt;0,IF($J27=4,-$E27*$I27/12*0,IF($J27=5,-$E27*$I27/12*1,IF($J27=6,-$E27*$I27/12*2,IF($J27&gt;=7,-$E27*$I27/12*3,0))))))</f>
        <v>0</v>
      </c>
      <c r="BW27" s="442">
        <f>IF($H27&lt;&gt;BY$5,0,IF(BY27&lt;0,IF(OR($J27=1,$J27=2,$J27=3,$J27=4,$J27=5,$J27=6,$J27=7),-$E27*$I27/12*3,IF($J27=8,-$E27*$I27/12*2,IF($J27=9,-$E27*$I27/12*1,0)))))+IF(BT$5&lt;&gt;$H27,0,IF(BT27&lt;0,IF($J27=7,-$E27*$I27/12*0,IF($J27=8,-$E27*$I27/12*1,IF($J27=9,-$E27*$I27/12*2,IF($J27&gt;=10,-$E27*$I27/12*3,0))))))</f>
        <v>0</v>
      </c>
      <c r="BX27" s="443">
        <f>IF($H27&lt;&gt;BY$5,0,IF(BY27&lt;0,IF(OR($J27=1,$J27=2,$J27=3,$J27=4,$J27=5,$J27=6,$J27=7,$J27=8,$J27=9,$J27=10),-$E27*$I27/12*3,IF($J27=11,-$E27*$I27/12*2,IF($J27=12,-$E27*$I27/12*1,0)))))+IF(BT$5&lt;&gt;$H27,0,IF(BT27&lt;0,IF($J27=10,-$E27*$I27/12*0,IF($J27=11,-$E27*$I27/12*1,IF($J27=12,-$E27*$I27/12*2,0)))))</f>
        <v>0</v>
      </c>
      <c r="BY27" s="440">
        <f>IF(AND(BT27&lt;&gt;0,BT$5=$H27),-$I27*$E27-BT27,IF(BY$5=$H27,-$I27*$E27*(12-$J27+1)/12,0))</f>
        <v>0</v>
      </c>
      <c r="BZ27" s="441">
        <f>IF($H27&lt;&gt;CD$5,0,IF(CD27&lt;0,IF($J27=1,-$E27*$I27/12*3,IF($J27=2,-$E27*$I27/12*2,IF($J27=3,-$E27*$I27/12*1,0)))))+IF(BY$5&lt;&gt;$H27,0,IF(BY27&lt;0,IF($J27=1,-$E27*$I27/12*0,IF($J27=2,-$E27*$I27/12*1,IF($J27=3,-$E27*$I27/12*2,IF($J27&gt;=4,-$E27*$I27/12*3,0))))))</f>
        <v>0</v>
      </c>
      <c r="CA27" s="442">
        <f>IF($H27&lt;&gt;CD$5,0,IF(CD27&lt;0,IF(OR($J27=1,$J27=2,$J27=3,$J27=4),-$E27*$I27/12*3,IF($J27=5,-$E27*$I27/12*2,IF($J27=6,-$E27*$I27/12*1,0)))))+IF(BY$5&lt;&gt;$H27,0,IF(BY27&lt;0,IF($J27=4,-$E27*$I27/12*0,IF($J27=5,-$E27*$I27/12*1,IF($J27=6,-$E27*$I27/12*2,IF($J27&gt;=7,-$E27*$I27/12*3,0))))))</f>
        <v>0</v>
      </c>
      <c r="CB27" s="442">
        <f>IF($H27&lt;&gt;CD$5,0,IF(CD27&lt;0,IF(OR($J27=1,$J27=2,$J27=3,$J27=4,$J27=5,$J27=6,$J27=7),-$E27*$I27/12*3,IF($J27=8,-$E27*$I27/12*2,IF($J27=9,-$E27*$I27/12*1,0)))))+IF(BY$5&lt;&gt;$H27,0,IF(BY27&lt;0,IF($J27=7,-$E27*$I27/12*0,IF($J27=8,-$E27*$I27/12*1,IF($J27=9,-$E27*$I27/12*2,IF($J27&gt;=10,-$E27*$I27/12*3,0))))))</f>
        <v>0</v>
      </c>
      <c r="CC27" s="443">
        <f>IF($H27&lt;&gt;CD$5,0,IF(CD27&lt;0,IF(OR($J27=1,$J27=2,$J27=3,$J27=4,$J27=5,$J27=6,$J27=7,$J27=8,$J27=9,$J27=10),-$E27*$I27/12*3,IF($J27=11,-$E27*$I27/12*2,IF($J27=12,-$E27*$I27/12*1,0)))))+IF(BY$5&lt;&gt;$H27,0,IF(BY27&lt;0,IF($J27=10,-$E27*$I27/12*0,IF($J27=11,-$E27*$I27/12*1,IF($J27=12,-$E27*$I27/12*2,0)))))</f>
        <v>0</v>
      </c>
      <c r="CD27" s="440">
        <f>IF(AND(BY27&lt;&gt;0,BY$5=$H27),-$I27*$E27-BY27,IF(CD$5=$H27,-$I27*$E27*(12-$J27+1)/12,0))</f>
        <v>0</v>
      </c>
      <c r="CE27" s="441">
        <f>IF($H27&lt;&gt;CI$5,0,IF(CI27&lt;0,IF($J27=1,-$E27*$I27/12*3,IF($J27=2,-$E27*$I27/12*2,IF($J27=3,-$E27*$I27/12*1,0)))))+IF(CD$5&lt;&gt;$H27,0,IF(CD27&lt;0,IF($J27=1,-$E27*$I27/12*0,IF($J27=2,-$E27*$I27/12*1,IF($J27=3,-$E27*$I27/12*2,IF($J27&gt;=4,-$E27*$I27/12*3,0))))))</f>
        <v>0</v>
      </c>
      <c r="CF27" s="442">
        <f>IF($H27&lt;&gt;CI$5,0,IF(CI27&lt;0,IF(OR($J27=1,$J27=2,$J27=3,$J27=4),-$E27*$I27/12*3,IF($J27=5,-$E27*$I27/12*2,IF($J27=6,-$E27*$I27/12*1,0)))))+IF(CD$5&lt;&gt;$H27,0,IF(CD27&lt;0,IF($J27=4,-$E27*$I27/12*0,IF($J27=5,-$E27*$I27/12*1,IF($J27=6,-$E27*$I27/12*2,IF($J27&gt;=7,-$E27*$I27/12*3,0))))))</f>
        <v>0</v>
      </c>
      <c r="CG27" s="442">
        <f>IF($H27&lt;&gt;CI$5,0,IF(CI27&lt;0,IF(OR($J27=1,$J27=2,$J27=3,$J27=4,$J27=5,$J27=6,$J27=7),-$E27*$I27/12*3,IF($J27=8,-$E27*$I27/12*2,IF($J27=9,-$E27*$I27/12*1,0)))))+IF(CD$5&lt;&gt;$H27,0,IF(CD27&lt;0,IF($J27=7,-$E27*$I27/12*0,IF($J27=8,-$E27*$I27/12*1,IF($J27=9,-$E27*$I27/12*2,IF($J27&gt;=10,-$E27*$I27/12*3,0))))))</f>
        <v>0</v>
      </c>
      <c r="CH27" s="443">
        <f>IF($H27&lt;&gt;CI$5,0,IF(CI27&lt;0,IF(OR($J27=1,$J27=2,$J27=3,$J27=4,$J27=5,$J27=6,$J27=7,$J27=8,$J27=9,$J27=10),-$E27*$I27/12*3,IF($J27=11,-$E27*$I27/12*2,IF($J27=12,-$E27*$I27/12*1,0)))))+IF(CD$5&lt;&gt;$H27,0,IF(CD27&lt;0,IF($J27=10,-$E27*$I27/12*0,IF($J27=11,-$E27*$I27/12*1,IF($J27=12,-$E27*$I27/12*2,0)))))</f>
        <v>0</v>
      </c>
      <c r="CI27" s="440">
        <f>IF(AND(CD27&lt;&gt;0,CD$5=$H27),-$I27*$E27-CD27,IF(CI$5=$H27,-$I27*$E27*(12-$J27+1)/12,0))</f>
        <v>0</v>
      </c>
      <c r="CJ27" s="441">
        <f>IF($H27&lt;&gt;CN$5,0,IF(CN27&lt;0,IF($J27=1,-$E27*$I27/12*3,IF($J27=2,-$E27*$I27/12*2,IF($J27=3,-$E27*$I27/12*1,0)))))+IF(CI$5&lt;&gt;$H27,0,IF(CI27&lt;0,IF($J27=1,-$E27*$I27/12*0,IF($J27=2,-$E27*$I27/12*1,IF($J27=3,-$E27*$I27/12*2,IF($J27&gt;=4,-$E27*$I27/12*3,0))))))</f>
        <v>0</v>
      </c>
      <c r="CK27" s="442">
        <f>IF($H27&lt;&gt;CN$5,0,IF(CN27&lt;0,IF(OR($J27=1,$J27=2,$J27=3,$J27=4),-$E27*$I27/12*3,IF($J27=5,-$E27*$I27/12*2,IF($J27=6,-$E27*$I27/12*1,0)))))+IF(CI$5&lt;&gt;$H27,0,IF(CI27&lt;0,IF($J27=4,-$E27*$I27/12*0,IF($J27=5,-$E27*$I27/12*1,IF($J27=6,-$E27*$I27/12*2,IF($J27&gt;=7,-$E27*$I27/12*3,0))))))</f>
        <v>0</v>
      </c>
      <c r="CL27" s="442">
        <f>IF($H27&lt;&gt;CN$5,0,IF(CN27&lt;0,IF(OR($J27=1,$J27=2,$J27=3,$J27=4,$J27=5,$J27=6,$J27=7),-$E27*$I27/12*3,IF($J27=8,-$E27*$I27/12*2,IF($J27=9,-$E27*$I27/12*1,0)))))+IF(CI$5&lt;&gt;$H27,0,IF(CI27&lt;0,IF($J27=7,-$E27*$I27/12*0,IF($J27=8,-$E27*$I27/12*1,IF($J27=9,-$E27*$I27/12*2,IF($J27&gt;=10,-$E27*$I27/12*3,0))))))</f>
        <v>0</v>
      </c>
      <c r="CM27" s="443">
        <f>IF($H27&lt;&gt;CN$5,0,IF(CN27&lt;0,IF(OR($J27=1,$J27=2,$J27=3,$J27=4,$J27=5,$J27=6,$J27=7,$J27=8,$J27=9,$J27=10),-$E27*$I27/12*3,IF($J27=11,-$E27*$I27/12*2,IF($J27=12,-$E27*$I27/12*1,0)))))+IF(CI$5&lt;&gt;$H27,0,IF(CI27&lt;0,IF($J27=10,-$E27*$I27/12*0,IF($J27=11,-$E27*$I27/12*1,IF($J27=12,-$E27*$I27/12*2,0)))))</f>
        <v>0</v>
      </c>
      <c r="CN27" s="440">
        <f>IF(AND(CI27&lt;&gt;0,CI$5=$H27),-$I27*$E27-CI27,IF(CN$5=$H27,-$I27*$E27*(12-$J27+1)/12,0))</f>
        <v>0</v>
      </c>
      <c r="CO27" s="441">
        <f>IF($H27&lt;&gt;CS$5,0,IF(CS27&lt;0,IF($J27=1,-$E27*$I27/12*3,IF($J27=2,-$E27*$I27/12*2,IF($J27=3,-$E27*$I27/12*1,0)))))+IF(CN$5&lt;&gt;$H27,0,IF(CN27&lt;0,IF($J27=1,-$E27*$I27/12*0,IF($J27=2,-$E27*$I27/12*1,IF($J27=3,-$E27*$I27/12*2,IF($J27&gt;=4,-$E27*$I27/12*3,0))))))</f>
        <v>0</v>
      </c>
      <c r="CP27" s="442">
        <f>IF($H27&lt;&gt;CS$5,0,IF(CS27&lt;0,IF(OR($J27=1,$J27=2,$J27=3,$J27=4),-$E27*$I27/12*3,IF($J27=5,-$E27*$I27/12*2,IF($J27=6,-$E27*$I27/12*1,0)))))+IF(CN$5&lt;&gt;$H27,0,IF(CN27&lt;0,IF($J27=4,-$E27*$I27/12*0,IF($J27=5,-$E27*$I27/12*1,IF($J27=6,-$E27*$I27/12*2,IF($J27&gt;=7,-$E27*$I27/12*3,0))))))</f>
        <v>0</v>
      </c>
      <c r="CQ27" s="442">
        <f>IF($H27&lt;&gt;CS$5,0,IF(CS27&lt;0,IF(OR($J27=1,$J27=2,$J27=3,$J27=4,$J27=5,$J27=6,$J27=7),-$E27*$I27/12*3,IF($J27=8,-$E27*$I27/12*2,IF($J27=9,-$E27*$I27/12*1,0)))))+IF(CN$5&lt;&gt;$H27,0,IF(CN27&lt;0,IF($J27=7,-$E27*$I27/12*0,IF($J27=8,-$E27*$I27/12*1,IF($J27=9,-$E27*$I27/12*2,IF($J27&gt;=10,-$E27*$I27/12*3,0))))))</f>
        <v>0</v>
      </c>
      <c r="CR27" s="443">
        <f>IF($H27&lt;&gt;CS$5,0,IF(CS27&lt;0,IF(OR($J27=1,$J27=2,$J27=3,$J27=4,$J27=5,$J27=6,$J27=7,$J27=8,$J27=9,$J27=10),-$E27*$I27/12*3,IF($J27=11,-$E27*$I27/12*2,IF($J27=12,-$E27*$I27/12*1,0)))))+IF(CN$5&lt;&gt;$H27,0,IF(CN27&lt;0,IF($J27=10,-$E27*$I27/12*0,IF($J27=11,-$E27*$I27/12*1,IF($J27=12,-$E27*$I27/12*2,0)))))</f>
        <v>0</v>
      </c>
      <c r="CS27" s="440">
        <f>IF(AND(CN27&lt;&gt;0,CN$5=$H27),-$I27*$E27-CN27,IF(CS$5=$H27,-$I27*$E27*(12-$J27+1)/12,0))</f>
        <v>0</v>
      </c>
      <c r="CT27" s="441">
        <f>IF($H27&lt;&gt;CX$5,0,IF(CX27&lt;0,IF($J27=1,-$E27*$I27/12*3,IF($J27=2,-$E27*$I27/12*2,IF($J27=3,-$E27*$I27/12*1,0)))))+IF(CS$5&lt;&gt;$H27,0,IF(CS27&lt;0,IF($J27=1,-$E27*$I27/12*0,IF($J27=2,-$E27*$I27/12*1,IF($J27=3,-$E27*$I27/12*2,IF($J27&gt;=4,-$E27*$I27/12*3,0))))))</f>
        <v>0</v>
      </c>
      <c r="CU27" s="442">
        <f>IF($H27&lt;&gt;CX$5,0,IF(CX27&lt;0,IF(OR($J27=1,$J27=2,$J27=3,$J27=4),-$E27*$I27/12*3,IF($J27=5,-$E27*$I27/12*2,IF($J27=6,-$E27*$I27/12*1,0)))))+IF(CS$5&lt;&gt;$H27,0,IF(CS27&lt;0,IF($J27=4,-$E27*$I27/12*0,IF($J27=5,-$E27*$I27/12*1,IF($J27=6,-$E27*$I27/12*2,IF($J27&gt;=7,-$E27*$I27/12*3,0))))))</f>
        <v>0</v>
      </c>
      <c r="CV27" s="442">
        <f>IF($H27&lt;&gt;CX$5,0,IF(CX27&lt;0,IF(OR($J27=1,$J27=2,$J27=3,$J27=4,$J27=5,$J27=6,$J27=7),-$E27*$I27/12*3,IF($J27=8,-$E27*$I27/12*2,IF($J27=9,-$E27*$I27/12*1,0)))))+IF(CS$5&lt;&gt;$H27,0,IF(CS27&lt;0,IF($J27=7,-$E27*$I27/12*0,IF($J27=8,-$E27*$I27/12*1,IF($J27=9,-$E27*$I27/12*2,IF($J27&gt;=10,-$E27*$I27/12*3,0))))))</f>
        <v>0</v>
      </c>
      <c r="CW27" s="443">
        <f>IF($H27&lt;&gt;CX$5,0,IF(CX27&lt;0,IF(OR($J27=1,$J27=2,$J27=3,$J27=4,$J27=5,$J27=6,$J27=7,$J27=8,$J27=9,$J27=10),-$E27*$I27/12*3,IF($J27=11,-$E27*$I27/12*2,IF($J27=12,-$E27*$I27/12*1,0)))))+IF(CS$5&lt;&gt;$H27,0,IF(CS27&lt;0,IF($J27=10,-$E27*$I27/12*0,IF($J27=11,-$E27*$I27/12*1,IF($J27=12,-$E27*$I27/12*2,0)))))</f>
        <v>0</v>
      </c>
      <c r="CX27" s="440">
        <f>IF(AND(CS27&lt;&gt;0,CS$5=$H27),-$I27*$E27-CS27,IF(CX$5=$H27,-$I27*$E27*(12-$J27+1)/12,0))</f>
        <v>0</v>
      </c>
      <c r="CY27" s="441">
        <f>IF($H27&lt;&gt;DC$5,0,IF(DC27&lt;0,IF($J27=1,-$E27*$I27/12*3,IF($J27=2,-$E27*$I27/12*2,IF($J27=3,-$E27*$I27/12*1,0)))))+IF(CX$5&lt;&gt;$H27,0,IF(CX27&lt;0,IF($J27=1,-$E27*$I27/12*0,IF($J27=2,-$E27*$I27/12*1,IF($J27=3,-$E27*$I27/12*2,IF($J27&gt;=4,-$E27*$I27/12*3,0))))))</f>
        <v>0</v>
      </c>
      <c r="CZ27" s="442">
        <f>IF($H27&lt;&gt;DC$5,0,IF(DC27&lt;0,IF(OR($J27=1,$J27=2,$J27=3,$J27=4),-$E27*$I27/12*3,IF($J27=5,-$E27*$I27/12*2,IF($J27=6,-$E27*$I27/12*1,0)))))+IF(CX$5&lt;&gt;$H27,0,IF(CX27&lt;0,IF($J27=4,-$E27*$I27/12*0,IF($J27=5,-$E27*$I27/12*1,IF($J27=6,-$E27*$I27/12*2,IF($J27&gt;=7,-$E27*$I27/12*3,0))))))</f>
        <v>0</v>
      </c>
      <c r="DA27" s="442">
        <f>IF($H27&lt;&gt;DC$5,0,IF(DC27&lt;0,IF(OR($J27=1,$J27=2,$J27=3,$J27=4,$J27=5,$J27=6,$J27=7),-$E27*$I27/12*3,IF($J27=8,-$E27*$I27/12*2,IF($J27=9,-$E27*$I27/12*1,0)))))+IF(CX$5&lt;&gt;$H27,0,IF(CX27&lt;0,IF($J27=7,-$E27*$I27/12*0,IF($J27=8,-$E27*$I27/12*1,IF($J27=9,-$E27*$I27/12*2,IF($J27&gt;=10,-$E27*$I27/12*3,0))))))</f>
        <v>0</v>
      </c>
      <c r="DB27" s="443">
        <f>IF($H27&lt;&gt;DC$5,0,IF(DC27&lt;0,IF(OR($J27=1,$J27=2,$J27=3,$J27=4,$J27=5,$J27=6,$J27=7,$J27=8,$J27=9,$J27=10),-$E27*$I27/12*3,IF($J27=11,-$E27*$I27/12*2,IF($J27=12,-$E27*$I27/12*1,0)))))+IF(CX$5&lt;&gt;$H27,0,IF(CX27&lt;0,IF($J27=10,-$E27*$I27/12*0,IF($J27=11,-$E27*$I27/12*1,IF($J27=12,-$E27*$I27/12*2,0)))))</f>
        <v>0</v>
      </c>
      <c r="DC27" s="440">
        <f>IF(AND(CX27&lt;&gt;0,CX$5=$H27),-$I27*$E27-CX27,IF(DC$5=$H27,-$I27*$E27*(12-$J27+1)/12,0))</f>
        <v>0</v>
      </c>
      <c r="DD27" s="441">
        <f>IF($H27&lt;&gt;DH$5,0,IF(DH27&lt;0,IF($J27=1,-$E27*$I27/12*3,IF($J27=2,-$E27*$I27/12*2,IF($J27=3,-$E27*$I27/12*1,0)))))+IF(DC$5&lt;&gt;$H27,0,IF(DC27&lt;0,IF($J27=1,-$E27*$I27/12*0,IF($J27=2,-$E27*$I27/12*1,IF($J27=3,-$E27*$I27/12*2,IF($J27&gt;=4,-$E27*$I27/12*3,0))))))</f>
        <v>0</v>
      </c>
      <c r="DE27" s="442">
        <f>IF($H27&lt;&gt;DH$5,0,IF(DH27&lt;0,IF(OR($J27=1,$J27=2,$J27=3,$J27=4),-$E27*$I27/12*3,IF($J27=5,-$E27*$I27/12*2,IF($J27=6,-$E27*$I27/12*1,0)))))+IF(DC$5&lt;&gt;$H27,0,IF(DC27&lt;0,IF($J27=4,-$E27*$I27/12*0,IF($J27=5,-$E27*$I27/12*1,IF($J27=6,-$E27*$I27/12*2,IF($J27&gt;=7,-$E27*$I27/12*3,0))))))</f>
        <v>0</v>
      </c>
      <c r="DF27" s="442">
        <f>IF($H27&lt;&gt;DH$5,0,IF(DH27&lt;0,IF(OR($J27=1,$J27=2,$J27=3,$J27=4,$J27=5,$J27=6,$J27=7),-$E27*$I27/12*3,IF($J27=8,-$E27*$I27/12*2,IF($J27=9,-$E27*$I27/12*1,0)))))+IF(DC$5&lt;&gt;$H27,0,IF(DC27&lt;0,IF($J27=7,-$E27*$I27/12*0,IF($J27=8,-$E27*$I27/12*1,IF($J27=9,-$E27*$I27/12*2,IF($J27&gt;=10,-$E27*$I27/12*3,0))))))</f>
        <v>0</v>
      </c>
      <c r="DG27" s="443">
        <f>IF($H27&lt;&gt;DH$5,0,IF(DH27&lt;0,IF(OR($J27=1,$J27=2,$J27=3,$J27=4,$J27=5,$J27=6,$J27=7,$J27=8,$J27=9,$J27=10),-$E27*$I27/12*3,IF($J27=11,-$E27*$I27/12*2,IF($J27=12,-$E27*$I27/12*1,0)))))+IF(DC$5&lt;&gt;$H27,0,IF(DC27&lt;0,IF($J27=10,-$E27*$I27/12*0,IF($J27=11,-$E27*$I27/12*1,IF($J27=12,-$E27*$I27/12*2,0)))))</f>
        <v>0</v>
      </c>
      <c r="DH27" s="440">
        <f>IF(AND(DC27&lt;&gt;0,DC$5=$H27),-$I27*$E27-DC27,IF(DH$5=$H27,-$I27*$E27*(12-$J27+1)/12,0))</f>
        <v>0</v>
      </c>
      <c r="DI27" s="441">
        <f>IF($H27&lt;&gt;DM$5,0,IF(DM27&lt;0,IF($J27=1,-$E27*$I27/12*3,IF($J27=2,-$E27*$I27/12*2,IF($J27=3,-$E27*$I27/12*1,0)))))+IF(DH$5&lt;&gt;$H27,0,IF(DH27&lt;0,IF($J27=1,-$E27*$I27/12*0,IF($J27=2,-$E27*$I27/12*1,IF($J27=3,-$E27*$I27/12*2,IF($J27&gt;=4,-$E27*$I27/12*3,0))))))</f>
        <v>0</v>
      </c>
      <c r="DJ27" s="442">
        <f>IF($H27&lt;&gt;DM$5,0,IF(DM27&lt;0,IF(OR($J27=1,$J27=2,$J27=3,$J27=4),-$E27*$I27/12*3,IF($J27=5,-$E27*$I27/12*2,IF($J27=6,-$E27*$I27/12*1,0)))))+IF(DH$5&lt;&gt;$H27,0,IF(DH27&lt;0,IF($J27=4,-$E27*$I27/12*0,IF($J27=5,-$E27*$I27/12*1,IF($J27=6,-$E27*$I27/12*2,IF($J27&gt;=7,-$E27*$I27/12*3,0))))))</f>
        <v>0</v>
      </c>
      <c r="DK27" s="442">
        <f>IF($H27&lt;&gt;DM$5,0,IF(DM27&lt;0,IF(OR($J27=1,$J27=2,$J27=3,$J27=4,$J27=5,$J27=6,$J27=7),-$E27*$I27/12*3,IF($J27=8,-$E27*$I27/12*2,IF($J27=9,-$E27*$I27/12*1,0)))))+IF(DH$5&lt;&gt;$H27,0,IF(DH27&lt;0,IF($J27=7,-$E27*$I27/12*0,IF($J27=8,-$E27*$I27/12*1,IF($J27=9,-$E27*$I27/12*2,IF($J27&gt;=10,-$E27*$I27/12*3,0))))))</f>
        <v>0</v>
      </c>
      <c r="DL27" s="443">
        <f>IF($H27&lt;&gt;DM$5,0,IF(DM27&lt;0,IF(OR($J27=1,$J27=2,$J27=3,$J27=4,$J27=5,$J27=6,$J27=7,$J27=8,$J27=9,$J27=10),-$E27*$I27/12*3,IF($J27=11,-$E27*$I27/12*2,IF($J27=12,-$E27*$I27/12*1,0)))))+IF(DH$5&lt;&gt;$H27,0,IF(DH27&lt;0,IF($J27=10,-$E27*$I27/12*0,IF($J27=11,-$E27*$I27/12*1,IF($J27=12,-$E27*$I27/12*2,0)))))</f>
        <v>0</v>
      </c>
      <c r="DM27" s="440">
        <f>IF(AND(DH27&lt;&gt;0,DH$5=$H27),-$I27*$E27-DH27,IF(DM$5=$H27,-$I27*$E27*(12-$J27+1)/12,0))</f>
        <v>0</v>
      </c>
      <c r="DN27" s="441">
        <f>IF($H27&lt;&gt;DR$5,0,IF(DR27&lt;0,IF($J27=1,-$E27*$I27/12*3,IF($J27=2,-$E27*$I27/12*2,IF($J27=3,-$E27*$I27/12*1,0)))))+IF(DM$5&lt;&gt;$H27,0,IF(DM27&lt;0,IF($J27=1,-$E27*$I27/12*0,IF($J27=2,-$E27*$I27/12*1,IF($J27=3,-$E27*$I27/12*2,IF($J27&gt;=4,-$E27*$I27/12*3,0))))))</f>
        <v>0</v>
      </c>
      <c r="DO27" s="442">
        <f>IF($H27&lt;&gt;DR$5,0,IF(DR27&lt;0,IF(OR($J27=1,$J27=2,$J27=3,$J27=4),-$E27*$I27/12*3,IF($J27=5,-$E27*$I27/12*2,IF($J27=6,-$E27*$I27/12*1,0)))))+IF(DM$5&lt;&gt;$H27,0,IF(DM27&lt;0,IF($J27=4,-$E27*$I27/12*0,IF($J27=5,-$E27*$I27/12*1,IF($J27=6,-$E27*$I27/12*2,IF($J27&gt;=7,-$E27*$I27/12*3,0))))))</f>
        <v>0</v>
      </c>
      <c r="DP27" s="442">
        <f>IF($H27&lt;&gt;DR$5,0,IF(DR27&lt;0,IF(OR($J27=1,$J27=2,$J27=3,$J27=4,$J27=5,$J27=6,$J27=7),-$E27*$I27/12*3,IF($J27=8,-$E27*$I27/12*2,IF($J27=9,-$E27*$I27/12*1,0)))))+IF(DM$5&lt;&gt;$H27,0,IF(DM27&lt;0,IF($J27=7,-$E27*$I27/12*0,IF($J27=8,-$E27*$I27/12*1,IF($J27=9,-$E27*$I27/12*2,IF($J27&gt;=10,-$E27*$I27/12*3,0))))))</f>
        <v>0</v>
      </c>
      <c r="DQ27" s="443">
        <f>IF($H27&lt;&gt;DR$5,0,IF(DR27&lt;0,IF(OR($J27=1,$J27=2,$J27=3,$J27=4,$J27=5,$J27=6,$J27=7,$J27=8,$J27=9,$J27=10),-$E27*$I27/12*3,IF($J27=11,-$E27*$I27/12*2,IF($J27=12,-$E27*$I27/12*1,0)))))+IF(DM$5&lt;&gt;$H27,0,IF(DM27&lt;0,IF($J27=10,-$E27*$I27/12*0,IF($J27=11,-$E27*$I27/12*1,IF($J27=12,-$E27*$I27/12*2,0)))))</f>
        <v>0</v>
      </c>
      <c r="DR27" s="440">
        <f>IF(AND(DM27&lt;&gt;0,DM$5=$H27),-$I27*$E27-DM27,IF(DR$5=$H27,-$I27*$E27*(12-$J27+1)/12,0))</f>
        <v>0</v>
      </c>
    </row>
    <row r="28" spans="1:122" ht="12.75" customHeight="1">
      <c r="A28" s="92"/>
      <c r="B28" s="92"/>
      <c r="C28" s="1590" t="s">
        <v>664</v>
      </c>
      <c r="D28" s="395"/>
      <c r="E28" s="188">
        <f>IF(F28=0,G28,F28)</f>
        <v>1500</v>
      </c>
      <c r="F28" s="1353">
        <f>1500</f>
        <v>1500</v>
      </c>
      <c r="G28" s="1353">
        <f>1500</f>
        <v>1500</v>
      </c>
      <c r="H28" s="1308">
        <v>2031</v>
      </c>
      <c r="I28" s="1354">
        <v>7.3749999999999996E-2</v>
      </c>
      <c r="J28" s="1353">
        <v>11</v>
      </c>
      <c r="K28" s="549"/>
      <c r="L28" s="441">
        <f>IF(P28=0,0,IF(P28&lt;0,IF($J28=3,P28,IF($J28=2,P28,IF($J28=1,P28,0)))))</f>
        <v>0</v>
      </c>
      <c r="M28" s="442">
        <f>IF(P28=0,0,IF(P28&lt;0,IF($J28=6,P28,IF($J28=5,P28,IF($J28=4,P28,0)))))</f>
        <v>0</v>
      </c>
      <c r="N28" s="442">
        <f>IF(P28=0,0,IF(P28&lt;0,IF($J28=9,P28,IF($J28=8,P28,IF($J28=7,P28,0)))))</f>
        <v>0</v>
      </c>
      <c r="O28" s="443">
        <f>IF(P28=0,0,IF(P28&lt;0,IF($J28=12,P28,IF($J28=11,P28,IF($J28=10,P28,0)))))</f>
        <v>0</v>
      </c>
      <c r="P28" s="440">
        <f>IF(P$5=$H28,-$E28,0)</f>
        <v>0</v>
      </c>
      <c r="Q28" s="441">
        <f>IF(U28=0,0,IF(U28&lt;0,IF($J28=3,U28,IF($J28=2,U28,IF($J28=1,U28,0)))))</f>
        <v>0</v>
      </c>
      <c r="R28" s="442">
        <f>IF(U28=0,0,IF(U28&lt;0,IF($J28=6,U28,IF($J28=5,U28,IF($J28=4,U28,0)))))</f>
        <v>0</v>
      </c>
      <c r="S28" s="442">
        <f>IF(U28=0,0,IF(U28&lt;0,IF($J28=9,U28,IF($J28=8,U28,IF($J28=7,U28,0)))))</f>
        <v>0</v>
      </c>
      <c r="T28" s="443">
        <f>IF(U28=0,0,IF(U28&lt;0,IF($J28=12,U28,IF($J28=11,U28,IF($J28=10,U28,0)))))</f>
        <v>0</v>
      </c>
      <c r="U28" s="440">
        <f>IF(U$5=$H28,-$E28,0)</f>
        <v>0</v>
      </c>
      <c r="V28" s="441">
        <f>IF(Z28=0,0,IF(Z28&lt;0,IF($J28=3,Z28,IF($J28=2,Z28,IF($J28=1,Z28,0)))))</f>
        <v>0</v>
      </c>
      <c r="W28" s="442">
        <f>IF(Z28=0,0,IF(Z28&lt;0,IF($J28=6,Z28,IF($J28=5,Z28,IF($J28=4,Z28,0)))))</f>
        <v>0</v>
      </c>
      <c r="X28" s="442">
        <f>IF(Z28=0,0,IF(Z28&lt;0,IF($J28=9,Z28,IF($J28=8,Z28,IF($J28=7,Z28,0)))))</f>
        <v>0</v>
      </c>
      <c r="Y28" s="443">
        <f>IF(Z28=0,0,IF(Z28&lt;0,IF($J28=12,Z28,IF($J28=11,Z28,IF($J28=10,Z28,0)))))</f>
        <v>0</v>
      </c>
      <c r="Z28" s="440">
        <f>IF(Z$5=$H28,-$E28,0)</f>
        <v>0</v>
      </c>
      <c r="AA28" s="441">
        <f>IF(AE28=0,0,IF(AE28&lt;0,IF($J28=3,AE28,IF($J28=2,AE28,IF($J28=1,AE28,0)))))</f>
        <v>0</v>
      </c>
      <c r="AB28" s="442">
        <f>IF(AE28=0,0,IF(AE28&lt;0,IF($J28=6,AE28,IF($J28=5,AE28,IF($J28=4,AE28,0)))))</f>
        <v>0</v>
      </c>
      <c r="AC28" s="442">
        <f>IF(AE28=0,0,IF(AE28&lt;0,IF($J28=9,AE28,IF($J28=8,AE28,IF($J28=7,AE28,0)))))</f>
        <v>0</v>
      </c>
      <c r="AD28" s="443">
        <f>IF(AE28=0,0,IF(AE28&lt;0,IF($J28=12,AE28,IF($J28=11,AE28,IF($J28=10,AE28,0)))))</f>
        <v>0</v>
      </c>
      <c r="AE28" s="440">
        <f>IF(AE$5=$H28,-$E28,0)</f>
        <v>0</v>
      </c>
      <c r="AF28" s="441">
        <f>IF(AJ28=0,0,IF(AJ28&lt;0,IF($J28=3,AJ28,IF($J28=2,AJ28,IF($J28=1,AJ28,0)))))</f>
        <v>0</v>
      </c>
      <c r="AG28" s="442">
        <f>IF(AJ28=0,0,IF(AJ28&lt;0,IF($J28=6,AJ28,IF($J28=5,AJ28,IF($J28=4,AJ28,0)))))</f>
        <v>0</v>
      </c>
      <c r="AH28" s="442">
        <f>IF(AJ28=0,0,IF(AJ28&lt;0,IF($J28=9,AJ28,IF($J28=8,AJ28,IF($J28=7,AJ28,0)))))</f>
        <v>0</v>
      </c>
      <c r="AI28" s="443">
        <f>IF(AJ28=0,0,IF(AJ28&lt;0,IF($J28=12,AJ28,IF($J28=11,AJ28,IF($J28=10,AJ28,0)))))</f>
        <v>0</v>
      </c>
      <c r="AJ28" s="440">
        <f>IF(AJ$5=$H28,-$E28,0)</f>
        <v>0</v>
      </c>
      <c r="AK28" s="441">
        <f>IF(AO28=0,0,IF(AO28&lt;0,IF($J28=3,AO28,IF($J28=2,AO28,IF($J28=1,AO28,0)))))</f>
        <v>0</v>
      </c>
      <c r="AL28" s="442">
        <f>IF(AO28=0,0,IF(AO28&lt;0,IF($J28=6,AO28,IF($J28=5,AO28,IF($J28=4,AO28,0)))))</f>
        <v>0</v>
      </c>
      <c r="AM28" s="442">
        <f>IF(AO28=0,0,IF(AO28&lt;0,IF($J28=9,AO28,IF($J28=8,AO28,IF($J28=7,AO28,0)))))</f>
        <v>0</v>
      </c>
      <c r="AN28" s="443">
        <f>IF(AO28=0,0,IF(AO28&lt;0,IF($J28=12,AO28,IF($J28=11,AO28,IF($J28=10,AO28,0)))))</f>
        <v>0</v>
      </c>
      <c r="AO28" s="440">
        <f>IF(AO$5=$H28,-$E28,0)</f>
        <v>0</v>
      </c>
      <c r="AP28" s="441">
        <f>IF(AT28=0,0,IF(AT28&lt;0,IF($J28=3,AT28,IF($J28=2,AT28,IF($J28=1,AT28,0)))))</f>
        <v>0</v>
      </c>
      <c r="AQ28" s="442">
        <f>IF(AT28=0,0,IF(AT28&lt;0,IF($J28=6,AT28,IF($J28=5,AT28,IF($J28=4,AT28,0)))))</f>
        <v>0</v>
      </c>
      <c r="AR28" s="442">
        <f>IF(AT28=0,0,IF(AT28&lt;0,IF($J28=9,AT28,IF($J28=8,AT28,IF($J28=7,AT28,0)))))</f>
        <v>0</v>
      </c>
      <c r="AS28" s="443">
        <f>IF(AT28=0,0,IF(AT28&lt;0,IF($J28=12,AT28,IF($J28=11,AT28,IF($J28=10,AT28,0)))))</f>
        <v>0</v>
      </c>
      <c r="AT28" s="440">
        <f>IF(AT$5=$H28,-$E28,0)</f>
        <v>0</v>
      </c>
      <c r="AU28" s="441">
        <f>IF(AY28=0,0,IF(AY28&lt;0,IF($J28=3,AY28,IF($J28=2,AY28,IF($J28=1,AY28,0)))))</f>
        <v>0</v>
      </c>
      <c r="AV28" s="442">
        <f>IF(AY28=0,0,IF(AY28&lt;0,IF($J28=6,AY28,IF($J28=5,AY28,IF($J28=4,AY28,0)))))</f>
        <v>0</v>
      </c>
      <c r="AW28" s="442">
        <f>IF(AY28=0,0,IF(AY28&lt;0,IF($J28=9,AY28,IF($J28=8,AY28,IF($J28=7,AY28,0)))))</f>
        <v>0</v>
      </c>
      <c r="AX28" s="443">
        <f>IF(AY28=0,0,IF(AY28&lt;0,IF($J28=12,AY28,IF($J28=11,AY28,IF($J28=10,AY28,0)))))</f>
        <v>0</v>
      </c>
      <c r="AY28" s="440">
        <f>IF(AY$5=$H28,-$E28,0)</f>
        <v>0</v>
      </c>
      <c r="AZ28" s="441">
        <f>IF(BD28=0,0,IF(BD28&lt;0,IF($J28=3,BD28,IF($J28=2,BD28,IF($J28=1,BD28,0)))))</f>
        <v>0</v>
      </c>
      <c r="BA28" s="442">
        <f>IF(BD28=0,0,IF(BD28&lt;0,IF($J28=6,BD28,IF($J28=5,BD28,IF($J28=4,BD28,0)))))</f>
        <v>0</v>
      </c>
      <c r="BB28" s="442">
        <f>IF(BD28=0,0,IF(BD28&lt;0,IF($J28=9,BD28,IF($J28=8,BD28,IF($J28=7,BD28,0)))))</f>
        <v>0</v>
      </c>
      <c r="BC28" s="443">
        <f>IF(BD28=0,0,IF(BD28&lt;0,IF($J28=12,BD28,IF($J28=11,BD28,IF($J28=10,BD28,0)))))</f>
        <v>0</v>
      </c>
      <c r="BD28" s="440">
        <f>IF(BD$5=$H28,-$E28,0)</f>
        <v>0</v>
      </c>
      <c r="BE28" s="441">
        <f>IF(BI28=0,0,IF(BI28&lt;0,IF($J28=3,BI28,IF($J28=2,BI28,IF($J28=1,BI28,0)))))</f>
        <v>0</v>
      </c>
      <c r="BF28" s="442">
        <f>IF(BI28=0,0,IF(BI28&lt;0,IF($J28=6,BI28,IF($J28=5,BI28,IF($J28=4,BI28,0)))))</f>
        <v>0</v>
      </c>
      <c r="BG28" s="442">
        <f>IF(BI28=0,0,IF(BI28&lt;0,IF($J28=9,BI28,IF($J28=8,BI28,IF($J28=7,BI28,0)))))</f>
        <v>0</v>
      </c>
      <c r="BH28" s="443">
        <f>IF(BI28=0,0,IF(BI28&lt;0,IF($J28=12,BI28,IF($J28=11,BI28,IF($J28=10,BI28,0)))))</f>
        <v>0</v>
      </c>
      <c r="BI28" s="440">
        <f>IF(BI$5=$H28,-$E28,0)</f>
        <v>0</v>
      </c>
      <c r="BJ28" s="441">
        <f>IF(BN28=0,0,IF(BN28&lt;0,IF($J28=3,BN28,IF($J28=2,BN28,IF($J28=1,BN28,0)))))</f>
        <v>0</v>
      </c>
      <c r="BK28" s="442">
        <f>IF(BN28=0,0,IF(BN28&lt;0,IF($J28=6,BN28,IF($J28=5,BN28,IF($J28=4,BN28,0)))))</f>
        <v>0</v>
      </c>
      <c r="BL28" s="442">
        <f>IF(BN28=0,0,IF(BN28&lt;0,IF($J28=9,BN28,IF($J28=8,BN28,IF($J28=7,BN28,0)))))</f>
        <v>0</v>
      </c>
      <c r="BM28" s="443">
        <f>IF(BN28=0,0,IF(BN28&lt;0,IF($J28=12,BN28,IF($J28=11,BN28,IF($J28=10,BN28,0)))))</f>
        <v>0</v>
      </c>
      <c r="BN28" s="440">
        <f>IF(BN$5=$H28,-$E28,0)</f>
        <v>0</v>
      </c>
      <c r="BO28" s="463"/>
      <c r="BP28" s="441">
        <f>IF($H28&lt;&gt;BT$5,0,IF(BT28&lt;0,IF($J28=1,-$E28*$I28/12*3,IF($J28=2,-$E28*$I28/12*2,IF($J28=3,-$E28*$I28/12*1,0)))))+IF(BO$5&lt;&gt;$H28,0,IF(BO28&lt;0,IF($J28=1,-$E28*$I28/12*0,IF($J28=2,-$E28*$I28/12*1,IF($J28=3,-$E28*$I28/12*2,IF($J28&gt;=4,-$E28*$I28/12*3,0))))))</f>
        <v>0</v>
      </c>
      <c r="BQ28" s="442">
        <f>IF($H28&lt;&gt;BT$5,0,IF(BT28&lt;0,IF(OR($J28=1,$J28=2,$J28=3,$J28=4),-$E28*$I28/12*3,IF($J28=5,-$E28*$I28/12*2,IF($J28=6,-$E28*$I28/12*1,0)))))+IF(BO$5&lt;&gt;$H28,0,IF(BO28&lt;0,IF($J28=4,-$E28*$I28/12*0,IF($J28=5,-$E28*$I28/12*1,IF($J28=6,-$E28*$I28/12*2,IF($J28&gt;=7,-$E28*$I28/12*3,0))))))</f>
        <v>0</v>
      </c>
      <c r="BR28" s="442">
        <f>IF($H28&lt;&gt;BT$5,0,IF(BT28&lt;0,IF(OR($J28=1,$J28=2,$J28=3,$J28=4,$J28=5,$J28=6,$J28=7),-$E28*$I28/12*3,IF($J28=8,-$E28*$I28/12*2,IF($J28=9,-$E28*$I28/12*1,0)))))+IF(BO$5&lt;&gt;$H28,0,IF(BO28&lt;0,IF($J28=7,-$E28*$I28/12*0,IF($J28=8,-$E28*$I28/12*1,IF($J28=9,-$E28*$I28/12*2,IF($J28&gt;=10,-$E28*$I28/12*3,0))))))</f>
        <v>0</v>
      </c>
      <c r="BS28" s="443">
        <f>IF($H28&lt;&gt;BT$5,0,IF(BT28&lt;0,IF(OR($J28=1,$J28=2,$J28=3,$J28=4,$J28=5,$J28=6,$J28=7,$J28=8,$J28=9,$J28=10),-$E28*$I28/12*3,IF($J28=11,-$E28*$I28/12*2,IF($J28=12,-$E28*$I28/12*1,0)))))+IF(BO$5&lt;&gt;$H28,0,IF(BO28&lt;0,IF($J28=10,-$E28*$I28/12*0,IF($J28=11,-$E28*$I28/12*1,IF($J28=12,-$E28*$I28/12*2,0)))))</f>
        <v>0</v>
      </c>
      <c r="BT28" s="440">
        <f>IF(AND(BO28&lt;&gt;0,BO$5=$H28),-$I28*$E28-BO28,IF(BT$5=$H28,-$I28*$E28*(12-$J28+1)/12,0))</f>
        <v>0</v>
      </c>
      <c r="BU28" s="441">
        <f>IF($H28&lt;&gt;BY$5,0,IF(BY28&lt;0,IF($J28=1,-$E28*$I28/12*3,IF($J28=2,-$E28*$I28/12*2,IF($J28=3,-$E28*$I28/12*1,0)))))+IF(BT$5&lt;&gt;$H28,0,IF(BT28&lt;0,IF($J28=1,-$E28*$I28/12*0,IF($J28=2,-$E28*$I28/12*1,IF($J28=3,-$E28*$I28/12*2,IF($J28&gt;=4,-$E28*$I28/12*3,0))))))</f>
        <v>0</v>
      </c>
      <c r="BV28" s="442">
        <f>IF($H28&lt;&gt;BY$5,0,IF(BY28&lt;0,IF(OR($J28=1,$J28=2,$J28=3,$J28=4),-$E28*$I28/12*3,IF($J28=5,-$E28*$I28/12*2,IF($J28=6,-$E28*$I28/12*1,0)))))+IF(BT$5&lt;&gt;$H28,0,IF(BT28&lt;0,IF($J28=4,-$E28*$I28/12*0,IF($J28=5,-$E28*$I28/12*1,IF($J28=6,-$E28*$I28/12*2,IF($J28&gt;=7,-$E28*$I28/12*3,0))))))</f>
        <v>0</v>
      </c>
      <c r="BW28" s="442">
        <f>IF($H28&lt;&gt;BY$5,0,IF(BY28&lt;0,IF(OR($J28=1,$J28=2,$J28=3,$J28=4,$J28=5,$J28=6,$J28=7),-$E28*$I28/12*3,IF($J28=8,-$E28*$I28/12*2,IF($J28=9,-$E28*$I28/12*1,0)))))+IF(BT$5&lt;&gt;$H28,0,IF(BT28&lt;0,IF($J28=7,-$E28*$I28/12*0,IF($J28=8,-$E28*$I28/12*1,IF($J28=9,-$E28*$I28/12*2,IF($J28&gt;=10,-$E28*$I28/12*3,0))))))</f>
        <v>0</v>
      </c>
      <c r="BX28" s="443">
        <f>IF($H28&lt;&gt;BY$5,0,IF(BY28&lt;0,IF(OR($J28=1,$J28=2,$J28=3,$J28=4,$J28=5,$J28=6,$J28=7,$J28=8,$J28=9,$J28=10),-$E28*$I28/12*3,IF($J28=11,-$E28*$I28/12*2,IF($J28=12,-$E28*$I28/12*1,0)))))+IF(BT$5&lt;&gt;$H28,0,IF(BT28&lt;0,IF($J28=10,-$E28*$I28/12*0,IF($J28=11,-$E28*$I28/12*1,IF($J28=12,-$E28*$I28/12*2,0)))))</f>
        <v>0</v>
      </c>
      <c r="BY28" s="440">
        <f>IF(AND(BT28&lt;&gt;0,BT$5=$H28),-$I28*$E28-BT28,IF(BY$5=$H28,-$I28*$E28*(12-$J28+1)/12,0))</f>
        <v>0</v>
      </c>
      <c r="BZ28" s="441">
        <f>IF($H28&lt;&gt;CD$5,0,IF(CD28&lt;0,IF($J28=1,-$E28*$I28/12*3,IF($J28=2,-$E28*$I28/12*2,IF($J28=3,-$E28*$I28/12*1,0)))))+IF(BY$5&lt;&gt;$H28,0,IF(BY28&lt;0,IF($J28=1,-$E28*$I28/12*0,IF($J28=2,-$E28*$I28/12*1,IF($J28=3,-$E28*$I28/12*2,IF($J28&gt;=4,-$E28*$I28/12*3,0))))))</f>
        <v>0</v>
      </c>
      <c r="CA28" s="442">
        <f>IF($H28&lt;&gt;CD$5,0,IF(CD28&lt;0,IF(OR($J28=1,$J28=2,$J28=3,$J28=4),-$E28*$I28/12*3,IF($J28=5,-$E28*$I28/12*2,IF($J28=6,-$E28*$I28/12*1,0)))))+IF(BY$5&lt;&gt;$H28,0,IF(BY28&lt;0,IF($J28=4,-$E28*$I28/12*0,IF($J28=5,-$E28*$I28/12*1,IF($J28=6,-$E28*$I28/12*2,IF($J28&gt;=7,-$E28*$I28/12*3,0))))))</f>
        <v>0</v>
      </c>
      <c r="CB28" s="442">
        <f>IF($H28&lt;&gt;CD$5,0,IF(CD28&lt;0,IF(OR($J28=1,$J28=2,$J28=3,$J28=4,$J28=5,$J28=6,$J28=7),-$E28*$I28/12*3,IF($J28=8,-$E28*$I28/12*2,IF($J28=9,-$E28*$I28/12*1,0)))))+IF(BY$5&lt;&gt;$H28,0,IF(BY28&lt;0,IF($J28=7,-$E28*$I28/12*0,IF($J28=8,-$E28*$I28/12*1,IF($J28=9,-$E28*$I28/12*2,IF($J28&gt;=10,-$E28*$I28/12*3,0))))))</f>
        <v>0</v>
      </c>
      <c r="CC28" s="443">
        <f>IF($H28&lt;&gt;CD$5,0,IF(CD28&lt;0,IF(OR($J28=1,$J28=2,$J28=3,$J28=4,$J28=5,$J28=6,$J28=7,$J28=8,$J28=9,$J28=10),-$E28*$I28/12*3,IF($J28=11,-$E28*$I28/12*2,IF($J28=12,-$E28*$I28/12*1,0)))))+IF(BY$5&lt;&gt;$H28,0,IF(BY28&lt;0,IF($J28=10,-$E28*$I28/12*0,IF($J28=11,-$E28*$I28/12*1,IF($J28=12,-$E28*$I28/12*2,0)))))</f>
        <v>0</v>
      </c>
      <c r="CD28" s="440">
        <f>IF(AND(BY28&lt;&gt;0,BY$5=$H28),-$I28*$E28-BY28,IF(CD$5=$H28,-$I28*$E28*(12-$J28+1)/12,0))</f>
        <v>0</v>
      </c>
      <c r="CE28" s="441">
        <f>IF($H28&lt;&gt;CI$5,0,IF(CI28&lt;0,IF($J28=1,-$E28*$I28/12*3,IF($J28=2,-$E28*$I28/12*2,IF($J28=3,-$E28*$I28/12*1,0)))))+IF(CD$5&lt;&gt;$H28,0,IF(CD28&lt;0,IF($J28=1,-$E28*$I28/12*0,IF($J28=2,-$E28*$I28/12*1,IF($J28=3,-$E28*$I28/12*2,IF($J28&gt;=4,-$E28*$I28/12*3,0))))))</f>
        <v>0</v>
      </c>
      <c r="CF28" s="442">
        <f>IF($H28&lt;&gt;CI$5,0,IF(CI28&lt;0,IF(OR($J28=1,$J28=2,$J28=3,$J28=4),-$E28*$I28/12*3,IF($J28=5,-$E28*$I28/12*2,IF($J28=6,-$E28*$I28/12*1,0)))))+IF(CD$5&lt;&gt;$H28,0,IF(CD28&lt;0,IF($J28=4,-$E28*$I28/12*0,IF($J28=5,-$E28*$I28/12*1,IF($J28=6,-$E28*$I28/12*2,IF($J28&gt;=7,-$E28*$I28/12*3,0))))))</f>
        <v>0</v>
      </c>
      <c r="CG28" s="442">
        <f>IF($H28&lt;&gt;CI$5,0,IF(CI28&lt;0,IF(OR($J28=1,$J28=2,$J28=3,$J28=4,$J28=5,$J28=6,$J28=7),-$E28*$I28/12*3,IF($J28=8,-$E28*$I28/12*2,IF($J28=9,-$E28*$I28/12*1,0)))))+IF(CD$5&lt;&gt;$H28,0,IF(CD28&lt;0,IF($J28=7,-$E28*$I28/12*0,IF($J28=8,-$E28*$I28/12*1,IF($J28=9,-$E28*$I28/12*2,IF($J28&gt;=10,-$E28*$I28/12*3,0))))))</f>
        <v>0</v>
      </c>
      <c r="CH28" s="443">
        <f>IF($H28&lt;&gt;CI$5,0,IF(CI28&lt;0,IF(OR($J28=1,$J28=2,$J28=3,$J28=4,$J28=5,$J28=6,$J28=7,$J28=8,$J28=9,$J28=10),-$E28*$I28/12*3,IF($J28=11,-$E28*$I28/12*2,IF($J28=12,-$E28*$I28/12*1,0)))))+IF(CD$5&lt;&gt;$H28,0,IF(CD28&lt;0,IF($J28=10,-$E28*$I28/12*0,IF($J28=11,-$E28*$I28/12*1,IF($J28=12,-$E28*$I28/12*2,0)))))</f>
        <v>0</v>
      </c>
      <c r="CI28" s="440">
        <f>IF(AND(CD28&lt;&gt;0,CD$5=$H28),-$I28*$E28-CD28,IF(CI$5=$H28,-$I28*$E28*(12-$J28+1)/12,0))</f>
        <v>0</v>
      </c>
      <c r="CJ28" s="441">
        <f>IF($H28&lt;&gt;CN$5,0,IF(CN28&lt;0,IF($J28=1,-$E28*$I28/12*3,IF($J28=2,-$E28*$I28/12*2,IF($J28=3,-$E28*$I28/12*1,0)))))+IF(CI$5&lt;&gt;$H28,0,IF(CI28&lt;0,IF($J28=1,-$E28*$I28/12*0,IF($J28=2,-$E28*$I28/12*1,IF($J28=3,-$E28*$I28/12*2,IF($J28&gt;=4,-$E28*$I28/12*3,0))))))</f>
        <v>0</v>
      </c>
      <c r="CK28" s="442">
        <f>IF($H28&lt;&gt;CN$5,0,IF(CN28&lt;0,IF(OR($J28=1,$J28=2,$J28=3,$J28=4),-$E28*$I28/12*3,IF($J28=5,-$E28*$I28/12*2,IF($J28=6,-$E28*$I28/12*1,0)))))+IF(CI$5&lt;&gt;$H28,0,IF(CI28&lt;0,IF($J28=4,-$E28*$I28/12*0,IF($J28=5,-$E28*$I28/12*1,IF($J28=6,-$E28*$I28/12*2,IF($J28&gt;=7,-$E28*$I28/12*3,0))))))</f>
        <v>0</v>
      </c>
      <c r="CL28" s="442">
        <f>IF($H28&lt;&gt;CN$5,0,IF(CN28&lt;0,IF(OR($J28=1,$J28=2,$J28=3,$J28=4,$J28=5,$J28=6,$J28=7),-$E28*$I28/12*3,IF($J28=8,-$E28*$I28/12*2,IF($J28=9,-$E28*$I28/12*1,0)))))+IF(CI$5&lt;&gt;$H28,0,IF(CI28&lt;0,IF($J28=7,-$E28*$I28/12*0,IF($J28=8,-$E28*$I28/12*1,IF($J28=9,-$E28*$I28/12*2,IF($J28&gt;=10,-$E28*$I28/12*3,0))))))</f>
        <v>0</v>
      </c>
      <c r="CM28" s="443">
        <f>IF($H28&lt;&gt;CN$5,0,IF(CN28&lt;0,IF(OR($J28=1,$J28=2,$J28=3,$J28=4,$J28=5,$J28=6,$J28=7,$J28=8,$J28=9,$J28=10),-$E28*$I28/12*3,IF($J28=11,-$E28*$I28/12*2,IF($J28=12,-$E28*$I28/12*1,0)))))+IF(CI$5&lt;&gt;$H28,0,IF(CI28&lt;0,IF($J28=10,-$E28*$I28/12*0,IF($J28=11,-$E28*$I28/12*1,IF($J28=12,-$E28*$I28/12*2,0)))))</f>
        <v>0</v>
      </c>
      <c r="CN28" s="440">
        <f>IF(AND(CI28&lt;&gt;0,CI$5=$H28),-$I28*$E28-CI28,IF(CN$5=$H28,-$I28*$E28*(12-$J28+1)/12,0))</f>
        <v>0</v>
      </c>
      <c r="CO28" s="441">
        <f>IF($H28&lt;&gt;CS$5,0,IF(CS28&lt;0,IF($J28=1,-$E28*$I28/12*3,IF($J28=2,-$E28*$I28/12*2,IF($J28=3,-$E28*$I28/12*1,0)))))+IF(CN$5&lt;&gt;$H28,0,IF(CN28&lt;0,IF($J28=1,-$E28*$I28/12*0,IF($J28=2,-$E28*$I28/12*1,IF($J28=3,-$E28*$I28/12*2,IF($J28&gt;=4,-$E28*$I28/12*3,0))))))</f>
        <v>0</v>
      </c>
      <c r="CP28" s="442">
        <f>IF($H28&lt;&gt;CS$5,0,IF(CS28&lt;0,IF(OR($J28=1,$J28=2,$J28=3,$J28=4),-$E28*$I28/12*3,IF($J28=5,-$E28*$I28/12*2,IF($J28=6,-$E28*$I28/12*1,0)))))+IF(CN$5&lt;&gt;$H28,0,IF(CN28&lt;0,IF($J28=4,-$E28*$I28/12*0,IF($J28=5,-$E28*$I28/12*1,IF($J28=6,-$E28*$I28/12*2,IF($J28&gt;=7,-$E28*$I28/12*3,0))))))</f>
        <v>0</v>
      </c>
      <c r="CQ28" s="442">
        <f>IF($H28&lt;&gt;CS$5,0,IF(CS28&lt;0,IF(OR($J28=1,$J28=2,$J28=3,$J28=4,$J28=5,$J28=6,$J28=7),-$E28*$I28/12*3,IF($J28=8,-$E28*$I28/12*2,IF($J28=9,-$E28*$I28/12*1,0)))))+IF(CN$5&lt;&gt;$H28,0,IF(CN28&lt;0,IF($J28=7,-$E28*$I28/12*0,IF($J28=8,-$E28*$I28/12*1,IF($J28=9,-$E28*$I28/12*2,IF($J28&gt;=10,-$E28*$I28/12*3,0))))))</f>
        <v>0</v>
      </c>
      <c r="CR28" s="443">
        <f>IF($H28&lt;&gt;CS$5,0,IF(CS28&lt;0,IF(OR($J28=1,$J28=2,$J28=3,$J28=4,$J28=5,$J28=6,$J28=7,$J28=8,$J28=9,$J28=10),-$E28*$I28/12*3,IF($J28=11,-$E28*$I28/12*2,IF($J28=12,-$E28*$I28/12*1,0)))))+IF(CN$5&lt;&gt;$H28,0,IF(CN28&lt;0,IF($J28=10,-$E28*$I28/12*0,IF($J28=11,-$E28*$I28/12*1,IF($J28=12,-$E28*$I28/12*2,0)))))</f>
        <v>0</v>
      </c>
      <c r="CS28" s="440">
        <f>IF(AND(CN28&lt;&gt;0,CN$5=$H28),-$I28*$E28-CN28,IF(CS$5=$H28,-$I28*$E28*(12-$J28+1)/12,0))</f>
        <v>0</v>
      </c>
      <c r="CT28" s="441">
        <f>IF($H28&lt;&gt;CX$5,0,IF(CX28&lt;0,IF($J28=1,-$E28*$I28/12*3,IF($J28=2,-$E28*$I28/12*2,IF($J28=3,-$E28*$I28/12*1,0)))))+IF(CS$5&lt;&gt;$H28,0,IF(CS28&lt;0,IF($J28=1,-$E28*$I28/12*0,IF($J28=2,-$E28*$I28/12*1,IF($J28=3,-$E28*$I28/12*2,IF($J28&gt;=4,-$E28*$I28/12*3,0))))))</f>
        <v>0</v>
      </c>
      <c r="CU28" s="442">
        <f>IF($H28&lt;&gt;CX$5,0,IF(CX28&lt;0,IF(OR($J28=1,$J28=2,$J28=3,$J28=4),-$E28*$I28/12*3,IF($J28=5,-$E28*$I28/12*2,IF($J28=6,-$E28*$I28/12*1,0)))))+IF(CS$5&lt;&gt;$H28,0,IF(CS28&lt;0,IF($J28=4,-$E28*$I28/12*0,IF($J28=5,-$E28*$I28/12*1,IF($J28=6,-$E28*$I28/12*2,IF($J28&gt;=7,-$E28*$I28/12*3,0))))))</f>
        <v>0</v>
      </c>
      <c r="CV28" s="442">
        <f>IF($H28&lt;&gt;CX$5,0,IF(CX28&lt;0,IF(OR($J28=1,$J28=2,$J28=3,$J28=4,$J28=5,$J28=6,$J28=7),-$E28*$I28/12*3,IF($J28=8,-$E28*$I28/12*2,IF($J28=9,-$E28*$I28/12*1,0)))))+IF(CS$5&lt;&gt;$H28,0,IF(CS28&lt;0,IF($J28=7,-$E28*$I28/12*0,IF($J28=8,-$E28*$I28/12*1,IF($J28=9,-$E28*$I28/12*2,IF($J28&gt;=10,-$E28*$I28/12*3,0))))))</f>
        <v>0</v>
      </c>
      <c r="CW28" s="443">
        <f>IF($H28&lt;&gt;CX$5,0,IF(CX28&lt;0,IF(OR($J28=1,$J28=2,$J28=3,$J28=4,$J28=5,$J28=6,$J28=7,$J28=8,$J28=9,$J28=10),-$E28*$I28/12*3,IF($J28=11,-$E28*$I28/12*2,IF($J28=12,-$E28*$I28/12*1,0)))))+IF(CS$5&lt;&gt;$H28,0,IF(CS28&lt;0,IF($J28=10,-$E28*$I28/12*0,IF($J28=11,-$E28*$I28/12*1,IF($J28=12,-$E28*$I28/12*2,0)))))</f>
        <v>0</v>
      </c>
      <c r="CX28" s="440">
        <f>IF(AND(CS28&lt;&gt;0,CS$5=$H28),-$I28*$E28-CS28,IF(CX$5=$H28,-$I28*$E28*(12-$J28+1)/12,0))</f>
        <v>0</v>
      </c>
      <c r="CY28" s="441">
        <f>IF($H28&lt;&gt;DC$5,0,IF(DC28&lt;0,IF($J28=1,-$E28*$I28/12*3,IF($J28=2,-$E28*$I28/12*2,IF($J28=3,-$E28*$I28/12*1,0)))))+IF(CX$5&lt;&gt;$H28,0,IF(CX28&lt;0,IF($J28=1,-$E28*$I28/12*0,IF($J28=2,-$E28*$I28/12*1,IF($J28=3,-$E28*$I28/12*2,IF($J28&gt;=4,-$E28*$I28/12*3,0))))))</f>
        <v>0</v>
      </c>
      <c r="CZ28" s="442">
        <f>IF($H28&lt;&gt;DC$5,0,IF(DC28&lt;0,IF(OR($J28=1,$J28=2,$J28=3,$J28=4),-$E28*$I28/12*3,IF($J28=5,-$E28*$I28/12*2,IF($J28=6,-$E28*$I28/12*1,0)))))+IF(CX$5&lt;&gt;$H28,0,IF(CX28&lt;0,IF($J28=4,-$E28*$I28/12*0,IF($J28=5,-$E28*$I28/12*1,IF($J28=6,-$E28*$I28/12*2,IF($J28&gt;=7,-$E28*$I28/12*3,0))))))</f>
        <v>0</v>
      </c>
      <c r="DA28" s="442">
        <f>IF($H28&lt;&gt;DC$5,0,IF(DC28&lt;0,IF(OR($J28=1,$J28=2,$J28=3,$J28=4,$J28=5,$J28=6,$J28=7),-$E28*$I28/12*3,IF($J28=8,-$E28*$I28/12*2,IF($J28=9,-$E28*$I28/12*1,0)))))+IF(CX$5&lt;&gt;$H28,0,IF(CX28&lt;0,IF($J28=7,-$E28*$I28/12*0,IF($J28=8,-$E28*$I28/12*1,IF($J28=9,-$E28*$I28/12*2,IF($J28&gt;=10,-$E28*$I28/12*3,0))))))</f>
        <v>0</v>
      </c>
      <c r="DB28" s="443">
        <f>IF($H28&lt;&gt;DC$5,0,IF(DC28&lt;0,IF(OR($J28=1,$J28=2,$J28=3,$J28=4,$J28=5,$J28=6,$J28=7,$J28=8,$J28=9,$J28=10),-$E28*$I28/12*3,IF($J28=11,-$E28*$I28/12*2,IF($J28=12,-$E28*$I28/12*1,0)))))+IF(CX$5&lt;&gt;$H28,0,IF(CX28&lt;0,IF($J28=10,-$E28*$I28/12*0,IF($J28=11,-$E28*$I28/12*1,IF($J28=12,-$E28*$I28/12*2,0)))))</f>
        <v>0</v>
      </c>
      <c r="DC28" s="440">
        <f>IF(AND(CX28&lt;&gt;0,CX$5=$H28),-$I28*$E28-CX28,IF(DC$5=$H28,-$I28*$E28*(12-$J28+1)/12,0))</f>
        <v>0</v>
      </c>
      <c r="DD28" s="441">
        <f>IF($H28&lt;&gt;DH$5,0,IF(DH28&lt;0,IF($J28=1,-$E28*$I28/12*3,IF($J28=2,-$E28*$I28/12*2,IF($J28=3,-$E28*$I28/12*1,0)))))+IF(DC$5&lt;&gt;$H28,0,IF(DC28&lt;0,IF($J28=1,-$E28*$I28/12*0,IF($J28=2,-$E28*$I28/12*1,IF($J28=3,-$E28*$I28/12*2,IF($J28&gt;=4,-$E28*$I28/12*3,0))))))</f>
        <v>0</v>
      </c>
      <c r="DE28" s="442">
        <f>IF($H28&lt;&gt;DH$5,0,IF(DH28&lt;0,IF(OR($J28=1,$J28=2,$J28=3,$J28=4),-$E28*$I28/12*3,IF($J28=5,-$E28*$I28/12*2,IF($J28=6,-$E28*$I28/12*1,0)))))+IF(DC$5&lt;&gt;$H28,0,IF(DC28&lt;0,IF($J28=4,-$E28*$I28/12*0,IF($J28=5,-$E28*$I28/12*1,IF($J28=6,-$E28*$I28/12*2,IF($J28&gt;=7,-$E28*$I28/12*3,0))))))</f>
        <v>0</v>
      </c>
      <c r="DF28" s="442">
        <f>IF($H28&lt;&gt;DH$5,0,IF(DH28&lt;0,IF(OR($J28=1,$J28=2,$J28=3,$J28=4,$J28=5,$J28=6,$J28=7),-$E28*$I28/12*3,IF($J28=8,-$E28*$I28/12*2,IF($J28=9,-$E28*$I28/12*1,0)))))+IF(DC$5&lt;&gt;$H28,0,IF(DC28&lt;0,IF($J28=7,-$E28*$I28/12*0,IF($J28=8,-$E28*$I28/12*1,IF($J28=9,-$E28*$I28/12*2,IF($J28&gt;=10,-$E28*$I28/12*3,0))))))</f>
        <v>0</v>
      </c>
      <c r="DG28" s="443">
        <f>IF($H28&lt;&gt;DH$5,0,IF(DH28&lt;0,IF(OR($J28=1,$J28=2,$J28=3,$J28=4,$J28=5,$J28=6,$J28=7,$J28=8,$J28=9,$J28=10),-$E28*$I28/12*3,IF($J28=11,-$E28*$I28/12*2,IF($J28=12,-$E28*$I28/12*1,0)))))+IF(DC$5&lt;&gt;$H28,0,IF(DC28&lt;0,IF($J28=10,-$E28*$I28/12*0,IF($J28=11,-$E28*$I28/12*1,IF($J28=12,-$E28*$I28/12*2,0)))))</f>
        <v>0</v>
      </c>
      <c r="DH28" s="440">
        <f>IF(AND(DC28&lt;&gt;0,DC$5=$H28),-$I28*$E28-DC28,IF(DH$5=$H28,-$I28*$E28*(12-$J28+1)/12,0))</f>
        <v>0</v>
      </c>
      <c r="DI28" s="441">
        <f>IF($H28&lt;&gt;DM$5,0,IF(DM28&lt;0,IF($J28=1,-$E28*$I28/12*3,IF($J28=2,-$E28*$I28/12*2,IF($J28=3,-$E28*$I28/12*1,0)))))+IF(DH$5&lt;&gt;$H28,0,IF(DH28&lt;0,IF($J28=1,-$E28*$I28/12*0,IF($J28=2,-$E28*$I28/12*1,IF($J28=3,-$E28*$I28/12*2,IF($J28&gt;=4,-$E28*$I28/12*3,0))))))</f>
        <v>0</v>
      </c>
      <c r="DJ28" s="442">
        <f>IF($H28&lt;&gt;DM$5,0,IF(DM28&lt;0,IF(OR($J28=1,$J28=2,$J28=3,$J28=4),-$E28*$I28/12*3,IF($J28=5,-$E28*$I28/12*2,IF($J28=6,-$E28*$I28/12*1,0)))))+IF(DH$5&lt;&gt;$H28,0,IF(DH28&lt;0,IF($J28=4,-$E28*$I28/12*0,IF($J28=5,-$E28*$I28/12*1,IF($J28=6,-$E28*$I28/12*2,IF($J28&gt;=7,-$E28*$I28/12*3,0))))))</f>
        <v>0</v>
      </c>
      <c r="DK28" s="442">
        <f>IF($H28&lt;&gt;DM$5,0,IF(DM28&lt;0,IF(OR($J28=1,$J28=2,$J28=3,$J28=4,$J28=5,$J28=6,$J28=7),-$E28*$I28/12*3,IF($J28=8,-$E28*$I28/12*2,IF($J28=9,-$E28*$I28/12*1,0)))))+IF(DH$5&lt;&gt;$H28,0,IF(DH28&lt;0,IF($J28=7,-$E28*$I28/12*0,IF($J28=8,-$E28*$I28/12*1,IF($J28=9,-$E28*$I28/12*2,IF($J28&gt;=10,-$E28*$I28/12*3,0))))))</f>
        <v>0</v>
      </c>
      <c r="DL28" s="443">
        <f>IF($H28&lt;&gt;DM$5,0,IF(DM28&lt;0,IF(OR($J28=1,$J28=2,$J28=3,$J28=4,$J28=5,$J28=6,$J28=7,$J28=8,$J28=9,$J28=10),-$E28*$I28/12*3,IF($J28=11,-$E28*$I28/12*2,IF($J28=12,-$E28*$I28/12*1,0)))))+IF(DH$5&lt;&gt;$H28,0,IF(DH28&lt;0,IF($J28=10,-$E28*$I28/12*0,IF($J28=11,-$E28*$I28/12*1,IF($J28=12,-$E28*$I28/12*2,0)))))</f>
        <v>0</v>
      </c>
      <c r="DM28" s="440">
        <f>IF(AND(DH28&lt;&gt;0,DH$5=$H28),-$I28*$E28-DH28,IF(DM$5=$H28,-$I28*$E28*(12-$J28+1)/12,0))</f>
        <v>0</v>
      </c>
      <c r="DN28" s="441">
        <f>IF($H28&lt;&gt;DR$5,0,IF(DR28&lt;0,IF($J28=1,-$E28*$I28/12*3,IF($J28=2,-$E28*$I28/12*2,IF($J28=3,-$E28*$I28/12*1,0)))))+IF(DM$5&lt;&gt;$H28,0,IF(DM28&lt;0,IF($J28=1,-$E28*$I28/12*0,IF($J28=2,-$E28*$I28/12*1,IF($J28=3,-$E28*$I28/12*2,IF($J28&gt;=4,-$E28*$I28/12*3,0))))))</f>
        <v>0</v>
      </c>
      <c r="DO28" s="442">
        <f>IF($H28&lt;&gt;DR$5,0,IF(DR28&lt;0,IF(OR($J28=1,$J28=2,$J28=3,$J28=4),-$E28*$I28/12*3,IF($J28=5,-$E28*$I28/12*2,IF($J28=6,-$E28*$I28/12*1,0)))))+IF(DM$5&lt;&gt;$H28,0,IF(DM28&lt;0,IF($J28=4,-$E28*$I28/12*0,IF($J28=5,-$E28*$I28/12*1,IF($J28=6,-$E28*$I28/12*2,IF($J28&gt;=7,-$E28*$I28/12*3,0))))))</f>
        <v>0</v>
      </c>
      <c r="DP28" s="442">
        <f>IF($H28&lt;&gt;DR$5,0,IF(DR28&lt;0,IF(OR($J28=1,$J28=2,$J28=3,$J28=4,$J28=5,$J28=6,$J28=7),-$E28*$I28/12*3,IF($J28=8,-$E28*$I28/12*2,IF($J28=9,-$E28*$I28/12*1,0)))))+IF(DM$5&lt;&gt;$H28,0,IF(DM28&lt;0,IF($J28=7,-$E28*$I28/12*0,IF($J28=8,-$E28*$I28/12*1,IF($J28=9,-$E28*$I28/12*2,IF($J28&gt;=10,-$E28*$I28/12*3,0))))))</f>
        <v>0</v>
      </c>
      <c r="DQ28" s="443">
        <f>IF($H28&lt;&gt;DR$5,0,IF(DR28&lt;0,IF(OR($J28=1,$J28=2,$J28=3,$J28=4,$J28=5,$J28=6,$J28=7,$J28=8,$J28=9,$J28=10),-$E28*$I28/12*3,IF($J28=11,-$E28*$I28/12*2,IF($J28=12,-$E28*$I28/12*1,0)))))+IF(DM$5&lt;&gt;$H28,0,IF(DM28&lt;0,IF($J28=10,-$E28*$I28/12*0,IF($J28=11,-$E28*$I28/12*1,IF($J28=12,-$E28*$I28/12*2,0)))))</f>
        <v>0</v>
      </c>
      <c r="DR28" s="440">
        <f>IF(AND(DM28&lt;&gt;0,DM$5=$H28),-$I28*$E28-DM28,IF(DR$5=$H28,-$I28*$E28*(12-$J28+1)/12,0))</f>
        <v>0</v>
      </c>
    </row>
    <row r="29" spans="1:122" ht="12.75" customHeight="1">
      <c r="A29" s="92"/>
      <c r="B29" s="92"/>
      <c r="C29" s="1123"/>
      <c r="D29" s="395"/>
      <c r="E29" s="47"/>
      <c r="F29" s="1598"/>
      <c r="G29" s="1598"/>
      <c r="H29" s="662"/>
      <c r="I29" s="652"/>
      <c r="J29" s="655"/>
      <c r="K29" s="549"/>
      <c r="L29" s="441"/>
      <c r="M29" s="442"/>
      <c r="N29" s="442"/>
      <c r="O29" s="443"/>
      <c r="P29" s="440"/>
      <c r="Q29" s="441"/>
      <c r="R29" s="442"/>
      <c r="S29" s="442"/>
      <c r="T29" s="443"/>
      <c r="U29" s="440"/>
      <c r="V29" s="441"/>
      <c r="W29" s="442"/>
      <c r="X29" s="442"/>
      <c r="Y29" s="443"/>
      <c r="Z29" s="440"/>
      <c r="AA29" s="441"/>
      <c r="AB29" s="442"/>
      <c r="AC29" s="442"/>
      <c r="AD29" s="443"/>
      <c r="AE29" s="440"/>
      <c r="AF29" s="441"/>
      <c r="AG29" s="442"/>
      <c r="AH29" s="442"/>
      <c r="AI29" s="443"/>
      <c r="AJ29" s="440"/>
      <c r="AK29" s="441"/>
      <c r="AL29" s="442"/>
      <c r="AM29" s="442"/>
      <c r="AN29" s="443"/>
      <c r="AO29" s="440"/>
      <c r="AP29" s="441"/>
      <c r="AQ29" s="442"/>
      <c r="AR29" s="442"/>
      <c r="AS29" s="443"/>
      <c r="AT29" s="440"/>
      <c r="AU29" s="441"/>
      <c r="AV29" s="442"/>
      <c r="AW29" s="442"/>
      <c r="AX29" s="443"/>
      <c r="AY29" s="440"/>
      <c r="AZ29" s="441"/>
      <c r="BA29" s="442"/>
      <c r="BB29" s="442"/>
      <c r="BC29" s="443"/>
      <c r="BD29" s="440"/>
      <c r="BE29" s="441"/>
      <c r="BF29" s="442"/>
      <c r="BG29" s="442"/>
      <c r="BH29" s="443"/>
      <c r="BI29" s="440"/>
      <c r="BJ29" s="441"/>
      <c r="BK29" s="442"/>
      <c r="BL29" s="442"/>
      <c r="BM29" s="443"/>
      <c r="BN29" s="440"/>
      <c r="BO29" s="463"/>
      <c r="BP29" s="441"/>
      <c r="BQ29" s="442"/>
      <c r="BR29" s="442"/>
      <c r="BS29" s="443"/>
      <c r="BT29" s="440"/>
      <c r="BU29" s="441"/>
      <c r="BV29" s="442"/>
      <c r="BW29" s="442"/>
      <c r="BX29" s="443"/>
      <c r="BY29" s="440"/>
      <c r="BZ29" s="441"/>
      <c r="CA29" s="442"/>
      <c r="CB29" s="442"/>
      <c r="CC29" s="443"/>
      <c r="CD29" s="440"/>
      <c r="CE29" s="441"/>
      <c r="CF29" s="442"/>
      <c r="CG29" s="442"/>
      <c r="CH29" s="443"/>
      <c r="CI29" s="440"/>
      <c r="CJ29" s="441"/>
      <c r="CK29" s="442"/>
      <c r="CL29" s="442"/>
      <c r="CM29" s="443"/>
      <c r="CN29" s="440"/>
      <c r="CO29" s="441"/>
      <c r="CP29" s="442"/>
      <c r="CQ29" s="442"/>
      <c r="CR29" s="443"/>
      <c r="CS29" s="440"/>
      <c r="CT29" s="441"/>
      <c r="CU29" s="442"/>
      <c r="CV29" s="442"/>
      <c r="CW29" s="443"/>
      <c r="CX29" s="440"/>
      <c r="CY29" s="441"/>
      <c r="CZ29" s="442"/>
      <c r="DA29" s="442"/>
      <c r="DB29" s="443"/>
      <c r="DC29" s="440"/>
      <c r="DD29" s="441"/>
      <c r="DE29" s="442"/>
      <c r="DF29" s="442"/>
      <c r="DG29" s="443"/>
      <c r="DH29" s="440"/>
      <c r="DI29" s="441"/>
      <c r="DJ29" s="442"/>
      <c r="DK29" s="442"/>
      <c r="DL29" s="443"/>
      <c r="DM29" s="440"/>
      <c r="DN29" s="441"/>
      <c r="DO29" s="442"/>
      <c r="DP29" s="442"/>
      <c r="DQ29" s="443"/>
      <c r="DR29" s="440"/>
    </row>
    <row r="30" spans="1:122" s="13" customFormat="1" ht="12.75" customHeight="1">
      <c r="A30" s="136"/>
      <c r="B30" s="136"/>
      <c r="C30" s="639" t="s">
        <v>215</v>
      </c>
      <c r="D30" s="640"/>
      <c r="E30" s="641">
        <f>SUM(E19:E29)</f>
        <v>10520</v>
      </c>
      <c r="F30" s="641">
        <f>SUM(F19:F29)</f>
        <v>6800</v>
      </c>
      <c r="G30" s="641">
        <f>SUM(G19:G29)</f>
        <v>4200</v>
      </c>
      <c r="H30" s="642"/>
      <c r="I30" s="643"/>
      <c r="J30" s="641"/>
      <c r="K30" s="644"/>
      <c r="L30" s="645">
        <f t="shared" ref="L30:AQ30" si="234">SUM(L19:L29)</f>
        <v>0</v>
      </c>
      <c r="M30" s="646">
        <f t="shared" si="234"/>
        <v>0</v>
      </c>
      <c r="N30" s="646">
        <f t="shared" si="234"/>
        <v>0</v>
      </c>
      <c r="O30" s="647">
        <f t="shared" si="234"/>
        <v>0</v>
      </c>
      <c r="P30" s="641">
        <f t="shared" si="234"/>
        <v>0</v>
      </c>
      <c r="Q30" s="645">
        <f t="shared" si="234"/>
        <v>0</v>
      </c>
      <c r="R30" s="646">
        <f t="shared" si="234"/>
        <v>0</v>
      </c>
      <c r="S30" s="646">
        <f t="shared" si="234"/>
        <v>0</v>
      </c>
      <c r="T30" s="647">
        <f t="shared" si="234"/>
        <v>0</v>
      </c>
      <c r="U30" s="641">
        <f t="shared" si="234"/>
        <v>0</v>
      </c>
      <c r="V30" s="645">
        <f t="shared" si="234"/>
        <v>0</v>
      </c>
      <c r="W30" s="646">
        <f t="shared" si="234"/>
        <v>0</v>
      </c>
      <c r="X30" s="646">
        <f t="shared" si="234"/>
        <v>0</v>
      </c>
      <c r="Y30" s="647">
        <f t="shared" si="234"/>
        <v>0</v>
      </c>
      <c r="Z30" s="641">
        <f t="shared" si="234"/>
        <v>0</v>
      </c>
      <c r="AA30" s="645">
        <f t="shared" si="234"/>
        <v>0</v>
      </c>
      <c r="AB30" s="646">
        <f t="shared" si="234"/>
        <v>0</v>
      </c>
      <c r="AC30" s="646">
        <f t="shared" si="234"/>
        <v>0</v>
      </c>
      <c r="AD30" s="647">
        <f t="shared" si="234"/>
        <v>0</v>
      </c>
      <c r="AE30" s="641">
        <f t="shared" si="234"/>
        <v>0</v>
      </c>
      <c r="AF30" s="645">
        <f t="shared" si="234"/>
        <v>0</v>
      </c>
      <c r="AG30" s="646">
        <f t="shared" si="234"/>
        <v>0</v>
      </c>
      <c r="AH30" s="646">
        <f t="shared" si="234"/>
        <v>0</v>
      </c>
      <c r="AI30" s="647">
        <f t="shared" si="234"/>
        <v>0</v>
      </c>
      <c r="AJ30" s="641">
        <f t="shared" si="234"/>
        <v>0</v>
      </c>
      <c r="AK30" s="645">
        <f t="shared" si="234"/>
        <v>0</v>
      </c>
      <c r="AL30" s="646">
        <f t="shared" si="234"/>
        <v>0</v>
      </c>
      <c r="AM30" s="646">
        <f t="shared" si="234"/>
        <v>0</v>
      </c>
      <c r="AN30" s="647">
        <f t="shared" si="234"/>
        <v>0</v>
      </c>
      <c r="AO30" s="641">
        <f t="shared" si="234"/>
        <v>0</v>
      </c>
      <c r="AP30" s="645">
        <f t="shared" si="234"/>
        <v>0</v>
      </c>
      <c r="AQ30" s="646">
        <f t="shared" si="234"/>
        <v>-650</v>
      </c>
      <c r="AR30" s="646">
        <f t="shared" ref="AR30:BN30" si="235">SUM(AR19:AR29)</f>
        <v>0</v>
      </c>
      <c r="AS30" s="647">
        <f t="shared" si="235"/>
        <v>0</v>
      </c>
      <c r="AT30" s="641">
        <f t="shared" si="235"/>
        <v>-650</v>
      </c>
      <c r="AU30" s="645">
        <f t="shared" si="235"/>
        <v>-1450</v>
      </c>
      <c r="AV30" s="646">
        <f t="shared" si="235"/>
        <v>0</v>
      </c>
      <c r="AW30" s="646">
        <f t="shared" si="235"/>
        <v>0</v>
      </c>
      <c r="AX30" s="647">
        <f t="shared" si="235"/>
        <v>0</v>
      </c>
      <c r="AY30" s="641">
        <f t="shared" si="235"/>
        <v>-1450</v>
      </c>
      <c r="AZ30" s="645">
        <f t="shared" si="235"/>
        <v>0</v>
      </c>
      <c r="BA30" s="646">
        <f t="shared" si="235"/>
        <v>0</v>
      </c>
      <c r="BB30" s="646">
        <f t="shared" si="235"/>
        <v>-1620</v>
      </c>
      <c r="BC30" s="647">
        <f t="shared" si="235"/>
        <v>0</v>
      </c>
      <c r="BD30" s="641">
        <f t="shared" si="235"/>
        <v>-1620</v>
      </c>
      <c r="BE30" s="645">
        <f t="shared" si="235"/>
        <v>-250</v>
      </c>
      <c r="BF30" s="646">
        <f t="shared" si="235"/>
        <v>0</v>
      </c>
      <c r="BG30" s="646">
        <f t="shared" si="235"/>
        <v>0</v>
      </c>
      <c r="BH30" s="647">
        <f t="shared" si="235"/>
        <v>0</v>
      </c>
      <c r="BI30" s="641">
        <f t="shared" si="235"/>
        <v>-250</v>
      </c>
      <c r="BJ30" s="645">
        <f t="shared" si="235"/>
        <v>0</v>
      </c>
      <c r="BK30" s="646">
        <f t="shared" si="235"/>
        <v>-1200</v>
      </c>
      <c r="BL30" s="646">
        <f t="shared" si="235"/>
        <v>0</v>
      </c>
      <c r="BM30" s="647">
        <f t="shared" si="235"/>
        <v>0</v>
      </c>
      <c r="BN30" s="641">
        <f t="shared" si="235"/>
        <v>-1200</v>
      </c>
      <c r="BO30" s="648"/>
      <c r="BP30" s="645">
        <f t="shared" ref="BP30:CU30" si="236">SUM(BP19:BP29)</f>
        <v>0</v>
      </c>
      <c r="BQ30" s="646">
        <f t="shared" si="236"/>
        <v>0</v>
      </c>
      <c r="BR30" s="646">
        <f t="shared" si="236"/>
        <v>0</v>
      </c>
      <c r="BS30" s="647">
        <f t="shared" si="236"/>
        <v>0</v>
      </c>
      <c r="BT30" s="641">
        <f t="shared" si="236"/>
        <v>0</v>
      </c>
      <c r="BU30" s="645">
        <f t="shared" si="236"/>
        <v>0</v>
      </c>
      <c r="BV30" s="646">
        <f t="shared" si="236"/>
        <v>0</v>
      </c>
      <c r="BW30" s="646">
        <f t="shared" si="236"/>
        <v>0</v>
      </c>
      <c r="BX30" s="647">
        <f t="shared" si="236"/>
        <v>0</v>
      </c>
      <c r="BY30" s="641">
        <f t="shared" si="236"/>
        <v>0</v>
      </c>
      <c r="BZ30" s="645">
        <f t="shared" si="236"/>
        <v>0</v>
      </c>
      <c r="CA30" s="646">
        <f t="shared" si="236"/>
        <v>0</v>
      </c>
      <c r="CB30" s="646">
        <f t="shared" si="236"/>
        <v>0</v>
      </c>
      <c r="CC30" s="647">
        <f t="shared" si="236"/>
        <v>0</v>
      </c>
      <c r="CD30" s="641">
        <f t="shared" si="236"/>
        <v>0</v>
      </c>
      <c r="CE30" s="645">
        <f t="shared" si="236"/>
        <v>0</v>
      </c>
      <c r="CF30" s="646">
        <f t="shared" si="236"/>
        <v>0</v>
      </c>
      <c r="CG30" s="646">
        <f t="shared" si="236"/>
        <v>0</v>
      </c>
      <c r="CH30" s="647">
        <f t="shared" si="236"/>
        <v>0</v>
      </c>
      <c r="CI30" s="641">
        <f t="shared" si="236"/>
        <v>0</v>
      </c>
      <c r="CJ30" s="645">
        <f t="shared" si="236"/>
        <v>0</v>
      </c>
      <c r="CK30" s="646">
        <f t="shared" si="236"/>
        <v>0</v>
      </c>
      <c r="CL30" s="646">
        <f t="shared" si="236"/>
        <v>0</v>
      </c>
      <c r="CM30" s="647">
        <f t="shared" si="236"/>
        <v>0</v>
      </c>
      <c r="CN30" s="641">
        <f t="shared" si="236"/>
        <v>0</v>
      </c>
      <c r="CO30" s="645">
        <f t="shared" si="236"/>
        <v>0</v>
      </c>
      <c r="CP30" s="646">
        <f t="shared" si="236"/>
        <v>0</v>
      </c>
      <c r="CQ30" s="646">
        <f t="shared" si="236"/>
        <v>0</v>
      </c>
      <c r="CR30" s="647">
        <f t="shared" si="236"/>
        <v>0</v>
      </c>
      <c r="CS30" s="641">
        <f t="shared" si="236"/>
        <v>0</v>
      </c>
      <c r="CT30" s="645">
        <f t="shared" si="236"/>
        <v>0</v>
      </c>
      <c r="CU30" s="646">
        <f t="shared" si="236"/>
        <v>-1.4895833333333333</v>
      </c>
      <c r="CV30" s="646">
        <f t="shared" ref="CV30:DR30" si="237">SUM(CV19:CV29)</f>
        <v>-4.46875</v>
      </c>
      <c r="CW30" s="647">
        <f t="shared" si="237"/>
        <v>-4.46875</v>
      </c>
      <c r="CX30" s="641">
        <f t="shared" si="237"/>
        <v>-10.427083333333334</v>
      </c>
      <c r="CY30" s="645">
        <f t="shared" si="237"/>
        <v>-22.59375</v>
      </c>
      <c r="CZ30" s="646">
        <f t="shared" si="237"/>
        <v>-21.104166666666668</v>
      </c>
      <c r="DA30" s="646">
        <f t="shared" si="237"/>
        <v>-18.125</v>
      </c>
      <c r="DB30" s="647">
        <f t="shared" si="237"/>
        <v>-18.125</v>
      </c>
      <c r="DC30" s="641">
        <f t="shared" si="237"/>
        <v>-79.947916666666671</v>
      </c>
      <c r="DD30" s="645">
        <f t="shared" si="237"/>
        <v>0</v>
      </c>
      <c r="DE30" s="646">
        <f t="shared" si="237"/>
        <v>0</v>
      </c>
      <c r="DF30" s="646">
        <f t="shared" si="237"/>
        <v>-21.269146608315097</v>
      </c>
      <c r="DG30" s="647">
        <f t="shared" si="237"/>
        <v>-21.269146608315097</v>
      </c>
      <c r="DH30" s="641">
        <f t="shared" si="237"/>
        <v>-42.538293216630194</v>
      </c>
      <c r="DI30" s="645">
        <f t="shared" si="237"/>
        <v>-22.869146608315098</v>
      </c>
      <c r="DJ30" s="646">
        <f t="shared" si="237"/>
        <v>-23.669146608315096</v>
      </c>
      <c r="DK30" s="646">
        <f t="shared" si="237"/>
        <v>-2.4</v>
      </c>
      <c r="DL30" s="647">
        <f t="shared" si="237"/>
        <v>-2.4</v>
      </c>
      <c r="DM30" s="641">
        <f t="shared" si="237"/>
        <v>-51.338293216630191</v>
      </c>
      <c r="DN30" s="645">
        <f t="shared" si="237"/>
        <v>-0.79999999999999993</v>
      </c>
      <c r="DO30" s="646">
        <f t="shared" si="237"/>
        <v>-5</v>
      </c>
      <c r="DP30" s="646">
        <f t="shared" si="237"/>
        <v>-15</v>
      </c>
      <c r="DQ30" s="647">
        <f t="shared" si="237"/>
        <v>-15</v>
      </c>
      <c r="DR30" s="641">
        <f t="shared" si="237"/>
        <v>-35.799999999999997</v>
      </c>
    </row>
    <row r="31" spans="1:122" ht="12.75" customHeight="1">
      <c r="A31" s="92"/>
      <c r="B31" s="92"/>
      <c r="C31" s="407"/>
      <c r="D31" s="395"/>
      <c r="E31" s="445"/>
      <c r="F31" s="466"/>
      <c r="G31" s="466"/>
      <c r="H31" s="548"/>
      <c r="I31" s="607"/>
      <c r="J31" s="445"/>
      <c r="K31" s="549"/>
      <c r="L31" s="460"/>
      <c r="M31" s="461"/>
      <c r="N31" s="461"/>
      <c r="O31" s="462"/>
      <c r="P31" s="466"/>
      <c r="Q31" s="460"/>
      <c r="R31" s="461"/>
      <c r="S31" s="461"/>
      <c r="T31" s="462"/>
      <c r="U31" s="464"/>
      <c r="V31" s="460"/>
      <c r="W31" s="461"/>
      <c r="X31" s="461"/>
      <c r="Y31" s="462"/>
      <c r="Z31" s="464"/>
      <c r="AA31" s="460"/>
      <c r="AB31" s="461"/>
      <c r="AC31" s="461"/>
      <c r="AD31" s="462"/>
      <c r="AE31" s="464"/>
      <c r="AF31" s="460"/>
      <c r="AG31" s="461"/>
      <c r="AH31" s="461"/>
      <c r="AI31" s="462"/>
      <c r="AJ31" s="464"/>
      <c r="AK31" s="460"/>
      <c r="AL31" s="461"/>
      <c r="AM31" s="461"/>
      <c r="AN31" s="462"/>
      <c r="AO31" s="464"/>
      <c r="AP31" s="460"/>
      <c r="AQ31" s="461"/>
      <c r="AR31" s="461"/>
      <c r="AS31" s="462"/>
      <c r="AT31" s="464"/>
      <c r="AU31" s="460"/>
      <c r="AV31" s="461"/>
      <c r="AW31" s="461"/>
      <c r="AX31" s="462"/>
      <c r="AY31" s="464"/>
      <c r="AZ31" s="460"/>
      <c r="BA31" s="461"/>
      <c r="BB31" s="461"/>
      <c r="BC31" s="462"/>
      <c r="BD31" s="464"/>
      <c r="BE31" s="460"/>
      <c r="BF31" s="461"/>
      <c r="BG31" s="461"/>
      <c r="BH31" s="462"/>
      <c r="BI31" s="464"/>
      <c r="BJ31" s="460"/>
      <c r="BK31" s="461"/>
      <c r="BL31" s="461"/>
      <c r="BM31" s="462"/>
      <c r="BN31" s="464"/>
      <c r="BO31" s="465"/>
      <c r="BP31" s="460"/>
      <c r="BQ31" s="461"/>
      <c r="BR31" s="461"/>
      <c r="BS31" s="462"/>
      <c r="BT31" s="464"/>
      <c r="BU31" s="460"/>
      <c r="BV31" s="461"/>
      <c r="BW31" s="461"/>
      <c r="BX31" s="462"/>
      <c r="BY31" s="464"/>
      <c r="BZ31" s="460"/>
      <c r="CA31" s="461"/>
      <c r="CB31" s="461"/>
      <c r="CC31" s="462"/>
      <c r="CD31" s="464"/>
      <c r="CE31" s="460"/>
      <c r="CF31" s="461"/>
      <c r="CG31" s="461"/>
      <c r="CH31" s="462"/>
      <c r="CI31" s="464"/>
      <c r="CJ31" s="460"/>
      <c r="CK31" s="461"/>
      <c r="CL31" s="461"/>
      <c r="CM31" s="462"/>
      <c r="CN31" s="464"/>
      <c r="CO31" s="460"/>
      <c r="CP31" s="461"/>
      <c r="CQ31" s="461"/>
      <c r="CR31" s="462"/>
      <c r="CS31" s="464"/>
      <c r="CT31" s="460"/>
      <c r="CU31" s="461"/>
      <c r="CV31" s="461"/>
      <c r="CW31" s="462"/>
      <c r="CX31" s="464"/>
      <c r="CY31" s="460"/>
      <c r="CZ31" s="461"/>
      <c r="DA31" s="461"/>
      <c r="DB31" s="462"/>
      <c r="DC31" s="464"/>
      <c r="DD31" s="460"/>
      <c r="DE31" s="461"/>
      <c r="DF31" s="461"/>
      <c r="DG31" s="462"/>
      <c r="DH31" s="464"/>
      <c r="DI31" s="460"/>
      <c r="DJ31" s="461"/>
      <c r="DK31" s="461"/>
      <c r="DL31" s="462"/>
      <c r="DM31" s="464"/>
      <c r="DN31" s="460"/>
      <c r="DO31" s="461"/>
      <c r="DP31" s="461"/>
      <c r="DQ31" s="462"/>
      <c r="DR31" s="464"/>
    </row>
    <row r="32" spans="1:122" ht="12.75" customHeight="1">
      <c r="A32" s="92"/>
      <c r="B32" s="92"/>
      <c r="C32" s="1375" t="s">
        <v>306</v>
      </c>
      <c r="D32" s="408"/>
      <c r="E32" s="553"/>
      <c r="F32" s="554"/>
      <c r="G32" s="554"/>
      <c r="H32" s="583"/>
      <c r="I32" s="608"/>
      <c r="J32" s="622"/>
      <c r="K32" s="555"/>
      <c r="L32" s="427"/>
      <c r="M32" s="428"/>
      <c r="N32" s="428"/>
      <c r="O32" s="429"/>
      <c r="P32" s="556"/>
      <c r="Q32" s="427"/>
      <c r="R32" s="428"/>
      <c r="S32" s="428"/>
      <c r="T32" s="429"/>
      <c r="U32" s="556"/>
      <c r="V32" s="427"/>
      <c r="W32" s="428"/>
      <c r="X32" s="428"/>
      <c r="Y32" s="429"/>
      <c r="Z32" s="556"/>
      <c r="AA32" s="427"/>
      <c r="AB32" s="428"/>
      <c r="AC32" s="428"/>
      <c r="AD32" s="429"/>
      <c r="AE32" s="556"/>
      <c r="AF32" s="427"/>
      <c r="AG32" s="428"/>
      <c r="AH32" s="428"/>
      <c r="AI32" s="429"/>
      <c r="AJ32" s="556"/>
      <c r="AK32" s="427"/>
      <c r="AL32" s="428"/>
      <c r="AM32" s="428"/>
      <c r="AN32" s="429"/>
      <c r="AO32" s="556"/>
      <c r="AP32" s="427"/>
      <c r="AQ32" s="428"/>
      <c r="AR32" s="428"/>
      <c r="AS32" s="429"/>
      <c r="AT32" s="556"/>
      <c r="AU32" s="427"/>
      <c r="AV32" s="428"/>
      <c r="AW32" s="428"/>
      <c r="AX32" s="429"/>
      <c r="AY32" s="556"/>
      <c r="AZ32" s="427"/>
      <c r="BA32" s="428"/>
      <c r="BB32" s="428"/>
      <c r="BC32" s="429"/>
      <c r="BD32" s="556"/>
      <c r="BE32" s="427"/>
      <c r="BF32" s="428"/>
      <c r="BG32" s="428"/>
      <c r="BH32" s="429"/>
      <c r="BI32" s="556"/>
      <c r="BJ32" s="427"/>
      <c r="BK32" s="428"/>
      <c r="BL32" s="428"/>
      <c r="BM32" s="429"/>
      <c r="BN32" s="556"/>
      <c r="BO32" s="597"/>
      <c r="BP32" s="427"/>
      <c r="BQ32" s="428"/>
      <c r="BR32" s="428"/>
      <c r="BS32" s="429"/>
      <c r="BT32" s="556"/>
      <c r="BU32" s="427"/>
      <c r="BV32" s="428"/>
      <c r="BW32" s="428"/>
      <c r="BX32" s="429"/>
      <c r="BY32" s="556"/>
      <c r="BZ32" s="427"/>
      <c r="CA32" s="428"/>
      <c r="CB32" s="428"/>
      <c r="CC32" s="429"/>
      <c r="CD32" s="556"/>
      <c r="CE32" s="427"/>
      <c r="CF32" s="428"/>
      <c r="CG32" s="428"/>
      <c r="CH32" s="429"/>
      <c r="CI32" s="556"/>
      <c r="CJ32" s="427"/>
      <c r="CK32" s="428"/>
      <c r="CL32" s="428"/>
      <c r="CM32" s="429"/>
      <c r="CN32" s="556"/>
      <c r="CO32" s="427"/>
      <c r="CP32" s="428"/>
      <c r="CQ32" s="428"/>
      <c r="CR32" s="429"/>
      <c r="CS32" s="556"/>
      <c r="CT32" s="427"/>
      <c r="CU32" s="428"/>
      <c r="CV32" s="428"/>
      <c r="CW32" s="429"/>
      <c r="CX32" s="556"/>
      <c r="CY32" s="427"/>
      <c r="CZ32" s="428"/>
      <c r="DA32" s="428"/>
      <c r="DB32" s="429"/>
      <c r="DC32" s="556"/>
      <c r="DD32" s="427"/>
      <c r="DE32" s="428"/>
      <c r="DF32" s="428"/>
      <c r="DG32" s="429"/>
      <c r="DH32" s="556"/>
      <c r="DI32" s="427"/>
      <c r="DJ32" s="428"/>
      <c r="DK32" s="428"/>
      <c r="DL32" s="429"/>
      <c r="DM32" s="556"/>
      <c r="DN32" s="427"/>
      <c r="DO32" s="428"/>
      <c r="DP32" s="428"/>
      <c r="DQ32" s="429"/>
      <c r="DR32" s="556"/>
    </row>
    <row r="33" spans="1:122" ht="12.75" customHeight="1">
      <c r="A33" s="92"/>
      <c r="B33" s="92"/>
      <c r="C33" s="27" t="s">
        <v>1188</v>
      </c>
      <c r="D33" s="574"/>
      <c r="E33" s="1355">
        <v>125</v>
      </c>
      <c r="F33" s="559"/>
      <c r="G33" s="559"/>
      <c r="H33" s="1308">
        <v>2017</v>
      </c>
      <c r="I33" s="2036">
        <v>3.8399999999999997E-2</v>
      </c>
      <c r="J33" s="1749">
        <v>2</v>
      </c>
      <c r="K33" s="528"/>
      <c r="L33" s="441">
        <f t="shared" ref="L33:L34" si="238">IF(P33=0,0,IF(P33&gt;0,IF($J33=3,P33,IF($J33=2,P33,IF($J33=1,P33,0)))))</f>
        <v>0</v>
      </c>
      <c r="M33" s="442">
        <f t="shared" ref="M33:M34" si="239">IF(P33=0,0,IF(P33&gt;0,IF($J33=6,P33,IF($J33=5,P33,IF($J33=4,P33,0)))))</f>
        <v>0</v>
      </c>
      <c r="N33" s="442">
        <f t="shared" ref="N33:N34" si="240">IF(P33=0,0,IF(P33&gt;0,IF($J33=9,P33,IF($J33=8,P33,IF($J33=7,P33,0)))))</f>
        <v>0</v>
      </c>
      <c r="O33" s="443">
        <f t="shared" ref="O33:O34" si="241">IF(P33=0,0,IF(P33&gt;0,IF($J33=12,P33,IF($J33=11,P33,IF($J33=10,P33,0)))))</f>
        <v>0</v>
      </c>
      <c r="P33" s="440">
        <f t="shared" ref="P33:P42" si="242">IF(P$5=$H33,$E33,0)</f>
        <v>0</v>
      </c>
      <c r="Q33" s="441">
        <f t="shared" ref="Q33:Q34" si="243">IF(U33=0,0,IF(U33&gt;0,IF($J33=3,U33,IF($J33=2,U33,IF($J33=1,U33,0)))))</f>
        <v>0</v>
      </c>
      <c r="R33" s="442">
        <f t="shared" ref="R33:R34" si="244">IF(U33=0,0,IF(U33&gt;0,IF($J33=6,U33,IF($J33=5,U33,IF($J33=4,U33,0)))))</f>
        <v>0</v>
      </c>
      <c r="S33" s="442">
        <f t="shared" ref="S33:S34" si="245">IF(U33=0,0,IF(U33&gt;0,IF($J33=9,U33,IF($J33=8,U33,IF($J33=7,U33,0)))))</f>
        <v>0</v>
      </c>
      <c r="T33" s="443">
        <f t="shared" ref="T33:T34" si="246">IF(U33=0,0,IF(U33&gt;0,IF($J33=12,U33,IF($J33=11,U33,IF($J33=10,U33,0)))))</f>
        <v>0</v>
      </c>
      <c r="U33" s="440">
        <f t="shared" ref="U33:U42" si="247">IF(U$5=$H33,$E33,0)</f>
        <v>0</v>
      </c>
      <c r="V33" s="441">
        <f t="shared" ref="V33:V34" si="248">IF(Z33=0,0,IF(Z33&gt;0,IF($J33=3,Z33,IF($J33=2,Z33,IF($J33=1,Z33,0)))))</f>
        <v>0</v>
      </c>
      <c r="W33" s="442">
        <f t="shared" ref="W33:W34" si="249">IF(Z33=0,0,IF(Z33&gt;0,IF($J33=6,Z33,IF($J33=5,Z33,IF($J33=4,Z33,0)))))</f>
        <v>0</v>
      </c>
      <c r="X33" s="442">
        <f t="shared" ref="X33:X34" si="250">IF(Z33=0,0,IF(Z33&gt;0,IF($J33=9,Z33,IF($J33=8,Z33,IF($J33=7,Z33,0)))))</f>
        <v>0</v>
      </c>
      <c r="Y33" s="443">
        <f t="shared" ref="Y33:Y34" si="251">IF(Z33=0,0,IF(Z33&gt;0,IF($J33=12,Z33,IF($J33=11,Z33,IF($J33=10,Z33,0)))))</f>
        <v>0</v>
      </c>
      <c r="Z33" s="440">
        <f t="shared" ref="Z33:Z42" si="252">IF(Z$5=$H33,$E33,0)</f>
        <v>0</v>
      </c>
      <c r="AA33" s="441">
        <f t="shared" ref="AA33:AA34" si="253">IF(AE33=0,0,IF(AE33&gt;0,IF($J33=3,AE33,IF($J33=2,AE33,IF($J33=1,AE33,0)))))</f>
        <v>0</v>
      </c>
      <c r="AB33" s="442">
        <f t="shared" ref="AB33:AB34" si="254">IF(AE33=0,0,IF(AE33&gt;0,IF($J33=6,AE33,IF($J33=5,AE33,IF($J33=4,AE33,0)))))</f>
        <v>0</v>
      </c>
      <c r="AC33" s="442">
        <f t="shared" ref="AC33:AC34" si="255">IF(AE33=0,0,IF(AE33&gt;0,IF($J33=9,AE33,IF($J33=8,AE33,IF($J33=7,AE33,0)))))</f>
        <v>0</v>
      </c>
      <c r="AD33" s="443">
        <f t="shared" ref="AD33:AD34" si="256">IF(AE33=0,0,IF(AE33&gt;0,IF($J33=12,AE33,IF($J33=11,AE33,IF($J33=10,AE33,0)))))</f>
        <v>0</v>
      </c>
      <c r="AE33" s="440">
        <f t="shared" ref="AE33:AE42" si="257">IF(AE$5=$H33,$E33,0)</f>
        <v>0</v>
      </c>
      <c r="AF33" s="441">
        <f t="shared" ref="AF33:AF34" si="258">IF(AJ33=0,0,IF(AJ33&gt;0,IF($J33=3,AJ33,IF($J33=2,AJ33,IF($J33=1,AJ33,0)))))</f>
        <v>0</v>
      </c>
      <c r="AG33" s="442">
        <f t="shared" ref="AG33:AG34" si="259">IF(AJ33=0,0,IF(AJ33&gt;0,IF($J33=6,AJ33,IF($J33=5,AJ33,IF($J33=4,AJ33,0)))))</f>
        <v>0</v>
      </c>
      <c r="AH33" s="442">
        <f t="shared" ref="AH33:AH34" si="260">IF(AJ33=0,0,IF(AJ33&gt;0,IF($J33=9,AJ33,IF($J33=8,AJ33,IF($J33=7,AJ33,0)))))</f>
        <v>0</v>
      </c>
      <c r="AI33" s="443">
        <f t="shared" ref="AI33:AI34" si="261">IF(AJ33=0,0,IF(AJ33&gt;0,IF($J33=12,AJ33,IF($J33=11,AJ33,IF($J33=10,AJ33,0)))))</f>
        <v>0</v>
      </c>
      <c r="AJ33" s="440">
        <f t="shared" ref="AJ33:AJ42" si="262">IF(AJ$5=$H33,$E33,0)</f>
        <v>0</v>
      </c>
      <c r="AK33" s="441">
        <f t="shared" ref="AK33:AK34" si="263">IF(AO33=0,0,IF(AO33&gt;0,IF($J33=3,AO33,IF($J33=2,AO33,IF($J33=1,AO33,0)))))</f>
        <v>0</v>
      </c>
      <c r="AL33" s="442">
        <f t="shared" ref="AL33:AL34" si="264">IF(AO33=0,0,IF(AO33&gt;0,IF($J33=6,AO33,IF($J33=5,AO33,IF($J33=4,AO33,0)))))</f>
        <v>0</v>
      </c>
      <c r="AM33" s="442">
        <f t="shared" ref="AM33:AM34" si="265">IF(AO33=0,0,IF(AO33&gt;0,IF($J33=9,AO33,IF($J33=8,AO33,IF($J33=7,AO33,0)))))</f>
        <v>0</v>
      </c>
      <c r="AN33" s="443">
        <f t="shared" ref="AN33:AN34" si="266">IF(AO33=0,0,IF(AO33&gt;0,IF($J33=12,AO33,IF($J33=11,AO33,IF($J33=10,AO33,0)))))</f>
        <v>0</v>
      </c>
      <c r="AO33" s="440">
        <f t="shared" ref="AO33:AO42" si="267">IF(AO$5=$H33,$E33,0)</f>
        <v>0</v>
      </c>
      <c r="AP33" s="441">
        <f t="shared" ref="AP33:AP34" si="268">IF(AT33=0,0,IF(AT33&gt;0,IF($J33=3,AT33,IF($J33=2,AT33,IF($J33=1,AT33,0)))))</f>
        <v>125</v>
      </c>
      <c r="AQ33" s="442">
        <f t="shared" ref="AQ33:AQ34" si="269">IF(AT33=0,0,IF(AT33&gt;0,IF($J33=6,AT33,IF($J33=5,AT33,IF($J33=4,AT33,0)))))</f>
        <v>0</v>
      </c>
      <c r="AR33" s="442">
        <f t="shared" ref="AR33:AR34" si="270">IF(AT33=0,0,IF(AT33&gt;0,IF($J33=9,AT33,IF($J33=8,AT33,IF($J33=7,AT33,0)))))</f>
        <v>0</v>
      </c>
      <c r="AS33" s="443">
        <f t="shared" ref="AS33:AS34" si="271">IF(AT33=0,0,IF(AT33&gt;0,IF($J33=12,AT33,IF($J33=11,AT33,IF($J33=10,AT33,0)))))</f>
        <v>0</v>
      </c>
      <c r="AT33" s="440">
        <f t="shared" ref="AT33:AT42" si="272">IF(AT$5=$H33,$E33,0)</f>
        <v>125</v>
      </c>
      <c r="AU33" s="441">
        <f t="shared" ref="AU33:AU34" si="273">IF(AY33=0,0,IF(AY33&gt;0,IF($J33=3,AY33,IF($J33=2,AY33,IF($J33=1,AY33,0)))))</f>
        <v>0</v>
      </c>
      <c r="AV33" s="442">
        <f t="shared" ref="AV33:AV34" si="274">IF(AY33=0,0,IF(AY33&gt;0,IF($J33=6,AY33,IF($J33=5,AY33,IF($J33=4,AY33,0)))))</f>
        <v>0</v>
      </c>
      <c r="AW33" s="442">
        <f t="shared" ref="AW33:AW34" si="275">IF(AY33=0,0,IF(AY33&gt;0,IF($J33=9,AY33,IF($J33=8,AY33,IF($J33=7,AY33,0)))))</f>
        <v>0</v>
      </c>
      <c r="AX33" s="443">
        <f t="shared" ref="AX33:AX34" si="276">IF(AY33=0,0,IF(AY33&gt;0,IF($J33=12,AY33,IF($J33=11,AY33,IF($J33=10,AY33,0)))))</f>
        <v>0</v>
      </c>
      <c r="AY33" s="440">
        <f t="shared" ref="AY33:AY42" si="277">IF(AY$5=$H33,$E33,0)</f>
        <v>0</v>
      </c>
      <c r="AZ33" s="441">
        <f t="shared" ref="AZ33:AZ34" si="278">IF(BD33=0,0,IF(BD33&gt;0,IF($J33=3,BD33,IF($J33=2,BD33,IF($J33=1,BD33,0)))))</f>
        <v>0</v>
      </c>
      <c r="BA33" s="442">
        <f t="shared" ref="BA33:BA34" si="279">IF(BD33=0,0,IF(BD33&gt;0,IF($J33=6,BD33,IF($J33=5,BD33,IF($J33=4,BD33,0)))))</f>
        <v>0</v>
      </c>
      <c r="BB33" s="442">
        <f t="shared" ref="BB33:BB34" si="280">IF(BD33=0,0,IF(BD33&gt;0,IF($J33=9,BD33,IF($J33=8,BD33,IF($J33=7,BD33,0)))))</f>
        <v>0</v>
      </c>
      <c r="BC33" s="443">
        <f t="shared" ref="BC33:BC34" si="281">IF(BD33=0,0,IF(BD33&gt;0,IF($J33=12,BD33,IF($J33=11,BD33,IF($J33=10,BD33,0)))))</f>
        <v>0</v>
      </c>
      <c r="BD33" s="440">
        <f t="shared" ref="BD33:BD42" si="282">IF(BD$5=$H33,$E33,0)</f>
        <v>0</v>
      </c>
      <c r="BE33" s="441">
        <f t="shared" ref="BE33:BE34" si="283">IF(BI33=0,0,IF(BI33&gt;0,IF($J33=3,BI33,IF($J33=2,BI33,IF($J33=1,BI33,0)))))</f>
        <v>0</v>
      </c>
      <c r="BF33" s="442">
        <f t="shared" ref="BF33:BF34" si="284">IF(BI33=0,0,IF(BI33&gt;0,IF($J33=6,BI33,IF($J33=5,BI33,IF($J33=4,BI33,0)))))</f>
        <v>0</v>
      </c>
      <c r="BG33" s="442">
        <f t="shared" ref="BG33:BG34" si="285">IF(BI33=0,0,IF(BI33&gt;0,IF($J33=9,BI33,IF($J33=8,BI33,IF($J33=7,BI33,0)))))</f>
        <v>0</v>
      </c>
      <c r="BH33" s="443">
        <f t="shared" ref="BH33:BH34" si="286">IF(BI33=0,0,IF(BI33&gt;0,IF($J33=12,BI33,IF($J33=11,BI33,IF($J33=10,BI33,0)))))</f>
        <v>0</v>
      </c>
      <c r="BI33" s="440">
        <f t="shared" ref="BI33:BI42" si="287">IF(BI$5=$H33,$E33,0)</f>
        <v>0</v>
      </c>
      <c r="BJ33" s="441">
        <f t="shared" ref="BJ33:BJ34" si="288">IF(BN33=0,0,IF(BN33&gt;0,IF($J33=3,BN33,IF($J33=2,BN33,IF($J33=1,BN33,0)))))</f>
        <v>0</v>
      </c>
      <c r="BK33" s="442">
        <f t="shared" ref="BK33:BK34" si="289">IF(BN33=0,0,IF(BN33&gt;0,IF($J33=6,BN33,IF($J33=5,BN33,IF($J33=4,BN33,0)))))</f>
        <v>0</v>
      </c>
      <c r="BL33" s="442">
        <f t="shared" ref="BL33:BL34" si="290">IF(BN33=0,0,IF(BN33&gt;0,IF($J33=9,BN33,IF($J33=8,BN33,IF($J33=7,BN33,0)))))</f>
        <v>0</v>
      </c>
      <c r="BM33" s="443">
        <f t="shared" ref="BM33:BM34" si="291">IF(BN33=0,0,IF(BN33&gt;0,IF($J33=12,BN33,IF($J33=11,BN33,IF($J33=10,BN33,0)))))</f>
        <v>0</v>
      </c>
      <c r="BN33" s="440">
        <f t="shared" ref="BN33:BN42" si="292">IF(BN$5=$H33,$E33,0)</f>
        <v>0</v>
      </c>
      <c r="BO33" s="463"/>
      <c r="BP33" s="441">
        <f t="shared" ref="BP33:BP34" si="293">IF($H33&lt;&gt;BT$5,0,IF(BT33&gt;0,IF($J33=1,$E33*$I33/12*3,IF($J33=2,$E33*$I33/12*2,IF($J33=3,$E33*$I33/12*1,0)))))+IF(BO$5&lt;&gt;$H33,0,IF(BO33&gt;0,IF($J33=1,$E33*$I33/12*0,IF($J33=2,$E33*$I33/12*1,IF($J33=3,$E33*$I33/12*2,IF($J33&gt;=4,$E33*$I33/12*3,0))))))</f>
        <v>0</v>
      </c>
      <c r="BQ33" s="442">
        <f t="shared" ref="BQ33:BQ34" si="294">IF($H33&lt;&gt;BT$5,0,IF(BT33&gt;0,IF(OR($J33=1,$J33=2,$J33=3,$J33=4),$E33*$I33/12*3,IF($J33=5,$E33*$I33/12*2,IF($J33=6,$E33*$I33/12*1,0)))))+IF(BO$5&lt;&gt;$H33,0,IF(BO33&gt;0,IF($J33=4,$E33*$I33/12*0,IF($J33=5,$E33*$I33/12*1,IF($J33=6,$E33*$I33/12*2,IF($J33&gt;=7,$E33*$I33/12*3,0))))))</f>
        <v>0</v>
      </c>
      <c r="BR33" s="442">
        <f t="shared" ref="BR33:BR34" si="295">IF($H33&lt;&gt;BT$5,0,IF(BT33&gt;0,IF(OR($J33=1,$J33=2,$J33=3,$J33=4,$J33=5,$J33=6,$J33=7),$E33*$I33/12*3,IF($J33=8,$E33*$I33/12*2,IF($J33=9,$E33*$I33/12*1,0)))))+IF(BO$5&lt;&gt;$H33,0,IF(BO33&gt;0,IF($J33=7,$E33*$I33/12*0,IF($J33=8,$E33*$I33/12*1,IF($J33=9,$E33*$I33/12*2,IF($J33&gt;=10,$E33*$I33/12*3,0))))))</f>
        <v>0</v>
      </c>
      <c r="BS33" s="443">
        <f t="shared" ref="BS33:BS34" si="296">IF($H33&lt;&gt;BT$5,0,IF(BT33&gt;0,IF(OR($J33=1,$J33=2,$J33=3,$J33=4,$J33=5,$J33=6,$J33=7,$J33=8,$J33=9,$J33=10),$E33*$I33/12*3,IF($J33=11,$E33*$I33/12*2,IF($J33=12,$E33*$I33/12*1,0)))))+IF(BO$5&lt;&gt;$H33,0,IF(BO33&gt;0,IF($J33=10,$E33*$I33/12*0,IF($J33=11,$E33*$I33/12*1,IF($J33=12,$E33*$I33/12*2,0)))))</f>
        <v>0</v>
      </c>
      <c r="BT33" s="440">
        <f t="shared" ref="BT33:BT34" si="297">IF(AND(BO33&lt;&gt;0,BO$5=$H33),$I33*$E33-BO33,IF(BT$5=$H33,$I33*$E33*(12-$J33+1)/12,0))</f>
        <v>0</v>
      </c>
      <c r="BU33" s="441">
        <f t="shared" ref="BU33:BU34" si="298">IF($H33&lt;&gt;BY$5,0,IF(BY33&gt;0,IF($J33=1,$E33*$I33/12*3,IF($J33=2,$E33*$I33/12*2,IF($J33=3,$E33*$I33/12*1,0)))))+IF(BT$5&lt;&gt;$H33,0,IF(BT33&gt;0,IF($J33=1,$E33*$I33/12*0,IF($J33=2,$E33*$I33/12*1,IF($J33=3,$E33*$I33/12*2,IF($J33&gt;=4,$E33*$I33/12*3,0))))))</f>
        <v>0</v>
      </c>
      <c r="BV33" s="442">
        <f t="shared" ref="BV33:BV34" si="299">IF($H33&lt;&gt;BY$5,0,IF(BY33&gt;0,IF(OR($J33=1,$J33=2,$J33=3,$J33=4),$E33*$I33/12*3,IF($J33=5,$E33*$I33/12*2,IF($J33=6,$E33*$I33/12*1,0)))))+IF(BT$5&lt;&gt;$H33,0,IF(BT33&gt;0,IF($J33=4,$E33*$I33/12*0,IF($J33=5,$E33*$I33/12*1,IF($J33=6,$E33*$I33/12*2,IF($J33&gt;=7,$E33*$I33/12*3,0))))))</f>
        <v>0</v>
      </c>
      <c r="BW33" s="442">
        <f t="shared" ref="BW33:BW34" si="300">IF($H33&lt;&gt;BY$5,0,IF(BY33&gt;0,IF(OR($J33=1,$J33=2,$J33=3,$J33=4,$J33=5,$J33=6,$J33=7),$E33*$I33/12*3,IF($J33=8,$E33*$I33/12*2,IF($J33=9,$E33*$I33/12*1,0)))))+IF(BT$5&lt;&gt;$H33,0,IF(BT33&gt;0,IF($J33=7,$E33*$I33/12*0,IF($J33=8,$E33*$I33/12*1,IF($J33=9,$E33*$I33/12*2,IF($J33&gt;=10,$E33*$I33/12*3,0))))))</f>
        <v>0</v>
      </c>
      <c r="BX33" s="443">
        <f t="shared" ref="BX33:BX34" si="301">IF($H33&lt;&gt;BY$5,0,IF(BY33&gt;0,IF(OR($J33=1,$J33=2,$J33=3,$J33=4,$J33=5,$J33=6,$J33=7,$J33=8,$J33=9,$J33=10),$E33*$I33/12*3,IF($J33=11,$E33*$I33/12*2,IF($J33=12,$E33*$I33/12*1,0)))))+IF(BT$5&lt;&gt;$H33,0,IF(BT33&gt;0,IF($J33=10,$E33*$I33/12*0,IF($J33=11,$E33*$I33/12*1,IF($J33=12,$E33*$I33/12*2,0)))))</f>
        <v>0</v>
      </c>
      <c r="BY33" s="440">
        <f t="shared" ref="BY33:BY34" si="302">IF(AND(BT33&lt;&gt;0,BT$5=$H33),$I33*$E33-BT33,IF(BY$5=$H33,$I33*$E33*(12-$J33+1)/12,0))</f>
        <v>0</v>
      </c>
      <c r="BZ33" s="441">
        <f t="shared" ref="BZ33:BZ34" si="303">IF($H33&lt;&gt;CD$5,0,IF(CD33&gt;0,IF($J33=1,$E33*$I33/12*3,IF($J33=2,$E33*$I33/12*2,IF($J33=3,$E33*$I33/12*1,0)))))+IF(BY$5&lt;&gt;$H33,0,IF(BY33&gt;0,IF($J33=1,$E33*$I33/12*0,IF($J33=2,$E33*$I33/12*1,IF($J33=3,$E33*$I33/12*2,IF($J33&gt;=4,$E33*$I33/12*3,0))))))</f>
        <v>0</v>
      </c>
      <c r="CA33" s="442">
        <f t="shared" ref="CA33:CA34" si="304">IF($H33&lt;&gt;CD$5,0,IF(CD33&gt;0,IF(OR($J33=1,$J33=2,$J33=3,$J33=4),$E33*$I33/12*3,IF($J33=5,$E33*$I33/12*2,IF($J33=6,$E33*$I33/12*1,0)))))+IF(BY$5&lt;&gt;$H33,0,IF(BY33&gt;0,IF($J33=4,$E33*$I33/12*0,IF($J33=5,$E33*$I33/12*1,IF($J33=6,$E33*$I33/12*2,IF($J33&gt;=7,$E33*$I33/12*3,0))))))</f>
        <v>0</v>
      </c>
      <c r="CB33" s="442">
        <f t="shared" ref="CB33:CB34" si="305">IF($H33&lt;&gt;CD$5,0,IF(CD33&gt;0,IF(OR($J33=1,$J33=2,$J33=3,$J33=4,$J33=5,$J33=6,$J33=7),$E33*$I33/12*3,IF($J33=8,$E33*$I33/12*2,IF($J33=9,$E33*$I33/12*1,0)))))+IF(BY$5&lt;&gt;$H33,0,IF(BY33&gt;0,IF($J33=7,$E33*$I33/12*0,IF($J33=8,$E33*$I33/12*1,IF($J33=9,$E33*$I33/12*2,IF($J33&gt;=10,$E33*$I33/12*3,0))))))</f>
        <v>0</v>
      </c>
      <c r="CC33" s="443">
        <f t="shared" ref="CC33:CC34" si="306">IF($H33&lt;&gt;CD$5,0,IF(CD33&gt;0,IF(OR($J33=1,$J33=2,$J33=3,$J33=4,$J33=5,$J33=6,$J33=7,$J33=8,$J33=9,$J33=10),$E33*$I33/12*3,IF($J33=11,$E33*$I33/12*2,IF($J33=12,$E33*$I33/12*1,0)))))+IF(BY$5&lt;&gt;$H33,0,IF(BY33&gt;0,IF($J33=10,$E33*$I33/12*0,IF($J33=11,$E33*$I33/12*1,IF($J33=12,$E33*$I33/12*2,0)))))</f>
        <v>0</v>
      </c>
      <c r="CD33" s="440">
        <f t="shared" ref="CD33:CD34" si="307">IF(AND(BY33&lt;&gt;0,BY$5=$H33),$I33*$E33-BY33,IF(CD$5=$H33,$I33*$E33*(12-$J33+1)/12,0))</f>
        <v>0</v>
      </c>
      <c r="CE33" s="441">
        <f t="shared" ref="CE33:CE34" si="308">IF($H33&lt;&gt;CI$5,0,IF(CI33&gt;0,IF($J33=1,$E33*$I33/12*3,IF($J33=2,$E33*$I33/12*2,IF($J33=3,$E33*$I33/12*1,0)))))+IF(CD$5&lt;&gt;$H33,0,IF(CD33&gt;0,IF($J33=1,$E33*$I33/12*0,IF($J33=2,$E33*$I33/12*1,IF($J33=3,$E33*$I33/12*2,IF($J33&gt;=4,$E33*$I33/12*3,0))))))</f>
        <v>0</v>
      </c>
      <c r="CF33" s="442">
        <f t="shared" ref="CF33:CF34" si="309">IF($H33&lt;&gt;CI$5,0,IF(CI33&gt;0,IF(OR($J33=1,$J33=2,$J33=3,$J33=4),$E33*$I33/12*3,IF($J33=5,$E33*$I33/12*2,IF($J33=6,$E33*$I33/12*1,0)))))+IF(CD$5&lt;&gt;$H33,0,IF(CD33&gt;0,IF($J33=4,$E33*$I33/12*0,IF($J33=5,$E33*$I33/12*1,IF($J33=6,$E33*$I33/12*2,IF($J33&gt;=7,$E33*$I33/12*3,0))))))</f>
        <v>0</v>
      </c>
      <c r="CG33" s="442">
        <f t="shared" ref="CG33:CG34" si="310">IF($H33&lt;&gt;CI$5,0,IF(CI33&gt;0,IF(OR($J33=1,$J33=2,$J33=3,$J33=4,$J33=5,$J33=6,$J33=7),$E33*$I33/12*3,IF($J33=8,$E33*$I33/12*2,IF($J33=9,$E33*$I33/12*1,0)))))+IF(CD$5&lt;&gt;$H33,0,IF(CD33&gt;0,IF($J33=7,$E33*$I33/12*0,IF($J33=8,$E33*$I33/12*1,IF($J33=9,$E33*$I33/12*2,IF($J33&gt;=10,$E33*$I33/12*3,0))))))</f>
        <v>0</v>
      </c>
      <c r="CH33" s="443">
        <f t="shared" ref="CH33:CH34" si="311">IF($H33&lt;&gt;CI$5,0,IF(CI33&gt;0,IF(OR($J33=1,$J33=2,$J33=3,$J33=4,$J33=5,$J33=6,$J33=7,$J33=8,$J33=9,$J33=10),$E33*$I33/12*3,IF($J33=11,$E33*$I33/12*2,IF($J33=12,$E33*$I33/12*1,0)))))+IF(CD$5&lt;&gt;$H33,0,IF(CD33&gt;0,IF($J33=10,$E33*$I33/12*0,IF($J33=11,$E33*$I33/12*1,IF($J33=12,$E33*$I33/12*2,0)))))</f>
        <v>0</v>
      </c>
      <c r="CI33" s="440">
        <f t="shared" ref="CI33:CI34" si="312">IF(AND(CD33&lt;&gt;0,CD$5=$H33),$I33*$E33-CD33,IF(CI$5=$H33,$I33*$E33*(12-$J33+1)/12,0))</f>
        <v>0</v>
      </c>
      <c r="CJ33" s="441">
        <f t="shared" ref="CJ33:CJ34" si="313">IF($H33&lt;&gt;CN$5,0,IF(CN33&gt;0,IF($J33=1,$E33*$I33/12*3,IF($J33=2,$E33*$I33/12*2,IF($J33=3,$E33*$I33/12*1,0)))))+IF(CI$5&lt;&gt;$H33,0,IF(CI33&gt;0,IF($J33=1,$E33*$I33/12*0,IF($J33=2,$E33*$I33/12*1,IF($J33=3,$E33*$I33/12*2,IF($J33&gt;=4,$E33*$I33/12*3,0))))))</f>
        <v>0</v>
      </c>
      <c r="CK33" s="442">
        <f t="shared" ref="CK33:CK34" si="314">IF($H33&lt;&gt;CN$5,0,IF(CN33&gt;0,IF(OR($J33=1,$J33=2,$J33=3,$J33=4),$E33*$I33/12*3,IF($J33=5,$E33*$I33/12*2,IF($J33=6,$E33*$I33/12*1,0)))))+IF(CI$5&lt;&gt;$H33,0,IF(CI33&gt;0,IF($J33=4,$E33*$I33/12*0,IF($J33=5,$E33*$I33/12*1,IF($J33=6,$E33*$I33/12*2,IF($J33&gt;=7,$E33*$I33/12*3,0))))))</f>
        <v>0</v>
      </c>
      <c r="CL33" s="442">
        <f t="shared" ref="CL33:CL34" si="315">IF($H33&lt;&gt;CN$5,0,IF(CN33&gt;0,IF(OR($J33=1,$J33=2,$J33=3,$J33=4,$J33=5,$J33=6,$J33=7),$E33*$I33/12*3,IF($J33=8,$E33*$I33/12*2,IF($J33=9,$E33*$I33/12*1,0)))))+IF(CI$5&lt;&gt;$H33,0,IF(CI33&gt;0,IF($J33=7,$E33*$I33/12*0,IF($J33=8,$E33*$I33/12*1,IF($J33=9,$E33*$I33/12*2,IF($J33&gt;=10,$E33*$I33/12*3,0))))))</f>
        <v>0</v>
      </c>
      <c r="CM33" s="443">
        <f t="shared" ref="CM33:CM34" si="316">IF($H33&lt;&gt;CN$5,0,IF(CN33&gt;0,IF(OR($J33=1,$J33=2,$J33=3,$J33=4,$J33=5,$J33=6,$J33=7,$J33=8,$J33=9,$J33=10),$E33*$I33/12*3,IF($J33=11,$E33*$I33/12*2,IF($J33=12,$E33*$I33/12*1,0)))))+IF(CI$5&lt;&gt;$H33,0,IF(CI33&gt;0,IF($J33=10,$E33*$I33/12*0,IF($J33=11,$E33*$I33/12*1,IF($J33=12,$E33*$I33/12*2,0)))))</f>
        <v>0</v>
      </c>
      <c r="CN33" s="440">
        <f t="shared" ref="CN33:CN34" si="317">IF(AND(CI33&lt;&gt;0,CI$5=$H33),$I33*$E33-CI33,IF(CN$5=$H33,$I33*$E33*(12-$J33+1)/12,0))</f>
        <v>0</v>
      </c>
      <c r="CO33" s="441">
        <f t="shared" ref="CO33:CO34" si="318">IF($H33&lt;&gt;CS$5,0,IF(CS33&gt;0,IF($J33=1,$E33*$I33/12*3,IF($J33=2,$E33*$I33/12*2,IF($J33=3,$E33*$I33/12*1,0)))))+IF(CN$5&lt;&gt;$H33,0,IF(CN33&gt;0,IF($J33=1,$E33*$I33/12*0,IF($J33=2,$E33*$I33/12*1,IF($J33=3,$E33*$I33/12*2,IF($J33&gt;=4,$E33*$I33/12*3,0))))))</f>
        <v>0</v>
      </c>
      <c r="CP33" s="442">
        <f t="shared" ref="CP33:CP34" si="319">IF($H33&lt;&gt;CS$5,0,IF(CS33&gt;0,IF(OR($J33=1,$J33=2,$J33=3,$J33=4),$E33*$I33/12*3,IF($J33=5,$E33*$I33/12*2,IF($J33=6,$E33*$I33/12*1,0)))))+IF(CN$5&lt;&gt;$H33,0,IF(CN33&gt;0,IF($J33=4,$E33*$I33/12*0,IF($J33=5,$E33*$I33/12*1,IF($J33=6,$E33*$I33/12*2,IF($J33&gt;=7,$E33*$I33/12*3,0))))))</f>
        <v>0</v>
      </c>
      <c r="CQ33" s="442">
        <f t="shared" ref="CQ33:CQ34" si="320">IF($H33&lt;&gt;CS$5,0,IF(CS33&gt;0,IF(OR($J33=1,$J33=2,$J33=3,$J33=4,$J33=5,$J33=6,$J33=7),$E33*$I33/12*3,IF($J33=8,$E33*$I33/12*2,IF($J33=9,$E33*$I33/12*1,0)))))+IF(CN$5&lt;&gt;$H33,0,IF(CN33&gt;0,IF($J33=7,$E33*$I33/12*0,IF($J33=8,$E33*$I33/12*1,IF($J33=9,$E33*$I33/12*2,IF($J33&gt;=10,$E33*$I33/12*3,0))))))</f>
        <v>0</v>
      </c>
      <c r="CR33" s="443">
        <f t="shared" ref="CR33:CR34" si="321">IF($H33&lt;&gt;CS$5,0,IF(CS33&gt;0,IF(OR($J33=1,$J33=2,$J33=3,$J33=4,$J33=5,$J33=6,$J33=7,$J33=8,$J33=9,$J33=10),$E33*$I33/12*3,IF($J33=11,$E33*$I33/12*2,IF($J33=12,$E33*$I33/12*1,0)))))+IF(CN$5&lt;&gt;$H33,0,IF(CN33&gt;0,IF($J33=10,$E33*$I33/12*0,IF($J33=11,$E33*$I33/12*1,IF($J33=12,$E33*$I33/12*2,0)))))</f>
        <v>0</v>
      </c>
      <c r="CS33" s="440">
        <f t="shared" ref="CS33:CS34" si="322">IF(AND(CN33&lt;&gt;0,CN$5=$H33),$I33*$E33-CN33,IF(CS$5=$H33,$I33*$E33*(12-$J33+1)/12,0))</f>
        <v>0</v>
      </c>
      <c r="CT33" s="441">
        <f t="shared" ref="CT33:CT34" si="323">IF($H33&lt;&gt;CX$5,0,IF(CX33&gt;0,IF($J33=1,$E33*$I33/12*3,IF($J33=2,$E33*$I33/12*2,IF($J33=3,$E33*$I33/12*1,0)))))+IF(CS$5&lt;&gt;$H33,0,IF(CS33&gt;0,IF($J33=1,$E33*$I33/12*0,IF($J33=2,$E33*$I33/12*1,IF($J33=3,$E33*$I33/12*2,IF($J33&gt;=4,$E33*$I33/12*3,0))))))</f>
        <v>0.79999999999999993</v>
      </c>
      <c r="CU33" s="442">
        <f t="shared" ref="CU33:CU34" si="324">IF($H33&lt;&gt;CX$5,0,IF(CX33&gt;0,IF(OR($J33=1,$J33=2,$J33=3,$J33=4),$E33*$I33/12*3,IF($J33=5,$E33*$I33/12*2,IF($J33=6,$E33*$I33/12*1,0)))))+IF(CS$5&lt;&gt;$H33,0,IF(CS33&gt;0,IF($J33=4,$E33*$I33/12*0,IF($J33=5,$E33*$I33/12*1,IF($J33=6,$E33*$I33/12*2,IF($J33&gt;=7,$E33*$I33/12*3,0))))))</f>
        <v>1.2</v>
      </c>
      <c r="CV33" s="442">
        <f t="shared" ref="CV33:CV34" si="325">IF($H33&lt;&gt;CX$5,0,IF(CX33&gt;0,IF(OR($J33=1,$J33=2,$J33=3,$J33=4,$J33=5,$J33=6,$J33=7),$E33*$I33/12*3,IF($J33=8,$E33*$I33/12*2,IF($J33=9,$E33*$I33/12*1,0)))))+IF(CS$5&lt;&gt;$H33,0,IF(CS33&gt;0,IF($J33=7,$E33*$I33/12*0,IF($J33=8,$E33*$I33/12*1,IF($J33=9,$E33*$I33/12*2,IF($J33&gt;=10,$E33*$I33/12*3,0))))))</f>
        <v>1.2</v>
      </c>
      <c r="CW33" s="443">
        <f t="shared" ref="CW33:CW34" si="326">IF($H33&lt;&gt;CX$5,0,IF(CX33&gt;0,IF(OR($J33=1,$J33=2,$J33=3,$J33=4,$J33=5,$J33=6,$J33=7,$J33=8,$J33=9,$J33=10),$E33*$I33/12*3,IF($J33=11,$E33*$I33/12*2,IF($J33=12,$E33*$I33/12*1,0)))))+IF(CS$5&lt;&gt;$H33,0,IF(CS33&gt;0,IF($J33=10,$E33*$I33/12*0,IF($J33=11,$E33*$I33/12*1,IF($J33=12,$E33*$I33/12*2,0)))))</f>
        <v>1.2</v>
      </c>
      <c r="CX33" s="440">
        <f t="shared" ref="CX33:CX34" si="327">IF(AND(CS33&lt;&gt;0,CS$5=$H33),$I33*$E33-CS33,IF(CX$5=$H33,$I33*$E33*(12-$J33+1)/12,0))</f>
        <v>4.3999999999999995</v>
      </c>
      <c r="CY33" s="441">
        <f t="shared" ref="CY33:CY34" si="328">IF($H33&lt;&gt;DC$5,0,IF(DC33&gt;0,IF($J33=1,$E33*$I33/12*3,IF($J33=2,$E33*$I33/12*2,IF($J33=3,$E33*$I33/12*1,0)))))+IF(CX$5&lt;&gt;$H33,0,IF(CX33&gt;0,IF($J33=1,$E33*$I33/12*0,IF($J33=2,$E33*$I33/12*1,IF($J33=3,$E33*$I33/12*2,IF($J33&gt;=4,$E33*$I33/12*3,0))))))</f>
        <v>0.39999999999999997</v>
      </c>
      <c r="CZ33" s="442">
        <f t="shared" ref="CZ33:CZ34" si="329">IF($H33&lt;&gt;DC$5,0,IF(DC33&gt;0,IF(OR($J33=1,$J33=2,$J33=3,$J33=4),$E33*$I33/12*3,IF($J33=5,$E33*$I33/12*2,IF($J33=6,$E33*$I33/12*1,0)))))+IF(CX$5&lt;&gt;$H33,0,IF(CX33&gt;0,IF($J33=4,$E33*$I33/12*0,IF($J33=5,$E33*$I33/12*1,IF($J33=6,$E33*$I33/12*2,IF($J33&gt;=7,$E33*$I33/12*3,0))))))</f>
        <v>0</v>
      </c>
      <c r="DA33" s="442">
        <f t="shared" ref="DA33:DA34" si="330">IF($H33&lt;&gt;DC$5,0,IF(DC33&gt;0,IF(OR($J33=1,$J33=2,$J33=3,$J33=4,$J33=5,$J33=6,$J33=7),$E33*$I33/12*3,IF($J33=8,$E33*$I33/12*2,IF($J33=9,$E33*$I33/12*1,0)))))+IF(CX$5&lt;&gt;$H33,0,IF(CX33&gt;0,IF($J33=7,$E33*$I33/12*0,IF($J33=8,$E33*$I33/12*1,IF($J33=9,$E33*$I33/12*2,IF($J33&gt;=10,$E33*$I33/12*3,0))))))</f>
        <v>0</v>
      </c>
      <c r="DB33" s="443">
        <f t="shared" ref="DB33:DB34" si="331">IF($H33&lt;&gt;DC$5,0,IF(DC33&gt;0,IF(OR($J33=1,$J33=2,$J33=3,$J33=4,$J33=5,$J33=6,$J33=7,$J33=8,$J33=9,$J33=10),$E33*$I33/12*3,IF($J33=11,$E33*$I33/12*2,IF($J33=12,$E33*$I33/12*1,0)))))+IF(CX$5&lt;&gt;$H33,0,IF(CX33&gt;0,IF($J33=10,$E33*$I33/12*0,IF($J33=11,$E33*$I33/12*1,IF($J33=12,$E33*$I33/12*2,0)))))</f>
        <v>0</v>
      </c>
      <c r="DC33" s="440">
        <f t="shared" ref="DC33:DC34" si="332">IF(AND(CX33&lt;&gt;0,CX$5=$H33),$I33*$E33-CX33,IF(DC$5=$H33,$I33*$E33*(12-$J33+1)/12,0))</f>
        <v>0.40000000000000036</v>
      </c>
      <c r="DD33" s="441">
        <f t="shared" ref="DD33:DD34" si="333">IF($H33&lt;&gt;DH$5,0,IF(DH33&gt;0,IF($J33=1,$E33*$I33/12*3,IF($J33=2,$E33*$I33/12*2,IF($J33=3,$E33*$I33/12*1,0)))))+IF(DC$5&lt;&gt;$H33,0,IF(DC33&gt;0,IF($J33=1,$E33*$I33/12*0,IF($J33=2,$E33*$I33/12*1,IF($J33=3,$E33*$I33/12*2,IF($J33&gt;=4,$E33*$I33/12*3,0))))))</f>
        <v>0</v>
      </c>
      <c r="DE33" s="442">
        <f t="shared" ref="DE33:DE34" si="334">IF($H33&lt;&gt;DH$5,0,IF(DH33&gt;0,IF(OR($J33=1,$J33=2,$J33=3,$J33=4),$E33*$I33/12*3,IF($J33=5,$E33*$I33/12*2,IF($J33=6,$E33*$I33/12*1,0)))))+IF(DC$5&lt;&gt;$H33,0,IF(DC33&gt;0,IF($J33=4,$E33*$I33/12*0,IF($J33=5,$E33*$I33/12*1,IF($J33=6,$E33*$I33/12*2,IF($J33&gt;=7,$E33*$I33/12*3,0))))))</f>
        <v>0</v>
      </c>
      <c r="DF33" s="442">
        <f t="shared" ref="DF33:DF34" si="335">IF($H33&lt;&gt;DH$5,0,IF(DH33&gt;0,IF(OR($J33=1,$J33=2,$J33=3,$J33=4,$J33=5,$J33=6,$J33=7),$E33*$I33/12*3,IF($J33=8,$E33*$I33/12*2,IF($J33=9,$E33*$I33/12*1,0)))))+IF(DC$5&lt;&gt;$H33,0,IF(DC33&gt;0,IF($J33=7,$E33*$I33/12*0,IF($J33=8,$E33*$I33/12*1,IF($J33=9,$E33*$I33/12*2,IF($J33&gt;=10,$E33*$I33/12*3,0))))))</f>
        <v>0</v>
      </c>
      <c r="DG33" s="443">
        <f t="shared" ref="DG33:DG34" si="336">IF($H33&lt;&gt;DH$5,0,IF(DH33&gt;0,IF(OR($J33=1,$J33=2,$J33=3,$J33=4,$J33=5,$J33=6,$J33=7,$J33=8,$J33=9,$J33=10),$E33*$I33/12*3,IF($J33=11,$E33*$I33/12*2,IF($J33=12,$E33*$I33/12*1,0)))))+IF(DC$5&lt;&gt;$H33,0,IF(DC33&gt;0,IF($J33=10,$E33*$I33/12*0,IF($J33=11,$E33*$I33/12*1,IF($J33=12,$E33*$I33/12*2,0)))))</f>
        <v>0</v>
      </c>
      <c r="DH33" s="440">
        <f t="shared" ref="DH33:DH34" si="337">IF(AND(DC33&lt;&gt;0,DC$5=$H33),$I33*$E33-DC33,IF(DH$5=$H33,$I33*$E33*(12-$J33+1)/12,0))</f>
        <v>0</v>
      </c>
      <c r="DI33" s="441">
        <f t="shared" ref="DI33:DI34" si="338">IF($H33&lt;&gt;DM$5,0,IF(DM33&gt;0,IF($J33=1,$E33*$I33/12*3,IF($J33=2,$E33*$I33/12*2,IF($J33=3,$E33*$I33/12*1,0)))))+IF(DH$5&lt;&gt;$H33,0,IF(DH33&gt;0,IF($J33=1,$E33*$I33/12*0,IF($J33=2,$E33*$I33/12*1,IF($J33=3,$E33*$I33/12*2,IF($J33&gt;=4,$E33*$I33/12*3,0))))))</f>
        <v>0</v>
      </c>
      <c r="DJ33" s="442">
        <f t="shared" ref="DJ33:DJ34" si="339">IF($H33&lt;&gt;DM$5,0,IF(DM33&gt;0,IF(OR($J33=1,$J33=2,$J33=3,$J33=4),$E33*$I33/12*3,IF($J33=5,$E33*$I33/12*2,IF($J33=6,$E33*$I33/12*1,0)))))+IF(DH$5&lt;&gt;$H33,0,IF(DH33&gt;0,IF($J33=4,$E33*$I33/12*0,IF($J33=5,$E33*$I33/12*1,IF($J33=6,$E33*$I33/12*2,IF($J33&gt;=7,$E33*$I33/12*3,0))))))</f>
        <v>0</v>
      </c>
      <c r="DK33" s="442">
        <f t="shared" ref="DK33:DK34" si="340">IF($H33&lt;&gt;DM$5,0,IF(DM33&gt;0,IF(OR($J33=1,$J33=2,$J33=3,$J33=4,$J33=5,$J33=6,$J33=7),$E33*$I33/12*3,IF($J33=8,$E33*$I33/12*2,IF($J33=9,$E33*$I33/12*1,0)))))+IF(DH$5&lt;&gt;$H33,0,IF(DH33&gt;0,IF($J33=7,$E33*$I33/12*0,IF($J33=8,$E33*$I33/12*1,IF($J33=9,$E33*$I33/12*2,IF($J33&gt;=10,$E33*$I33/12*3,0))))))</f>
        <v>0</v>
      </c>
      <c r="DL33" s="443">
        <f t="shared" ref="DL33:DL34" si="341">IF($H33&lt;&gt;DM$5,0,IF(DM33&gt;0,IF(OR($J33=1,$J33=2,$J33=3,$J33=4,$J33=5,$J33=6,$J33=7,$J33=8,$J33=9,$J33=10),$E33*$I33/12*3,IF($J33=11,$E33*$I33/12*2,IF($J33=12,$E33*$I33/12*1,0)))))+IF(DH$5&lt;&gt;$H33,0,IF(DH33&gt;0,IF($J33=10,$E33*$I33/12*0,IF($J33=11,$E33*$I33/12*1,IF($J33=12,$E33*$I33/12*2,0)))))</f>
        <v>0</v>
      </c>
      <c r="DM33" s="440">
        <f t="shared" ref="DM33:DM34" si="342">IF(AND(DH33&lt;&gt;0,DH$5=$H33),$I33*$E33-DH33,IF(DM$5=$H33,$I33*$E33*(12-$J33+1)/12,0))</f>
        <v>0</v>
      </c>
      <c r="DN33" s="441">
        <f t="shared" ref="DN33:DN34" si="343">IF($H33&lt;&gt;DR$5,0,IF(DR33&gt;0,IF($J33=1,$E33*$I33/12*3,IF($J33=2,$E33*$I33/12*2,IF($J33=3,$E33*$I33/12*1,0)))))+IF(DM$5&lt;&gt;$H33,0,IF(DM33&gt;0,IF($J33=1,$E33*$I33/12*0,IF($J33=2,$E33*$I33/12*1,IF($J33=3,$E33*$I33/12*2,IF($J33&gt;=4,$E33*$I33/12*3,0))))))</f>
        <v>0</v>
      </c>
      <c r="DO33" s="442">
        <f t="shared" ref="DO33:DO34" si="344">IF($H33&lt;&gt;DR$5,0,IF(DR33&gt;0,IF(OR($J33=1,$J33=2,$J33=3,$J33=4),$E33*$I33/12*3,IF($J33=5,$E33*$I33/12*2,IF($J33=6,$E33*$I33/12*1,0)))))+IF(DM$5&lt;&gt;$H33,0,IF(DM33&gt;0,IF($J33=4,$E33*$I33/12*0,IF($J33=5,$E33*$I33/12*1,IF($J33=6,$E33*$I33/12*2,IF($J33&gt;=7,$E33*$I33/12*3,0))))))</f>
        <v>0</v>
      </c>
      <c r="DP33" s="442">
        <f t="shared" ref="DP33:DP34" si="345">IF($H33&lt;&gt;DR$5,0,IF(DR33&gt;0,IF(OR($J33=1,$J33=2,$J33=3,$J33=4,$J33=5,$J33=6,$J33=7),$E33*$I33/12*3,IF($J33=8,$E33*$I33/12*2,IF($J33=9,$E33*$I33/12*1,0)))))+IF(DM$5&lt;&gt;$H33,0,IF(DM33&gt;0,IF($J33=7,$E33*$I33/12*0,IF($J33=8,$E33*$I33/12*1,IF($J33=9,$E33*$I33/12*2,IF($J33&gt;=10,$E33*$I33/12*3,0))))))</f>
        <v>0</v>
      </c>
      <c r="DQ33" s="443">
        <f t="shared" ref="DQ33:DQ34" si="346">IF($H33&lt;&gt;DR$5,0,IF(DR33&gt;0,IF(OR($J33=1,$J33=2,$J33=3,$J33=4,$J33=5,$J33=6,$J33=7,$J33=8,$J33=9,$J33=10),$E33*$I33/12*3,IF($J33=11,$E33*$I33/12*2,IF($J33=12,$E33*$I33/12*1,0)))))+IF(DM$5&lt;&gt;$H33,0,IF(DM33&gt;0,IF($J33=10,$E33*$I33/12*0,IF($J33=11,$E33*$I33/12*1,IF($J33=12,$E33*$I33/12*2,0)))))</f>
        <v>0</v>
      </c>
      <c r="DR33" s="440">
        <f t="shared" ref="DR33:DR34" si="347">IF(AND(DM33&lt;&gt;0,DM$5=$H33),$I33*$E33-DM33,IF(DR$5=$H33,$I33*$E33*(12-$J33+1)/12,0))</f>
        <v>0</v>
      </c>
    </row>
    <row r="34" spans="1:122" ht="12.75" customHeight="1">
      <c r="A34" s="92"/>
      <c r="B34" s="92"/>
      <c r="C34" s="27" t="s">
        <v>1188</v>
      </c>
      <c r="D34" s="574"/>
      <c r="E34" s="1355">
        <v>125</v>
      </c>
      <c r="F34" s="559"/>
      <c r="G34" s="559"/>
      <c r="H34" s="1308">
        <v>2017</v>
      </c>
      <c r="I34" s="2036">
        <v>3.8399999999999997E-2</v>
      </c>
      <c r="J34" s="1749">
        <v>2</v>
      </c>
      <c r="K34" s="528"/>
      <c r="L34" s="441">
        <f t="shared" si="238"/>
        <v>0</v>
      </c>
      <c r="M34" s="442">
        <f t="shared" si="239"/>
        <v>0</v>
      </c>
      <c r="N34" s="442">
        <f t="shared" si="240"/>
        <v>0</v>
      </c>
      <c r="O34" s="443">
        <f t="shared" si="241"/>
        <v>0</v>
      </c>
      <c r="P34" s="440">
        <f t="shared" si="242"/>
        <v>0</v>
      </c>
      <c r="Q34" s="441">
        <f t="shared" si="243"/>
        <v>0</v>
      </c>
      <c r="R34" s="442">
        <f t="shared" si="244"/>
        <v>0</v>
      </c>
      <c r="S34" s="442">
        <f t="shared" si="245"/>
        <v>0</v>
      </c>
      <c r="T34" s="443">
        <f t="shared" si="246"/>
        <v>0</v>
      </c>
      <c r="U34" s="440">
        <f t="shared" si="247"/>
        <v>0</v>
      </c>
      <c r="V34" s="441">
        <f t="shared" si="248"/>
        <v>0</v>
      </c>
      <c r="W34" s="442">
        <f t="shared" si="249"/>
        <v>0</v>
      </c>
      <c r="X34" s="442">
        <f t="shared" si="250"/>
        <v>0</v>
      </c>
      <c r="Y34" s="443">
        <f t="shared" si="251"/>
        <v>0</v>
      </c>
      <c r="Z34" s="440">
        <f t="shared" si="252"/>
        <v>0</v>
      </c>
      <c r="AA34" s="441">
        <f t="shared" si="253"/>
        <v>0</v>
      </c>
      <c r="AB34" s="442">
        <f t="shared" si="254"/>
        <v>0</v>
      </c>
      <c r="AC34" s="442">
        <f t="shared" si="255"/>
        <v>0</v>
      </c>
      <c r="AD34" s="443">
        <f t="shared" si="256"/>
        <v>0</v>
      </c>
      <c r="AE34" s="440">
        <f t="shared" si="257"/>
        <v>0</v>
      </c>
      <c r="AF34" s="441">
        <f t="shared" si="258"/>
        <v>0</v>
      </c>
      <c r="AG34" s="442">
        <f t="shared" si="259"/>
        <v>0</v>
      </c>
      <c r="AH34" s="442">
        <f t="shared" si="260"/>
        <v>0</v>
      </c>
      <c r="AI34" s="443">
        <f t="shared" si="261"/>
        <v>0</v>
      </c>
      <c r="AJ34" s="440">
        <f t="shared" si="262"/>
        <v>0</v>
      </c>
      <c r="AK34" s="441">
        <f t="shared" si="263"/>
        <v>0</v>
      </c>
      <c r="AL34" s="442">
        <f t="shared" si="264"/>
        <v>0</v>
      </c>
      <c r="AM34" s="442">
        <f t="shared" si="265"/>
        <v>0</v>
      </c>
      <c r="AN34" s="443">
        <f t="shared" si="266"/>
        <v>0</v>
      </c>
      <c r="AO34" s="440">
        <f t="shared" si="267"/>
        <v>0</v>
      </c>
      <c r="AP34" s="441">
        <f t="shared" si="268"/>
        <v>125</v>
      </c>
      <c r="AQ34" s="442">
        <f t="shared" si="269"/>
        <v>0</v>
      </c>
      <c r="AR34" s="442">
        <f t="shared" si="270"/>
        <v>0</v>
      </c>
      <c r="AS34" s="443">
        <f t="shared" si="271"/>
        <v>0</v>
      </c>
      <c r="AT34" s="440">
        <f t="shared" si="272"/>
        <v>125</v>
      </c>
      <c r="AU34" s="441">
        <f t="shared" si="273"/>
        <v>0</v>
      </c>
      <c r="AV34" s="442">
        <f t="shared" si="274"/>
        <v>0</v>
      </c>
      <c r="AW34" s="442">
        <f t="shared" si="275"/>
        <v>0</v>
      </c>
      <c r="AX34" s="443">
        <f t="shared" si="276"/>
        <v>0</v>
      </c>
      <c r="AY34" s="440">
        <f t="shared" si="277"/>
        <v>0</v>
      </c>
      <c r="AZ34" s="441">
        <f t="shared" si="278"/>
        <v>0</v>
      </c>
      <c r="BA34" s="442">
        <f t="shared" si="279"/>
        <v>0</v>
      </c>
      <c r="BB34" s="442">
        <f t="shared" si="280"/>
        <v>0</v>
      </c>
      <c r="BC34" s="443">
        <f t="shared" si="281"/>
        <v>0</v>
      </c>
      <c r="BD34" s="440">
        <f t="shared" si="282"/>
        <v>0</v>
      </c>
      <c r="BE34" s="441">
        <f t="shared" si="283"/>
        <v>0</v>
      </c>
      <c r="BF34" s="442">
        <f t="shared" si="284"/>
        <v>0</v>
      </c>
      <c r="BG34" s="442">
        <f t="shared" si="285"/>
        <v>0</v>
      </c>
      <c r="BH34" s="443">
        <f t="shared" si="286"/>
        <v>0</v>
      </c>
      <c r="BI34" s="440">
        <f t="shared" si="287"/>
        <v>0</v>
      </c>
      <c r="BJ34" s="441">
        <f t="shared" si="288"/>
        <v>0</v>
      </c>
      <c r="BK34" s="442">
        <f t="shared" si="289"/>
        <v>0</v>
      </c>
      <c r="BL34" s="442">
        <f t="shared" si="290"/>
        <v>0</v>
      </c>
      <c r="BM34" s="443">
        <f t="shared" si="291"/>
        <v>0</v>
      </c>
      <c r="BN34" s="440">
        <f t="shared" si="292"/>
        <v>0</v>
      </c>
      <c r="BO34" s="463"/>
      <c r="BP34" s="441">
        <f t="shared" si="293"/>
        <v>0</v>
      </c>
      <c r="BQ34" s="442">
        <f t="shared" si="294"/>
        <v>0</v>
      </c>
      <c r="BR34" s="442">
        <f t="shared" si="295"/>
        <v>0</v>
      </c>
      <c r="BS34" s="443">
        <f t="shared" si="296"/>
        <v>0</v>
      </c>
      <c r="BT34" s="440">
        <f t="shared" si="297"/>
        <v>0</v>
      </c>
      <c r="BU34" s="441">
        <f t="shared" si="298"/>
        <v>0</v>
      </c>
      <c r="BV34" s="442">
        <f t="shared" si="299"/>
        <v>0</v>
      </c>
      <c r="BW34" s="442">
        <f t="shared" si="300"/>
        <v>0</v>
      </c>
      <c r="BX34" s="443">
        <f t="shared" si="301"/>
        <v>0</v>
      </c>
      <c r="BY34" s="440">
        <f t="shared" si="302"/>
        <v>0</v>
      </c>
      <c r="BZ34" s="441">
        <f t="shared" si="303"/>
        <v>0</v>
      </c>
      <c r="CA34" s="442">
        <f t="shared" si="304"/>
        <v>0</v>
      </c>
      <c r="CB34" s="442">
        <f t="shared" si="305"/>
        <v>0</v>
      </c>
      <c r="CC34" s="443">
        <f t="shared" si="306"/>
        <v>0</v>
      </c>
      <c r="CD34" s="440">
        <f t="shared" si="307"/>
        <v>0</v>
      </c>
      <c r="CE34" s="441">
        <f t="shared" si="308"/>
        <v>0</v>
      </c>
      <c r="CF34" s="442">
        <f t="shared" si="309"/>
        <v>0</v>
      </c>
      <c r="CG34" s="442">
        <f t="shared" si="310"/>
        <v>0</v>
      </c>
      <c r="CH34" s="443">
        <f t="shared" si="311"/>
        <v>0</v>
      </c>
      <c r="CI34" s="440">
        <f t="shared" si="312"/>
        <v>0</v>
      </c>
      <c r="CJ34" s="441">
        <f t="shared" si="313"/>
        <v>0</v>
      </c>
      <c r="CK34" s="442">
        <f t="shared" si="314"/>
        <v>0</v>
      </c>
      <c r="CL34" s="442">
        <f t="shared" si="315"/>
        <v>0</v>
      </c>
      <c r="CM34" s="443">
        <f t="shared" si="316"/>
        <v>0</v>
      </c>
      <c r="CN34" s="440">
        <f t="shared" si="317"/>
        <v>0</v>
      </c>
      <c r="CO34" s="441">
        <f t="shared" si="318"/>
        <v>0</v>
      </c>
      <c r="CP34" s="442">
        <f t="shared" si="319"/>
        <v>0</v>
      </c>
      <c r="CQ34" s="442">
        <f t="shared" si="320"/>
        <v>0</v>
      </c>
      <c r="CR34" s="443">
        <f t="shared" si="321"/>
        <v>0</v>
      </c>
      <c r="CS34" s="440">
        <f t="shared" si="322"/>
        <v>0</v>
      </c>
      <c r="CT34" s="441">
        <f t="shared" si="323"/>
        <v>0.79999999999999993</v>
      </c>
      <c r="CU34" s="442">
        <f t="shared" si="324"/>
        <v>1.2</v>
      </c>
      <c r="CV34" s="442">
        <f t="shared" si="325"/>
        <v>1.2</v>
      </c>
      <c r="CW34" s="443">
        <f t="shared" si="326"/>
        <v>1.2</v>
      </c>
      <c r="CX34" s="440">
        <f t="shared" si="327"/>
        <v>4.3999999999999995</v>
      </c>
      <c r="CY34" s="441">
        <f t="shared" si="328"/>
        <v>0.39999999999999997</v>
      </c>
      <c r="CZ34" s="442">
        <f t="shared" si="329"/>
        <v>0</v>
      </c>
      <c r="DA34" s="442">
        <f t="shared" si="330"/>
        <v>0</v>
      </c>
      <c r="DB34" s="443">
        <f t="shared" si="331"/>
        <v>0</v>
      </c>
      <c r="DC34" s="440">
        <f t="shared" si="332"/>
        <v>0.40000000000000036</v>
      </c>
      <c r="DD34" s="441">
        <f t="shared" si="333"/>
        <v>0</v>
      </c>
      <c r="DE34" s="442">
        <f t="shared" si="334"/>
        <v>0</v>
      </c>
      <c r="DF34" s="442">
        <f t="shared" si="335"/>
        <v>0</v>
      </c>
      <c r="DG34" s="443">
        <f t="shared" si="336"/>
        <v>0</v>
      </c>
      <c r="DH34" s="440">
        <f t="shared" si="337"/>
        <v>0</v>
      </c>
      <c r="DI34" s="441">
        <f t="shared" si="338"/>
        <v>0</v>
      </c>
      <c r="DJ34" s="442">
        <f t="shared" si="339"/>
        <v>0</v>
      </c>
      <c r="DK34" s="442">
        <f t="shared" si="340"/>
        <v>0</v>
      </c>
      <c r="DL34" s="443">
        <f t="shared" si="341"/>
        <v>0</v>
      </c>
      <c r="DM34" s="440">
        <f t="shared" si="342"/>
        <v>0</v>
      </c>
      <c r="DN34" s="441">
        <f t="shared" si="343"/>
        <v>0</v>
      </c>
      <c r="DO34" s="442">
        <f t="shared" si="344"/>
        <v>0</v>
      </c>
      <c r="DP34" s="442">
        <f t="shared" si="345"/>
        <v>0</v>
      </c>
      <c r="DQ34" s="443">
        <f t="shared" si="346"/>
        <v>0</v>
      </c>
      <c r="DR34" s="440">
        <f t="shared" si="347"/>
        <v>0</v>
      </c>
    </row>
    <row r="35" spans="1:122" ht="12.75" customHeight="1">
      <c r="A35" s="92"/>
      <c r="B35" s="92"/>
      <c r="C35" s="27" t="s">
        <v>1201</v>
      </c>
      <c r="D35" s="574"/>
      <c r="E35" s="1355">
        <v>500</v>
      </c>
      <c r="F35" s="559"/>
      <c r="G35" s="559"/>
      <c r="H35" s="1308">
        <v>2017</v>
      </c>
      <c r="I35" s="1354">
        <v>2.8500000000000001E-2</v>
      </c>
      <c r="J35" s="1749">
        <v>6</v>
      </c>
      <c r="K35" s="528"/>
      <c r="L35" s="441"/>
      <c r="M35" s="442"/>
      <c r="N35" s="442"/>
      <c r="O35" s="443"/>
      <c r="P35" s="440">
        <f t="shared" si="242"/>
        <v>0</v>
      </c>
      <c r="Q35" s="441">
        <f t="shared" ref="Q35:Q37" si="348">IF(U35=0,0,IF(U35&gt;0,IF($J35=3,U35,IF($J35=2,U35,IF($J35=1,U35,0)))))</f>
        <v>0</v>
      </c>
      <c r="R35" s="442">
        <f t="shared" ref="R35:R37" si="349">IF(U35=0,0,IF(U35&gt;0,IF($J35=6,U35,IF($J35=5,U35,IF($J35=4,U35,0)))))</f>
        <v>0</v>
      </c>
      <c r="S35" s="442">
        <f t="shared" ref="S35:S37" si="350">IF(U35=0,0,IF(U35&gt;0,IF($J35=9,U35,IF($J35=8,U35,IF($J35=7,U35,0)))))</f>
        <v>0</v>
      </c>
      <c r="T35" s="443">
        <f t="shared" ref="T35:T37" si="351">IF(U35=0,0,IF(U35&gt;0,IF($J35=12,U35,IF($J35=11,U35,IF($J35=10,U35,0)))))</f>
        <v>0</v>
      </c>
      <c r="U35" s="440">
        <f t="shared" si="247"/>
        <v>0</v>
      </c>
      <c r="V35" s="441">
        <f t="shared" ref="V35:V37" si="352">IF(Z35=0,0,IF(Z35&gt;0,IF($J35=3,Z35,IF($J35=2,Z35,IF($J35=1,Z35,0)))))</f>
        <v>0</v>
      </c>
      <c r="W35" s="442">
        <f t="shared" ref="W35:W37" si="353">IF(Z35=0,0,IF(Z35&gt;0,IF($J35=6,Z35,IF($J35=5,Z35,IF($J35=4,Z35,0)))))</f>
        <v>0</v>
      </c>
      <c r="X35" s="442">
        <f t="shared" ref="X35:X37" si="354">IF(Z35=0,0,IF(Z35&gt;0,IF($J35=9,Z35,IF($J35=8,Z35,IF($J35=7,Z35,0)))))</f>
        <v>0</v>
      </c>
      <c r="Y35" s="443">
        <f t="shared" ref="Y35:Y37" si="355">IF(Z35=0,0,IF(Z35&gt;0,IF($J35=12,Z35,IF($J35=11,Z35,IF($J35=10,Z35,0)))))</f>
        <v>0</v>
      </c>
      <c r="Z35" s="440">
        <f t="shared" si="252"/>
        <v>0</v>
      </c>
      <c r="AA35" s="441">
        <f t="shared" ref="AA35:AA37" si="356">IF(AE35=0,0,IF(AE35&gt;0,IF($J35=3,AE35,IF($J35=2,AE35,IF($J35=1,AE35,0)))))</f>
        <v>0</v>
      </c>
      <c r="AB35" s="442">
        <f t="shared" ref="AB35:AB37" si="357">IF(AE35=0,0,IF(AE35&gt;0,IF($J35=6,AE35,IF($J35=5,AE35,IF($J35=4,AE35,0)))))</f>
        <v>0</v>
      </c>
      <c r="AC35" s="442">
        <f t="shared" ref="AC35:AC37" si="358">IF(AE35=0,0,IF(AE35&gt;0,IF($J35=9,AE35,IF($J35=8,AE35,IF($J35=7,AE35,0)))))</f>
        <v>0</v>
      </c>
      <c r="AD35" s="443">
        <f t="shared" ref="AD35:AD37" si="359">IF(AE35=0,0,IF(AE35&gt;0,IF($J35=12,AE35,IF($J35=11,AE35,IF($J35=10,AE35,0)))))</f>
        <v>0</v>
      </c>
      <c r="AE35" s="440">
        <f t="shared" si="257"/>
        <v>0</v>
      </c>
      <c r="AF35" s="441">
        <f t="shared" ref="AF35:AF37" si="360">IF(AJ35=0,0,IF(AJ35&gt;0,IF($J35=3,AJ35,IF($J35=2,AJ35,IF($J35=1,AJ35,0)))))</f>
        <v>0</v>
      </c>
      <c r="AG35" s="442">
        <f t="shared" ref="AG35:AG37" si="361">IF(AJ35=0,0,IF(AJ35&gt;0,IF($J35=6,AJ35,IF($J35=5,AJ35,IF($J35=4,AJ35,0)))))</f>
        <v>0</v>
      </c>
      <c r="AH35" s="442">
        <f t="shared" ref="AH35:AH37" si="362">IF(AJ35=0,0,IF(AJ35&gt;0,IF($J35=9,AJ35,IF($J35=8,AJ35,IF($J35=7,AJ35,0)))))</f>
        <v>0</v>
      </c>
      <c r="AI35" s="443">
        <f t="shared" ref="AI35:AI37" si="363">IF(AJ35=0,0,IF(AJ35&gt;0,IF($J35=12,AJ35,IF($J35=11,AJ35,IF($J35=10,AJ35,0)))))</f>
        <v>0</v>
      </c>
      <c r="AJ35" s="440">
        <f t="shared" si="262"/>
        <v>0</v>
      </c>
      <c r="AK35" s="441">
        <f t="shared" ref="AK35:AK37" si="364">IF(AO35=0,0,IF(AO35&gt;0,IF($J35=3,AO35,IF($J35=2,AO35,IF($J35=1,AO35,0)))))</f>
        <v>0</v>
      </c>
      <c r="AL35" s="442">
        <f t="shared" ref="AL35:AL37" si="365">IF(AO35=0,0,IF(AO35&gt;0,IF($J35=6,AO35,IF($J35=5,AO35,IF($J35=4,AO35,0)))))</f>
        <v>0</v>
      </c>
      <c r="AM35" s="442">
        <f t="shared" ref="AM35:AM37" si="366">IF(AO35=0,0,IF(AO35&gt;0,IF($J35=9,AO35,IF($J35=8,AO35,IF($J35=7,AO35,0)))))</f>
        <v>0</v>
      </c>
      <c r="AN35" s="443">
        <f t="shared" ref="AN35:AN37" si="367">IF(AO35=0,0,IF(AO35&gt;0,IF($J35=12,AO35,IF($J35=11,AO35,IF($J35=10,AO35,0)))))</f>
        <v>0</v>
      </c>
      <c r="AO35" s="440">
        <f t="shared" si="267"/>
        <v>0</v>
      </c>
      <c r="AP35" s="441">
        <f t="shared" ref="AP35:AP37" si="368">IF(AT35=0,0,IF(AT35&gt;0,IF($J35=3,AT35,IF($J35=2,AT35,IF($J35=1,AT35,0)))))</f>
        <v>0</v>
      </c>
      <c r="AQ35" s="442">
        <f t="shared" ref="AQ35:AQ37" si="369">IF(AT35=0,0,IF(AT35&gt;0,IF($J35=6,AT35,IF($J35=5,AT35,IF($J35=4,AT35,0)))))</f>
        <v>500</v>
      </c>
      <c r="AR35" s="442">
        <f t="shared" ref="AR35:AR37" si="370">IF(AT35=0,0,IF(AT35&gt;0,IF($J35=9,AT35,IF($J35=8,AT35,IF($J35=7,AT35,0)))))</f>
        <v>0</v>
      </c>
      <c r="AS35" s="443">
        <f t="shared" ref="AS35:AS37" si="371">IF(AT35=0,0,IF(AT35&gt;0,IF($J35=12,AT35,IF($J35=11,AT35,IF($J35=10,AT35,0)))))</f>
        <v>0</v>
      </c>
      <c r="AT35" s="440">
        <f t="shared" si="272"/>
        <v>500</v>
      </c>
      <c r="AU35" s="441">
        <f t="shared" ref="AU35:AU37" si="372">IF(AY35=0,0,IF(AY35&gt;0,IF($J35=3,AY35,IF($J35=2,AY35,IF($J35=1,AY35,0)))))</f>
        <v>0</v>
      </c>
      <c r="AV35" s="442">
        <f t="shared" ref="AV35:AV37" si="373">IF(AY35=0,0,IF(AY35&gt;0,IF($J35=6,AY35,IF($J35=5,AY35,IF($J35=4,AY35,0)))))</f>
        <v>0</v>
      </c>
      <c r="AW35" s="442">
        <f t="shared" ref="AW35:AW37" si="374">IF(AY35=0,0,IF(AY35&gt;0,IF($J35=9,AY35,IF($J35=8,AY35,IF($J35=7,AY35,0)))))</f>
        <v>0</v>
      </c>
      <c r="AX35" s="443">
        <f t="shared" ref="AX35:AX37" si="375">IF(AY35=0,0,IF(AY35&gt;0,IF($J35=12,AY35,IF($J35=11,AY35,IF($J35=10,AY35,0)))))</f>
        <v>0</v>
      </c>
      <c r="AY35" s="440">
        <f t="shared" si="277"/>
        <v>0</v>
      </c>
      <c r="AZ35" s="441">
        <f t="shared" ref="AZ35:AZ37" si="376">IF(BD35=0,0,IF(BD35&gt;0,IF($J35=3,BD35,IF($J35=2,BD35,IF($J35=1,BD35,0)))))</f>
        <v>0</v>
      </c>
      <c r="BA35" s="442">
        <f t="shared" ref="BA35:BA37" si="377">IF(BD35=0,0,IF(BD35&gt;0,IF($J35=6,BD35,IF($J35=5,BD35,IF($J35=4,BD35,0)))))</f>
        <v>0</v>
      </c>
      <c r="BB35" s="442">
        <f t="shared" ref="BB35:BB37" si="378">IF(BD35=0,0,IF(BD35&gt;0,IF($J35=9,BD35,IF($J35=8,BD35,IF($J35=7,BD35,0)))))</f>
        <v>0</v>
      </c>
      <c r="BC35" s="443">
        <f t="shared" ref="BC35:BC37" si="379">IF(BD35=0,0,IF(BD35&gt;0,IF($J35=12,BD35,IF($J35=11,BD35,IF($J35=10,BD35,0)))))</f>
        <v>0</v>
      </c>
      <c r="BD35" s="440">
        <f t="shared" si="282"/>
        <v>0</v>
      </c>
      <c r="BE35" s="441">
        <f t="shared" ref="BE35:BE37" si="380">IF(BI35=0,0,IF(BI35&gt;0,IF($J35=3,BI35,IF($J35=2,BI35,IF($J35=1,BI35,0)))))</f>
        <v>0</v>
      </c>
      <c r="BF35" s="442">
        <f t="shared" ref="BF35:BF37" si="381">IF(BI35=0,0,IF(BI35&gt;0,IF($J35=6,BI35,IF($J35=5,BI35,IF($J35=4,BI35,0)))))</f>
        <v>0</v>
      </c>
      <c r="BG35" s="442">
        <f t="shared" ref="BG35:BG37" si="382">IF(BI35=0,0,IF(BI35&gt;0,IF($J35=9,BI35,IF($J35=8,BI35,IF($J35=7,BI35,0)))))</f>
        <v>0</v>
      </c>
      <c r="BH35" s="443">
        <f t="shared" ref="BH35:BH37" si="383">IF(BI35=0,0,IF(BI35&gt;0,IF($J35=12,BI35,IF($J35=11,BI35,IF($J35=10,BI35,0)))))</f>
        <v>0</v>
      </c>
      <c r="BI35" s="440">
        <f t="shared" si="287"/>
        <v>0</v>
      </c>
      <c r="BJ35" s="441">
        <f t="shared" ref="BJ35:BJ37" si="384">IF(BN35=0,0,IF(BN35&gt;0,IF($J35=3,BN35,IF($J35=2,BN35,IF($J35=1,BN35,0)))))</f>
        <v>0</v>
      </c>
      <c r="BK35" s="442">
        <f t="shared" ref="BK35:BK37" si="385">IF(BN35=0,0,IF(BN35&gt;0,IF($J35=6,BN35,IF($J35=5,BN35,IF($J35=4,BN35,0)))))</f>
        <v>0</v>
      </c>
      <c r="BL35" s="442">
        <f t="shared" ref="BL35:BL37" si="386">IF(BN35=0,0,IF(BN35&gt;0,IF($J35=9,BN35,IF($J35=8,BN35,IF($J35=7,BN35,0)))))</f>
        <v>0</v>
      </c>
      <c r="BM35" s="443">
        <f t="shared" ref="BM35:BM37" si="387">IF(BN35=0,0,IF(BN35&gt;0,IF($J35=12,BN35,IF($J35=11,BN35,IF($J35=10,BN35,0)))))</f>
        <v>0</v>
      </c>
      <c r="BN35" s="440">
        <f t="shared" si="292"/>
        <v>0</v>
      </c>
      <c r="BO35" s="463"/>
      <c r="BP35" s="441">
        <f t="shared" ref="BP35:BP37" si="388">IF($H35&lt;&gt;BT$5,0,IF(BT35&gt;0,IF($J35=1,$E35*$I35/12*3,IF($J35=2,$E35*$I35/12*2,IF($J35=3,$E35*$I35/12*1,0)))))+IF(BO$5&lt;&gt;$H35,0,IF(BO35&gt;0,IF($J35=1,$E35*$I35/12*0,IF($J35=2,$E35*$I35/12*1,IF($J35=3,$E35*$I35/12*2,IF($J35&gt;=4,$E35*$I35/12*3,0))))))</f>
        <v>0</v>
      </c>
      <c r="BQ35" s="442">
        <f t="shared" ref="BQ35:BQ37" si="389">IF($H35&lt;&gt;BT$5,0,IF(BT35&gt;0,IF(OR($J35=1,$J35=2,$J35=3,$J35=4),$E35*$I35/12*3,IF($J35=5,$E35*$I35/12*2,IF($J35=6,$E35*$I35/12*1,0)))))+IF(BO$5&lt;&gt;$H35,0,IF(BO35&gt;0,IF($J35=4,$E35*$I35/12*0,IF($J35=5,$E35*$I35/12*1,IF($J35=6,$E35*$I35/12*2,IF($J35&gt;=7,$E35*$I35/12*3,0))))))</f>
        <v>0</v>
      </c>
      <c r="BR35" s="442">
        <f t="shared" ref="BR35:BR37" si="390">IF($H35&lt;&gt;BT$5,0,IF(BT35&gt;0,IF(OR($J35=1,$J35=2,$J35=3,$J35=4,$J35=5,$J35=6,$J35=7),$E35*$I35/12*3,IF($J35=8,$E35*$I35/12*2,IF($J35=9,$E35*$I35/12*1,0)))))+IF(BO$5&lt;&gt;$H35,0,IF(BO35&gt;0,IF($J35=7,$E35*$I35/12*0,IF($J35=8,$E35*$I35/12*1,IF($J35=9,$E35*$I35/12*2,IF($J35&gt;=10,$E35*$I35/12*3,0))))))</f>
        <v>0</v>
      </c>
      <c r="BS35" s="443">
        <f t="shared" ref="BS35:BS37" si="391">IF($H35&lt;&gt;BT$5,0,IF(BT35&gt;0,IF(OR($J35=1,$J35=2,$J35=3,$J35=4,$J35=5,$J35=6,$J35=7,$J35=8,$J35=9,$J35=10),$E35*$I35/12*3,IF($J35=11,$E35*$I35/12*2,IF($J35=12,$E35*$I35/12*1,0)))))+IF(BO$5&lt;&gt;$H35,0,IF(BO35&gt;0,IF($J35=10,$E35*$I35/12*0,IF($J35=11,$E35*$I35/12*1,IF($J35=12,$E35*$I35/12*2,0)))))</f>
        <v>0</v>
      </c>
      <c r="BT35" s="440">
        <f t="shared" ref="BT35:BT37" si="392">IF(AND(BO35&lt;&gt;0,BO$5=$H35),$I35*$E35-BO35,IF(BT$5=$H35,$I35*$E35*(12-$J35+1)/12,0))</f>
        <v>0</v>
      </c>
      <c r="BU35" s="441">
        <f t="shared" ref="BU35:BU37" si="393">IF($H35&lt;&gt;BY$5,0,IF(BY35&gt;0,IF($J35=1,$E35*$I35/12*3,IF($J35=2,$E35*$I35/12*2,IF($J35=3,$E35*$I35/12*1,0)))))+IF(BT$5&lt;&gt;$H35,0,IF(BT35&gt;0,IF($J35=1,$E35*$I35/12*0,IF($J35=2,$E35*$I35/12*1,IF($J35=3,$E35*$I35/12*2,IF($J35&gt;=4,$E35*$I35/12*3,0))))))</f>
        <v>0</v>
      </c>
      <c r="BV35" s="442">
        <f t="shared" ref="BV35:BV37" si="394">IF($H35&lt;&gt;BY$5,0,IF(BY35&gt;0,IF(OR($J35=1,$J35=2,$J35=3,$J35=4),$E35*$I35/12*3,IF($J35=5,$E35*$I35/12*2,IF($J35=6,$E35*$I35/12*1,0)))))+IF(BT$5&lt;&gt;$H35,0,IF(BT35&gt;0,IF($J35=4,$E35*$I35/12*0,IF($J35=5,$E35*$I35/12*1,IF($J35=6,$E35*$I35/12*2,IF($J35&gt;=7,$E35*$I35/12*3,0))))))</f>
        <v>0</v>
      </c>
      <c r="BW35" s="442">
        <f t="shared" ref="BW35:BW37" si="395">IF($H35&lt;&gt;BY$5,0,IF(BY35&gt;0,IF(OR($J35=1,$J35=2,$J35=3,$J35=4,$J35=5,$J35=6,$J35=7),$E35*$I35/12*3,IF($J35=8,$E35*$I35/12*2,IF($J35=9,$E35*$I35/12*1,0)))))+IF(BT$5&lt;&gt;$H35,0,IF(BT35&gt;0,IF($J35=7,$E35*$I35/12*0,IF($J35=8,$E35*$I35/12*1,IF($J35=9,$E35*$I35/12*2,IF($J35&gt;=10,$E35*$I35/12*3,0))))))</f>
        <v>0</v>
      </c>
      <c r="BX35" s="443">
        <f t="shared" ref="BX35:BX37" si="396">IF($H35&lt;&gt;BY$5,0,IF(BY35&gt;0,IF(OR($J35=1,$J35=2,$J35=3,$J35=4,$J35=5,$J35=6,$J35=7,$J35=8,$J35=9,$J35=10),$E35*$I35/12*3,IF($J35=11,$E35*$I35/12*2,IF($J35=12,$E35*$I35/12*1,0)))))+IF(BT$5&lt;&gt;$H35,0,IF(BT35&gt;0,IF($J35=10,$E35*$I35/12*0,IF($J35=11,$E35*$I35/12*1,IF($J35=12,$E35*$I35/12*2,0)))))</f>
        <v>0</v>
      </c>
      <c r="BY35" s="440">
        <f t="shared" ref="BY35:BY37" si="397">IF(AND(BT35&lt;&gt;0,BT$5=$H35),$I35*$E35-BT35,IF(BY$5=$H35,$I35*$E35*(12-$J35+1)/12,0))</f>
        <v>0</v>
      </c>
      <c r="BZ35" s="441">
        <f t="shared" ref="BZ35:BZ37" si="398">IF($H35&lt;&gt;CD$5,0,IF(CD35&gt;0,IF($J35=1,$E35*$I35/12*3,IF($J35=2,$E35*$I35/12*2,IF($J35=3,$E35*$I35/12*1,0)))))+IF(BY$5&lt;&gt;$H35,0,IF(BY35&gt;0,IF($J35=1,$E35*$I35/12*0,IF($J35=2,$E35*$I35/12*1,IF($J35=3,$E35*$I35/12*2,IF($J35&gt;=4,$E35*$I35/12*3,0))))))</f>
        <v>0</v>
      </c>
      <c r="CA35" s="442">
        <f t="shared" ref="CA35:CA37" si="399">IF($H35&lt;&gt;CD$5,0,IF(CD35&gt;0,IF(OR($J35=1,$J35=2,$J35=3,$J35=4),$E35*$I35/12*3,IF($J35=5,$E35*$I35/12*2,IF($J35=6,$E35*$I35/12*1,0)))))+IF(BY$5&lt;&gt;$H35,0,IF(BY35&gt;0,IF($J35=4,$E35*$I35/12*0,IF($J35=5,$E35*$I35/12*1,IF($J35=6,$E35*$I35/12*2,IF($J35&gt;=7,$E35*$I35/12*3,0))))))</f>
        <v>0</v>
      </c>
      <c r="CB35" s="442">
        <f t="shared" ref="CB35:CB37" si="400">IF($H35&lt;&gt;CD$5,0,IF(CD35&gt;0,IF(OR($J35=1,$J35=2,$J35=3,$J35=4,$J35=5,$J35=6,$J35=7),$E35*$I35/12*3,IF($J35=8,$E35*$I35/12*2,IF($J35=9,$E35*$I35/12*1,0)))))+IF(BY$5&lt;&gt;$H35,0,IF(BY35&gt;0,IF($J35=7,$E35*$I35/12*0,IF($J35=8,$E35*$I35/12*1,IF($J35=9,$E35*$I35/12*2,IF($J35&gt;=10,$E35*$I35/12*3,0))))))</f>
        <v>0</v>
      </c>
      <c r="CC35" s="443">
        <f t="shared" ref="CC35:CC37" si="401">IF($H35&lt;&gt;CD$5,0,IF(CD35&gt;0,IF(OR($J35=1,$J35=2,$J35=3,$J35=4,$J35=5,$J35=6,$J35=7,$J35=8,$J35=9,$J35=10),$E35*$I35/12*3,IF($J35=11,$E35*$I35/12*2,IF($J35=12,$E35*$I35/12*1,0)))))+IF(BY$5&lt;&gt;$H35,0,IF(BY35&gt;0,IF($J35=10,$E35*$I35/12*0,IF($J35=11,$E35*$I35/12*1,IF($J35=12,$E35*$I35/12*2,0)))))</f>
        <v>0</v>
      </c>
      <c r="CD35" s="440">
        <f t="shared" ref="CD35:CD37" si="402">IF(AND(BY35&lt;&gt;0,BY$5=$H35),$I35*$E35-BY35,IF(CD$5=$H35,$I35*$E35*(12-$J35+1)/12,0))</f>
        <v>0</v>
      </c>
      <c r="CE35" s="441">
        <f t="shared" ref="CE35:CE37" si="403">IF($H35&lt;&gt;CI$5,0,IF(CI35&gt;0,IF($J35=1,$E35*$I35/12*3,IF($J35=2,$E35*$I35/12*2,IF($J35=3,$E35*$I35/12*1,0)))))+IF(CD$5&lt;&gt;$H35,0,IF(CD35&gt;0,IF($J35=1,$E35*$I35/12*0,IF($J35=2,$E35*$I35/12*1,IF($J35=3,$E35*$I35/12*2,IF($J35&gt;=4,$E35*$I35/12*3,0))))))</f>
        <v>0</v>
      </c>
      <c r="CF35" s="442">
        <f t="shared" ref="CF35:CF37" si="404">IF($H35&lt;&gt;CI$5,0,IF(CI35&gt;0,IF(OR($J35=1,$J35=2,$J35=3,$J35=4),$E35*$I35/12*3,IF($J35=5,$E35*$I35/12*2,IF($J35=6,$E35*$I35/12*1,0)))))+IF(CD$5&lt;&gt;$H35,0,IF(CD35&gt;0,IF($J35=4,$E35*$I35/12*0,IF($J35=5,$E35*$I35/12*1,IF($J35=6,$E35*$I35/12*2,IF($J35&gt;=7,$E35*$I35/12*3,0))))))</f>
        <v>0</v>
      </c>
      <c r="CG35" s="442">
        <f t="shared" ref="CG35:CG37" si="405">IF($H35&lt;&gt;CI$5,0,IF(CI35&gt;0,IF(OR($J35=1,$J35=2,$J35=3,$J35=4,$J35=5,$J35=6,$J35=7),$E35*$I35/12*3,IF($J35=8,$E35*$I35/12*2,IF($J35=9,$E35*$I35/12*1,0)))))+IF(CD$5&lt;&gt;$H35,0,IF(CD35&gt;0,IF($J35=7,$E35*$I35/12*0,IF($J35=8,$E35*$I35/12*1,IF($J35=9,$E35*$I35/12*2,IF($J35&gt;=10,$E35*$I35/12*3,0))))))</f>
        <v>0</v>
      </c>
      <c r="CH35" s="443">
        <f t="shared" ref="CH35:CH37" si="406">IF($H35&lt;&gt;CI$5,0,IF(CI35&gt;0,IF(OR($J35=1,$J35=2,$J35=3,$J35=4,$J35=5,$J35=6,$J35=7,$J35=8,$J35=9,$J35=10),$E35*$I35/12*3,IF($J35=11,$E35*$I35/12*2,IF($J35=12,$E35*$I35/12*1,0)))))+IF(CD$5&lt;&gt;$H35,0,IF(CD35&gt;0,IF($J35=10,$E35*$I35/12*0,IF($J35=11,$E35*$I35/12*1,IF($J35=12,$E35*$I35/12*2,0)))))</f>
        <v>0</v>
      </c>
      <c r="CI35" s="440">
        <f t="shared" ref="CI35:CI37" si="407">IF(AND(CD35&lt;&gt;0,CD$5=$H35),$I35*$E35-CD35,IF(CI$5=$H35,$I35*$E35*(12-$J35+1)/12,0))</f>
        <v>0</v>
      </c>
      <c r="CJ35" s="441">
        <f t="shared" ref="CJ35:CJ37" si="408">IF($H35&lt;&gt;CN$5,0,IF(CN35&gt;0,IF($J35=1,$E35*$I35/12*3,IF($J35=2,$E35*$I35/12*2,IF($J35=3,$E35*$I35/12*1,0)))))+IF(CI$5&lt;&gt;$H35,0,IF(CI35&gt;0,IF($J35=1,$E35*$I35/12*0,IF($J35=2,$E35*$I35/12*1,IF($J35=3,$E35*$I35/12*2,IF($J35&gt;=4,$E35*$I35/12*3,0))))))</f>
        <v>0</v>
      </c>
      <c r="CK35" s="442">
        <f t="shared" ref="CK35:CK37" si="409">IF($H35&lt;&gt;CN$5,0,IF(CN35&gt;0,IF(OR($J35=1,$J35=2,$J35=3,$J35=4),$E35*$I35/12*3,IF($J35=5,$E35*$I35/12*2,IF($J35=6,$E35*$I35/12*1,0)))))+IF(CI$5&lt;&gt;$H35,0,IF(CI35&gt;0,IF($J35=4,$E35*$I35/12*0,IF($J35=5,$E35*$I35/12*1,IF($J35=6,$E35*$I35/12*2,IF($J35&gt;=7,$E35*$I35/12*3,0))))))</f>
        <v>0</v>
      </c>
      <c r="CL35" s="442">
        <f t="shared" ref="CL35:CL37" si="410">IF($H35&lt;&gt;CN$5,0,IF(CN35&gt;0,IF(OR($J35=1,$J35=2,$J35=3,$J35=4,$J35=5,$J35=6,$J35=7),$E35*$I35/12*3,IF($J35=8,$E35*$I35/12*2,IF($J35=9,$E35*$I35/12*1,0)))))+IF(CI$5&lt;&gt;$H35,0,IF(CI35&gt;0,IF($J35=7,$E35*$I35/12*0,IF($J35=8,$E35*$I35/12*1,IF($J35=9,$E35*$I35/12*2,IF($J35&gt;=10,$E35*$I35/12*3,0))))))</f>
        <v>0</v>
      </c>
      <c r="CM35" s="443">
        <f t="shared" ref="CM35:CM37" si="411">IF($H35&lt;&gt;CN$5,0,IF(CN35&gt;0,IF(OR($J35=1,$J35=2,$J35=3,$J35=4,$J35=5,$J35=6,$J35=7,$J35=8,$J35=9,$J35=10),$E35*$I35/12*3,IF($J35=11,$E35*$I35/12*2,IF($J35=12,$E35*$I35/12*1,0)))))+IF(CI$5&lt;&gt;$H35,0,IF(CI35&gt;0,IF($J35=10,$E35*$I35/12*0,IF($J35=11,$E35*$I35/12*1,IF($J35=12,$E35*$I35/12*2,0)))))</f>
        <v>0</v>
      </c>
      <c r="CN35" s="440">
        <f t="shared" ref="CN35:CN37" si="412">IF(AND(CI35&lt;&gt;0,CI$5=$H35),$I35*$E35-CI35,IF(CN$5=$H35,$I35*$E35*(12-$J35+1)/12,0))</f>
        <v>0</v>
      </c>
      <c r="CO35" s="441">
        <f t="shared" ref="CO35:CO37" si="413">IF($H35&lt;&gt;CS$5,0,IF(CS35&gt;0,IF($J35=1,$E35*$I35/12*3,IF($J35=2,$E35*$I35/12*2,IF($J35=3,$E35*$I35/12*1,0)))))+IF(CN$5&lt;&gt;$H35,0,IF(CN35&gt;0,IF($J35=1,$E35*$I35/12*0,IF($J35=2,$E35*$I35/12*1,IF($J35=3,$E35*$I35/12*2,IF($J35&gt;=4,$E35*$I35/12*3,0))))))</f>
        <v>0</v>
      </c>
      <c r="CP35" s="442">
        <f t="shared" ref="CP35:CP37" si="414">IF($H35&lt;&gt;CS$5,0,IF(CS35&gt;0,IF(OR($J35=1,$J35=2,$J35=3,$J35=4),$E35*$I35/12*3,IF($J35=5,$E35*$I35/12*2,IF($J35=6,$E35*$I35/12*1,0)))))+IF(CN$5&lt;&gt;$H35,0,IF(CN35&gt;0,IF($J35=4,$E35*$I35/12*0,IF($J35=5,$E35*$I35/12*1,IF($J35=6,$E35*$I35/12*2,IF($J35&gt;=7,$E35*$I35/12*3,0))))))</f>
        <v>0</v>
      </c>
      <c r="CQ35" s="442">
        <f t="shared" ref="CQ35:CQ37" si="415">IF($H35&lt;&gt;CS$5,0,IF(CS35&gt;0,IF(OR($J35=1,$J35=2,$J35=3,$J35=4,$J35=5,$J35=6,$J35=7),$E35*$I35/12*3,IF($J35=8,$E35*$I35/12*2,IF($J35=9,$E35*$I35/12*1,0)))))+IF(CN$5&lt;&gt;$H35,0,IF(CN35&gt;0,IF($J35=7,$E35*$I35/12*0,IF($J35=8,$E35*$I35/12*1,IF($J35=9,$E35*$I35/12*2,IF($J35&gt;=10,$E35*$I35/12*3,0))))))</f>
        <v>0</v>
      </c>
      <c r="CR35" s="443">
        <f t="shared" ref="CR35:CR37" si="416">IF($H35&lt;&gt;CS$5,0,IF(CS35&gt;0,IF(OR($J35=1,$J35=2,$J35=3,$J35=4,$J35=5,$J35=6,$J35=7,$J35=8,$J35=9,$J35=10),$E35*$I35/12*3,IF($J35=11,$E35*$I35/12*2,IF($J35=12,$E35*$I35/12*1,0)))))+IF(CN$5&lt;&gt;$H35,0,IF(CN35&gt;0,IF($J35=10,$E35*$I35/12*0,IF($J35=11,$E35*$I35/12*1,IF($J35=12,$E35*$I35/12*2,0)))))</f>
        <v>0</v>
      </c>
      <c r="CS35" s="440">
        <f t="shared" ref="CS35:CS37" si="417">IF(AND(CN35&lt;&gt;0,CN$5=$H35),$I35*$E35-CN35,IF(CS$5=$H35,$I35*$E35*(12-$J35+1)/12,0))</f>
        <v>0</v>
      </c>
      <c r="CT35" s="441">
        <f t="shared" ref="CT35:CT37" si="418">IF($H35&lt;&gt;CX$5,0,IF(CX35&gt;0,IF($J35=1,$E35*$I35/12*3,IF($J35=2,$E35*$I35/12*2,IF($J35=3,$E35*$I35/12*1,0)))))+IF(CS$5&lt;&gt;$H35,0,IF(CS35&gt;0,IF($J35=1,$E35*$I35/12*0,IF($J35=2,$E35*$I35/12*1,IF($J35=3,$E35*$I35/12*2,IF($J35&gt;=4,$E35*$I35/12*3,0))))))</f>
        <v>0</v>
      </c>
      <c r="CU35" s="442">
        <f t="shared" ref="CU35:CU37" si="419">IF($H35&lt;&gt;CX$5,0,IF(CX35&gt;0,IF(OR($J35=1,$J35=2,$J35=3,$J35=4),$E35*$I35/12*3,IF($J35=5,$E35*$I35/12*2,IF($J35=6,$E35*$I35/12*1,0)))))+IF(CS$5&lt;&gt;$H35,0,IF(CS35&gt;0,IF($J35=4,$E35*$I35/12*0,IF($J35=5,$E35*$I35/12*1,IF($J35=6,$E35*$I35/12*2,IF($J35&gt;=7,$E35*$I35/12*3,0))))))</f>
        <v>1.1875</v>
      </c>
      <c r="CV35" s="442">
        <f t="shared" ref="CV35:CV37" si="420">IF($H35&lt;&gt;CX$5,0,IF(CX35&gt;0,IF(OR($J35=1,$J35=2,$J35=3,$J35=4,$J35=5,$J35=6,$J35=7),$E35*$I35/12*3,IF($J35=8,$E35*$I35/12*2,IF($J35=9,$E35*$I35/12*1,0)))))+IF(CS$5&lt;&gt;$H35,0,IF(CS35&gt;0,IF($J35=7,$E35*$I35/12*0,IF($J35=8,$E35*$I35/12*1,IF($J35=9,$E35*$I35/12*2,IF($J35&gt;=10,$E35*$I35/12*3,0))))))</f>
        <v>3.5625</v>
      </c>
      <c r="CW35" s="443">
        <f t="shared" ref="CW35:CW37" si="421">IF($H35&lt;&gt;CX$5,0,IF(CX35&gt;0,IF(OR($J35=1,$J35=2,$J35=3,$J35=4,$J35=5,$J35=6,$J35=7,$J35=8,$J35=9,$J35=10),$E35*$I35/12*3,IF($J35=11,$E35*$I35/12*2,IF($J35=12,$E35*$I35/12*1,0)))))+IF(CS$5&lt;&gt;$H35,0,IF(CS35&gt;0,IF($J35=10,$E35*$I35/12*0,IF($J35=11,$E35*$I35/12*1,IF($J35=12,$E35*$I35/12*2,0)))))</f>
        <v>3.5625</v>
      </c>
      <c r="CX35" s="440">
        <f t="shared" ref="CX35:CX37" si="422">IF(AND(CS35&lt;&gt;0,CS$5=$H35),$I35*$E35-CS35,IF(CX$5=$H35,$I35*$E35*(12-$J35+1)/12,0))</f>
        <v>8.3125</v>
      </c>
      <c r="CY35" s="441">
        <f t="shared" ref="CY35:CY37" si="423">IF($H35&lt;&gt;DC$5,0,IF(DC35&gt;0,IF($J35=1,$E35*$I35/12*3,IF($J35=2,$E35*$I35/12*2,IF($J35=3,$E35*$I35/12*1,0)))))+IF(CX$5&lt;&gt;$H35,0,IF(CX35&gt;0,IF($J35=1,$E35*$I35/12*0,IF($J35=2,$E35*$I35/12*1,IF($J35=3,$E35*$I35/12*2,IF($J35&gt;=4,$E35*$I35/12*3,0))))))</f>
        <v>3.5625</v>
      </c>
      <c r="CZ35" s="442">
        <f t="shared" ref="CZ35:CZ37" si="424">IF($H35&lt;&gt;DC$5,0,IF(DC35&gt;0,IF(OR($J35=1,$J35=2,$J35=3,$J35=4),$E35*$I35/12*3,IF($J35=5,$E35*$I35/12*2,IF($J35=6,$E35*$I35/12*1,0)))))+IF(CX$5&lt;&gt;$H35,0,IF(CX35&gt;0,IF($J35=4,$E35*$I35/12*0,IF($J35=5,$E35*$I35/12*1,IF($J35=6,$E35*$I35/12*2,IF($J35&gt;=7,$E35*$I35/12*3,0))))))</f>
        <v>2.375</v>
      </c>
      <c r="DA35" s="442">
        <f t="shared" ref="DA35:DA37" si="425">IF($H35&lt;&gt;DC$5,0,IF(DC35&gt;0,IF(OR($J35=1,$J35=2,$J35=3,$J35=4,$J35=5,$J35=6,$J35=7),$E35*$I35/12*3,IF($J35=8,$E35*$I35/12*2,IF($J35=9,$E35*$I35/12*1,0)))))+IF(CX$5&lt;&gt;$H35,0,IF(CX35&gt;0,IF($J35=7,$E35*$I35/12*0,IF($J35=8,$E35*$I35/12*1,IF($J35=9,$E35*$I35/12*2,IF($J35&gt;=10,$E35*$I35/12*3,0))))))</f>
        <v>0</v>
      </c>
      <c r="DB35" s="443">
        <f t="shared" ref="DB35:DB37" si="426">IF($H35&lt;&gt;DC$5,0,IF(DC35&gt;0,IF(OR($J35=1,$J35=2,$J35=3,$J35=4,$J35=5,$J35=6,$J35=7,$J35=8,$J35=9,$J35=10),$E35*$I35/12*3,IF($J35=11,$E35*$I35/12*2,IF($J35=12,$E35*$I35/12*1,0)))))+IF(CX$5&lt;&gt;$H35,0,IF(CX35&gt;0,IF($J35=10,$E35*$I35/12*0,IF($J35=11,$E35*$I35/12*1,IF($J35=12,$E35*$I35/12*2,0)))))</f>
        <v>0</v>
      </c>
      <c r="DC35" s="440">
        <f t="shared" ref="DC35:DC37" si="427">IF(AND(CX35&lt;&gt;0,CX$5=$H35),$I35*$E35-CX35,IF(DC$5=$H35,$I35*$E35*(12-$J35+1)/12,0))</f>
        <v>5.9375</v>
      </c>
      <c r="DD35" s="441">
        <f t="shared" ref="DD35:DD37" si="428">IF($H35&lt;&gt;DH$5,0,IF(DH35&gt;0,IF($J35=1,$E35*$I35/12*3,IF($J35=2,$E35*$I35/12*2,IF($J35=3,$E35*$I35/12*1,0)))))+IF(DC$5&lt;&gt;$H35,0,IF(DC35&gt;0,IF($J35=1,$E35*$I35/12*0,IF($J35=2,$E35*$I35/12*1,IF($J35=3,$E35*$I35/12*2,IF($J35&gt;=4,$E35*$I35/12*3,0))))))</f>
        <v>0</v>
      </c>
      <c r="DE35" s="442">
        <f t="shared" ref="DE35:DE37" si="429">IF($H35&lt;&gt;DH$5,0,IF(DH35&gt;0,IF(OR($J35=1,$J35=2,$J35=3,$J35=4),$E35*$I35/12*3,IF($J35=5,$E35*$I35/12*2,IF($J35=6,$E35*$I35/12*1,0)))))+IF(DC$5&lt;&gt;$H35,0,IF(DC35&gt;0,IF($J35=4,$E35*$I35/12*0,IF($J35=5,$E35*$I35/12*1,IF($J35=6,$E35*$I35/12*2,IF($J35&gt;=7,$E35*$I35/12*3,0))))))</f>
        <v>0</v>
      </c>
      <c r="DF35" s="442">
        <f t="shared" ref="DF35:DF37" si="430">IF($H35&lt;&gt;DH$5,0,IF(DH35&gt;0,IF(OR($J35=1,$J35=2,$J35=3,$J35=4,$J35=5,$J35=6,$J35=7),$E35*$I35/12*3,IF($J35=8,$E35*$I35/12*2,IF($J35=9,$E35*$I35/12*1,0)))))+IF(DC$5&lt;&gt;$H35,0,IF(DC35&gt;0,IF($J35=7,$E35*$I35/12*0,IF($J35=8,$E35*$I35/12*1,IF($J35=9,$E35*$I35/12*2,IF($J35&gt;=10,$E35*$I35/12*3,0))))))</f>
        <v>0</v>
      </c>
      <c r="DG35" s="443">
        <f t="shared" ref="DG35:DG37" si="431">IF($H35&lt;&gt;DH$5,0,IF(DH35&gt;0,IF(OR($J35=1,$J35=2,$J35=3,$J35=4,$J35=5,$J35=6,$J35=7,$J35=8,$J35=9,$J35=10),$E35*$I35/12*3,IF($J35=11,$E35*$I35/12*2,IF($J35=12,$E35*$I35/12*1,0)))))+IF(DC$5&lt;&gt;$H35,0,IF(DC35&gt;0,IF($J35=10,$E35*$I35/12*0,IF($J35=11,$E35*$I35/12*1,IF($J35=12,$E35*$I35/12*2,0)))))</f>
        <v>0</v>
      </c>
      <c r="DH35" s="440">
        <f t="shared" ref="DH35:DH37" si="432">IF(AND(DC35&lt;&gt;0,DC$5=$H35),$I35*$E35-DC35,IF(DH$5=$H35,$I35*$E35*(12-$J35+1)/12,0))</f>
        <v>0</v>
      </c>
      <c r="DI35" s="441">
        <f t="shared" ref="DI35:DI37" si="433">IF($H35&lt;&gt;DM$5,0,IF(DM35&gt;0,IF($J35=1,$E35*$I35/12*3,IF($J35=2,$E35*$I35/12*2,IF($J35=3,$E35*$I35/12*1,0)))))+IF(DH$5&lt;&gt;$H35,0,IF(DH35&gt;0,IF($J35=1,$E35*$I35/12*0,IF($J35=2,$E35*$I35/12*1,IF($J35=3,$E35*$I35/12*2,IF($J35&gt;=4,$E35*$I35/12*3,0))))))</f>
        <v>0</v>
      </c>
      <c r="DJ35" s="442">
        <f t="shared" ref="DJ35:DJ37" si="434">IF($H35&lt;&gt;DM$5,0,IF(DM35&gt;0,IF(OR($J35=1,$J35=2,$J35=3,$J35=4),$E35*$I35/12*3,IF($J35=5,$E35*$I35/12*2,IF($J35=6,$E35*$I35/12*1,0)))))+IF(DH$5&lt;&gt;$H35,0,IF(DH35&gt;0,IF($J35=4,$E35*$I35/12*0,IF($J35=5,$E35*$I35/12*1,IF($J35=6,$E35*$I35/12*2,IF($J35&gt;=7,$E35*$I35/12*3,0))))))</f>
        <v>0</v>
      </c>
      <c r="DK35" s="442">
        <f t="shared" ref="DK35:DK37" si="435">IF($H35&lt;&gt;DM$5,0,IF(DM35&gt;0,IF(OR($J35=1,$J35=2,$J35=3,$J35=4,$J35=5,$J35=6,$J35=7),$E35*$I35/12*3,IF($J35=8,$E35*$I35/12*2,IF($J35=9,$E35*$I35/12*1,0)))))+IF(DH$5&lt;&gt;$H35,0,IF(DH35&gt;0,IF($J35=7,$E35*$I35/12*0,IF($J35=8,$E35*$I35/12*1,IF($J35=9,$E35*$I35/12*2,IF($J35&gt;=10,$E35*$I35/12*3,0))))))</f>
        <v>0</v>
      </c>
      <c r="DL35" s="443">
        <f t="shared" ref="DL35:DL37" si="436">IF($H35&lt;&gt;DM$5,0,IF(DM35&gt;0,IF(OR($J35=1,$J35=2,$J35=3,$J35=4,$J35=5,$J35=6,$J35=7,$J35=8,$J35=9,$J35=10),$E35*$I35/12*3,IF($J35=11,$E35*$I35/12*2,IF($J35=12,$E35*$I35/12*1,0)))))+IF(DH$5&lt;&gt;$H35,0,IF(DH35&gt;0,IF($J35=10,$E35*$I35/12*0,IF($J35=11,$E35*$I35/12*1,IF($J35=12,$E35*$I35/12*2,0)))))</f>
        <v>0</v>
      </c>
      <c r="DM35" s="440">
        <f t="shared" ref="DM35:DM37" si="437">IF(AND(DH35&lt;&gt;0,DH$5=$H35),$I35*$E35-DH35,IF(DM$5=$H35,$I35*$E35*(12-$J35+1)/12,0))</f>
        <v>0</v>
      </c>
      <c r="DN35" s="441">
        <f t="shared" ref="DN35:DN37" si="438">IF($H35&lt;&gt;DR$5,0,IF(DR35&gt;0,IF($J35=1,$E35*$I35/12*3,IF($J35=2,$E35*$I35/12*2,IF($J35=3,$E35*$I35/12*1,0)))))+IF(DM$5&lt;&gt;$H35,0,IF(DM35&gt;0,IF($J35=1,$E35*$I35/12*0,IF($J35=2,$E35*$I35/12*1,IF($J35=3,$E35*$I35/12*2,IF($J35&gt;=4,$E35*$I35/12*3,0))))))</f>
        <v>0</v>
      </c>
      <c r="DO35" s="442">
        <f t="shared" ref="DO35:DO37" si="439">IF($H35&lt;&gt;DR$5,0,IF(DR35&gt;0,IF(OR($J35=1,$J35=2,$J35=3,$J35=4),$E35*$I35/12*3,IF($J35=5,$E35*$I35/12*2,IF($J35=6,$E35*$I35/12*1,0)))))+IF(DM$5&lt;&gt;$H35,0,IF(DM35&gt;0,IF($J35=4,$E35*$I35/12*0,IF($J35=5,$E35*$I35/12*1,IF($J35=6,$E35*$I35/12*2,IF($J35&gt;=7,$E35*$I35/12*3,0))))))</f>
        <v>0</v>
      </c>
      <c r="DP35" s="442">
        <f t="shared" ref="DP35:DP37" si="440">IF($H35&lt;&gt;DR$5,0,IF(DR35&gt;0,IF(OR($J35=1,$J35=2,$J35=3,$J35=4,$J35=5,$J35=6,$J35=7),$E35*$I35/12*3,IF($J35=8,$E35*$I35/12*2,IF($J35=9,$E35*$I35/12*1,0)))))+IF(DM$5&lt;&gt;$H35,0,IF(DM35&gt;0,IF($J35=7,$E35*$I35/12*0,IF($J35=8,$E35*$I35/12*1,IF($J35=9,$E35*$I35/12*2,IF($J35&gt;=10,$E35*$I35/12*3,0))))))</f>
        <v>0</v>
      </c>
      <c r="DQ35" s="443">
        <f t="shared" ref="DQ35:DQ37" si="441">IF($H35&lt;&gt;DR$5,0,IF(DR35&gt;0,IF(OR($J35=1,$J35=2,$J35=3,$J35=4,$J35=5,$J35=6,$J35=7,$J35=8,$J35=9,$J35=10),$E35*$I35/12*3,IF($J35=11,$E35*$I35/12*2,IF($J35=12,$E35*$I35/12*1,0)))))+IF(DM$5&lt;&gt;$H35,0,IF(DM35&gt;0,IF($J35=10,$E35*$I35/12*0,IF($J35=11,$E35*$I35/12*1,IF($J35=12,$E35*$I35/12*2,0)))))</f>
        <v>0</v>
      </c>
      <c r="DR35" s="440">
        <f t="shared" ref="DR35:DR37" si="442">IF(AND(DM35&lt;&gt;0,DM$5=$H35),$I35*$E35-DM35,IF(DR$5=$H35,$I35*$E35*(12-$J35+1)/12,0))</f>
        <v>0</v>
      </c>
    </row>
    <row r="36" spans="1:122" ht="12.75" customHeight="1">
      <c r="A36" s="92"/>
      <c r="B36" s="92"/>
      <c r="C36" s="27" t="s">
        <v>1202</v>
      </c>
      <c r="D36" s="574"/>
      <c r="E36" s="1355">
        <v>1500</v>
      </c>
      <c r="F36" s="559"/>
      <c r="G36" s="559"/>
      <c r="H36" s="1308">
        <v>2017</v>
      </c>
      <c r="I36" s="1354">
        <v>3.9E-2</v>
      </c>
      <c r="J36" s="1749">
        <v>6</v>
      </c>
      <c r="K36" s="528"/>
      <c r="L36" s="441"/>
      <c r="M36" s="442"/>
      <c r="N36" s="442"/>
      <c r="O36" s="443"/>
      <c r="P36" s="440">
        <f t="shared" si="242"/>
        <v>0</v>
      </c>
      <c r="Q36" s="441">
        <f t="shared" si="348"/>
        <v>0</v>
      </c>
      <c r="R36" s="442">
        <f t="shared" si="349"/>
        <v>0</v>
      </c>
      <c r="S36" s="442">
        <f t="shared" si="350"/>
        <v>0</v>
      </c>
      <c r="T36" s="443">
        <f t="shared" si="351"/>
        <v>0</v>
      </c>
      <c r="U36" s="440">
        <f t="shared" si="247"/>
        <v>0</v>
      </c>
      <c r="V36" s="441">
        <f t="shared" si="352"/>
        <v>0</v>
      </c>
      <c r="W36" s="442">
        <f t="shared" si="353"/>
        <v>0</v>
      </c>
      <c r="X36" s="442">
        <f t="shared" si="354"/>
        <v>0</v>
      </c>
      <c r="Y36" s="443">
        <f t="shared" si="355"/>
        <v>0</v>
      </c>
      <c r="Z36" s="440">
        <f t="shared" si="252"/>
        <v>0</v>
      </c>
      <c r="AA36" s="441">
        <f t="shared" si="356"/>
        <v>0</v>
      </c>
      <c r="AB36" s="442">
        <f t="shared" si="357"/>
        <v>0</v>
      </c>
      <c r="AC36" s="442">
        <f t="shared" si="358"/>
        <v>0</v>
      </c>
      <c r="AD36" s="443">
        <f t="shared" si="359"/>
        <v>0</v>
      </c>
      <c r="AE36" s="440">
        <f t="shared" si="257"/>
        <v>0</v>
      </c>
      <c r="AF36" s="441">
        <f t="shared" si="360"/>
        <v>0</v>
      </c>
      <c r="AG36" s="442">
        <f t="shared" si="361"/>
        <v>0</v>
      </c>
      <c r="AH36" s="442">
        <f t="shared" si="362"/>
        <v>0</v>
      </c>
      <c r="AI36" s="443">
        <f t="shared" si="363"/>
        <v>0</v>
      </c>
      <c r="AJ36" s="440">
        <f t="shared" si="262"/>
        <v>0</v>
      </c>
      <c r="AK36" s="441">
        <f t="shared" si="364"/>
        <v>0</v>
      </c>
      <c r="AL36" s="442">
        <f t="shared" si="365"/>
        <v>0</v>
      </c>
      <c r="AM36" s="442">
        <f t="shared" si="366"/>
        <v>0</v>
      </c>
      <c r="AN36" s="443">
        <f t="shared" si="367"/>
        <v>0</v>
      </c>
      <c r="AO36" s="440">
        <f t="shared" si="267"/>
        <v>0</v>
      </c>
      <c r="AP36" s="441">
        <f t="shared" si="368"/>
        <v>0</v>
      </c>
      <c r="AQ36" s="442">
        <f t="shared" si="369"/>
        <v>1500</v>
      </c>
      <c r="AR36" s="442">
        <f t="shared" si="370"/>
        <v>0</v>
      </c>
      <c r="AS36" s="443">
        <f t="shared" si="371"/>
        <v>0</v>
      </c>
      <c r="AT36" s="440">
        <f t="shared" si="272"/>
        <v>1500</v>
      </c>
      <c r="AU36" s="441">
        <f t="shared" si="372"/>
        <v>0</v>
      </c>
      <c r="AV36" s="442">
        <f t="shared" si="373"/>
        <v>0</v>
      </c>
      <c r="AW36" s="442">
        <f t="shared" si="374"/>
        <v>0</v>
      </c>
      <c r="AX36" s="443">
        <f t="shared" si="375"/>
        <v>0</v>
      </c>
      <c r="AY36" s="440">
        <f t="shared" si="277"/>
        <v>0</v>
      </c>
      <c r="AZ36" s="441">
        <f t="shared" si="376"/>
        <v>0</v>
      </c>
      <c r="BA36" s="442">
        <f t="shared" si="377"/>
        <v>0</v>
      </c>
      <c r="BB36" s="442">
        <f t="shared" si="378"/>
        <v>0</v>
      </c>
      <c r="BC36" s="443">
        <f t="shared" si="379"/>
        <v>0</v>
      </c>
      <c r="BD36" s="440">
        <f t="shared" si="282"/>
        <v>0</v>
      </c>
      <c r="BE36" s="441">
        <f t="shared" si="380"/>
        <v>0</v>
      </c>
      <c r="BF36" s="442">
        <f t="shared" si="381"/>
        <v>0</v>
      </c>
      <c r="BG36" s="442">
        <f t="shared" si="382"/>
        <v>0</v>
      </c>
      <c r="BH36" s="443">
        <f t="shared" si="383"/>
        <v>0</v>
      </c>
      <c r="BI36" s="440">
        <f t="shared" si="287"/>
        <v>0</v>
      </c>
      <c r="BJ36" s="441">
        <f t="shared" si="384"/>
        <v>0</v>
      </c>
      <c r="BK36" s="442">
        <f t="shared" si="385"/>
        <v>0</v>
      </c>
      <c r="BL36" s="442">
        <f t="shared" si="386"/>
        <v>0</v>
      </c>
      <c r="BM36" s="443">
        <f t="shared" si="387"/>
        <v>0</v>
      </c>
      <c r="BN36" s="440">
        <f t="shared" si="292"/>
        <v>0</v>
      </c>
      <c r="BO36" s="463"/>
      <c r="BP36" s="441">
        <f t="shared" si="388"/>
        <v>0</v>
      </c>
      <c r="BQ36" s="442">
        <f t="shared" si="389"/>
        <v>0</v>
      </c>
      <c r="BR36" s="442">
        <f t="shared" si="390"/>
        <v>0</v>
      </c>
      <c r="BS36" s="443">
        <f t="shared" si="391"/>
        <v>0</v>
      </c>
      <c r="BT36" s="440">
        <f t="shared" si="392"/>
        <v>0</v>
      </c>
      <c r="BU36" s="441">
        <f t="shared" si="393"/>
        <v>0</v>
      </c>
      <c r="BV36" s="442">
        <f t="shared" si="394"/>
        <v>0</v>
      </c>
      <c r="BW36" s="442">
        <f t="shared" si="395"/>
        <v>0</v>
      </c>
      <c r="BX36" s="443">
        <f t="shared" si="396"/>
        <v>0</v>
      </c>
      <c r="BY36" s="440">
        <f t="shared" si="397"/>
        <v>0</v>
      </c>
      <c r="BZ36" s="441">
        <f t="shared" si="398"/>
        <v>0</v>
      </c>
      <c r="CA36" s="442">
        <f t="shared" si="399"/>
        <v>0</v>
      </c>
      <c r="CB36" s="442">
        <f t="shared" si="400"/>
        <v>0</v>
      </c>
      <c r="CC36" s="443">
        <f t="shared" si="401"/>
        <v>0</v>
      </c>
      <c r="CD36" s="440">
        <f t="shared" si="402"/>
        <v>0</v>
      </c>
      <c r="CE36" s="441">
        <f t="shared" si="403"/>
        <v>0</v>
      </c>
      <c r="CF36" s="442">
        <f t="shared" si="404"/>
        <v>0</v>
      </c>
      <c r="CG36" s="442">
        <f t="shared" si="405"/>
        <v>0</v>
      </c>
      <c r="CH36" s="443">
        <f t="shared" si="406"/>
        <v>0</v>
      </c>
      <c r="CI36" s="440">
        <f t="shared" si="407"/>
        <v>0</v>
      </c>
      <c r="CJ36" s="441">
        <f t="shared" si="408"/>
        <v>0</v>
      </c>
      <c r="CK36" s="442">
        <f t="shared" si="409"/>
        <v>0</v>
      </c>
      <c r="CL36" s="442">
        <f t="shared" si="410"/>
        <v>0</v>
      </c>
      <c r="CM36" s="443">
        <f t="shared" si="411"/>
        <v>0</v>
      </c>
      <c r="CN36" s="440">
        <f t="shared" si="412"/>
        <v>0</v>
      </c>
      <c r="CO36" s="441">
        <f t="shared" si="413"/>
        <v>0</v>
      </c>
      <c r="CP36" s="442">
        <f t="shared" si="414"/>
        <v>0</v>
      </c>
      <c r="CQ36" s="442">
        <f t="shared" si="415"/>
        <v>0</v>
      </c>
      <c r="CR36" s="443">
        <f t="shared" si="416"/>
        <v>0</v>
      </c>
      <c r="CS36" s="440">
        <f t="shared" si="417"/>
        <v>0</v>
      </c>
      <c r="CT36" s="441">
        <f t="shared" si="418"/>
        <v>0</v>
      </c>
      <c r="CU36" s="442">
        <f t="shared" si="419"/>
        <v>4.875</v>
      </c>
      <c r="CV36" s="442">
        <f t="shared" si="420"/>
        <v>14.625</v>
      </c>
      <c r="CW36" s="443">
        <f t="shared" si="421"/>
        <v>14.625</v>
      </c>
      <c r="CX36" s="440">
        <f t="shared" si="422"/>
        <v>34.125</v>
      </c>
      <c r="CY36" s="441">
        <f t="shared" si="423"/>
        <v>14.625</v>
      </c>
      <c r="CZ36" s="442">
        <f t="shared" si="424"/>
        <v>9.75</v>
      </c>
      <c r="DA36" s="442">
        <f t="shared" si="425"/>
        <v>0</v>
      </c>
      <c r="DB36" s="443">
        <f t="shared" si="426"/>
        <v>0</v>
      </c>
      <c r="DC36" s="440">
        <f t="shared" si="427"/>
        <v>24.375</v>
      </c>
      <c r="DD36" s="441">
        <f t="shared" si="428"/>
        <v>0</v>
      </c>
      <c r="DE36" s="442">
        <f t="shared" si="429"/>
        <v>0</v>
      </c>
      <c r="DF36" s="442">
        <f t="shared" si="430"/>
        <v>0</v>
      </c>
      <c r="DG36" s="443">
        <f t="shared" si="431"/>
        <v>0</v>
      </c>
      <c r="DH36" s="440">
        <f t="shared" si="432"/>
        <v>0</v>
      </c>
      <c r="DI36" s="441">
        <f t="shared" si="433"/>
        <v>0</v>
      </c>
      <c r="DJ36" s="442">
        <f t="shared" si="434"/>
        <v>0</v>
      </c>
      <c r="DK36" s="442">
        <f t="shared" si="435"/>
        <v>0</v>
      </c>
      <c r="DL36" s="443">
        <f t="shared" si="436"/>
        <v>0</v>
      </c>
      <c r="DM36" s="440">
        <f t="shared" si="437"/>
        <v>0</v>
      </c>
      <c r="DN36" s="441">
        <f t="shared" si="438"/>
        <v>0</v>
      </c>
      <c r="DO36" s="442">
        <f t="shared" si="439"/>
        <v>0</v>
      </c>
      <c r="DP36" s="442">
        <f t="shared" si="440"/>
        <v>0</v>
      </c>
      <c r="DQ36" s="443">
        <f t="shared" si="441"/>
        <v>0</v>
      </c>
      <c r="DR36" s="440">
        <f t="shared" si="442"/>
        <v>0</v>
      </c>
    </row>
    <row r="37" spans="1:122" ht="12.75" customHeight="1">
      <c r="A37" s="92"/>
      <c r="B37" s="92"/>
      <c r="C37" s="27" t="s">
        <v>1203</v>
      </c>
      <c r="D37" s="574"/>
      <c r="E37" s="1355">
        <v>1000</v>
      </c>
      <c r="F37" s="559"/>
      <c r="G37" s="559"/>
      <c r="H37" s="1308">
        <v>2017</v>
      </c>
      <c r="I37" s="1354">
        <v>4.8500000000000001E-2</v>
      </c>
      <c r="J37" s="1749">
        <v>6</v>
      </c>
      <c r="K37" s="528"/>
      <c r="L37" s="441"/>
      <c r="M37" s="442"/>
      <c r="N37" s="442"/>
      <c r="O37" s="443"/>
      <c r="P37" s="440">
        <f t="shared" si="242"/>
        <v>0</v>
      </c>
      <c r="Q37" s="441">
        <f t="shared" si="348"/>
        <v>0</v>
      </c>
      <c r="R37" s="442">
        <f t="shared" si="349"/>
        <v>0</v>
      </c>
      <c r="S37" s="442">
        <f t="shared" si="350"/>
        <v>0</v>
      </c>
      <c r="T37" s="443">
        <f t="shared" si="351"/>
        <v>0</v>
      </c>
      <c r="U37" s="440">
        <f t="shared" si="247"/>
        <v>0</v>
      </c>
      <c r="V37" s="441">
        <f t="shared" si="352"/>
        <v>0</v>
      </c>
      <c r="W37" s="442">
        <f t="shared" si="353"/>
        <v>0</v>
      </c>
      <c r="X37" s="442">
        <f t="shared" si="354"/>
        <v>0</v>
      </c>
      <c r="Y37" s="443">
        <f t="shared" si="355"/>
        <v>0</v>
      </c>
      <c r="Z37" s="440">
        <f t="shared" si="252"/>
        <v>0</v>
      </c>
      <c r="AA37" s="441">
        <f t="shared" si="356"/>
        <v>0</v>
      </c>
      <c r="AB37" s="442">
        <f t="shared" si="357"/>
        <v>0</v>
      </c>
      <c r="AC37" s="442">
        <f t="shared" si="358"/>
        <v>0</v>
      </c>
      <c r="AD37" s="443">
        <f t="shared" si="359"/>
        <v>0</v>
      </c>
      <c r="AE37" s="440">
        <f t="shared" si="257"/>
        <v>0</v>
      </c>
      <c r="AF37" s="441">
        <f t="shared" si="360"/>
        <v>0</v>
      </c>
      <c r="AG37" s="442">
        <f t="shared" si="361"/>
        <v>0</v>
      </c>
      <c r="AH37" s="442">
        <f t="shared" si="362"/>
        <v>0</v>
      </c>
      <c r="AI37" s="443">
        <f t="shared" si="363"/>
        <v>0</v>
      </c>
      <c r="AJ37" s="440">
        <f t="shared" si="262"/>
        <v>0</v>
      </c>
      <c r="AK37" s="441">
        <f t="shared" si="364"/>
        <v>0</v>
      </c>
      <c r="AL37" s="442">
        <f t="shared" si="365"/>
        <v>0</v>
      </c>
      <c r="AM37" s="442">
        <f t="shared" si="366"/>
        <v>0</v>
      </c>
      <c r="AN37" s="443">
        <f t="shared" si="367"/>
        <v>0</v>
      </c>
      <c r="AO37" s="440">
        <f t="shared" si="267"/>
        <v>0</v>
      </c>
      <c r="AP37" s="441">
        <f t="shared" si="368"/>
        <v>0</v>
      </c>
      <c r="AQ37" s="442">
        <f t="shared" si="369"/>
        <v>1000</v>
      </c>
      <c r="AR37" s="442">
        <f t="shared" si="370"/>
        <v>0</v>
      </c>
      <c r="AS37" s="443">
        <f t="shared" si="371"/>
        <v>0</v>
      </c>
      <c r="AT37" s="440">
        <f t="shared" si="272"/>
        <v>1000</v>
      </c>
      <c r="AU37" s="441">
        <f t="shared" si="372"/>
        <v>0</v>
      </c>
      <c r="AV37" s="442">
        <f t="shared" si="373"/>
        <v>0</v>
      </c>
      <c r="AW37" s="442">
        <f t="shared" si="374"/>
        <v>0</v>
      </c>
      <c r="AX37" s="443">
        <f t="shared" si="375"/>
        <v>0</v>
      </c>
      <c r="AY37" s="440">
        <f t="shared" si="277"/>
        <v>0</v>
      </c>
      <c r="AZ37" s="441">
        <f t="shared" si="376"/>
        <v>0</v>
      </c>
      <c r="BA37" s="442">
        <f t="shared" si="377"/>
        <v>0</v>
      </c>
      <c r="BB37" s="442">
        <f t="shared" si="378"/>
        <v>0</v>
      </c>
      <c r="BC37" s="443">
        <f t="shared" si="379"/>
        <v>0</v>
      </c>
      <c r="BD37" s="440">
        <f t="shared" si="282"/>
        <v>0</v>
      </c>
      <c r="BE37" s="441">
        <f t="shared" si="380"/>
        <v>0</v>
      </c>
      <c r="BF37" s="442">
        <f t="shared" si="381"/>
        <v>0</v>
      </c>
      <c r="BG37" s="442">
        <f t="shared" si="382"/>
        <v>0</v>
      </c>
      <c r="BH37" s="443">
        <f t="shared" si="383"/>
        <v>0</v>
      </c>
      <c r="BI37" s="440">
        <f t="shared" si="287"/>
        <v>0</v>
      </c>
      <c r="BJ37" s="441">
        <f t="shared" si="384"/>
        <v>0</v>
      </c>
      <c r="BK37" s="442">
        <f t="shared" si="385"/>
        <v>0</v>
      </c>
      <c r="BL37" s="442">
        <f t="shared" si="386"/>
        <v>0</v>
      </c>
      <c r="BM37" s="443">
        <f t="shared" si="387"/>
        <v>0</v>
      </c>
      <c r="BN37" s="440">
        <f t="shared" si="292"/>
        <v>0</v>
      </c>
      <c r="BO37" s="463"/>
      <c r="BP37" s="441">
        <f t="shared" si="388"/>
        <v>0</v>
      </c>
      <c r="BQ37" s="442">
        <f t="shared" si="389"/>
        <v>0</v>
      </c>
      <c r="BR37" s="442">
        <f t="shared" si="390"/>
        <v>0</v>
      </c>
      <c r="BS37" s="443">
        <f t="shared" si="391"/>
        <v>0</v>
      </c>
      <c r="BT37" s="440">
        <f t="shared" si="392"/>
        <v>0</v>
      </c>
      <c r="BU37" s="441">
        <f t="shared" si="393"/>
        <v>0</v>
      </c>
      <c r="BV37" s="442">
        <f t="shared" si="394"/>
        <v>0</v>
      </c>
      <c r="BW37" s="442">
        <f t="shared" si="395"/>
        <v>0</v>
      </c>
      <c r="BX37" s="443">
        <f t="shared" si="396"/>
        <v>0</v>
      </c>
      <c r="BY37" s="440">
        <f t="shared" si="397"/>
        <v>0</v>
      </c>
      <c r="BZ37" s="441">
        <f t="shared" si="398"/>
        <v>0</v>
      </c>
      <c r="CA37" s="442">
        <f t="shared" si="399"/>
        <v>0</v>
      </c>
      <c r="CB37" s="442">
        <f t="shared" si="400"/>
        <v>0</v>
      </c>
      <c r="CC37" s="443">
        <f t="shared" si="401"/>
        <v>0</v>
      </c>
      <c r="CD37" s="440">
        <f t="shared" si="402"/>
        <v>0</v>
      </c>
      <c r="CE37" s="441">
        <f t="shared" si="403"/>
        <v>0</v>
      </c>
      <c r="CF37" s="442">
        <f t="shared" si="404"/>
        <v>0</v>
      </c>
      <c r="CG37" s="442">
        <f t="shared" si="405"/>
        <v>0</v>
      </c>
      <c r="CH37" s="443">
        <f t="shared" si="406"/>
        <v>0</v>
      </c>
      <c r="CI37" s="440">
        <f t="shared" si="407"/>
        <v>0</v>
      </c>
      <c r="CJ37" s="441">
        <f t="shared" si="408"/>
        <v>0</v>
      </c>
      <c r="CK37" s="442">
        <f t="shared" si="409"/>
        <v>0</v>
      </c>
      <c r="CL37" s="442">
        <f t="shared" si="410"/>
        <v>0</v>
      </c>
      <c r="CM37" s="443">
        <f t="shared" si="411"/>
        <v>0</v>
      </c>
      <c r="CN37" s="440">
        <f t="shared" si="412"/>
        <v>0</v>
      </c>
      <c r="CO37" s="441">
        <f t="shared" si="413"/>
        <v>0</v>
      </c>
      <c r="CP37" s="442">
        <f t="shared" si="414"/>
        <v>0</v>
      </c>
      <c r="CQ37" s="442">
        <f t="shared" si="415"/>
        <v>0</v>
      </c>
      <c r="CR37" s="443">
        <f t="shared" si="416"/>
        <v>0</v>
      </c>
      <c r="CS37" s="440">
        <f t="shared" si="417"/>
        <v>0</v>
      </c>
      <c r="CT37" s="441">
        <f t="shared" si="418"/>
        <v>0</v>
      </c>
      <c r="CU37" s="442">
        <f t="shared" si="419"/>
        <v>4.041666666666667</v>
      </c>
      <c r="CV37" s="442">
        <f t="shared" si="420"/>
        <v>12.125</v>
      </c>
      <c r="CW37" s="443">
        <f t="shared" si="421"/>
        <v>12.125</v>
      </c>
      <c r="CX37" s="440">
        <f t="shared" si="422"/>
        <v>28.291666666666668</v>
      </c>
      <c r="CY37" s="441">
        <f t="shared" si="423"/>
        <v>12.125</v>
      </c>
      <c r="CZ37" s="442">
        <f t="shared" si="424"/>
        <v>8.0833333333333339</v>
      </c>
      <c r="DA37" s="442">
        <f t="shared" si="425"/>
        <v>0</v>
      </c>
      <c r="DB37" s="443">
        <f t="shared" si="426"/>
        <v>0</v>
      </c>
      <c r="DC37" s="440">
        <f t="shared" si="427"/>
        <v>20.208333333333332</v>
      </c>
      <c r="DD37" s="441">
        <f t="shared" si="428"/>
        <v>0</v>
      </c>
      <c r="DE37" s="442">
        <f t="shared" si="429"/>
        <v>0</v>
      </c>
      <c r="DF37" s="442">
        <f t="shared" si="430"/>
        <v>0</v>
      </c>
      <c r="DG37" s="443">
        <f t="shared" si="431"/>
        <v>0</v>
      </c>
      <c r="DH37" s="440">
        <f t="shared" si="432"/>
        <v>0</v>
      </c>
      <c r="DI37" s="441">
        <f t="shared" si="433"/>
        <v>0</v>
      </c>
      <c r="DJ37" s="442">
        <f t="shared" si="434"/>
        <v>0</v>
      </c>
      <c r="DK37" s="442">
        <f t="shared" si="435"/>
        <v>0</v>
      </c>
      <c r="DL37" s="443">
        <f t="shared" si="436"/>
        <v>0</v>
      </c>
      <c r="DM37" s="440">
        <f t="shared" si="437"/>
        <v>0</v>
      </c>
      <c r="DN37" s="441">
        <f t="shared" si="438"/>
        <v>0</v>
      </c>
      <c r="DO37" s="442">
        <f t="shared" si="439"/>
        <v>0</v>
      </c>
      <c r="DP37" s="442">
        <f t="shared" si="440"/>
        <v>0</v>
      </c>
      <c r="DQ37" s="443">
        <f t="shared" si="441"/>
        <v>0</v>
      </c>
      <c r="DR37" s="440">
        <f t="shared" si="442"/>
        <v>0</v>
      </c>
    </row>
    <row r="38" spans="1:122" ht="12.75" customHeight="1">
      <c r="A38" s="92"/>
      <c r="B38" s="92"/>
      <c r="C38" s="27" t="s">
        <v>1212</v>
      </c>
      <c r="D38" s="574"/>
      <c r="E38" s="2291">
        <v>1620</v>
      </c>
      <c r="F38" s="559"/>
      <c r="G38" s="559"/>
      <c r="H38" s="1967">
        <v>2018</v>
      </c>
      <c r="I38" s="2292">
        <f>1.44/27.42</f>
        <v>5.2516411378555797E-2</v>
      </c>
      <c r="J38" s="1904">
        <v>1</v>
      </c>
      <c r="K38" s="528"/>
      <c r="L38" s="441"/>
      <c r="M38" s="442"/>
      <c r="N38" s="442"/>
      <c r="O38" s="443"/>
      <c r="P38" s="440">
        <f t="shared" si="242"/>
        <v>0</v>
      </c>
      <c r="Q38" s="441">
        <f t="shared" ref="Q38" si="443">IF(U38=0,0,IF(U38&gt;0,IF($J38=3,U38,IF($J38=2,U38,IF($J38=1,U38,0)))))</f>
        <v>0</v>
      </c>
      <c r="R38" s="442">
        <f t="shared" ref="R38" si="444">IF(U38=0,0,IF(U38&gt;0,IF($J38=6,U38,IF($J38=5,U38,IF($J38=4,U38,0)))))</f>
        <v>0</v>
      </c>
      <c r="S38" s="442">
        <f t="shared" ref="S38" si="445">IF(U38=0,0,IF(U38&gt;0,IF($J38=9,U38,IF($J38=8,U38,IF($J38=7,U38,0)))))</f>
        <v>0</v>
      </c>
      <c r="T38" s="443">
        <f t="shared" ref="T38" si="446">IF(U38=0,0,IF(U38&gt;0,IF($J38=12,U38,IF($J38=11,U38,IF($J38=10,U38,0)))))</f>
        <v>0</v>
      </c>
      <c r="U38" s="440">
        <f t="shared" si="247"/>
        <v>0</v>
      </c>
      <c r="V38" s="441">
        <f t="shared" ref="V38" si="447">IF(Z38=0,0,IF(Z38&gt;0,IF($J38=3,Z38,IF($J38=2,Z38,IF($J38=1,Z38,0)))))</f>
        <v>0</v>
      </c>
      <c r="W38" s="442">
        <f t="shared" ref="W38" si="448">IF(Z38=0,0,IF(Z38&gt;0,IF($J38=6,Z38,IF($J38=5,Z38,IF($J38=4,Z38,0)))))</f>
        <v>0</v>
      </c>
      <c r="X38" s="442">
        <f t="shared" ref="X38" si="449">IF(Z38=0,0,IF(Z38&gt;0,IF($J38=9,Z38,IF($J38=8,Z38,IF($J38=7,Z38,0)))))</f>
        <v>0</v>
      </c>
      <c r="Y38" s="443">
        <f t="shared" ref="Y38" si="450">IF(Z38=0,0,IF(Z38&gt;0,IF($J38=12,Z38,IF($J38=11,Z38,IF($J38=10,Z38,0)))))</f>
        <v>0</v>
      </c>
      <c r="Z38" s="440">
        <f t="shared" si="252"/>
        <v>0</v>
      </c>
      <c r="AA38" s="441">
        <f t="shared" ref="AA38" si="451">IF(AE38=0,0,IF(AE38&gt;0,IF($J38=3,AE38,IF($J38=2,AE38,IF($J38=1,AE38,0)))))</f>
        <v>0</v>
      </c>
      <c r="AB38" s="442">
        <f t="shared" ref="AB38" si="452">IF(AE38=0,0,IF(AE38&gt;0,IF($J38=6,AE38,IF($J38=5,AE38,IF($J38=4,AE38,0)))))</f>
        <v>0</v>
      </c>
      <c r="AC38" s="442">
        <f t="shared" ref="AC38" si="453">IF(AE38=0,0,IF(AE38&gt;0,IF($J38=9,AE38,IF($J38=8,AE38,IF($J38=7,AE38,0)))))</f>
        <v>0</v>
      </c>
      <c r="AD38" s="443">
        <f t="shared" ref="AD38" si="454">IF(AE38=0,0,IF(AE38&gt;0,IF($J38=12,AE38,IF($J38=11,AE38,IF($J38=10,AE38,0)))))</f>
        <v>0</v>
      </c>
      <c r="AE38" s="440">
        <f t="shared" si="257"/>
        <v>0</v>
      </c>
      <c r="AF38" s="441">
        <f t="shared" ref="AF38" si="455">IF(AJ38=0,0,IF(AJ38&gt;0,IF($J38=3,AJ38,IF($J38=2,AJ38,IF($J38=1,AJ38,0)))))</f>
        <v>0</v>
      </c>
      <c r="AG38" s="442">
        <f t="shared" ref="AG38" si="456">IF(AJ38=0,0,IF(AJ38&gt;0,IF($J38=6,AJ38,IF($J38=5,AJ38,IF($J38=4,AJ38,0)))))</f>
        <v>0</v>
      </c>
      <c r="AH38" s="442">
        <f t="shared" ref="AH38" si="457">IF(AJ38=0,0,IF(AJ38&gt;0,IF($J38=9,AJ38,IF($J38=8,AJ38,IF($J38=7,AJ38,0)))))</f>
        <v>0</v>
      </c>
      <c r="AI38" s="443">
        <f t="shared" ref="AI38" si="458">IF(AJ38=0,0,IF(AJ38&gt;0,IF($J38=12,AJ38,IF($J38=11,AJ38,IF($J38=10,AJ38,0)))))</f>
        <v>0</v>
      </c>
      <c r="AJ38" s="440">
        <f t="shared" si="262"/>
        <v>0</v>
      </c>
      <c r="AK38" s="441">
        <f t="shared" ref="AK38" si="459">IF(AO38=0,0,IF(AO38&gt;0,IF($J38=3,AO38,IF($J38=2,AO38,IF($J38=1,AO38,0)))))</f>
        <v>0</v>
      </c>
      <c r="AL38" s="442">
        <f t="shared" ref="AL38" si="460">IF(AO38=0,0,IF(AO38&gt;0,IF($J38=6,AO38,IF($J38=5,AO38,IF($J38=4,AO38,0)))))</f>
        <v>0</v>
      </c>
      <c r="AM38" s="442">
        <f t="shared" ref="AM38" si="461">IF(AO38=0,0,IF(AO38&gt;0,IF($J38=9,AO38,IF($J38=8,AO38,IF($J38=7,AO38,0)))))</f>
        <v>0</v>
      </c>
      <c r="AN38" s="443">
        <f t="shared" ref="AN38" si="462">IF(AO38=0,0,IF(AO38&gt;0,IF($J38=12,AO38,IF($J38=11,AO38,IF($J38=10,AO38,0)))))</f>
        <v>0</v>
      </c>
      <c r="AO38" s="440">
        <f t="shared" si="267"/>
        <v>0</v>
      </c>
      <c r="AP38" s="441">
        <f t="shared" ref="AP38" si="463">IF(AT38=0,0,IF(AT38&gt;0,IF($J38=3,AT38,IF($J38=2,AT38,IF($J38=1,AT38,0)))))</f>
        <v>0</v>
      </c>
      <c r="AQ38" s="442">
        <f t="shared" ref="AQ38" si="464">IF(AT38=0,0,IF(AT38&gt;0,IF($J38=6,AT38,IF($J38=5,AT38,IF($J38=4,AT38,0)))))</f>
        <v>0</v>
      </c>
      <c r="AR38" s="442">
        <f t="shared" ref="AR38" si="465">IF(AT38=0,0,IF(AT38&gt;0,IF($J38=9,AT38,IF($J38=8,AT38,IF($J38=7,AT38,0)))))</f>
        <v>0</v>
      </c>
      <c r="AS38" s="443">
        <f t="shared" ref="AS38" si="466">IF(AT38=0,0,IF(AT38&gt;0,IF($J38=12,AT38,IF($J38=11,AT38,IF($J38=10,AT38,0)))))</f>
        <v>0</v>
      </c>
      <c r="AT38" s="440">
        <f t="shared" si="272"/>
        <v>0</v>
      </c>
      <c r="AU38" s="441">
        <f t="shared" ref="AU38" si="467">IF(AY38=0,0,IF(AY38&gt;0,IF($J38=3,AY38,IF($J38=2,AY38,IF($J38=1,AY38,0)))))</f>
        <v>1620</v>
      </c>
      <c r="AV38" s="442">
        <f t="shared" ref="AV38" si="468">IF(AY38=0,0,IF(AY38&gt;0,IF($J38=6,AY38,IF($J38=5,AY38,IF($J38=4,AY38,0)))))</f>
        <v>0</v>
      </c>
      <c r="AW38" s="442">
        <f t="shared" ref="AW38" si="469">IF(AY38=0,0,IF(AY38&gt;0,IF($J38=9,AY38,IF($J38=8,AY38,IF($J38=7,AY38,0)))))</f>
        <v>0</v>
      </c>
      <c r="AX38" s="443">
        <f t="shared" ref="AX38" si="470">IF(AY38=0,0,IF(AY38&gt;0,IF($J38=12,AY38,IF($J38=11,AY38,IF($J38=10,AY38,0)))))</f>
        <v>0</v>
      </c>
      <c r="AY38" s="440">
        <f t="shared" si="277"/>
        <v>1620</v>
      </c>
      <c r="AZ38" s="441">
        <f t="shared" ref="AZ38" si="471">IF(BD38=0,0,IF(BD38&gt;0,IF($J38=3,BD38,IF($J38=2,BD38,IF($J38=1,BD38,0)))))</f>
        <v>0</v>
      </c>
      <c r="BA38" s="442">
        <f t="shared" ref="BA38" si="472">IF(BD38=0,0,IF(BD38&gt;0,IF($J38=6,BD38,IF($J38=5,BD38,IF($J38=4,BD38,0)))))</f>
        <v>0</v>
      </c>
      <c r="BB38" s="442">
        <f t="shared" ref="BB38" si="473">IF(BD38=0,0,IF(BD38&gt;0,IF($J38=9,BD38,IF($J38=8,BD38,IF($J38=7,BD38,0)))))</f>
        <v>0</v>
      </c>
      <c r="BC38" s="443">
        <f t="shared" ref="BC38" si="474">IF(BD38=0,0,IF(BD38&gt;0,IF($J38=12,BD38,IF($J38=11,BD38,IF($J38=10,BD38,0)))))</f>
        <v>0</v>
      </c>
      <c r="BD38" s="440">
        <f t="shared" si="282"/>
        <v>0</v>
      </c>
      <c r="BE38" s="441">
        <f t="shared" ref="BE38" si="475">IF(BI38=0,0,IF(BI38&gt;0,IF($J38=3,BI38,IF($J38=2,BI38,IF($J38=1,BI38,0)))))</f>
        <v>0</v>
      </c>
      <c r="BF38" s="442">
        <f t="shared" ref="BF38" si="476">IF(BI38=0,0,IF(BI38&gt;0,IF($J38=6,BI38,IF($J38=5,BI38,IF($J38=4,BI38,0)))))</f>
        <v>0</v>
      </c>
      <c r="BG38" s="442">
        <f t="shared" ref="BG38" si="477">IF(BI38=0,0,IF(BI38&gt;0,IF($J38=9,BI38,IF($J38=8,BI38,IF($J38=7,BI38,0)))))</f>
        <v>0</v>
      </c>
      <c r="BH38" s="443">
        <f t="shared" ref="BH38" si="478">IF(BI38=0,0,IF(BI38&gt;0,IF($J38=12,BI38,IF($J38=11,BI38,IF($J38=10,BI38,0)))))</f>
        <v>0</v>
      </c>
      <c r="BI38" s="440">
        <f t="shared" si="287"/>
        <v>0</v>
      </c>
      <c r="BJ38" s="441">
        <f t="shared" ref="BJ38" si="479">IF(BN38=0,0,IF(BN38&gt;0,IF($J38=3,BN38,IF($J38=2,BN38,IF($J38=1,BN38,0)))))</f>
        <v>0</v>
      </c>
      <c r="BK38" s="442">
        <f t="shared" ref="BK38" si="480">IF(BN38=0,0,IF(BN38&gt;0,IF($J38=6,BN38,IF($J38=5,BN38,IF($J38=4,BN38,0)))))</f>
        <v>0</v>
      </c>
      <c r="BL38" s="442">
        <f t="shared" ref="BL38" si="481">IF(BN38=0,0,IF(BN38&gt;0,IF($J38=9,BN38,IF($J38=8,BN38,IF($J38=7,BN38,0)))))</f>
        <v>0</v>
      </c>
      <c r="BM38" s="443">
        <f t="shared" ref="BM38" si="482">IF(BN38=0,0,IF(BN38&gt;0,IF($J38=12,BN38,IF($J38=11,BN38,IF($J38=10,BN38,0)))))</f>
        <v>0</v>
      </c>
      <c r="BN38" s="440">
        <f t="shared" si="292"/>
        <v>0</v>
      </c>
      <c r="BO38" s="463"/>
      <c r="BP38" s="441">
        <f t="shared" ref="BP38" si="483">IF($H38&lt;&gt;BT$5,0,IF(BT38&gt;0,IF($J38=1,$E38*$I38/12*3,IF($J38=2,$E38*$I38/12*2,IF($J38=3,$E38*$I38/12*1,0)))))+IF(BO$5&lt;&gt;$H38,0,IF(BO38&gt;0,IF($J38=1,$E38*$I38/12*0,IF($J38=2,$E38*$I38/12*1,IF($J38=3,$E38*$I38/12*2,IF($J38&gt;=4,$E38*$I38/12*3,0))))))</f>
        <v>0</v>
      </c>
      <c r="BQ38" s="442">
        <f t="shared" ref="BQ38" si="484">IF($H38&lt;&gt;BT$5,0,IF(BT38&gt;0,IF(OR($J38=1,$J38=2,$J38=3,$J38=4),$E38*$I38/12*3,IF($J38=5,$E38*$I38/12*2,IF($J38=6,$E38*$I38/12*1,0)))))+IF(BO$5&lt;&gt;$H38,0,IF(BO38&gt;0,IF($J38=4,$E38*$I38/12*0,IF($J38=5,$E38*$I38/12*1,IF($J38=6,$E38*$I38/12*2,IF($J38&gt;=7,$E38*$I38/12*3,0))))))</f>
        <v>0</v>
      </c>
      <c r="BR38" s="442">
        <f t="shared" ref="BR38" si="485">IF($H38&lt;&gt;BT$5,0,IF(BT38&gt;0,IF(OR($J38=1,$J38=2,$J38=3,$J38=4,$J38=5,$J38=6,$J38=7),$E38*$I38/12*3,IF($J38=8,$E38*$I38/12*2,IF($J38=9,$E38*$I38/12*1,0)))))+IF(BO$5&lt;&gt;$H38,0,IF(BO38&gt;0,IF($J38=7,$E38*$I38/12*0,IF($J38=8,$E38*$I38/12*1,IF($J38=9,$E38*$I38/12*2,IF($J38&gt;=10,$E38*$I38/12*3,0))))))</f>
        <v>0</v>
      </c>
      <c r="BS38" s="443">
        <f t="shared" ref="BS38" si="486">IF($H38&lt;&gt;BT$5,0,IF(BT38&gt;0,IF(OR($J38=1,$J38=2,$J38=3,$J38=4,$J38=5,$J38=6,$J38=7,$J38=8,$J38=9,$J38=10),$E38*$I38/12*3,IF($J38=11,$E38*$I38/12*2,IF($J38=12,$E38*$I38/12*1,0)))))+IF(BO$5&lt;&gt;$H38,0,IF(BO38&gt;0,IF($J38=10,$E38*$I38/12*0,IF($J38=11,$E38*$I38/12*1,IF($J38=12,$E38*$I38/12*2,0)))))</f>
        <v>0</v>
      </c>
      <c r="BT38" s="440">
        <f t="shared" ref="BT38" si="487">IF(AND(BO38&lt;&gt;0,BO$5=$H38),$I38*$E38-BO38,IF(BT$5=$H38,$I38*$E38*(12-$J38+1)/12,0))</f>
        <v>0</v>
      </c>
      <c r="BU38" s="441">
        <f t="shared" ref="BU38" si="488">IF($H38&lt;&gt;BY$5,0,IF(BY38&gt;0,IF($J38=1,$E38*$I38/12*3,IF($J38=2,$E38*$I38/12*2,IF($J38=3,$E38*$I38/12*1,0)))))+IF(BT$5&lt;&gt;$H38,0,IF(BT38&gt;0,IF($J38=1,$E38*$I38/12*0,IF($J38=2,$E38*$I38/12*1,IF($J38=3,$E38*$I38/12*2,IF($J38&gt;=4,$E38*$I38/12*3,0))))))</f>
        <v>0</v>
      </c>
      <c r="BV38" s="442">
        <f t="shared" ref="BV38" si="489">IF($H38&lt;&gt;BY$5,0,IF(BY38&gt;0,IF(OR($J38=1,$J38=2,$J38=3,$J38=4),$E38*$I38/12*3,IF($J38=5,$E38*$I38/12*2,IF($J38=6,$E38*$I38/12*1,0)))))+IF(BT$5&lt;&gt;$H38,0,IF(BT38&gt;0,IF($J38=4,$E38*$I38/12*0,IF($J38=5,$E38*$I38/12*1,IF($J38=6,$E38*$I38/12*2,IF($J38&gt;=7,$E38*$I38/12*3,0))))))</f>
        <v>0</v>
      </c>
      <c r="BW38" s="442">
        <f t="shared" ref="BW38" si="490">IF($H38&lt;&gt;BY$5,0,IF(BY38&gt;0,IF(OR($J38=1,$J38=2,$J38=3,$J38=4,$J38=5,$J38=6,$J38=7),$E38*$I38/12*3,IF($J38=8,$E38*$I38/12*2,IF($J38=9,$E38*$I38/12*1,0)))))+IF(BT$5&lt;&gt;$H38,0,IF(BT38&gt;0,IF($J38=7,$E38*$I38/12*0,IF($J38=8,$E38*$I38/12*1,IF($J38=9,$E38*$I38/12*2,IF($J38&gt;=10,$E38*$I38/12*3,0))))))</f>
        <v>0</v>
      </c>
      <c r="BX38" s="443">
        <f t="shared" ref="BX38" si="491">IF($H38&lt;&gt;BY$5,0,IF(BY38&gt;0,IF(OR($J38=1,$J38=2,$J38=3,$J38=4,$J38=5,$J38=6,$J38=7,$J38=8,$J38=9,$J38=10),$E38*$I38/12*3,IF($J38=11,$E38*$I38/12*2,IF($J38=12,$E38*$I38/12*1,0)))))+IF(BT$5&lt;&gt;$H38,0,IF(BT38&gt;0,IF($J38=10,$E38*$I38/12*0,IF($J38=11,$E38*$I38/12*1,IF($J38=12,$E38*$I38/12*2,0)))))</f>
        <v>0</v>
      </c>
      <c r="BY38" s="440">
        <f t="shared" ref="BY38" si="492">IF(AND(BT38&lt;&gt;0,BT$5=$H38),$I38*$E38-BT38,IF(BY$5=$H38,$I38*$E38*(12-$J38+1)/12,0))</f>
        <v>0</v>
      </c>
      <c r="BZ38" s="441">
        <f t="shared" ref="BZ38" si="493">IF($H38&lt;&gt;CD$5,0,IF(CD38&gt;0,IF($J38=1,$E38*$I38/12*3,IF($J38=2,$E38*$I38/12*2,IF($J38=3,$E38*$I38/12*1,0)))))+IF(BY$5&lt;&gt;$H38,0,IF(BY38&gt;0,IF($J38=1,$E38*$I38/12*0,IF($J38=2,$E38*$I38/12*1,IF($J38=3,$E38*$I38/12*2,IF($J38&gt;=4,$E38*$I38/12*3,0))))))</f>
        <v>0</v>
      </c>
      <c r="CA38" s="442">
        <f t="shared" ref="CA38" si="494">IF($H38&lt;&gt;CD$5,0,IF(CD38&gt;0,IF(OR($J38=1,$J38=2,$J38=3,$J38=4),$E38*$I38/12*3,IF($J38=5,$E38*$I38/12*2,IF($J38=6,$E38*$I38/12*1,0)))))+IF(BY$5&lt;&gt;$H38,0,IF(BY38&gt;0,IF($J38=4,$E38*$I38/12*0,IF($J38=5,$E38*$I38/12*1,IF($J38=6,$E38*$I38/12*2,IF($J38&gt;=7,$E38*$I38/12*3,0))))))</f>
        <v>0</v>
      </c>
      <c r="CB38" s="442">
        <f t="shared" ref="CB38" si="495">IF($H38&lt;&gt;CD$5,0,IF(CD38&gt;0,IF(OR($J38=1,$J38=2,$J38=3,$J38=4,$J38=5,$J38=6,$J38=7),$E38*$I38/12*3,IF($J38=8,$E38*$I38/12*2,IF($J38=9,$E38*$I38/12*1,0)))))+IF(BY$5&lt;&gt;$H38,0,IF(BY38&gt;0,IF($J38=7,$E38*$I38/12*0,IF($J38=8,$E38*$I38/12*1,IF($J38=9,$E38*$I38/12*2,IF($J38&gt;=10,$E38*$I38/12*3,0))))))</f>
        <v>0</v>
      </c>
      <c r="CC38" s="443">
        <f t="shared" ref="CC38" si="496">IF($H38&lt;&gt;CD$5,0,IF(CD38&gt;0,IF(OR($J38=1,$J38=2,$J38=3,$J38=4,$J38=5,$J38=6,$J38=7,$J38=8,$J38=9,$J38=10),$E38*$I38/12*3,IF($J38=11,$E38*$I38/12*2,IF($J38=12,$E38*$I38/12*1,0)))))+IF(BY$5&lt;&gt;$H38,0,IF(BY38&gt;0,IF($J38=10,$E38*$I38/12*0,IF($J38=11,$E38*$I38/12*1,IF($J38=12,$E38*$I38/12*2,0)))))</f>
        <v>0</v>
      </c>
      <c r="CD38" s="440">
        <f t="shared" ref="CD38" si="497">IF(AND(BY38&lt;&gt;0,BY$5=$H38),$I38*$E38-BY38,IF(CD$5=$H38,$I38*$E38*(12-$J38+1)/12,0))</f>
        <v>0</v>
      </c>
      <c r="CE38" s="441">
        <f t="shared" ref="CE38" si="498">IF($H38&lt;&gt;CI$5,0,IF(CI38&gt;0,IF($J38=1,$E38*$I38/12*3,IF($J38=2,$E38*$I38/12*2,IF($J38=3,$E38*$I38/12*1,0)))))+IF(CD$5&lt;&gt;$H38,0,IF(CD38&gt;0,IF($J38=1,$E38*$I38/12*0,IF($J38=2,$E38*$I38/12*1,IF($J38=3,$E38*$I38/12*2,IF($J38&gt;=4,$E38*$I38/12*3,0))))))</f>
        <v>0</v>
      </c>
      <c r="CF38" s="442">
        <f t="shared" ref="CF38" si="499">IF($H38&lt;&gt;CI$5,0,IF(CI38&gt;0,IF(OR($J38=1,$J38=2,$J38=3,$J38=4),$E38*$I38/12*3,IF($J38=5,$E38*$I38/12*2,IF($J38=6,$E38*$I38/12*1,0)))))+IF(CD$5&lt;&gt;$H38,0,IF(CD38&gt;0,IF($J38=4,$E38*$I38/12*0,IF($J38=5,$E38*$I38/12*1,IF($J38=6,$E38*$I38/12*2,IF($J38&gt;=7,$E38*$I38/12*3,0))))))</f>
        <v>0</v>
      </c>
      <c r="CG38" s="442">
        <f t="shared" ref="CG38" si="500">IF($H38&lt;&gt;CI$5,0,IF(CI38&gt;0,IF(OR($J38=1,$J38=2,$J38=3,$J38=4,$J38=5,$J38=6,$J38=7),$E38*$I38/12*3,IF($J38=8,$E38*$I38/12*2,IF($J38=9,$E38*$I38/12*1,0)))))+IF(CD$5&lt;&gt;$H38,0,IF(CD38&gt;0,IF($J38=7,$E38*$I38/12*0,IF($J38=8,$E38*$I38/12*1,IF($J38=9,$E38*$I38/12*2,IF($J38&gt;=10,$E38*$I38/12*3,0))))))</f>
        <v>0</v>
      </c>
      <c r="CH38" s="443">
        <f t="shared" ref="CH38" si="501">IF($H38&lt;&gt;CI$5,0,IF(CI38&gt;0,IF(OR($J38=1,$J38=2,$J38=3,$J38=4,$J38=5,$J38=6,$J38=7,$J38=8,$J38=9,$J38=10),$E38*$I38/12*3,IF($J38=11,$E38*$I38/12*2,IF($J38=12,$E38*$I38/12*1,0)))))+IF(CD$5&lt;&gt;$H38,0,IF(CD38&gt;0,IF($J38=10,$E38*$I38/12*0,IF($J38=11,$E38*$I38/12*1,IF($J38=12,$E38*$I38/12*2,0)))))</f>
        <v>0</v>
      </c>
      <c r="CI38" s="440">
        <f t="shared" ref="CI38" si="502">IF(AND(CD38&lt;&gt;0,CD$5=$H38),$I38*$E38-CD38,IF(CI$5=$H38,$I38*$E38*(12-$J38+1)/12,0))</f>
        <v>0</v>
      </c>
      <c r="CJ38" s="441">
        <f t="shared" ref="CJ38" si="503">IF($H38&lt;&gt;CN$5,0,IF(CN38&gt;0,IF($J38=1,$E38*$I38/12*3,IF($J38=2,$E38*$I38/12*2,IF($J38=3,$E38*$I38/12*1,0)))))+IF(CI$5&lt;&gt;$H38,0,IF(CI38&gt;0,IF($J38=1,$E38*$I38/12*0,IF($J38=2,$E38*$I38/12*1,IF($J38=3,$E38*$I38/12*2,IF($J38&gt;=4,$E38*$I38/12*3,0))))))</f>
        <v>0</v>
      </c>
      <c r="CK38" s="442">
        <f t="shared" ref="CK38" si="504">IF($H38&lt;&gt;CN$5,0,IF(CN38&gt;0,IF(OR($J38=1,$J38=2,$J38=3,$J38=4),$E38*$I38/12*3,IF($J38=5,$E38*$I38/12*2,IF($J38=6,$E38*$I38/12*1,0)))))+IF(CI$5&lt;&gt;$H38,0,IF(CI38&gt;0,IF($J38=4,$E38*$I38/12*0,IF($J38=5,$E38*$I38/12*1,IF($J38=6,$E38*$I38/12*2,IF($J38&gt;=7,$E38*$I38/12*3,0))))))</f>
        <v>0</v>
      </c>
      <c r="CL38" s="442">
        <f t="shared" ref="CL38" si="505">IF($H38&lt;&gt;CN$5,0,IF(CN38&gt;0,IF(OR($J38=1,$J38=2,$J38=3,$J38=4,$J38=5,$J38=6,$J38=7),$E38*$I38/12*3,IF($J38=8,$E38*$I38/12*2,IF($J38=9,$E38*$I38/12*1,0)))))+IF(CI$5&lt;&gt;$H38,0,IF(CI38&gt;0,IF($J38=7,$E38*$I38/12*0,IF($J38=8,$E38*$I38/12*1,IF($J38=9,$E38*$I38/12*2,IF($J38&gt;=10,$E38*$I38/12*3,0))))))</f>
        <v>0</v>
      </c>
      <c r="CM38" s="443">
        <f t="shared" ref="CM38" si="506">IF($H38&lt;&gt;CN$5,0,IF(CN38&gt;0,IF(OR($J38=1,$J38=2,$J38=3,$J38=4,$J38=5,$J38=6,$J38=7,$J38=8,$J38=9,$J38=10),$E38*$I38/12*3,IF($J38=11,$E38*$I38/12*2,IF($J38=12,$E38*$I38/12*1,0)))))+IF(CI$5&lt;&gt;$H38,0,IF(CI38&gt;0,IF($J38=10,$E38*$I38/12*0,IF($J38=11,$E38*$I38/12*1,IF($J38=12,$E38*$I38/12*2,0)))))</f>
        <v>0</v>
      </c>
      <c r="CN38" s="440">
        <f t="shared" ref="CN38" si="507">IF(AND(CI38&lt;&gt;0,CI$5=$H38),$I38*$E38-CI38,IF(CN$5=$H38,$I38*$E38*(12-$J38+1)/12,0))</f>
        <v>0</v>
      </c>
      <c r="CO38" s="441">
        <f t="shared" ref="CO38" si="508">IF($H38&lt;&gt;CS$5,0,IF(CS38&gt;0,IF($J38=1,$E38*$I38/12*3,IF($J38=2,$E38*$I38/12*2,IF($J38=3,$E38*$I38/12*1,0)))))+IF(CN$5&lt;&gt;$H38,0,IF(CN38&gt;0,IF($J38=1,$E38*$I38/12*0,IF($J38=2,$E38*$I38/12*1,IF($J38=3,$E38*$I38/12*2,IF($J38&gt;=4,$E38*$I38/12*3,0))))))</f>
        <v>0</v>
      </c>
      <c r="CP38" s="442">
        <f t="shared" ref="CP38" si="509">IF($H38&lt;&gt;CS$5,0,IF(CS38&gt;0,IF(OR($J38=1,$J38=2,$J38=3,$J38=4),$E38*$I38/12*3,IF($J38=5,$E38*$I38/12*2,IF($J38=6,$E38*$I38/12*1,0)))))+IF(CN$5&lt;&gt;$H38,0,IF(CN38&gt;0,IF($J38=4,$E38*$I38/12*0,IF($J38=5,$E38*$I38/12*1,IF($J38=6,$E38*$I38/12*2,IF($J38&gt;=7,$E38*$I38/12*3,0))))))</f>
        <v>0</v>
      </c>
      <c r="CQ38" s="442">
        <f t="shared" ref="CQ38" si="510">IF($H38&lt;&gt;CS$5,0,IF(CS38&gt;0,IF(OR($J38=1,$J38=2,$J38=3,$J38=4,$J38=5,$J38=6,$J38=7),$E38*$I38/12*3,IF($J38=8,$E38*$I38/12*2,IF($J38=9,$E38*$I38/12*1,0)))))+IF(CN$5&lt;&gt;$H38,0,IF(CN38&gt;0,IF($J38=7,$E38*$I38/12*0,IF($J38=8,$E38*$I38/12*1,IF($J38=9,$E38*$I38/12*2,IF($J38&gt;=10,$E38*$I38/12*3,0))))))</f>
        <v>0</v>
      </c>
      <c r="CR38" s="443">
        <f t="shared" ref="CR38" si="511">IF($H38&lt;&gt;CS$5,0,IF(CS38&gt;0,IF(OR($J38=1,$J38=2,$J38=3,$J38=4,$J38=5,$J38=6,$J38=7,$J38=8,$J38=9,$J38=10),$E38*$I38/12*3,IF($J38=11,$E38*$I38/12*2,IF($J38=12,$E38*$I38/12*1,0)))))+IF(CN$5&lt;&gt;$H38,0,IF(CN38&gt;0,IF($J38=10,$E38*$I38/12*0,IF($J38=11,$E38*$I38/12*1,IF($J38=12,$E38*$I38/12*2,0)))))</f>
        <v>0</v>
      </c>
      <c r="CS38" s="440">
        <f t="shared" ref="CS38" si="512">IF(AND(CN38&lt;&gt;0,CN$5=$H38),$I38*$E38-CN38,IF(CS$5=$H38,$I38*$E38*(12-$J38+1)/12,0))</f>
        <v>0</v>
      </c>
      <c r="CT38" s="441">
        <f t="shared" ref="CT38" si="513">IF($H38&lt;&gt;CX$5,0,IF(CX38&gt;0,IF($J38=1,$E38*$I38/12*3,IF($J38=2,$E38*$I38/12*2,IF($J38=3,$E38*$I38/12*1,0)))))+IF(CS$5&lt;&gt;$H38,0,IF(CS38&gt;0,IF($J38=1,$E38*$I38/12*0,IF($J38=2,$E38*$I38/12*1,IF($J38=3,$E38*$I38/12*2,IF($J38&gt;=4,$E38*$I38/12*3,0))))))</f>
        <v>0</v>
      </c>
      <c r="CU38" s="442">
        <f t="shared" ref="CU38" si="514">IF($H38&lt;&gt;CX$5,0,IF(CX38&gt;0,IF(OR($J38=1,$J38=2,$J38=3,$J38=4),$E38*$I38/12*3,IF($J38=5,$E38*$I38/12*2,IF($J38=6,$E38*$I38/12*1,0)))))+IF(CS$5&lt;&gt;$H38,0,IF(CS38&gt;0,IF($J38=4,$E38*$I38/12*0,IF($J38=5,$E38*$I38/12*1,IF($J38=6,$E38*$I38/12*2,IF($J38&gt;=7,$E38*$I38/12*3,0))))))</f>
        <v>0</v>
      </c>
      <c r="CV38" s="442">
        <f t="shared" ref="CV38" si="515">IF($H38&lt;&gt;CX$5,0,IF(CX38&gt;0,IF(OR($J38=1,$J38=2,$J38=3,$J38=4,$J38=5,$J38=6,$J38=7),$E38*$I38/12*3,IF($J38=8,$E38*$I38/12*2,IF($J38=9,$E38*$I38/12*1,0)))))+IF(CS$5&lt;&gt;$H38,0,IF(CS38&gt;0,IF($J38=7,$E38*$I38/12*0,IF($J38=8,$E38*$I38/12*1,IF($J38=9,$E38*$I38/12*2,IF($J38&gt;=10,$E38*$I38/12*3,0))))))</f>
        <v>0</v>
      </c>
      <c r="CW38" s="443">
        <f t="shared" ref="CW38" si="516">IF($H38&lt;&gt;CX$5,0,IF(CX38&gt;0,IF(OR($J38=1,$J38=2,$J38=3,$J38=4,$J38=5,$J38=6,$J38=7,$J38=8,$J38=9,$J38=10),$E38*$I38/12*3,IF($J38=11,$E38*$I38/12*2,IF($J38=12,$E38*$I38/12*1,0)))))+IF(CS$5&lt;&gt;$H38,0,IF(CS38&gt;0,IF($J38=10,$E38*$I38/12*0,IF($J38=11,$E38*$I38/12*1,IF($J38=12,$E38*$I38/12*2,0)))))</f>
        <v>0</v>
      </c>
      <c r="CX38" s="440">
        <f t="shared" ref="CX38" si="517">IF(AND(CS38&lt;&gt;0,CS$5=$H38),$I38*$E38-CS38,IF(CX$5=$H38,$I38*$E38*(12-$J38+1)/12,0))</f>
        <v>0</v>
      </c>
      <c r="CY38" s="441">
        <f t="shared" ref="CY38" si="518">IF($H38&lt;&gt;DC$5,0,IF(DC38&gt;0,IF($J38=1,$E38*$I38/12*3,IF($J38=2,$E38*$I38/12*2,IF($J38=3,$E38*$I38/12*1,0)))))+IF(CX$5&lt;&gt;$H38,0,IF(CX38&gt;0,IF($J38=1,$E38*$I38/12*0,IF($J38=2,$E38*$I38/12*1,IF($J38=3,$E38*$I38/12*2,IF($J38&gt;=4,$E38*$I38/12*3,0))))))</f>
        <v>21.269146608315097</v>
      </c>
      <c r="CZ38" s="442">
        <f t="shared" ref="CZ38" si="519">IF($H38&lt;&gt;DC$5,0,IF(DC38&gt;0,IF(OR($J38=1,$J38=2,$J38=3,$J38=4),$E38*$I38/12*3,IF($J38=5,$E38*$I38/12*2,IF($J38=6,$E38*$I38/12*1,0)))))+IF(CX$5&lt;&gt;$H38,0,IF(CX38&gt;0,IF($J38=4,$E38*$I38/12*0,IF($J38=5,$E38*$I38/12*1,IF($J38=6,$E38*$I38/12*2,IF($J38&gt;=7,$E38*$I38/12*3,0))))))</f>
        <v>21.269146608315097</v>
      </c>
      <c r="DA38" s="442">
        <f t="shared" ref="DA38" si="520">IF($H38&lt;&gt;DC$5,0,IF(DC38&gt;0,IF(OR($J38=1,$J38=2,$J38=3,$J38=4,$J38=5,$J38=6,$J38=7),$E38*$I38/12*3,IF($J38=8,$E38*$I38/12*2,IF($J38=9,$E38*$I38/12*1,0)))))+IF(CX$5&lt;&gt;$H38,0,IF(CX38&gt;0,IF($J38=7,$E38*$I38/12*0,IF($J38=8,$E38*$I38/12*1,IF($J38=9,$E38*$I38/12*2,IF($J38&gt;=10,$E38*$I38/12*3,0))))))</f>
        <v>21.269146608315097</v>
      </c>
      <c r="DB38" s="443">
        <f t="shared" ref="DB38" si="521">IF($H38&lt;&gt;DC$5,0,IF(DC38&gt;0,IF(OR($J38=1,$J38=2,$J38=3,$J38=4,$J38=5,$J38=6,$J38=7,$J38=8,$J38=9,$J38=10),$E38*$I38/12*3,IF($J38=11,$E38*$I38/12*2,IF($J38=12,$E38*$I38/12*1,0)))))+IF(CX$5&lt;&gt;$H38,0,IF(CX38&gt;0,IF($J38=10,$E38*$I38/12*0,IF($J38=11,$E38*$I38/12*1,IF($J38=12,$E38*$I38/12*2,0)))))</f>
        <v>21.269146608315097</v>
      </c>
      <c r="DC38" s="440">
        <f t="shared" ref="DC38" si="522">IF(AND(CX38&lt;&gt;0,CX$5=$H38),$I38*$E38-CX38,IF(DC$5=$H38,$I38*$E38*(12-$J38+1)/12,0))</f>
        <v>85.076586433260388</v>
      </c>
      <c r="DD38" s="441">
        <f t="shared" ref="DD38" si="523">IF($H38&lt;&gt;DH$5,0,IF(DH38&gt;0,IF($J38=1,$E38*$I38/12*3,IF($J38=2,$E38*$I38/12*2,IF($J38=3,$E38*$I38/12*1,0)))))+IF(DC$5&lt;&gt;$H38,0,IF(DC38&gt;0,IF($J38=1,$E38*$I38/12*0,IF($J38=2,$E38*$I38/12*1,IF($J38=3,$E38*$I38/12*2,IF($J38&gt;=4,$E38*$I38/12*3,0))))))</f>
        <v>0</v>
      </c>
      <c r="DE38" s="442">
        <f t="shared" ref="DE38" si="524">IF($H38&lt;&gt;DH$5,0,IF(DH38&gt;0,IF(OR($J38=1,$J38=2,$J38=3,$J38=4),$E38*$I38/12*3,IF($J38=5,$E38*$I38/12*2,IF($J38=6,$E38*$I38/12*1,0)))))+IF(DC$5&lt;&gt;$H38,0,IF(DC38&gt;0,IF($J38=4,$E38*$I38/12*0,IF($J38=5,$E38*$I38/12*1,IF($J38=6,$E38*$I38/12*2,IF($J38&gt;=7,$E38*$I38/12*3,0))))))</f>
        <v>0</v>
      </c>
      <c r="DF38" s="442">
        <f t="shared" ref="DF38" si="525">IF($H38&lt;&gt;DH$5,0,IF(DH38&gt;0,IF(OR($J38=1,$J38=2,$J38=3,$J38=4,$J38=5,$J38=6,$J38=7),$E38*$I38/12*3,IF($J38=8,$E38*$I38/12*2,IF($J38=9,$E38*$I38/12*1,0)))))+IF(DC$5&lt;&gt;$H38,0,IF(DC38&gt;0,IF($J38=7,$E38*$I38/12*0,IF($J38=8,$E38*$I38/12*1,IF($J38=9,$E38*$I38/12*2,IF($J38&gt;=10,$E38*$I38/12*3,0))))))</f>
        <v>0</v>
      </c>
      <c r="DG38" s="443">
        <f t="shared" ref="DG38" si="526">IF($H38&lt;&gt;DH$5,0,IF(DH38&gt;0,IF(OR($J38=1,$J38=2,$J38=3,$J38=4,$J38=5,$J38=6,$J38=7,$J38=8,$J38=9,$J38=10),$E38*$I38/12*3,IF($J38=11,$E38*$I38/12*2,IF($J38=12,$E38*$I38/12*1,0)))))+IF(DC$5&lt;&gt;$H38,0,IF(DC38&gt;0,IF($J38=10,$E38*$I38/12*0,IF($J38=11,$E38*$I38/12*1,IF($J38=12,$E38*$I38/12*2,0)))))</f>
        <v>0</v>
      </c>
      <c r="DH38" s="440">
        <f t="shared" ref="DH38" si="527">IF(AND(DC38&lt;&gt;0,DC$5=$H38),$I38*$E38-DC38,IF(DH$5=$H38,$I38*$E38*(12-$J38+1)/12,0))</f>
        <v>0</v>
      </c>
      <c r="DI38" s="441">
        <f t="shared" ref="DI38" si="528">IF($H38&lt;&gt;DM$5,0,IF(DM38&gt;0,IF($J38=1,$E38*$I38/12*3,IF($J38=2,$E38*$I38/12*2,IF($J38=3,$E38*$I38/12*1,0)))))+IF(DH$5&lt;&gt;$H38,0,IF(DH38&gt;0,IF($J38=1,$E38*$I38/12*0,IF($J38=2,$E38*$I38/12*1,IF($J38=3,$E38*$I38/12*2,IF($J38&gt;=4,$E38*$I38/12*3,0))))))</f>
        <v>0</v>
      </c>
      <c r="DJ38" s="442">
        <f t="shared" ref="DJ38" si="529">IF($H38&lt;&gt;DM$5,0,IF(DM38&gt;0,IF(OR($J38=1,$J38=2,$J38=3,$J38=4),$E38*$I38/12*3,IF($J38=5,$E38*$I38/12*2,IF($J38=6,$E38*$I38/12*1,0)))))+IF(DH$5&lt;&gt;$H38,0,IF(DH38&gt;0,IF($J38=4,$E38*$I38/12*0,IF($J38=5,$E38*$I38/12*1,IF($J38=6,$E38*$I38/12*2,IF($J38&gt;=7,$E38*$I38/12*3,0))))))</f>
        <v>0</v>
      </c>
      <c r="DK38" s="442">
        <f t="shared" ref="DK38" si="530">IF($H38&lt;&gt;DM$5,0,IF(DM38&gt;0,IF(OR($J38=1,$J38=2,$J38=3,$J38=4,$J38=5,$J38=6,$J38=7),$E38*$I38/12*3,IF($J38=8,$E38*$I38/12*2,IF($J38=9,$E38*$I38/12*1,0)))))+IF(DH$5&lt;&gt;$H38,0,IF(DH38&gt;0,IF($J38=7,$E38*$I38/12*0,IF($J38=8,$E38*$I38/12*1,IF($J38=9,$E38*$I38/12*2,IF($J38&gt;=10,$E38*$I38/12*3,0))))))</f>
        <v>0</v>
      </c>
      <c r="DL38" s="443">
        <f t="shared" ref="DL38" si="531">IF($H38&lt;&gt;DM$5,0,IF(DM38&gt;0,IF(OR($J38=1,$J38=2,$J38=3,$J38=4,$J38=5,$J38=6,$J38=7,$J38=8,$J38=9,$J38=10),$E38*$I38/12*3,IF($J38=11,$E38*$I38/12*2,IF($J38=12,$E38*$I38/12*1,0)))))+IF(DH$5&lt;&gt;$H38,0,IF(DH38&gt;0,IF($J38=10,$E38*$I38/12*0,IF($J38=11,$E38*$I38/12*1,IF($J38=12,$E38*$I38/12*2,0)))))</f>
        <v>0</v>
      </c>
      <c r="DM38" s="440">
        <f t="shared" ref="DM38" si="532">IF(AND(DH38&lt;&gt;0,DH$5=$H38),$I38*$E38-DH38,IF(DM$5=$H38,$I38*$E38*(12-$J38+1)/12,0))</f>
        <v>0</v>
      </c>
      <c r="DN38" s="441">
        <f t="shared" ref="DN38" si="533">IF($H38&lt;&gt;DR$5,0,IF(DR38&gt;0,IF($J38=1,$E38*$I38/12*3,IF($J38=2,$E38*$I38/12*2,IF($J38=3,$E38*$I38/12*1,0)))))+IF(DM$5&lt;&gt;$H38,0,IF(DM38&gt;0,IF($J38=1,$E38*$I38/12*0,IF($J38=2,$E38*$I38/12*1,IF($J38=3,$E38*$I38/12*2,IF($J38&gt;=4,$E38*$I38/12*3,0))))))</f>
        <v>0</v>
      </c>
      <c r="DO38" s="442">
        <f t="shared" ref="DO38" si="534">IF($H38&lt;&gt;DR$5,0,IF(DR38&gt;0,IF(OR($J38=1,$J38=2,$J38=3,$J38=4),$E38*$I38/12*3,IF($J38=5,$E38*$I38/12*2,IF($J38=6,$E38*$I38/12*1,0)))))+IF(DM$5&lt;&gt;$H38,0,IF(DM38&gt;0,IF($J38=4,$E38*$I38/12*0,IF($J38=5,$E38*$I38/12*1,IF($J38=6,$E38*$I38/12*2,IF($J38&gt;=7,$E38*$I38/12*3,0))))))</f>
        <v>0</v>
      </c>
      <c r="DP38" s="442">
        <f t="shared" ref="DP38" si="535">IF($H38&lt;&gt;DR$5,0,IF(DR38&gt;0,IF(OR($J38=1,$J38=2,$J38=3,$J38=4,$J38=5,$J38=6,$J38=7),$E38*$I38/12*3,IF($J38=8,$E38*$I38/12*2,IF($J38=9,$E38*$I38/12*1,0)))))+IF(DM$5&lt;&gt;$H38,0,IF(DM38&gt;0,IF($J38=7,$E38*$I38/12*0,IF($J38=8,$E38*$I38/12*1,IF($J38=9,$E38*$I38/12*2,IF($J38&gt;=10,$E38*$I38/12*3,0))))))</f>
        <v>0</v>
      </c>
      <c r="DQ38" s="443">
        <f t="shared" ref="DQ38" si="536">IF($H38&lt;&gt;DR$5,0,IF(DR38&gt;0,IF(OR($J38=1,$J38=2,$J38=3,$J38=4,$J38=5,$J38=6,$J38=7,$J38=8,$J38=9,$J38=10),$E38*$I38/12*3,IF($J38=11,$E38*$I38/12*2,IF($J38=12,$E38*$I38/12*1,0)))))+IF(DM$5&lt;&gt;$H38,0,IF(DM38&gt;0,IF($J38=10,$E38*$I38/12*0,IF($J38=11,$E38*$I38/12*1,IF($J38=12,$E38*$I38/12*2,0)))))</f>
        <v>0</v>
      </c>
      <c r="DR38" s="440">
        <f t="shared" ref="DR38" si="537">IF(AND(DM38&lt;&gt;0,DM$5=$H38),$I38*$E38-DM38,IF(DR$5=$H38,$I38*$E38*(12-$J38+1)/12,0))</f>
        <v>0</v>
      </c>
    </row>
    <row r="39" spans="1:122" ht="12.75" customHeight="1">
      <c r="A39" s="92"/>
      <c r="B39" s="92"/>
      <c r="C39" s="25" t="s">
        <v>139</v>
      </c>
      <c r="D39" s="560"/>
      <c r="E39" s="325">
        <f>Parent!BB53</f>
        <v>0</v>
      </c>
      <c r="F39" s="558"/>
      <c r="G39" s="558"/>
      <c r="H39" s="662">
        <v>2018</v>
      </c>
      <c r="I39" s="652">
        <v>0.05</v>
      </c>
      <c r="J39" s="655">
        <v>6</v>
      </c>
      <c r="K39" s="528"/>
      <c r="L39" s="441">
        <f t="shared" ref="L39:L41" si="538">IF(P39=0,0,IF(P39&gt;0,IF($J39=3,P39,IF($J39=2,P39,IF($J39=1,P39,0)))))</f>
        <v>0</v>
      </c>
      <c r="M39" s="442">
        <f t="shared" ref="M39:M41" si="539">IF(P39=0,0,IF(P39&gt;0,IF($J39=6,P39,IF($J39=5,P39,IF($J39=4,P39,0)))))</f>
        <v>0</v>
      </c>
      <c r="N39" s="442">
        <f t="shared" ref="N39:N41" si="540">IF(P39=0,0,IF(P39&gt;0,IF($J39=9,P39,IF($J39=8,P39,IF($J39=7,P39,0)))))</f>
        <v>0</v>
      </c>
      <c r="O39" s="443">
        <f t="shared" ref="O39:O41" si="541">IF(P39=0,0,IF(P39&gt;0,IF($J39=12,P39,IF($J39=11,P39,IF($J39=10,P39,0)))))</f>
        <v>0</v>
      </c>
      <c r="P39" s="440">
        <f t="shared" si="242"/>
        <v>0</v>
      </c>
      <c r="Q39" s="441">
        <f t="shared" ref="Q39:Q41" si="542">IF(U39=0,0,IF(U39&gt;0,IF($J39=3,U39,IF($J39=2,U39,IF($J39=1,U39,0)))))</f>
        <v>0</v>
      </c>
      <c r="R39" s="442">
        <f t="shared" ref="R39:R41" si="543">IF(U39=0,0,IF(U39&gt;0,IF($J39=6,U39,IF($J39=5,U39,IF($J39=4,U39,0)))))</f>
        <v>0</v>
      </c>
      <c r="S39" s="442">
        <f t="shared" ref="S39:S41" si="544">IF(U39=0,0,IF(U39&gt;0,IF($J39=9,U39,IF($J39=8,U39,IF($J39=7,U39,0)))))</f>
        <v>0</v>
      </c>
      <c r="T39" s="443">
        <f t="shared" ref="T39:T41" si="545">IF(U39=0,0,IF(U39&gt;0,IF($J39=12,U39,IF($J39=11,U39,IF($J39=10,U39,0)))))</f>
        <v>0</v>
      </c>
      <c r="U39" s="440">
        <f t="shared" si="247"/>
        <v>0</v>
      </c>
      <c r="V39" s="441">
        <f t="shared" ref="V39:V41" si="546">IF(Z39=0,0,IF(Z39&gt;0,IF($J39=3,Z39,IF($J39=2,Z39,IF($J39=1,Z39,0)))))</f>
        <v>0</v>
      </c>
      <c r="W39" s="442">
        <f t="shared" ref="W39:W41" si="547">IF(Z39=0,0,IF(Z39&gt;0,IF($J39=6,Z39,IF($J39=5,Z39,IF($J39=4,Z39,0)))))</f>
        <v>0</v>
      </c>
      <c r="X39" s="442">
        <f t="shared" ref="X39:X41" si="548">IF(Z39=0,0,IF(Z39&gt;0,IF($J39=9,Z39,IF($J39=8,Z39,IF($J39=7,Z39,0)))))</f>
        <v>0</v>
      </c>
      <c r="Y39" s="443">
        <f t="shared" ref="Y39:Y41" si="549">IF(Z39=0,0,IF(Z39&gt;0,IF($J39=12,Z39,IF($J39=11,Z39,IF($J39=10,Z39,0)))))</f>
        <v>0</v>
      </c>
      <c r="Z39" s="440">
        <f t="shared" si="252"/>
        <v>0</v>
      </c>
      <c r="AA39" s="441">
        <f t="shared" ref="AA39:AA41" si="550">IF(AE39=0,0,IF(AE39&gt;0,IF($J39=3,AE39,IF($J39=2,AE39,IF($J39=1,AE39,0)))))</f>
        <v>0</v>
      </c>
      <c r="AB39" s="442">
        <f t="shared" ref="AB39:AB41" si="551">IF(AE39=0,0,IF(AE39&gt;0,IF($J39=6,AE39,IF($J39=5,AE39,IF($J39=4,AE39,0)))))</f>
        <v>0</v>
      </c>
      <c r="AC39" s="442">
        <f t="shared" ref="AC39:AC41" si="552">IF(AE39=0,0,IF(AE39&gt;0,IF($J39=9,AE39,IF($J39=8,AE39,IF($J39=7,AE39,0)))))</f>
        <v>0</v>
      </c>
      <c r="AD39" s="443">
        <f t="shared" ref="AD39:AD41" si="553">IF(AE39=0,0,IF(AE39&gt;0,IF($J39=12,AE39,IF($J39=11,AE39,IF($J39=10,AE39,0)))))</f>
        <v>0</v>
      </c>
      <c r="AE39" s="440">
        <f t="shared" si="257"/>
        <v>0</v>
      </c>
      <c r="AF39" s="441">
        <f t="shared" ref="AF39:AF41" si="554">IF(AJ39=0,0,IF(AJ39&gt;0,IF($J39=3,AJ39,IF($J39=2,AJ39,IF($J39=1,AJ39,0)))))</f>
        <v>0</v>
      </c>
      <c r="AG39" s="442">
        <f t="shared" ref="AG39:AG41" si="555">IF(AJ39=0,0,IF(AJ39&gt;0,IF($J39=6,AJ39,IF($J39=5,AJ39,IF($J39=4,AJ39,0)))))</f>
        <v>0</v>
      </c>
      <c r="AH39" s="442">
        <f t="shared" ref="AH39:AH41" si="556">IF(AJ39=0,0,IF(AJ39&gt;0,IF($J39=9,AJ39,IF($J39=8,AJ39,IF($J39=7,AJ39,0)))))</f>
        <v>0</v>
      </c>
      <c r="AI39" s="443">
        <f t="shared" ref="AI39:AI41" si="557">IF(AJ39=0,0,IF(AJ39&gt;0,IF($J39=12,AJ39,IF($J39=11,AJ39,IF($J39=10,AJ39,0)))))</f>
        <v>0</v>
      </c>
      <c r="AJ39" s="440">
        <f t="shared" si="262"/>
        <v>0</v>
      </c>
      <c r="AK39" s="441">
        <f t="shared" ref="AK39:AK41" si="558">IF(AO39=0,0,IF(AO39&gt;0,IF($J39=3,AO39,IF($J39=2,AO39,IF($J39=1,AO39,0)))))</f>
        <v>0</v>
      </c>
      <c r="AL39" s="442">
        <f t="shared" ref="AL39:AL41" si="559">IF(AO39=0,0,IF(AO39&gt;0,IF($J39=6,AO39,IF($J39=5,AO39,IF($J39=4,AO39,0)))))</f>
        <v>0</v>
      </c>
      <c r="AM39" s="442">
        <f t="shared" ref="AM39:AM41" si="560">IF(AO39=0,0,IF(AO39&gt;0,IF($J39=9,AO39,IF($J39=8,AO39,IF($J39=7,AO39,0)))))</f>
        <v>0</v>
      </c>
      <c r="AN39" s="443">
        <f t="shared" ref="AN39:AN41" si="561">IF(AO39=0,0,IF(AO39&gt;0,IF($J39=12,AO39,IF($J39=11,AO39,IF($J39=10,AO39,0)))))</f>
        <v>0</v>
      </c>
      <c r="AO39" s="440">
        <f t="shared" si="267"/>
        <v>0</v>
      </c>
      <c r="AP39" s="441">
        <f t="shared" ref="AP39:AP41" si="562">IF(AT39=0,0,IF(AT39&gt;0,IF($J39=3,AT39,IF($J39=2,AT39,IF($J39=1,AT39,0)))))</f>
        <v>0</v>
      </c>
      <c r="AQ39" s="442">
        <f t="shared" ref="AQ39:AQ41" si="563">IF(AT39=0,0,IF(AT39&gt;0,IF($J39=6,AT39,IF($J39=5,AT39,IF($J39=4,AT39,0)))))</f>
        <v>0</v>
      </c>
      <c r="AR39" s="442">
        <f t="shared" ref="AR39:AR41" si="564">IF(AT39=0,0,IF(AT39&gt;0,IF($J39=9,AT39,IF($J39=8,AT39,IF($J39=7,AT39,0)))))</f>
        <v>0</v>
      </c>
      <c r="AS39" s="443">
        <f t="shared" ref="AS39:AS41" si="565">IF(AT39=0,0,IF(AT39&gt;0,IF($J39=12,AT39,IF($J39=11,AT39,IF($J39=10,AT39,0)))))</f>
        <v>0</v>
      </c>
      <c r="AT39" s="440">
        <f t="shared" si="272"/>
        <v>0</v>
      </c>
      <c r="AU39" s="441">
        <f t="shared" ref="AU39:AU41" si="566">IF(AY39=0,0,IF(AY39&gt;0,IF($J39=3,AY39,IF($J39=2,AY39,IF($J39=1,AY39,0)))))</f>
        <v>0</v>
      </c>
      <c r="AV39" s="442">
        <f t="shared" ref="AV39:AV41" si="567">IF(AY39=0,0,IF(AY39&gt;0,IF($J39=6,AY39,IF($J39=5,AY39,IF($J39=4,AY39,0)))))</f>
        <v>0</v>
      </c>
      <c r="AW39" s="442">
        <f t="shared" ref="AW39:AW41" si="568">IF(AY39=0,0,IF(AY39&gt;0,IF($J39=9,AY39,IF($J39=8,AY39,IF($J39=7,AY39,0)))))</f>
        <v>0</v>
      </c>
      <c r="AX39" s="443">
        <f t="shared" ref="AX39:AX41" si="569">IF(AY39=0,0,IF(AY39&gt;0,IF($J39=12,AY39,IF($J39=11,AY39,IF($J39=10,AY39,0)))))</f>
        <v>0</v>
      </c>
      <c r="AY39" s="440">
        <f t="shared" si="277"/>
        <v>0</v>
      </c>
      <c r="AZ39" s="441">
        <f t="shared" ref="AZ39:AZ41" si="570">IF(BD39=0,0,IF(BD39&gt;0,IF($J39=3,BD39,IF($J39=2,BD39,IF($J39=1,BD39,0)))))</f>
        <v>0</v>
      </c>
      <c r="BA39" s="442">
        <f t="shared" ref="BA39:BA41" si="571">IF(BD39=0,0,IF(BD39&gt;0,IF($J39=6,BD39,IF($J39=5,BD39,IF($J39=4,BD39,0)))))</f>
        <v>0</v>
      </c>
      <c r="BB39" s="442">
        <f t="shared" ref="BB39:BB41" si="572">IF(BD39=0,0,IF(BD39&gt;0,IF($J39=9,BD39,IF($J39=8,BD39,IF($J39=7,BD39,0)))))</f>
        <v>0</v>
      </c>
      <c r="BC39" s="443">
        <f t="shared" ref="BC39:BC41" si="573">IF(BD39=0,0,IF(BD39&gt;0,IF($J39=12,BD39,IF($J39=11,BD39,IF($J39=10,BD39,0)))))</f>
        <v>0</v>
      </c>
      <c r="BD39" s="440">
        <f t="shared" si="282"/>
        <v>0</v>
      </c>
      <c r="BE39" s="441">
        <f t="shared" ref="BE39:BE41" si="574">IF(BI39=0,0,IF(BI39&gt;0,IF($J39=3,BI39,IF($J39=2,BI39,IF($J39=1,BI39,0)))))</f>
        <v>0</v>
      </c>
      <c r="BF39" s="442">
        <f t="shared" ref="BF39:BF41" si="575">IF(BI39=0,0,IF(BI39&gt;0,IF($J39=6,BI39,IF($J39=5,BI39,IF($J39=4,BI39,0)))))</f>
        <v>0</v>
      </c>
      <c r="BG39" s="442">
        <f t="shared" ref="BG39:BG41" si="576">IF(BI39=0,0,IF(BI39&gt;0,IF($J39=9,BI39,IF($J39=8,BI39,IF($J39=7,BI39,0)))))</f>
        <v>0</v>
      </c>
      <c r="BH39" s="443">
        <f t="shared" ref="BH39:BH41" si="577">IF(BI39=0,0,IF(BI39&gt;0,IF($J39=12,BI39,IF($J39=11,BI39,IF($J39=10,BI39,0)))))</f>
        <v>0</v>
      </c>
      <c r="BI39" s="440">
        <f t="shared" si="287"/>
        <v>0</v>
      </c>
      <c r="BJ39" s="441">
        <f t="shared" ref="BJ39:BJ41" si="578">IF(BN39=0,0,IF(BN39&gt;0,IF($J39=3,BN39,IF($J39=2,BN39,IF($J39=1,BN39,0)))))</f>
        <v>0</v>
      </c>
      <c r="BK39" s="442">
        <f t="shared" ref="BK39:BK41" si="579">IF(BN39=0,0,IF(BN39&gt;0,IF($J39=6,BN39,IF($J39=5,BN39,IF($J39=4,BN39,0)))))</f>
        <v>0</v>
      </c>
      <c r="BL39" s="442">
        <f t="shared" ref="BL39:BL41" si="580">IF(BN39=0,0,IF(BN39&gt;0,IF($J39=9,BN39,IF($J39=8,BN39,IF($J39=7,BN39,0)))))</f>
        <v>0</v>
      </c>
      <c r="BM39" s="443">
        <f t="shared" ref="BM39:BM41" si="581">IF(BN39=0,0,IF(BN39&gt;0,IF($J39=12,BN39,IF($J39=11,BN39,IF($J39=10,BN39,0)))))</f>
        <v>0</v>
      </c>
      <c r="BN39" s="440">
        <f t="shared" si="292"/>
        <v>0</v>
      </c>
      <c r="BO39" s="463"/>
      <c r="BP39" s="441">
        <f t="shared" ref="BP39:BP41" si="582">IF($H39&lt;&gt;BT$5,0,IF(BT39&gt;0,IF($J39=1,$E39*$I39/12*3,IF($J39=2,$E39*$I39/12*2,IF($J39=3,$E39*$I39/12*1,0)))))+IF(BO$5&lt;&gt;$H39,0,IF(BO39&gt;0,IF($J39=1,$E39*$I39/12*0,IF($J39=2,$E39*$I39/12*1,IF($J39=3,$E39*$I39/12*2,IF($J39&gt;=4,$E39*$I39/12*3,0))))))</f>
        <v>0</v>
      </c>
      <c r="BQ39" s="442">
        <f t="shared" ref="BQ39:BQ41" si="583">IF($H39&lt;&gt;BT$5,0,IF(BT39&gt;0,IF(OR($J39=1,$J39=2,$J39=3,$J39=4),$E39*$I39/12*3,IF($J39=5,$E39*$I39/12*2,IF($J39=6,$E39*$I39/12*1,0)))))+IF(BO$5&lt;&gt;$H39,0,IF(BO39&gt;0,IF($J39=4,$E39*$I39/12*0,IF($J39=5,$E39*$I39/12*1,IF($J39=6,$E39*$I39/12*2,IF($J39&gt;=7,$E39*$I39/12*3,0))))))</f>
        <v>0</v>
      </c>
      <c r="BR39" s="442">
        <f t="shared" ref="BR39:BR41" si="584">IF($H39&lt;&gt;BT$5,0,IF(BT39&gt;0,IF(OR($J39=1,$J39=2,$J39=3,$J39=4,$J39=5,$J39=6,$J39=7),$E39*$I39/12*3,IF($J39=8,$E39*$I39/12*2,IF($J39=9,$E39*$I39/12*1,0)))))+IF(BO$5&lt;&gt;$H39,0,IF(BO39&gt;0,IF($J39=7,$E39*$I39/12*0,IF($J39=8,$E39*$I39/12*1,IF($J39=9,$E39*$I39/12*2,IF($J39&gt;=10,$E39*$I39/12*3,0))))))</f>
        <v>0</v>
      </c>
      <c r="BS39" s="443">
        <f t="shared" ref="BS39:BS41" si="585">IF($H39&lt;&gt;BT$5,0,IF(BT39&gt;0,IF(OR($J39=1,$J39=2,$J39=3,$J39=4,$J39=5,$J39=6,$J39=7,$J39=8,$J39=9,$J39=10),$E39*$I39/12*3,IF($J39=11,$E39*$I39/12*2,IF($J39=12,$E39*$I39/12*1,0)))))+IF(BO$5&lt;&gt;$H39,0,IF(BO39&gt;0,IF($J39=10,$E39*$I39/12*0,IF($J39=11,$E39*$I39/12*1,IF($J39=12,$E39*$I39/12*2,0)))))</f>
        <v>0</v>
      </c>
      <c r="BT39" s="440">
        <f t="shared" ref="BT39:BT41" si="586">IF(AND(BO39&lt;&gt;0,BO$5=$H39),$I39*$E39-BO39,IF(BT$5=$H39,$I39*$E39*(12-$J39+1)/12,0))</f>
        <v>0</v>
      </c>
      <c r="BU39" s="441">
        <f t="shared" ref="BU39:BU41" si="587">IF($H39&lt;&gt;BY$5,0,IF(BY39&gt;0,IF($J39=1,$E39*$I39/12*3,IF($J39=2,$E39*$I39/12*2,IF($J39=3,$E39*$I39/12*1,0)))))+IF(BT$5&lt;&gt;$H39,0,IF(BT39&gt;0,IF($J39=1,$E39*$I39/12*0,IF($J39=2,$E39*$I39/12*1,IF($J39=3,$E39*$I39/12*2,IF($J39&gt;=4,$E39*$I39/12*3,0))))))</f>
        <v>0</v>
      </c>
      <c r="BV39" s="442">
        <f t="shared" ref="BV39:BV41" si="588">IF($H39&lt;&gt;BY$5,0,IF(BY39&gt;0,IF(OR($J39=1,$J39=2,$J39=3,$J39=4),$E39*$I39/12*3,IF($J39=5,$E39*$I39/12*2,IF($J39=6,$E39*$I39/12*1,0)))))+IF(BT$5&lt;&gt;$H39,0,IF(BT39&gt;0,IF($J39=4,$E39*$I39/12*0,IF($J39=5,$E39*$I39/12*1,IF($J39=6,$E39*$I39/12*2,IF($J39&gt;=7,$E39*$I39/12*3,0))))))</f>
        <v>0</v>
      </c>
      <c r="BW39" s="442">
        <f t="shared" ref="BW39:BW41" si="589">IF($H39&lt;&gt;BY$5,0,IF(BY39&gt;0,IF(OR($J39=1,$J39=2,$J39=3,$J39=4,$J39=5,$J39=6,$J39=7),$E39*$I39/12*3,IF($J39=8,$E39*$I39/12*2,IF($J39=9,$E39*$I39/12*1,0)))))+IF(BT$5&lt;&gt;$H39,0,IF(BT39&gt;0,IF($J39=7,$E39*$I39/12*0,IF($J39=8,$E39*$I39/12*1,IF($J39=9,$E39*$I39/12*2,IF($J39&gt;=10,$E39*$I39/12*3,0))))))</f>
        <v>0</v>
      </c>
      <c r="BX39" s="443">
        <f t="shared" ref="BX39:BX41" si="590">IF($H39&lt;&gt;BY$5,0,IF(BY39&gt;0,IF(OR($J39=1,$J39=2,$J39=3,$J39=4,$J39=5,$J39=6,$J39=7,$J39=8,$J39=9,$J39=10),$E39*$I39/12*3,IF($J39=11,$E39*$I39/12*2,IF($J39=12,$E39*$I39/12*1,0)))))+IF(BT$5&lt;&gt;$H39,0,IF(BT39&gt;0,IF($J39=10,$E39*$I39/12*0,IF($J39=11,$E39*$I39/12*1,IF($J39=12,$E39*$I39/12*2,0)))))</f>
        <v>0</v>
      </c>
      <c r="BY39" s="440">
        <f t="shared" ref="BY39:BY41" si="591">IF(AND(BT39&lt;&gt;0,BT$5=$H39),$I39*$E39-BT39,IF(BY$5=$H39,$I39*$E39*(12-$J39+1)/12,0))</f>
        <v>0</v>
      </c>
      <c r="BZ39" s="441">
        <f t="shared" ref="BZ39:BZ41" si="592">IF($H39&lt;&gt;CD$5,0,IF(CD39&gt;0,IF($J39=1,$E39*$I39/12*3,IF($J39=2,$E39*$I39/12*2,IF($J39=3,$E39*$I39/12*1,0)))))+IF(BY$5&lt;&gt;$H39,0,IF(BY39&gt;0,IF($J39=1,$E39*$I39/12*0,IF($J39=2,$E39*$I39/12*1,IF($J39=3,$E39*$I39/12*2,IF($J39&gt;=4,$E39*$I39/12*3,0))))))</f>
        <v>0</v>
      </c>
      <c r="CA39" s="442">
        <f t="shared" ref="CA39:CA41" si="593">IF($H39&lt;&gt;CD$5,0,IF(CD39&gt;0,IF(OR($J39=1,$J39=2,$J39=3,$J39=4),$E39*$I39/12*3,IF($J39=5,$E39*$I39/12*2,IF($J39=6,$E39*$I39/12*1,0)))))+IF(BY$5&lt;&gt;$H39,0,IF(BY39&gt;0,IF($J39=4,$E39*$I39/12*0,IF($J39=5,$E39*$I39/12*1,IF($J39=6,$E39*$I39/12*2,IF($J39&gt;=7,$E39*$I39/12*3,0))))))</f>
        <v>0</v>
      </c>
      <c r="CB39" s="442">
        <f t="shared" ref="CB39:CB41" si="594">IF($H39&lt;&gt;CD$5,0,IF(CD39&gt;0,IF(OR($J39=1,$J39=2,$J39=3,$J39=4,$J39=5,$J39=6,$J39=7),$E39*$I39/12*3,IF($J39=8,$E39*$I39/12*2,IF($J39=9,$E39*$I39/12*1,0)))))+IF(BY$5&lt;&gt;$H39,0,IF(BY39&gt;0,IF($J39=7,$E39*$I39/12*0,IF($J39=8,$E39*$I39/12*1,IF($J39=9,$E39*$I39/12*2,IF($J39&gt;=10,$E39*$I39/12*3,0))))))</f>
        <v>0</v>
      </c>
      <c r="CC39" s="443">
        <f t="shared" ref="CC39:CC41" si="595">IF($H39&lt;&gt;CD$5,0,IF(CD39&gt;0,IF(OR($J39=1,$J39=2,$J39=3,$J39=4,$J39=5,$J39=6,$J39=7,$J39=8,$J39=9,$J39=10),$E39*$I39/12*3,IF($J39=11,$E39*$I39/12*2,IF($J39=12,$E39*$I39/12*1,0)))))+IF(BY$5&lt;&gt;$H39,0,IF(BY39&gt;0,IF($J39=10,$E39*$I39/12*0,IF($J39=11,$E39*$I39/12*1,IF($J39=12,$E39*$I39/12*2,0)))))</f>
        <v>0</v>
      </c>
      <c r="CD39" s="440">
        <f t="shared" ref="CD39:CD41" si="596">IF(AND(BY39&lt;&gt;0,BY$5=$H39),$I39*$E39-BY39,IF(CD$5=$H39,$I39*$E39*(12-$J39+1)/12,0))</f>
        <v>0</v>
      </c>
      <c r="CE39" s="441">
        <f t="shared" ref="CE39:CE41" si="597">IF($H39&lt;&gt;CI$5,0,IF(CI39&gt;0,IF($J39=1,$E39*$I39/12*3,IF($J39=2,$E39*$I39/12*2,IF($J39=3,$E39*$I39/12*1,0)))))+IF(CD$5&lt;&gt;$H39,0,IF(CD39&gt;0,IF($J39=1,$E39*$I39/12*0,IF($J39=2,$E39*$I39/12*1,IF($J39=3,$E39*$I39/12*2,IF($J39&gt;=4,$E39*$I39/12*3,0))))))</f>
        <v>0</v>
      </c>
      <c r="CF39" s="442">
        <f t="shared" ref="CF39:CF41" si="598">IF($H39&lt;&gt;CI$5,0,IF(CI39&gt;0,IF(OR($J39=1,$J39=2,$J39=3,$J39=4),$E39*$I39/12*3,IF($J39=5,$E39*$I39/12*2,IF($J39=6,$E39*$I39/12*1,0)))))+IF(CD$5&lt;&gt;$H39,0,IF(CD39&gt;0,IF($J39=4,$E39*$I39/12*0,IF($J39=5,$E39*$I39/12*1,IF($J39=6,$E39*$I39/12*2,IF($J39&gt;=7,$E39*$I39/12*3,0))))))</f>
        <v>0</v>
      </c>
      <c r="CG39" s="442">
        <f t="shared" ref="CG39:CG41" si="599">IF($H39&lt;&gt;CI$5,0,IF(CI39&gt;0,IF(OR($J39=1,$J39=2,$J39=3,$J39=4,$J39=5,$J39=6,$J39=7),$E39*$I39/12*3,IF($J39=8,$E39*$I39/12*2,IF($J39=9,$E39*$I39/12*1,0)))))+IF(CD$5&lt;&gt;$H39,0,IF(CD39&gt;0,IF($J39=7,$E39*$I39/12*0,IF($J39=8,$E39*$I39/12*1,IF($J39=9,$E39*$I39/12*2,IF($J39&gt;=10,$E39*$I39/12*3,0))))))</f>
        <v>0</v>
      </c>
      <c r="CH39" s="443">
        <f t="shared" ref="CH39:CH41" si="600">IF($H39&lt;&gt;CI$5,0,IF(CI39&gt;0,IF(OR($J39=1,$J39=2,$J39=3,$J39=4,$J39=5,$J39=6,$J39=7,$J39=8,$J39=9,$J39=10),$E39*$I39/12*3,IF($J39=11,$E39*$I39/12*2,IF($J39=12,$E39*$I39/12*1,0)))))+IF(CD$5&lt;&gt;$H39,0,IF(CD39&gt;0,IF($J39=10,$E39*$I39/12*0,IF($J39=11,$E39*$I39/12*1,IF($J39=12,$E39*$I39/12*2,0)))))</f>
        <v>0</v>
      </c>
      <c r="CI39" s="440">
        <f t="shared" ref="CI39:CI41" si="601">IF(AND(CD39&lt;&gt;0,CD$5=$H39),$I39*$E39-CD39,IF(CI$5=$H39,$I39*$E39*(12-$J39+1)/12,0))</f>
        <v>0</v>
      </c>
      <c r="CJ39" s="441">
        <f t="shared" ref="CJ39:CJ41" si="602">IF($H39&lt;&gt;CN$5,0,IF(CN39&gt;0,IF($J39=1,$E39*$I39/12*3,IF($J39=2,$E39*$I39/12*2,IF($J39=3,$E39*$I39/12*1,0)))))+IF(CI$5&lt;&gt;$H39,0,IF(CI39&gt;0,IF($J39=1,$E39*$I39/12*0,IF($J39=2,$E39*$I39/12*1,IF($J39=3,$E39*$I39/12*2,IF($J39&gt;=4,$E39*$I39/12*3,0))))))</f>
        <v>0</v>
      </c>
      <c r="CK39" s="442">
        <f t="shared" ref="CK39:CK41" si="603">IF($H39&lt;&gt;CN$5,0,IF(CN39&gt;0,IF(OR($J39=1,$J39=2,$J39=3,$J39=4),$E39*$I39/12*3,IF($J39=5,$E39*$I39/12*2,IF($J39=6,$E39*$I39/12*1,0)))))+IF(CI$5&lt;&gt;$H39,0,IF(CI39&gt;0,IF($J39=4,$E39*$I39/12*0,IF($J39=5,$E39*$I39/12*1,IF($J39=6,$E39*$I39/12*2,IF($J39&gt;=7,$E39*$I39/12*3,0))))))</f>
        <v>0</v>
      </c>
      <c r="CL39" s="442">
        <f t="shared" ref="CL39:CL41" si="604">IF($H39&lt;&gt;CN$5,0,IF(CN39&gt;0,IF(OR($J39=1,$J39=2,$J39=3,$J39=4,$J39=5,$J39=6,$J39=7),$E39*$I39/12*3,IF($J39=8,$E39*$I39/12*2,IF($J39=9,$E39*$I39/12*1,0)))))+IF(CI$5&lt;&gt;$H39,0,IF(CI39&gt;0,IF($J39=7,$E39*$I39/12*0,IF($J39=8,$E39*$I39/12*1,IF($J39=9,$E39*$I39/12*2,IF($J39&gt;=10,$E39*$I39/12*3,0))))))</f>
        <v>0</v>
      </c>
      <c r="CM39" s="443">
        <f t="shared" ref="CM39:CM41" si="605">IF($H39&lt;&gt;CN$5,0,IF(CN39&gt;0,IF(OR($J39=1,$J39=2,$J39=3,$J39=4,$J39=5,$J39=6,$J39=7,$J39=8,$J39=9,$J39=10),$E39*$I39/12*3,IF($J39=11,$E39*$I39/12*2,IF($J39=12,$E39*$I39/12*1,0)))))+IF(CI$5&lt;&gt;$H39,0,IF(CI39&gt;0,IF($J39=10,$E39*$I39/12*0,IF($J39=11,$E39*$I39/12*1,IF($J39=12,$E39*$I39/12*2,0)))))</f>
        <v>0</v>
      </c>
      <c r="CN39" s="440">
        <f t="shared" ref="CN39:CN41" si="606">IF(AND(CI39&lt;&gt;0,CI$5=$H39),$I39*$E39-CI39,IF(CN$5=$H39,$I39*$E39*(12-$J39+1)/12,0))</f>
        <v>0</v>
      </c>
      <c r="CO39" s="441">
        <f t="shared" ref="CO39:CO41" si="607">IF($H39&lt;&gt;CS$5,0,IF(CS39&gt;0,IF($J39=1,$E39*$I39/12*3,IF($J39=2,$E39*$I39/12*2,IF($J39=3,$E39*$I39/12*1,0)))))+IF(CN$5&lt;&gt;$H39,0,IF(CN39&gt;0,IF($J39=1,$E39*$I39/12*0,IF($J39=2,$E39*$I39/12*1,IF($J39=3,$E39*$I39/12*2,IF($J39&gt;=4,$E39*$I39/12*3,0))))))</f>
        <v>0</v>
      </c>
      <c r="CP39" s="442">
        <f t="shared" ref="CP39:CP41" si="608">IF($H39&lt;&gt;CS$5,0,IF(CS39&gt;0,IF(OR($J39=1,$J39=2,$J39=3,$J39=4),$E39*$I39/12*3,IF($J39=5,$E39*$I39/12*2,IF($J39=6,$E39*$I39/12*1,0)))))+IF(CN$5&lt;&gt;$H39,0,IF(CN39&gt;0,IF($J39=4,$E39*$I39/12*0,IF($J39=5,$E39*$I39/12*1,IF($J39=6,$E39*$I39/12*2,IF($J39&gt;=7,$E39*$I39/12*3,0))))))</f>
        <v>0</v>
      </c>
      <c r="CQ39" s="442">
        <f t="shared" ref="CQ39:CQ41" si="609">IF($H39&lt;&gt;CS$5,0,IF(CS39&gt;0,IF(OR($J39=1,$J39=2,$J39=3,$J39=4,$J39=5,$J39=6,$J39=7),$E39*$I39/12*3,IF($J39=8,$E39*$I39/12*2,IF($J39=9,$E39*$I39/12*1,0)))))+IF(CN$5&lt;&gt;$H39,0,IF(CN39&gt;0,IF($J39=7,$E39*$I39/12*0,IF($J39=8,$E39*$I39/12*1,IF($J39=9,$E39*$I39/12*2,IF($J39&gt;=10,$E39*$I39/12*3,0))))))</f>
        <v>0</v>
      </c>
      <c r="CR39" s="443">
        <f t="shared" ref="CR39:CR41" si="610">IF($H39&lt;&gt;CS$5,0,IF(CS39&gt;0,IF(OR($J39=1,$J39=2,$J39=3,$J39=4,$J39=5,$J39=6,$J39=7,$J39=8,$J39=9,$J39=10),$E39*$I39/12*3,IF($J39=11,$E39*$I39/12*2,IF($J39=12,$E39*$I39/12*1,0)))))+IF(CN$5&lt;&gt;$H39,0,IF(CN39&gt;0,IF($J39=10,$E39*$I39/12*0,IF($J39=11,$E39*$I39/12*1,IF($J39=12,$E39*$I39/12*2,0)))))</f>
        <v>0</v>
      </c>
      <c r="CS39" s="440">
        <f t="shared" ref="CS39:CS41" si="611">IF(AND(CN39&lt;&gt;0,CN$5=$H39),$I39*$E39-CN39,IF(CS$5=$H39,$I39*$E39*(12-$J39+1)/12,0))</f>
        <v>0</v>
      </c>
      <c r="CT39" s="441">
        <f t="shared" ref="CT39:CT41" si="612">IF($H39&lt;&gt;CX$5,0,IF(CX39&gt;0,IF($J39=1,$E39*$I39/12*3,IF($J39=2,$E39*$I39/12*2,IF($J39=3,$E39*$I39/12*1,0)))))+IF(CS$5&lt;&gt;$H39,0,IF(CS39&gt;0,IF($J39=1,$E39*$I39/12*0,IF($J39=2,$E39*$I39/12*1,IF($J39=3,$E39*$I39/12*2,IF($J39&gt;=4,$E39*$I39/12*3,0))))))</f>
        <v>0</v>
      </c>
      <c r="CU39" s="442">
        <f t="shared" ref="CU39:CU41" si="613">IF($H39&lt;&gt;CX$5,0,IF(CX39&gt;0,IF(OR($J39=1,$J39=2,$J39=3,$J39=4),$E39*$I39/12*3,IF($J39=5,$E39*$I39/12*2,IF($J39=6,$E39*$I39/12*1,0)))))+IF(CS$5&lt;&gt;$H39,0,IF(CS39&gt;0,IF($J39=4,$E39*$I39/12*0,IF($J39=5,$E39*$I39/12*1,IF($J39=6,$E39*$I39/12*2,IF($J39&gt;=7,$E39*$I39/12*3,0))))))</f>
        <v>0</v>
      </c>
      <c r="CV39" s="442">
        <f t="shared" ref="CV39:CV41" si="614">IF($H39&lt;&gt;CX$5,0,IF(CX39&gt;0,IF(OR($J39=1,$J39=2,$J39=3,$J39=4,$J39=5,$J39=6,$J39=7),$E39*$I39/12*3,IF($J39=8,$E39*$I39/12*2,IF($J39=9,$E39*$I39/12*1,0)))))+IF(CS$5&lt;&gt;$H39,0,IF(CS39&gt;0,IF($J39=7,$E39*$I39/12*0,IF($J39=8,$E39*$I39/12*1,IF($J39=9,$E39*$I39/12*2,IF($J39&gt;=10,$E39*$I39/12*3,0))))))</f>
        <v>0</v>
      </c>
      <c r="CW39" s="443">
        <f t="shared" ref="CW39:CW41" si="615">IF($H39&lt;&gt;CX$5,0,IF(CX39&gt;0,IF(OR($J39=1,$J39=2,$J39=3,$J39=4,$J39=5,$J39=6,$J39=7,$J39=8,$J39=9,$J39=10),$E39*$I39/12*3,IF($J39=11,$E39*$I39/12*2,IF($J39=12,$E39*$I39/12*1,0)))))+IF(CS$5&lt;&gt;$H39,0,IF(CS39&gt;0,IF($J39=10,$E39*$I39/12*0,IF($J39=11,$E39*$I39/12*1,IF($J39=12,$E39*$I39/12*2,0)))))</f>
        <v>0</v>
      </c>
      <c r="CX39" s="440">
        <f t="shared" ref="CX39:CX41" si="616">IF(AND(CS39&lt;&gt;0,CS$5=$H39),$I39*$E39-CS39,IF(CX$5=$H39,$I39*$E39*(12-$J39+1)/12,0))</f>
        <v>0</v>
      </c>
      <c r="CY39" s="441">
        <f t="shared" ref="CY39:CY41" si="617">IF($H39&lt;&gt;DC$5,0,IF(DC39&gt;0,IF($J39=1,$E39*$I39/12*3,IF($J39=2,$E39*$I39/12*2,IF($J39=3,$E39*$I39/12*1,0)))))+IF(CX$5&lt;&gt;$H39,0,IF(CX39&gt;0,IF($J39=1,$E39*$I39/12*0,IF($J39=2,$E39*$I39/12*1,IF($J39=3,$E39*$I39/12*2,IF($J39&gt;=4,$E39*$I39/12*3,0))))))</f>
        <v>0</v>
      </c>
      <c r="CZ39" s="442">
        <f t="shared" ref="CZ39:CZ41" si="618">IF($H39&lt;&gt;DC$5,0,IF(DC39&gt;0,IF(OR($J39=1,$J39=2,$J39=3,$J39=4),$E39*$I39/12*3,IF($J39=5,$E39*$I39/12*2,IF($J39=6,$E39*$I39/12*1,0)))))+IF(CX$5&lt;&gt;$H39,0,IF(CX39&gt;0,IF($J39=4,$E39*$I39/12*0,IF($J39=5,$E39*$I39/12*1,IF($J39=6,$E39*$I39/12*2,IF($J39&gt;=7,$E39*$I39/12*3,0))))))</f>
        <v>0</v>
      </c>
      <c r="DA39" s="442">
        <f t="shared" ref="DA39:DA41" si="619">IF($H39&lt;&gt;DC$5,0,IF(DC39&gt;0,IF(OR($J39=1,$J39=2,$J39=3,$J39=4,$J39=5,$J39=6,$J39=7),$E39*$I39/12*3,IF($J39=8,$E39*$I39/12*2,IF($J39=9,$E39*$I39/12*1,0)))))+IF(CX$5&lt;&gt;$H39,0,IF(CX39&gt;0,IF($J39=7,$E39*$I39/12*0,IF($J39=8,$E39*$I39/12*1,IF($J39=9,$E39*$I39/12*2,IF($J39&gt;=10,$E39*$I39/12*3,0))))))</f>
        <v>0</v>
      </c>
      <c r="DB39" s="443">
        <f t="shared" ref="DB39:DB41" si="620">IF($H39&lt;&gt;DC$5,0,IF(DC39&gt;0,IF(OR($J39=1,$J39=2,$J39=3,$J39=4,$J39=5,$J39=6,$J39=7,$J39=8,$J39=9,$J39=10),$E39*$I39/12*3,IF($J39=11,$E39*$I39/12*2,IF($J39=12,$E39*$I39/12*1,0)))))+IF(CX$5&lt;&gt;$H39,0,IF(CX39&gt;0,IF($J39=10,$E39*$I39/12*0,IF($J39=11,$E39*$I39/12*1,IF($J39=12,$E39*$I39/12*2,0)))))</f>
        <v>0</v>
      </c>
      <c r="DC39" s="440">
        <f t="shared" ref="DC39:DC41" si="621">IF(AND(CX39&lt;&gt;0,CX$5=$H39),$I39*$E39-CX39,IF(DC$5=$H39,$I39*$E39*(12-$J39+1)/12,0))</f>
        <v>0</v>
      </c>
      <c r="DD39" s="441">
        <f t="shared" ref="DD39:DD41" si="622">IF($H39&lt;&gt;DH$5,0,IF(DH39&gt;0,IF($J39=1,$E39*$I39/12*3,IF($J39=2,$E39*$I39/12*2,IF($J39=3,$E39*$I39/12*1,0)))))+IF(DC$5&lt;&gt;$H39,0,IF(DC39&gt;0,IF($J39=1,$E39*$I39/12*0,IF($J39=2,$E39*$I39/12*1,IF($J39=3,$E39*$I39/12*2,IF($J39&gt;=4,$E39*$I39/12*3,0))))))</f>
        <v>0</v>
      </c>
      <c r="DE39" s="442">
        <f t="shared" ref="DE39:DE41" si="623">IF($H39&lt;&gt;DH$5,0,IF(DH39&gt;0,IF(OR($J39=1,$J39=2,$J39=3,$J39=4),$E39*$I39/12*3,IF($J39=5,$E39*$I39/12*2,IF($J39=6,$E39*$I39/12*1,0)))))+IF(DC$5&lt;&gt;$H39,0,IF(DC39&gt;0,IF($J39=4,$E39*$I39/12*0,IF($J39=5,$E39*$I39/12*1,IF($J39=6,$E39*$I39/12*2,IF($J39&gt;=7,$E39*$I39/12*3,0))))))</f>
        <v>0</v>
      </c>
      <c r="DF39" s="442">
        <f t="shared" ref="DF39:DF41" si="624">IF($H39&lt;&gt;DH$5,0,IF(DH39&gt;0,IF(OR($J39=1,$J39=2,$J39=3,$J39=4,$J39=5,$J39=6,$J39=7),$E39*$I39/12*3,IF($J39=8,$E39*$I39/12*2,IF($J39=9,$E39*$I39/12*1,0)))))+IF(DC$5&lt;&gt;$H39,0,IF(DC39&gt;0,IF($J39=7,$E39*$I39/12*0,IF($J39=8,$E39*$I39/12*1,IF($J39=9,$E39*$I39/12*2,IF($J39&gt;=10,$E39*$I39/12*3,0))))))</f>
        <v>0</v>
      </c>
      <c r="DG39" s="443">
        <f t="shared" ref="DG39:DG41" si="625">IF($H39&lt;&gt;DH$5,0,IF(DH39&gt;0,IF(OR($J39=1,$J39=2,$J39=3,$J39=4,$J39=5,$J39=6,$J39=7,$J39=8,$J39=9,$J39=10),$E39*$I39/12*3,IF($J39=11,$E39*$I39/12*2,IF($J39=12,$E39*$I39/12*1,0)))))+IF(DC$5&lt;&gt;$H39,0,IF(DC39&gt;0,IF($J39=10,$E39*$I39/12*0,IF($J39=11,$E39*$I39/12*1,IF($J39=12,$E39*$I39/12*2,0)))))</f>
        <v>0</v>
      </c>
      <c r="DH39" s="440">
        <f t="shared" ref="DH39:DH41" si="626">IF(AND(DC39&lt;&gt;0,DC$5=$H39),$I39*$E39-DC39,IF(DH$5=$H39,$I39*$E39*(12-$J39+1)/12,0))</f>
        <v>0</v>
      </c>
      <c r="DI39" s="441">
        <f t="shared" ref="DI39:DI41" si="627">IF($H39&lt;&gt;DM$5,0,IF(DM39&gt;0,IF($J39=1,$E39*$I39/12*3,IF($J39=2,$E39*$I39/12*2,IF($J39=3,$E39*$I39/12*1,0)))))+IF(DH$5&lt;&gt;$H39,0,IF(DH39&gt;0,IF($J39=1,$E39*$I39/12*0,IF($J39=2,$E39*$I39/12*1,IF($J39=3,$E39*$I39/12*2,IF($J39&gt;=4,$E39*$I39/12*3,0))))))</f>
        <v>0</v>
      </c>
      <c r="DJ39" s="442">
        <f t="shared" ref="DJ39:DJ41" si="628">IF($H39&lt;&gt;DM$5,0,IF(DM39&gt;0,IF(OR($J39=1,$J39=2,$J39=3,$J39=4),$E39*$I39/12*3,IF($J39=5,$E39*$I39/12*2,IF($J39=6,$E39*$I39/12*1,0)))))+IF(DH$5&lt;&gt;$H39,0,IF(DH39&gt;0,IF($J39=4,$E39*$I39/12*0,IF($J39=5,$E39*$I39/12*1,IF($J39=6,$E39*$I39/12*2,IF($J39&gt;=7,$E39*$I39/12*3,0))))))</f>
        <v>0</v>
      </c>
      <c r="DK39" s="442">
        <f t="shared" ref="DK39:DK41" si="629">IF($H39&lt;&gt;DM$5,0,IF(DM39&gt;0,IF(OR($J39=1,$J39=2,$J39=3,$J39=4,$J39=5,$J39=6,$J39=7),$E39*$I39/12*3,IF($J39=8,$E39*$I39/12*2,IF($J39=9,$E39*$I39/12*1,0)))))+IF(DH$5&lt;&gt;$H39,0,IF(DH39&gt;0,IF($J39=7,$E39*$I39/12*0,IF($J39=8,$E39*$I39/12*1,IF($J39=9,$E39*$I39/12*2,IF($J39&gt;=10,$E39*$I39/12*3,0))))))</f>
        <v>0</v>
      </c>
      <c r="DL39" s="443">
        <f t="shared" ref="DL39:DL41" si="630">IF($H39&lt;&gt;DM$5,0,IF(DM39&gt;0,IF(OR($J39=1,$J39=2,$J39=3,$J39=4,$J39=5,$J39=6,$J39=7,$J39=8,$J39=9,$J39=10),$E39*$I39/12*3,IF($J39=11,$E39*$I39/12*2,IF($J39=12,$E39*$I39/12*1,0)))))+IF(DH$5&lt;&gt;$H39,0,IF(DH39&gt;0,IF($J39=10,$E39*$I39/12*0,IF($J39=11,$E39*$I39/12*1,IF($J39=12,$E39*$I39/12*2,0)))))</f>
        <v>0</v>
      </c>
      <c r="DM39" s="440">
        <f t="shared" ref="DM39:DM41" si="631">IF(AND(DH39&lt;&gt;0,DH$5=$H39),$I39*$E39-DH39,IF(DM$5=$H39,$I39*$E39*(12-$J39+1)/12,0))</f>
        <v>0</v>
      </c>
      <c r="DN39" s="441">
        <f t="shared" ref="DN39:DN41" si="632">IF($H39&lt;&gt;DR$5,0,IF(DR39&gt;0,IF($J39=1,$E39*$I39/12*3,IF($J39=2,$E39*$I39/12*2,IF($J39=3,$E39*$I39/12*1,0)))))+IF(DM$5&lt;&gt;$H39,0,IF(DM39&gt;0,IF($J39=1,$E39*$I39/12*0,IF($J39=2,$E39*$I39/12*1,IF($J39=3,$E39*$I39/12*2,IF($J39&gt;=4,$E39*$I39/12*3,0))))))</f>
        <v>0</v>
      </c>
      <c r="DO39" s="442">
        <f t="shared" ref="DO39:DO41" si="633">IF($H39&lt;&gt;DR$5,0,IF(DR39&gt;0,IF(OR($J39=1,$J39=2,$J39=3,$J39=4),$E39*$I39/12*3,IF($J39=5,$E39*$I39/12*2,IF($J39=6,$E39*$I39/12*1,0)))))+IF(DM$5&lt;&gt;$H39,0,IF(DM39&gt;0,IF($J39=4,$E39*$I39/12*0,IF($J39=5,$E39*$I39/12*1,IF($J39=6,$E39*$I39/12*2,IF($J39&gt;=7,$E39*$I39/12*3,0))))))</f>
        <v>0</v>
      </c>
      <c r="DP39" s="442">
        <f t="shared" ref="DP39:DP41" si="634">IF($H39&lt;&gt;DR$5,0,IF(DR39&gt;0,IF(OR($J39=1,$J39=2,$J39=3,$J39=4,$J39=5,$J39=6,$J39=7),$E39*$I39/12*3,IF($J39=8,$E39*$I39/12*2,IF($J39=9,$E39*$I39/12*1,0)))))+IF(DM$5&lt;&gt;$H39,0,IF(DM39&gt;0,IF($J39=7,$E39*$I39/12*0,IF($J39=8,$E39*$I39/12*1,IF($J39=9,$E39*$I39/12*2,IF($J39&gt;=10,$E39*$I39/12*3,0))))))</f>
        <v>0</v>
      </c>
      <c r="DQ39" s="443">
        <f t="shared" ref="DQ39:DQ41" si="635">IF($H39&lt;&gt;DR$5,0,IF(DR39&gt;0,IF(OR($J39=1,$J39=2,$J39=3,$J39=4,$J39=5,$J39=6,$J39=7,$J39=8,$J39=9,$J39=10),$E39*$I39/12*3,IF($J39=11,$E39*$I39/12*2,IF($J39=12,$E39*$I39/12*1,0)))))+IF(DM$5&lt;&gt;$H39,0,IF(DM39&gt;0,IF($J39=10,$E39*$I39/12*0,IF($J39=11,$E39*$I39/12*1,IF($J39=12,$E39*$I39/12*2,0)))))</f>
        <v>0</v>
      </c>
      <c r="DR39" s="440">
        <f t="shared" ref="DR39:DR41" si="636">IF(AND(DM39&lt;&gt;0,DM$5=$H39),$I39*$E39-DM39,IF(DR$5=$H39,$I39*$E39*(12-$J39+1)/12,0))</f>
        <v>0</v>
      </c>
    </row>
    <row r="40" spans="1:122" ht="12.75" customHeight="1">
      <c r="A40" s="92"/>
      <c r="B40" s="92"/>
      <c r="C40" s="27" t="s">
        <v>987</v>
      </c>
      <c r="D40" s="560"/>
      <c r="E40" s="325">
        <f>Parent!$BG$53</f>
        <v>500</v>
      </c>
      <c r="F40" s="558"/>
      <c r="G40" s="558"/>
      <c r="H40" s="662">
        <v>2019</v>
      </c>
      <c r="I40" s="652">
        <v>0.05</v>
      </c>
      <c r="J40" s="655">
        <v>6</v>
      </c>
      <c r="K40" s="528"/>
      <c r="L40" s="441">
        <f t="shared" si="538"/>
        <v>0</v>
      </c>
      <c r="M40" s="442">
        <f t="shared" si="539"/>
        <v>0</v>
      </c>
      <c r="N40" s="442">
        <f t="shared" si="540"/>
        <v>0</v>
      </c>
      <c r="O40" s="443">
        <f t="shared" si="541"/>
        <v>0</v>
      </c>
      <c r="P40" s="440">
        <f t="shared" si="242"/>
        <v>0</v>
      </c>
      <c r="Q40" s="441">
        <f t="shared" si="542"/>
        <v>0</v>
      </c>
      <c r="R40" s="442">
        <f t="shared" si="543"/>
        <v>0</v>
      </c>
      <c r="S40" s="442">
        <f t="shared" si="544"/>
        <v>0</v>
      </c>
      <c r="T40" s="443">
        <f t="shared" si="545"/>
        <v>0</v>
      </c>
      <c r="U40" s="440">
        <f t="shared" si="247"/>
        <v>0</v>
      </c>
      <c r="V40" s="441">
        <f t="shared" si="546"/>
        <v>0</v>
      </c>
      <c r="W40" s="442">
        <f t="shared" si="547"/>
        <v>0</v>
      </c>
      <c r="X40" s="442">
        <f t="shared" si="548"/>
        <v>0</v>
      </c>
      <c r="Y40" s="443">
        <f t="shared" si="549"/>
        <v>0</v>
      </c>
      <c r="Z40" s="440">
        <f t="shared" si="252"/>
        <v>0</v>
      </c>
      <c r="AA40" s="441">
        <f t="shared" si="550"/>
        <v>0</v>
      </c>
      <c r="AB40" s="442">
        <f t="shared" si="551"/>
        <v>0</v>
      </c>
      <c r="AC40" s="442">
        <f t="shared" si="552"/>
        <v>0</v>
      </c>
      <c r="AD40" s="443">
        <f t="shared" si="553"/>
        <v>0</v>
      </c>
      <c r="AE40" s="440">
        <f t="shared" si="257"/>
        <v>0</v>
      </c>
      <c r="AF40" s="441">
        <f t="shared" si="554"/>
        <v>0</v>
      </c>
      <c r="AG40" s="442">
        <f t="shared" si="555"/>
        <v>0</v>
      </c>
      <c r="AH40" s="442">
        <f t="shared" si="556"/>
        <v>0</v>
      </c>
      <c r="AI40" s="443">
        <f t="shared" si="557"/>
        <v>0</v>
      </c>
      <c r="AJ40" s="440">
        <f t="shared" si="262"/>
        <v>0</v>
      </c>
      <c r="AK40" s="441">
        <f t="shared" si="558"/>
        <v>0</v>
      </c>
      <c r="AL40" s="442">
        <f t="shared" si="559"/>
        <v>0</v>
      </c>
      <c r="AM40" s="442">
        <f t="shared" si="560"/>
        <v>0</v>
      </c>
      <c r="AN40" s="443">
        <f t="shared" si="561"/>
        <v>0</v>
      </c>
      <c r="AO40" s="440">
        <f t="shared" si="267"/>
        <v>0</v>
      </c>
      <c r="AP40" s="441">
        <f t="shared" si="562"/>
        <v>0</v>
      </c>
      <c r="AQ40" s="442">
        <f t="shared" si="563"/>
        <v>0</v>
      </c>
      <c r="AR40" s="442">
        <f t="shared" si="564"/>
        <v>0</v>
      </c>
      <c r="AS40" s="443">
        <f t="shared" si="565"/>
        <v>0</v>
      </c>
      <c r="AT40" s="440">
        <f t="shared" si="272"/>
        <v>0</v>
      </c>
      <c r="AU40" s="441">
        <f t="shared" si="566"/>
        <v>0</v>
      </c>
      <c r="AV40" s="442">
        <f t="shared" si="567"/>
        <v>0</v>
      </c>
      <c r="AW40" s="442">
        <f t="shared" si="568"/>
        <v>0</v>
      </c>
      <c r="AX40" s="443">
        <f t="shared" si="569"/>
        <v>0</v>
      </c>
      <c r="AY40" s="440">
        <f t="shared" si="277"/>
        <v>0</v>
      </c>
      <c r="AZ40" s="441">
        <f t="shared" si="570"/>
        <v>0</v>
      </c>
      <c r="BA40" s="442">
        <f t="shared" si="571"/>
        <v>500</v>
      </c>
      <c r="BB40" s="442">
        <f t="shared" si="572"/>
        <v>0</v>
      </c>
      <c r="BC40" s="443">
        <f t="shared" si="573"/>
        <v>0</v>
      </c>
      <c r="BD40" s="440">
        <f t="shared" si="282"/>
        <v>500</v>
      </c>
      <c r="BE40" s="441">
        <f t="shared" si="574"/>
        <v>0</v>
      </c>
      <c r="BF40" s="442">
        <f t="shared" si="575"/>
        <v>0</v>
      </c>
      <c r="BG40" s="442">
        <f t="shared" si="576"/>
        <v>0</v>
      </c>
      <c r="BH40" s="443">
        <f t="shared" si="577"/>
        <v>0</v>
      </c>
      <c r="BI40" s="440">
        <f t="shared" si="287"/>
        <v>0</v>
      </c>
      <c r="BJ40" s="441">
        <f t="shared" si="578"/>
        <v>0</v>
      </c>
      <c r="BK40" s="442">
        <f t="shared" si="579"/>
        <v>0</v>
      </c>
      <c r="BL40" s="442">
        <f t="shared" si="580"/>
        <v>0</v>
      </c>
      <c r="BM40" s="443">
        <f t="shared" si="581"/>
        <v>0</v>
      </c>
      <c r="BN40" s="440">
        <f t="shared" si="292"/>
        <v>0</v>
      </c>
      <c r="BO40" s="463"/>
      <c r="BP40" s="441">
        <f t="shared" si="582"/>
        <v>0</v>
      </c>
      <c r="BQ40" s="442">
        <f t="shared" si="583"/>
        <v>0</v>
      </c>
      <c r="BR40" s="442">
        <f t="shared" si="584"/>
        <v>0</v>
      </c>
      <c r="BS40" s="443">
        <f t="shared" si="585"/>
        <v>0</v>
      </c>
      <c r="BT40" s="440">
        <f t="shared" si="586"/>
        <v>0</v>
      </c>
      <c r="BU40" s="441">
        <f t="shared" si="587"/>
        <v>0</v>
      </c>
      <c r="BV40" s="442">
        <f t="shared" si="588"/>
        <v>0</v>
      </c>
      <c r="BW40" s="442">
        <f t="shared" si="589"/>
        <v>0</v>
      </c>
      <c r="BX40" s="443">
        <f t="shared" si="590"/>
        <v>0</v>
      </c>
      <c r="BY40" s="440">
        <f t="shared" si="591"/>
        <v>0</v>
      </c>
      <c r="BZ40" s="441">
        <f t="shared" si="592"/>
        <v>0</v>
      </c>
      <c r="CA40" s="442">
        <f t="shared" si="593"/>
        <v>0</v>
      </c>
      <c r="CB40" s="442">
        <f t="shared" si="594"/>
        <v>0</v>
      </c>
      <c r="CC40" s="443">
        <f t="shared" si="595"/>
        <v>0</v>
      </c>
      <c r="CD40" s="440">
        <f t="shared" si="596"/>
        <v>0</v>
      </c>
      <c r="CE40" s="441">
        <f t="shared" si="597"/>
        <v>0</v>
      </c>
      <c r="CF40" s="442">
        <f t="shared" si="598"/>
        <v>0</v>
      </c>
      <c r="CG40" s="442">
        <f t="shared" si="599"/>
        <v>0</v>
      </c>
      <c r="CH40" s="443">
        <f t="shared" si="600"/>
        <v>0</v>
      </c>
      <c r="CI40" s="440">
        <f t="shared" si="601"/>
        <v>0</v>
      </c>
      <c r="CJ40" s="441">
        <f t="shared" si="602"/>
        <v>0</v>
      </c>
      <c r="CK40" s="442">
        <f t="shared" si="603"/>
        <v>0</v>
      </c>
      <c r="CL40" s="442">
        <f t="shared" si="604"/>
        <v>0</v>
      </c>
      <c r="CM40" s="443">
        <f t="shared" si="605"/>
        <v>0</v>
      </c>
      <c r="CN40" s="440">
        <f t="shared" si="606"/>
        <v>0</v>
      </c>
      <c r="CO40" s="441">
        <f t="shared" si="607"/>
        <v>0</v>
      </c>
      <c r="CP40" s="442">
        <f t="shared" si="608"/>
        <v>0</v>
      </c>
      <c r="CQ40" s="442">
        <f t="shared" si="609"/>
        <v>0</v>
      </c>
      <c r="CR40" s="443">
        <f t="shared" si="610"/>
        <v>0</v>
      </c>
      <c r="CS40" s="440">
        <f t="shared" si="611"/>
        <v>0</v>
      </c>
      <c r="CT40" s="441">
        <f t="shared" si="612"/>
        <v>0</v>
      </c>
      <c r="CU40" s="442">
        <f t="shared" si="613"/>
        <v>0</v>
      </c>
      <c r="CV40" s="442">
        <f t="shared" si="614"/>
        <v>0</v>
      </c>
      <c r="CW40" s="443">
        <f t="shared" si="615"/>
        <v>0</v>
      </c>
      <c r="CX40" s="440">
        <f t="shared" si="616"/>
        <v>0</v>
      </c>
      <c r="CY40" s="441">
        <f t="shared" si="617"/>
        <v>0</v>
      </c>
      <c r="CZ40" s="442">
        <f t="shared" si="618"/>
        <v>0</v>
      </c>
      <c r="DA40" s="442">
        <f t="shared" si="619"/>
        <v>0</v>
      </c>
      <c r="DB40" s="443">
        <f t="shared" si="620"/>
        <v>0</v>
      </c>
      <c r="DC40" s="440">
        <f t="shared" si="621"/>
        <v>0</v>
      </c>
      <c r="DD40" s="441">
        <f t="shared" si="622"/>
        <v>0</v>
      </c>
      <c r="DE40" s="442">
        <f t="shared" si="623"/>
        <v>2.0833333333333335</v>
      </c>
      <c r="DF40" s="442">
        <f t="shared" si="624"/>
        <v>6.25</v>
      </c>
      <c r="DG40" s="443">
        <f t="shared" si="625"/>
        <v>6.25</v>
      </c>
      <c r="DH40" s="440">
        <f t="shared" si="626"/>
        <v>14.583333333333334</v>
      </c>
      <c r="DI40" s="441">
        <f t="shared" si="627"/>
        <v>6.25</v>
      </c>
      <c r="DJ40" s="442">
        <f t="shared" si="628"/>
        <v>4.166666666666667</v>
      </c>
      <c r="DK40" s="442">
        <f t="shared" si="629"/>
        <v>0</v>
      </c>
      <c r="DL40" s="443">
        <f t="shared" si="630"/>
        <v>0</v>
      </c>
      <c r="DM40" s="440">
        <f t="shared" si="631"/>
        <v>10.416666666666666</v>
      </c>
      <c r="DN40" s="441">
        <f t="shared" si="632"/>
        <v>0</v>
      </c>
      <c r="DO40" s="442">
        <f t="shared" si="633"/>
        <v>0</v>
      </c>
      <c r="DP40" s="442">
        <f t="shared" si="634"/>
        <v>0</v>
      </c>
      <c r="DQ40" s="443">
        <f t="shared" si="635"/>
        <v>0</v>
      </c>
      <c r="DR40" s="440">
        <f t="shared" si="636"/>
        <v>0</v>
      </c>
    </row>
    <row r="41" spans="1:122" ht="12.75" customHeight="1">
      <c r="A41" s="92"/>
      <c r="B41" s="92"/>
      <c r="C41" s="27" t="s">
        <v>988</v>
      </c>
      <c r="D41" s="560"/>
      <c r="E41" s="325">
        <f>Parent!$BL$53</f>
        <v>400</v>
      </c>
      <c r="F41" s="558"/>
      <c r="G41" s="558"/>
      <c r="H41" s="662">
        <v>2020</v>
      </c>
      <c r="I41" s="652">
        <v>0.05</v>
      </c>
      <c r="J41" s="655">
        <v>6</v>
      </c>
      <c r="K41" s="528"/>
      <c r="L41" s="441">
        <f t="shared" si="538"/>
        <v>0</v>
      </c>
      <c r="M41" s="442">
        <f t="shared" si="539"/>
        <v>0</v>
      </c>
      <c r="N41" s="442">
        <f t="shared" si="540"/>
        <v>0</v>
      </c>
      <c r="O41" s="443">
        <f t="shared" si="541"/>
        <v>0</v>
      </c>
      <c r="P41" s="440">
        <f t="shared" si="242"/>
        <v>0</v>
      </c>
      <c r="Q41" s="441">
        <f t="shared" si="542"/>
        <v>0</v>
      </c>
      <c r="R41" s="442">
        <f t="shared" si="543"/>
        <v>0</v>
      </c>
      <c r="S41" s="442">
        <f t="shared" si="544"/>
        <v>0</v>
      </c>
      <c r="T41" s="443">
        <f t="shared" si="545"/>
        <v>0</v>
      </c>
      <c r="U41" s="440">
        <f t="shared" si="247"/>
        <v>0</v>
      </c>
      <c r="V41" s="441">
        <f t="shared" si="546"/>
        <v>0</v>
      </c>
      <c r="W41" s="442">
        <f t="shared" si="547"/>
        <v>0</v>
      </c>
      <c r="X41" s="442">
        <f t="shared" si="548"/>
        <v>0</v>
      </c>
      <c r="Y41" s="443">
        <f t="shared" si="549"/>
        <v>0</v>
      </c>
      <c r="Z41" s="440">
        <f t="shared" si="252"/>
        <v>0</v>
      </c>
      <c r="AA41" s="441">
        <f t="shared" si="550"/>
        <v>0</v>
      </c>
      <c r="AB41" s="442">
        <f t="shared" si="551"/>
        <v>0</v>
      </c>
      <c r="AC41" s="442">
        <f t="shared" si="552"/>
        <v>0</v>
      </c>
      <c r="AD41" s="443">
        <f t="shared" si="553"/>
        <v>0</v>
      </c>
      <c r="AE41" s="440">
        <f t="shared" si="257"/>
        <v>0</v>
      </c>
      <c r="AF41" s="441">
        <f t="shared" si="554"/>
        <v>0</v>
      </c>
      <c r="AG41" s="442">
        <f t="shared" si="555"/>
        <v>0</v>
      </c>
      <c r="AH41" s="442">
        <f t="shared" si="556"/>
        <v>0</v>
      </c>
      <c r="AI41" s="443">
        <f t="shared" si="557"/>
        <v>0</v>
      </c>
      <c r="AJ41" s="440">
        <f t="shared" si="262"/>
        <v>0</v>
      </c>
      <c r="AK41" s="441">
        <f t="shared" si="558"/>
        <v>0</v>
      </c>
      <c r="AL41" s="442">
        <f t="shared" si="559"/>
        <v>0</v>
      </c>
      <c r="AM41" s="442">
        <f t="shared" si="560"/>
        <v>0</v>
      </c>
      <c r="AN41" s="443">
        <f t="shared" si="561"/>
        <v>0</v>
      </c>
      <c r="AO41" s="440">
        <f t="shared" si="267"/>
        <v>0</v>
      </c>
      <c r="AP41" s="441">
        <f t="shared" si="562"/>
        <v>0</v>
      </c>
      <c r="AQ41" s="442">
        <f t="shared" si="563"/>
        <v>0</v>
      </c>
      <c r="AR41" s="442">
        <f t="shared" si="564"/>
        <v>0</v>
      </c>
      <c r="AS41" s="443">
        <f t="shared" si="565"/>
        <v>0</v>
      </c>
      <c r="AT41" s="440">
        <f t="shared" si="272"/>
        <v>0</v>
      </c>
      <c r="AU41" s="441">
        <f t="shared" si="566"/>
        <v>0</v>
      </c>
      <c r="AV41" s="442">
        <f t="shared" si="567"/>
        <v>0</v>
      </c>
      <c r="AW41" s="442">
        <f t="shared" si="568"/>
        <v>0</v>
      </c>
      <c r="AX41" s="443">
        <f t="shared" si="569"/>
        <v>0</v>
      </c>
      <c r="AY41" s="440">
        <f t="shared" si="277"/>
        <v>0</v>
      </c>
      <c r="AZ41" s="441">
        <f t="shared" si="570"/>
        <v>0</v>
      </c>
      <c r="BA41" s="442">
        <f t="shared" si="571"/>
        <v>0</v>
      </c>
      <c r="BB41" s="442">
        <f t="shared" si="572"/>
        <v>0</v>
      </c>
      <c r="BC41" s="443">
        <f t="shared" si="573"/>
        <v>0</v>
      </c>
      <c r="BD41" s="440">
        <f t="shared" si="282"/>
        <v>0</v>
      </c>
      <c r="BE41" s="441">
        <f t="shared" si="574"/>
        <v>0</v>
      </c>
      <c r="BF41" s="442">
        <f t="shared" si="575"/>
        <v>400</v>
      </c>
      <c r="BG41" s="442">
        <f t="shared" si="576"/>
        <v>0</v>
      </c>
      <c r="BH41" s="443">
        <f t="shared" si="577"/>
        <v>0</v>
      </c>
      <c r="BI41" s="440">
        <f t="shared" si="287"/>
        <v>400</v>
      </c>
      <c r="BJ41" s="441">
        <f t="shared" si="578"/>
        <v>0</v>
      </c>
      <c r="BK41" s="442">
        <f t="shared" si="579"/>
        <v>0</v>
      </c>
      <c r="BL41" s="442">
        <f t="shared" si="580"/>
        <v>0</v>
      </c>
      <c r="BM41" s="443">
        <f t="shared" si="581"/>
        <v>0</v>
      </c>
      <c r="BN41" s="440">
        <f t="shared" si="292"/>
        <v>0</v>
      </c>
      <c r="BO41" s="463"/>
      <c r="BP41" s="441">
        <f t="shared" si="582"/>
        <v>0</v>
      </c>
      <c r="BQ41" s="442">
        <f t="shared" si="583"/>
        <v>0</v>
      </c>
      <c r="BR41" s="442">
        <f t="shared" si="584"/>
        <v>0</v>
      </c>
      <c r="BS41" s="443">
        <f t="shared" si="585"/>
        <v>0</v>
      </c>
      <c r="BT41" s="440">
        <f t="shared" si="586"/>
        <v>0</v>
      </c>
      <c r="BU41" s="441">
        <f t="shared" si="587"/>
        <v>0</v>
      </c>
      <c r="BV41" s="442">
        <f t="shared" si="588"/>
        <v>0</v>
      </c>
      <c r="BW41" s="442">
        <f t="shared" si="589"/>
        <v>0</v>
      </c>
      <c r="BX41" s="443">
        <f t="shared" si="590"/>
        <v>0</v>
      </c>
      <c r="BY41" s="440">
        <f t="shared" si="591"/>
        <v>0</v>
      </c>
      <c r="BZ41" s="441">
        <f t="shared" si="592"/>
        <v>0</v>
      </c>
      <c r="CA41" s="442">
        <f t="shared" si="593"/>
        <v>0</v>
      </c>
      <c r="CB41" s="442">
        <f t="shared" si="594"/>
        <v>0</v>
      </c>
      <c r="CC41" s="443">
        <f t="shared" si="595"/>
        <v>0</v>
      </c>
      <c r="CD41" s="440">
        <f t="shared" si="596"/>
        <v>0</v>
      </c>
      <c r="CE41" s="441">
        <f t="shared" si="597"/>
        <v>0</v>
      </c>
      <c r="CF41" s="442">
        <f t="shared" si="598"/>
        <v>0</v>
      </c>
      <c r="CG41" s="442">
        <f t="shared" si="599"/>
        <v>0</v>
      </c>
      <c r="CH41" s="443">
        <f t="shared" si="600"/>
        <v>0</v>
      </c>
      <c r="CI41" s="440">
        <f t="shared" si="601"/>
        <v>0</v>
      </c>
      <c r="CJ41" s="441">
        <f t="shared" si="602"/>
        <v>0</v>
      </c>
      <c r="CK41" s="442">
        <f t="shared" si="603"/>
        <v>0</v>
      </c>
      <c r="CL41" s="442">
        <f t="shared" si="604"/>
        <v>0</v>
      </c>
      <c r="CM41" s="443">
        <f t="shared" si="605"/>
        <v>0</v>
      </c>
      <c r="CN41" s="440">
        <f t="shared" si="606"/>
        <v>0</v>
      </c>
      <c r="CO41" s="441">
        <f t="shared" si="607"/>
        <v>0</v>
      </c>
      <c r="CP41" s="442">
        <f t="shared" si="608"/>
        <v>0</v>
      </c>
      <c r="CQ41" s="442">
        <f t="shared" si="609"/>
        <v>0</v>
      </c>
      <c r="CR41" s="443">
        <f t="shared" si="610"/>
        <v>0</v>
      </c>
      <c r="CS41" s="440">
        <f t="shared" si="611"/>
        <v>0</v>
      </c>
      <c r="CT41" s="441">
        <f t="shared" si="612"/>
        <v>0</v>
      </c>
      <c r="CU41" s="442">
        <f t="shared" si="613"/>
        <v>0</v>
      </c>
      <c r="CV41" s="442">
        <f t="shared" si="614"/>
        <v>0</v>
      </c>
      <c r="CW41" s="443">
        <f t="shared" si="615"/>
        <v>0</v>
      </c>
      <c r="CX41" s="440">
        <f t="shared" si="616"/>
        <v>0</v>
      </c>
      <c r="CY41" s="441">
        <f t="shared" si="617"/>
        <v>0</v>
      </c>
      <c r="CZ41" s="442">
        <f t="shared" si="618"/>
        <v>0</v>
      </c>
      <c r="DA41" s="442">
        <f t="shared" si="619"/>
        <v>0</v>
      </c>
      <c r="DB41" s="443">
        <f t="shared" si="620"/>
        <v>0</v>
      </c>
      <c r="DC41" s="440">
        <f t="shared" si="621"/>
        <v>0</v>
      </c>
      <c r="DD41" s="441">
        <f t="shared" si="622"/>
        <v>0</v>
      </c>
      <c r="DE41" s="442">
        <f t="shared" si="623"/>
        <v>0</v>
      </c>
      <c r="DF41" s="442">
        <f t="shared" si="624"/>
        <v>0</v>
      </c>
      <c r="DG41" s="443">
        <f t="shared" si="625"/>
        <v>0</v>
      </c>
      <c r="DH41" s="440">
        <f t="shared" si="626"/>
        <v>0</v>
      </c>
      <c r="DI41" s="441">
        <f t="shared" si="627"/>
        <v>0</v>
      </c>
      <c r="DJ41" s="442">
        <f t="shared" si="628"/>
        <v>1.6666666666666667</v>
      </c>
      <c r="DK41" s="442">
        <f t="shared" si="629"/>
        <v>5</v>
      </c>
      <c r="DL41" s="443">
        <f t="shared" si="630"/>
        <v>5</v>
      </c>
      <c r="DM41" s="440">
        <f t="shared" si="631"/>
        <v>11.666666666666666</v>
      </c>
      <c r="DN41" s="441">
        <f t="shared" si="632"/>
        <v>5</v>
      </c>
      <c r="DO41" s="442">
        <f t="shared" si="633"/>
        <v>3.3333333333333335</v>
      </c>
      <c r="DP41" s="442">
        <f t="shared" si="634"/>
        <v>0</v>
      </c>
      <c r="DQ41" s="443">
        <f t="shared" si="635"/>
        <v>0</v>
      </c>
      <c r="DR41" s="440">
        <f t="shared" si="636"/>
        <v>8.3333333333333339</v>
      </c>
    </row>
    <row r="42" spans="1:122" ht="12.75" customHeight="1">
      <c r="A42" s="92"/>
      <c r="B42" s="92"/>
      <c r="C42" s="27" t="s">
        <v>1145</v>
      </c>
      <c r="D42" s="560"/>
      <c r="E42" s="325">
        <f>Parent!$BQ$53</f>
        <v>1100</v>
      </c>
      <c r="F42" s="558"/>
      <c r="G42" s="558"/>
      <c r="H42" s="662">
        <v>2021</v>
      </c>
      <c r="I42" s="652">
        <v>0.05</v>
      </c>
      <c r="J42" s="655">
        <v>6</v>
      </c>
      <c r="K42" s="528"/>
      <c r="L42" s="441">
        <f t="shared" ref="L42" si="637">IF(P42=0,0,IF(P42&gt;0,IF($J42=3,P42,IF($J42=2,P42,IF($J42=1,P42,0)))))</f>
        <v>0</v>
      </c>
      <c r="M42" s="442">
        <f t="shared" ref="M42" si="638">IF(P42=0,0,IF(P42&gt;0,IF($J42=6,P42,IF($J42=5,P42,IF($J42=4,P42,0)))))</f>
        <v>0</v>
      </c>
      <c r="N42" s="442">
        <f t="shared" ref="N42" si="639">IF(P42=0,0,IF(P42&gt;0,IF($J42=9,P42,IF($J42=8,P42,IF($J42=7,P42,0)))))</f>
        <v>0</v>
      </c>
      <c r="O42" s="443">
        <f t="shared" ref="O42" si="640">IF(P42=0,0,IF(P42&gt;0,IF($J42=12,P42,IF($J42=11,P42,IF($J42=10,P42,0)))))</f>
        <v>0</v>
      </c>
      <c r="P42" s="440">
        <f t="shared" si="242"/>
        <v>0</v>
      </c>
      <c r="Q42" s="441">
        <f t="shared" ref="Q42" si="641">IF(U42=0,0,IF(U42&gt;0,IF($J42=3,U42,IF($J42=2,U42,IF($J42=1,U42,0)))))</f>
        <v>0</v>
      </c>
      <c r="R42" s="442">
        <f t="shared" ref="R42" si="642">IF(U42=0,0,IF(U42&gt;0,IF($J42=6,U42,IF($J42=5,U42,IF($J42=4,U42,0)))))</f>
        <v>0</v>
      </c>
      <c r="S42" s="442">
        <f t="shared" ref="S42" si="643">IF(U42=0,0,IF(U42&gt;0,IF($J42=9,U42,IF($J42=8,U42,IF($J42=7,U42,0)))))</f>
        <v>0</v>
      </c>
      <c r="T42" s="443">
        <f t="shared" ref="T42" si="644">IF(U42=0,0,IF(U42&gt;0,IF($J42=12,U42,IF($J42=11,U42,IF($J42=10,U42,0)))))</f>
        <v>0</v>
      </c>
      <c r="U42" s="440">
        <f t="shared" si="247"/>
        <v>0</v>
      </c>
      <c r="V42" s="441">
        <f t="shared" ref="V42" si="645">IF(Z42=0,0,IF(Z42&gt;0,IF($J42=3,Z42,IF($J42=2,Z42,IF($J42=1,Z42,0)))))</f>
        <v>0</v>
      </c>
      <c r="W42" s="442">
        <f t="shared" ref="W42" si="646">IF(Z42=0,0,IF(Z42&gt;0,IF($J42=6,Z42,IF($J42=5,Z42,IF($J42=4,Z42,0)))))</f>
        <v>0</v>
      </c>
      <c r="X42" s="442">
        <f t="shared" ref="X42" si="647">IF(Z42=0,0,IF(Z42&gt;0,IF($J42=9,Z42,IF($J42=8,Z42,IF($J42=7,Z42,0)))))</f>
        <v>0</v>
      </c>
      <c r="Y42" s="443">
        <f t="shared" ref="Y42" si="648">IF(Z42=0,0,IF(Z42&gt;0,IF($J42=12,Z42,IF($J42=11,Z42,IF($J42=10,Z42,0)))))</f>
        <v>0</v>
      </c>
      <c r="Z42" s="440">
        <f t="shared" si="252"/>
        <v>0</v>
      </c>
      <c r="AA42" s="441">
        <f t="shared" ref="AA42" si="649">IF(AE42=0,0,IF(AE42&gt;0,IF($J42=3,AE42,IF($J42=2,AE42,IF($J42=1,AE42,0)))))</f>
        <v>0</v>
      </c>
      <c r="AB42" s="442">
        <f t="shared" ref="AB42" si="650">IF(AE42=0,0,IF(AE42&gt;0,IF($J42=6,AE42,IF($J42=5,AE42,IF($J42=4,AE42,0)))))</f>
        <v>0</v>
      </c>
      <c r="AC42" s="442">
        <f t="shared" ref="AC42" si="651">IF(AE42=0,0,IF(AE42&gt;0,IF($J42=9,AE42,IF($J42=8,AE42,IF($J42=7,AE42,0)))))</f>
        <v>0</v>
      </c>
      <c r="AD42" s="443">
        <f t="shared" ref="AD42" si="652">IF(AE42=0,0,IF(AE42&gt;0,IF($J42=12,AE42,IF($J42=11,AE42,IF($J42=10,AE42,0)))))</f>
        <v>0</v>
      </c>
      <c r="AE42" s="440">
        <f t="shared" si="257"/>
        <v>0</v>
      </c>
      <c r="AF42" s="441">
        <f t="shared" ref="AF42" si="653">IF(AJ42=0,0,IF(AJ42&gt;0,IF($J42=3,AJ42,IF($J42=2,AJ42,IF($J42=1,AJ42,0)))))</f>
        <v>0</v>
      </c>
      <c r="AG42" s="442">
        <f t="shared" ref="AG42" si="654">IF(AJ42=0,0,IF(AJ42&gt;0,IF($J42=6,AJ42,IF($J42=5,AJ42,IF($J42=4,AJ42,0)))))</f>
        <v>0</v>
      </c>
      <c r="AH42" s="442">
        <f t="shared" ref="AH42" si="655">IF(AJ42=0,0,IF(AJ42&gt;0,IF($J42=9,AJ42,IF($J42=8,AJ42,IF($J42=7,AJ42,0)))))</f>
        <v>0</v>
      </c>
      <c r="AI42" s="443">
        <f t="shared" ref="AI42" si="656">IF(AJ42=0,0,IF(AJ42&gt;0,IF($J42=12,AJ42,IF($J42=11,AJ42,IF($J42=10,AJ42,0)))))</f>
        <v>0</v>
      </c>
      <c r="AJ42" s="440">
        <f t="shared" si="262"/>
        <v>0</v>
      </c>
      <c r="AK42" s="441">
        <f t="shared" ref="AK42" si="657">IF(AO42=0,0,IF(AO42&gt;0,IF($J42=3,AO42,IF($J42=2,AO42,IF($J42=1,AO42,0)))))</f>
        <v>0</v>
      </c>
      <c r="AL42" s="442">
        <f t="shared" ref="AL42" si="658">IF(AO42=0,0,IF(AO42&gt;0,IF($J42=6,AO42,IF($J42=5,AO42,IF($J42=4,AO42,0)))))</f>
        <v>0</v>
      </c>
      <c r="AM42" s="442">
        <f t="shared" ref="AM42" si="659">IF(AO42=0,0,IF(AO42&gt;0,IF($J42=9,AO42,IF($J42=8,AO42,IF($J42=7,AO42,0)))))</f>
        <v>0</v>
      </c>
      <c r="AN42" s="443">
        <f t="shared" ref="AN42" si="660">IF(AO42=0,0,IF(AO42&gt;0,IF($J42=12,AO42,IF($J42=11,AO42,IF($J42=10,AO42,0)))))</f>
        <v>0</v>
      </c>
      <c r="AO42" s="440">
        <f t="shared" si="267"/>
        <v>0</v>
      </c>
      <c r="AP42" s="441">
        <f t="shared" ref="AP42" si="661">IF(AT42=0,0,IF(AT42&gt;0,IF($J42=3,AT42,IF($J42=2,AT42,IF($J42=1,AT42,0)))))</f>
        <v>0</v>
      </c>
      <c r="AQ42" s="442">
        <f t="shared" ref="AQ42" si="662">IF(AT42=0,0,IF(AT42&gt;0,IF($J42=6,AT42,IF($J42=5,AT42,IF($J42=4,AT42,0)))))</f>
        <v>0</v>
      </c>
      <c r="AR42" s="442">
        <f t="shared" ref="AR42" si="663">IF(AT42=0,0,IF(AT42&gt;0,IF($J42=9,AT42,IF($J42=8,AT42,IF($J42=7,AT42,0)))))</f>
        <v>0</v>
      </c>
      <c r="AS42" s="443">
        <f t="shared" ref="AS42" si="664">IF(AT42=0,0,IF(AT42&gt;0,IF($J42=12,AT42,IF($J42=11,AT42,IF($J42=10,AT42,0)))))</f>
        <v>0</v>
      </c>
      <c r="AT42" s="440">
        <f t="shared" si="272"/>
        <v>0</v>
      </c>
      <c r="AU42" s="441">
        <f t="shared" ref="AU42" si="665">IF(AY42=0,0,IF(AY42&gt;0,IF($J42=3,AY42,IF($J42=2,AY42,IF($J42=1,AY42,0)))))</f>
        <v>0</v>
      </c>
      <c r="AV42" s="442">
        <f t="shared" ref="AV42" si="666">IF(AY42=0,0,IF(AY42&gt;0,IF($J42=6,AY42,IF($J42=5,AY42,IF($J42=4,AY42,0)))))</f>
        <v>0</v>
      </c>
      <c r="AW42" s="442">
        <f t="shared" ref="AW42" si="667">IF(AY42=0,0,IF(AY42&gt;0,IF($J42=9,AY42,IF($J42=8,AY42,IF($J42=7,AY42,0)))))</f>
        <v>0</v>
      </c>
      <c r="AX42" s="443">
        <f t="shared" ref="AX42" si="668">IF(AY42=0,0,IF(AY42&gt;0,IF($J42=12,AY42,IF($J42=11,AY42,IF($J42=10,AY42,0)))))</f>
        <v>0</v>
      </c>
      <c r="AY42" s="440">
        <f t="shared" si="277"/>
        <v>0</v>
      </c>
      <c r="AZ42" s="441">
        <f t="shared" ref="AZ42" si="669">IF(BD42=0,0,IF(BD42&gt;0,IF($J42=3,BD42,IF($J42=2,BD42,IF($J42=1,BD42,0)))))</f>
        <v>0</v>
      </c>
      <c r="BA42" s="442">
        <f t="shared" ref="BA42" si="670">IF(BD42=0,0,IF(BD42&gt;0,IF($J42=6,BD42,IF($J42=5,BD42,IF($J42=4,BD42,0)))))</f>
        <v>0</v>
      </c>
      <c r="BB42" s="442">
        <f t="shared" ref="BB42" si="671">IF(BD42=0,0,IF(BD42&gt;0,IF($J42=9,BD42,IF($J42=8,BD42,IF($J42=7,BD42,0)))))</f>
        <v>0</v>
      </c>
      <c r="BC42" s="443">
        <f t="shared" ref="BC42" si="672">IF(BD42=0,0,IF(BD42&gt;0,IF($J42=12,BD42,IF($J42=11,BD42,IF($J42=10,BD42,0)))))</f>
        <v>0</v>
      </c>
      <c r="BD42" s="440">
        <f t="shared" si="282"/>
        <v>0</v>
      </c>
      <c r="BE42" s="441">
        <f t="shared" ref="BE42" si="673">IF(BI42=0,0,IF(BI42&gt;0,IF($J42=3,BI42,IF($J42=2,BI42,IF($J42=1,BI42,0)))))</f>
        <v>0</v>
      </c>
      <c r="BF42" s="442">
        <f t="shared" ref="BF42" si="674">IF(BI42=0,0,IF(BI42&gt;0,IF($J42=6,BI42,IF($J42=5,BI42,IF($J42=4,BI42,0)))))</f>
        <v>0</v>
      </c>
      <c r="BG42" s="442">
        <f t="shared" ref="BG42" si="675">IF(BI42=0,0,IF(BI42&gt;0,IF($J42=9,BI42,IF($J42=8,BI42,IF($J42=7,BI42,0)))))</f>
        <v>0</v>
      </c>
      <c r="BH42" s="443">
        <f t="shared" ref="BH42" si="676">IF(BI42=0,0,IF(BI42&gt;0,IF($J42=12,BI42,IF($J42=11,BI42,IF($J42=10,BI42,0)))))</f>
        <v>0</v>
      </c>
      <c r="BI42" s="440">
        <f t="shared" si="287"/>
        <v>0</v>
      </c>
      <c r="BJ42" s="441">
        <f t="shared" ref="BJ42" si="677">IF(BN42=0,0,IF(BN42&gt;0,IF($J42=3,BN42,IF($J42=2,BN42,IF($J42=1,BN42,0)))))</f>
        <v>0</v>
      </c>
      <c r="BK42" s="442">
        <f t="shared" ref="BK42" si="678">IF(BN42=0,0,IF(BN42&gt;0,IF($J42=6,BN42,IF($J42=5,BN42,IF($J42=4,BN42,0)))))</f>
        <v>1100</v>
      </c>
      <c r="BL42" s="442">
        <f t="shared" ref="BL42" si="679">IF(BN42=0,0,IF(BN42&gt;0,IF($J42=9,BN42,IF($J42=8,BN42,IF($J42=7,BN42,0)))))</f>
        <v>0</v>
      </c>
      <c r="BM42" s="443">
        <f t="shared" ref="BM42" si="680">IF(BN42=0,0,IF(BN42&gt;0,IF($J42=12,BN42,IF($J42=11,BN42,IF($J42=10,BN42,0)))))</f>
        <v>0</v>
      </c>
      <c r="BN42" s="440">
        <f t="shared" si="292"/>
        <v>1100</v>
      </c>
      <c r="BO42" s="463"/>
      <c r="BP42" s="441">
        <f t="shared" ref="BP42" si="681">IF($H42&lt;&gt;BT$5,0,IF(BT42&gt;0,IF($J42=1,$E42*$I42/12*3,IF($J42=2,$E42*$I42/12*2,IF($J42=3,$E42*$I42/12*1,0)))))+IF(BO$5&lt;&gt;$H42,0,IF(BO42&gt;0,IF($J42=1,$E42*$I42/12*0,IF($J42=2,$E42*$I42/12*1,IF($J42=3,$E42*$I42/12*2,IF($J42&gt;=4,$E42*$I42/12*3,0))))))</f>
        <v>0</v>
      </c>
      <c r="BQ42" s="442">
        <f t="shared" ref="BQ42" si="682">IF($H42&lt;&gt;BT$5,0,IF(BT42&gt;0,IF(OR($J42=1,$J42=2,$J42=3,$J42=4),$E42*$I42/12*3,IF($J42=5,$E42*$I42/12*2,IF($J42=6,$E42*$I42/12*1,0)))))+IF(BO$5&lt;&gt;$H42,0,IF(BO42&gt;0,IF($J42=4,$E42*$I42/12*0,IF($J42=5,$E42*$I42/12*1,IF($J42=6,$E42*$I42/12*2,IF($J42&gt;=7,$E42*$I42/12*3,0))))))</f>
        <v>0</v>
      </c>
      <c r="BR42" s="442">
        <f t="shared" ref="BR42" si="683">IF($H42&lt;&gt;BT$5,0,IF(BT42&gt;0,IF(OR($J42=1,$J42=2,$J42=3,$J42=4,$J42=5,$J42=6,$J42=7),$E42*$I42/12*3,IF($J42=8,$E42*$I42/12*2,IF($J42=9,$E42*$I42/12*1,0)))))+IF(BO$5&lt;&gt;$H42,0,IF(BO42&gt;0,IF($J42=7,$E42*$I42/12*0,IF($J42=8,$E42*$I42/12*1,IF($J42=9,$E42*$I42/12*2,IF($J42&gt;=10,$E42*$I42/12*3,0))))))</f>
        <v>0</v>
      </c>
      <c r="BS42" s="443">
        <f t="shared" ref="BS42" si="684">IF($H42&lt;&gt;BT$5,0,IF(BT42&gt;0,IF(OR($J42=1,$J42=2,$J42=3,$J42=4,$J42=5,$J42=6,$J42=7,$J42=8,$J42=9,$J42=10),$E42*$I42/12*3,IF($J42=11,$E42*$I42/12*2,IF($J42=12,$E42*$I42/12*1,0)))))+IF(BO$5&lt;&gt;$H42,0,IF(BO42&gt;0,IF($J42=10,$E42*$I42/12*0,IF($J42=11,$E42*$I42/12*1,IF($J42=12,$E42*$I42/12*2,0)))))</f>
        <v>0</v>
      </c>
      <c r="BT42" s="440">
        <f t="shared" ref="BT42" si="685">IF(AND(BO42&lt;&gt;0,BO$5=$H42),$I42*$E42-BO42,IF(BT$5=$H42,$I42*$E42*(12-$J42+1)/12,0))</f>
        <v>0</v>
      </c>
      <c r="BU42" s="441">
        <f t="shared" ref="BU42" si="686">IF($H42&lt;&gt;BY$5,0,IF(BY42&gt;0,IF($J42=1,$E42*$I42/12*3,IF($J42=2,$E42*$I42/12*2,IF($J42=3,$E42*$I42/12*1,0)))))+IF(BT$5&lt;&gt;$H42,0,IF(BT42&gt;0,IF($J42=1,$E42*$I42/12*0,IF($J42=2,$E42*$I42/12*1,IF($J42=3,$E42*$I42/12*2,IF($J42&gt;=4,$E42*$I42/12*3,0))))))</f>
        <v>0</v>
      </c>
      <c r="BV42" s="442">
        <f t="shared" ref="BV42" si="687">IF($H42&lt;&gt;BY$5,0,IF(BY42&gt;0,IF(OR($J42=1,$J42=2,$J42=3,$J42=4),$E42*$I42/12*3,IF($J42=5,$E42*$I42/12*2,IF($J42=6,$E42*$I42/12*1,0)))))+IF(BT$5&lt;&gt;$H42,0,IF(BT42&gt;0,IF($J42=4,$E42*$I42/12*0,IF($J42=5,$E42*$I42/12*1,IF($J42=6,$E42*$I42/12*2,IF($J42&gt;=7,$E42*$I42/12*3,0))))))</f>
        <v>0</v>
      </c>
      <c r="BW42" s="442">
        <f t="shared" ref="BW42" si="688">IF($H42&lt;&gt;BY$5,0,IF(BY42&gt;0,IF(OR($J42=1,$J42=2,$J42=3,$J42=4,$J42=5,$J42=6,$J42=7),$E42*$I42/12*3,IF($J42=8,$E42*$I42/12*2,IF($J42=9,$E42*$I42/12*1,0)))))+IF(BT$5&lt;&gt;$H42,0,IF(BT42&gt;0,IF($J42=7,$E42*$I42/12*0,IF($J42=8,$E42*$I42/12*1,IF($J42=9,$E42*$I42/12*2,IF($J42&gt;=10,$E42*$I42/12*3,0))))))</f>
        <v>0</v>
      </c>
      <c r="BX42" s="443">
        <f t="shared" ref="BX42" si="689">IF($H42&lt;&gt;BY$5,0,IF(BY42&gt;0,IF(OR($J42=1,$J42=2,$J42=3,$J42=4,$J42=5,$J42=6,$J42=7,$J42=8,$J42=9,$J42=10),$E42*$I42/12*3,IF($J42=11,$E42*$I42/12*2,IF($J42=12,$E42*$I42/12*1,0)))))+IF(BT$5&lt;&gt;$H42,0,IF(BT42&gt;0,IF($J42=10,$E42*$I42/12*0,IF($J42=11,$E42*$I42/12*1,IF($J42=12,$E42*$I42/12*2,0)))))</f>
        <v>0</v>
      </c>
      <c r="BY42" s="440">
        <f t="shared" ref="BY42" si="690">IF(AND(BT42&lt;&gt;0,BT$5=$H42),$I42*$E42-BT42,IF(BY$5=$H42,$I42*$E42*(12-$J42+1)/12,0))</f>
        <v>0</v>
      </c>
      <c r="BZ42" s="441">
        <f t="shared" ref="BZ42" si="691">IF($H42&lt;&gt;CD$5,0,IF(CD42&gt;0,IF($J42=1,$E42*$I42/12*3,IF($J42=2,$E42*$I42/12*2,IF($J42=3,$E42*$I42/12*1,0)))))+IF(BY$5&lt;&gt;$H42,0,IF(BY42&gt;0,IF($J42=1,$E42*$I42/12*0,IF($J42=2,$E42*$I42/12*1,IF($J42=3,$E42*$I42/12*2,IF($J42&gt;=4,$E42*$I42/12*3,0))))))</f>
        <v>0</v>
      </c>
      <c r="CA42" s="442">
        <f t="shared" ref="CA42" si="692">IF($H42&lt;&gt;CD$5,0,IF(CD42&gt;0,IF(OR($J42=1,$J42=2,$J42=3,$J42=4),$E42*$I42/12*3,IF($J42=5,$E42*$I42/12*2,IF($J42=6,$E42*$I42/12*1,0)))))+IF(BY$5&lt;&gt;$H42,0,IF(BY42&gt;0,IF($J42=4,$E42*$I42/12*0,IF($J42=5,$E42*$I42/12*1,IF($J42=6,$E42*$I42/12*2,IF($J42&gt;=7,$E42*$I42/12*3,0))))))</f>
        <v>0</v>
      </c>
      <c r="CB42" s="442">
        <f t="shared" ref="CB42" si="693">IF($H42&lt;&gt;CD$5,0,IF(CD42&gt;0,IF(OR($J42=1,$J42=2,$J42=3,$J42=4,$J42=5,$J42=6,$J42=7),$E42*$I42/12*3,IF($J42=8,$E42*$I42/12*2,IF($J42=9,$E42*$I42/12*1,0)))))+IF(BY$5&lt;&gt;$H42,0,IF(BY42&gt;0,IF($J42=7,$E42*$I42/12*0,IF($J42=8,$E42*$I42/12*1,IF($J42=9,$E42*$I42/12*2,IF($J42&gt;=10,$E42*$I42/12*3,0))))))</f>
        <v>0</v>
      </c>
      <c r="CC42" s="443">
        <f t="shared" ref="CC42" si="694">IF($H42&lt;&gt;CD$5,0,IF(CD42&gt;0,IF(OR($J42=1,$J42=2,$J42=3,$J42=4,$J42=5,$J42=6,$J42=7,$J42=8,$J42=9,$J42=10),$E42*$I42/12*3,IF($J42=11,$E42*$I42/12*2,IF($J42=12,$E42*$I42/12*1,0)))))+IF(BY$5&lt;&gt;$H42,0,IF(BY42&gt;0,IF($J42=10,$E42*$I42/12*0,IF($J42=11,$E42*$I42/12*1,IF($J42=12,$E42*$I42/12*2,0)))))</f>
        <v>0</v>
      </c>
      <c r="CD42" s="440">
        <f t="shared" ref="CD42" si="695">IF(AND(BY42&lt;&gt;0,BY$5=$H42),$I42*$E42-BY42,IF(CD$5=$H42,$I42*$E42*(12-$J42+1)/12,0))</f>
        <v>0</v>
      </c>
      <c r="CE42" s="441">
        <f t="shared" ref="CE42" si="696">IF($H42&lt;&gt;CI$5,0,IF(CI42&gt;0,IF($J42=1,$E42*$I42/12*3,IF($J42=2,$E42*$I42/12*2,IF($J42=3,$E42*$I42/12*1,0)))))+IF(CD$5&lt;&gt;$H42,0,IF(CD42&gt;0,IF($J42=1,$E42*$I42/12*0,IF($J42=2,$E42*$I42/12*1,IF($J42=3,$E42*$I42/12*2,IF($J42&gt;=4,$E42*$I42/12*3,0))))))</f>
        <v>0</v>
      </c>
      <c r="CF42" s="442">
        <f t="shared" ref="CF42" si="697">IF($H42&lt;&gt;CI$5,0,IF(CI42&gt;0,IF(OR($J42=1,$J42=2,$J42=3,$J42=4),$E42*$I42/12*3,IF($J42=5,$E42*$I42/12*2,IF($J42=6,$E42*$I42/12*1,0)))))+IF(CD$5&lt;&gt;$H42,0,IF(CD42&gt;0,IF($J42=4,$E42*$I42/12*0,IF($J42=5,$E42*$I42/12*1,IF($J42=6,$E42*$I42/12*2,IF($J42&gt;=7,$E42*$I42/12*3,0))))))</f>
        <v>0</v>
      </c>
      <c r="CG42" s="442">
        <f t="shared" ref="CG42" si="698">IF($H42&lt;&gt;CI$5,0,IF(CI42&gt;0,IF(OR($J42=1,$J42=2,$J42=3,$J42=4,$J42=5,$J42=6,$J42=7),$E42*$I42/12*3,IF($J42=8,$E42*$I42/12*2,IF($J42=9,$E42*$I42/12*1,0)))))+IF(CD$5&lt;&gt;$H42,0,IF(CD42&gt;0,IF($J42=7,$E42*$I42/12*0,IF($J42=8,$E42*$I42/12*1,IF($J42=9,$E42*$I42/12*2,IF($J42&gt;=10,$E42*$I42/12*3,0))))))</f>
        <v>0</v>
      </c>
      <c r="CH42" s="443">
        <f t="shared" ref="CH42" si="699">IF($H42&lt;&gt;CI$5,0,IF(CI42&gt;0,IF(OR($J42=1,$J42=2,$J42=3,$J42=4,$J42=5,$J42=6,$J42=7,$J42=8,$J42=9,$J42=10),$E42*$I42/12*3,IF($J42=11,$E42*$I42/12*2,IF($J42=12,$E42*$I42/12*1,0)))))+IF(CD$5&lt;&gt;$H42,0,IF(CD42&gt;0,IF($J42=10,$E42*$I42/12*0,IF($J42=11,$E42*$I42/12*1,IF($J42=12,$E42*$I42/12*2,0)))))</f>
        <v>0</v>
      </c>
      <c r="CI42" s="440">
        <f t="shared" ref="CI42" si="700">IF(AND(CD42&lt;&gt;0,CD$5=$H42),$I42*$E42-CD42,IF(CI$5=$H42,$I42*$E42*(12-$J42+1)/12,0))</f>
        <v>0</v>
      </c>
      <c r="CJ42" s="441">
        <f t="shared" ref="CJ42" si="701">IF($H42&lt;&gt;CN$5,0,IF(CN42&gt;0,IF($J42=1,$E42*$I42/12*3,IF($J42=2,$E42*$I42/12*2,IF($J42=3,$E42*$I42/12*1,0)))))+IF(CI$5&lt;&gt;$H42,0,IF(CI42&gt;0,IF($J42=1,$E42*$I42/12*0,IF($J42=2,$E42*$I42/12*1,IF($J42=3,$E42*$I42/12*2,IF($J42&gt;=4,$E42*$I42/12*3,0))))))</f>
        <v>0</v>
      </c>
      <c r="CK42" s="442">
        <f t="shared" ref="CK42" si="702">IF($H42&lt;&gt;CN$5,0,IF(CN42&gt;0,IF(OR($J42=1,$J42=2,$J42=3,$J42=4),$E42*$I42/12*3,IF($J42=5,$E42*$I42/12*2,IF($J42=6,$E42*$I42/12*1,0)))))+IF(CI$5&lt;&gt;$H42,0,IF(CI42&gt;0,IF($J42=4,$E42*$I42/12*0,IF($J42=5,$E42*$I42/12*1,IF($J42=6,$E42*$I42/12*2,IF($J42&gt;=7,$E42*$I42/12*3,0))))))</f>
        <v>0</v>
      </c>
      <c r="CL42" s="442">
        <f t="shared" ref="CL42" si="703">IF($H42&lt;&gt;CN$5,0,IF(CN42&gt;0,IF(OR($J42=1,$J42=2,$J42=3,$J42=4,$J42=5,$J42=6,$J42=7),$E42*$I42/12*3,IF($J42=8,$E42*$I42/12*2,IF($J42=9,$E42*$I42/12*1,0)))))+IF(CI$5&lt;&gt;$H42,0,IF(CI42&gt;0,IF($J42=7,$E42*$I42/12*0,IF($J42=8,$E42*$I42/12*1,IF($J42=9,$E42*$I42/12*2,IF($J42&gt;=10,$E42*$I42/12*3,0))))))</f>
        <v>0</v>
      </c>
      <c r="CM42" s="443">
        <f t="shared" ref="CM42" si="704">IF($H42&lt;&gt;CN$5,0,IF(CN42&gt;0,IF(OR($J42=1,$J42=2,$J42=3,$J42=4,$J42=5,$J42=6,$J42=7,$J42=8,$J42=9,$J42=10),$E42*$I42/12*3,IF($J42=11,$E42*$I42/12*2,IF($J42=12,$E42*$I42/12*1,0)))))+IF(CI$5&lt;&gt;$H42,0,IF(CI42&gt;0,IF($J42=10,$E42*$I42/12*0,IF($J42=11,$E42*$I42/12*1,IF($J42=12,$E42*$I42/12*2,0)))))</f>
        <v>0</v>
      </c>
      <c r="CN42" s="440">
        <f t="shared" ref="CN42" si="705">IF(AND(CI42&lt;&gt;0,CI$5=$H42),$I42*$E42-CI42,IF(CN$5=$H42,$I42*$E42*(12-$J42+1)/12,0))</f>
        <v>0</v>
      </c>
      <c r="CO42" s="441">
        <f t="shared" ref="CO42" si="706">IF($H42&lt;&gt;CS$5,0,IF(CS42&gt;0,IF($J42=1,$E42*$I42/12*3,IF($J42=2,$E42*$I42/12*2,IF($J42=3,$E42*$I42/12*1,0)))))+IF(CN$5&lt;&gt;$H42,0,IF(CN42&gt;0,IF($J42=1,$E42*$I42/12*0,IF($J42=2,$E42*$I42/12*1,IF($J42=3,$E42*$I42/12*2,IF($J42&gt;=4,$E42*$I42/12*3,0))))))</f>
        <v>0</v>
      </c>
      <c r="CP42" s="442">
        <f t="shared" ref="CP42" si="707">IF($H42&lt;&gt;CS$5,0,IF(CS42&gt;0,IF(OR($J42=1,$J42=2,$J42=3,$J42=4),$E42*$I42/12*3,IF($J42=5,$E42*$I42/12*2,IF($J42=6,$E42*$I42/12*1,0)))))+IF(CN$5&lt;&gt;$H42,0,IF(CN42&gt;0,IF($J42=4,$E42*$I42/12*0,IF($J42=5,$E42*$I42/12*1,IF($J42=6,$E42*$I42/12*2,IF($J42&gt;=7,$E42*$I42/12*3,0))))))</f>
        <v>0</v>
      </c>
      <c r="CQ42" s="442">
        <f t="shared" ref="CQ42" si="708">IF($H42&lt;&gt;CS$5,0,IF(CS42&gt;0,IF(OR($J42=1,$J42=2,$J42=3,$J42=4,$J42=5,$J42=6,$J42=7),$E42*$I42/12*3,IF($J42=8,$E42*$I42/12*2,IF($J42=9,$E42*$I42/12*1,0)))))+IF(CN$5&lt;&gt;$H42,0,IF(CN42&gt;0,IF($J42=7,$E42*$I42/12*0,IF($J42=8,$E42*$I42/12*1,IF($J42=9,$E42*$I42/12*2,IF($J42&gt;=10,$E42*$I42/12*3,0))))))</f>
        <v>0</v>
      </c>
      <c r="CR42" s="443">
        <f t="shared" ref="CR42" si="709">IF($H42&lt;&gt;CS$5,0,IF(CS42&gt;0,IF(OR($J42=1,$J42=2,$J42=3,$J42=4,$J42=5,$J42=6,$J42=7,$J42=8,$J42=9,$J42=10),$E42*$I42/12*3,IF($J42=11,$E42*$I42/12*2,IF($J42=12,$E42*$I42/12*1,0)))))+IF(CN$5&lt;&gt;$H42,0,IF(CN42&gt;0,IF($J42=10,$E42*$I42/12*0,IF($J42=11,$E42*$I42/12*1,IF($J42=12,$E42*$I42/12*2,0)))))</f>
        <v>0</v>
      </c>
      <c r="CS42" s="440">
        <f t="shared" ref="CS42" si="710">IF(AND(CN42&lt;&gt;0,CN$5=$H42),$I42*$E42-CN42,IF(CS$5=$H42,$I42*$E42*(12-$J42+1)/12,0))</f>
        <v>0</v>
      </c>
      <c r="CT42" s="441">
        <f t="shared" ref="CT42" si="711">IF($H42&lt;&gt;CX$5,0,IF(CX42&gt;0,IF($J42=1,$E42*$I42/12*3,IF($J42=2,$E42*$I42/12*2,IF($J42=3,$E42*$I42/12*1,0)))))+IF(CS$5&lt;&gt;$H42,0,IF(CS42&gt;0,IF($J42=1,$E42*$I42/12*0,IF($J42=2,$E42*$I42/12*1,IF($J42=3,$E42*$I42/12*2,IF($J42&gt;=4,$E42*$I42/12*3,0))))))</f>
        <v>0</v>
      </c>
      <c r="CU42" s="442">
        <f t="shared" ref="CU42" si="712">IF($H42&lt;&gt;CX$5,0,IF(CX42&gt;0,IF(OR($J42=1,$J42=2,$J42=3,$J42=4),$E42*$I42/12*3,IF($J42=5,$E42*$I42/12*2,IF($J42=6,$E42*$I42/12*1,0)))))+IF(CS$5&lt;&gt;$H42,0,IF(CS42&gt;0,IF($J42=4,$E42*$I42/12*0,IF($J42=5,$E42*$I42/12*1,IF($J42=6,$E42*$I42/12*2,IF($J42&gt;=7,$E42*$I42/12*3,0))))))</f>
        <v>0</v>
      </c>
      <c r="CV42" s="442">
        <f t="shared" ref="CV42" si="713">IF($H42&lt;&gt;CX$5,0,IF(CX42&gt;0,IF(OR($J42=1,$J42=2,$J42=3,$J42=4,$J42=5,$J42=6,$J42=7),$E42*$I42/12*3,IF($J42=8,$E42*$I42/12*2,IF($J42=9,$E42*$I42/12*1,0)))))+IF(CS$5&lt;&gt;$H42,0,IF(CS42&gt;0,IF($J42=7,$E42*$I42/12*0,IF($J42=8,$E42*$I42/12*1,IF($J42=9,$E42*$I42/12*2,IF($J42&gt;=10,$E42*$I42/12*3,0))))))</f>
        <v>0</v>
      </c>
      <c r="CW42" s="443">
        <f t="shared" ref="CW42" si="714">IF($H42&lt;&gt;CX$5,0,IF(CX42&gt;0,IF(OR($J42=1,$J42=2,$J42=3,$J42=4,$J42=5,$J42=6,$J42=7,$J42=8,$J42=9,$J42=10),$E42*$I42/12*3,IF($J42=11,$E42*$I42/12*2,IF($J42=12,$E42*$I42/12*1,0)))))+IF(CS$5&lt;&gt;$H42,0,IF(CS42&gt;0,IF($J42=10,$E42*$I42/12*0,IF($J42=11,$E42*$I42/12*1,IF($J42=12,$E42*$I42/12*2,0)))))</f>
        <v>0</v>
      </c>
      <c r="CX42" s="440">
        <f t="shared" ref="CX42" si="715">IF(AND(CS42&lt;&gt;0,CS$5=$H42),$I42*$E42-CS42,IF(CX$5=$H42,$I42*$E42*(12-$J42+1)/12,0))</f>
        <v>0</v>
      </c>
      <c r="CY42" s="441">
        <f t="shared" ref="CY42" si="716">IF($H42&lt;&gt;DC$5,0,IF(DC42&gt;0,IF($J42=1,$E42*$I42/12*3,IF($J42=2,$E42*$I42/12*2,IF($J42=3,$E42*$I42/12*1,0)))))+IF(CX$5&lt;&gt;$H42,0,IF(CX42&gt;0,IF($J42=1,$E42*$I42/12*0,IF($J42=2,$E42*$I42/12*1,IF($J42=3,$E42*$I42/12*2,IF($J42&gt;=4,$E42*$I42/12*3,0))))))</f>
        <v>0</v>
      </c>
      <c r="CZ42" s="442">
        <f t="shared" ref="CZ42" si="717">IF($H42&lt;&gt;DC$5,0,IF(DC42&gt;0,IF(OR($J42=1,$J42=2,$J42=3,$J42=4),$E42*$I42/12*3,IF($J42=5,$E42*$I42/12*2,IF($J42=6,$E42*$I42/12*1,0)))))+IF(CX$5&lt;&gt;$H42,0,IF(CX42&gt;0,IF($J42=4,$E42*$I42/12*0,IF($J42=5,$E42*$I42/12*1,IF($J42=6,$E42*$I42/12*2,IF($J42&gt;=7,$E42*$I42/12*3,0))))))</f>
        <v>0</v>
      </c>
      <c r="DA42" s="442">
        <f t="shared" ref="DA42" si="718">IF($H42&lt;&gt;DC$5,0,IF(DC42&gt;0,IF(OR($J42=1,$J42=2,$J42=3,$J42=4,$J42=5,$J42=6,$J42=7),$E42*$I42/12*3,IF($J42=8,$E42*$I42/12*2,IF($J42=9,$E42*$I42/12*1,0)))))+IF(CX$5&lt;&gt;$H42,0,IF(CX42&gt;0,IF($J42=7,$E42*$I42/12*0,IF($J42=8,$E42*$I42/12*1,IF($J42=9,$E42*$I42/12*2,IF($J42&gt;=10,$E42*$I42/12*3,0))))))</f>
        <v>0</v>
      </c>
      <c r="DB42" s="443">
        <f t="shared" ref="DB42" si="719">IF($H42&lt;&gt;DC$5,0,IF(DC42&gt;0,IF(OR($J42=1,$J42=2,$J42=3,$J42=4,$J42=5,$J42=6,$J42=7,$J42=8,$J42=9,$J42=10),$E42*$I42/12*3,IF($J42=11,$E42*$I42/12*2,IF($J42=12,$E42*$I42/12*1,0)))))+IF(CX$5&lt;&gt;$H42,0,IF(CX42&gt;0,IF($J42=10,$E42*$I42/12*0,IF($J42=11,$E42*$I42/12*1,IF($J42=12,$E42*$I42/12*2,0)))))</f>
        <v>0</v>
      </c>
      <c r="DC42" s="440">
        <f t="shared" ref="DC42" si="720">IF(AND(CX42&lt;&gt;0,CX$5=$H42),$I42*$E42-CX42,IF(DC$5=$H42,$I42*$E42*(12-$J42+1)/12,0))</f>
        <v>0</v>
      </c>
      <c r="DD42" s="441">
        <f t="shared" ref="DD42" si="721">IF($H42&lt;&gt;DH$5,0,IF(DH42&gt;0,IF($J42=1,$E42*$I42/12*3,IF($J42=2,$E42*$I42/12*2,IF($J42=3,$E42*$I42/12*1,0)))))+IF(DC$5&lt;&gt;$H42,0,IF(DC42&gt;0,IF($J42=1,$E42*$I42/12*0,IF($J42=2,$E42*$I42/12*1,IF($J42=3,$E42*$I42/12*2,IF($J42&gt;=4,$E42*$I42/12*3,0))))))</f>
        <v>0</v>
      </c>
      <c r="DE42" s="442">
        <f t="shared" ref="DE42" si="722">IF($H42&lt;&gt;DH$5,0,IF(DH42&gt;0,IF(OR($J42=1,$J42=2,$J42=3,$J42=4),$E42*$I42/12*3,IF($J42=5,$E42*$I42/12*2,IF($J42=6,$E42*$I42/12*1,0)))))+IF(DC$5&lt;&gt;$H42,0,IF(DC42&gt;0,IF($J42=4,$E42*$I42/12*0,IF($J42=5,$E42*$I42/12*1,IF($J42=6,$E42*$I42/12*2,IF($J42&gt;=7,$E42*$I42/12*3,0))))))</f>
        <v>0</v>
      </c>
      <c r="DF42" s="442">
        <f t="shared" ref="DF42" si="723">IF($H42&lt;&gt;DH$5,0,IF(DH42&gt;0,IF(OR($J42=1,$J42=2,$J42=3,$J42=4,$J42=5,$J42=6,$J42=7),$E42*$I42/12*3,IF($J42=8,$E42*$I42/12*2,IF($J42=9,$E42*$I42/12*1,0)))))+IF(DC$5&lt;&gt;$H42,0,IF(DC42&gt;0,IF($J42=7,$E42*$I42/12*0,IF($J42=8,$E42*$I42/12*1,IF($J42=9,$E42*$I42/12*2,IF($J42&gt;=10,$E42*$I42/12*3,0))))))</f>
        <v>0</v>
      </c>
      <c r="DG42" s="443">
        <f t="shared" ref="DG42" si="724">IF($H42&lt;&gt;DH$5,0,IF(DH42&gt;0,IF(OR($J42=1,$J42=2,$J42=3,$J42=4,$J42=5,$J42=6,$J42=7,$J42=8,$J42=9,$J42=10),$E42*$I42/12*3,IF($J42=11,$E42*$I42/12*2,IF($J42=12,$E42*$I42/12*1,0)))))+IF(DC$5&lt;&gt;$H42,0,IF(DC42&gt;0,IF($J42=10,$E42*$I42/12*0,IF($J42=11,$E42*$I42/12*1,IF($J42=12,$E42*$I42/12*2,0)))))</f>
        <v>0</v>
      </c>
      <c r="DH42" s="440">
        <f t="shared" ref="DH42" si="725">IF(AND(DC42&lt;&gt;0,DC$5=$H42),$I42*$E42-DC42,IF(DH$5=$H42,$I42*$E42*(12-$J42+1)/12,0))</f>
        <v>0</v>
      </c>
      <c r="DI42" s="441">
        <f t="shared" ref="DI42" si="726">IF($H42&lt;&gt;DM$5,0,IF(DM42&gt;0,IF($J42=1,$E42*$I42/12*3,IF($J42=2,$E42*$I42/12*2,IF($J42=3,$E42*$I42/12*1,0)))))+IF(DH$5&lt;&gt;$H42,0,IF(DH42&gt;0,IF($J42=1,$E42*$I42/12*0,IF($J42=2,$E42*$I42/12*1,IF($J42=3,$E42*$I42/12*2,IF($J42&gt;=4,$E42*$I42/12*3,0))))))</f>
        <v>0</v>
      </c>
      <c r="DJ42" s="442">
        <f t="shared" ref="DJ42" si="727">IF($H42&lt;&gt;DM$5,0,IF(DM42&gt;0,IF(OR($J42=1,$J42=2,$J42=3,$J42=4),$E42*$I42/12*3,IF($J42=5,$E42*$I42/12*2,IF($J42=6,$E42*$I42/12*1,0)))))+IF(DH$5&lt;&gt;$H42,0,IF(DH42&gt;0,IF($J42=4,$E42*$I42/12*0,IF($J42=5,$E42*$I42/12*1,IF($J42=6,$E42*$I42/12*2,IF($J42&gt;=7,$E42*$I42/12*3,0))))))</f>
        <v>0</v>
      </c>
      <c r="DK42" s="442">
        <f t="shared" ref="DK42" si="728">IF($H42&lt;&gt;DM$5,0,IF(DM42&gt;0,IF(OR($J42=1,$J42=2,$J42=3,$J42=4,$J42=5,$J42=6,$J42=7),$E42*$I42/12*3,IF($J42=8,$E42*$I42/12*2,IF($J42=9,$E42*$I42/12*1,0)))))+IF(DH$5&lt;&gt;$H42,0,IF(DH42&gt;0,IF($J42=7,$E42*$I42/12*0,IF($J42=8,$E42*$I42/12*1,IF($J42=9,$E42*$I42/12*2,IF($J42&gt;=10,$E42*$I42/12*3,0))))))</f>
        <v>0</v>
      </c>
      <c r="DL42" s="443">
        <f t="shared" ref="DL42" si="729">IF($H42&lt;&gt;DM$5,0,IF(DM42&gt;0,IF(OR($J42=1,$J42=2,$J42=3,$J42=4,$J42=5,$J42=6,$J42=7,$J42=8,$J42=9,$J42=10),$E42*$I42/12*3,IF($J42=11,$E42*$I42/12*2,IF($J42=12,$E42*$I42/12*1,0)))))+IF(DH$5&lt;&gt;$H42,0,IF(DH42&gt;0,IF($J42=10,$E42*$I42/12*0,IF($J42=11,$E42*$I42/12*1,IF($J42=12,$E42*$I42/12*2,0)))))</f>
        <v>0</v>
      </c>
      <c r="DM42" s="440">
        <f t="shared" ref="DM42" si="730">IF(AND(DH42&lt;&gt;0,DH$5=$H42),$I42*$E42-DH42,IF(DM$5=$H42,$I42*$E42*(12-$J42+1)/12,0))</f>
        <v>0</v>
      </c>
      <c r="DN42" s="441">
        <f t="shared" ref="DN42" si="731">IF($H42&lt;&gt;DR$5,0,IF(DR42&gt;0,IF($J42=1,$E42*$I42/12*3,IF($J42=2,$E42*$I42/12*2,IF($J42=3,$E42*$I42/12*1,0)))))+IF(DM$5&lt;&gt;$H42,0,IF(DM42&gt;0,IF($J42=1,$E42*$I42/12*0,IF($J42=2,$E42*$I42/12*1,IF($J42=3,$E42*$I42/12*2,IF($J42&gt;=4,$E42*$I42/12*3,0))))))</f>
        <v>0</v>
      </c>
      <c r="DO42" s="442">
        <f t="shared" ref="DO42" si="732">IF($H42&lt;&gt;DR$5,0,IF(DR42&gt;0,IF(OR($J42=1,$J42=2,$J42=3,$J42=4),$E42*$I42/12*3,IF($J42=5,$E42*$I42/12*2,IF($J42=6,$E42*$I42/12*1,0)))))+IF(DM$5&lt;&gt;$H42,0,IF(DM42&gt;0,IF($J42=4,$E42*$I42/12*0,IF($J42=5,$E42*$I42/12*1,IF($J42=6,$E42*$I42/12*2,IF($J42&gt;=7,$E42*$I42/12*3,0))))))</f>
        <v>4.583333333333333</v>
      </c>
      <c r="DP42" s="442">
        <f t="shared" ref="DP42" si="733">IF($H42&lt;&gt;DR$5,0,IF(DR42&gt;0,IF(OR($J42=1,$J42=2,$J42=3,$J42=4,$J42=5,$J42=6,$J42=7),$E42*$I42/12*3,IF($J42=8,$E42*$I42/12*2,IF($J42=9,$E42*$I42/12*1,0)))))+IF(DM$5&lt;&gt;$H42,0,IF(DM42&gt;0,IF($J42=7,$E42*$I42/12*0,IF($J42=8,$E42*$I42/12*1,IF($J42=9,$E42*$I42/12*2,IF($J42&gt;=10,$E42*$I42/12*3,0))))))</f>
        <v>13.75</v>
      </c>
      <c r="DQ42" s="443">
        <f t="shared" ref="DQ42" si="734">IF($H42&lt;&gt;DR$5,0,IF(DR42&gt;0,IF(OR($J42=1,$J42=2,$J42=3,$J42=4,$J42=5,$J42=6,$J42=7,$J42=8,$J42=9,$J42=10),$E42*$I42/12*3,IF($J42=11,$E42*$I42/12*2,IF($J42=12,$E42*$I42/12*1,0)))))+IF(DM$5&lt;&gt;$H42,0,IF(DM42&gt;0,IF($J42=10,$E42*$I42/12*0,IF($J42=11,$E42*$I42/12*1,IF($J42=12,$E42*$I42/12*2,0)))))</f>
        <v>13.75</v>
      </c>
      <c r="DR42" s="440">
        <f t="shared" ref="DR42" si="735">IF(AND(DM42&lt;&gt;0,DM$5=$H42),$I42*$E42-DM42,IF(DR$5=$H42,$I42*$E42*(12-$J42+1)/12,0))</f>
        <v>32.083333333333336</v>
      </c>
    </row>
    <row r="43" spans="1:122" ht="12.75" customHeight="1">
      <c r="A43" s="92"/>
      <c r="B43" s="92"/>
      <c r="C43" s="561"/>
      <c r="D43" s="562"/>
      <c r="E43" s="563"/>
      <c r="F43" s="564"/>
      <c r="G43" s="564"/>
      <c r="H43" s="584"/>
      <c r="I43" s="609"/>
      <c r="J43" s="623"/>
      <c r="K43" s="565"/>
      <c r="L43" s="447"/>
      <c r="M43" s="448"/>
      <c r="N43" s="448"/>
      <c r="O43" s="449"/>
      <c r="P43" s="446"/>
      <c r="Q43" s="447"/>
      <c r="R43" s="448"/>
      <c r="S43" s="448"/>
      <c r="T43" s="449"/>
      <c r="U43" s="446"/>
      <c r="V43" s="447"/>
      <c r="W43" s="448"/>
      <c r="X43" s="448"/>
      <c r="Y43" s="449"/>
      <c r="Z43" s="446"/>
      <c r="AA43" s="447"/>
      <c r="AB43" s="448"/>
      <c r="AC43" s="448"/>
      <c r="AD43" s="449"/>
      <c r="AE43" s="446"/>
      <c r="AF43" s="447"/>
      <c r="AG43" s="448"/>
      <c r="AH43" s="448"/>
      <c r="AI43" s="449"/>
      <c r="AJ43" s="446"/>
      <c r="AK43" s="447"/>
      <c r="AL43" s="448"/>
      <c r="AM43" s="448"/>
      <c r="AN43" s="449"/>
      <c r="AO43" s="446"/>
      <c r="AP43" s="447"/>
      <c r="AQ43" s="448"/>
      <c r="AR43" s="448"/>
      <c r="AS43" s="449"/>
      <c r="AT43" s="446"/>
      <c r="AU43" s="447"/>
      <c r="AV43" s="448"/>
      <c r="AW43" s="448"/>
      <c r="AX43" s="449"/>
      <c r="AY43" s="446"/>
      <c r="AZ43" s="447"/>
      <c r="BA43" s="448"/>
      <c r="BB43" s="448"/>
      <c r="BC43" s="449"/>
      <c r="BD43" s="446"/>
      <c r="BE43" s="447"/>
      <c r="BF43" s="448"/>
      <c r="BG43" s="448"/>
      <c r="BH43" s="449"/>
      <c r="BI43" s="446"/>
      <c r="BJ43" s="447"/>
      <c r="BK43" s="448"/>
      <c r="BL43" s="448"/>
      <c r="BM43" s="449"/>
      <c r="BN43" s="446"/>
      <c r="BO43" s="468"/>
      <c r="BP43" s="454"/>
      <c r="BQ43" s="455"/>
      <c r="BR43" s="455"/>
      <c r="BS43" s="456"/>
      <c r="BT43" s="453"/>
      <c r="BU43" s="454"/>
      <c r="BV43" s="455"/>
      <c r="BW43" s="455"/>
      <c r="BX43" s="456"/>
      <c r="BY43" s="453"/>
      <c r="BZ43" s="454"/>
      <c r="CA43" s="455"/>
      <c r="CB43" s="455"/>
      <c r="CC43" s="456"/>
      <c r="CD43" s="453"/>
      <c r="CE43" s="454"/>
      <c r="CF43" s="455"/>
      <c r="CG43" s="455"/>
      <c r="CH43" s="456"/>
      <c r="CI43" s="453"/>
      <c r="CJ43" s="454"/>
      <c r="CK43" s="455"/>
      <c r="CL43" s="455"/>
      <c r="CM43" s="456"/>
      <c r="CN43" s="453"/>
      <c r="CO43" s="454"/>
      <c r="CP43" s="455"/>
      <c r="CQ43" s="455"/>
      <c r="CR43" s="456"/>
      <c r="CS43" s="453"/>
      <c r="CT43" s="454"/>
      <c r="CU43" s="455"/>
      <c r="CV43" s="455"/>
      <c r="CW43" s="456"/>
      <c r="CX43" s="453"/>
      <c r="CY43" s="454"/>
      <c r="CZ43" s="455"/>
      <c r="DA43" s="455"/>
      <c r="DB43" s="456"/>
      <c r="DC43" s="453"/>
      <c r="DD43" s="454"/>
      <c r="DE43" s="455"/>
      <c r="DF43" s="455"/>
      <c r="DG43" s="456"/>
      <c r="DH43" s="453"/>
      <c r="DI43" s="454"/>
      <c r="DJ43" s="455"/>
      <c r="DK43" s="455"/>
      <c r="DL43" s="456"/>
      <c r="DM43" s="453"/>
      <c r="DN43" s="454"/>
      <c r="DO43" s="455"/>
      <c r="DP43" s="455"/>
      <c r="DQ43" s="456"/>
      <c r="DR43" s="453"/>
    </row>
    <row r="44" spans="1:122" ht="12.75" customHeight="1">
      <c r="A44" s="136"/>
      <c r="B44" s="136"/>
      <c r="C44" s="409" t="s">
        <v>215</v>
      </c>
      <c r="D44" s="400"/>
      <c r="E44" s="1760">
        <f>SUM(E33:E43)</f>
        <v>6870</v>
      </c>
      <c r="F44" s="535"/>
      <c r="G44" s="535"/>
      <c r="H44" s="580"/>
      <c r="I44" s="602"/>
      <c r="J44" s="617"/>
      <c r="K44" s="537"/>
      <c r="L44" s="431">
        <f t="shared" ref="L44:AQ44" si="736">SUM(L33:L43)</f>
        <v>0</v>
      </c>
      <c r="M44" s="432">
        <f t="shared" si="736"/>
        <v>0</v>
      </c>
      <c r="N44" s="432">
        <f t="shared" si="736"/>
        <v>0</v>
      </c>
      <c r="O44" s="433">
        <f t="shared" si="736"/>
        <v>0</v>
      </c>
      <c r="P44" s="430">
        <f t="shared" si="736"/>
        <v>0</v>
      </c>
      <c r="Q44" s="431">
        <f t="shared" si="736"/>
        <v>0</v>
      </c>
      <c r="R44" s="432">
        <f t="shared" si="736"/>
        <v>0</v>
      </c>
      <c r="S44" s="432">
        <f t="shared" si="736"/>
        <v>0</v>
      </c>
      <c r="T44" s="433">
        <f t="shared" si="736"/>
        <v>0</v>
      </c>
      <c r="U44" s="430">
        <f t="shared" si="736"/>
        <v>0</v>
      </c>
      <c r="V44" s="431">
        <f t="shared" si="736"/>
        <v>0</v>
      </c>
      <c r="W44" s="432">
        <f t="shared" si="736"/>
        <v>0</v>
      </c>
      <c r="X44" s="432">
        <f t="shared" si="736"/>
        <v>0</v>
      </c>
      <c r="Y44" s="433">
        <f t="shared" si="736"/>
        <v>0</v>
      </c>
      <c r="Z44" s="430">
        <f t="shared" si="736"/>
        <v>0</v>
      </c>
      <c r="AA44" s="431">
        <f t="shared" si="736"/>
        <v>0</v>
      </c>
      <c r="AB44" s="432">
        <f t="shared" si="736"/>
        <v>0</v>
      </c>
      <c r="AC44" s="432">
        <f t="shared" si="736"/>
        <v>0</v>
      </c>
      <c r="AD44" s="433">
        <f t="shared" si="736"/>
        <v>0</v>
      </c>
      <c r="AE44" s="430">
        <f t="shared" si="736"/>
        <v>0</v>
      </c>
      <c r="AF44" s="431">
        <f t="shared" si="736"/>
        <v>0</v>
      </c>
      <c r="AG44" s="432">
        <f t="shared" si="736"/>
        <v>0</v>
      </c>
      <c r="AH44" s="432">
        <f t="shared" si="736"/>
        <v>0</v>
      </c>
      <c r="AI44" s="433">
        <f t="shared" si="736"/>
        <v>0</v>
      </c>
      <c r="AJ44" s="430">
        <f t="shared" si="736"/>
        <v>0</v>
      </c>
      <c r="AK44" s="431">
        <f t="shared" si="736"/>
        <v>0</v>
      </c>
      <c r="AL44" s="432">
        <f t="shared" si="736"/>
        <v>0</v>
      </c>
      <c r="AM44" s="432">
        <f t="shared" si="736"/>
        <v>0</v>
      </c>
      <c r="AN44" s="433">
        <f t="shared" si="736"/>
        <v>0</v>
      </c>
      <c r="AO44" s="430">
        <f t="shared" si="736"/>
        <v>0</v>
      </c>
      <c r="AP44" s="431">
        <f t="shared" si="736"/>
        <v>250</v>
      </c>
      <c r="AQ44" s="432">
        <f t="shared" si="736"/>
        <v>3000</v>
      </c>
      <c r="AR44" s="432">
        <f t="shared" ref="AR44:BN44" si="737">SUM(AR33:AR43)</f>
        <v>0</v>
      </c>
      <c r="AS44" s="433">
        <f t="shared" si="737"/>
        <v>0</v>
      </c>
      <c r="AT44" s="430">
        <f t="shared" si="737"/>
        <v>3250</v>
      </c>
      <c r="AU44" s="431">
        <f t="shared" si="737"/>
        <v>1620</v>
      </c>
      <c r="AV44" s="432">
        <f t="shared" si="737"/>
        <v>0</v>
      </c>
      <c r="AW44" s="432">
        <f t="shared" si="737"/>
        <v>0</v>
      </c>
      <c r="AX44" s="433">
        <f t="shared" si="737"/>
        <v>0</v>
      </c>
      <c r="AY44" s="430">
        <f t="shared" si="737"/>
        <v>1620</v>
      </c>
      <c r="AZ44" s="431">
        <f t="shared" si="737"/>
        <v>0</v>
      </c>
      <c r="BA44" s="432">
        <f t="shared" si="737"/>
        <v>500</v>
      </c>
      <c r="BB44" s="432">
        <f t="shared" si="737"/>
        <v>0</v>
      </c>
      <c r="BC44" s="433">
        <f t="shared" si="737"/>
        <v>0</v>
      </c>
      <c r="BD44" s="430">
        <f t="shared" si="737"/>
        <v>500</v>
      </c>
      <c r="BE44" s="431">
        <f t="shared" si="737"/>
        <v>0</v>
      </c>
      <c r="BF44" s="432">
        <f t="shared" si="737"/>
        <v>400</v>
      </c>
      <c r="BG44" s="432">
        <f t="shared" si="737"/>
        <v>0</v>
      </c>
      <c r="BH44" s="433">
        <f t="shared" si="737"/>
        <v>0</v>
      </c>
      <c r="BI44" s="430">
        <f t="shared" si="737"/>
        <v>400</v>
      </c>
      <c r="BJ44" s="431">
        <f t="shared" si="737"/>
        <v>0</v>
      </c>
      <c r="BK44" s="432">
        <f t="shared" si="737"/>
        <v>1100</v>
      </c>
      <c r="BL44" s="432">
        <f t="shared" si="737"/>
        <v>0</v>
      </c>
      <c r="BM44" s="433">
        <f t="shared" si="737"/>
        <v>0</v>
      </c>
      <c r="BN44" s="430">
        <f t="shared" si="737"/>
        <v>1100</v>
      </c>
      <c r="BO44" s="469"/>
      <c r="BP44" s="431">
        <f t="shared" ref="BP44:CU44" si="738">SUM(BP33:BP43)</f>
        <v>0</v>
      </c>
      <c r="BQ44" s="432">
        <f t="shared" si="738"/>
        <v>0</v>
      </c>
      <c r="BR44" s="432">
        <f t="shared" si="738"/>
        <v>0</v>
      </c>
      <c r="BS44" s="433">
        <f t="shared" si="738"/>
        <v>0</v>
      </c>
      <c r="BT44" s="430">
        <f t="shared" si="738"/>
        <v>0</v>
      </c>
      <c r="BU44" s="431">
        <f t="shared" si="738"/>
        <v>0</v>
      </c>
      <c r="BV44" s="432">
        <f t="shared" si="738"/>
        <v>0</v>
      </c>
      <c r="BW44" s="432">
        <f t="shared" si="738"/>
        <v>0</v>
      </c>
      <c r="BX44" s="433">
        <f t="shared" si="738"/>
        <v>0</v>
      </c>
      <c r="BY44" s="430">
        <f t="shared" si="738"/>
        <v>0</v>
      </c>
      <c r="BZ44" s="431">
        <f t="shared" si="738"/>
        <v>0</v>
      </c>
      <c r="CA44" s="432">
        <f t="shared" si="738"/>
        <v>0</v>
      </c>
      <c r="CB44" s="432">
        <f t="shared" si="738"/>
        <v>0</v>
      </c>
      <c r="CC44" s="433">
        <f t="shared" si="738"/>
        <v>0</v>
      </c>
      <c r="CD44" s="430">
        <f t="shared" si="738"/>
        <v>0</v>
      </c>
      <c r="CE44" s="431">
        <f t="shared" si="738"/>
        <v>0</v>
      </c>
      <c r="CF44" s="432">
        <f t="shared" si="738"/>
        <v>0</v>
      </c>
      <c r="CG44" s="432">
        <f t="shared" si="738"/>
        <v>0</v>
      </c>
      <c r="CH44" s="433">
        <f t="shared" si="738"/>
        <v>0</v>
      </c>
      <c r="CI44" s="430">
        <f t="shared" si="738"/>
        <v>0</v>
      </c>
      <c r="CJ44" s="431">
        <f t="shared" si="738"/>
        <v>0</v>
      </c>
      <c r="CK44" s="432">
        <f t="shared" si="738"/>
        <v>0</v>
      </c>
      <c r="CL44" s="432">
        <f t="shared" si="738"/>
        <v>0</v>
      </c>
      <c r="CM44" s="433">
        <f t="shared" si="738"/>
        <v>0</v>
      </c>
      <c r="CN44" s="430">
        <f t="shared" si="738"/>
        <v>0</v>
      </c>
      <c r="CO44" s="431">
        <f t="shared" si="738"/>
        <v>0</v>
      </c>
      <c r="CP44" s="432">
        <f t="shared" si="738"/>
        <v>0</v>
      </c>
      <c r="CQ44" s="432">
        <f t="shared" si="738"/>
        <v>0</v>
      </c>
      <c r="CR44" s="433">
        <f t="shared" si="738"/>
        <v>0</v>
      </c>
      <c r="CS44" s="430">
        <f t="shared" si="738"/>
        <v>0</v>
      </c>
      <c r="CT44" s="431">
        <f t="shared" si="738"/>
        <v>1.5999999999999999</v>
      </c>
      <c r="CU44" s="432">
        <f t="shared" si="738"/>
        <v>12.504166666666666</v>
      </c>
      <c r="CV44" s="432">
        <f t="shared" ref="CV44:DR44" si="739">SUM(CV33:CV43)</f>
        <v>32.712499999999999</v>
      </c>
      <c r="CW44" s="433">
        <f t="shared" si="739"/>
        <v>32.712499999999999</v>
      </c>
      <c r="CX44" s="430">
        <f t="shared" si="739"/>
        <v>79.529166666666669</v>
      </c>
      <c r="CY44" s="431">
        <f t="shared" si="739"/>
        <v>52.381646608315094</v>
      </c>
      <c r="CZ44" s="432">
        <f t="shared" si="739"/>
        <v>41.477479941648433</v>
      </c>
      <c r="DA44" s="432">
        <f t="shared" si="739"/>
        <v>21.269146608315097</v>
      </c>
      <c r="DB44" s="433">
        <f t="shared" si="739"/>
        <v>21.269146608315097</v>
      </c>
      <c r="DC44" s="430">
        <f t="shared" si="739"/>
        <v>136.39741976659371</v>
      </c>
      <c r="DD44" s="431">
        <f t="shared" si="739"/>
        <v>0</v>
      </c>
      <c r="DE44" s="432">
        <f t="shared" si="739"/>
        <v>2.0833333333333335</v>
      </c>
      <c r="DF44" s="432">
        <f t="shared" si="739"/>
        <v>6.25</v>
      </c>
      <c r="DG44" s="433">
        <f t="shared" si="739"/>
        <v>6.25</v>
      </c>
      <c r="DH44" s="430">
        <f t="shared" si="739"/>
        <v>14.583333333333334</v>
      </c>
      <c r="DI44" s="431">
        <f t="shared" si="739"/>
        <v>6.25</v>
      </c>
      <c r="DJ44" s="432">
        <f t="shared" si="739"/>
        <v>5.8333333333333339</v>
      </c>
      <c r="DK44" s="432">
        <f t="shared" si="739"/>
        <v>5</v>
      </c>
      <c r="DL44" s="433">
        <f t="shared" si="739"/>
        <v>5</v>
      </c>
      <c r="DM44" s="430">
        <f t="shared" si="739"/>
        <v>22.083333333333332</v>
      </c>
      <c r="DN44" s="431">
        <f t="shared" si="739"/>
        <v>5</v>
      </c>
      <c r="DO44" s="432">
        <f t="shared" si="739"/>
        <v>7.9166666666666661</v>
      </c>
      <c r="DP44" s="432">
        <f t="shared" si="739"/>
        <v>13.75</v>
      </c>
      <c r="DQ44" s="433">
        <f t="shared" si="739"/>
        <v>13.75</v>
      </c>
      <c r="DR44" s="430">
        <f t="shared" si="739"/>
        <v>40.416666666666671</v>
      </c>
    </row>
    <row r="45" spans="1:122" ht="12.75" customHeight="1">
      <c r="A45" s="92"/>
      <c r="B45" s="92"/>
      <c r="C45" s="400"/>
      <c r="D45" s="400"/>
      <c r="E45" s="538"/>
      <c r="F45" s="535"/>
      <c r="G45" s="535"/>
      <c r="H45" s="578"/>
      <c r="I45" s="600"/>
      <c r="J45" s="459"/>
      <c r="K45" s="528"/>
      <c r="L45" s="441"/>
      <c r="M45" s="442"/>
      <c r="N45" s="442"/>
      <c r="O45" s="443"/>
      <c r="P45" s="440"/>
      <c r="Q45" s="441"/>
      <c r="R45" s="442"/>
      <c r="S45" s="442"/>
      <c r="T45" s="443"/>
      <c r="U45" s="440"/>
      <c r="V45" s="441"/>
      <c r="W45" s="442"/>
      <c r="X45" s="442"/>
      <c r="Y45" s="443"/>
      <c r="Z45" s="440"/>
      <c r="AA45" s="441"/>
      <c r="AB45" s="442"/>
      <c r="AC45" s="442"/>
      <c r="AD45" s="443"/>
      <c r="AE45" s="440"/>
      <c r="AF45" s="441"/>
      <c r="AG45" s="442"/>
      <c r="AH45" s="442"/>
      <c r="AI45" s="443"/>
      <c r="AJ45" s="440"/>
      <c r="AK45" s="441"/>
      <c r="AL45" s="442"/>
      <c r="AM45" s="442"/>
      <c r="AN45" s="443"/>
      <c r="AO45" s="440"/>
      <c r="AP45" s="441"/>
      <c r="AQ45" s="442"/>
      <c r="AR45" s="442"/>
      <c r="AS45" s="443"/>
      <c r="AT45" s="440"/>
      <c r="AU45" s="441"/>
      <c r="AV45" s="442"/>
      <c r="AW45" s="442"/>
      <c r="AX45" s="443"/>
      <c r="AY45" s="440"/>
      <c r="AZ45" s="441"/>
      <c r="BA45" s="442"/>
      <c r="BB45" s="442"/>
      <c r="BC45" s="443"/>
      <c r="BD45" s="440"/>
      <c r="BE45" s="441"/>
      <c r="BF45" s="442"/>
      <c r="BG45" s="442"/>
      <c r="BH45" s="443"/>
      <c r="BI45" s="440"/>
      <c r="BJ45" s="441"/>
      <c r="BK45" s="442"/>
      <c r="BL45" s="442"/>
      <c r="BM45" s="443"/>
      <c r="BN45" s="440"/>
      <c r="BO45" s="463"/>
      <c r="BP45" s="441"/>
      <c r="BQ45" s="442"/>
      <c r="BR45" s="442"/>
      <c r="BS45" s="443"/>
      <c r="BT45" s="440"/>
      <c r="BU45" s="441"/>
      <c r="BV45" s="442"/>
      <c r="BW45" s="442"/>
      <c r="BX45" s="443"/>
      <c r="BY45" s="440"/>
      <c r="BZ45" s="441"/>
      <c r="CA45" s="442"/>
      <c r="CB45" s="442"/>
      <c r="CC45" s="443"/>
      <c r="CD45" s="440"/>
      <c r="CE45" s="441"/>
      <c r="CF45" s="442"/>
      <c r="CG45" s="442"/>
      <c r="CH45" s="443"/>
      <c r="CI45" s="440"/>
      <c r="CJ45" s="441"/>
      <c r="CK45" s="442"/>
      <c r="CL45" s="442"/>
      <c r="CM45" s="443"/>
      <c r="CN45" s="440"/>
      <c r="CO45" s="441"/>
      <c r="CP45" s="442"/>
      <c r="CQ45" s="442"/>
      <c r="CR45" s="443"/>
      <c r="CS45" s="440"/>
      <c r="CT45" s="441"/>
      <c r="CU45" s="442"/>
      <c r="CV45" s="442"/>
      <c r="CW45" s="443"/>
      <c r="CX45" s="440"/>
      <c r="CY45" s="441"/>
      <c r="CZ45" s="442"/>
      <c r="DA45" s="442"/>
      <c r="DB45" s="443"/>
      <c r="DC45" s="440"/>
      <c r="DD45" s="441"/>
      <c r="DE45" s="442"/>
      <c r="DF45" s="442"/>
      <c r="DG45" s="443"/>
      <c r="DH45" s="440"/>
      <c r="DI45" s="441"/>
      <c r="DJ45" s="442"/>
      <c r="DK45" s="442"/>
      <c r="DL45" s="443"/>
      <c r="DM45" s="440"/>
      <c r="DN45" s="441"/>
      <c r="DO45" s="442"/>
      <c r="DP45" s="442"/>
      <c r="DQ45" s="443"/>
      <c r="DR45" s="440"/>
    </row>
    <row r="46" spans="1:122" ht="12.75" customHeight="1">
      <c r="A46" s="92"/>
      <c r="B46" s="92"/>
      <c r="C46" s="400" t="s">
        <v>310</v>
      </c>
      <c r="D46" s="400"/>
      <c r="E46" s="538"/>
      <c r="F46" s="535"/>
      <c r="G46" s="535"/>
      <c r="H46" s="580"/>
      <c r="I46" s="602"/>
      <c r="J46" s="617"/>
      <c r="K46" s="537"/>
      <c r="L46" s="431">
        <f t="shared" ref="L46:AQ46" si="740">+L30+L44</f>
        <v>0</v>
      </c>
      <c r="M46" s="432">
        <f t="shared" si="740"/>
        <v>0</v>
      </c>
      <c r="N46" s="432">
        <f t="shared" si="740"/>
        <v>0</v>
      </c>
      <c r="O46" s="433">
        <f t="shared" si="740"/>
        <v>0</v>
      </c>
      <c r="P46" s="430">
        <f t="shared" si="740"/>
        <v>0</v>
      </c>
      <c r="Q46" s="431">
        <f t="shared" si="740"/>
        <v>0</v>
      </c>
      <c r="R46" s="432">
        <f t="shared" si="740"/>
        <v>0</v>
      </c>
      <c r="S46" s="432">
        <f t="shared" si="740"/>
        <v>0</v>
      </c>
      <c r="T46" s="433">
        <f t="shared" si="740"/>
        <v>0</v>
      </c>
      <c r="U46" s="430">
        <f t="shared" si="740"/>
        <v>0</v>
      </c>
      <c r="V46" s="431">
        <f t="shared" si="740"/>
        <v>0</v>
      </c>
      <c r="W46" s="432">
        <f t="shared" si="740"/>
        <v>0</v>
      </c>
      <c r="X46" s="432">
        <f t="shared" si="740"/>
        <v>0</v>
      </c>
      <c r="Y46" s="433">
        <f t="shared" si="740"/>
        <v>0</v>
      </c>
      <c r="Z46" s="430">
        <f t="shared" si="740"/>
        <v>0</v>
      </c>
      <c r="AA46" s="431">
        <f t="shared" si="740"/>
        <v>0</v>
      </c>
      <c r="AB46" s="432">
        <f t="shared" si="740"/>
        <v>0</v>
      </c>
      <c r="AC46" s="432">
        <f t="shared" si="740"/>
        <v>0</v>
      </c>
      <c r="AD46" s="433">
        <f t="shared" si="740"/>
        <v>0</v>
      </c>
      <c r="AE46" s="430">
        <f t="shared" si="740"/>
        <v>0</v>
      </c>
      <c r="AF46" s="431">
        <f t="shared" si="740"/>
        <v>0</v>
      </c>
      <c r="AG46" s="432">
        <f t="shared" si="740"/>
        <v>0</v>
      </c>
      <c r="AH46" s="432">
        <f t="shared" si="740"/>
        <v>0</v>
      </c>
      <c r="AI46" s="433">
        <f t="shared" si="740"/>
        <v>0</v>
      </c>
      <c r="AJ46" s="430">
        <f t="shared" si="740"/>
        <v>0</v>
      </c>
      <c r="AK46" s="431">
        <f t="shared" si="740"/>
        <v>0</v>
      </c>
      <c r="AL46" s="432">
        <f t="shared" si="740"/>
        <v>0</v>
      </c>
      <c r="AM46" s="432">
        <f t="shared" si="740"/>
        <v>0</v>
      </c>
      <c r="AN46" s="433">
        <f t="shared" si="740"/>
        <v>0</v>
      </c>
      <c r="AO46" s="430">
        <f t="shared" si="740"/>
        <v>0</v>
      </c>
      <c r="AP46" s="431">
        <f t="shared" si="740"/>
        <v>250</v>
      </c>
      <c r="AQ46" s="432">
        <f t="shared" si="740"/>
        <v>2350</v>
      </c>
      <c r="AR46" s="432">
        <f t="shared" ref="AR46:BN46" si="741">+AR30+AR44</f>
        <v>0</v>
      </c>
      <c r="AS46" s="433">
        <f t="shared" si="741"/>
        <v>0</v>
      </c>
      <c r="AT46" s="430">
        <f t="shared" si="741"/>
        <v>2600</v>
      </c>
      <c r="AU46" s="431">
        <f t="shared" si="741"/>
        <v>170</v>
      </c>
      <c r="AV46" s="432">
        <f t="shared" si="741"/>
        <v>0</v>
      </c>
      <c r="AW46" s="432">
        <f t="shared" si="741"/>
        <v>0</v>
      </c>
      <c r="AX46" s="433">
        <f t="shared" si="741"/>
        <v>0</v>
      </c>
      <c r="AY46" s="430">
        <f t="shared" si="741"/>
        <v>170</v>
      </c>
      <c r="AZ46" s="431">
        <f t="shared" si="741"/>
        <v>0</v>
      </c>
      <c r="BA46" s="432">
        <f t="shared" si="741"/>
        <v>500</v>
      </c>
      <c r="BB46" s="432">
        <f t="shared" si="741"/>
        <v>-1620</v>
      </c>
      <c r="BC46" s="433">
        <f t="shared" si="741"/>
        <v>0</v>
      </c>
      <c r="BD46" s="430">
        <f t="shared" si="741"/>
        <v>-1120</v>
      </c>
      <c r="BE46" s="431">
        <f t="shared" si="741"/>
        <v>-250</v>
      </c>
      <c r="BF46" s="432">
        <f t="shared" si="741"/>
        <v>400</v>
      </c>
      <c r="BG46" s="432">
        <f t="shared" si="741"/>
        <v>0</v>
      </c>
      <c r="BH46" s="433">
        <f t="shared" si="741"/>
        <v>0</v>
      </c>
      <c r="BI46" s="430">
        <f t="shared" si="741"/>
        <v>150</v>
      </c>
      <c r="BJ46" s="431">
        <f t="shared" si="741"/>
        <v>0</v>
      </c>
      <c r="BK46" s="432">
        <f t="shared" si="741"/>
        <v>-100</v>
      </c>
      <c r="BL46" s="432">
        <f t="shared" si="741"/>
        <v>0</v>
      </c>
      <c r="BM46" s="433">
        <f t="shared" si="741"/>
        <v>0</v>
      </c>
      <c r="BN46" s="430">
        <f t="shared" si="741"/>
        <v>-100</v>
      </c>
      <c r="BO46" s="469"/>
      <c r="BP46" s="431">
        <f t="shared" ref="BP46:CU46" si="742">+BP30+BP44</f>
        <v>0</v>
      </c>
      <c r="BQ46" s="432">
        <f t="shared" si="742"/>
        <v>0</v>
      </c>
      <c r="BR46" s="432">
        <f t="shared" si="742"/>
        <v>0</v>
      </c>
      <c r="BS46" s="433">
        <f t="shared" si="742"/>
        <v>0</v>
      </c>
      <c r="BT46" s="430">
        <f t="shared" si="742"/>
        <v>0</v>
      </c>
      <c r="BU46" s="431">
        <f t="shared" si="742"/>
        <v>0</v>
      </c>
      <c r="BV46" s="432">
        <f t="shared" si="742"/>
        <v>0</v>
      </c>
      <c r="BW46" s="432">
        <f t="shared" si="742"/>
        <v>0</v>
      </c>
      <c r="BX46" s="433">
        <f t="shared" si="742"/>
        <v>0</v>
      </c>
      <c r="BY46" s="430">
        <f t="shared" si="742"/>
        <v>0</v>
      </c>
      <c r="BZ46" s="431">
        <f t="shared" si="742"/>
        <v>0</v>
      </c>
      <c r="CA46" s="432">
        <f t="shared" si="742"/>
        <v>0</v>
      </c>
      <c r="CB46" s="432">
        <f t="shared" si="742"/>
        <v>0</v>
      </c>
      <c r="CC46" s="433">
        <f t="shared" si="742"/>
        <v>0</v>
      </c>
      <c r="CD46" s="430">
        <f t="shared" si="742"/>
        <v>0</v>
      </c>
      <c r="CE46" s="431">
        <f t="shared" si="742"/>
        <v>0</v>
      </c>
      <c r="CF46" s="432">
        <f t="shared" si="742"/>
        <v>0</v>
      </c>
      <c r="CG46" s="432">
        <f t="shared" si="742"/>
        <v>0</v>
      </c>
      <c r="CH46" s="433">
        <f t="shared" si="742"/>
        <v>0</v>
      </c>
      <c r="CI46" s="430">
        <f t="shared" si="742"/>
        <v>0</v>
      </c>
      <c r="CJ46" s="431">
        <f t="shared" si="742"/>
        <v>0</v>
      </c>
      <c r="CK46" s="432">
        <f t="shared" si="742"/>
        <v>0</v>
      </c>
      <c r="CL46" s="432">
        <f t="shared" si="742"/>
        <v>0</v>
      </c>
      <c r="CM46" s="433">
        <f t="shared" si="742"/>
        <v>0</v>
      </c>
      <c r="CN46" s="430">
        <f t="shared" si="742"/>
        <v>0</v>
      </c>
      <c r="CO46" s="431">
        <f t="shared" si="742"/>
        <v>0</v>
      </c>
      <c r="CP46" s="432">
        <f t="shared" si="742"/>
        <v>0</v>
      </c>
      <c r="CQ46" s="432">
        <f t="shared" si="742"/>
        <v>0</v>
      </c>
      <c r="CR46" s="433">
        <f t="shared" si="742"/>
        <v>0</v>
      </c>
      <c r="CS46" s="430">
        <f t="shared" si="742"/>
        <v>0</v>
      </c>
      <c r="CT46" s="431">
        <f t="shared" si="742"/>
        <v>1.5999999999999999</v>
      </c>
      <c r="CU46" s="432">
        <f t="shared" si="742"/>
        <v>11.014583333333333</v>
      </c>
      <c r="CV46" s="432">
        <f t="shared" ref="CV46:DR46" si="743">+CV30+CV44</f>
        <v>28.243749999999999</v>
      </c>
      <c r="CW46" s="433">
        <f t="shared" si="743"/>
        <v>28.243749999999999</v>
      </c>
      <c r="CX46" s="430">
        <f t="shared" si="743"/>
        <v>69.10208333333334</v>
      </c>
      <c r="CY46" s="431">
        <f t="shared" si="743"/>
        <v>29.787896608315094</v>
      </c>
      <c r="CZ46" s="432">
        <f t="shared" si="743"/>
        <v>20.373313274981765</v>
      </c>
      <c r="DA46" s="432">
        <f t="shared" si="743"/>
        <v>3.1441466083150971</v>
      </c>
      <c r="DB46" s="433">
        <f t="shared" si="743"/>
        <v>3.1441466083150971</v>
      </c>
      <c r="DC46" s="430">
        <f t="shared" si="743"/>
        <v>56.449503099927043</v>
      </c>
      <c r="DD46" s="431">
        <f t="shared" si="743"/>
        <v>0</v>
      </c>
      <c r="DE46" s="432">
        <f t="shared" si="743"/>
        <v>2.0833333333333335</v>
      </c>
      <c r="DF46" s="432">
        <f t="shared" si="743"/>
        <v>-15.019146608315097</v>
      </c>
      <c r="DG46" s="433">
        <f t="shared" si="743"/>
        <v>-15.019146608315097</v>
      </c>
      <c r="DH46" s="430">
        <f t="shared" si="743"/>
        <v>-27.954959883296858</v>
      </c>
      <c r="DI46" s="431">
        <f t="shared" si="743"/>
        <v>-16.619146608315098</v>
      </c>
      <c r="DJ46" s="432">
        <f t="shared" si="743"/>
        <v>-17.83581327498176</v>
      </c>
      <c r="DK46" s="432">
        <f t="shared" si="743"/>
        <v>2.6</v>
      </c>
      <c r="DL46" s="433">
        <f t="shared" si="743"/>
        <v>2.6</v>
      </c>
      <c r="DM46" s="430">
        <f t="shared" si="743"/>
        <v>-29.254959883296859</v>
      </c>
      <c r="DN46" s="431">
        <f t="shared" si="743"/>
        <v>4.2</v>
      </c>
      <c r="DO46" s="432">
        <f t="shared" si="743"/>
        <v>2.9166666666666661</v>
      </c>
      <c r="DP46" s="432">
        <f t="shared" si="743"/>
        <v>-1.25</v>
      </c>
      <c r="DQ46" s="433">
        <f t="shared" si="743"/>
        <v>-1.25</v>
      </c>
      <c r="DR46" s="430">
        <f t="shared" si="743"/>
        <v>4.6166666666666742</v>
      </c>
    </row>
    <row r="47" spans="1:122" ht="12.75" customHeight="1">
      <c r="A47" s="92"/>
      <c r="B47" s="92"/>
      <c r="C47" s="400"/>
      <c r="D47" s="400"/>
      <c r="E47" s="538"/>
      <c r="F47" s="535"/>
      <c r="G47" s="535"/>
      <c r="H47" s="578"/>
      <c r="I47" s="600"/>
      <c r="J47" s="459"/>
      <c r="K47" s="528"/>
      <c r="L47" s="441"/>
      <c r="M47" s="442"/>
      <c r="N47" s="442"/>
      <c r="O47" s="443"/>
      <c r="P47" s="440"/>
      <c r="Q47" s="441"/>
      <c r="R47" s="442"/>
      <c r="S47" s="442"/>
      <c r="T47" s="443"/>
      <c r="U47" s="440"/>
      <c r="V47" s="441"/>
      <c r="W47" s="442"/>
      <c r="X47" s="442"/>
      <c r="Y47" s="443"/>
      <c r="Z47" s="440"/>
      <c r="AA47" s="441"/>
      <c r="AB47" s="442"/>
      <c r="AC47" s="442"/>
      <c r="AD47" s="443"/>
      <c r="AE47" s="440"/>
      <c r="AF47" s="441"/>
      <c r="AG47" s="442"/>
      <c r="AH47" s="442"/>
      <c r="AI47" s="443"/>
      <c r="AJ47" s="440"/>
      <c r="AK47" s="441"/>
      <c r="AL47" s="442"/>
      <c r="AM47" s="442"/>
      <c r="AN47" s="443"/>
      <c r="AO47" s="440"/>
      <c r="AP47" s="441"/>
      <c r="AQ47" s="442"/>
      <c r="AR47" s="442"/>
      <c r="AS47" s="443"/>
      <c r="AT47" s="440"/>
      <c r="AU47" s="441"/>
      <c r="AV47" s="442"/>
      <c r="AW47" s="442"/>
      <c r="AX47" s="443"/>
      <c r="AY47" s="440"/>
      <c r="AZ47" s="441"/>
      <c r="BA47" s="442"/>
      <c r="BB47" s="442"/>
      <c r="BC47" s="443"/>
      <c r="BD47" s="440"/>
      <c r="BE47" s="441"/>
      <c r="BF47" s="442"/>
      <c r="BG47" s="442"/>
      <c r="BH47" s="443"/>
      <c r="BI47" s="440"/>
      <c r="BJ47" s="441"/>
      <c r="BK47" s="442"/>
      <c r="BL47" s="442"/>
      <c r="BM47" s="443"/>
      <c r="BN47" s="440"/>
      <c r="BO47" s="463"/>
      <c r="BP47" s="441"/>
      <c r="BQ47" s="442"/>
      <c r="BR47" s="442"/>
      <c r="BS47" s="443"/>
      <c r="BT47" s="440"/>
      <c r="BU47" s="441"/>
      <c r="BV47" s="442"/>
      <c r="BW47" s="442"/>
      <c r="BX47" s="443"/>
      <c r="BY47" s="440"/>
      <c r="BZ47" s="441"/>
      <c r="CA47" s="442"/>
      <c r="CB47" s="442"/>
      <c r="CC47" s="443"/>
      <c r="CD47" s="440"/>
      <c r="CE47" s="441"/>
      <c r="CF47" s="442"/>
      <c r="CG47" s="442"/>
      <c r="CH47" s="443"/>
      <c r="CI47" s="440"/>
      <c r="CJ47" s="441"/>
      <c r="CK47" s="442"/>
      <c r="CL47" s="442"/>
      <c r="CM47" s="443"/>
      <c r="CN47" s="440"/>
      <c r="CO47" s="441"/>
      <c r="CP47" s="442"/>
      <c r="CQ47" s="442"/>
      <c r="CR47" s="443"/>
      <c r="CS47" s="440"/>
      <c r="CT47" s="441"/>
      <c r="CU47" s="442"/>
      <c r="CV47" s="442"/>
      <c r="CW47" s="443"/>
      <c r="CX47" s="440"/>
      <c r="CY47" s="441"/>
      <c r="CZ47" s="442"/>
      <c r="DA47" s="442"/>
      <c r="DB47" s="443"/>
      <c r="DC47" s="440"/>
      <c r="DD47" s="441"/>
      <c r="DE47" s="442"/>
      <c r="DF47" s="442"/>
      <c r="DG47" s="443"/>
      <c r="DH47" s="440"/>
      <c r="DI47" s="441"/>
      <c r="DJ47" s="442"/>
      <c r="DK47" s="442"/>
      <c r="DL47" s="443"/>
      <c r="DM47" s="440"/>
      <c r="DN47" s="441"/>
      <c r="DO47" s="442"/>
      <c r="DP47" s="442"/>
      <c r="DQ47" s="443"/>
      <c r="DR47" s="440"/>
    </row>
    <row r="48" spans="1:122" ht="13.5" customHeight="1">
      <c r="A48" s="92"/>
      <c r="B48" s="126" t="s">
        <v>370</v>
      </c>
      <c r="C48" s="193"/>
      <c r="D48" s="525"/>
      <c r="E48" s="538"/>
      <c r="F48" s="535"/>
      <c r="G48" s="535"/>
      <c r="H48" s="578"/>
      <c r="I48" s="600"/>
      <c r="J48" s="459"/>
      <c r="K48" s="528"/>
      <c r="L48" s="441"/>
      <c r="M48" s="442"/>
      <c r="N48" s="442"/>
      <c r="O48" s="443"/>
      <c r="P48" s="440"/>
      <c r="Q48" s="441"/>
      <c r="R48" s="442"/>
      <c r="S48" s="442"/>
      <c r="T48" s="443"/>
      <c r="U48" s="440"/>
      <c r="V48" s="441"/>
      <c r="W48" s="442"/>
      <c r="X48" s="442"/>
      <c r="Y48" s="443"/>
      <c r="Z48" s="440"/>
      <c r="AA48" s="441"/>
      <c r="AB48" s="442"/>
      <c r="AC48" s="442"/>
      <c r="AD48" s="443"/>
      <c r="AE48" s="440"/>
      <c r="AF48" s="441"/>
      <c r="AG48" s="442"/>
      <c r="AH48" s="442"/>
      <c r="AI48" s="443"/>
      <c r="AJ48" s="440"/>
      <c r="AK48" s="441"/>
      <c r="AL48" s="442"/>
      <c r="AM48" s="442"/>
      <c r="AN48" s="443"/>
      <c r="AO48" s="440"/>
      <c r="AP48" s="441"/>
      <c r="AQ48" s="442"/>
      <c r="AR48" s="442"/>
      <c r="AS48" s="443"/>
      <c r="AT48" s="440"/>
      <c r="AU48" s="441"/>
      <c r="AV48" s="442"/>
      <c r="AW48" s="442"/>
      <c r="AX48" s="443"/>
      <c r="AY48" s="440"/>
      <c r="AZ48" s="441"/>
      <c r="BA48" s="442"/>
      <c r="BB48" s="442"/>
      <c r="BC48" s="443"/>
      <c r="BD48" s="440"/>
      <c r="BE48" s="441"/>
      <c r="BF48" s="442"/>
      <c r="BG48" s="442"/>
      <c r="BH48" s="443"/>
      <c r="BI48" s="440"/>
      <c r="BJ48" s="441"/>
      <c r="BK48" s="442"/>
      <c r="BL48" s="442"/>
      <c r="BM48" s="443"/>
      <c r="BN48" s="440"/>
      <c r="BO48" s="463"/>
      <c r="BP48" s="441"/>
      <c r="BQ48" s="442"/>
      <c r="BR48" s="442"/>
      <c r="BS48" s="443"/>
      <c r="BT48" s="440"/>
      <c r="BU48" s="441"/>
      <c r="BV48" s="442"/>
      <c r="BW48" s="442"/>
      <c r="BX48" s="443"/>
      <c r="BY48" s="440"/>
      <c r="BZ48" s="441"/>
      <c r="CA48" s="442"/>
      <c r="CB48" s="442"/>
      <c r="CC48" s="443"/>
      <c r="CD48" s="440"/>
      <c r="CE48" s="441"/>
      <c r="CF48" s="442"/>
      <c r="CG48" s="442"/>
      <c r="CH48" s="443"/>
      <c r="CI48" s="440"/>
      <c r="CJ48" s="441"/>
      <c r="CK48" s="442"/>
      <c r="CL48" s="442"/>
      <c r="CM48" s="443"/>
      <c r="CN48" s="440"/>
      <c r="CO48" s="441"/>
      <c r="CP48" s="442"/>
      <c r="CQ48" s="442"/>
      <c r="CR48" s="443"/>
      <c r="CS48" s="440"/>
      <c r="CT48" s="441"/>
      <c r="CU48" s="442"/>
      <c r="CV48" s="442"/>
      <c r="CW48" s="443"/>
      <c r="CX48" s="440"/>
      <c r="CY48" s="441"/>
      <c r="CZ48" s="442"/>
      <c r="DA48" s="442"/>
      <c r="DB48" s="443"/>
      <c r="DC48" s="440"/>
      <c r="DD48" s="441"/>
      <c r="DE48" s="442"/>
      <c r="DF48" s="442"/>
      <c r="DG48" s="443"/>
      <c r="DH48" s="440"/>
      <c r="DI48" s="441"/>
      <c r="DJ48" s="442"/>
      <c r="DK48" s="442"/>
      <c r="DL48" s="443"/>
      <c r="DM48" s="440"/>
      <c r="DN48" s="441"/>
      <c r="DO48" s="442"/>
      <c r="DP48" s="442"/>
      <c r="DQ48" s="443"/>
      <c r="DR48" s="440"/>
    </row>
    <row r="49" spans="1:122" ht="13.5" customHeight="1">
      <c r="A49" s="92"/>
      <c r="B49" s="92"/>
      <c r="C49" s="400"/>
      <c r="D49" s="400"/>
      <c r="E49" s="538"/>
      <c r="F49" s="535"/>
      <c r="G49" s="535"/>
      <c r="H49" s="585"/>
      <c r="I49" s="585"/>
      <c r="J49" s="619"/>
      <c r="K49" s="528"/>
      <c r="L49" s="441"/>
      <c r="M49" s="442"/>
      <c r="N49" s="442"/>
      <c r="O49" s="443"/>
      <c r="P49" s="440"/>
      <c r="Q49" s="441"/>
      <c r="R49" s="442"/>
      <c r="S49" s="442"/>
      <c r="T49" s="443"/>
      <c r="U49" s="440"/>
      <c r="V49" s="441"/>
      <c r="W49" s="442"/>
      <c r="X49" s="442"/>
      <c r="Y49" s="443"/>
      <c r="Z49" s="440"/>
      <c r="AA49" s="441"/>
      <c r="AB49" s="442"/>
      <c r="AC49" s="442"/>
      <c r="AD49" s="443"/>
      <c r="AE49" s="440"/>
      <c r="AF49" s="441"/>
      <c r="AG49" s="442"/>
      <c r="AH49" s="442"/>
      <c r="AI49" s="443"/>
      <c r="AJ49" s="440"/>
      <c r="AK49" s="441"/>
      <c r="AL49" s="442"/>
      <c r="AM49" s="442"/>
      <c r="AN49" s="443"/>
      <c r="AO49" s="440"/>
      <c r="AP49" s="441"/>
      <c r="AQ49" s="442"/>
      <c r="AR49" s="442"/>
      <c r="AS49" s="443"/>
      <c r="AT49" s="440"/>
      <c r="AU49" s="441"/>
      <c r="AV49" s="442"/>
      <c r="AW49" s="442"/>
      <c r="AX49" s="443"/>
      <c r="AY49" s="440"/>
      <c r="AZ49" s="441"/>
      <c r="BA49" s="442"/>
      <c r="BB49" s="442"/>
      <c r="BC49" s="443"/>
      <c r="BD49" s="440"/>
      <c r="BE49" s="441"/>
      <c r="BF49" s="442"/>
      <c r="BG49" s="442"/>
      <c r="BH49" s="443"/>
      <c r="BI49" s="440"/>
      <c r="BJ49" s="441"/>
      <c r="BK49" s="442"/>
      <c r="BL49" s="442"/>
      <c r="BM49" s="443"/>
      <c r="BN49" s="440"/>
      <c r="BO49" s="463"/>
      <c r="BP49" s="441"/>
      <c r="BQ49" s="442"/>
      <c r="BR49" s="442"/>
      <c r="BS49" s="443"/>
      <c r="BT49" s="440"/>
      <c r="BU49" s="441"/>
      <c r="BV49" s="442"/>
      <c r="BW49" s="442"/>
      <c r="BX49" s="443"/>
      <c r="BY49" s="440"/>
      <c r="BZ49" s="441"/>
      <c r="CA49" s="442"/>
      <c r="CB49" s="442"/>
      <c r="CC49" s="443"/>
      <c r="CD49" s="440"/>
      <c r="CE49" s="441"/>
      <c r="CF49" s="442"/>
      <c r="CG49" s="442"/>
      <c r="CH49" s="443"/>
      <c r="CI49" s="440"/>
      <c r="CJ49" s="441"/>
      <c r="CK49" s="442"/>
      <c r="CL49" s="442"/>
      <c r="CM49" s="443"/>
      <c r="CN49" s="440"/>
      <c r="CO49" s="441"/>
      <c r="CP49" s="442"/>
      <c r="CQ49" s="442"/>
      <c r="CR49" s="443"/>
      <c r="CS49" s="440"/>
      <c r="CT49" s="441"/>
      <c r="CU49" s="442"/>
      <c r="CV49" s="442"/>
      <c r="CW49" s="443"/>
      <c r="CX49" s="440"/>
      <c r="CY49" s="441"/>
      <c r="CZ49" s="442"/>
      <c r="DA49" s="442"/>
      <c r="DB49" s="443"/>
      <c r="DC49" s="440"/>
      <c r="DD49" s="441"/>
      <c r="DE49" s="442"/>
      <c r="DF49" s="442"/>
      <c r="DG49" s="443"/>
      <c r="DH49" s="440"/>
      <c r="DI49" s="441"/>
      <c r="DJ49" s="442"/>
      <c r="DK49" s="442"/>
      <c r="DL49" s="443"/>
      <c r="DM49" s="440"/>
      <c r="DN49" s="441"/>
      <c r="DO49" s="442"/>
      <c r="DP49" s="442"/>
      <c r="DQ49" s="443"/>
      <c r="DR49" s="440"/>
    </row>
    <row r="50" spans="1:122" ht="12.75" customHeight="1">
      <c r="A50" s="92"/>
      <c r="B50" s="92"/>
      <c r="C50" s="404" t="s">
        <v>309</v>
      </c>
      <c r="D50" s="566"/>
      <c r="E50" s="557"/>
      <c r="F50" s="570"/>
      <c r="G50" s="570"/>
      <c r="H50" s="586"/>
      <c r="I50" s="610"/>
      <c r="J50" s="624"/>
      <c r="K50" s="567"/>
      <c r="L50" s="441"/>
      <c r="M50" s="442"/>
      <c r="N50" s="442"/>
      <c r="O50" s="443"/>
      <c r="P50" s="440"/>
      <c r="Q50" s="441"/>
      <c r="R50" s="442"/>
      <c r="S50" s="442"/>
      <c r="T50" s="443"/>
      <c r="U50" s="440"/>
      <c r="V50" s="441"/>
      <c r="W50" s="442"/>
      <c r="X50" s="442"/>
      <c r="Y50" s="443"/>
      <c r="Z50" s="440"/>
      <c r="AA50" s="441"/>
      <c r="AB50" s="442"/>
      <c r="AC50" s="442"/>
      <c r="AD50" s="443"/>
      <c r="AE50" s="440"/>
      <c r="AF50" s="441"/>
      <c r="AG50" s="442"/>
      <c r="AH50" s="442"/>
      <c r="AI50" s="443"/>
      <c r="AJ50" s="440"/>
      <c r="AK50" s="441"/>
      <c r="AL50" s="442"/>
      <c r="AM50" s="442"/>
      <c r="AN50" s="443"/>
      <c r="AO50" s="440"/>
      <c r="AP50" s="441"/>
      <c r="AQ50" s="442"/>
      <c r="AR50" s="442"/>
      <c r="AS50" s="443"/>
      <c r="AT50" s="440"/>
      <c r="AU50" s="441"/>
      <c r="AV50" s="442"/>
      <c r="AW50" s="442"/>
      <c r="AX50" s="443"/>
      <c r="AY50" s="440"/>
      <c r="AZ50" s="441"/>
      <c r="BA50" s="442"/>
      <c r="BB50" s="442"/>
      <c r="BC50" s="443"/>
      <c r="BD50" s="440"/>
      <c r="BE50" s="441"/>
      <c r="BF50" s="442"/>
      <c r="BG50" s="442"/>
      <c r="BH50" s="443"/>
      <c r="BI50" s="440"/>
      <c r="BJ50" s="441"/>
      <c r="BK50" s="442"/>
      <c r="BL50" s="442"/>
      <c r="BM50" s="443"/>
      <c r="BN50" s="440"/>
      <c r="BO50" s="463"/>
      <c r="BP50" s="441"/>
      <c r="BQ50" s="442"/>
      <c r="BR50" s="442"/>
      <c r="BS50" s="443"/>
      <c r="BT50" s="440"/>
      <c r="BU50" s="441"/>
      <c r="BV50" s="442"/>
      <c r="BW50" s="442"/>
      <c r="BX50" s="443"/>
      <c r="BY50" s="440"/>
      <c r="BZ50" s="441"/>
      <c r="CA50" s="442"/>
      <c r="CB50" s="442"/>
      <c r="CC50" s="443"/>
      <c r="CD50" s="440"/>
      <c r="CE50" s="441"/>
      <c r="CF50" s="442"/>
      <c r="CG50" s="442"/>
      <c r="CH50" s="443"/>
      <c r="CI50" s="440"/>
      <c r="CJ50" s="441"/>
      <c r="CK50" s="442"/>
      <c r="CL50" s="442"/>
      <c r="CM50" s="443"/>
      <c r="CN50" s="440"/>
      <c r="CO50" s="441"/>
      <c r="CP50" s="442"/>
      <c r="CQ50" s="442"/>
      <c r="CR50" s="443"/>
      <c r="CS50" s="440"/>
      <c r="CT50" s="441"/>
      <c r="CU50" s="442"/>
      <c r="CV50" s="442"/>
      <c r="CW50" s="443"/>
      <c r="CX50" s="440"/>
      <c r="CY50" s="441"/>
      <c r="CZ50" s="442"/>
      <c r="DA50" s="442"/>
      <c r="DB50" s="443"/>
      <c r="DC50" s="440"/>
      <c r="DD50" s="441"/>
      <c r="DE50" s="442"/>
      <c r="DF50" s="442"/>
      <c r="DG50" s="443"/>
      <c r="DH50" s="440"/>
      <c r="DI50" s="441"/>
      <c r="DJ50" s="442"/>
      <c r="DK50" s="442"/>
      <c r="DL50" s="443"/>
      <c r="DM50" s="440"/>
      <c r="DN50" s="441"/>
      <c r="DO50" s="442"/>
      <c r="DP50" s="442"/>
      <c r="DQ50" s="443"/>
      <c r="DR50" s="440"/>
    </row>
    <row r="51" spans="1:122" ht="12.75" customHeight="1">
      <c r="A51" s="92"/>
      <c r="B51" s="92"/>
      <c r="C51" s="404"/>
      <c r="D51" s="566"/>
      <c r="E51" s="557"/>
      <c r="F51" s="570"/>
      <c r="G51" s="570"/>
      <c r="H51" s="586"/>
      <c r="I51" s="610"/>
      <c r="J51" s="624"/>
      <c r="K51" s="567"/>
      <c r="L51" s="441"/>
      <c r="M51" s="442"/>
      <c r="N51" s="442"/>
      <c r="O51" s="443"/>
      <c r="P51" s="440"/>
      <c r="Q51" s="441"/>
      <c r="R51" s="442"/>
      <c r="S51" s="442"/>
      <c r="T51" s="443"/>
      <c r="U51" s="440"/>
      <c r="V51" s="441"/>
      <c r="W51" s="442"/>
      <c r="X51" s="442"/>
      <c r="Y51" s="443"/>
      <c r="Z51" s="440"/>
      <c r="AA51" s="441"/>
      <c r="AB51" s="442"/>
      <c r="AC51" s="442"/>
      <c r="AD51" s="443"/>
      <c r="AE51" s="440"/>
      <c r="AF51" s="441"/>
      <c r="AG51" s="442"/>
      <c r="AH51" s="442"/>
      <c r="AI51" s="443"/>
      <c r="AJ51" s="440"/>
      <c r="AK51" s="441"/>
      <c r="AL51" s="442"/>
      <c r="AM51" s="442"/>
      <c r="AN51" s="443"/>
      <c r="AO51" s="440"/>
      <c r="AP51" s="441"/>
      <c r="AQ51" s="442"/>
      <c r="AR51" s="442"/>
      <c r="AS51" s="443"/>
      <c r="AT51" s="440"/>
      <c r="AU51" s="441"/>
      <c r="AV51" s="442"/>
      <c r="AW51" s="442"/>
      <c r="AX51" s="443"/>
      <c r="AY51" s="440"/>
      <c r="AZ51" s="441"/>
      <c r="BA51" s="442"/>
      <c r="BB51" s="442"/>
      <c r="BC51" s="443"/>
      <c r="BD51" s="440"/>
      <c r="BE51" s="441"/>
      <c r="BF51" s="442"/>
      <c r="BG51" s="442"/>
      <c r="BH51" s="443"/>
      <c r="BI51" s="440"/>
      <c r="BJ51" s="441"/>
      <c r="BK51" s="442"/>
      <c r="BL51" s="442"/>
      <c r="BM51" s="443"/>
      <c r="BN51" s="440"/>
      <c r="BO51" s="463"/>
      <c r="BP51" s="441"/>
      <c r="BQ51" s="442"/>
      <c r="BR51" s="442"/>
      <c r="BS51" s="443"/>
      <c r="BT51" s="440"/>
      <c r="BU51" s="441"/>
      <c r="BV51" s="442"/>
      <c r="BW51" s="442"/>
      <c r="BX51" s="443"/>
      <c r="BY51" s="440"/>
      <c r="BZ51" s="441"/>
      <c r="CA51" s="442"/>
      <c r="CB51" s="442"/>
      <c r="CC51" s="443"/>
      <c r="CD51" s="440"/>
      <c r="CE51" s="441"/>
      <c r="CF51" s="442"/>
      <c r="CG51" s="442"/>
      <c r="CH51" s="443"/>
      <c r="CI51" s="440"/>
      <c r="CJ51" s="441"/>
      <c r="CK51" s="442"/>
      <c r="CL51" s="442"/>
      <c r="CM51" s="443"/>
      <c r="CN51" s="440"/>
      <c r="CO51" s="441"/>
      <c r="CP51" s="442"/>
      <c r="CQ51" s="442"/>
      <c r="CR51" s="443"/>
      <c r="CS51" s="440"/>
      <c r="CT51" s="441"/>
      <c r="CU51" s="442"/>
      <c r="CV51" s="442"/>
      <c r="CW51" s="443"/>
      <c r="CX51" s="440"/>
      <c r="CY51" s="441"/>
      <c r="CZ51" s="442"/>
      <c r="DA51" s="442"/>
      <c r="DB51" s="443"/>
      <c r="DC51" s="440"/>
      <c r="DD51" s="441"/>
      <c r="DE51" s="442"/>
      <c r="DF51" s="442"/>
      <c r="DG51" s="443"/>
      <c r="DH51" s="440"/>
      <c r="DI51" s="441"/>
      <c r="DJ51" s="442"/>
      <c r="DK51" s="442"/>
      <c r="DL51" s="443"/>
      <c r="DM51" s="440"/>
      <c r="DN51" s="441"/>
      <c r="DO51" s="442"/>
      <c r="DP51" s="442"/>
      <c r="DQ51" s="443"/>
      <c r="DR51" s="440"/>
    </row>
    <row r="52" spans="1:122" ht="12.75" customHeight="1">
      <c r="A52" s="92"/>
      <c r="B52" s="92"/>
      <c r="C52" s="1363" t="s">
        <v>311</v>
      </c>
      <c r="D52" s="395"/>
      <c r="E52" s="466"/>
      <c r="F52" s="466"/>
      <c r="G52" s="466"/>
      <c r="H52" s="551"/>
      <c r="I52" s="550"/>
      <c r="J52" s="445"/>
      <c r="K52" s="549"/>
      <c r="L52" s="460"/>
      <c r="M52" s="461"/>
      <c r="N52" s="461"/>
      <c r="O52" s="462"/>
      <c r="P52" s="466"/>
      <c r="Q52" s="460"/>
      <c r="R52" s="461"/>
      <c r="S52" s="461"/>
      <c r="T52" s="462"/>
      <c r="U52" s="464"/>
      <c r="V52" s="460"/>
      <c r="W52" s="461"/>
      <c r="X52" s="461"/>
      <c r="Y52" s="462"/>
      <c r="Z52" s="464"/>
      <c r="AA52" s="460"/>
      <c r="AB52" s="461"/>
      <c r="AC52" s="461"/>
      <c r="AD52" s="462"/>
      <c r="AE52" s="464"/>
      <c r="AF52" s="460"/>
      <c r="AG52" s="461"/>
      <c r="AH52" s="461"/>
      <c r="AI52" s="462"/>
      <c r="AJ52" s="464"/>
      <c r="AK52" s="460"/>
      <c r="AL52" s="461"/>
      <c r="AM52" s="461"/>
      <c r="AN52" s="462"/>
      <c r="AO52" s="464"/>
      <c r="AP52" s="460"/>
      <c r="AQ52" s="461"/>
      <c r="AR52" s="461"/>
      <c r="AS52" s="462"/>
      <c r="AT52" s="464"/>
      <c r="AU52" s="460"/>
      <c r="AV52" s="461"/>
      <c r="AW52" s="461"/>
      <c r="AX52" s="462"/>
      <c r="AY52" s="464"/>
      <c r="AZ52" s="460"/>
      <c r="BA52" s="461"/>
      <c r="BB52" s="461"/>
      <c r="BC52" s="462"/>
      <c r="BD52" s="464"/>
      <c r="BE52" s="460"/>
      <c r="BF52" s="461"/>
      <c r="BG52" s="461"/>
      <c r="BH52" s="462"/>
      <c r="BI52" s="464"/>
      <c r="BJ52" s="460"/>
      <c r="BK52" s="461"/>
      <c r="BL52" s="461"/>
      <c r="BM52" s="462"/>
      <c r="BN52" s="464"/>
      <c r="BO52" s="465"/>
      <c r="BP52" s="460"/>
      <c r="BQ52" s="461"/>
      <c r="BR52" s="461"/>
      <c r="BS52" s="462"/>
      <c r="BT52" s="464"/>
      <c r="BU52" s="460"/>
      <c r="BV52" s="461"/>
      <c r="BW52" s="461"/>
      <c r="BX52" s="462"/>
      <c r="BY52" s="464"/>
      <c r="BZ52" s="460"/>
      <c r="CA52" s="461"/>
      <c r="CB52" s="461"/>
      <c r="CC52" s="462"/>
      <c r="CD52" s="464"/>
      <c r="CE52" s="460"/>
      <c r="CF52" s="461"/>
      <c r="CG52" s="461"/>
      <c r="CH52" s="462"/>
      <c r="CI52" s="464"/>
      <c r="CJ52" s="460"/>
      <c r="CK52" s="461"/>
      <c r="CL52" s="461"/>
      <c r="CM52" s="462"/>
      <c r="CN52" s="464"/>
      <c r="CO52" s="460"/>
      <c r="CP52" s="461"/>
      <c r="CQ52" s="461"/>
      <c r="CR52" s="462"/>
      <c r="CS52" s="464"/>
      <c r="CT52" s="460"/>
      <c r="CU52" s="461"/>
      <c r="CV52" s="461"/>
      <c r="CW52" s="462"/>
      <c r="CX52" s="464"/>
      <c r="CY52" s="460"/>
      <c r="CZ52" s="461"/>
      <c r="DA52" s="461"/>
      <c r="DB52" s="462"/>
      <c r="DC52" s="464"/>
      <c r="DD52" s="460"/>
      <c r="DE52" s="461"/>
      <c r="DF52" s="461"/>
      <c r="DG52" s="462"/>
      <c r="DH52" s="464"/>
      <c r="DI52" s="460"/>
      <c r="DJ52" s="461"/>
      <c r="DK52" s="461"/>
      <c r="DL52" s="462"/>
      <c r="DM52" s="464"/>
      <c r="DN52" s="460"/>
      <c r="DO52" s="461"/>
      <c r="DP52" s="461"/>
      <c r="DQ52" s="462"/>
      <c r="DR52" s="464"/>
    </row>
    <row r="53" spans="1:122" ht="12.75" customHeight="1">
      <c r="A53" s="92"/>
      <c r="B53" s="92"/>
      <c r="C53" s="1123" t="s">
        <v>666</v>
      </c>
      <c r="D53" s="395"/>
      <c r="E53" s="865">
        <f>IF(F53=0,G53,F53)</f>
        <v>155.53200000000001</v>
      </c>
      <c r="F53" s="1945">
        <f>155.532</f>
        <v>155.53200000000001</v>
      </c>
      <c r="G53" s="1945">
        <f>155.532</f>
        <v>155.53200000000001</v>
      </c>
      <c r="H53" s="1308">
        <v>2019</v>
      </c>
      <c r="I53" s="1948">
        <v>5.7500000000000002E-2</v>
      </c>
      <c r="J53" s="1357">
        <v>10</v>
      </c>
      <c r="K53" s="549"/>
      <c r="L53" s="441">
        <f>IF(P53=0,0,IF(P53&lt;0,IF($J53=3,P53,IF($J53=2,P53,IF($J53=1,P53,0)))))</f>
        <v>0</v>
      </c>
      <c r="M53" s="442">
        <f>IF(P53=0,0,IF(P53&lt;0,IF($J53=6,P53,IF($J53=5,P53,IF($J53=4,P53,0)))))</f>
        <v>0</v>
      </c>
      <c r="N53" s="442">
        <f>IF(P53=0,0,IF(P53&lt;0,IF($J53=9,P53,IF($J53=8,P53,IF($J53=7,P53,0)))))</f>
        <v>0</v>
      </c>
      <c r="O53" s="443">
        <f>IF(P53=0,0,IF(P53&lt;0,IF($J53=12,P53,IF($J53=11,P53,IF($J53=10,P53,0)))))</f>
        <v>0</v>
      </c>
      <c r="P53" s="440">
        <f>IF(P$5=$H53,-$E53,0)</f>
        <v>0</v>
      </c>
      <c r="Q53" s="441">
        <f>IF(U53=0,0,IF(U53&lt;0,IF($J53=3,U53,IF($J53=2,U53,IF($J53=1,U53,0)))))</f>
        <v>0</v>
      </c>
      <c r="R53" s="442">
        <f>IF(U53=0,0,IF(U53&lt;0,IF($J53=6,U53,IF($J53=5,U53,IF($J53=4,U53,0)))))</f>
        <v>0</v>
      </c>
      <c r="S53" s="442">
        <f>IF(U53=0,0,IF(U53&lt;0,IF($J53=9,U53,IF($J53=8,U53,IF($J53=7,U53,0)))))</f>
        <v>0</v>
      </c>
      <c r="T53" s="443">
        <f>IF(U53=0,0,IF(U53&lt;0,IF($J53=12,U53,IF($J53=11,U53,IF($J53=10,U53,0)))))</f>
        <v>0</v>
      </c>
      <c r="U53" s="440">
        <f>IF(U$5=$H53,-$E53,0)</f>
        <v>0</v>
      </c>
      <c r="V53" s="441">
        <f>IF(Z53=0,0,IF(Z53&lt;0,IF($J53=3,Z53,IF($J53=2,Z53,IF($J53=1,Z53,0)))))</f>
        <v>0</v>
      </c>
      <c r="W53" s="442">
        <f>IF(Z53=0,0,IF(Z53&lt;0,IF($J53=6,Z53,IF($J53=5,Z53,IF($J53=4,Z53,0)))))</f>
        <v>0</v>
      </c>
      <c r="X53" s="442">
        <f>IF(Z53=0,0,IF(Z53&lt;0,IF($J53=9,Z53,IF($J53=8,Z53,IF($J53=7,Z53,0)))))</f>
        <v>0</v>
      </c>
      <c r="Y53" s="443">
        <f>IF(Z53=0,0,IF(Z53&lt;0,IF($J53=12,Z53,IF($J53=11,Z53,IF($J53=10,Z53,0)))))</f>
        <v>0</v>
      </c>
      <c r="Z53" s="440">
        <f>IF(Z$5=$H53,-$E53,0)</f>
        <v>0</v>
      </c>
      <c r="AA53" s="441">
        <f>IF(AE53=0,0,IF(AE53&lt;0,IF($J53=3,AE53,IF($J53=2,AE53,IF($J53=1,AE53,0)))))</f>
        <v>0</v>
      </c>
      <c r="AB53" s="442">
        <f>IF(AE53=0,0,IF(AE53&lt;0,IF($J53=6,AE53,IF($J53=5,AE53,IF($J53=4,AE53,0)))))</f>
        <v>0</v>
      </c>
      <c r="AC53" s="442">
        <f>IF(AE53=0,0,IF(AE53&lt;0,IF($J53=9,AE53,IF($J53=8,AE53,IF($J53=7,AE53,0)))))</f>
        <v>0</v>
      </c>
      <c r="AD53" s="443">
        <f>IF(AE53=0,0,IF(AE53&lt;0,IF($J53=12,AE53,IF($J53=11,AE53,IF($J53=10,AE53,0)))))</f>
        <v>0</v>
      </c>
      <c r="AE53" s="440">
        <f>IF(AE$5=$H53,-$E53,0)</f>
        <v>0</v>
      </c>
      <c r="AF53" s="441">
        <f>IF(AJ53=0,0,IF(AJ53&lt;0,IF($J53=3,AJ53,IF($J53=2,AJ53,IF($J53=1,AJ53,0)))))</f>
        <v>0</v>
      </c>
      <c r="AG53" s="442">
        <f>IF(AJ53=0,0,IF(AJ53&lt;0,IF($J53=6,AJ53,IF($J53=5,AJ53,IF($J53=4,AJ53,0)))))</f>
        <v>0</v>
      </c>
      <c r="AH53" s="442">
        <f>IF(AJ53=0,0,IF(AJ53&lt;0,IF($J53=9,AJ53,IF($J53=8,AJ53,IF($J53=7,AJ53,0)))))</f>
        <v>0</v>
      </c>
      <c r="AI53" s="443">
        <f>IF(AJ53=0,0,IF(AJ53&lt;0,IF($J53=12,AJ53,IF($J53=11,AJ53,IF($J53=10,AJ53,0)))))</f>
        <v>0</v>
      </c>
      <c r="AJ53" s="440">
        <f>IF(AJ$5=$H53,-$E53,0)</f>
        <v>0</v>
      </c>
      <c r="AK53" s="441">
        <f>IF(AO53=0,0,IF(AO53&lt;0,IF($J53=3,AO53,IF($J53=2,AO53,IF($J53=1,AO53,0)))))</f>
        <v>0</v>
      </c>
      <c r="AL53" s="442">
        <f>IF(AO53=0,0,IF(AO53&lt;0,IF($J53=6,AO53,IF($J53=5,AO53,IF($J53=4,AO53,0)))))</f>
        <v>0</v>
      </c>
      <c r="AM53" s="442">
        <f>IF(AO53=0,0,IF(AO53&lt;0,IF($J53=9,AO53,IF($J53=8,AO53,IF($J53=7,AO53,0)))))</f>
        <v>0</v>
      </c>
      <c r="AN53" s="443">
        <f>IF(AO53=0,0,IF(AO53&lt;0,IF($J53=12,AO53,IF($J53=11,AO53,IF($J53=10,AO53,0)))))</f>
        <v>0</v>
      </c>
      <c r="AO53" s="440">
        <f>IF(AO$5=$H53,-$E53,0)</f>
        <v>0</v>
      </c>
      <c r="AP53" s="441">
        <f>IF(AT53=0,0,IF(AT53&lt;0,IF($J53=3,AT53,IF($J53=2,AT53,IF($J53=1,AT53,0)))))</f>
        <v>0</v>
      </c>
      <c r="AQ53" s="442">
        <f>IF(AT53=0,0,IF(AT53&lt;0,IF($J53=6,AT53,IF($J53=5,AT53,IF($J53=4,AT53,0)))))</f>
        <v>0</v>
      </c>
      <c r="AR53" s="442">
        <f>IF(AT53=0,0,IF(AT53&lt;0,IF($J53=9,AT53,IF($J53=8,AT53,IF($J53=7,AT53,0)))))</f>
        <v>0</v>
      </c>
      <c r="AS53" s="443">
        <f>IF(AT53=0,0,IF(AT53&lt;0,IF($J53=12,AT53,IF($J53=11,AT53,IF($J53=10,AT53,0)))))</f>
        <v>0</v>
      </c>
      <c r="AT53" s="440">
        <f>IF(AT$5=$H53,-$E53,0)</f>
        <v>0</v>
      </c>
      <c r="AU53" s="441">
        <f>IF(AY53=0,0,IF(AY53&lt;0,IF($J53=3,AY53,IF($J53=2,AY53,IF($J53=1,AY53,0)))))</f>
        <v>0</v>
      </c>
      <c r="AV53" s="442">
        <f>IF(AY53=0,0,IF(AY53&lt;0,IF($J53=6,AY53,IF($J53=5,AY53,IF($J53=4,AY53,0)))))</f>
        <v>0</v>
      </c>
      <c r="AW53" s="442">
        <f>IF(AY53=0,0,IF(AY53&lt;0,IF($J53=9,AY53,IF($J53=8,AY53,IF($J53=7,AY53,0)))))</f>
        <v>0</v>
      </c>
      <c r="AX53" s="443">
        <f>IF(AY53=0,0,IF(AY53&lt;0,IF($J53=12,AY53,IF($J53=11,AY53,IF($J53=10,AY53,0)))))</f>
        <v>0</v>
      </c>
      <c r="AY53" s="440">
        <f>IF(AY$5=$H53,-$E53,0)</f>
        <v>0</v>
      </c>
      <c r="AZ53" s="441">
        <f>IF(BD53=0,0,IF(BD53&lt;0,IF($J53=3,BD53,IF($J53=2,BD53,IF($J53=1,BD53,0)))))</f>
        <v>0</v>
      </c>
      <c r="BA53" s="442">
        <f>IF(BD53=0,0,IF(BD53&lt;0,IF($J53=6,BD53,IF($J53=5,BD53,IF($J53=4,BD53,0)))))</f>
        <v>0</v>
      </c>
      <c r="BB53" s="442">
        <f>IF(BD53=0,0,IF(BD53&lt;0,IF($J53=9,BD53,IF($J53=8,BD53,IF($J53=7,BD53,0)))))</f>
        <v>0</v>
      </c>
      <c r="BC53" s="443">
        <f>IF(BD53=0,0,IF(BD53&lt;0,IF($J53=12,BD53,IF($J53=11,BD53,IF($J53=10,BD53,0)))))</f>
        <v>-155.53200000000001</v>
      </c>
      <c r="BD53" s="440">
        <f>IF(BD$5=$H53,-$E53,0)</f>
        <v>-155.53200000000001</v>
      </c>
      <c r="BE53" s="441">
        <f>IF(BI53=0,0,IF(BI53&lt;0,IF($J53=3,BI53,IF($J53=2,BI53,IF($J53=1,BI53,0)))))</f>
        <v>0</v>
      </c>
      <c r="BF53" s="442">
        <f>IF(BI53=0,0,IF(BI53&lt;0,IF($J53=6,BI53,IF($J53=5,BI53,IF($J53=4,BI53,0)))))</f>
        <v>0</v>
      </c>
      <c r="BG53" s="442">
        <f>IF(BI53=0,0,IF(BI53&lt;0,IF($J53=9,BI53,IF($J53=8,BI53,IF($J53=7,BI53,0)))))</f>
        <v>0</v>
      </c>
      <c r="BH53" s="443">
        <f>IF(BI53=0,0,IF(BI53&lt;0,IF($J53=12,BI53,IF($J53=11,BI53,IF($J53=10,BI53,0)))))</f>
        <v>0</v>
      </c>
      <c r="BI53" s="440">
        <f>IF(BI$5=$H53,-$E53,0)</f>
        <v>0</v>
      </c>
      <c r="BJ53" s="441">
        <f>IF(BN53=0,0,IF(BN53&lt;0,IF($J53=3,BN53,IF($J53=2,BN53,IF($J53=1,BN53,0)))))</f>
        <v>0</v>
      </c>
      <c r="BK53" s="442">
        <f>IF(BN53=0,0,IF(BN53&lt;0,IF($J53=6,BN53,IF($J53=5,BN53,IF($J53=4,BN53,0)))))</f>
        <v>0</v>
      </c>
      <c r="BL53" s="442">
        <f>IF(BN53=0,0,IF(BN53&lt;0,IF($J53=9,BN53,IF($J53=8,BN53,IF($J53=7,BN53,0)))))</f>
        <v>0</v>
      </c>
      <c r="BM53" s="443">
        <f>IF(BN53=0,0,IF(BN53&lt;0,IF($J53=12,BN53,IF($J53=11,BN53,IF($J53=10,BN53,0)))))</f>
        <v>0</v>
      </c>
      <c r="BN53" s="440">
        <f>IF(BN$5=$H53,-$E53,0)</f>
        <v>0</v>
      </c>
      <c r="BO53" s="470"/>
      <c r="BP53" s="441">
        <f>IF($H53&lt;&gt;BT$5,0,IF(BT53&lt;0,IF($J53=1,-$E53*$I53/12*3,IF($J53=2,-$E53*$I53/12*2,IF($J53=3,-$E53*$I53/12*1,0)))))+IF(BO$5&lt;&gt;$H53,0,IF(BO53&lt;0,IF($J53=1,-$E53*$I53/12*0,IF($J53=2,-$E53*$I53/12*1,IF($J53=3,-$E53*$I53/12*2,IF($J53&gt;=4,-$E53*$I53/12*3,0))))))</f>
        <v>0</v>
      </c>
      <c r="BQ53" s="442">
        <f>IF($H53&lt;&gt;BT$5,0,IF(BT53&lt;0,IF(OR($J53=1,$J53=2,$J53=3,$J53=4),-$E53*$I53/12*3,IF($J53=5,-$E53*$I53/12*2,IF($J53=6,-$E53*$I53/12*1,0)))))+IF(BO$5&lt;&gt;$H53,0,IF(BO53&lt;0,IF($J53=4,-$E53*$I53/12*0,IF($J53=5,-$E53*$I53/12*1,IF($J53=6,-$E53*$I53/12*2,IF($J53&gt;=7,-$E53*$I53/12*3,0))))))</f>
        <v>0</v>
      </c>
      <c r="BR53" s="442">
        <f>IF($H53&lt;&gt;BT$5,0,IF(BT53&lt;0,IF(OR($J53=1,$J53=2,$J53=3,$J53=4,$J53=5,$J53=6,$J53=7),-$E53*$I53/12*3,IF($J53=8,-$E53*$I53/12*2,IF($J53=9,-$E53*$I53/12*1,0)))))+IF(BO$5&lt;&gt;$H53,0,IF(BO53&lt;0,IF($J53=7,-$E53*$I53/12*0,IF($J53=8,-$E53*$I53/12*1,IF($J53=9,-$E53*$I53/12*2,IF($J53&gt;=10,-$E53*$I53/12*3,0))))))</f>
        <v>0</v>
      </c>
      <c r="BS53" s="443">
        <f>IF($H53&lt;&gt;BT$5,0,IF(BT53&lt;0,IF(OR($J53=1,$J53=2,$J53=3,$J53=4,$J53=5,$J53=6,$J53=7,$J53=8,$J53=9,$J53=10),-$E53*$I53/12*3,IF($J53=11,-$E53*$I53/12*2,IF($J53=12,-$E53*$I53/12*1,0)))))+IF(BO$5&lt;&gt;$H53,0,IF(BO53&lt;0,IF($J53=10,-$E53*$I53/12*0,IF($J53=11,-$E53*$I53/12*1,IF($J53=12,-$E53*$I53/12*2,0)))))</f>
        <v>0</v>
      </c>
      <c r="BT53" s="440">
        <f>IF(AND(BO53&lt;&gt;0,BO$5=$H53),-$I53*$E53-BO53,IF(BT$5=$H53,-$I53*$E53*(12-$J53+1)/12,0))</f>
        <v>0</v>
      </c>
      <c r="BU53" s="441">
        <f>IF($H53&lt;&gt;BY$5,0,IF(BY53&lt;0,IF($J53=1,-$E53*$I53/12*3,IF($J53=2,-$E53*$I53/12*2,IF($J53=3,-$E53*$I53/12*1,0)))))+IF(BT$5&lt;&gt;$H53,0,IF(BT53&lt;0,IF($J53=1,-$E53*$I53/12*0,IF($J53=2,-$E53*$I53/12*1,IF($J53=3,-$E53*$I53/12*2,IF($J53&gt;=4,-$E53*$I53/12*3,0))))))</f>
        <v>0</v>
      </c>
      <c r="BV53" s="442">
        <f>IF($H53&lt;&gt;BY$5,0,IF(BY53&lt;0,IF(OR($J53=1,$J53=2,$J53=3,$J53=4),-$E53*$I53/12*3,IF($J53=5,-$E53*$I53/12*2,IF($J53=6,-$E53*$I53/12*1,0)))))+IF(BT$5&lt;&gt;$H53,0,IF(BT53&lt;0,IF($J53=4,-$E53*$I53/12*0,IF($J53=5,-$E53*$I53/12*1,IF($J53=6,-$E53*$I53/12*2,IF($J53&gt;=7,-$E53*$I53/12*3,0))))))</f>
        <v>0</v>
      </c>
      <c r="BW53" s="442">
        <f>IF($H53&lt;&gt;BY$5,0,IF(BY53&lt;0,IF(OR($J53=1,$J53=2,$J53=3,$J53=4,$J53=5,$J53=6,$J53=7),-$E53*$I53/12*3,IF($J53=8,-$E53*$I53/12*2,IF($J53=9,-$E53*$I53/12*1,0)))))+IF(BT$5&lt;&gt;$H53,0,IF(BT53&lt;0,IF($J53=7,-$E53*$I53/12*0,IF($J53=8,-$E53*$I53/12*1,IF($J53=9,-$E53*$I53/12*2,IF($J53&gt;=10,-$E53*$I53/12*3,0))))))</f>
        <v>0</v>
      </c>
      <c r="BX53" s="443">
        <f>IF($H53&lt;&gt;BY$5,0,IF(BY53&lt;0,IF(OR($J53=1,$J53=2,$J53=3,$J53=4,$J53=5,$J53=6,$J53=7,$J53=8,$J53=9,$J53=10),-$E53*$I53/12*3,IF($J53=11,-$E53*$I53/12*2,IF($J53=12,-$E53*$I53/12*1,0)))))+IF(BT$5&lt;&gt;$H53,0,IF(BT53&lt;0,IF($J53=10,-$E53*$I53/12*0,IF($J53=11,-$E53*$I53/12*1,IF($J53=12,-$E53*$I53/12*2,0)))))</f>
        <v>0</v>
      </c>
      <c r="BY53" s="440">
        <f>IF(AND(BT53&lt;&gt;0,BT$5=$H53),-$I53*$E53-BT53,IF(BY$5=$H53,-$I53*$E53*(12-$J53+1)/12,0))</f>
        <v>0</v>
      </c>
      <c r="BZ53" s="441">
        <f>IF($H53&lt;&gt;CD$5,0,IF(CD53&lt;0,IF($J53=1,-$E53*$I53/12*3,IF($J53=2,-$E53*$I53/12*2,IF($J53=3,-$E53*$I53/12*1,0)))))+IF(BY$5&lt;&gt;$H53,0,IF(BY53&lt;0,IF($J53=1,-$E53*$I53/12*0,IF($J53=2,-$E53*$I53/12*1,IF($J53=3,-$E53*$I53/12*2,IF($J53&gt;=4,-$E53*$I53/12*3,0))))))</f>
        <v>0</v>
      </c>
      <c r="CA53" s="442">
        <f>IF($H53&lt;&gt;CD$5,0,IF(CD53&lt;0,IF(OR($J53=1,$J53=2,$J53=3,$J53=4),-$E53*$I53/12*3,IF($J53=5,-$E53*$I53/12*2,IF($J53=6,-$E53*$I53/12*1,0)))))+IF(BY$5&lt;&gt;$H53,0,IF(BY53&lt;0,IF($J53=4,-$E53*$I53/12*0,IF($J53=5,-$E53*$I53/12*1,IF($J53=6,-$E53*$I53/12*2,IF($J53&gt;=7,-$E53*$I53/12*3,0))))))</f>
        <v>0</v>
      </c>
      <c r="CB53" s="442">
        <f>IF($H53&lt;&gt;CD$5,0,IF(CD53&lt;0,IF(OR($J53=1,$J53=2,$J53=3,$J53=4,$J53=5,$J53=6,$J53=7),-$E53*$I53/12*3,IF($J53=8,-$E53*$I53/12*2,IF($J53=9,-$E53*$I53/12*1,0)))))+IF(BY$5&lt;&gt;$H53,0,IF(BY53&lt;0,IF($J53=7,-$E53*$I53/12*0,IF($J53=8,-$E53*$I53/12*1,IF($J53=9,-$E53*$I53/12*2,IF($J53&gt;=10,-$E53*$I53/12*3,0))))))</f>
        <v>0</v>
      </c>
      <c r="CC53" s="443">
        <f>IF($H53&lt;&gt;CD$5,0,IF(CD53&lt;0,IF(OR($J53=1,$J53=2,$J53=3,$J53=4,$J53=5,$J53=6,$J53=7,$J53=8,$J53=9,$J53=10),-$E53*$I53/12*3,IF($J53=11,-$E53*$I53/12*2,IF($J53=12,-$E53*$I53/12*1,0)))))+IF(BY$5&lt;&gt;$H53,0,IF(BY53&lt;0,IF($J53=10,-$E53*$I53/12*0,IF($J53=11,-$E53*$I53/12*1,IF($J53=12,-$E53*$I53/12*2,0)))))</f>
        <v>0</v>
      </c>
      <c r="CD53" s="440">
        <f>IF(AND(BY53&lt;&gt;0,BY$5=$H53),-$I53*$E53-BY53,IF(CD$5=$H53,-$I53*$E53*(12-$J53+1)/12,0))</f>
        <v>0</v>
      </c>
      <c r="CE53" s="441">
        <f>IF($H53&lt;&gt;CI$5,0,IF(CI53&lt;0,IF($J53=1,-$E53*$I53/12*3,IF($J53=2,-$E53*$I53/12*2,IF($J53=3,-$E53*$I53/12*1,0)))))+IF(CD$5&lt;&gt;$H53,0,IF(CD53&lt;0,IF($J53=1,-$E53*$I53/12*0,IF($J53=2,-$E53*$I53/12*1,IF($J53=3,-$E53*$I53/12*2,IF($J53&gt;=4,-$E53*$I53/12*3,0))))))</f>
        <v>0</v>
      </c>
      <c r="CF53" s="442">
        <f>IF($H53&lt;&gt;CI$5,0,IF(CI53&lt;0,IF(OR($J53=1,$J53=2,$J53=3,$J53=4),-$E53*$I53/12*3,IF($J53=5,-$E53*$I53/12*2,IF($J53=6,-$E53*$I53/12*1,0)))))+IF(CD$5&lt;&gt;$H53,0,IF(CD53&lt;0,IF($J53=4,-$E53*$I53/12*0,IF($J53=5,-$E53*$I53/12*1,IF($J53=6,-$E53*$I53/12*2,IF($J53&gt;=7,-$E53*$I53/12*3,0))))))</f>
        <v>0</v>
      </c>
      <c r="CG53" s="442">
        <f>IF($H53&lt;&gt;CI$5,0,IF(CI53&lt;0,IF(OR($J53=1,$J53=2,$J53=3,$J53=4,$J53=5,$J53=6,$J53=7),-$E53*$I53/12*3,IF($J53=8,-$E53*$I53/12*2,IF($J53=9,-$E53*$I53/12*1,0)))))+IF(CD$5&lt;&gt;$H53,0,IF(CD53&lt;0,IF($J53=7,-$E53*$I53/12*0,IF($J53=8,-$E53*$I53/12*1,IF($J53=9,-$E53*$I53/12*2,IF($J53&gt;=10,-$E53*$I53/12*3,0))))))</f>
        <v>0</v>
      </c>
      <c r="CH53" s="443">
        <f>IF($H53&lt;&gt;CI$5,0,IF(CI53&lt;0,IF(OR($J53=1,$J53=2,$J53=3,$J53=4,$J53=5,$J53=6,$J53=7,$J53=8,$J53=9,$J53=10),-$E53*$I53/12*3,IF($J53=11,-$E53*$I53/12*2,IF($J53=12,-$E53*$I53/12*1,0)))))+IF(CD$5&lt;&gt;$H53,0,IF(CD53&lt;0,IF($J53=10,-$E53*$I53/12*0,IF($J53=11,-$E53*$I53/12*1,IF($J53=12,-$E53*$I53/12*2,0)))))</f>
        <v>0</v>
      </c>
      <c r="CI53" s="440">
        <f>IF(AND(CD53&lt;&gt;0,CD$5=$H53),-$I53*$E53-CD53,IF(CI$5=$H53,-$I53*$E53*(12-$J53+1)/12,0))</f>
        <v>0</v>
      </c>
      <c r="CJ53" s="441">
        <f>IF($H53&lt;&gt;CN$5,0,IF(CN53&lt;0,IF($J53=1,-$E53*$I53/12*3,IF($J53=2,-$E53*$I53/12*2,IF($J53=3,-$E53*$I53/12*1,0)))))+IF(CI$5&lt;&gt;$H53,0,IF(CI53&lt;0,IF($J53=1,-$E53*$I53/12*0,IF($J53=2,-$E53*$I53/12*1,IF($J53=3,-$E53*$I53/12*2,IF($J53&gt;=4,-$E53*$I53/12*3,0))))))</f>
        <v>0</v>
      </c>
      <c r="CK53" s="442">
        <f>IF($H53&lt;&gt;CN$5,0,IF(CN53&lt;0,IF(OR($J53=1,$J53=2,$J53=3,$J53=4),-$E53*$I53/12*3,IF($J53=5,-$E53*$I53/12*2,IF($J53=6,-$E53*$I53/12*1,0)))))+IF(CI$5&lt;&gt;$H53,0,IF(CI53&lt;0,IF($J53=4,-$E53*$I53/12*0,IF($J53=5,-$E53*$I53/12*1,IF($J53=6,-$E53*$I53/12*2,IF($J53&gt;=7,-$E53*$I53/12*3,0))))))</f>
        <v>0</v>
      </c>
      <c r="CL53" s="442">
        <f>IF($H53&lt;&gt;CN$5,0,IF(CN53&lt;0,IF(OR($J53=1,$J53=2,$J53=3,$J53=4,$J53=5,$J53=6,$J53=7),-$E53*$I53/12*3,IF($J53=8,-$E53*$I53/12*2,IF($J53=9,-$E53*$I53/12*1,0)))))+IF(CI$5&lt;&gt;$H53,0,IF(CI53&lt;0,IF($J53=7,-$E53*$I53/12*0,IF($J53=8,-$E53*$I53/12*1,IF($J53=9,-$E53*$I53/12*2,IF($J53&gt;=10,-$E53*$I53/12*3,0))))))</f>
        <v>0</v>
      </c>
      <c r="CM53" s="443">
        <f>IF($H53&lt;&gt;CN$5,0,IF(CN53&lt;0,IF(OR($J53=1,$J53=2,$J53=3,$J53=4,$J53=5,$J53=6,$J53=7,$J53=8,$J53=9,$J53=10),-$E53*$I53/12*3,IF($J53=11,-$E53*$I53/12*2,IF($J53=12,-$E53*$I53/12*1,0)))))+IF(CI$5&lt;&gt;$H53,0,IF(CI53&lt;0,IF($J53=10,-$E53*$I53/12*0,IF($J53=11,-$E53*$I53/12*1,IF($J53=12,-$E53*$I53/12*2,0)))))</f>
        <v>0</v>
      </c>
      <c r="CN53" s="440">
        <f>IF(AND(CI53&lt;&gt;0,CI$5=$H53),-$I53*$E53-CI53,IF(CN$5=$H53,-$I53*$E53*(12-$J53+1)/12,0))</f>
        <v>0</v>
      </c>
      <c r="CO53" s="441">
        <f>IF($H53&lt;&gt;CS$5,0,IF(CS53&lt;0,IF($J53=1,-$E53*$I53/12*3,IF($J53=2,-$E53*$I53/12*2,IF($J53=3,-$E53*$I53/12*1,0)))))+IF(CN$5&lt;&gt;$H53,0,IF(CN53&lt;0,IF($J53=1,-$E53*$I53/12*0,IF($J53=2,-$E53*$I53/12*1,IF($J53=3,-$E53*$I53/12*2,IF($J53&gt;=4,-$E53*$I53/12*3,0))))))</f>
        <v>0</v>
      </c>
      <c r="CP53" s="442">
        <f>IF($H53&lt;&gt;CS$5,0,IF(CS53&lt;0,IF(OR($J53=1,$J53=2,$J53=3,$J53=4),-$E53*$I53/12*3,IF($J53=5,-$E53*$I53/12*2,IF($J53=6,-$E53*$I53/12*1,0)))))+IF(CN$5&lt;&gt;$H53,0,IF(CN53&lt;0,IF($J53=4,-$E53*$I53/12*0,IF($J53=5,-$E53*$I53/12*1,IF($J53=6,-$E53*$I53/12*2,IF($J53&gt;=7,-$E53*$I53/12*3,0))))))</f>
        <v>0</v>
      </c>
      <c r="CQ53" s="442">
        <f>IF($H53&lt;&gt;CS$5,0,IF(CS53&lt;0,IF(OR($J53=1,$J53=2,$J53=3,$J53=4,$J53=5,$J53=6,$J53=7),-$E53*$I53/12*3,IF($J53=8,-$E53*$I53/12*2,IF($J53=9,-$E53*$I53/12*1,0)))))+IF(CN$5&lt;&gt;$H53,0,IF(CN53&lt;0,IF($J53=7,-$E53*$I53/12*0,IF($J53=8,-$E53*$I53/12*1,IF($J53=9,-$E53*$I53/12*2,IF($J53&gt;=10,-$E53*$I53/12*3,0))))))</f>
        <v>0</v>
      </c>
      <c r="CR53" s="443">
        <f>IF($H53&lt;&gt;CS$5,0,IF(CS53&lt;0,IF(OR($J53=1,$J53=2,$J53=3,$J53=4,$J53=5,$J53=6,$J53=7,$J53=8,$J53=9,$J53=10),-$E53*$I53/12*3,IF($J53=11,-$E53*$I53/12*2,IF($J53=12,-$E53*$I53/12*1,0)))))+IF(CN$5&lt;&gt;$H53,0,IF(CN53&lt;0,IF($J53=10,-$E53*$I53/12*0,IF($J53=11,-$E53*$I53/12*1,IF($J53=12,-$E53*$I53/12*2,0)))))</f>
        <v>0</v>
      </c>
      <c r="CS53" s="440">
        <f>IF(AND(CN53&lt;&gt;0,CN$5=$H53),-$I53*$E53-CN53,IF(CS$5=$H53,-$I53*$E53*(12-$J53+1)/12,0))</f>
        <v>0</v>
      </c>
      <c r="CT53" s="441">
        <f>IF($H53&lt;&gt;CX$5,0,IF(CX53&lt;0,IF($J53=1,-$E53*$I53/12*3,IF($J53=2,-$E53*$I53/12*2,IF($J53=3,-$E53*$I53/12*1,0)))))+IF(CS$5&lt;&gt;$H53,0,IF(CS53&lt;0,IF($J53=1,-$E53*$I53/12*0,IF($J53=2,-$E53*$I53/12*1,IF($J53=3,-$E53*$I53/12*2,IF($J53&gt;=4,-$E53*$I53/12*3,0))))))</f>
        <v>0</v>
      </c>
      <c r="CU53" s="442">
        <f>IF($H53&lt;&gt;CX$5,0,IF(CX53&lt;0,IF(OR($J53=1,$J53=2,$J53=3,$J53=4),-$E53*$I53/12*3,IF($J53=5,-$E53*$I53/12*2,IF($J53=6,-$E53*$I53/12*1,0)))))+IF(CS$5&lt;&gt;$H53,0,IF(CS53&lt;0,IF($J53=4,-$E53*$I53/12*0,IF($J53=5,-$E53*$I53/12*1,IF($J53=6,-$E53*$I53/12*2,IF($J53&gt;=7,-$E53*$I53/12*3,0))))))</f>
        <v>0</v>
      </c>
      <c r="CV53" s="442">
        <f>IF($H53&lt;&gt;CX$5,0,IF(CX53&lt;0,IF(OR($J53=1,$J53=2,$J53=3,$J53=4,$J53=5,$J53=6,$J53=7),-$E53*$I53/12*3,IF($J53=8,-$E53*$I53/12*2,IF($J53=9,-$E53*$I53/12*1,0)))))+IF(CS$5&lt;&gt;$H53,0,IF(CS53&lt;0,IF($J53=7,-$E53*$I53/12*0,IF($J53=8,-$E53*$I53/12*1,IF($J53=9,-$E53*$I53/12*2,IF($J53&gt;=10,-$E53*$I53/12*3,0))))))</f>
        <v>0</v>
      </c>
      <c r="CW53" s="443">
        <f>IF($H53&lt;&gt;CX$5,0,IF(CX53&lt;0,IF(OR($J53=1,$J53=2,$J53=3,$J53=4,$J53=5,$J53=6,$J53=7,$J53=8,$J53=9,$J53=10),-$E53*$I53/12*3,IF($J53=11,-$E53*$I53/12*2,IF($J53=12,-$E53*$I53/12*1,0)))))+IF(CS$5&lt;&gt;$H53,0,IF(CS53&lt;0,IF($J53=10,-$E53*$I53/12*0,IF($J53=11,-$E53*$I53/12*1,IF($J53=12,-$E53*$I53/12*2,0)))))</f>
        <v>0</v>
      </c>
      <c r="CX53" s="440">
        <f>IF(AND(CS53&lt;&gt;0,CS$5=$H53),-$I53*$E53-CS53,IF(CX$5=$H53,-$I53*$E53*(12-$J53+1)/12,0))</f>
        <v>0</v>
      </c>
      <c r="CY53" s="441">
        <f>IF($H53&lt;&gt;DC$5,0,IF(DC53&lt;0,IF($J53=1,-$E53*$I53/12*3,IF($J53=2,-$E53*$I53/12*2,IF($J53=3,-$E53*$I53/12*1,0)))))+IF(CX$5&lt;&gt;$H53,0,IF(CX53&lt;0,IF($J53=1,-$E53*$I53/12*0,IF($J53=2,-$E53*$I53/12*1,IF($J53=3,-$E53*$I53/12*2,IF($J53&gt;=4,-$E53*$I53/12*3,0))))))</f>
        <v>0</v>
      </c>
      <c r="CZ53" s="442">
        <f>IF($H53&lt;&gt;DC$5,0,IF(DC53&lt;0,IF(OR($J53=1,$J53=2,$J53=3,$J53=4),-$E53*$I53/12*3,IF($J53=5,-$E53*$I53/12*2,IF($J53=6,-$E53*$I53/12*1,0)))))+IF(CX$5&lt;&gt;$H53,0,IF(CX53&lt;0,IF($J53=4,-$E53*$I53/12*0,IF($J53=5,-$E53*$I53/12*1,IF($J53=6,-$E53*$I53/12*2,IF($J53&gt;=7,-$E53*$I53/12*3,0))))))</f>
        <v>0</v>
      </c>
      <c r="DA53" s="442">
        <f>IF($H53&lt;&gt;DC$5,0,IF(DC53&lt;0,IF(OR($J53=1,$J53=2,$J53=3,$J53=4,$J53=5,$J53=6,$J53=7),-$E53*$I53/12*3,IF($J53=8,-$E53*$I53/12*2,IF($J53=9,-$E53*$I53/12*1,0)))))+IF(CX$5&lt;&gt;$H53,0,IF(CX53&lt;0,IF($J53=7,-$E53*$I53/12*0,IF($J53=8,-$E53*$I53/12*1,IF($J53=9,-$E53*$I53/12*2,IF($J53&gt;=10,-$E53*$I53/12*3,0))))))</f>
        <v>0</v>
      </c>
      <c r="DB53" s="443">
        <f>IF($H53&lt;&gt;DC$5,0,IF(DC53&lt;0,IF(OR($J53=1,$J53=2,$J53=3,$J53=4,$J53=5,$J53=6,$J53=7,$J53=8,$J53=9,$J53=10),-$E53*$I53/12*3,IF($J53=11,-$E53*$I53/12*2,IF($J53=12,-$E53*$I53/12*1,0)))))+IF(CX$5&lt;&gt;$H53,0,IF(CX53&lt;0,IF($J53=10,-$E53*$I53/12*0,IF($J53=11,-$E53*$I53/12*1,IF($J53=12,-$E53*$I53/12*2,0)))))</f>
        <v>0</v>
      </c>
      <c r="DC53" s="440">
        <f>IF(AND(CX53&lt;&gt;0,CX$5=$H53),-$I53*$E53-CX53,IF(DC$5=$H53,-$I53*$E53*(12-$J53+1)/12,0))</f>
        <v>0</v>
      </c>
      <c r="DD53" s="441">
        <f>IF($H53&lt;&gt;DH$5,0,IF(DH53&lt;0,IF($J53=1,-$E53*$I53/12*3,IF($J53=2,-$E53*$I53/12*2,IF($J53=3,-$E53*$I53/12*1,0)))))+IF(DC$5&lt;&gt;$H53,0,IF(DC53&lt;0,IF($J53=1,-$E53*$I53/12*0,IF($J53=2,-$E53*$I53/12*1,IF($J53=3,-$E53*$I53/12*2,IF($J53&gt;=4,-$E53*$I53/12*3,0))))))</f>
        <v>0</v>
      </c>
      <c r="DE53" s="442">
        <f>IF($H53&lt;&gt;DH$5,0,IF(DH53&lt;0,IF(OR($J53=1,$J53=2,$J53=3,$J53=4),-$E53*$I53/12*3,IF($J53=5,-$E53*$I53/12*2,IF($J53=6,-$E53*$I53/12*1,0)))))+IF(DC$5&lt;&gt;$H53,0,IF(DC53&lt;0,IF($J53=4,-$E53*$I53/12*0,IF($J53=5,-$E53*$I53/12*1,IF($J53=6,-$E53*$I53/12*2,IF($J53&gt;=7,-$E53*$I53/12*3,0))))))</f>
        <v>0</v>
      </c>
      <c r="DF53" s="442">
        <f>IF($H53&lt;&gt;DH$5,0,IF(DH53&lt;0,IF(OR($J53=1,$J53=2,$J53=3,$J53=4,$J53=5,$J53=6,$J53=7),-$E53*$I53/12*3,IF($J53=8,-$E53*$I53/12*2,IF($J53=9,-$E53*$I53/12*1,0)))))+IF(DC$5&lt;&gt;$H53,0,IF(DC53&lt;0,IF($J53=7,-$E53*$I53/12*0,IF($J53=8,-$E53*$I53/12*1,IF($J53=9,-$E53*$I53/12*2,IF($J53&gt;=10,-$E53*$I53/12*3,0))))))</f>
        <v>0</v>
      </c>
      <c r="DG53" s="443">
        <f>IF($H53&lt;&gt;DH$5,0,IF(DH53&lt;0,IF(OR($J53=1,$J53=2,$J53=3,$J53=4,$J53=5,$J53=6,$J53=7,$J53=8,$J53=9,$J53=10),-$E53*$I53/12*3,IF($J53=11,-$E53*$I53/12*2,IF($J53=12,-$E53*$I53/12*1,0)))))+IF(DC$5&lt;&gt;$H53,0,IF(DC53&lt;0,IF($J53=10,-$E53*$I53/12*0,IF($J53=11,-$E53*$I53/12*1,IF($J53=12,-$E53*$I53/12*2,0)))))</f>
        <v>-2.2357725000000004</v>
      </c>
      <c r="DH53" s="440">
        <f>IF(AND(DC53&lt;&gt;0,DC$5=$H53),-$I53*$E53-DC53,IF(DH$5=$H53,-$I53*$E53*(12-$J53+1)/12,0))</f>
        <v>-2.2357725000000004</v>
      </c>
      <c r="DI53" s="441">
        <f>IF($H53&lt;&gt;DM$5,0,IF(DM53&lt;0,IF($J53=1,-$E53*$I53/12*3,IF($J53=2,-$E53*$I53/12*2,IF($J53=3,-$E53*$I53/12*1,0)))))+IF(DH$5&lt;&gt;$H53,0,IF(DH53&lt;0,IF($J53=1,-$E53*$I53/12*0,IF($J53=2,-$E53*$I53/12*1,IF($J53=3,-$E53*$I53/12*2,IF($J53&gt;=4,-$E53*$I53/12*3,0))))))</f>
        <v>-2.2357725000000004</v>
      </c>
      <c r="DJ53" s="442">
        <f>IF($H53&lt;&gt;DM$5,0,IF(DM53&lt;0,IF(OR($J53=1,$J53=2,$J53=3,$J53=4),-$E53*$I53/12*3,IF($J53=5,-$E53*$I53/12*2,IF($J53=6,-$E53*$I53/12*1,0)))))+IF(DH$5&lt;&gt;$H53,0,IF(DH53&lt;0,IF($J53=4,-$E53*$I53/12*0,IF($J53=5,-$E53*$I53/12*1,IF($J53=6,-$E53*$I53/12*2,IF($J53&gt;=7,-$E53*$I53/12*3,0))))))</f>
        <v>-2.2357725000000004</v>
      </c>
      <c r="DK53" s="442">
        <f>IF($H53&lt;&gt;DM$5,0,IF(DM53&lt;0,IF(OR($J53=1,$J53=2,$J53=3,$J53=4,$J53=5,$J53=6,$J53=7),-$E53*$I53/12*3,IF($J53=8,-$E53*$I53/12*2,IF($J53=9,-$E53*$I53/12*1,0)))))+IF(DH$5&lt;&gt;$H53,0,IF(DH53&lt;0,IF($J53=7,-$E53*$I53/12*0,IF($J53=8,-$E53*$I53/12*1,IF($J53=9,-$E53*$I53/12*2,IF($J53&gt;=10,-$E53*$I53/12*3,0))))))</f>
        <v>-2.2357725000000004</v>
      </c>
      <c r="DL53" s="443">
        <f>IF($H53&lt;&gt;DM$5,0,IF(DM53&lt;0,IF(OR($J53=1,$J53=2,$J53=3,$J53=4,$J53=5,$J53=6,$J53=7,$J53=8,$J53=9,$J53=10),-$E53*$I53/12*3,IF($J53=11,-$E53*$I53/12*2,IF($J53=12,-$E53*$I53/12*1,0)))))+IF(DH$5&lt;&gt;$H53,0,IF(DH53&lt;0,IF($J53=10,-$E53*$I53/12*0,IF($J53=11,-$E53*$I53/12*1,IF($J53=12,-$E53*$I53/12*2,0)))))</f>
        <v>0</v>
      </c>
      <c r="DM53" s="440">
        <f>IF(AND(DH53&lt;&gt;0,DH$5=$H53),-$I53*$E53-DH53,IF(DM$5=$H53,-$I53*$E53*(12-$J53+1)/12,0))</f>
        <v>-6.7073175000000012</v>
      </c>
      <c r="DN53" s="441">
        <f>IF($H53&lt;&gt;DR$5,0,IF(DR53&lt;0,IF($J53=1,-$E53*$I53/12*3,IF($J53=2,-$E53*$I53/12*2,IF($J53=3,-$E53*$I53/12*1,0)))))+IF(DM$5&lt;&gt;$H53,0,IF(DM53&lt;0,IF($J53=1,-$E53*$I53/12*0,IF($J53=2,-$E53*$I53/12*1,IF($J53=3,-$E53*$I53/12*2,IF($J53&gt;=4,-$E53*$I53/12*3,0))))))</f>
        <v>0</v>
      </c>
      <c r="DO53" s="442">
        <f>IF($H53&lt;&gt;DR$5,0,IF(DR53&lt;0,IF(OR($J53=1,$J53=2,$J53=3,$J53=4),-$E53*$I53/12*3,IF($J53=5,-$E53*$I53/12*2,IF($J53=6,-$E53*$I53/12*1,0)))))+IF(DM$5&lt;&gt;$H53,0,IF(DM53&lt;0,IF($J53=4,-$E53*$I53/12*0,IF($J53=5,-$E53*$I53/12*1,IF($J53=6,-$E53*$I53/12*2,IF($J53&gt;=7,-$E53*$I53/12*3,0))))))</f>
        <v>0</v>
      </c>
      <c r="DP53" s="442">
        <f>IF($H53&lt;&gt;DR$5,0,IF(DR53&lt;0,IF(OR($J53=1,$J53=2,$J53=3,$J53=4,$J53=5,$J53=6,$J53=7),-$E53*$I53/12*3,IF($J53=8,-$E53*$I53/12*2,IF($J53=9,-$E53*$I53/12*1,0)))))+IF(DM$5&lt;&gt;$H53,0,IF(DM53&lt;0,IF($J53=7,-$E53*$I53/12*0,IF($J53=8,-$E53*$I53/12*1,IF($J53=9,-$E53*$I53/12*2,IF($J53&gt;=10,-$E53*$I53/12*3,0))))))</f>
        <v>0</v>
      </c>
      <c r="DQ53" s="443">
        <f>IF($H53&lt;&gt;DR$5,0,IF(DR53&lt;0,IF(OR($J53=1,$J53=2,$J53=3,$J53=4,$J53=5,$J53=6,$J53=7,$J53=8,$J53=9,$J53=10),-$E53*$I53/12*3,IF($J53=11,-$E53*$I53/12*2,IF($J53=12,-$E53*$I53/12*1,0)))))+IF(DM$5&lt;&gt;$H53,0,IF(DM53&lt;0,IF($J53=10,-$E53*$I53/12*0,IF($J53=11,-$E53*$I53/12*1,IF($J53=12,-$E53*$I53/12*2,0)))))</f>
        <v>0</v>
      </c>
      <c r="DR53" s="440">
        <f>IF(AND(DM53&lt;&gt;0,DM$5=$H53),-$I53*$E53-DM53,IF(DR$5=$H53,-$I53*$E53*(12-$J53+1)/12,0))</f>
        <v>0</v>
      </c>
    </row>
    <row r="54" spans="1:122" ht="12.75" customHeight="1">
      <c r="A54" s="92"/>
      <c r="B54" s="92"/>
      <c r="C54" s="635" t="s">
        <v>665</v>
      </c>
      <c r="D54" s="395"/>
      <c r="E54" s="865">
        <f>IF(F54=0,G54,F54)</f>
        <v>150.03399999999999</v>
      </c>
      <c r="F54" s="1945">
        <f>150.034</f>
        <v>150.03399999999999</v>
      </c>
      <c r="G54" s="1945">
        <f>150.034</f>
        <v>150.03399999999999</v>
      </c>
      <c r="H54" s="1308">
        <v>2039</v>
      </c>
      <c r="I54" s="1948">
        <v>6.7500000000000004E-2</v>
      </c>
      <c r="J54" s="1357">
        <v>10</v>
      </c>
      <c r="K54" s="549"/>
      <c r="L54" s="441">
        <f>IF(P54=0,0,IF(P54&lt;0,IF($J54=3,P54,IF($J54=2,P54,IF($J54=1,P54,0)))))</f>
        <v>0</v>
      </c>
      <c r="M54" s="442">
        <f>IF(P54=0,0,IF(P54&lt;0,IF($J54=6,P54,IF($J54=5,P54,IF($J54=4,P54,0)))))</f>
        <v>0</v>
      </c>
      <c r="N54" s="442">
        <f>IF(P54=0,0,IF(P54&lt;0,IF($J54=9,P54,IF($J54=8,P54,IF($J54=7,P54,0)))))</f>
        <v>0</v>
      </c>
      <c r="O54" s="443">
        <f>IF(P54=0,0,IF(P54&lt;0,IF($J54=12,P54,IF($J54=11,P54,IF($J54=10,P54,0)))))</f>
        <v>0</v>
      </c>
      <c r="P54" s="440">
        <f>IF(P$5=$H54,-$E54,0)</f>
        <v>0</v>
      </c>
      <c r="Q54" s="441">
        <f>IF(U54=0,0,IF(U54&lt;0,IF($J54=3,U54,IF($J54=2,U54,IF($J54=1,U54,0)))))</f>
        <v>0</v>
      </c>
      <c r="R54" s="442">
        <f>IF(U54=0,0,IF(U54&lt;0,IF($J54=6,U54,IF($J54=5,U54,IF($J54=4,U54,0)))))</f>
        <v>0</v>
      </c>
      <c r="S54" s="442">
        <f>IF(U54=0,0,IF(U54&lt;0,IF($J54=9,U54,IF($J54=8,U54,IF($J54=7,U54,0)))))</f>
        <v>0</v>
      </c>
      <c r="T54" s="443">
        <f>IF(U54=0,0,IF(U54&lt;0,IF($J54=12,U54,IF($J54=11,U54,IF($J54=10,U54,0)))))</f>
        <v>0</v>
      </c>
      <c r="U54" s="440">
        <f>IF(U$5=$H54,-$E54,0)</f>
        <v>0</v>
      </c>
      <c r="V54" s="441">
        <f>IF(Z54=0,0,IF(Z54&lt;0,IF($J54=3,Z54,IF($J54=2,Z54,IF($J54=1,Z54,0)))))</f>
        <v>0</v>
      </c>
      <c r="W54" s="442">
        <f>IF(Z54=0,0,IF(Z54&lt;0,IF($J54=6,Z54,IF($J54=5,Z54,IF($J54=4,Z54,0)))))</f>
        <v>0</v>
      </c>
      <c r="X54" s="442">
        <f>IF(Z54=0,0,IF(Z54&lt;0,IF($J54=9,Z54,IF($J54=8,Z54,IF($J54=7,Z54,0)))))</f>
        <v>0</v>
      </c>
      <c r="Y54" s="443">
        <f>IF(Z54=0,0,IF(Z54&lt;0,IF($J54=12,Z54,IF($J54=11,Z54,IF($J54=10,Z54,0)))))</f>
        <v>0</v>
      </c>
      <c r="Z54" s="440">
        <f>IF(Z$5=$H54,-$E54,0)</f>
        <v>0</v>
      </c>
      <c r="AA54" s="441">
        <f>IF(AE54=0,0,IF(AE54&lt;0,IF($J54=3,AE54,IF($J54=2,AE54,IF($J54=1,AE54,0)))))</f>
        <v>0</v>
      </c>
      <c r="AB54" s="442">
        <f>IF(AE54=0,0,IF(AE54&lt;0,IF($J54=6,AE54,IF($J54=5,AE54,IF($J54=4,AE54,0)))))</f>
        <v>0</v>
      </c>
      <c r="AC54" s="442">
        <f>IF(AE54=0,0,IF(AE54&lt;0,IF($J54=9,AE54,IF($J54=8,AE54,IF($J54=7,AE54,0)))))</f>
        <v>0</v>
      </c>
      <c r="AD54" s="443">
        <f>IF(AE54=0,0,IF(AE54&lt;0,IF($J54=12,AE54,IF($J54=11,AE54,IF($J54=10,AE54,0)))))</f>
        <v>0</v>
      </c>
      <c r="AE54" s="440">
        <f>IF(AE$5=$H54,-$E54,0)</f>
        <v>0</v>
      </c>
      <c r="AF54" s="441">
        <f>IF(AJ54=0,0,IF(AJ54&lt;0,IF($J54=3,AJ54,IF($J54=2,AJ54,IF($J54=1,AJ54,0)))))</f>
        <v>0</v>
      </c>
      <c r="AG54" s="442">
        <f>IF(AJ54=0,0,IF(AJ54&lt;0,IF($J54=6,AJ54,IF($J54=5,AJ54,IF($J54=4,AJ54,0)))))</f>
        <v>0</v>
      </c>
      <c r="AH54" s="442">
        <f>IF(AJ54=0,0,IF(AJ54&lt;0,IF($J54=9,AJ54,IF($J54=8,AJ54,IF($J54=7,AJ54,0)))))</f>
        <v>0</v>
      </c>
      <c r="AI54" s="443">
        <f>IF(AJ54=0,0,IF(AJ54&lt;0,IF($J54=12,AJ54,IF($J54=11,AJ54,IF($J54=10,AJ54,0)))))</f>
        <v>0</v>
      </c>
      <c r="AJ54" s="440">
        <f>IF(AJ$5=$H54,-$E54,0)</f>
        <v>0</v>
      </c>
      <c r="AK54" s="441">
        <f>IF(AO54=0,0,IF(AO54&lt;0,IF($J54=3,AO54,IF($J54=2,AO54,IF($J54=1,AO54,0)))))</f>
        <v>0</v>
      </c>
      <c r="AL54" s="442">
        <f>IF(AO54=0,0,IF(AO54&lt;0,IF($J54=6,AO54,IF($J54=5,AO54,IF($J54=4,AO54,0)))))</f>
        <v>0</v>
      </c>
      <c r="AM54" s="442">
        <f>IF(AO54=0,0,IF(AO54&lt;0,IF($J54=9,AO54,IF($J54=8,AO54,IF($J54=7,AO54,0)))))</f>
        <v>0</v>
      </c>
      <c r="AN54" s="443">
        <f>IF(AO54=0,0,IF(AO54&lt;0,IF($J54=12,AO54,IF($J54=11,AO54,IF($J54=10,AO54,0)))))</f>
        <v>0</v>
      </c>
      <c r="AO54" s="440">
        <f>IF(AO$5=$H54,-$E54,0)</f>
        <v>0</v>
      </c>
      <c r="AP54" s="441">
        <f>IF(AT54=0,0,IF(AT54&lt;0,IF($J54=3,AT54,IF($J54=2,AT54,IF($J54=1,AT54,0)))))</f>
        <v>0</v>
      </c>
      <c r="AQ54" s="442">
        <f>IF(AT54=0,0,IF(AT54&lt;0,IF($J54=6,AT54,IF($J54=5,AT54,IF($J54=4,AT54,0)))))</f>
        <v>0</v>
      </c>
      <c r="AR54" s="442">
        <f>IF(AT54=0,0,IF(AT54&lt;0,IF($J54=9,AT54,IF($J54=8,AT54,IF($J54=7,AT54,0)))))</f>
        <v>0</v>
      </c>
      <c r="AS54" s="443">
        <f>IF(AT54=0,0,IF(AT54&lt;0,IF($J54=12,AT54,IF($J54=11,AT54,IF($J54=10,AT54,0)))))</f>
        <v>0</v>
      </c>
      <c r="AT54" s="440">
        <f>IF(AT$5=$H54,-$E54,0)</f>
        <v>0</v>
      </c>
      <c r="AU54" s="441">
        <f>IF(AY54=0,0,IF(AY54&lt;0,IF($J54=3,AY54,IF($J54=2,AY54,IF($J54=1,AY54,0)))))</f>
        <v>0</v>
      </c>
      <c r="AV54" s="442">
        <f>IF(AY54=0,0,IF(AY54&lt;0,IF($J54=6,AY54,IF($J54=5,AY54,IF($J54=4,AY54,0)))))</f>
        <v>0</v>
      </c>
      <c r="AW54" s="442">
        <f>IF(AY54=0,0,IF(AY54&lt;0,IF($J54=9,AY54,IF($J54=8,AY54,IF($J54=7,AY54,0)))))</f>
        <v>0</v>
      </c>
      <c r="AX54" s="443">
        <f>IF(AY54=0,0,IF(AY54&lt;0,IF($J54=12,AY54,IF($J54=11,AY54,IF($J54=10,AY54,0)))))</f>
        <v>0</v>
      </c>
      <c r="AY54" s="440">
        <f>IF(AY$5=$H54,-$E54,0)</f>
        <v>0</v>
      </c>
      <c r="AZ54" s="441">
        <f>IF(BD54=0,0,IF(BD54&lt;0,IF($J54=3,BD54,IF($J54=2,BD54,IF($J54=1,BD54,0)))))</f>
        <v>0</v>
      </c>
      <c r="BA54" s="442">
        <f>IF(BD54=0,0,IF(BD54&lt;0,IF($J54=6,BD54,IF($J54=5,BD54,IF($J54=4,BD54,0)))))</f>
        <v>0</v>
      </c>
      <c r="BB54" s="442">
        <f>IF(BD54=0,0,IF(BD54&lt;0,IF($J54=9,BD54,IF($J54=8,BD54,IF($J54=7,BD54,0)))))</f>
        <v>0</v>
      </c>
      <c r="BC54" s="443">
        <f>IF(BD54=0,0,IF(BD54&lt;0,IF($J54=12,BD54,IF($J54=11,BD54,IF($J54=10,BD54,0)))))</f>
        <v>0</v>
      </c>
      <c r="BD54" s="440">
        <f>IF(BD$5=$H54,-$E54,0)</f>
        <v>0</v>
      </c>
      <c r="BE54" s="441">
        <f>IF(BI54=0,0,IF(BI54&lt;0,IF($J54=3,BI54,IF($J54=2,BI54,IF($J54=1,BI54,0)))))</f>
        <v>0</v>
      </c>
      <c r="BF54" s="442">
        <f>IF(BI54=0,0,IF(BI54&lt;0,IF($J54=6,BI54,IF($J54=5,BI54,IF($J54=4,BI54,0)))))</f>
        <v>0</v>
      </c>
      <c r="BG54" s="442">
        <f>IF(BI54=0,0,IF(BI54&lt;0,IF($J54=9,BI54,IF($J54=8,BI54,IF($J54=7,BI54,0)))))</f>
        <v>0</v>
      </c>
      <c r="BH54" s="443">
        <f>IF(BI54=0,0,IF(BI54&lt;0,IF($J54=12,BI54,IF($J54=11,BI54,IF($J54=10,BI54,0)))))</f>
        <v>0</v>
      </c>
      <c r="BI54" s="440">
        <f>IF(BI$5=$H54,-$E54,0)</f>
        <v>0</v>
      </c>
      <c r="BJ54" s="441">
        <f>IF(BN54=0,0,IF(BN54&lt;0,IF($J54=3,BN54,IF($J54=2,BN54,IF($J54=1,BN54,0)))))</f>
        <v>0</v>
      </c>
      <c r="BK54" s="442">
        <f>IF(BN54=0,0,IF(BN54&lt;0,IF($J54=6,BN54,IF($J54=5,BN54,IF($J54=4,BN54,0)))))</f>
        <v>0</v>
      </c>
      <c r="BL54" s="442">
        <f>IF(BN54=0,0,IF(BN54&lt;0,IF($J54=9,BN54,IF($J54=8,BN54,IF($J54=7,BN54,0)))))</f>
        <v>0</v>
      </c>
      <c r="BM54" s="443">
        <f>IF(BN54=0,0,IF(BN54&lt;0,IF($J54=12,BN54,IF($J54=11,BN54,IF($J54=10,BN54,0)))))</f>
        <v>0</v>
      </c>
      <c r="BN54" s="440">
        <f>IF(BN$5=$H54,-$E54,0)</f>
        <v>0</v>
      </c>
      <c r="BO54" s="470"/>
      <c r="BP54" s="441">
        <f>IF($H54&lt;&gt;BT$5,0,IF(BT54&lt;0,IF($J54=1,-$E54*$I54/12*3,IF($J54=2,-$E54*$I54/12*2,IF($J54=3,-$E54*$I54/12*1,0)))))+IF(BO$5&lt;&gt;$H54,0,IF(BO54&lt;0,IF($J54=1,-$E54*$I54/12*0,IF($J54=2,-$E54*$I54/12*1,IF($J54=3,-$E54*$I54/12*2,IF($J54&gt;=4,-$E54*$I54/12*3,0))))))</f>
        <v>0</v>
      </c>
      <c r="BQ54" s="442">
        <f>IF($H54&lt;&gt;BT$5,0,IF(BT54&lt;0,IF(OR($J54=1,$J54=2,$J54=3,$J54=4),-$E54*$I54/12*3,IF($J54=5,-$E54*$I54/12*2,IF($J54=6,-$E54*$I54/12*1,0)))))+IF(BO$5&lt;&gt;$H54,0,IF(BO54&lt;0,IF($J54=4,-$E54*$I54/12*0,IF($J54=5,-$E54*$I54/12*1,IF($J54=6,-$E54*$I54/12*2,IF($J54&gt;=7,-$E54*$I54/12*3,0))))))</f>
        <v>0</v>
      </c>
      <c r="BR54" s="442">
        <f>IF($H54&lt;&gt;BT$5,0,IF(BT54&lt;0,IF(OR($J54=1,$J54=2,$J54=3,$J54=4,$J54=5,$J54=6,$J54=7),-$E54*$I54/12*3,IF($J54=8,-$E54*$I54/12*2,IF($J54=9,-$E54*$I54/12*1,0)))))+IF(BO$5&lt;&gt;$H54,0,IF(BO54&lt;0,IF($J54=7,-$E54*$I54/12*0,IF($J54=8,-$E54*$I54/12*1,IF($J54=9,-$E54*$I54/12*2,IF($J54&gt;=10,-$E54*$I54/12*3,0))))))</f>
        <v>0</v>
      </c>
      <c r="BS54" s="443">
        <f>IF($H54&lt;&gt;BT$5,0,IF(BT54&lt;0,IF(OR($J54=1,$J54=2,$J54=3,$J54=4,$J54=5,$J54=6,$J54=7,$J54=8,$J54=9,$J54=10),-$E54*$I54/12*3,IF($J54=11,-$E54*$I54/12*2,IF($J54=12,-$E54*$I54/12*1,0)))))+IF(BO$5&lt;&gt;$H54,0,IF(BO54&lt;0,IF($J54=10,-$E54*$I54/12*0,IF($J54=11,-$E54*$I54/12*1,IF($J54=12,-$E54*$I54/12*2,0)))))</f>
        <v>0</v>
      </c>
      <c r="BT54" s="440">
        <f>IF(AND(BO54&lt;&gt;0,BO$5=$H54),-$I54*$E54-BO54,IF(BT$5=$H54,-$I54*$E54*(12-$J54+1)/12,0))</f>
        <v>0</v>
      </c>
      <c r="BU54" s="441">
        <f>IF($H54&lt;&gt;BY$5,0,IF(BY54&lt;0,IF($J54=1,-$E54*$I54/12*3,IF($J54=2,-$E54*$I54/12*2,IF($J54=3,-$E54*$I54/12*1,0)))))+IF(BT$5&lt;&gt;$H54,0,IF(BT54&lt;0,IF($J54=1,-$E54*$I54/12*0,IF($J54=2,-$E54*$I54/12*1,IF($J54=3,-$E54*$I54/12*2,IF($J54&gt;=4,-$E54*$I54/12*3,0))))))</f>
        <v>0</v>
      </c>
      <c r="BV54" s="442">
        <f>IF($H54&lt;&gt;BY$5,0,IF(BY54&lt;0,IF(OR($J54=1,$J54=2,$J54=3,$J54=4),-$E54*$I54/12*3,IF($J54=5,-$E54*$I54/12*2,IF($J54=6,-$E54*$I54/12*1,0)))))+IF(BT$5&lt;&gt;$H54,0,IF(BT54&lt;0,IF($J54=4,-$E54*$I54/12*0,IF($J54=5,-$E54*$I54/12*1,IF($J54=6,-$E54*$I54/12*2,IF($J54&gt;=7,-$E54*$I54/12*3,0))))))</f>
        <v>0</v>
      </c>
      <c r="BW54" s="442">
        <f>IF($H54&lt;&gt;BY$5,0,IF(BY54&lt;0,IF(OR($J54=1,$J54=2,$J54=3,$J54=4,$J54=5,$J54=6,$J54=7),-$E54*$I54/12*3,IF($J54=8,-$E54*$I54/12*2,IF($J54=9,-$E54*$I54/12*1,0)))))+IF(BT$5&lt;&gt;$H54,0,IF(BT54&lt;0,IF($J54=7,-$E54*$I54/12*0,IF($J54=8,-$E54*$I54/12*1,IF($J54=9,-$E54*$I54/12*2,IF($J54&gt;=10,-$E54*$I54/12*3,0))))))</f>
        <v>0</v>
      </c>
      <c r="BX54" s="443">
        <f>IF($H54&lt;&gt;BY$5,0,IF(BY54&lt;0,IF(OR($J54=1,$J54=2,$J54=3,$J54=4,$J54=5,$J54=6,$J54=7,$J54=8,$J54=9,$J54=10),-$E54*$I54/12*3,IF($J54=11,-$E54*$I54/12*2,IF($J54=12,-$E54*$I54/12*1,0)))))+IF(BT$5&lt;&gt;$H54,0,IF(BT54&lt;0,IF($J54=10,-$E54*$I54/12*0,IF($J54=11,-$E54*$I54/12*1,IF($J54=12,-$E54*$I54/12*2,0)))))</f>
        <v>0</v>
      </c>
      <c r="BY54" s="440">
        <f>IF(AND(BT54&lt;&gt;0,BT$5=$H54),-$I54*$E54-BT54,IF(BY$5=$H54,-$I54*$E54*(12-$J54+1)/12,0))</f>
        <v>0</v>
      </c>
      <c r="BZ54" s="441">
        <f>IF($H54&lt;&gt;CD$5,0,IF(CD54&lt;0,IF($J54=1,-$E54*$I54/12*3,IF($J54=2,-$E54*$I54/12*2,IF($J54=3,-$E54*$I54/12*1,0)))))+IF(BY$5&lt;&gt;$H54,0,IF(BY54&lt;0,IF($J54=1,-$E54*$I54/12*0,IF($J54=2,-$E54*$I54/12*1,IF($J54=3,-$E54*$I54/12*2,IF($J54&gt;=4,-$E54*$I54/12*3,0))))))</f>
        <v>0</v>
      </c>
      <c r="CA54" s="442">
        <f>IF($H54&lt;&gt;CD$5,0,IF(CD54&lt;0,IF(OR($J54=1,$J54=2,$J54=3,$J54=4),-$E54*$I54/12*3,IF($J54=5,-$E54*$I54/12*2,IF($J54=6,-$E54*$I54/12*1,0)))))+IF(BY$5&lt;&gt;$H54,0,IF(BY54&lt;0,IF($J54=4,-$E54*$I54/12*0,IF($J54=5,-$E54*$I54/12*1,IF($J54=6,-$E54*$I54/12*2,IF($J54&gt;=7,-$E54*$I54/12*3,0))))))</f>
        <v>0</v>
      </c>
      <c r="CB54" s="442">
        <f>IF($H54&lt;&gt;CD$5,0,IF(CD54&lt;0,IF(OR($J54=1,$J54=2,$J54=3,$J54=4,$J54=5,$J54=6,$J54=7),-$E54*$I54/12*3,IF($J54=8,-$E54*$I54/12*2,IF($J54=9,-$E54*$I54/12*1,0)))))+IF(BY$5&lt;&gt;$H54,0,IF(BY54&lt;0,IF($J54=7,-$E54*$I54/12*0,IF($J54=8,-$E54*$I54/12*1,IF($J54=9,-$E54*$I54/12*2,IF($J54&gt;=10,-$E54*$I54/12*3,0))))))</f>
        <v>0</v>
      </c>
      <c r="CC54" s="443">
        <f>IF($H54&lt;&gt;CD$5,0,IF(CD54&lt;0,IF(OR($J54=1,$J54=2,$J54=3,$J54=4,$J54=5,$J54=6,$J54=7,$J54=8,$J54=9,$J54=10),-$E54*$I54/12*3,IF($J54=11,-$E54*$I54/12*2,IF($J54=12,-$E54*$I54/12*1,0)))))+IF(BY$5&lt;&gt;$H54,0,IF(BY54&lt;0,IF($J54=10,-$E54*$I54/12*0,IF($J54=11,-$E54*$I54/12*1,IF($J54=12,-$E54*$I54/12*2,0)))))</f>
        <v>0</v>
      </c>
      <c r="CD54" s="440">
        <f>IF(AND(BY54&lt;&gt;0,BY$5=$H54),-$I54*$E54-BY54,IF(CD$5=$H54,-$I54*$E54*(12-$J54+1)/12,0))</f>
        <v>0</v>
      </c>
      <c r="CE54" s="441">
        <f>IF($H54&lt;&gt;CI$5,0,IF(CI54&lt;0,IF($J54=1,-$E54*$I54/12*3,IF($J54=2,-$E54*$I54/12*2,IF($J54=3,-$E54*$I54/12*1,0)))))+IF(CD$5&lt;&gt;$H54,0,IF(CD54&lt;0,IF($J54=1,-$E54*$I54/12*0,IF($J54=2,-$E54*$I54/12*1,IF($J54=3,-$E54*$I54/12*2,IF($J54&gt;=4,-$E54*$I54/12*3,0))))))</f>
        <v>0</v>
      </c>
      <c r="CF54" s="442">
        <f>IF($H54&lt;&gt;CI$5,0,IF(CI54&lt;0,IF(OR($J54=1,$J54=2,$J54=3,$J54=4),-$E54*$I54/12*3,IF($J54=5,-$E54*$I54/12*2,IF($J54=6,-$E54*$I54/12*1,0)))))+IF(CD$5&lt;&gt;$H54,0,IF(CD54&lt;0,IF($J54=4,-$E54*$I54/12*0,IF($J54=5,-$E54*$I54/12*1,IF($J54=6,-$E54*$I54/12*2,IF($J54&gt;=7,-$E54*$I54/12*3,0))))))</f>
        <v>0</v>
      </c>
      <c r="CG54" s="442">
        <f>IF($H54&lt;&gt;CI$5,0,IF(CI54&lt;0,IF(OR($J54=1,$J54=2,$J54=3,$J54=4,$J54=5,$J54=6,$J54=7),-$E54*$I54/12*3,IF($J54=8,-$E54*$I54/12*2,IF($J54=9,-$E54*$I54/12*1,0)))))+IF(CD$5&lt;&gt;$H54,0,IF(CD54&lt;0,IF($J54=7,-$E54*$I54/12*0,IF($J54=8,-$E54*$I54/12*1,IF($J54=9,-$E54*$I54/12*2,IF($J54&gt;=10,-$E54*$I54/12*3,0))))))</f>
        <v>0</v>
      </c>
      <c r="CH54" s="443">
        <f>IF($H54&lt;&gt;CI$5,0,IF(CI54&lt;0,IF(OR($J54=1,$J54=2,$J54=3,$J54=4,$J54=5,$J54=6,$J54=7,$J54=8,$J54=9,$J54=10),-$E54*$I54/12*3,IF($J54=11,-$E54*$I54/12*2,IF($J54=12,-$E54*$I54/12*1,0)))))+IF(CD$5&lt;&gt;$H54,0,IF(CD54&lt;0,IF($J54=10,-$E54*$I54/12*0,IF($J54=11,-$E54*$I54/12*1,IF($J54=12,-$E54*$I54/12*2,0)))))</f>
        <v>0</v>
      </c>
      <c r="CI54" s="440">
        <f>IF(AND(CD54&lt;&gt;0,CD$5=$H54),-$I54*$E54-CD54,IF(CI$5=$H54,-$I54*$E54*(12-$J54+1)/12,0))</f>
        <v>0</v>
      </c>
      <c r="CJ54" s="441">
        <f>IF($H54&lt;&gt;CN$5,0,IF(CN54&lt;0,IF($J54=1,-$E54*$I54/12*3,IF($J54=2,-$E54*$I54/12*2,IF($J54=3,-$E54*$I54/12*1,0)))))+IF(CI$5&lt;&gt;$H54,0,IF(CI54&lt;0,IF($J54=1,-$E54*$I54/12*0,IF($J54=2,-$E54*$I54/12*1,IF($J54=3,-$E54*$I54/12*2,IF($J54&gt;=4,-$E54*$I54/12*3,0))))))</f>
        <v>0</v>
      </c>
      <c r="CK54" s="442">
        <f>IF($H54&lt;&gt;CN$5,0,IF(CN54&lt;0,IF(OR($J54=1,$J54=2,$J54=3,$J54=4),-$E54*$I54/12*3,IF($J54=5,-$E54*$I54/12*2,IF($J54=6,-$E54*$I54/12*1,0)))))+IF(CI$5&lt;&gt;$H54,0,IF(CI54&lt;0,IF($J54=4,-$E54*$I54/12*0,IF($J54=5,-$E54*$I54/12*1,IF($J54=6,-$E54*$I54/12*2,IF($J54&gt;=7,-$E54*$I54/12*3,0))))))</f>
        <v>0</v>
      </c>
      <c r="CL54" s="442">
        <f>IF($H54&lt;&gt;CN$5,0,IF(CN54&lt;0,IF(OR($J54=1,$J54=2,$J54=3,$J54=4,$J54=5,$J54=6,$J54=7),-$E54*$I54/12*3,IF($J54=8,-$E54*$I54/12*2,IF($J54=9,-$E54*$I54/12*1,0)))))+IF(CI$5&lt;&gt;$H54,0,IF(CI54&lt;0,IF($J54=7,-$E54*$I54/12*0,IF($J54=8,-$E54*$I54/12*1,IF($J54=9,-$E54*$I54/12*2,IF($J54&gt;=10,-$E54*$I54/12*3,0))))))</f>
        <v>0</v>
      </c>
      <c r="CM54" s="443">
        <f>IF($H54&lt;&gt;CN$5,0,IF(CN54&lt;0,IF(OR($J54=1,$J54=2,$J54=3,$J54=4,$J54=5,$J54=6,$J54=7,$J54=8,$J54=9,$J54=10),-$E54*$I54/12*3,IF($J54=11,-$E54*$I54/12*2,IF($J54=12,-$E54*$I54/12*1,0)))))+IF(CI$5&lt;&gt;$H54,0,IF(CI54&lt;0,IF($J54=10,-$E54*$I54/12*0,IF($J54=11,-$E54*$I54/12*1,IF($J54=12,-$E54*$I54/12*2,0)))))</f>
        <v>0</v>
      </c>
      <c r="CN54" s="440">
        <f>IF(AND(CI54&lt;&gt;0,CI$5=$H54),-$I54*$E54-CI54,IF(CN$5=$H54,-$I54*$E54*(12-$J54+1)/12,0))</f>
        <v>0</v>
      </c>
      <c r="CO54" s="441">
        <f>IF($H54&lt;&gt;CS$5,0,IF(CS54&lt;0,IF($J54=1,-$E54*$I54/12*3,IF($J54=2,-$E54*$I54/12*2,IF($J54=3,-$E54*$I54/12*1,0)))))+IF(CN$5&lt;&gt;$H54,0,IF(CN54&lt;0,IF($J54=1,-$E54*$I54/12*0,IF($J54=2,-$E54*$I54/12*1,IF($J54=3,-$E54*$I54/12*2,IF($J54&gt;=4,-$E54*$I54/12*3,0))))))</f>
        <v>0</v>
      </c>
      <c r="CP54" s="442">
        <f>IF($H54&lt;&gt;CS$5,0,IF(CS54&lt;0,IF(OR($J54=1,$J54=2,$J54=3,$J54=4),-$E54*$I54/12*3,IF($J54=5,-$E54*$I54/12*2,IF($J54=6,-$E54*$I54/12*1,0)))))+IF(CN$5&lt;&gt;$H54,0,IF(CN54&lt;0,IF($J54=4,-$E54*$I54/12*0,IF($J54=5,-$E54*$I54/12*1,IF($J54=6,-$E54*$I54/12*2,IF($J54&gt;=7,-$E54*$I54/12*3,0))))))</f>
        <v>0</v>
      </c>
      <c r="CQ54" s="442">
        <f>IF($H54&lt;&gt;CS$5,0,IF(CS54&lt;0,IF(OR($J54=1,$J54=2,$J54=3,$J54=4,$J54=5,$J54=6,$J54=7),-$E54*$I54/12*3,IF($J54=8,-$E54*$I54/12*2,IF($J54=9,-$E54*$I54/12*1,0)))))+IF(CN$5&lt;&gt;$H54,0,IF(CN54&lt;0,IF($J54=7,-$E54*$I54/12*0,IF($J54=8,-$E54*$I54/12*1,IF($J54=9,-$E54*$I54/12*2,IF($J54&gt;=10,-$E54*$I54/12*3,0))))))</f>
        <v>0</v>
      </c>
      <c r="CR54" s="443">
        <f>IF($H54&lt;&gt;CS$5,0,IF(CS54&lt;0,IF(OR($J54=1,$J54=2,$J54=3,$J54=4,$J54=5,$J54=6,$J54=7,$J54=8,$J54=9,$J54=10),-$E54*$I54/12*3,IF($J54=11,-$E54*$I54/12*2,IF($J54=12,-$E54*$I54/12*1,0)))))+IF(CN$5&lt;&gt;$H54,0,IF(CN54&lt;0,IF($J54=10,-$E54*$I54/12*0,IF($J54=11,-$E54*$I54/12*1,IF($J54=12,-$E54*$I54/12*2,0)))))</f>
        <v>0</v>
      </c>
      <c r="CS54" s="440">
        <f>IF(AND(CN54&lt;&gt;0,CN$5=$H54),-$I54*$E54-CN54,IF(CS$5=$H54,-$I54*$E54*(12-$J54+1)/12,0))</f>
        <v>0</v>
      </c>
      <c r="CT54" s="441">
        <f>IF($H54&lt;&gt;CX$5,0,IF(CX54&lt;0,IF($J54=1,-$E54*$I54/12*3,IF($J54=2,-$E54*$I54/12*2,IF($J54=3,-$E54*$I54/12*1,0)))))+IF(CS$5&lt;&gt;$H54,0,IF(CS54&lt;0,IF($J54=1,-$E54*$I54/12*0,IF($J54=2,-$E54*$I54/12*1,IF($J54=3,-$E54*$I54/12*2,IF($J54&gt;=4,-$E54*$I54/12*3,0))))))</f>
        <v>0</v>
      </c>
      <c r="CU54" s="442">
        <f>IF($H54&lt;&gt;CX$5,0,IF(CX54&lt;0,IF(OR($J54=1,$J54=2,$J54=3,$J54=4),-$E54*$I54/12*3,IF($J54=5,-$E54*$I54/12*2,IF($J54=6,-$E54*$I54/12*1,0)))))+IF(CS$5&lt;&gt;$H54,0,IF(CS54&lt;0,IF($J54=4,-$E54*$I54/12*0,IF($J54=5,-$E54*$I54/12*1,IF($J54=6,-$E54*$I54/12*2,IF($J54&gt;=7,-$E54*$I54/12*3,0))))))</f>
        <v>0</v>
      </c>
      <c r="CV54" s="442">
        <f>IF($H54&lt;&gt;CX$5,0,IF(CX54&lt;0,IF(OR($J54=1,$J54=2,$J54=3,$J54=4,$J54=5,$J54=6,$J54=7),-$E54*$I54/12*3,IF($J54=8,-$E54*$I54/12*2,IF($J54=9,-$E54*$I54/12*1,0)))))+IF(CS$5&lt;&gt;$H54,0,IF(CS54&lt;0,IF($J54=7,-$E54*$I54/12*0,IF($J54=8,-$E54*$I54/12*1,IF($J54=9,-$E54*$I54/12*2,IF($J54&gt;=10,-$E54*$I54/12*3,0))))))</f>
        <v>0</v>
      </c>
      <c r="CW54" s="443">
        <f>IF($H54&lt;&gt;CX$5,0,IF(CX54&lt;0,IF(OR($J54=1,$J54=2,$J54=3,$J54=4,$J54=5,$J54=6,$J54=7,$J54=8,$J54=9,$J54=10),-$E54*$I54/12*3,IF($J54=11,-$E54*$I54/12*2,IF($J54=12,-$E54*$I54/12*1,0)))))+IF(CS$5&lt;&gt;$H54,0,IF(CS54&lt;0,IF($J54=10,-$E54*$I54/12*0,IF($J54=11,-$E54*$I54/12*1,IF($J54=12,-$E54*$I54/12*2,0)))))</f>
        <v>0</v>
      </c>
      <c r="CX54" s="440">
        <f>IF(AND(CS54&lt;&gt;0,CS$5=$H54),-$I54*$E54-CS54,IF(CX$5=$H54,-$I54*$E54*(12-$J54+1)/12,0))</f>
        <v>0</v>
      </c>
      <c r="CY54" s="441">
        <f>IF($H54&lt;&gt;DC$5,0,IF(DC54&lt;0,IF($J54=1,-$E54*$I54/12*3,IF($J54=2,-$E54*$I54/12*2,IF($J54=3,-$E54*$I54/12*1,0)))))+IF(CX$5&lt;&gt;$H54,0,IF(CX54&lt;0,IF($J54=1,-$E54*$I54/12*0,IF($J54=2,-$E54*$I54/12*1,IF($J54=3,-$E54*$I54/12*2,IF($J54&gt;=4,-$E54*$I54/12*3,0))))))</f>
        <v>0</v>
      </c>
      <c r="CZ54" s="442">
        <f>IF($H54&lt;&gt;DC$5,0,IF(DC54&lt;0,IF(OR($J54=1,$J54=2,$J54=3,$J54=4),-$E54*$I54/12*3,IF($J54=5,-$E54*$I54/12*2,IF($J54=6,-$E54*$I54/12*1,0)))))+IF(CX$5&lt;&gt;$H54,0,IF(CX54&lt;0,IF($J54=4,-$E54*$I54/12*0,IF($J54=5,-$E54*$I54/12*1,IF($J54=6,-$E54*$I54/12*2,IF($J54&gt;=7,-$E54*$I54/12*3,0))))))</f>
        <v>0</v>
      </c>
      <c r="DA54" s="442">
        <f>IF($H54&lt;&gt;DC$5,0,IF(DC54&lt;0,IF(OR($J54=1,$J54=2,$J54=3,$J54=4,$J54=5,$J54=6,$J54=7),-$E54*$I54/12*3,IF($J54=8,-$E54*$I54/12*2,IF($J54=9,-$E54*$I54/12*1,0)))))+IF(CX$5&lt;&gt;$H54,0,IF(CX54&lt;0,IF($J54=7,-$E54*$I54/12*0,IF($J54=8,-$E54*$I54/12*1,IF($J54=9,-$E54*$I54/12*2,IF($J54&gt;=10,-$E54*$I54/12*3,0))))))</f>
        <v>0</v>
      </c>
      <c r="DB54" s="443">
        <f>IF($H54&lt;&gt;DC$5,0,IF(DC54&lt;0,IF(OR($J54=1,$J54=2,$J54=3,$J54=4,$J54=5,$J54=6,$J54=7,$J54=8,$J54=9,$J54=10),-$E54*$I54/12*3,IF($J54=11,-$E54*$I54/12*2,IF($J54=12,-$E54*$I54/12*1,0)))))+IF(CX$5&lt;&gt;$H54,0,IF(CX54&lt;0,IF($J54=10,-$E54*$I54/12*0,IF($J54=11,-$E54*$I54/12*1,IF($J54=12,-$E54*$I54/12*2,0)))))</f>
        <v>0</v>
      </c>
      <c r="DC54" s="440">
        <f>IF(AND(CX54&lt;&gt;0,CX$5=$H54),-$I54*$E54-CX54,IF(DC$5=$H54,-$I54*$E54*(12-$J54+1)/12,0))</f>
        <v>0</v>
      </c>
      <c r="DD54" s="441">
        <f>IF($H54&lt;&gt;DH$5,0,IF(DH54&lt;0,IF($J54=1,-$E54*$I54/12*3,IF($J54=2,-$E54*$I54/12*2,IF($J54=3,-$E54*$I54/12*1,0)))))+IF(DC$5&lt;&gt;$H54,0,IF(DC54&lt;0,IF($J54=1,-$E54*$I54/12*0,IF($J54=2,-$E54*$I54/12*1,IF($J54=3,-$E54*$I54/12*2,IF($J54&gt;=4,-$E54*$I54/12*3,0))))))</f>
        <v>0</v>
      </c>
      <c r="DE54" s="442">
        <f>IF($H54&lt;&gt;DH$5,0,IF(DH54&lt;0,IF(OR($J54=1,$J54=2,$J54=3,$J54=4),-$E54*$I54/12*3,IF($J54=5,-$E54*$I54/12*2,IF($J54=6,-$E54*$I54/12*1,0)))))+IF(DC$5&lt;&gt;$H54,0,IF(DC54&lt;0,IF($J54=4,-$E54*$I54/12*0,IF($J54=5,-$E54*$I54/12*1,IF($J54=6,-$E54*$I54/12*2,IF($J54&gt;=7,-$E54*$I54/12*3,0))))))</f>
        <v>0</v>
      </c>
      <c r="DF54" s="442">
        <f>IF($H54&lt;&gt;DH$5,0,IF(DH54&lt;0,IF(OR($J54=1,$J54=2,$J54=3,$J54=4,$J54=5,$J54=6,$J54=7),-$E54*$I54/12*3,IF($J54=8,-$E54*$I54/12*2,IF($J54=9,-$E54*$I54/12*1,0)))))+IF(DC$5&lt;&gt;$H54,0,IF(DC54&lt;0,IF($J54=7,-$E54*$I54/12*0,IF($J54=8,-$E54*$I54/12*1,IF($J54=9,-$E54*$I54/12*2,IF($J54&gt;=10,-$E54*$I54/12*3,0))))))</f>
        <v>0</v>
      </c>
      <c r="DG54" s="443">
        <f>IF($H54&lt;&gt;DH$5,0,IF(DH54&lt;0,IF(OR($J54=1,$J54=2,$J54=3,$J54=4,$J54=5,$J54=6,$J54=7,$J54=8,$J54=9,$J54=10),-$E54*$I54/12*3,IF($J54=11,-$E54*$I54/12*2,IF($J54=12,-$E54*$I54/12*1,0)))))+IF(DC$5&lt;&gt;$H54,0,IF(DC54&lt;0,IF($J54=10,-$E54*$I54/12*0,IF($J54=11,-$E54*$I54/12*1,IF($J54=12,-$E54*$I54/12*2,0)))))</f>
        <v>0</v>
      </c>
      <c r="DH54" s="440">
        <f>IF(AND(DC54&lt;&gt;0,DC$5=$H54),-$I54*$E54-DC54,IF(DH$5=$H54,-$I54*$E54*(12-$J54+1)/12,0))</f>
        <v>0</v>
      </c>
      <c r="DI54" s="441">
        <f>IF($H54&lt;&gt;DM$5,0,IF(DM54&lt;0,IF($J54=1,-$E54*$I54/12*3,IF($J54=2,-$E54*$I54/12*2,IF($J54=3,-$E54*$I54/12*1,0)))))+IF(DH$5&lt;&gt;$H54,0,IF(DH54&lt;0,IF($J54=1,-$E54*$I54/12*0,IF($J54=2,-$E54*$I54/12*1,IF($J54=3,-$E54*$I54/12*2,IF($J54&gt;=4,-$E54*$I54/12*3,0))))))</f>
        <v>0</v>
      </c>
      <c r="DJ54" s="442">
        <f>IF($H54&lt;&gt;DM$5,0,IF(DM54&lt;0,IF(OR($J54=1,$J54=2,$J54=3,$J54=4),-$E54*$I54/12*3,IF($J54=5,-$E54*$I54/12*2,IF($J54=6,-$E54*$I54/12*1,0)))))+IF(DH$5&lt;&gt;$H54,0,IF(DH54&lt;0,IF($J54=4,-$E54*$I54/12*0,IF($J54=5,-$E54*$I54/12*1,IF($J54=6,-$E54*$I54/12*2,IF($J54&gt;=7,-$E54*$I54/12*3,0))))))</f>
        <v>0</v>
      </c>
      <c r="DK54" s="442">
        <f>IF($H54&lt;&gt;DM$5,0,IF(DM54&lt;0,IF(OR($J54=1,$J54=2,$J54=3,$J54=4,$J54=5,$J54=6,$J54=7),-$E54*$I54/12*3,IF($J54=8,-$E54*$I54/12*2,IF($J54=9,-$E54*$I54/12*1,0)))))+IF(DH$5&lt;&gt;$H54,0,IF(DH54&lt;0,IF($J54=7,-$E54*$I54/12*0,IF($J54=8,-$E54*$I54/12*1,IF($J54=9,-$E54*$I54/12*2,IF($J54&gt;=10,-$E54*$I54/12*3,0))))))</f>
        <v>0</v>
      </c>
      <c r="DL54" s="443">
        <f>IF($H54&lt;&gt;DM$5,0,IF(DM54&lt;0,IF(OR($J54=1,$J54=2,$J54=3,$J54=4,$J54=5,$J54=6,$J54=7,$J54=8,$J54=9,$J54=10),-$E54*$I54/12*3,IF($J54=11,-$E54*$I54/12*2,IF($J54=12,-$E54*$I54/12*1,0)))))+IF(DH$5&lt;&gt;$H54,0,IF(DH54&lt;0,IF($J54=10,-$E54*$I54/12*0,IF($J54=11,-$E54*$I54/12*1,IF($J54=12,-$E54*$I54/12*2,0)))))</f>
        <v>0</v>
      </c>
      <c r="DM54" s="440">
        <f>IF(AND(DH54&lt;&gt;0,DH$5=$H54),-$I54*$E54-DH54,IF(DM$5=$H54,-$I54*$E54*(12-$J54+1)/12,0))</f>
        <v>0</v>
      </c>
      <c r="DN54" s="441">
        <f>IF($H54&lt;&gt;DR$5,0,IF(DR54&lt;0,IF($J54=1,-$E54*$I54/12*3,IF($J54=2,-$E54*$I54/12*2,IF($J54=3,-$E54*$I54/12*1,0)))))+IF(DM$5&lt;&gt;$H54,0,IF(DM54&lt;0,IF($J54=1,-$E54*$I54/12*0,IF($J54=2,-$E54*$I54/12*1,IF($J54=3,-$E54*$I54/12*2,IF($J54&gt;=4,-$E54*$I54/12*3,0))))))</f>
        <v>0</v>
      </c>
      <c r="DO54" s="442">
        <f>IF($H54&lt;&gt;DR$5,0,IF(DR54&lt;0,IF(OR($J54=1,$J54=2,$J54=3,$J54=4),-$E54*$I54/12*3,IF($J54=5,-$E54*$I54/12*2,IF($J54=6,-$E54*$I54/12*1,0)))))+IF(DM$5&lt;&gt;$H54,0,IF(DM54&lt;0,IF($J54=4,-$E54*$I54/12*0,IF($J54=5,-$E54*$I54/12*1,IF($J54=6,-$E54*$I54/12*2,IF($J54&gt;=7,-$E54*$I54/12*3,0))))))</f>
        <v>0</v>
      </c>
      <c r="DP54" s="442">
        <f>IF($H54&lt;&gt;DR$5,0,IF(DR54&lt;0,IF(OR($J54=1,$J54=2,$J54=3,$J54=4,$J54=5,$J54=6,$J54=7),-$E54*$I54/12*3,IF($J54=8,-$E54*$I54/12*2,IF($J54=9,-$E54*$I54/12*1,0)))))+IF(DM$5&lt;&gt;$H54,0,IF(DM54&lt;0,IF($J54=7,-$E54*$I54/12*0,IF($J54=8,-$E54*$I54/12*1,IF($J54=9,-$E54*$I54/12*2,IF($J54&gt;=10,-$E54*$I54/12*3,0))))))</f>
        <v>0</v>
      </c>
      <c r="DQ54" s="443">
        <f>IF($H54&lt;&gt;DR$5,0,IF(DR54&lt;0,IF(OR($J54=1,$J54=2,$J54=3,$J54=4,$J54=5,$J54=6,$J54=7,$J54=8,$J54=9,$J54=10),-$E54*$I54/12*3,IF($J54=11,-$E54*$I54/12*2,IF($J54=12,-$E54*$I54/12*1,0)))))+IF(DM$5&lt;&gt;$H54,0,IF(DM54&lt;0,IF($J54=10,-$E54*$I54/12*0,IF($J54=11,-$E54*$I54/12*1,IF($J54=12,-$E54*$I54/12*2,0)))))</f>
        <v>0</v>
      </c>
      <c r="DR54" s="440">
        <f>IF(AND(DM54&lt;&gt;0,DM$5=$H54),-$I54*$E54-DM54,IF(DR$5=$H54,-$I54*$E54*(12-$J54+1)/12,0))</f>
        <v>0</v>
      </c>
    </row>
    <row r="55" spans="1:122" ht="12.75" customHeight="1">
      <c r="A55" s="92"/>
      <c r="B55" s="92"/>
      <c r="C55" s="1123" t="s">
        <v>667</v>
      </c>
      <c r="D55" s="395"/>
      <c r="E55" s="865">
        <f>IF(F55=0,G55,F55)</f>
        <v>73.5</v>
      </c>
      <c r="F55" s="1945">
        <v>73.5</v>
      </c>
      <c r="G55" s="1945">
        <v>73.5</v>
      </c>
      <c r="H55" s="1308">
        <v>2037</v>
      </c>
      <c r="I55" s="1948">
        <v>5.5E-2</v>
      </c>
      <c r="J55" s="1357">
        <v>10</v>
      </c>
      <c r="K55" s="549"/>
      <c r="L55" s="441">
        <f>IF(P55=0,0,IF(P55&lt;0,IF($J55=3,P55,IF($J55=2,P55,IF($J55=1,P55,0)))))</f>
        <v>0</v>
      </c>
      <c r="M55" s="442">
        <f>IF(P55=0,0,IF(P55&lt;0,IF($J55=6,P55,IF($J55=5,P55,IF($J55=4,P55,0)))))</f>
        <v>0</v>
      </c>
      <c r="N55" s="442">
        <f>IF(P55=0,0,IF(P55&lt;0,IF($J55=9,P55,IF($J55=8,P55,IF($J55=7,P55,0)))))</f>
        <v>0</v>
      </c>
      <c r="O55" s="443">
        <f>IF(P55=0,0,IF(P55&lt;0,IF($J55=12,P55,IF($J55=11,P55,IF($J55=10,P55,0)))))</f>
        <v>0</v>
      </c>
      <c r="P55" s="440">
        <f>IF(P$5=$H55,-$E55,0)</f>
        <v>0</v>
      </c>
      <c r="Q55" s="441">
        <f>IF(U55=0,0,IF(U55&lt;0,IF($J55=3,U55,IF($J55=2,U55,IF($J55=1,U55,0)))))</f>
        <v>0</v>
      </c>
      <c r="R55" s="442">
        <f>IF(U55=0,0,IF(U55&lt;0,IF($J55=6,U55,IF($J55=5,U55,IF($J55=4,U55,0)))))</f>
        <v>0</v>
      </c>
      <c r="S55" s="442">
        <f>IF(U55=0,0,IF(U55&lt;0,IF($J55=9,U55,IF($J55=8,U55,IF($J55=7,U55,0)))))</f>
        <v>0</v>
      </c>
      <c r="T55" s="443">
        <f>IF(U55=0,0,IF(U55&lt;0,IF($J55=12,U55,IF($J55=11,U55,IF($J55=10,U55,0)))))</f>
        <v>0</v>
      </c>
      <c r="U55" s="440">
        <f>IF(U$5=$H55,-$E55,0)</f>
        <v>0</v>
      </c>
      <c r="V55" s="441">
        <f>IF(Z55=0,0,IF(Z55&lt;0,IF($J55=3,Z55,IF($J55=2,Z55,IF($J55=1,Z55,0)))))</f>
        <v>0</v>
      </c>
      <c r="W55" s="442">
        <f>IF(Z55=0,0,IF(Z55&lt;0,IF($J55=6,Z55,IF($J55=5,Z55,IF($J55=4,Z55,0)))))</f>
        <v>0</v>
      </c>
      <c r="X55" s="442">
        <f>IF(Z55=0,0,IF(Z55&lt;0,IF($J55=9,Z55,IF($J55=8,Z55,IF($J55=7,Z55,0)))))</f>
        <v>0</v>
      </c>
      <c r="Y55" s="443">
        <f>IF(Z55=0,0,IF(Z55&lt;0,IF($J55=12,Z55,IF($J55=11,Z55,IF($J55=10,Z55,0)))))</f>
        <v>0</v>
      </c>
      <c r="Z55" s="440">
        <f>IF(Z$5=$H55,-$E55,0)</f>
        <v>0</v>
      </c>
      <c r="AA55" s="441">
        <f>IF(AE55=0,0,IF(AE55&lt;0,IF($J55=3,AE55,IF($J55=2,AE55,IF($J55=1,AE55,0)))))</f>
        <v>0</v>
      </c>
      <c r="AB55" s="442">
        <f>IF(AE55=0,0,IF(AE55&lt;0,IF($J55=6,AE55,IF($J55=5,AE55,IF($J55=4,AE55,0)))))</f>
        <v>0</v>
      </c>
      <c r="AC55" s="442">
        <f>IF(AE55=0,0,IF(AE55&lt;0,IF($J55=9,AE55,IF($J55=8,AE55,IF($J55=7,AE55,0)))))</f>
        <v>0</v>
      </c>
      <c r="AD55" s="443">
        <f>IF(AE55=0,0,IF(AE55&lt;0,IF($J55=12,AE55,IF($J55=11,AE55,IF($J55=10,AE55,0)))))</f>
        <v>0</v>
      </c>
      <c r="AE55" s="440">
        <f>IF(AE$5=$H55,-$E55,0)</f>
        <v>0</v>
      </c>
      <c r="AF55" s="441">
        <f>IF(AJ55=0,0,IF(AJ55&lt;0,IF($J55=3,AJ55,IF($J55=2,AJ55,IF($J55=1,AJ55,0)))))</f>
        <v>0</v>
      </c>
      <c r="AG55" s="442">
        <f>IF(AJ55=0,0,IF(AJ55&lt;0,IF($J55=6,AJ55,IF($J55=5,AJ55,IF($J55=4,AJ55,0)))))</f>
        <v>0</v>
      </c>
      <c r="AH55" s="442">
        <f>IF(AJ55=0,0,IF(AJ55&lt;0,IF($J55=9,AJ55,IF($J55=8,AJ55,IF($J55=7,AJ55,0)))))</f>
        <v>0</v>
      </c>
      <c r="AI55" s="443">
        <f>IF(AJ55=0,0,IF(AJ55&lt;0,IF($J55=12,AJ55,IF($J55=11,AJ55,IF($J55=10,AJ55,0)))))</f>
        <v>0</v>
      </c>
      <c r="AJ55" s="440">
        <f>IF(AJ$5=$H55,-$E55,0)</f>
        <v>0</v>
      </c>
      <c r="AK55" s="441">
        <f>IF(AO55=0,0,IF(AO55&lt;0,IF($J55=3,AO55,IF($J55=2,AO55,IF($J55=1,AO55,0)))))</f>
        <v>0</v>
      </c>
      <c r="AL55" s="442">
        <f>IF(AO55=0,0,IF(AO55&lt;0,IF($J55=6,AO55,IF($J55=5,AO55,IF($J55=4,AO55,0)))))</f>
        <v>0</v>
      </c>
      <c r="AM55" s="442">
        <f>IF(AO55=0,0,IF(AO55&lt;0,IF($J55=9,AO55,IF($J55=8,AO55,IF($J55=7,AO55,0)))))</f>
        <v>0</v>
      </c>
      <c r="AN55" s="443">
        <f>IF(AO55=0,0,IF(AO55&lt;0,IF($J55=12,AO55,IF($J55=11,AO55,IF($J55=10,AO55,0)))))</f>
        <v>0</v>
      </c>
      <c r="AO55" s="440">
        <f>IF(AO$5=$H55,-$E55,0)</f>
        <v>0</v>
      </c>
      <c r="AP55" s="441">
        <f>IF(AT55=0,0,IF(AT55&lt;0,IF($J55=3,AT55,IF($J55=2,AT55,IF($J55=1,AT55,0)))))</f>
        <v>0</v>
      </c>
      <c r="AQ55" s="442">
        <f>IF(AT55=0,0,IF(AT55&lt;0,IF($J55=6,AT55,IF($J55=5,AT55,IF($J55=4,AT55,0)))))</f>
        <v>0</v>
      </c>
      <c r="AR55" s="442">
        <f>IF(AT55=0,0,IF(AT55&lt;0,IF($J55=9,AT55,IF($J55=8,AT55,IF($J55=7,AT55,0)))))</f>
        <v>0</v>
      </c>
      <c r="AS55" s="443">
        <f>IF(AT55=0,0,IF(AT55&lt;0,IF($J55=12,AT55,IF($J55=11,AT55,IF($J55=10,AT55,0)))))</f>
        <v>0</v>
      </c>
      <c r="AT55" s="440">
        <f>IF(AT$5=$H55,-$E55,0)</f>
        <v>0</v>
      </c>
      <c r="AU55" s="441">
        <f>IF(AY55=0,0,IF(AY55&lt;0,IF($J55=3,AY55,IF($J55=2,AY55,IF($J55=1,AY55,0)))))</f>
        <v>0</v>
      </c>
      <c r="AV55" s="442">
        <f>IF(AY55=0,0,IF(AY55&lt;0,IF($J55=6,AY55,IF($J55=5,AY55,IF($J55=4,AY55,0)))))</f>
        <v>0</v>
      </c>
      <c r="AW55" s="442">
        <f>IF(AY55=0,0,IF(AY55&lt;0,IF($J55=9,AY55,IF($J55=8,AY55,IF($J55=7,AY55,0)))))</f>
        <v>0</v>
      </c>
      <c r="AX55" s="443">
        <f>IF(AY55=0,0,IF(AY55&lt;0,IF($J55=12,AY55,IF($J55=11,AY55,IF($J55=10,AY55,0)))))</f>
        <v>0</v>
      </c>
      <c r="AY55" s="440">
        <f>IF(AY$5=$H55,-$E55,0)</f>
        <v>0</v>
      </c>
      <c r="AZ55" s="441">
        <f>IF(BD55=0,0,IF(BD55&lt;0,IF($J55=3,BD55,IF($J55=2,BD55,IF($J55=1,BD55,0)))))</f>
        <v>0</v>
      </c>
      <c r="BA55" s="442">
        <f>IF(BD55=0,0,IF(BD55&lt;0,IF($J55=6,BD55,IF($J55=5,BD55,IF($J55=4,BD55,0)))))</f>
        <v>0</v>
      </c>
      <c r="BB55" s="442">
        <f>IF(BD55=0,0,IF(BD55&lt;0,IF($J55=9,BD55,IF($J55=8,BD55,IF($J55=7,BD55,0)))))</f>
        <v>0</v>
      </c>
      <c r="BC55" s="443">
        <f>IF(BD55=0,0,IF(BD55&lt;0,IF($J55=12,BD55,IF($J55=11,BD55,IF($J55=10,BD55,0)))))</f>
        <v>0</v>
      </c>
      <c r="BD55" s="440">
        <f>IF(BD$5=$H55,-$E55,0)</f>
        <v>0</v>
      </c>
      <c r="BE55" s="441">
        <f>IF(BI55=0,0,IF(BI55&lt;0,IF($J55=3,BI55,IF($J55=2,BI55,IF($J55=1,BI55,0)))))</f>
        <v>0</v>
      </c>
      <c r="BF55" s="442">
        <f>IF(BI55=0,0,IF(BI55&lt;0,IF($J55=6,BI55,IF($J55=5,BI55,IF($J55=4,BI55,0)))))</f>
        <v>0</v>
      </c>
      <c r="BG55" s="442">
        <f>IF(BI55=0,0,IF(BI55&lt;0,IF($J55=9,BI55,IF($J55=8,BI55,IF($J55=7,BI55,0)))))</f>
        <v>0</v>
      </c>
      <c r="BH55" s="443">
        <f>IF(BI55=0,0,IF(BI55&lt;0,IF($J55=12,BI55,IF($J55=11,BI55,IF($J55=10,BI55,0)))))</f>
        <v>0</v>
      </c>
      <c r="BI55" s="440">
        <f>IF(BI$5=$H55,-$E55,0)</f>
        <v>0</v>
      </c>
      <c r="BJ55" s="441">
        <f>IF(BN55=0,0,IF(BN55&lt;0,IF($J55=3,BN55,IF($J55=2,BN55,IF($J55=1,BN55,0)))))</f>
        <v>0</v>
      </c>
      <c r="BK55" s="442">
        <f>IF(BN55=0,0,IF(BN55&lt;0,IF($J55=6,BN55,IF($J55=5,BN55,IF($J55=4,BN55,0)))))</f>
        <v>0</v>
      </c>
      <c r="BL55" s="442">
        <f>IF(BN55=0,0,IF(BN55&lt;0,IF($J55=9,BN55,IF($J55=8,BN55,IF($J55=7,BN55,0)))))</f>
        <v>0</v>
      </c>
      <c r="BM55" s="443">
        <f>IF(BN55=0,0,IF(BN55&lt;0,IF($J55=12,BN55,IF($J55=11,BN55,IF($J55=10,BN55,0)))))</f>
        <v>0</v>
      </c>
      <c r="BN55" s="440">
        <f>IF(BN$5=$H55,-$E55,0)</f>
        <v>0</v>
      </c>
      <c r="BO55" s="470"/>
      <c r="BP55" s="441">
        <f>IF($H55&lt;&gt;BT$5,0,IF(BT55&lt;0,IF($J55=1,-$E55*$I55/12*3,IF($J55=2,-$E55*$I55/12*2,IF($J55=3,-$E55*$I55/12*1,0)))))+IF(BO$5&lt;&gt;$H55,0,IF(BO55&lt;0,IF($J55=1,-$E55*$I55/12*0,IF($J55=2,-$E55*$I55/12*1,IF($J55=3,-$E55*$I55/12*2,IF($J55&gt;=4,-$E55*$I55/12*3,0))))))</f>
        <v>0</v>
      </c>
      <c r="BQ55" s="442">
        <f>IF($H55&lt;&gt;BT$5,0,IF(BT55&lt;0,IF(OR($J55=1,$J55=2,$J55=3,$J55=4),-$E55*$I55/12*3,IF($J55=5,-$E55*$I55/12*2,IF($J55=6,-$E55*$I55/12*1,0)))))+IF(BO$5&lt;&gt;$H55,0,IF(BO55&lt;0,IF($J55=4,-$E55*$I55/12*0,IF($J55=5,-$E55*$I55/12*1,IF($J55=6,-$E55*$I55/12*2,IF($J55&gt;=7,-$E55*$I55/12*3,0))))))</f>
        <v>0</v>
      </c>
      <c r="BR55" s="442">
        <f>IF($H55&lt;&gt;BT$5,0,IF(BT55&lt;0,IF(OR($J55=1,$J55=2,$J55=3,$J55=4,$J55=5,$J55=6,$J55=7),-$E55*$I55/12*3,IF($J55=8,-$E55*$I55/12*2,IF($J55=9,-$E55*$I55/12*1,0)))))+IF(BO$5&lt;&gt;$H55,0,IF(BO55&lt;0,IF($J55=7,-$E55*$I55/12*0,IF($J55=8,-$E55*$I55/12*1,IF($J55=9,-$E55*$I55/12*2,IF($J55&gt;=10,-$E55*$I55/12*3,0))))))</f>
        <v>0</v>
      </c>
      <c r="BS55" s="443">
        <f>IF($H55&lt;&gt;BT$5,0,IF(BT55&lt;0,IF(OR($J55=1,$J55=2,$J55=3,$J55=4,$J55=5,$J55=6,$J55=7,$J55=8,$J55=9,$J55=10),-$E55*$I55/12*3,IF($J55=11,-$E55*$I55/12*2,IF($J55=12,-$E55*$I55/12*1,0)))))+IF(BO$5&lt;&gt;$H55,0,IF(BO55&lt;0,IF($J55=10,-$E55*$I55/12*0,IF($J55=11,-$E55*$I55/12*1,IF($J55=12,-$E55*$I55/12*2,0)))))</f>
        <v>0</v>
      </c>
      <c r="BT55" s="440">
        <f>IF(AND(BO55&lt;&gt;0,BO$5=$H55),-$I55*$E55-BO55,IF(BT$5=$H55,-$I55*$E55*(12-$J55+1)/12,0))</f>
        <v>0</v>
      </c>
      <c r="BU55" s="441">
        <f>IF($H55&lt;&gt;BY$5,0,IF(BY55&lt;0,IF($J55=1,-$E55*$I55/12*3,IF($J55=2,-$E55*$I55/12*2,IF($J55=3,-$E55*$I55/12*1,0)))))+IF(BT$5&lt;&gt;$H55,0,IF(BT55&lt;0,IF($J55=1,-$E55*$I55/12*0,IF($J55=2,-$E55*$I55/12*1,IF($J55=3,-$E55*$I55/12*2,IF($J55&gt;=4,-$E55*$I55/12*3,0))))))</f>
        <v>0</v>
      </c>
      <c r="BV55" s="442">
        <f>IF($H55&lt;&gt;BY$5,0,IF(BY55&lt;0,IF(OR($J55=1,$J55=2,$J55=3,$J55=4),-$E55*$I55/12*3,IF($J55=5,-$E55*$I55/12*2,IF($J55=6,-$E55*$I55/12*1,0)))))+IF(BT$5&lt;&gt;$H55,0,IF(BT55&lt;0,IF($J55=4,-$E55*$I55/12*0,IF($J55=5,-$E55*$I55/12*1,IF($J55=6,-$E55*$I55/12*2,IF($J55&gt;=7,-$E55*$I55/12*3,0))))))</f>
        <v>0</v>
      </c>
      <c r="BW55" s="442">
        <f>IF($H55&lt;&gt;BY$5,0,IF(BY55&lt;0,IF(OR($J55=1,$J55=2,$J55=3,$J55=4,$J55=5,$J55=6,$J55=7),-$E55*$I55/12*3,IF($J55=8,-$E55*$I55/12*2,IF($J55=9,-$E55*$I55/12*1,0)))))+IF(BT$5&lt;&gt;$H55,0,IF(BT55&lt;0,IF($J55=7,-$E55*$I55/12*0,IF($J55=8,-$E55*$I55/12*1,IF($J55=9,-$E55*$I55/12*2,IF($J55&gt;=10,-$E55*$I55/12*3,0))))))</f>
        <v>0</v>
      </c>
      <c r="BX55" s="443">
        <f>IF($H55&lt;&gt;BY$5,0,IF(BY55&lt;0,IF(OR($J55=1,$J55=2,$J55=3,$J55=4,$J55=5,$J55=6,$J55=7,$J55=8,$J55=9,$J55=10),-$E55*$I55/12*3,IF($J55=11,-$E55*$I55/12*2,IF($J55=12,-$E55*$I55/12*1,0)))))+IF(BT$5&lt;&gt;$H55,0,IF(BT55&lt;0,IF($J55=10,-$E55*$I55/12*0,IF($J55=11,-$E55*$I55/12*1,IF($J55=12,-$E55*$I55/12*2,0)))))</f>
        <v>0</v>
      </c>
      <c r="BY55" s="440">
        <f>IF(AND(BT55&lt;&gt;0,BT$5=$H55),-$I55*$E55-BT55,IF(BY$5=$H55,-$I55*$E55*(12-$J55+1)/12,0))</f>
        <v>0</v>
      </c>
      <c r="BZ55" s="441">
        <f>IF($H55&lt;&gt;CD$5,0,IF(CD55&lt;0,IF($J55=1,-$E55*$I55/12*3,IF($J55=2,-$E55*$I55/12*2,IF($J55=3,-$E55*$I55/12*1,0)))))+IF(BY$5&lt;&gt;$H55,0,IF(BY55&lt;0,IF($J55=1,-$E55*$I55/12*0,IF($J55=2,-$E55*$I55/12*1,IF($J55=3,-$E55*$I55/12*2,IF($J55&gt;=4,-$E55*$I55/12*3,0))))))</f>
        <v>0</v>
      </c>
      <c r="CA55" s="442">
        <f>IF($H55&lt;&gt;CD$5,0,IF(CD55&lt;0,IF(OR($J55=1,$J55=2,$J55=3,$J55=4),-$E55*$I55/12*3,IF($J55=5,-$E55*$I55/12*2,IF($J55=6,-$E55*$I55/12*1,0)))))+IF(BY$5&lt;&gt;$H55,0,IF(BY55&lt;0,IF($J55=4,-$E55*$I55/12*0,IF($J55=5,-$E55*$I55/12*1,IF($J55=6,-$E55*$I55/12*2,IF($J55&gt;=7,-$E55*$I55/12*3,0))))))</f>
        <v>0</v>
      </c>
      <c r="CB55" s="442">
        <f>IF($H55&lt;&gt;CD$5,0,IF(CD55&lt;0,IF(OR($J55=1,$J55=2,$J55=3,$J55=4,$J55=5,$J55=6,$J55=7),-$E55*$I55/12*3,IF($J55=8,-$E55*$I55/12*2,IF($J55=9,-$E55*$I55/12*1,0)))))+IF(BY$5&lt;&gt;$H55,0,IF(BY55&lt;0,IF($J55=7,-$E55*$I55/12*0,IF($J55=8,-$E55*$I55/12*1,IF($J55=9,-$E55*$I55/12*2,IF($J55&gt;=10,-$E55*$I55/12*3,0))))))</f>
        <v>0</v>
      </c>
      <c r="CC55" s="443">
        <f>IF($H55&lt;&gt;CD$5,0,IF(CD55&lt;0,IF(OR($J55=1,$J55=2,$J55=3,$J55=4,$J55=5,$J55=6,$J55=7,$J55=8,$J55=9,$J55=10),-$E55*$I55/12*3,IF($J55=11,-$E55*$I55/12*2,IF($J55=12,-$E55*$I55/12*1,0)))))+IF(BY$5&lt;&gt;$H55,0,IF(BY55&lt;0,IF($J55=10,-$E55*$I55/12*0,IF($J55=11,-$E55*$I55/12*1,IF($J55=12,-$E55*$I55/12*2,0)))))</f>
        <v>0</v>
      </c>
      <c r="CD55" s="440">
        <f>IF(AND(BY55&lt;&gt;0,BY$5=$H55),-$I55*$E55-BY55,IF(CD$5=$H55,-$I55*$E55*(12-$J55+1)/12,0))</f>
        <v>0</v>
      </c>
      <c r="CE55" s="441">
        <f>IF($H55&lt;&gt;CI$5,0,IF(CI55&lt;0,IF($J55=1,-$E55*$I55/12*3,IF($J55=2,-$E55*$I55/12*2,IF($J55=3,-$E55*$I55/12*1,0)))))+IF(CD$5&lt;&gt;$H55,0,IF(CD55&lt;0,IF($J55=1,-$E55*$I55/12*0,IF($J55=2,-$E55*$I55/12*1,IF($J55=3,-$E55*$I55/12*2,IF($J55&gt;=4,-$E55*$I55/12*3,0))))))</f>
        <v>0</v>
      </c>
      <c r="CF55" s="442">
        <f>IF($H55&lt;&gt;CI$5,0,IF(CI55&lt;0,IF(OR($J55=1,$J55=2,$J55=3,$J55=4),-$E55*$I55/12*3,IF($J55=5,-$E55*$I55/12*2,IF($J55=6,-$E55*$I55/12*1,0)))))+IF(CD$5&lt;&gt;$H55,0,IF(CD55&lt;0,IF($J55=4,-$E55*$I55/12*0,IF($J55=5,-$E55*$I55/12*1,IF($J55=6,-$E55*$I55/12*2,IF($J55&gt;=7,-$E55*$I55/12*3,0))))))</f>
        <v>0</v>
      </c>
      <c r="CG55" s="442">
        <f>IF($H55&lt;&gt;CI$5,0,IF(CI55&lt;0,IF(OR($J55=1,$J55=2,$J55=3,$J55=4,$J55=5,$J55=6,$J55=7),-$E55*$I55/12*3,IF($J55=8,-$E55*$I55/12*2,IF($J55=9,-$E55*$I55/12*1,0)))))+IF(CD$5&lt;&gt;$H55,0,IF(CD55&lt;0,IF($J55=7,-$E55*$I55/12*0,IF($J55=8,-$E55*$I55/12*1,IF($J55=9,-$E55*$I55/12*2,IF($J55&gt;=10,-$E55*$I55/12*3,0))))))</f>
        <v>0</v>
      </c>
      <c r="CH55" s="443">
        <f>IF($H55&lt;&gt;CI$5,0,IF(CI55&lt;0,IF(OR($J55=1,$J55=2,$J55=3,$J55=4,$J55=5,$J55=6,$J55=7,$J55=8,$J55=9,$J55=10),-$E55*$I55/12*3,IF($J55=11,-$E55*$I55/12*2,IF($J55=12,-$E55*$I55/12*1,0)))))+IF(CD$5&lt;&gt;$H55,0,IF(CD55&lt;0,IF($J55=10,-$E55*$I55/12*0,IF($J55=11,-$E55*$I55/12*1,IF($J55=12,-$E55*$I55/12*2,0)))))</f>
        <v>0</v>
      </c>
      <c r="CI55" s="440">
        <f>IF(AND(CD55&lt;&gt;0,CD$5=$H55),-$I55*$E55-CD55,IF(CI$5=$H55,-$I55*$E55*(12-$J55+1)/12,0))</f>
        <v>0</v>
      </c>
      <c r="CJ55" s="441">
        <f>IF($H55&lt;&gt;CN$5,0,IF(CN55&lt;0,IF($J55=1,-$E55*$I55/12*3,IF($J55=2,-$E55*$I55/12*2,IF($J55=3,-$E55*$I55/12*1,0)))))+IF(CI$5&lt;&gt;$H55,0,IF(CI55&lt;0,IF($J55=1,-$E55*$I55/12*0,IF($J55=2,-$E55*$I55/12*1,IF($J55=3,-$E55*$I55/12*2,IF($J55&gt;=4,-$E55*$I55/12*3,0))))))</f>
        <v>0</v>
      </c>
      <c r="CK55" s="442">
        <f>IF($H55&lt;&gt;CN$5,0,IF(CN55&lt;0,IF(OR($J55=1,$J55=2,$J55=3,$J55=4),-$E55*$I55/12*3,IF($J55=5,-$E55*$I55/12*2,IF($J55=6,-$E55*$I55/12*1,0)))))+IF(CI$5&lt;&gt;$H55,0,IF(CI55&lt;0,IF($J55=4,-$E55*$I55/12*0,IF($J55=5,-$E55*$I55/12*1,IF($J55=6,-$E55*$I55/12*2,IF($J55&gt;=7,-$E55*$I55/12*3,0))))))</f>
        <v>0</v>
      </c>
      <c r="CL55" s="442">
        <f>IF($H55&lt;&gt;CN$5,0,IF(CN55&lt;0,IF(OR($J55=1,$J55=2,$J55=3,$J55=4,$J55=5,$J55=6,$J55=7),-$E55*$I55/12*3,IF($J55=8,-$E55*$I55/12*2,IF($J55=9,-$E55*$I55/12*1,0)))))+IF(CI$5&lt;&gt;$H55,0,IF(CI55&lt;0,IF($J55=7,-$E55*$I55/12*0,IF($J55=8,-$E55*$I55/12*1,IF($J55=9,-$E55*$I55/12*2,IF($J55&gt;=10,-$E55*$I55/12*3,0))))))</f>
        <v>0</v>
      </c>
      <c r="CM55" s="443">
        <f>IF($H55&lt;&gt;CN$5,0,IF(CN55&lt;0,IF(OR($J55=1,$J55=2,$J55=3,$J55=4,$J55=5,$J55=6,$J55=7,$J55=8,$J55=9,$J55=10),-$E55*$I55/12*3,IF($J55=11,-$E55*$I55/12*2,IF($J55=12,-$E55*$I55/12*1,0)))))+IF(CI$5&lt;&gt;$H55,0,IF(CI55&lt;0,IF($J55=10,-$E55*$I55/12*0,IF($J55=11,-$E55*$I55/12*1,IF($J55=12,-$E55*$I55/12*2,0)))))</f>
        <v>0</v>
      </c>
      <c r="CN55" s="440">
        <f>IF(AND(CI55&lt;&gt;0,CI$5=$H55),-$I55*$E55-CI55,IF(CN$5=$H55,-$I55*$E55*(12-$J55+1)/12,0))</f>
        <v>0</v>
      </c>
      <c r="CO55" s="441">
        <f>IF($H55&lt;&gt;CS$5,0,IF(CS55&lt;0,IF($J55=1,-$E55*$I55/12*3,IF($J55=2,-$E55*$I55/12*2,IF($J55=3,-$E55*$I55/12*1,0)))))+IF(CN$5&lt;&gt;$H55,0,IF(CN55&lt;0,IF($J55=1,-$E55*$I55/12*0,IF($J55=2,-$E55*$I55/12*1,IF($J55=3,-$E55*$I55/12*2,IF($J55&gt;=4,-$E55*$I55/12*3,0))))))</f>
        <v>0</v>
      </c>
      <c r="CP55" s="442">
        <f>IF($H55&lt;&gt;CS$5,0,IF(CS55&lt;0,IF(OR($J55=1,$J55=2,$J55=3,$J55=4),-$E55*$I55/12*3,IF($J55=5,-$E55*$I55/12*2,IF($J55=6,-$E55*$I55/12*1,0)))))+IF(CN$5&lt;&gt;$H55,0,IF(CN55&lt;0,IF($J55=4,-$E55*$I55/12*0,IF($J55=5,-$E55*$I55/12*1,IF($J55=6,-$E55*$I55/12*2,IF($J55&gt;=7,-$E55*$I55/12*3,0))))))</f>
        <v>0</v>
      </c>
      <c r="CQ55" s="442">
        <f>IF($H55&lt;&gt;CS$5,0,IF(CS55&lt;0,IF(OR($J55=1,$J55=2,$J55=3,$J55=4,$J55=5,$J55=6,$J55=7),-$E55*$I55/12*3,IF($J55=8,-$E55*$I55/12*2,IF($J55=9,-$E55*$I55/12*1,0)))))+IF(CN$5&lt;&gt;$H55,0,IF(CN55&lt;0,IF($J55=7,-$E55*$I55/12*0,IF($J55=8,-$E55*$I55/12*1,IF($J55=9,-$E55*$I55/12*2,IF($J55&gt;=10,-$E55*$I55/12*3,0))))))</f>
        <v>0</v>
      </c>
      <c r="CR55" s="443">
        <f>IF($H55&lt;&gt;CS$5,0,IF(CS55&lt;0,IF(OR($J55=1,$J55=2,$J55=3,$J55=4,$J55=5,$J55=6,$J55=7,$J55=8,$J55=9,$J55=10),-$E55*$I55/12*3,IF($J55=11,-$E55*$I55/12*2,IF($J55=12,-$E55*$I55/12*1,0)))))+IF(CN$5&lt;&gt;$H55,0,IF(CN55&lt;0,IF($J55=10,-$E55*$I55/12*0,IF($J55=11,-$E55*$I55/12*1,IF($J55=12,-$E55*$I55/12*2,0)))))</f>
        <v>0</v>
      </c>
      <c r="CS55" s="440">
        <f>IF(AND(CN55&lt;&gt;0,CN$5=$H55),-$I55*$E55-CN55,IF(CS$5=$H55,-$I55*$E55*(12-$J55+1)/12,0))</f>
        <v>0</v>
      </c>
      <c r="CT55" s="441">
        <f>IF($H55&lt;&gt;CX$5,0,IF(CX55&lt;0,IF($J55=1,-$E55*$I55/12*3,IF($J55=2,-$E55*$I55/12*2,IF($J55=3,-$E55*$I55/12*1,0)))))+IF(CS$5&lt;&gt;$H55,0,IF(CS55&lt;0,IF($J55=1,-$E55*$I55/12*0,IF($J55=2,-$E55*$I55/12*1,IF($J55=3,-$E55*$I55/12*2,IF($J55&gt;=4,-$E55*$I55/12*3,0))))))</f>
        <v>0</v>
      </c>
      <c r="CU55" s="442">
        <f>IF($H55&lt;&gt;CX$5,0,IF(CX55&lt;0,IF(OR($J55=1,$J55=2,$J55=3,$J55=4),-$E55*$I55/12*3,IF($J55=5,-$E55*$I55/12*2,IF($J55=6,-$E55*$I55/12*1,0)))))+IF(CS$5&lt;&gt;$H55,0,IF(CS55&lt;0,IF($J55=4,-$E55*$I55/12*0,IF($J55=5,-$E55*$I55/12*1,IF($J55=6,-$E55*$I55/12*2,IF($J55&gt;=7,-$E55*$I55/12*3,0))))))</f>
        <v>0</v>
      </c>
      <c r="CV55" s="442">
        <f>IF($H55&lt;&gt;CX$5,0,IF(CX55&lt;0,IF(OR($J55=1,$J55=2,$J55=3,$J55=4,$J55=5,$J55=6,$J55=7),-$E55*$I55/12*3,IF($J55=8,-$E55*$I55/12*2,IF($J55=9,-$E55*$I55/12*1,0)))))+IF(CS$5&lt;&gt;$H55,0,IF(CS55&lt;0,IF($J55=7,-$E55*$I55/12*0,IF($J55=8,-$E55*$I55/12*1,IF($J55=9,-$E55*$I55/12*2,IF($J55&gt;=10,-$E55*$I55/12*3,0))))))</f>
        <v>0</v>
      </c>
      <c r="CW55" s="443">
        <f>IF($H55&lt;&gt;CX$5,0,IF(CX55&lt;0,IF(OR($J55=1,$J55=2,$J55=3,$J55=4,$J55=5,$J55=6,$J55=7,$J55=8,$J55=9,$J55=10),-$E55*$I55/12*3,IF($J55=11,-$E55*$I55/12*2,IF($J55=12,-$E55*$I55/12*1,0)))))+IF(CS$5&lt;&gt;$H55,0,IF(CS55&lt;0,IF($J55=10,-$E55*$I55/12*0,IF($J55=11,-$E55*$I55/12*1,IF($J55=12,-$E55*$I55/12*2,0)))))</f>
        <v>0</v>
      </c>
      <c r="CX55" s="440">
        <f>IF(AND(CS55&lt;&gt;0,CS$5=$H55),-$I55*$E55-CS55,IF(CX$5=$H55,-$I55*$E55*(12-$J55+1)/12,0))</f>
        <v>0</v>
      </c>
      <c r="CY55" s="441">
        <f>IF($H55&lt;&gt;DC$5,0,IF(DC55&lt;0,IF($J55=1,-$E55*$I55/12*3,IF($J55=2,-$E55*$I55/12*2,IF($J55=3,-$E55*$I55/12*1,0)))))+IF(CX$5&lt;&gt;$H55,0,IF(CX55&lt;0,IF($J55=1,-$E55*$I55/12*0,IF($J55=2,-$E55*$I55/12*1,IF($J55=3,-$E55*$I55/12*2,IF($J55&gt;=4,-$E55*$I55/12*3,0))))))</f>
        <v>0</v>
      </c>
      <c r="CZ55" s="442">
        <f>IF($H55&lt;&gt;DC$5,0,IF(DC55&lt;0,IF(OR($J55=1,$J55=2,$J55=3,$J55=4),-$E55*$I55/12*3,IF($J55=5,-$E55*$I55/12*2,IF($J55=6,-$E55*$I55/12*1,0)))))+IF(CX$5&lt;&gt;$H55,0,IF(CX55&lt;0,IF($J55=4,-$E55*$I55/12*0,IF($J55=5,-$E55*$I55/12*1,IF($J55=6,-$E55*$I55/12*2,IF($J55&gt;=7,-$E55*$I55/12*3,0))))))</f>
        <v>0</v>
      </c>
      <c r="DA55" s="442">
        <f>IF($H55&lt;&gt;DC$5,0,IF(DC55&lt;0,IF(OR($J55=1,$J55=2,$J55=3,$J55=4,$J55=5,$J55=6,$J55=7),-$E55*$I55/12*3,IF($J55=8,-$E55*$I55/12*2,IF($J55=9,-$E55*$I55/12*1,0)))))+IF(CX$5&lt;&gt;$H55,0,IF(CX55&lt;0,IF($J55=7,-$E55*$I55/12*0,IF($J55=8,-$E55*$I55/12*1,IF($J55=9,-$E55*$I55/12*2,IF($J55&gt;=10,-$E55*$I55/12*3,0))))))</f>
        <v>0</v>
      </c>
      <c r="DB55" s="443">
        <f>IF($H55&lt;&gt;DC$5,0,IF(DC55&lt;0,IF(OR($J55=1,$J55=2,$J55=3,$J55=4,$J55=5,$J55=6,$J55=7,$J55=8,$J55=9,$J55=10),-$E55*$I55/12*3,IF($J55=11,-$E55*$I55/12*2,IF($J55=12,-$E55*$I55/12*1,0)))))+IF(CX$5&lt;&gt;$H55,0,IF(CX55&lt;0,IF($J55=10,-$E55*$I55/12*0,IF($J55=11,-$E55*$I55/12*1,IF($J55=12,-$E55*$I55/12*2,0)))))</f>
        <v>0</v>
      </c>
      <c r="DC55" s="440">
        <f>IF(AND(CX55&lt;&gt;0,CX$5=$H55),-$I55*$E55-CX55,IF(DC$5=$H55,-$I55*$E55*(12-$J55+1)/12,0))</f>
        <v>0</v>
      </c>
      <c r="DD55" s="441">
        <f>IF($H55&lt;&gt;DH$5,0,IF(DH55&lt;0,IF($J55=1,-$E55*$I55/12*3,IF($J55=2,-$E55*$I55/12*2,IF($J55=3,-$E55*$I55/12*1,0)))))+IF(DC$5&lt;&gt;$H55,0,IF(DC55&lt;0,IF($J55=1,-$E55*$I55/12*0,IF($J55=2,-$E55*$I55/12*1,IF($J55=3,-$E55*$I55/12*2,IF($J55&gt;=4,-$E55*$I55/12*3,0))))))</f>
        <v>0</v>
      </c>
      <c r="DE55" s="442">
        <f>IF($H55&lt;&gt;DH$5,0,IF(DH55&lt;0,IF(OR($J55=1,$J55=2,$J55=3,$J55=4),-$E55*$I55/12*3,IF($J55=5,-$E55*$I55/12*2,IF($J55=6,-$E55*$I55/12*1,0)))))+IF(DC$5&lt;&gt;$H55,0,IF(DC55&lt;0,IF($J55=4,-$E55*$I55/12*0,IF($J55=5,-$E55*$I55/12*1,IF($J55=6,-$E55*$I55/12*2,IF($J55&gt;=7,-$E55*$I55/12*3,0))))))</f>
        <v>0</v>
      </c>
      <c r="DF55" s="442">
        <f>IF($H55&lt;&gt;DH$5,0,IF(DH55&lt;0,IF(OR($J55=1,$J55=2,$J55=3,$J55=4,$J55=5,$J55=6,$J55=7),-$E55*$I55/12*3,IF($J55=8,-$E55*$I55/12*2,IF($J55=9,-$E55*$I55/12*1,0)))))+IF(DC$5&lt;&gt;$H55,0,IF(DC55&lt;0,IF($J55=7,-$E55*$I55/12*0,IF($J55=8,-$E55*$I55/12*1,IF($J55=9,-$E55*$I55/12*2,IF($J55&gt;=10,-$E55*$I55/12*3,0))))))</f>
        <v>0</v>
      </c>
      <c r="DG55" s="443">
        <f>IF($H55&lt;&gt;DH$5,0,IF(DH55&lt;0,IF(OR($J55=1,$J55=2,$J55=3,$J55=4,$J55=5,$J55=6,$J55=7,$J55=8,$J55=9,$J55=10),-$E55*$I55/12*3,IF($J55=11,-$E55*$I55/12*2,IF($J55=12,-$E55*$I55/12*1,0)))))+IF(DC$5&lt;&gt;$H55,0,IF(DC55&lt;0,IF($J55=10,-$E55*$I55/12*0,IF($J55=11,-$E55*$I55/12*1,IF($J55=12,-$E55*$I55/12*2,0)))))</f>
        <v>0</v>
      </c>
      <c r="DH55" s="440">
        <f>IF(AND(DC55&lt;&gt;0,DC$5=$H55),-$I55*$E55-DC55,IF(DH$5=$H55,-$I55*$E55*(12-$J55+1)/12,0))</f>
        <v>0</v>
      </c>
      <c r="DI55" s="441">
        <f>IF($H55&lt;&gt;DM$5,0,IF(DM55&lt;0,IF($J55=1,-$E55*$I55/12*3,IF($J55=2,-$E55*$I55/12*2,IF($J55=3,-$E55*$I55/12*1,0)))))+IF(DH$5&lt;&gt;$H55,0,IF(DH55&lt;0,IF($J55=1,-$E55*$I55/12*0,IF($J55=2,-$E55*$I55/12*1,IF($J55=3,-$E55*$I55/12*2,IF($J55&gt;=4,-$E55*$I55/12*3,0))))))</f>
        <v>0</v>
      </c>
      <c r="DJ55" s="442">
        <f>IF($H55&lt;&gt;DM$5,0,IF(DM55&lt;0,IF(OR($J55=1,$J55=2,$J55=3,$J55=4),-$E55*$I55/12*3,IF($J55=5,-$E55*$I55/12*2,IF($J55=6,-$E55*$I55/12*1,0)))))+IF(DH$5&lt;&gt;$H55,0,IF(DH55&lt;0,IF($J55=4,-$E55*$I55/12*0,IF($J55=5,-$E55*$I55/12*1,IF($J55=6,-$E55*$I55/12*2,IF($J55&gt;=7,-$E55*$I55/12*3,0))))))</f>
        <v>0</v>
      </c>
      <c r="DK55" s="442">
        <f>IF($H55&lt;&gt;DM$5,0,IF(DM55&lt;0,IF(OR($J55=1,$J55=2,$J55=3,$J55=4,$J55=5,$J55=6,$J55=7),-$E55*$I55/12*3,IF($J55=8,-$E55*$I55/12*2,IF($J55=9,-$E55*$I55/12*1,0)))))+IF(DH$5&lt;&gt;$H55,0,IF(DH55&lt;0,IF($J55=7,-$E55*$I55/12*0,IF($J55=8,-$E55*$I55/12*1,IF($J55=9,-$E55*$I55/12*2,IF($J55&gt;=10,-$E55*$I55/12*3,0))))))</f>
        <v>0</v>
      </c>
      <c r="DL55" s="443">
        <f>IF($H55&lt;&gt;DM$5,0,IF(DM55&lt;0,IF(OR($J55=1,$J55=2,$J55=3,$J55=4,$J55=5,$J55=6,$J55=7,$J55=8,$J55=9,$J55=10),-$E55*$I55/12*3,IF($J55=11,-$E55*$I55/12*2,IF($J55=12,-$E55*$I55/12*1,0)))))+IF(DH$5&lt;&gt;$H55,0,IF(DH55&lt;0,IF($J55=10,-$E55*$I55/12*0,IF($J55=11,-$E55*$I55/12*1,IF($J55=12,-$E55*$I55/12*2,0)))))</f>
        <v>0</v>
      </c>
      <c r="DM55" s="440">
        <f>IF(AND(DH55&lt;&gt;0,DH$5=$H55),-$I55*$E55-DH55,IF(DM$5=$H55,-$I55*$E55*(12-$J55+1)/12,0))</f>
        <v>0</v>
      </c>
      <c r="DN55" s="441">
        <f>IF($H55&lt;&gt;DR$5,0,IF(DR55&lt;0,IF($J55=1,-$E55*$I55/12*3,IF($J55=2,-$E55*$I55/12*2,IF($J55=3,-$E55*$I55/12*1,0)))))+IF(DM$5&lt;&gt;$H55,0,IF(DM55&lt;0,IF($J55=1,-$E55*$I55/12*0,IF($J55=2,-$E55*$I55/12*1,IF($J55=3,-$E55*$I55/12*2,IF($J55&gt;=4,-$E55*$I55/12*3,0))))))</f>
        <v>0</v>
      </c>
      <c r="DO55" s="442">
        <f>IF($H55&lt;&gt;DR$5,0,IF(DR55&lt;0,IF(OR($J55=1,$J55=2,$J55=3,$J55=4),-$E55*$I55/12*3,IF($J55=5,-$E55*$I55/12*2,IF($J55=6,-$E55*$I55/12*1,0)))))+IF(DM$5&lt;&gt;$H55,0,IF(DM55&lt;0,IF($J55=4,-$E55*$I55/12*0,IF($J55=5,-$E55*$I55/12*1,IF($J55=6,-$E55*$I55/12*2,IF($J55&gt;=7,-$E55*$I55/12*3,0))))))</f>
        <v>0</v>
      </c>
      <c r="DP55" s="442">
        <f>IF($H55&lt;&gt;DR$5,0,IF(DR55&lt;0,IF(OR($J55=1,$J55=2,$J55=3,$J55=4,$J55=5,$J55=6,$J55=7),-$E55*$I55/12*3,IF($J55=8,-$E55*$I55/12*2,IF($J55=9,-$E55*$I55/12*1,0)))))+IF(DM$5&lt;&gt;$H55,0,IF(DM55&lt;0,IF($J55=7,-$E55*$I55/12*0,IF($J55=8,-$E55*$I55/12*1,IF($J55=9,-$E55*$I55/12*2,IF($J55&gt;=10,-$E55*$I55/12*3,0))))))</f>
        <v>0</v>
      </c>
      <c r="DQ55" s="443">
        <f>IF($H55&lt;&gt;DR$5,0,IF(DR55&lt;0,IF(OR($J55=1,$J55=2,$J55=3,$J55=4,$J55=5,$J55=6,$J55=7,$J55=8,$J55=9,$J55=10),-$E55*$I55/12*3,IF($J55=11,-$E55*$I55/12*2,IF($J55=12,-$E55*$I55/12*1,0)))))+IF(DM$5&lt;&gt;$H55,0,IF(DM55&lt;0,IF($J55=10,-$E55*$I55/12*0,IF($J55=11,-$E55*$I55/12*1,IF($J55=12,-$E55*$I55/12*2,0)))))</f>
        <v>0</v>
      </c>
      <c r="DR55" s="440">
        <f>IF(AND(DM55&lt;&gt;0,DM$5=$H55),-$I55*$E55-DM55,IF(DR$5=$H55,-$I55*$E55*(12-$J55+1)/12,0))</f>
        <v>0</v>
      </c>
    </row>
    <row r="56" spans="1:122" ht="12.75" customHeight="1">
      <c r="A56" s="92"/>
      <c r="B56" s="92"/>
      <c r="C56" s="1123" t="s">
        <v>668</v>
      </c>
      <c r="D56" s="395"/>
      <c r="E56" s="865">
        <f>IF(F56=0,G56,F56)</f>
        <v>142</v>
      </c>
      <c r="F56" s="1945">
        <v>142</v>
      </c>
      <c r="G56" s="1945">
        <v>142</v>
      </c>
      <c r="H56" s="1308">
        <v>2037</v>
      </c>
      <c r="I56" s="1948">
        <v>5.2499999999999998E-2</v>
      </c>
      <c r="J56" s="1357">
        <v>10</v>
      </c>
      <c r="K56" s="549"/>
      <c r="L56" s="441">
        <f>IF(P56=0,0,IF(P56&lt;0,IF($J56=3,P56,IF($J56=2,P56,IF($J56=1,P56,0)))))</f>
        <v>0</v>
      </c>
      <c r="M56" s="442">
        <f>IF(P56=0,0,IF(P56&lt;0,IF($J56=6,P56,IF($J56=5,P56,IF($J56=4,P56,0)))))</f>
        <v>0</v>
      </c>
      <c r="N56" s="442">
        <f>IF(P56=0,0,IF(P56&lt;0,IF($J56=9,P56,IF($J56=8,P56,IF($J56=7,P56,0)))))</f>
        <v>0</v>
      </c>
      <c r="O56" s="443">
        <f>IF(P56=0,0,IF(P56&lt;0,IF($J56=12,P56,IF($J56=11,P56,IF($J56=10,P56,0)))))</f>
        <v>0</v>
      </c>
      <c r="P56" s="440">
        <f>IF(P$5=$H56,-$E56,0)</f>
        <v>0</v>
      </c>
      <c r="Q56" s="441">
        <f>IF(U56=0,0,IF(U56&lt;0,IF($J56=3,U56,IF($J56=2,U56,IF($J56=1,U56,0)))))</f>
        <v>0</v>
      </c>
      <c r="R56" s="442">
        <f>IF(U56=0,0,IF(U56&lt;0,IF($J56=6,U56,IF($J56=5,U56,IF($J56=4,U56,0)))))</f>
        <v>0</v>
      </c>
      <c r="S56" s="442">
        <f>IF(U56=0,0,IF(U56&lt;0,IF($J56=9,U56,IF($J56=8,U56,IF($J56=7,U56,0)))))</f>
        <v>0</v>
      </c>
      <c r="T56" s="443">
        <f>IF(U56=0,0,IF(U56&lt;0,IF($J56=12,U56,IF($J56=11,U56,IF($J56=10,U56,0)))))</f>
        <v>0</v>
      </c>
      <c r="U56" s="440">
        <f>IF(U$5=$H56,-$E56,0)</f>
        <v>0</v>
      </c>
      <c r="V56" s="441">
        <f>IF(Z56=0,0,IF(Z56&lt;0,IF($J56=3,Z56,IF($J56=2,Z56,IF($J56=1,Z56,0)))))</f>
        <v>0</v>
      </c>
      <c r="W56" s="442">
        <f>IF(Z56=0,0,IF(Z56&lt;0,IF($J56=6,Z56,IF($J56=5,Z56,IF($J56=4,Z56,0)))))</f>
        <v>0</v>
      </c>
      <c r="X56" s="442">
        <f>IF(Z56=0,0,IF(Z56&lt;0,IF($J56=9,Z56,IF($J56=8,Z56,IF($J56=7,Z56,0)))))</f>
        <v>0</v>
      </c>
      <c r="Y56" s="443">
        <f>IF(Z56=0,0,IF(Z56&lt;0,IF($J56=12,Z56,IF($J56=11,Z56,IF($J56=10,Z56,0)))))</f>
        <v>0</v>
      </c>
      <c r="Z56" s="440">
        <f>IF(Z$5=$H56,-$E56,0)</f>
        <v>0</v>
      </c>
      <c r="AA56" s="441">
        <f>IF(AE56=0,0,IF(AE56&lt;0,IF($J56=3,AE56,IF($J56=2,AE56,IF($J56=1,AE56,0)))))</f>
        <v>0</v>
      </c>
      <c r="AB56" s="442">
        <f>IF(AE56=0,0,IF(AE56&lt;0,IF($J56=6,AE56,IF($J56=5,AE56,IF($J56=4,AE56,0)))))</f>
        <v>0</v>
      </c>
      <c r="AC56" s="442">
        <f>IF(AE56=0,0,IF(AE56&lt;0,IF($J56=9,AE56,IF($J56=8,AE56,IF($J56=7,AE56,0)))))</f>
        <v>0</v>
      </c>
      <c r="AD56" s="443">
        <f>IF(AE56=0,0,IF(AE56&lt;0,IF($J56=12,AE56,IF($J56=11,AE56,IF($J56=10,AE56,0)))))</f>
        <v>0</v>
      </c>
      <c r="AE56" s="440">
        <f>IF(AE$5=$H56,-$E56,0)</f>
        <v>0</v>
      </c>
      <c r="AF56" s="441">
        <f>IF(AJ56=0,0,IF(AJ56&lt;0,IF($J56=3,AJ56,IF($J56=2,AJ56,IF($J56=1,AJ56,0)))))</f>
        <v>0</v>
      </c>
      <c r="AG56" s="442">
        <f>IF(AJ56=0,0,IF(AJ56&lt;0,IF($J56=6,AJ56,IF($J56=5,AJ56,IF($J56=4,AJ56,0)))))</f>
        <v>0</v>
      </c>
      <c r="AH56" s="442">
        <f>IF(AJ56=0,0,IF(AJ56&lt;0,IF($J56=9,AJ56,IF($J56=8,AJ56,IF($J56=7,AJ56,0)))))</f>
        <v>0</v>
      </c>
      <c r="AI56" s="443">
        <f>IF(AJ56=0,0,IF(AJ56&lt;0,IF($J56=12,AJ56,IF($J56=11,AJ56,IF($J56=10,AJ56,0)))))</f>
        <v>0</v>
      </c>
      <c r="AJ56" s="440">
        <f>IF(AJ$5=$H56,-$E56,0)</f>
        <v>0</v>
      </c>
      <c r="AK56" s="441">
        <f>IF(AO56=0,0,IF(AO56&lt;0,IF($J56=3,AO56,IF($J56=2,AO56,IF($J56=1,AO56,0)))))</f>
        <v>0</v>
      </c>
      <c r="AL56" s="442">
        <f>IF(AO56=0,0,IF(AO56&lt;0,IF($J56=6,AO56,IF($J56=5,AO56,IF($J56=4,AO56,0)))))</f>
        <v>0</v>
      </c>
      <c r="AM56" s="442">
        <f>IF(AO56=0,0,IF(AO56&lt;0,IF($J56=9,AO56,IF($J56=8,AO56,IF($J56=7,AO56,0)))))</f>
        <v>0</v>
      </c>
      <c r="AN56" s="443">
        <f>IF(AO56=0,0,IF(AO56&lt;0,IF($J56=12,AO56,IF($J56=11,AO56,IF($J56=10,AO56,0)))))</f>
        <v>0</v>
      </c>
      <c r="AO56" s="440">
        <f>IF(AO$5=$H56,-$E56,0)</f>
        <v>0</v>
      </c>
      <c r="AP56" s="441">
        <f>IF(AT56=0,0,IF(AT56&lt;0,IF($J56=3,AT56,IF($J56=2,AT56,IF($J56=1,AT56,0)))))</f>
        <v>0</v>
      </c>
      <c r="AQ56" s="442">
        <f>IF(AT56=0,0,IF(AT56&lt;0,IF($J56=6,AT56,IF($J56=5,AT56,IF($J56=4,AT56,0)))))</f>
        <v>0</v>
      </c>
      <c r="AR56" s="442">
        <f>IF(AT56=0,0,IF(AT56&lt;0,IF($J56=9,AT56,IF($J56=8,AT56,IF($J56=7,AT56,0)))))</f>
        <v>0</v>
      </c>
      <c r="AS56" s="443">
        <f>IF(AT56=0,0,IF(AT56&lt;0,IF($J56=12,AT56,IF($J56=11,AT56,IF($J56=10,AT56,0)))))</f>
        <v>0</v>
      </c>
      <c r="AT56" s="440">
        <f>IF(AT$5=$H56,-$E56,0)</f>
        <v>0</v>
      </c>
      <c r="AU56" s="441">
        <f>IF(AY56=0,0,IF(AY56&lt;0,IF($J56=3,AY56,IF($J56=2,AY56,IF($J56=1,AY56,0)))))</f>
        <v>0</v>
      </c>
      <c r="AV56" s="442">
        <f>IF(AY56=0,0,IF(AY56&lt;0,IF($J56=6,AY56,IF($J56=5,AY56,IF($J56=4,AY56,0)))))</f>
        <v>0</v>
      </c>
      <c r="AW56" s="442">
        <f>IF(AY56=0,0,IF(AY56&lt;0,IF($J56=9,AY56,IF($J56=8,AY56,IF($J56=7,AY56,0)))))</f>
        <v>0</v>
      </c>
      <c r="AX56" s="443">
        <f>IF(AY56=0,0,IF(AY56&lt;0,IF($J56=12,AY56,IF($J56=11,AY56,IF($J56=10,AY56,0)))))</f>
        <v>0</v>
      </c>
      <c r="AY56" s="440">
        <f>IF(AY$5=$H56,-$E56,0)</f>
        <v>0</v>
      </c>
      <c r="AZ56" s="441">
        <f>IF(BD56=0,0,IF(BD56&lt;0,IF($J56=3,BD56,IF($J56=2,BD56,IF($J56=1,BD56,0)))))</f>
        <v>0</v>
      </c>
      <c r="BA56" s="442">
        <f>IF(BD56=0,0,IF(BD56&lt;0,IF($J56=6,BD56,IF($J56=5,BD56,IF($J56=4,BD56,0)))))</f>
        <v>0</v>
      </c>
      <c r="BB56" s="442">
        <f>IF(BD56=0,0,IF(BD56&lt;0,IF($J56=9,BD56,IF($J56=8,BD56,IF($J56=7,BD56,0)))))</f>
        <v>0</v>
      </c>
      <c r="BC56" s="443">
        <f>IF(BD56=0,0,IF(BD56&lt;0,IF($J56=12,BD56,IF($J56=11,BD56,IF($J56=10,BD56,0)))))</f>
        <v>0</v>
      </c>
      <c r="BD56" s="440">
        <f>IF(BD$5=$H56,-$E56,0)</f>
        <v>0</v>
      </c>
      <c r="BE56" s="441">
        <f>IF(BI56=0,0,IF(BI56&lt;0,IF($J56=3,BI56,IF($J56=2,BI56,IF($J56=1,BI56,0)))))</f>
        <v>0</v>
      </c>
      <c r="BF56" s="442">
        <f>IF(BI56=0,0,IF(BI56&lt;0,IF($J56=6,BI56,IF($J56=5,BI56,IF($J56=4,BI56,0)))))</f>
        <v>0</v>
      </c>
      <c r="BG56" s="442">
        <f>IF(BI56=0,0,IF(BI56&lt;0,IF($J56=9,BI56,IF($J56=8,BI56,IF($J56=7,BI56,0)))))</f>
        <v>0</v>
      </c>
      <c r="BH56" s="443">
        <f>IF(BI56=0,0,IF(BI56&lt;0,IF($J56=12,BI56,IF($J56=11,BI56,IF($J56=10,BI56,0)))))</f>
        <v>0</v>
      </c>
      <c r="BI56" s="440">
        <f>IF(BI$5=$H56,-$E56,0)</f>
        <v>0</v>
      </c>
      <c r="BJ56" s="441">
        <f>IF(BN56=0,0,IF(BN56&lt;0,IF($J56=3,BN56,IF($J56=2,BN56,IF($J56=1,BN56,0)))))</f>
        <v>0</v>
      </c>
      <c r="BK56" s="442">
        <f>IF(BN56=0,0,IF(BN56&lt;0,IF($J56=6,BN56,IF($J56=5,BN56,IF($J56=4,BN56,0)))))</f>
        <v>0</v>
      </c>
      <c r="BL56" s="442">
        <f>IF(BN56=0,0,IF(BN56&lt;0,IF($J56=9,BN56,IF($J56=8,BN56,IF($J56=7,BN56,0)))))</f>
        <v>0</v>
      </c>
      <c r="BM56" s="443">
        <f>IF(BN56=0,0,IF(BN56&lt;0,IF($J56=12,BN56,IF($J56=11,BN56,IF($J56=10,BN56,0)))))</f>
        <v>0</v>
      </c>
      <c r="BN56" s="440">
        <f>IF(BN$5=$H56,-$E56,0)</f>
        <v>0</v>
      </c>
      <c r="BO56" s="470"/>
      <c r="BP56" s="441">
        <f>IF($H56&lt;&gt;BT$5,0,IF(BT56&lt;0,IF($J56=1,-$E56*$I56/12*3,IF($J56=2,-$E56*$I56/12*2,IF($J56=3,-$E56*$I56/12*1,0)))))+IF(BO$5&lt;&gt;$H56,0,IF(BO56&lt;0,IF($J56=1,-$E56*$I56/12*0,IF($J56=2,-$E56*$I56/12*1,IF($J56=3,-$E56*$I56/12*2,IF($J56&gt;=4,-$E56*$I56/12*3,0))))))</f>
        <v>0</v>
      </c>
      <c r="BQ56" s="442">
        <f>IF($H56&lt;&gt;BT$5,0,IF(BT56&lt;0,IF(OR($J56=1,$J56=2,$J56=3,$J56=4),-$E56*$I56/12*3,IF($J56=5,-$E56*$I56/12*2,IF($J56=6,-$E56*$I56/12*1,0)))))+IF(BO$5&lt;&gt;$H56,0,IF(BO56&lt;0,IF($J56=4,-$E56*$I56/12*0,IF($J56=5,-$E56*$I56/12*1,IF($J56=6,-$E56*$I56/12*2,IF($J56&gt;=7,-$E56*$I56/12*3,0))))))</f>
        <v>0</v>
      </c>
      <c r="BR56" s="442">
        <f>IF($H56&lt;&gt;BT$5,0,IF(BT56&lt;0,IF(OR($J56=1,$J56=2,$J56=3,$J56=4,$J56=5,$J56=6,$J56=7),-$E56*$I56/12*3,IF($J56=8,-$E56*$I56/12*2,IF($J56=9,-$E56*$I56/12*1,0)))))+IF(BO$5&lt;&gt;$H56,0,IF(BO56&lt;0,IF($J56=7,-$E56*$I56/12*0,IF($J56=8,-$E56*$I56/12*1,IF($J56=9,-$E56*$I56/12*2,IF($J56&gt;=10,-$E56*$I56/12*3,0))))))</f>
        <v>0</v>
      </c>
      <c r="BS56" s="443">
        <f>IF($H56&lt;&gt;BT$5,0,IF(BT56&lt;0,IF(OR($J56=1,$J56=2,$J56=3,$J56=4,$J56=5,$J56=6,$J56=7,$J56=8,$J56=9,$J56=10),-$E56*$I56/12*3,IF($J56=11,-$E56*$I56/12*2,IF($J56=12,-$E56*$I56/12*1,0)))))+IF(BO$5&lt;&gt;$H56,0,IF(BO56&lt;0,IF($J56=10,-$E56*$I56/12*0,IF($J56=11,-$E56*$I56/12*1,IF($J56=12,-$E56*$I56/12*2,0)))))</f>
        <v>0</v>
      </c>
      <c r="BT56" s="440">
        <f>IF(AND(BO56&lt;&gt;0,BO$5=$H56),-$I56*$E56-BO56,IF(BT$5=$H56,-$I56*$E56*(12-$J56+1)/12,0))</f>
        <v>0</v>
      </c>
      <c r="BU56" s="441">
        <f>IF($H56&lt;&gt;BY$5,0,IF(BY56&lt;0,IF($J56=1,-$E56*$I56/12*3,IF($J56=2,-$E56*$I56/12*2,IF($J56=3,-$E56*$I56/12*1,0)))))+IF(BT$5&lt;&gt;$H56,0,IF(BT56&lt;0,IF($J56=1,-$E56*$I56/12*0,IF($J56=2,-$E56*$I56/12*1,IF($J56=3,-$E56*$I56/12*2,IF($J56&gt;=4,-$E56*$I56/12*3,0))))))</f>
        <v>0</v>
      </c>
      <c r="BV56" s="442">
        <f>IF($H56&lt;&gt;BY$5,0,IF(BY56&lt;0,IF(OR($J56=1,$J56=2,$J56=3,$J56=4),-$E56*$I56/12*3,IF($J56=5,-$E56*$I56/12*2,IF($J56=6,-$E56*$I56/12*1,0)))))+IF(BT$5&lt;&gt;$H56,0,IF(BT56&lt;0,IF($J56=4,-$E56*$I56/12*0,IF($J56=5,-$E56*$I56/12*1,IF($J56=6,-$E56*$I56/12*2,IF($J56&gt;=7,-$E56*$I56/12*3,0))))))</f>
        <v>0</v>
      </c>
      <c r="BW56" s="442">
        <f>IF($H56&lt;&gt;BY$5,0,IF(BY56&lt;0,IF(OR($J56=1,$J56=2,$J56=3,$J56=4,$J56=5,$J56=6,$J56=7),-$E56*$I56/12*3,IF($J56=8,-$E56*$I56/12*2,IF($J56=9,-$E56*$I56/12*1,0)))))+IF(BT$5&lt;&gt;$H56,0,IF(BT56&lt;0,IF($J56=7,-$E56*$I56/12*0,IF($J56=8,-$E56*$I56/12*1,IF($J56=9,-$E56*$I56/12*2,IF($J56&gt;=10,-$E56*$I56/12*3,0))))))</f>
        <v>0</v>
      </c>
      <c r="BX56" s="443">
        <f>IF($H56&lt;&gt;BY$5,0,IF(BY56&lt;0,IF(OR($J56=1,$J56=2,$J56=3,$J56=4,$J56=5,$J56=6,$J56=7,$J56=8,$J56=9,$J56=10),-$E56*$I56/12*3,IF($J56=11,-$E56*$I56/12*2,IF($J56=12,-$E56*$I56/12*1,0)))))+IF(BT$5&lt;&gt;$H56,0,IF(BT56&lt;0,IF($J56=10,-$E56*$I56/12*0,IF($J56=11,-$E56*$I56/12*1,IF($J56=12,-$E56*$I56/12*2,0)))))</f>
        <v>0</v>
      </c>
      <c r="BY56" s="440">
        <f>IF(AND(BT56&lt;&gt;0,BT$5=$H56),-$I56*$E56-BT56,IF(BY$5=$H56,-$I56*$E56*(12-$J56+1)/12,0))</f>
        <v>0</v>
      </c>
      <c r="BZ56" s="441">
        <f>IF($H56&lt;&gt;CD$5,0,IF(CD56&lt;0,IF($J56=1,-$E56*$I56/12*3,IF($J56=2,-$E56*$I56/12*2,IF($J56=3,-$E56*$I56/12*1,0)))))+IF(BY$5&lt;&gt;$H56,0,IF(BY56&lt;0,IF($J56=1,-$E56*$I56/12*0,IF($J56=2,-$E56*$I56/12*1,IF($J56=3,-$E56*$I56/12*2,IF($J56&gt;=4,-$E56*$I56/12*3,0))))))</f>
        <v>0</v>
      </c>
      <c r="CA56" s="442">
        <f>IF($H56&lt;&gt;CD$5,0,IF(CD56&lt;0,IF(OR($J56=1,$J56=2,$J56=3,$J56=4),-$E56*$I56/12*3,IF($J56=5,-$E56*$I56/12*2,IF($J56=6,-$E56*$I56/12*1,0)))))+IF(BY$5&lt;&gt;$H56,0,IF(BY56&lt;0,IF($J56=4,-$E56*$I56/12*0,IF($J56=5,-$E56*$I56/12*1,IF($J56=6,-$E56*$I56/12*2,IF($J56&gt;=7,-$E56*$I56/12*3,0))))))</f>
        <v>0</v>
      </c>
      <c r="CB56" s="442">
        <f>IF($H56&lt;&gt;CD$5,0,IF(CD56&lt;0,IF(OR($J56=1,$J56=2,$J56=3,$J56=4,$J56=5,$J56=6,$J56=7),-$E56*$I56/12*3,IF($J56=8,-$E56*$I56/12*2,IF($J56=9,-$E56*$I56/12*1,0)))))+IF(BY$5&lt;&gt;$H56,0,IF(BY56&lt;0,IF($J56=7,-$E56*$I56/12*0,IF($J56=8,-$E56*$I56/12*1,IF($J56=9,-$E56*$I56/12*2,IF($J56&gt;=10,-$E56*$I56/12*3,0))))))</f>
        <v>0</v>
      </c>
      <c r="CC56" s="443">
        <f>IF($H56&lt;&gt;CD$5,0,IF(CD56&lt;0,IF(OR($J56=1,$J56=2,$J56=3,$J56=4,$J56=5,$J56=6,$J56=7,$J56=8,$J56=9,$J56=10),-$E56*$I56/12*3,IF($J56=11,-$E56*$I56/12*2,IF($J56=12,-$E56*$I56/12*1,0)))))+IF(BY$5&lt;&gt;$H56,0,IF(BY56&lt;0,IF($J56=10,-$E56*$I56/12*0,IF($J56=11,-$E56*$I56/12*1,IF($J56=12,-$E56*$I56/12*2,0)))))</f>
        <v>0</v>
      </c>
      <c r="CD56" s="440">
        <f>IF(AND(BY56&lt;&gt;0,BY$5=$H56),-$I56*$E56-BY56,IF(CD$5=$H56,-$I56*$E56*(12-$J56+1)/12,0))</f>
        <v>0</v>
      </c>
      <c r="CE56" s="441">
        <f>IF($H56&lt;&gt;CI$5,0,IF(CI56&lt;0,IF($J56=1,-$E56*$I56/12*3,IF($J56=2,-$E56*$I56/12*2,IF($J56=3,-$E56*$I56/12*1,0)))))+IF(CD$5&lt;&gt;$H56,0,IF(CD56&lt;0,IF($J56=1,-$E56*$I56/12*0,IF($J56=2,-$E56*$I56/12*1,IF($J56=3,-$E56*$I56/12*2,IF($J56&gt;=4,-$E56*$I56/12*3,0))))))</f>
        <v>0</v>
      </c>
      <c r="CF56" s="442">
        <f>IF($H56&lt;&gt;CI$5,0,IF(CI56&lt;0,IF(OR($J56=1,$J56=2,$J56=3,$J56=4),-$E56*$I56/12*3,IF($J56=5,-$E56*$I56/12*2,IF($J56=6,-$E56*$I56/12*1,0)))))+IF(CD$5&lt;&gt;$H56,0,IF(CD56&lt;0,IF($J56=4,-$E56*$I56/12*0,IF($J56=5,-$E56*$I56/12*1,IF($J56=6,-$E56*$I56/12*2,IF($J56&gt;=7,-$E56*$I56/12*3,0))))))</f>
        <v>0</v>
      </c>
      <c r="CG56" s="442">
        <f>IF($H56&lt;&gt;CI$5,0,IF(CI56&lt;0,IF(OR($J56=1,$J56=2,$J56=3,$J56=4,$J56=5,$J56=6,$J56=7),-$E56*$I56/12*3,IF($J56=8,-$E56*$I56/12*2,IF($J56=9,-$E56*$I56/12*1,0)))))+IF(CD$5&lt;&gt;$H56,0,IF(CD56&lt;0,IF($J56=7,-$E56*$I56/12*0,IF($J56=8,-$E56*$I56/12*1,IF($J56=9,-$E56*$I56/12*2,IF($J56&gt;=10,-$E56*$I56/12*3,0))))))</f>
        <v>0</v>
      </c>
      <c r="CH56" s="443">
        <f>IF($H56&lt;&gt;CI$5,0,IF(CI56&lt;0,IF(OR($J56=1,$J56=2,$J56=3,$J56=4,$J56=5,$J56=6,$J56=7,$J56=8,$J56=9,$J56=10),-$E56*$I56/12*3,IF($J56=11,-$E56*$I56/12*2,IF($J56=12,-$E56*$I56/12*1,0)))))+IF(CD$5&lt;&gt;$H56,0,IF(CD56&lt;0,IF($J56=10,-$E56*$I56/12*0,IF($J56=11,-$E56*$I56/12*1,IF($J56=12,-$E56*$I56/12*2,0)))))</f>
        <v>0</v>
      </c>
      <c r="CI56" s="440">
        <f>IF(AND(CD56&lt;&gt;0,CD$5=$H56),-$I56*$E56-CD56,IF(CI$5=$H56,-$I56*$E56*(12-$J56+1)/12,0))</f>
        <v>0</v>
      </c>
      <c r="CJ56" s="441">
        <f>IF($H56&lt;&gt;CN$5,0,IF(CN56&lt;0,IF($J56=1,-$E56*$I56/12*3,IF($J56=2,-$E56*$I56/12*2,IF($J56=3,-$E56*$I56/12*1,0)))))+IF(CI$5&lt;&gt;$H56,0,IF(CI56&lt;0,IF($J56=1,-$E56*$I56/12*0,IF($J56=2,-$E56*$I56/12*1,IF($J56=3,-$E56*$I56/12*2,IF($J56&gt;=4,-$E56*$I56/12*3,0))))))</f>
        <v>0</v>
      </c>
      <c r="CK56" s="442">
        <f>IF($H56&lt;&gt;CN$5,0,IF(CN56&lt;0,IF(OR($J56=1,$J56=2,$J56=3,$J56=4),-$E56*$I56/12*3,IF($J56=5,-$E56*$I56/12*2,IF($J56=6,-$E56*$I56/12*1,0)))))+IF(CI$5&lt;&gt;$H56,0,IF(CI56&lt;0,IF($J56=4,-$E56*$I56/12*0,IF($J56=5,-$E56*$I56/12*1,IF($J56=6,-$E56*$I56/12*2,IF($J56&gt;=7,-$E56*$I56/12*3,0))))))</f>
        <v>0</v>
      </c>
      <c r="CL56" s="442">
        <f>IF($H56&lt;&gt;CN$5,0,IF(CN56&lt;0,IF(OR($J56=1,$J56=2,$J56=3,$J56=4,$J56=5,$J56=6,$J56=7),-$E56*$I56/12*3,IF($J56=8,-$E56*$I56/12*2,IF($J56=9,-$E56*$I56/12*1,0)))))+IF(CI$5&lt;&gt;$H56,0,IF(CI56&lt;0,IF($J56=7,-$E56*$I56/12*0,IF($J56=8,-$E56*$I56/12*1,IF($J56=9,-$E56*$I56/12*2,IF($J56&gt;=10,-$E56*$I56/12*3,0))))))</f>
        <v>0</v>
      </c>
      <c r="CM56" s="443">
        <f>IF($H56&lt;&gt;CN$5,0,IF(CN56&lt;0,IF(OR($J56=1,$J56=2,$J56=3,$J56=4,$J56=5,$J56=6,$J56=7,$J56=8,$J56=9,$J56=10),-$E56*$I56/12*3,IF($J56=11,-$E56*$I56/12*2,IF($J56=12,-$E56*$I56/12*1,0)))))+IF(CI$5&lt;&gt;$H56,0,IF(CI56&lt;0,IF($J56=10,-$E56*$I56/12*0,IF($J56=11,-$E56*$I56/12*1,IF($J56=12,-$E56*$I56/12*2,0)))))</f>
        <v>0</v>
      </c>
      <c r="CN56" s="440">
        <f>IF(AND(CI56&lt;&gt;0,CI$5=$H56),-$I56*$E56-CI56,IF(CN$5=$H56,-$I56*$E56*(12-$J56+1)/12,0))</f>
        <v>0</v>
      </c>
      <c r="CO56" s="441">
        <f>IF($H56&lt;&gt;CS$5,0,IF(CS56&lt;0,IF($J56=1,-$E56*$I56/12*3,IF($J56=2,-$E56*$I56/12*2,IF($J56=3,-$E56*$I56/12*1,0)))))+IF(CN$5&lt;&gt;$H56,0,IF(CN56&lt;0,IF($J56=1,-$E56*$I56/12*0,IF($J56=2,-$E56*$I56/12*1,IF($J56=3,-$E56*$I56/12*2,IF($J56&gt;=4,-$E56*$I56/12*3,0))))))</f>
        <v>0</v>
      </c>
      <c r="CP56" s="442">
        <f>IF($H56&lt;&gt;CS$5,0,IF(CS56&lt;0,IF(OR($J56=1,$J56=2,$J56=3,$J56=4),-$E56*$I56/12*3,IF($J56=5,-$E56*$I56/12*2,IF($J56=6,-$E56*$I56/12*1,0)))))+IF(CN$5&lt;&gt;$H56,0,IF(CN56&lt;0,IF($J56=4,-$E56*$I56/12*0,IF($J56=5,-$E56*$I56/12*1,IF($J56=6,-$E56*$I56/12*2,IF($J56&gt;=7,-$E56*$I56/12*3,0))))))</f>
        <v>0</v>
      </c>
      <c r="CQ56" s="442">
        <f>IF($H56&lt;&gt;CS$5,0,IF(CS56&lt;0,IF(OR($J56=1,$J56=2,$J56=3,$J56=4,$J56=5,$J56=6,$J56=7),-$E56*$I56/12*3,IF($J56=8,-$E56*$I56/12*2,IF($J56=9,-$E56*$I56/12*1,0)))))+IF(CN$5&lt;&gt;$H56,0,IF(CN56&lt;0,IF($J56=7,-$E56*$I56/12*0,IF($J56=8,-$E56*$I56/12*1,IF($J56=9,-$E56*$I56/12*2,IF($J56&gt;=10,-$E56*$I56/12*3,0))))))</f>
        <v>0</v>
      </c>
      <c r="CR56" s="443">
        <f>IF($H56&lt;&gt;CS$5,0,IF(CS56&lt;0,IF(OR($J56=1,$J56=2,$J56=3,$J56=4,$J56=5,$J56=6,$J56=7,$J56=8,$J56=9,$J56=10),-$E56*$I56/12*3,IF($J56=11,-$E56*$I56/12*2,IF($J56=12,-$E56*$I56/12*1,0)))))+IF(CN$5&lt;&gt;$H56,0,IF(CN56&lt;0,IF($J56=10,-$E56*$I56/12*0,IF($J56=11,-$E56*$I56/12*1,IF($J56=12,-$E56*$I56/12*2,0)))))</f>
        <v>0</v>
      </c>
      <c r="CS56" s="440">
        <f>IF(AND(CN56&lt;&gt;0,CN$5=$H56),-$I56*$E56-CN56,IF(CS$5=$H56,-$I56*$E56*(12-$J56+1)/12,0))</f>
        <v>0</v>
      </c>
      <c r="CT56" s="441">
        <f>IF($H56&lt;&gt;CX$5,0,IF(CX56&lt;0,IF($J56=1,-$E56*$I56/12*3,IF($J56=2,-$E56*$I56/12*2,IF($J56=3,-$E56*$I56/12*1,0)))))+IF(CS$5&lt;&gt;$H56,0,IF(CS56&lt;0,IF($J56=1,-$E56*$I56/12*0,IF($J56=2,-$E56*$I56/12*1,IF($J56=3,-$E56*$I56/12*2,IF($J56&gt;=4,-$E56*$I56/12*3,0))))))</f>
        <v>0</v>
      </c>
      <c r="CU56" s="442">
        <f>IF($H56&lt;&gt;CX$5,0,IF(CX56&lt;0,IF(OR($J56=1,$J56=2,$J56=3,$J56=4),-$E56*$I56/12*3,IF($J56=5,-$E56*$I56/12*2,IF($J56=6,-$E56*$I56/12*1,0)))))+IF(CS$5&lt;&gt;$H56,0,IF(CS56&lt;0,IF($J56=4,-$E56*$I56/12*0,IF($J56=5,-$E56*$I56/12*1,IF($J56=6,-$E56*$I56/12*2,IF($J56&gt;=7,-$E56*$I56/12*3,0))))))</f>
        <v>0</v>
      </c>
      <c r="CV56" s="442">
        <f>IF($H56&lt;&gt;CX$5,0,IF(CX56&lt;0,IF(OR($J56=1,$J56=2,$J56=3,$J56=4,$J56=5,$J56=6,$J56=7),-$E56*$I56/12*3,IF($J56=8,-$E56*$I56/12*2,IF($J56=9,-$E56*$I56/12*1,0)))))+IF(CS$5&lt;&gt;$H56,0,IF(CS56&lt;0,IF($J56=7,-$E56*$I56/12*0,IF($J56=8,-$E56*$I56/12*1,IF($J56=9,-$E56*$I56/12*2,IF($J56&gt;=10,-$E56*$I56/12*3,0))))))</f>
        <v>0</v>
      </c>
      <c r="CW56" s="443">
        <f>IF($H56&lt;&gt;CX$5,0,IF(CX56&lt;0,IF(OR($J56=1,$J56=2,$J56=3,$J56=4,$J56=5,$J56=6,$J56=7,$J56=8,$J56=9,$J56=10),-$E56*$I56/12*3,IF($J56=11,-$E56*$I56/12*2,IF($J56=12,-$E56*$I56/12*1,0)))))+IF(CS$5&lt;&gt;$H56,0,IF(CS56&lt;0,IF($J56=10,-$E56*$I56/12*0,IF($J56=11,-$E56*$I56/12*1,IF($J56=12,-$E56*$I56/12*2,0)))))</f>
        <v>0</v>
      </c>
      <c r="CX56" s="440">
        <f>IF(AND(CS56&lt;&gt;0,CS$5=$H56),-$I56*$E56-CS56,IF(CX$5=$H56,-$I56*$E56*(12-$J56+1)/12,0))</f>
        <v>0</v>
      </c>
      <c r="CY56" s="441">
        <f>IF($H56&lt;&gt;DC$5,0,IF(DC56&lt;0,IF($J56=1,-$E56*$I56/12*3,IF($J56=2,-$E56*$I56/12*2,IF($J56=3,-$E56*$I56/12*1,0)))))+IF(CX$5&lt;&gt;$H56,0,IF(CX56&lt;0,IF($J56=1,-$E56*$I56/12*0,IF($J56=2,-$E56*$I56/12*1,IF($J56=3,-$E56*$I56/12*2,IF($J56&gt;=4,-$E56*$I56/12*3,0))))))</f>
        <v>0</v>
      </c>
      <c r="CZ56" s="442">
        <f>IF($H56&lt;&gt;DC$5,0,IF(DC56&lt;0,IF(OR($J56=1,$J56=2,$J56=3,$J56=4),-$E56*$I56/12*3,IF($J56=5,-$E56*$I56/12*2,IF($J56=6,-$E56*$I56/12*1,0)))))+IF(CX$5&lt;&gt;$H56,0,IF(CX56&lt;0,IF($J56=4,-$E56*$I56/12*0,IF($J56=5,-$E56*$I56/12*1,IF($J56=6,-$E56*$I56/12*2,IF($J56&gt;=7,-$E56*$I56/12*3,0))))))</f>
        <v>0</v>
      </c>
      <c r="DA56" s="442">
        <f>IF($H56&lt;&gt;DC$5,0,IF(DC56&lt;0,IF(OR($J56=1,$J56=2,$J56=3,$J56=4,$J56=5,$J56=6,$J56=7),-$E56*$I56/12*3,IF($J56=8,-$E56*$I56/12*2,IF($J56=9,-$E56*$I56/12*1,0)))))+IF(CX$5&lt;&gt;$H56,0,IF(CX56&lt;0,IF($J56=7,-$E56*$I56/12*0,IF($J56=8,-$E56*$I56/12*1,IF($J56=9,-$E56*$I56/12*2,IF($J56&gt;=10,-$E56*$I56/12*3,0))))))</f>
        <v>0</v>
      </c>
      <c r="DB56" s="443">
        <f>IF($H56&lt;&gt;DC$5,0,IF(DC56&lt;0,IF(OR($J56=1,$J56=2,$J56=3,$J56=4,$J56=5,$J56=6,$J56=7,$J56=8,$J56=9,$J56=10),-$E56*$I56/12*3,IF($J56=11,-$E56*$I56/12*2,IF($J56=12,-$E56*$I56/12*1,0)))))+IF(CX$5&lt;&gt;$H56,0,IF(CX56&lt;0,IF($J56=10,-$E56*$I56/12*0,IF($J56=11,-$E56*$I56/12*1,IF($J56=12,-$E56*$I56/12*2,0)))))</f>
        <v>0</v>
      </c>
      <c r="DC56" s="440">
        <f>IF(AND(CX56&lt;&gt;0,CX$5=$H56),-$I56*$E56-CX56,IF(DC$5=$H56,-$I56*$E56*(12-$J56+1)/12,0))</f>
        <v>0</v>
      </c>
      <c r="DD56" s="441">
        <f>IF($H56&lt;&gt;DH$5,0,IF(DH56&lt;0,IF($J56=1,-$E56*$I56/12*3,IF($J56=2,-$E56*$I56/12*2,IF($J56=3,-$E56*$I56/12*1,0)))))+IF(DC$5&lt;&gt;$H56,0,IF(DC56&lt;0,IF($J56=1,-$E56*$I56/12*0,IF($J56=2,-$E56*$I56/12*1,IF($J56=3,-$E56*$I56/12*2,IF($J56&gt;=4,-$E56*$I56/12*3,0))))))</f>
        <v>0</v>
      </c>
      <c r="DE56" s="442">
        <f>IF($H56&lt;&gt;DH$5,0,IF(DH56&lt;0,IF(OR($J56=1,$J56=2,$J56=3,$J56=4),-$E56*$I56/12*3,IF($J56=5,-$E56*$I56/12*2,IF($J56=6,-$E56*$I56/12*1,0)))))+IF(DC$5&lt;&gt;$H56,0,IF(DC56&lt;0,IF($J56=4,-$E56*$I56/12*0,IF($J56=5,-$E56*$I56/12*1,IF($J56=6,-$E56*$I56/12*2,IF($J56&gt;=7,-$E56*$I56/12*3,0))))))</f>
        <v>0</v>
      </c>
      <c r="DF56" s="442">
        <f>IF($H56&lt;&gt;DH$5,0,IF(DH56&lt;0,IF(OR($J56=1,$J56=2,$J56=3,$J56=4,$J56=5,$J56=6,$J56=7),-$E56*$I56/12*3,IF($J56=8,-$E56*$I56/12*2,IF($J56=9,-$E56*$I56/12*1,0)))))+IF(DC$5&lt;&gt;$H56,0,IF(DC56&lt;0,IF($J56=7,-$E56*$I56/12*0,IF($J56=8,-$E56*$I56/12*1,IF($J56=9,-$E56*$I56/12*2,IF($J56&gt;=10,-$E56*$I56/12*3,0))))))</f>
        <v>0</v>
      </c>
      <c r="DG56" s="443">
        <f>IF($H56&lt;&gt;DH$5,0,IF(DH56&lt;0,IF(OR($J56=1,$J56=2,$J56=3,$J56=4,$J56=5,$J56=6,$J56=7,$J56=8,$J56=9,$J56=10),-$E56*$I56/12*3,IF($J56=11,-$E56*$I56/12*2,IF($J56=12,-$E56*$I56/12*1,0)))))+IF(DC$5&lt;&gt;$H56,0,IF(DC56&lt;0,IF($J56=10,-$E56*$I56/12*0,IF($J56=11,-$E56*$I56/12*1,IF($J56=12,-$E56*$I56/12*2,0)))))</f>
        <v>0</v>
      </c>
      <c r="DH56" s="440">
        <f>IF(AND(DC56&lt;&gt;0,DC$5=$H56),-$I56*$E56-DC56,IF(DH$5=$H56,-$I56*$E56*(12-$J56+1)/12,0))</f>
        <v>0</v>
      </c>
      <c r="DI56" s="441">
        <f>IF($H56&lt;&gt;DM$5,0,IF(DM56&lt;0,IF($J56=1,-$E56*$I56/12*3,IF($J56=2,-$E56*$I56/12*2,IF($J56=3,-$E56*$I56/12*1,0)))))+IF(DH$5&lt;&gt;$H56,0,IF(DH56&lt;0,IF($J56=1,-$E56*$I56/12*0,IF($J56=2,-$E56*$I56/12*1,IF($J56=3,-$E56*$I56/12*2,IF($J56&gt;=4,-$E56*$I56/12*3,0))))))</f>
        <v>0</v>
      </c>
      <c r="DJ56" s="442">
        <f>IF($H56&lt;&gt;DM$5,0,IF(DM56&lt;0,IF(OR($J56=1,$J56=2,$J56=3,$J56=4),-$E56*$I56/12*3,IF($J56=5,-$E56*$I56/12*2,IF($J56=6,-$E56*$I56/12*1,0)))))+IF(DH$5&lt;&gt;$H56,0,IF(DH56&lt;0,IF($J56=4,-$E56*$I56/12*0,IF($J56=5,-$E56*$I56/12*1,IF($J56=6,-$E56*$I56/12*2,IF($J56&gt;=7,-$E56*$I56/12*3,0))))))</f>
        <v>0</v>
      </c>
      <c r="DK56" s="442">
        <f>IF($H56&lt;&gt;DM$5,0,IF(DM56&lt;0,IF(OR($J56=1,$J56=2,$J56=3,$J56=4,$J56=5,$J56=6,$J56=7),-$E56*$I56/12*3,IF($J56=8,-$E56*$I56/12*2,IF($J56=9,-$E56*$I56/12*1,0)))))+IF(DH$5&lt;&gt;$H56,0,IF(DH56&lt;0,IF($J56=7,-$E56*$I56/12*0,IF($J56=8,-$E56*$I56/12*1,IF($J56=9,-$E56*$I56/12*2,IF($J56&gt;=10,-$E56*$I56/12*3,0))))))</f>
        <v>0</v>
      </c>
      <c r="DL56" s="443">
        <f>IF($H56&lt;&gt;DM$5,0,IF(DM56&lt;0,IF(OR($J56=1,$J56=2,$J56=3,$J56=4,$J56=5,$J56=6,$J56=7,$J56=8,$J56=9,$J56=10),-$E56*$I56/12*3,IF($J56=11,-$E56*$I56/12*2,IF($J56=12,-$E56*$I56/12*1,0)))))+IF(DH$5&lt;&gt;$H56,0,IF(DH56&lt;0,IF($J56=10,-$E56*$I56/12*0,IF($J56=11,-$E56*$I56/12*1,IF($J56=12,-$E56*$I56/12*2,0)))))</f>
        <v>0</v>
      </c>
      <c r="DM56" s="440">
        <f>IF(AND(DH56&lt;&gt;0,DH$5=$H56),-$I56*$E56-DH56,IF(DM$5=$H56,-$I56*$E56*(12-$J56+1)/12,0))</f>
        <v>0</v>
      </c>
      <c r="DN56" s="441">
        <f>IF($H56&lt;&gt;DR$5,0,IF(DR56&lt;0,IF($J56=1,-$E56*$I56/12*3,IF($J56=2,-$E56*$I56/12*2,IF($J56=3,-$E56*$I56/12*1,0)))))+IF(DM$5&lt;&gt;$H56,0,IF(DM56&lt;0,IF($J56=1,-$E56*$I56/12*0,IF($J56=2,-$E56*$I56/12*1,IF($J56=3,-$E56*$I56/12*2,IF($J56&gt;=4,-$E56*$I56/12*3,0))))))</f>
        <v>0</v>
      </c>
      <c r="DO56" s="442">
        <f>IF($H56&lt;&gt;DR$5,0,IF(DR56&lt;0,IF(OR($J56=1,$J56=2,$J56=3,$J56=4),-$E56*$I56/12*3,IF($J56=5,-$E56*$I56/12*2,IF($J56=6,-$E56*$I56/12*1,0)))))+IF(DM$5&lt;&gt;$H56,0,IF(DM56&lt;0,IF($J56=4,-$E56*$I56/12*0,IF($J56=5,-$E56*$I56/12*1,IF($J56=6,-$E56*$I56/12*2,IF($J56&gt;=7,-$E56*$I56/12*3,0))))))</f>
        <v>0</v>
      </c>
      <c r="DP56" s="442">
        <f>IF($H56&lt;&gt;DR$5,0,IF(DR56&lt;0,IF(OR($J56=1,$J56=2,$J56=3,$J56=4,$J56=5,$J56=6,$J56=7),-$E56*$I56/12*3,IF($J56=8,-$E56*$I56/12*2,IF($J56=9,-$E56*$I56/12*1,0)))))+IF(DM$5&lt;&gt;$H56,0,IF(DM56&lt;0,IF($J56=7,-$E56*$I56/12*0,IF($J56=8,-$E56*$I56/12*1,IF($J56=9,-$E56*$I56/12*2,IF($J56&gt;=10,-$E56*$I56/12*3,0))))))</f>
        <v>0</v>
      </c>
      <c r="DQ56" s="443">
        <f>IF($H56&lt;&gt;DR$5,0,IF(DR56&lt;0,IF(OR($J56=1,$J56=2,$J56=3,$J56=4,$J56=5,$J56=6,$J56=7,$J56=8,$J56=9,$J56=10),-$E56*$I56/12*3,IF($J56=11,-$E56*$I56/12*2,IF($J56=12,-$E56*$I56/12*1,0)))))+IF(DM$5&lt;&gt;$H56,0,IF(DM56&lt;0,IF($J56=10,-$E56*$I56/12*0,IF($J56=11,-$E56*$I56/12*1,IF($J56=12,-$E56*$I56/12*2,0)))))</f>
        <v>0</v>
      </c>
      <c r="DR56" s="440">
        <f>IF(AND(DM56&lt;&gt;0,DM$5=$H56),-$I56*$E56-DM56,IF(DR$5=$H56,-$I56*$E56*(12-$J56+1)/12,0))</f>
        <v>0</v>
      </c>
    </row>
    <row r="57" spans="1:122" ht="12.75" customHeight="1">
      <c r="A57" s="92"/>
      <c r="B57" s="92"/>
      <c r="C57" s="1362"/>
      <c r="D57" s="395"/>
      <c r="E57" s="202"/>
      <c r="F57" s="1358"/>
      <c r="G57" s="1358"/>
      <c r="H57" s="1359"/>
      <c r="I57" s="1360"/>
      <c r="J57" s="1361"/>
      <c r="K57" s="549"/>
      <c r="L57" s="460"/>
      <c r="M57" s="461"/>
      <c r="N57" s="461"/>
      <c r="O57" s="462"/>
      <c r="P57" s="466"/>
      <c r="Q57" s="460"/>
      <c r="R57" s="461"/>
      <c r="S57" s="461"/>
      <c r="T57" s="462"/>
      <c r="U57" s="464"/>
      <c r="V57" s="460"/>
      <c r="W57" s="461"/>
      <c r="X57" s="461"/>
      <c r="Y57" s="462"/>
      <c r="Z57" s="464"/>
      <c r="AA57" s="460"/>
      <c r="AB57" s="461"/>
      <c r="AC57" s="461"/>
      <c r="AD57" s="462"/>
      <c r="AE57" s="464"/>
      <c r="AF57" s="460"/>
      <c r="AG57" s="461"/>
      <c r="AH57" s="461"/>
      <c r="AI57" s="462"/>
      <c r="AJ57" s="464"/>
      <c r="AK57" s="460"/>
      <c r="AL57" s="461"/>
      <c r="AM57" s="461"/>
      <c r="AN57" s="462"/>
      <c r="AO57" s="464"/>
      <c r="AP57" s="460"/>
      <c r="AQ57" s="461"/>
      <c r="AR57" s="461"/>
      <c r="AS57" s="462"/>
      <c r="AT57" s="464"/>
      <c r="AU57" s="460"/>
      <c r="AV57" s="461"/>
      <c r="AW57" s="461"/>
      <c r="AX57" s="462"/>
      <c r="AY57" s="464"/>
      <c r="AZ57" s="460"/>
      <c r="BA57" s="461"/>
      <c r="BB57" s="461"/>
      <c r="BC57" s="462"/>
      <c r="BD57" s="464"/>
      <c r="BE57" s="460"/>
      <c r="BF57" s="461"/>
      <c r="BG57" s="461"/>
      <c r="BH57" s="462"/>
      <c r="BI57" s="464"/>
      <c r="BJ57" s="460"/>
      <c r="BK57" s="461"/>
      <c r="BL57" s="461"/>
      <c r="BM57" s="462"/>
      <c r="BN57" s="464"/>
      <c r="BO57" s="465"/>
      <c r="BP57" s="460"/>
      <c r="BQ57" s="461"/>
      <c r="BR57" s="461"/>
      <c r="BS57" s="462"/>
      <c r="BT57" s="464"/>
      <c r="BU57" s="460"/>
      <c r="BV57" s="461"/>
      <c r="BW57" s="461"/>
      <c r="BX57" s="462"/>
      <c r="BY57" s="464"/>
      <c r="BZ57" s="460"/>
      <c r="CA57" s="461"/>
      <c r="CB57" s="461"/>
      <c r="CC57" s="462"/>
      <c r="CD57" s="464"/>
      <c r="CE57" s="460"/>
      <c r="CF57" s="461"/>
      <c r="CG57" s="461"/>
      <c r="CH57" s="462"/>
      <c r="CI57" s="464"/>
      <c r="CJ57" s="460"/>
      <c r="CK57" s="461"/>
      <c r="CL57" s="461"/>
      <c r="CM57" s="462"/>
      <c r="CN57" s="464"/>
      <c r="CO57" s="460"/>
      <c r="CP57" s="461"/>
      <c r="CQ57" s="461"/>
      <c r="CR57" s="462"/>
      <c r="CS57" s="464"/>
      <c r="CT57" s="460"/>
      <c r="CU57" s="461"/>
      <c r="CV57" s="461"/>
      <c r="CW57" s="462"/>
      <c r="CX57" s="464"/>
      <c r="CY57" s="460"/>
      <c r="CZ57" s="461"/>
      <c r="DA57" s="461"/>
      <c r="DB57" s="462"/>
      <c r="DC57" s="464"/>
      <c r="DD57" s="460"/>
      <c r="DE57" s="461"/>
      <c r="DF57" s="461"/>
      <c r="DG57" s="462"/>
      <c r="DH57" s="464"/>
      <c r="DI57" s="460"/>
      <c r="DJ57" s="461"/>
      <c r="DK57" s="461"/>
      <c r="DL57" s="462"/>
      <c r="DM57" s="464"/>
      <c r="DN57" s="460"/>
      <c r="DO57" s="461"/>
      <c r="DP57" s="461"/>
      <c r="DQ57" s="462"/>
      <c r="DR57" s="464"/>
    </row>
    <row r="58" spans="1:122" ht="12.75" customHeight="1">
      <c r="A58" s="92"/>
      <c r="B58" s="92"/>
      <c r="C58" s="1363" t="s">
        <v>312</v>
      </c>
      <c r="D58" s="395"/>
      <c r="E58" s="202"/>
      <c r="F58" s="1358"/>
      <c r="G58" s="1358"/>
      <c r="H58" s="1359"/>
      <c r="I58" s="1360"/>
      <c r="J58" s="1361"/>
      <c r="K58" s="549"/>
      <c r="L58" s="460"/>
      <c r="M58" s="461"/>
      <c r="N58" s="461"/>
      <c r="O58" s="462"/>
      <c r="P58" s="466"/>
      <c r="Q58" s="460"/>
      <c r="R58" s="461"/>
      <c r="S58" s="461"/>
      <c r="T58" s="462"/>
      <c r="U58" s="464"/>
      <c r="V58" s="460"/>
      <c r="W58" s="461"/>
      <c r="X58" s="461"/>
      <c r="Y58" s="462"/>
      <c r="Z58" s="464"/>
      <c r="AA58" s="460"/>
      <c r="AB58" s="461"/>
      <c r="AC58" s="461"/>
      <c r="AD58" s="462"/>
      <c r="AE58" s="464"/>
      <c r="AF58" s="460"/>
      <c r="AG58" s="461"/>
      <c r="AH58" s="461"/>
      <c r="AI58" s="462"/>
      <c r="AJ58" s="464"/>
      <c r="AK58" s="460"/>
      <c r="AL58" s="461"/>
      <c r="AM58" s="461"/>
      <c r="AN58" s="462"/>
      <c r="AO58" s="464"/>
      <c r="AP58" s="460"/>
      <c r="AQ58" s="461"/>
      <c r="AR58" s="461"/>
      <c r="AS58" s="462"/>
      <c r="AT58" s="464"/>
      <c r="AU58" s="460"/>
      <c r="AV58" s="461"/>
      <c r="AW58" s="461"/>
      <c r="AX58" s="462"/>
      <c r="AY58" s="464"/>
      <c r="AZ58" s="460"/>
      <c r="BA58" s="461"/>
      <c r="BB58" s="461"/>
      <c r="BC58" s="462"/>
      <c r="BD58" s="464"/>
      <c r="BE58" s="460"/>
      <c r="BF58" s="461"/>
      <c r="BG58" s="461"/>
      <c r="BH58" s="462"/>
      <c r="BI58" s="464"/>
      <c r="BJ58" s="460"/>
      <c r="BK58" s="461"/>
      <c r="BL58" s="461"/>
      <c r="BM58" s="462"/>
      <c r="BN58" s="464"/>
      <c r="BO58" s="465"/>
      <c r="BP58" s="460"/>
      <c r="BQ58" s="461"/>
      <c r="BR58" s="461"/>
      <c r="BS58" s="462"/>
      <c r="BT58" s="464"/>
      <c r="BU58" s="460"/>
      <c r="BV58" s="461"/>
      <c r="BW58" s="461"/>
      <c r="BX58" s="462"/>
      <c r="BY58" s="464"/>
      <c r="BZ58" s="460"/>
      <c r="CA58" s="461"/>
      <c r="CB58" s="461"/>
      <c r="CC58" s="462"/>
      <c r="CD58" s="464"/>
      <c r="CE58" s="460"/>
      <c r="CF58" s="461"/>
      <c r="CG58" s="461"/>
      <c r="CH58" s="462"/>
      <c r="CI58" s="464"/>
      <c r="CJ58" s="460"/>
      <c r="CK58" s="461"/>
      <c r="CL58" s="461"/>
      <c r="CM58" s="462"/>
      <c r="CN58" s="464"/>
      <c r="CO58" s="460"/>
      <c r="CP58" s="461"/>
      <c r="CQ58" s="461"/>
      <c r="CR58" s="462"/>
      <c r="CS58" s="464"/>
      <c r="CT58" s="460"/>
      <c r="CU58" s="461"/>
      <c r="CV58" s="461"/>
      <c r="CW58" s="462"/>
      <c r="CX58" s="464"/>
      <c r="CY58" s="460"/>
      <c r="CZ58" s="461"/>
      <c r="DA58" s="461"/>
      <c r="DB58" s="462"/>
      <c r="DC58" s="464"/>
      <c r="DD58" s="460"/>
      <c r="DE58" s="461"/>
      <c r="DF58" s="461"/>
      <c r="DG58" s="462"/>
      <c r="DH58" s="464"/>
      <c r="DI58" s="460"/>
      <c r="DJ58" s="461"/>
      <c r="DK58" s="461"/>
      <c r="DL58" s="462"/>
      <c r="DM58" s="464"/>
      <c r="DN58" s="460"/>
      <c r="DO58" s="461"/>
      <c r="DP58" s="461"/>
      <c r="DQ58" s="462"/>
      <c r="DR58" s="464"/>
    </row>
    <row r="59" spans="1:122" ht="12.75" customHeight="1">
      <c r="A59" s="92"/>
      <c r="B59" s="92"/>
      <c r="C59" s="1123" t="s">
        <v>340</v>
      </c>
      <c r="D59" s="395"/>
      <c r="E59" s="865">
        <f>IF(F59=0,G59,F59)</f>
        <v>100</v>
      </c>
      <c r="F59" s="1945">
        <v>100</v>
      </c>
      <c r="G59" s="1945">
        <v>100</v>
      </c>
      <c r="H59" s="1308">
        <v>2021</v>
      </c>
      <c r="I59" s="1948">
        <v>5.0599999999999999E-2</v>
      </c>
      <c r="J59" s="1357">
        <v>7</v>
      </c>
      <c r="K59" s="549"/>
      <c r="L59" s="441"/>
      <c r="M59" s="442"/>
      <c r="N59" s="442"/>
      <c r="O59" s="443"/>
      <c r="P59" s="440"/>
      <c r="Q59" s="441"/>
      <c r="R59" s="442"/>
      <c r="S59" s="442"/>
      <c r="T59" s="443"/>
      <c r="U59" s="440"/>
      <c r="V59" s="441"/>
      <c r="W59" s="442"/>
      <c r="X59" s="442"/>
      <c r="Y59" s="443"/>
      <c r="Z59" s="440"/>
      <c r="AA59" s="441"/>
      <c r="AB59" s="442"/>
      <c r="AC59" s="442"/>
      <c r="AD59" s="443"/>
      <c r="AE59" s="440"/>
      <c r="AF59" s="441"/>
      <c r="AG59" s="442"/>
      <c r="AH59" s="442"/>
      <c r="AI59" s="443"/>
      <c r="AJ59" s="440"/>
      <c r="AK59" s="441"/>
      <c r="AL59" s="442"/>
      <c r="AM59" s="442"/>
      <c r="AN59" s="443"/>
      <c r="AO59" s="440"/>
      <c r="AP59" s="441"/>
      <c r="AQ59" s="442"/>
      <c r="AR59" s="442"/>
      <c r="AS59" s="443"/>
      <c r="AT59" s="440"/>
      <c r="AU59" s="441"/>
      <c r="AV59" s="442"/>
      <c r="AW59" s="442"/>
      <c r="AX59" s="443"/>
      <c r="AY59" s="440"/>
      <c r="AZ59" s="441"/>
      <c r="BA59" s="442"/>
      <c r="BB59" s="442"/>
      <c r="BC59" s="443"/>
      <c r="BD59" s="440"/>
      <c r="BE59" s="441"/>
      <c r="BF59" s="442"/>
      <c r="BG59" s="442"/>
      <c r="BH59" s="443"/>
      <c r="BI59" s="440"/>
      <c r="BJ59" s="441"/>
      <c r="BK59" s="442"/>
      <c r="BL59" s="442"/>
      <c r="BM59" s="443"/>
      <c r="BN59" s="440"/>
      <c r="BO59" s="465"/>
      <c r="BP59" s="441">
        <f>IF($H59&lt;&gt;BT$5,0,IF(BT59&lt;0,IF($J59=1,-$E59*$I59/12*3,IF($J59=2,-$E59*$I59/12*2,IF($J59=3,-$E59*$I59/12*1,0)))))+IF(BO$5&lt;&gt;$H59,0,IF(BO59&lt;0,IF($J59=1,-$E59*$I59/12*0,IF($J59=2,-$E59*$I59/12*1,IF($J59=3,-$E59*$I59/12*2,IF($J59&gt;=4,-$E59*$I59/12*3,0))))))</f>
        <v>0</v>
      </c>
      <c r="BQ59" s="442">
        <f>IF($H59&lt;&gt;BT$5,0,IF(BT59&lt;0,IF(OR($J59=1,$J59=2,$J59=3,$J59=4),-$E59*$I59/12*3,IF($J59=5,-$E59*$I59/12*2,IF($J59=6,-$E59*$I59/12*1,0)))))+IF(BO$5&lt;&gt;$H59,0,IF(BO59&lt;0,IF($J59=4,-$E59*$I59/12*0,IF($J59=5,-$E59*$I59/12*1,IF($J59=6,-$E59*$I59/12*2,IF($J59&gt;=7,-$E59*$I59/12*3,0))))))</f>
        <v>0</v>
      </c>
      <c r="BR59" s="442">
        <f>IF($H59&lt;&gt;BT$5,0,IF(BT59&lt;0,IF(OR($J59=1,$J59=2,$J59=3,$J59=4,$J59=5,$J59=6,$J59=7),-$E59*$I59/12*3,IF($J59=8,-$E59*$I59/12*2,IF($J59=9,-$E59*$I59/12*1,0)))))+IF(BO$5&lt;&gt;$H59,0,IF(BO59&lt;0,IF($J59=7,-$E59*$I59/12*0,IF($J59=8,-$E59*$I59/12*1,IF($J59=9,-$E59*$I59/12*2,IF($J59&gt;=10,-$E59*$I59/12*3,0))))))</f>
        <v>0</v>
      </c>
      <c r="BS59" s="443">
        <f>IF($H59&lt;&gt;BT$5,0,IF(BT59&lt;0,IF(OR($J59=1,$J59=2,$J59=3,$J59=4,$J59=5,$J59=6,$J59=7,$J59=8,$J59=9,$J59=10),-$E59*$I59/12*3,IF($J59=11,-$E59*$I59/12*2,IF($J59=12,-$E59*$I59/12*1,0)))))+IF(BO$5&lt;&gt;$H59,0,IF(BO59&lt;0,IF($J59=10,-$E59*$I59/12*0,IF($J59=11,-$E59*$I59/12*1,IF($J59=12,-$E59*$I59/12*2,0)))))</f>
        <v>0</v>
      </c>
      <c r="BT59" s="440">
        <f>IF(AND(BO59&lt;&gt;0,BO$5=$H59),-$I59*$E59-BO59,IF(BT$5=$H59,-$I59*$E59*(12-$J59+1)/12,0))</f>
        <v>0</v>
      </c>
      <c r="BU59" s="441">
        <f>IF($H59&lt;&gt;BY$5,0,IF(BY59&lt;0,IF($J59=1,-$E59*$I59/12*3,IF($J59=2,-$E59*$I59/12*2,IF($J59=3,-$E59*$I59/12*1,0)))))+IF(BT$5&lt;&gt;$H59,0,IF(BT59&lt;0,IF($J59=1,-$E59*$I59/12*0,IF($J59=2,-$E59*$I59/12*1,IF($J59=3,-$E59*$I59/12*2,IF($J59&gt;=4,-$E59*$I59/12*3,0))))))</f>
        <v>0</v>
      </c>
      <c r="BV59" s="442">
        <f>IF($H59&lt;&gt;BY$5,0,IF(BY59&lt;0,IF(OR($J59=1,$J59=2,$J59=3,$J59=4),-$E59*$I59/12*3,IF($J59=5,-$E59*$I59/12*2,IF($J59=6,-$E59*$I59/12*1,0)))))+IF(BT$5&lt;&gt;$H59,0,IF(BT59&lt;0,IF($J59=4,-$E59*$I59/12*0,IF($J59=5,-$E59*$I59/12*1,IF($J59=6,-$E59*$I59/12*2,IF($J59&gt;=7,-$E59*$I59/12*3,0))))))</f>
        <v>0</v>
      </c>
      <c r="BW59" s="442">
        <f>IF($H59&lt;&gt;BY$5,0,IF(BY59&lt;0,IF(OR($J59=1,$J59=2,$J59=3,$J59=4,$J59=5,$J59=6,$J59=7),-$E59*$I59/12*3,IF($J59=8,-$E59*$I59/12*2,IF($J59=9,-$E59*$I59/12*1,0)))))+IF(BT$5&lt;&gt;$H59,0,IF(BT59&lt;0,IF($J59=7,-$E59*$I59/12*0,IF($J59=8,-$E59*$I59/12*1,IF($J59=9,-$E59*$I59/12*2,IF($J59&gt;=10,-$E59*$I59/12*3,0))))))</f>
        <v>0</v>
      </c>
      <c r="BX59" s="443">
        <f>IF($H59&lt;&gt;BY$5,0,IF(BY59&lt;0,IF(OR($J59=1,$J59=2,$J59=3,$J59=4,$J59=5,$J59=6,$J59=7,$J59=8,$J59=9,$J59=10),-$E59*$I59/12*3,IF($J59=11,-$E59*$I59/12*2,IF($J59=12,-$E59*$I59/12*1,0)))))+IF(BT$5&lt;&gt;$H59,0,IF(BT59&lt;0,IF($J59=10,-$E59*$I59/12*0,IF($J59=11,-$E59*$I59/12*1,IF($J59=12,-$E59*$I59/12*2,0)))))</f>
        <v>0</v>
      </c>
      <c r="BY59" s="440">
        <f>IF(AND(BT59&lt;&gt;0,BT$5=$H59),-$I59*$E59-BT59,IF(BY$5=$H59,-$I59*$E59*(12-$J59+1)/12,0))</f>
        <v>0</v>
      </c>
      <c r="BZ59" s="441">
        <f>IF($H59&lt;&gt;CD$5,0,IF(CD59&lt;0,IF($J59=1,-$E59*$I59/12*3,IF($J59=2,-$E59*$I59/12*2,IF($J59=3,-$E59*$I59/12*1,0)))))+IF(BY$5&lt;&gt;$H59,0,IF(BY59&lt;0,IF($J59=1,-$E59*$I59/12*0,IF($J59=2,-$E59*$I59/12*1,IF($J59=3,-$E59*$I59/12*2,IF($J59&gt;=4,-$E59*$I59/12*3,0))))))</f>
        <v>0</v>
      </c>
      <c r="CA59" s="442">
        <f>IF($H59&lt;&gt;CD$5,0,IF(CD59&lt;0,IF(OR($J59=1,$J59=2,$J59=3,$J59=4),-$E59*$I59/12*3,IF($J59=5,-$E59*$I59/12*2,IF($J59=6,-$E59*$I59/12*1,0)))))+IF(BY$5&lt;&gt;$H59,0,IF(BY59&lt;0,IF($J59=4,-$E59*$I59/12*0,IF($J59=5,-$E59*$I59/12*1,IF($J59=6,-$E59*$I59/12*2,IF($J59&gt;=7,-$E59*$I59/12*3,0))))))</f>
        <v>0</v>
      </c>
      <c r="CB59" s="442">
        <f>IF($H59&lt;&gt;CD$5,0,IF(CD59&lt;0,IF(OR($J59=1,$J59=2,$J59=3,$J59=4,$J59=5,$J59=6,$J59=7),-$E59*$I59/12*3,IF($J59=8,-$E59*$I59/12*2,IF($J59=9,-$E59*$I59/12*1,0)))))+IF(BY$5&lt;&gt;$H59,0,IF(BY59&lt;0,IF($J59=7,-$E59*$I59/12*0,IF($J59=8,-$E59*$I59/12*1,IF($J59=9,-$E59*$I59/12*2,IF($J59&gt;=10,-$E59*$I59/12*3,0))))))</f>
        <v>0</v>
      </c>
      <c r="CC59" s="443">
        <f>IF($H59&lt;&gt;CD$5,0,IF(CD59&lt;0,IF(OR($J59=1,$J59=2,$J59=3,$J59=4,$J59=5,$J59=6,$J59=7,$J59=8,$J59=9,$J59=10),-$E59*$I59/12*3,IF($J59=11,-$E59*$I59/12*2,IF($J59=12,-$E59*$I59/12*1,0)))))+IF(BY$5&lt;&gt;$H59,0,IF(BY59&lt;0,IF($J59=10,-$E59*$I59/12*0,IF($J59=11,-$E59*$I59/12*1,IF($J59=12,-$E59*$I59/12*2,0)))))</f>
        <v>0</v>
      </c>
      <c r="CD59" s="440">
        <f>IF(AND(BY59&lt;&gt;0,BY$5=$H59),-$I59*$E59-BY59,IF(CD$5=$H59,-$I59*$E59*(12-$J59+1)/12,0))</f>
        <v>0</v>
      </c>
      <c r="CE59" s="441">
        <f>IF($H59&lt;&gt;CI$5,0,IF(CI59&lt;0,IF($J59=1,-$E59*$I59/12*3,IF($J59=2,-$E59*$I59/12*2,IF($J59=3,-$E59*$I59/12*1,0)))))+IF(CD$5&lt;&gt;$H59,0,IF(CD59&lt;0,IF($J59=1,-$E59*$I59/12*0,IF($J59=2,-$E59*$I59/12*1,IF($J59=3,-$E59*$I59/12*2,IF($J59&gt;=4,-$E59*$I59/12*3,0))))))</f>
        <v>0</v>
      </c>
      <c r="CF59" s="442">
        <f>IF($H59&lt;&gt;CI$5,0,IF(CI59&lt;0,IF(OR($J59=1,$J59=2,$J59=3,$J59=4),-$E59*$I59/12*3,IF($J59=5,-$E59*$I59/12*2,IF($J59=6,-$E59*$I59/12*1,0)))))+IF(CD$5&lt;&gt;$H59,0,IF(CD59&lt;0,IF($J59=4,-$E59*$I59/12*0,IF($J59=5,-$E59*$I59/12*1,IF($J59=6,-$E59*$I59/12*2,IF($J59&gt;=7,-$E59*$I59/12*3,0))))))</f>
        <v>0</v>
      </c>
      <c r="CG59" s="442">
        <f>IF($H59&lt;&gt;CI$5,0,IF(CI59&lt;0,IF(OR($J59=1,$J59=2,$J59=3,$J59=4,$J59=5,$J59=6,$J59=7),-$E59*$I59/12*3,IF($J59=8,-$E59*$I59/12*2,IF($J59=9,-$E59*$I59/12*1,0)))))+IF(CD$5&lt;&gt;$H59,0,IF(CD59&lt;0,IF($J59=7,-$E59*$I59/12*0,IF($J59=8,-$E59*$I59/12*1,IF($J59=9,-$E59*$I59/12*2,IF($J59&gt;=10,-$E59*$I59/12*3,0))))))</f>
        <v>0</v>
      </c>
      <c r="CH59" s="443">
        <f>IF($H59&lt;&gt;CI$5,0,IF(CI59&lt;0,IF(OR($J59=1,$J59=2,$J59=3,$J59=4,$J59=5,$J59=6,$J59=7,$J59=8,$J59=9,$J59=10),-$E59*$I59/12*3,IF($J59=11,-$E59*$I59/12*2,IF($J59=12,-$E59*$I59/12*1,0)))))+IF(CD$5&lt;&gt;$H59,0,IF(CD59&lt;0,IF($J59=10,-$E59*$I59/12*0,IF($J59=11,-$E59*$I59/12*1,IF($J59=12,-$E59*$I59/12*2,0)))))</f>
        <v>0</v>
      </c>
      <c r="CI59" s="440">
        <f>IF(AND(CD59&lt;&gt;0,CD$5=$H59),-$I59*$E59-CD59,IF(CI$5=$H59,-$I59*$E59*(12-$J59+1)/12,0))</f>
        <v>0</v>
      </c>
      <c r="CJ59" s="441">
        <f>IF($H59&lt;&gt;CN$5,0,IF(CN59&lt;0,IF($J59=1,-$E59*$I59/12*3,IF($J59=2,-$E59*$I59/12*2,IF($J59=3,-$E59*$I59/12*1,0)))))+IF(CI$5&lt;&gt;$H59,0,IF(CI59&lt;0,IF($J59=1,-$E59*$I59/12*0,IF($J59=2,-$E59*$I59/12*1,IF($J59=3,-$E59*$I59/12*2,IF($J59&gt;=4,-$E59*$I59/12*3,0))))))</f>
        <v>0</v>
      </c>
      <c r="CK59" s="442">
        <f>IF($H59&lt;&gt;CN$5,0,IF(CN59&lt;0,IF(OR($J59=1,$J59=2,$J59=3,$J59=4),-$E59*$I59/12*3,IF($J59=5,-$E59*$I59/12*2,IF($J59=6,-$E59*$I59/12*1,0)))))+IF(CI$5&lt;&gt;$H59,0,IF(CI59&lt;0,IF($J59=4,-$E59*$I59/12*0,IF($J59=5,-$E59*$I59/12*1,IF($J59=6,-$E59*$I59/12*2,IF($J59&gt;=7,-$E59*$I59/12*3,0))))))</f>
        <v>0</v>
      </c>
      <c r="CL59" s="442">
        <f>IF($H59&lt;&gt;CN$5,0,IF(CN59&lt;0,IF(OR($J59=1,$J59=2,$J59=3,$J59=4,$J59=5,$J59=6,$J59=7),-$E59*$I59/12*3,IF($J59=8,-$E59*$I59/12*2,IF($J59=9,-$E59*$I59/12*1,0)))))+IF(CI$5&lt;&gt;$H59,0,IF(CI59&lt;0,IF($J59=7,-$E59*$I59/12*0,IF($J59=8,-$E59*$I59/12*1,IF($J59=9,-$E59*$I59/12*2,IF($J59&gt;=10,-$E59*$I59/12*3,0))))))</f>
        <v>0</v>
      </c>
      <c r="CM59" s="443">
        <f>IF($H59&lt;&gt;CN$5,0,IF(CN59&lt;0,IF(OR($J59=1,$J59=2,$J59=3,$J59=4,$J59=5,$J59=6,$J59=7,$J59=8,$J59=9,$J59=10),-$E59*$I59/12*3,IF($J59=11,-$E59*$I59/12*2,IF($J59=12,-$E59*$I59/12*1,0)))))+IF(CI$5&lt;&gt;$H59,0,IF(CI59&lt;0,IF($J59=10,-$E59*$I59/12*0,IF($J59=11,-$E59*$I59/12*1,IF($J59=12,-$E59*$I59/12*2,0)))))</f>
        <v>0</v>
      </c>
      <c r="CN59" s="440">
        <f>IF(AND(CI59&lt;&gt;0,CI$5=$H59),-$I59*$E59-CI59,IF(CN$5=$H59,-$I59*$E59*(12-$J59+1)/12,0))</f>
        <v>0</v>
      </c>
      <c r="CO59" s="441">
        <f>IF($H59&lt;&gt;CS$5,0,IF(CS59&lt;0,IF($J59=1,-$E59*$I59/12*3,IF($J59=2,-$E59*$I59/12*2,IF($J59=3,-$E59*$I59/12*1,0)))))+IF(CN$5&lt;&gt;$H59,0,IF(CN59&lt;0,IF($J59=1,-$E59*$I59/12*0,IF($J59=2,-$E59*$I59/12*1,IF($J59=3,-$E59*$I59/12*2,IF($J59&gt;=4,-$E59*$I59/12*3,0))))))</f>
        <v>0</v>
      </c>
      <c r="CP59" s="442">
        <f>IF($H59&lt;&gt;CS$5,0,IF(CS59&lt;0,IF(OR($J59=1,$J59=2,$J59=3,$J59=4),-$E59*$I59/12*3,IF($J59=5,-$E59*$I59/12*2,IF($J59=6,-$E59*$I59/12*1,0)))))+IF(CN$5&lt;&gt;$H59,0,IF(CN59&lt;0,IF($J59=4,-$E59*$I59/12*0,IF($J59=5,-$E59*$I59/12*1,IF($J59=6,-$E59*$I59/12*2,IF($J59&gt;=7,-$E59*$I59/12*3,0))))))</f>
        <v>0</v>
      </c>
      <c r="CQ59" s="442">
        <f>IF($H59&lt;&gt;CS$5,0,IF(CS59&lt;0,IF(OR($J59=1,$J59=2,$J59=3,$J59=4,$J59=5,$J59=6,$J59=7),-$E59*$I59/12*3,IF($J59=8,-$E59*$I59/12*2,IF($J59=9,-$E59*$I59/12*1,0)))))+IF(CN$5&lt;&gt;$H59,0,IF(CN59&lt;0,IF($J59=7,-$E59*$I59/12*0,IF($J59=8,-$E59*$I59/12*1,IF($J59=9,-$E59*$I59/12*2,IF($J59&gt;=10,-$E59*$I59/12*3,0))))))</f>
        <v>0</v>
      </c>
      <c r="CR59" s="443">
        <f>IF($H59&lt;&gt;CS$5,0,IF(CS59&lt;0,IF(OR($J59=1,$J59=2,$J59=3,$J59=4,$J59=5,$J59=6,$J59=7,$J59=8,$J59=9,$J59=10),-$E59*$I59/12*3,IF($J59=11,-$E59*$I59/12*2,IF($J59=12,-$E59*$I59/12*1,0)))))+IF(CN$5&lt;&gt;$H59,0,IF(CN59&lt;0,IF($J59=10,-$E59*$I59/12*0,IF($J59=11,-$E59*$I59/12*1,IF($J59=12,-$E59*$I59/12*2,0)))))</f>
        <v>0</v>
      </c>
      <c r="CS59" s="440">
        <f>IF(AND(CN59&lt;&gt;0,CN$5=$H59),-$I59*$E59-CN59,IF(CS$5=$H59,-$I59*$E59*(12-$J59+1)/12,0))</f>
        <v>0</v>
      </c>
      <c r="CT59" s="441">
        <f>IF($H59&lt;&gt;CX$5,0,IF(CX59&lt;0,IF($J59=1,-$E59*$I59/12*3,IF($J59=2,-$E59*$I59/12*2,IF($J59=3,-$E59*$I59/12*1,0)))))+IF(CS$5&lt;&gt;$H59,0,IF(CS59&lt;0,IF($J59=1,-$E59*$I59/12*0,IF($J59=2,-$E59*$I59/12*1,IF($J59=3,-$E59*$I59/12*2,IF($J59&gt;=4,-$E59*$I59/12*3,0))))))</f>
        <v>0</v>
      </c>
      <c r="CU59" s="442">
        <f>IF($H59&lt;&gt;CX$5,0,IF(CX59&lt;0,IF(OR($J59=1,$J59=2,$J59=3,$J59=4),-$E59*$I59/12*3,IF($J59=5,-$E59*$I59/12*2,IF($J59=6,-$E59*$I59/12*1,0)))))+IF(CS$5&lt;&gt;$H59,0,IF(CS59&lt;0,IF($J59=4,-$E59*$I59/12*0,IF($J59=5,-$E59*$I59/12*1,IF($J59=6,-$E59*$I59/12*2,IF($J59&gt;=7,-$E59*$I59/12*3,0))))))</f>
        <v>0</v>
      </c>
      <c r="CV59" s="442">
        <f>IF($H59&lt;&gt;CX$5,0,IF(CX59&lt;0,IF(OR($J59=1,$J59=2,$J59=3,$J59=4,$J59=5,$J59=6,$J59=7),-$E59*$I59/12*3,IF($J59=8,-$E59*$I59/12*2,IF($J59=9,-$E59*$I59/12*1,0)))))+IF(CS$5&lt;&gt;$H59,0,IF(CS59&lt;0,IF($J59=7,-$E59*$I59/12*0,IF($J59=8,-$E59*$I59/12*1,IF($J59=9,-$E59*$I59/12*2,IF($J59&gt;=10,-$E59*$I59/12*3,0))))))</f>
        <v>0</v>
      </c>
      <c r="CW59" s="443">
        <f>IF($H59&lt;&gt;CX$5,0,IF(CX59&lt;0,IF(OR($J59=1,$J59=2,$J59=3,$J59=4,$J59=5,$J59=6,$J59=7,$J59=8,$J59=9,$J59=10),-$E59*$I59/12*3,IF($J59=11,-$E59*$I59/12*2,IF($J59=12,-$E59*$I59/12*1,0)))))+IF(CS$5&lt;&gt;$H59,0,IF(CS59&lt;0,IF($J59=10,-$E59*$I59/12*0,IF($J59=11,-$E59*$I59/12*1,IF($J59=12,-$E59*$I59/12*2,0)))))</f>
        <v>0</v>
      </c>
      <c r="CX59" s="440">
        <f>IF(AND(CS59&lt;&gt;0,CS$5=$H59),-$I59*$E59-CS59,IF(CX$5=$H59,-$I59*$E59*(12-$J59+1)/12,0))</f>
        <v>0</v>
      </c>
      <c r="CY59" s="441">
        <f>IF($H59&lt;&gt;DC$5,0,IF(DC59&lt;0,IF($J59=1,-$E59*$I59/12*3,IF($J59=2,-$E59*$I59/12*2,IF($J59=3,-$E59*$I59/12*1,0)))))+IF(CX$5&lt;&gt;$H59,0,IF(CX59&lt;0,IF($J59=1,-$E59*$I59/12*0,IF($J59=2,-$E59*$I59/12*1,IF($J59=3,-$E59*$I59/12*2,IF($J59&gt;=4,-$E59*$I59/12*3,0))))))</f>
        <v>0</v>
      </c>
      <c r="CZ59" s="442">
        <f>IF($H59&lt;&gt;DC$5,0,IF(DC59&lt;0,IF(OR($J59=1,$J59=2,$J59=3,$J59=4),-$E59*$I59/12*3,IF($J59=5,-$E59*$I59/12*2,IF($J59=6,-$E59*$I59/12*1,0)))))+IF(CX$5&lt;&gt;$H59,0,IF(CX59&lt;0,IF($J59=4,-$E59*$I59/12*0,IF($J59=5,-$E59*$I59/12*1,IF($J59=6,-$E59*$I59/12*2,IF($J59&gt;=7,-$E59*$I59/12*3,0))))))</f>
        <v>0</v>
      </c>
      <c r="DA59" s="442">
        <f>IF($H59&lt;&gt;DC$5,0,IF(DC59&lt;0,IF(OR($J59=1,$J59=2,$J59=3,$J59=4,$J59=5,$J59=6,$J59=7),-$E59*$I59/12*3,IF($J59=8,-$E59*$I59/12*2,IF($J59=9,-$E59*$I59/12*1,0)))))+IF(CX$5&lt;&gt;$H59,0,IF(CX59&lt;0,IF($J59=7,-$E59*$I59/12*0,IF($J59=8,-$E59*$I59/12*1,IF($J59=9,-$E59*$I59/12*2,IF($J59&gt;=10,-$E59*$I59/12*3,0))))))</f>
        <v>0</v>
      </c>
      <c r="DB59" s="443">
        <f>IF($H59&lt;&gt;DC$5,0,IF(DC59&lt;0,IF(OR($J59=1,$J59=2,$J59=3,$J59=4,$J59=5,$J59=6,$J59=7,$J59=8,$J59=9,$J59=10),-$E59*$I59/12*3,IF($J59=11,-$E59*$I59/12*2,IF($J59=12,-$E59*$I59/12*1,0)))))+IF(CX$5&lt;&gt;$H59,0,IF(CX59&lt;0,IF($J59=10,-$E59*$I59/12*0,IF($J59=11,-$E59*$I59/12*1,IF($J59=12,-$E59*$I59/12*2,0)))))</f>
        <v>0</v>
      </c>
      <c r="DC59" s="440">
        <f>IF(AND(CX59&lt;&gt;0,CX$5=$H59),-$I59*$E59-CX59,IF(DC$5=$H59,-$I59*$E59*(12-$J59+1)/12,0))</f>
        <v>0</v>
      </c>
      <c r="DD59" s="441">
        <f>IF($H59&lt;&gt;DH$5,0,IF(DH59&lt;0,IF($J59=1,-$E59*$I59/12*3,IF($J59=2,-$E59*$I59/12*2,IF($J59=3,-$E59*$I59/12*1,0)))))+IF(DC$5&lt;&gt;$H59,0,IF(DC59&lt;0,IF($J59=1,-$E59*$I59/12*0,IF($J59=2,-$E59*$I59/12*1,IF($J59=3,-$E59*$I59/12*2,IF($J59&gt;=4,-$E59*$I59/12*3,0))))))</f>
        <v>0</v>
      </c>
      <c r="DE59" s="442">
        <f>IF($H59&lt;&gt;DH$5,0,IF(DH59&lt;0,IF(OR($J59=1,$J59=2,$J59=3,$J59=4),-$E59*$I59/12*3,IF($J59=5,-$E59*$I59/12*2,IF($J59=6,-$E59*$I59/12*1,0)))))+IF(DC$5&lt;&gt;$H59,0,IF(DC59&lt;0,IF($J59=4,-$E59*$I59/12*0,IF($J59=5,-$E59*$I59/12*1,IF($J59=6,-$E59*$I59/12*2,IF($J59&gt;=7,-$E59*$I59/12*3,0))))))</f>
        <v>0</v>
      </c>
      <c r="DF59" s="442">
        <f>IF($H59&lt;&gt;DH$5,0,IF(DH59&lt;0,IF(OR($J59=1,$J59=2,$J59=3,$J59=4,$J59=5,$J59=6,$J59=7),-$E59*$I59/12*3,IF($J59=8,-$E59*$I59/12*2,IF($J59=9,-$E59*$I59/12*1,0)))))+IF(DC$5&lt;&gt;$H59,0,IF(DC59&lt;0,IF($J59=7,-$E59*$I59/12*0,IF($J59=8,-$E59*$I59/12*1,IF($J59=9,-$E59*$I59/12*2,IF($J59&gt;=10,-$E59*$I59/12*3,0))))))</f>
        <v>0</v>
      </c>
      <c r="DG59" s="443">
        <f>IF($H59&lt;&gt;DH$5,0,IF(DH59&lt;0,IF(OR($J59=1,$J59=2,$J59=3,$J59=4,$J59=5,$J59=6,$J59=7,$J59=8,$J59=9,$J59=10),-$E59*$I59/12*3,IF($J59=11,-$E59*$I59/12*2,IF($J59=12,-$E59*$I59/12*1,0)))))+IF(DC$5&lt;&gt;$H59,0,IF(DC59&lt;0,IF($J59=10,-$E59*$I59/12*0,IF($J59=11,-$E59*$I59/12*1,IF($J59=12,-$E59*$I59/12*2,0)))))</f>
        <v>0</v>
      </c>
      <c r="DH59" s="440">
        <f>IF(AND(DC59&lt;&gt;0,DC$5=$H59),-$I59*$E59-DC59,IF(DH$5=$H59,-$I59*$E59*(12-$J59+1)/12,0))</f>
        <v>0</v>
      </c>
      <c r="DI59" s="441">
        <f>IF($H59&lt;&gt;DM$5,0,IF(DM59&lt;0,IF($J59=1,-$E59*$I59/12*3,IF($J59=2,-$E59*$I59/12*2,IF($J59=3,-$E59*$I59/12*1,0)))))+IF(DH$5&lt;&gt;$H59,0,IF(DH59&lt;0,IF($J59=1,-$E59*$I59/12*0,IF($J59=2,-$E59*$I59/12*1,IF($J59=3,-$E59*$I59/12*2,IF($J59&gt;=4,-$E59*$I59/12*3,0))))))</f>
        <v>0</v>
      </c>
      <c r="DJ59" s="442">
        <f>IF($H59&lt;&gt;DM$5,0,IF(DM59&lt;0,IF(OR($J59=1,$J59=2,$J59=3,$J59=4),-$E59*$I59/12*3,IF($J59=5,-$E59*$I59/12*2,IF($J59=6,-$E59*$I59/12*1,0)))))+IF(DH$5&lt;&gt;$H59,0,IF(DH59&lt;0,IF($J59=4,-$E59*$I59/12*0,IF($J59=5,-$E59*$I59/12*1,IF($J59=6,-$E59*$I59/12*2,IF($J59&gt;=7,-$E59*$I59/12*3,0))))))</f>
        <v>0</v>
      </c>
      <c r="DK59" s="442">
        <f>IF($H59&lt;&gt;DM$5,0,IF(DM59&lt;0,IF(OR($J59=1,$J59=2,$J59=3,$J59=4,$J59=5,$J59=6,$J59=7),-$E59*$I59/12*3,IF($J59=8,-$E59*$I59/12*2,IF($J59=9,-$E59*$I59/12*1,0)))))+IF(DH$5&lt;&gt;$H59,0,IF(DH59&lt;0,IF($J59=7,-$E59*$I59/12*0,IF($J59=8,-$E59*$I59/12*1,IF($J59=9,-$E59*$I59/12*2,IF($J59&gt;=10,-$E59*$I59/12*3,0))))))</f>
        <v>0</v>
      </c>
      <c r="DL59" s="443">
        <f>IF($H59&lt;&gt;DM$5,0,IF(DM59&lt;0,IF(OR($J59=1,$J59=2,$J59=3,$J59=4,$J59=5,$J59=6,$J59=7,$J59=8,$J59=9,$J59=10),-$E59*$I59/12*3,IF($J59=11,-$E59*$I59/12*2,IF($J59=12,-$E59*$I59/12*1,0)))))+IF(DH$5&lt;&gt;$H59,0,IF(DH59&lt;0,IF($J59=10,-$E59*$I59/12*0,IF($J59=11,-$E59*$I59/12*1,IF($J59=12,-$E59*$I59/12*2,0)))))</f>
        <v>0</v>
      </c>
      <c r="DM59" s="440">
        <f>IF(AND(DH59&lt;&gt;0,DH$5=$H59),-$I59*$E59-DH59,IF(DM$5=$H59,-$I59*$E59*(12-$J59+1)/12,0))</f>
        <v>0</v>
      </c>
      <c r="DN59" s="441">
        <f>IF($H59&lt;&gt;DR$5,0,IF(DR59&lt;0,IF($J59=1,-$E59*$I59/12*3,IF($J59=2,-$E59*$I59/12*2,IF($J59=3,-$E59*$I59/12*1,0)))))+IF(DM$5&lt;&gt;$H59,0,IF(DM59&lt;0,IF($J59=1,-$E59*$I59/12*0,IF($J59=2,-$E59*$I59/12*1,IF($J59=3,-$E59*$I59/12*2,IF($J59&gt;=4,-$E59*$I59/12*3,0))))))</f>
        <v>0</v>
      </c>
      <c r="DO59" s="442">
        <f>IF($H59&lt;&gt;DR$5,0,IF(DR59&lt;0,IF(OR($J59=1,$J59=2,$J59=3,$J59=4),-$E59*$I59/12*3,IF($J59=5,-$E59*$I59/12*2,IF($J59=6,-$E59*$I59/12*1,0)))))+IF(DM$5&lt;&gt;$H59,0,IF(DM59&lt;0,IF($J59=4,-$E59*$I59/12*0,IF($J59=5,-$E59*$I59/12*1,IF($J59=6,-$E59*$I59/12*2,IF($J59&gt;=7,-$E59*$I59/12*3,0))))))</f>
        <v>0</v>
      </c>
      <c r="DP59" s="442">
        <f>IF($H59&lt;&gt;DR$5,0,IF(DR59&lt;0,IF(OR($J59=1,$J59=2,$J59=3,$J59=4,$J59=5,$J59=6,$J59=7),-$E59*$I59/12*3,IF($J59=8,-$E59*$I59/12*2,IF($J59=9,-$E59*$I59/12*1,0)))))+IF(DM$5&lt;&gt;$H59,0,IF(DM59&lt;0,IF($J59=7,-$E59*$I59/12*0,IF($J59=8,-$E59*$I59/12*1,IF($J59=9,-$E59*$I59/12*2,IF($J59&gt;=10,-$E59*$I59/12*3,0))))))</f>
        <v>-1.2649999999999999</v>
      </c>
      <c r="DQ59" s="443">
        <f>IF($H59&lt;&gt;DR$5,0,IF(DR59&lt;0,IF(OR($J59=1,$J59=2,$J59=3,$J59=4,$J59=5,$J59=6,$J59=7,$J59=8,$J59=9,$J59=10),-$E59*$I59/12*3,IF($J59=11,-$E59*$I59/12*2,IF($J59=12,-$E59*$I59/12*1,0)))))+IF(DM$5&lt;&gt;$H59,0,IF(DM59&lt;0,IF($J59=10,-$E59*$I59/12*0,IF($J59=11,-$E59*$I59/12*1,IF($J59=12,-$E59*$I59/12*2,0)))))</f>
        <v>-1.2649999999999999</v>
      </c>
      <c r="DR59" s="440">
        <f>IF(AND(DM59&lt;&gt;0,DM$5=$H59),-$I59*$E59-DM59,IF(DR$5=$H59,-$I59*$E59*(12-$J59+1)/12,0))</f>
        <v>-2.5299999999999998</v>
      </c>
    </row>
    <row r="60" spans="1:122" ht="12.75" customHeight="1">
      <c r="A60" s="92"/>
      <c r="B60" s="92"/>
      <c r="C60" s="1362"/>
      <c r="D60" s="395"/>
      <c r="E60" s="202"/>
      <c r="F60" s="1358"/>
      <c r="G60" s="1358"/>
      <c r="H60" s="1359"/>
      <c r="I60" s="1360"/>
      <c r="J60" s="1361"/>
      <c r="K60" s="549"/>
      <c r="L60" s="460"/>
      <c r="M60" s="461"/>
      <c r="N60" s="461"/>
      <c r="O60" s="462"/>
      <c r="P60" s="466"/>
      <c r="Q60" s="460"/>
      <c r="R60" s="461"/>
      <c r="S60" s="461"/>
      <c r="T60" s="462"/>
      <c r="U60" s="464"/>
      <c r="V60" s="460"/>
      <c r="W60" s="461"/>
      <c r="X60" s="461"/>
      <c r="Y60" s="462"/>
      <c r="Z60" s="464"/>
      <c r="AA60" s="460"/>
      <c r="AB60" s="461"/>
      <c r="AC60" s="461"/>
      <c r="AD60" s="462"/>
      <c r="AE60" s="464"/>
      <c r="AF60" s="460"/>
      <c r="AG60" s="461"/>
      <c r="AH60" s="461"/>
      <c r="AI60" s="462"/>
      <c r="AJ60" s="464"/>
      <c r="AK60" s="460"/>
      <c r="AL60" s="461"/>
      <c r="AM60" s="461"/>
      <c r="AN60" s="462"/>
      <c r="AO60" s="464"/>
      <c r="AP60" s="460"/>
      <c r="AQ60" s="461"/>
      <c r="AR60" s="461"/>
      <c r="AS60" s="462"/>
      <c r="AT60" s="464"/>
      <c r="AU60" s="460"/>
      <c r="AV60" s="461"/>
      <c r="AW60" s="461"/>
      <c r="AX60" s="462"/>
      <c r="AY60" s="464"/>
      <c r="AZ60" s="460"/>
      <c r="BA60" s="461"/>
      <c r="BB60" s="461"/>
      <c r="BC60" s="462"/>
      <c r="BD60" s="464"/>
      <c r="BE60" s="460"/>
      <c r="BF60" s="461"/>
      <c r="BG60" s="461"/>
      <c r="BH60" s="462"/>
      <c r="BI60" s="464"/>
      <c r="BJ60" s="460"/>
      <c r="BK60" s="461"/>
      <c r="BL60" s="461"/>
      <c r="BM60" s="462"/>
      <c r="BN60" s="464"/>
      <c r="BO60" s="465"/>
      <c r="BP60" s="460"/>
      <c r="BQ60" s="461"/>
      <c r="BR60" s="461"/>
      <c r="BS60" s="462"/>
      <c r="BT60" s="464"/>
      <c r="BU60" s="460"/>
      <c r="BV60" s="461"/>
      <c r="BW60" s="461"/>
      <c r="BX60" s="462"/>
      <c r="BY60" s="464"/>
      <c r="BZ60" s="460"/>
      <c r="CA60" s="461"/>
      <c r="CB60" s="461"/>
      <c r="CC60" s="462"/>
      <c r="CD60" s="464"/>
      <c r="CE60" s="460"/>
      <c r="CF60" s="461"/>
      <c r="CG60" s="461"/>
      <c r="CH60" s="462"/>
      <c r="CI60" s="464"/>
      <c r="CJ60" s="460"/>
      <c r="CK60" s="461"/>
      <c r="CL60" s="461"/>
      <c r="CM60" s="462"/>
      <c r="CN60" s="464"/>
      <c r="CO60" s="460"/>
      <c r="CP60" s="461"/>
      <c r="CQ60" s="461"/>
      <c r="CR60" s="462"/>
      <c r="CS60" s="464"/>
      <c r="CT60" s="460"/>
      <c r="CU60" s="461"/>
      <c r="CV60" s="461"/>
      <c r="CW60" s="462"/>
      <c r="CX60" s="464"/>
      <c r="CY60" s="460"/>
      <c r="CZ60" s="461"/>
      <c r="DA60" s="461"/>
      <c r="DB60" s="462"/>
      <c r="DC60" s="464"/>
      <c r="DD60" s="460"/>
      <c r="DE60" s="461"/>
      <c r="DF60" s="461"/>
      <c r="DG60" s="462"/>
      <c r="DH60" s="464"/>
      <c r="DI60" s="460"/>
      <c r="DJ60" s="461"/>
      <c r="DK60" s="461"/>
      <c r="DL60" s="462"/>
      <c r="DM60" s="464"/>
      <c r="DN60" s="460"/>
      <c r="DO60" s="461"/>
      <c r="DP60" s="461"/>
      <c r="DQ60" s="462"/>
      <c r="DR60" s="464"/>
    </row>
    <row r="61" spans="1:122" ht="12.75" customHeight="1">
      <c r="A61" s="92"/>
      <c r="B61" s="92"/>
      <c r="C61" s="1363" t="s">
        <v>313</v>
      </c>
      <c r="D61" s="395"/>
      <c r="E61" s="202"/>
      <c r="F61" s="1358"/>
      <c r="G61" s="1358"/>
      <c r="H61" s="1359"/>
      <c r="I61" s="1360"/>
      <c r="J61" s="1361"/>
      <c r="K61" s="549"/>
      <c r="L61" s="460"/>
      <c r="M61" s="461"/>
      <c r="N61" s="461"/>
      <c r="O61" s="462"/>
      <c r="P61" s="466"/>
      <c r="Q61" s="460"/>
      <c r="R61" s="461"/>
      <c r="S61" s="461"/>
      <c r="T61" s="462"/>
      <c r="U61" s="464"/>
      <c r="V61" s="460"/>
      <c r="W61" s="461"/>
      <c r="X61" s="461"/>
      <c r="Y61" s="462"/>
      <c r="Z61" s="464"/>
      <c r="AA61" s="460"/>
      <c r="AB61" s="461"/>
      <c r="AC61" s="461"/>
      <c r="AD61" s="462"/>
      <c r="AE61" s="464"/>
      <c r="AF61" s="460"/>
      <c r="AG61" s="461"/>
      <c r="AH61" s="461"/>
      <c r="AI61" s="462"/>
      <c r="AJ61" s="464"/>
      <c r="AK61" s="460"/>
      <c r="AL61" s="461"/>
      <c r="AM61" s="461"/>
      <c r="AN61" s="462"/>
      <c r="AO61" s="464"/>
      <c r="AP61" s="460"/>
      <c r="AQ61" s="461"/>
      <c r="AR61" s="461"/>
      <c r="AS61" s="462"/>
      <c r="AT61" s="464"/>
      <c r="AU61" s="460"/>
      <c r="AV61" s="461"/>
      <c r="AW61" s="461"/>
      <c r="AX61" s="462"/>
      <c r="AY61" s="464"/>
      <c r="AZ61" s="460"/>
      <c r="BA61" s="461"/>
      <c r="BB61" s="461"/>
      <c r="BC61" s="462"/>
      <c r="BD61" s="464"/>
      <c r="BE61" s="460"/>
      <c r="BF61" s="461"/>
      <c r="BG61" s="461"/>
      <c r="BH61" s="462"/>
      <c r="BI61" s="464"/>
      <c r="BJ61" s="460"/>
      <c r="BK61" s="461"/>
      <c r="BL61" s="461"/>
      <c r="BM61" s="462"/>
      <c r="BN61" s="464"/>
      <c r="BO61" s="465"/>
      <c r="BP61" s="460"/>
      <c r="BQ61" s="461"/>
      <c r="BR61" s="461"/>
      <c r="BS61" s="462"/>
      <c r="BT61" s="464"/>
      <c r="BU61" s="460"/>
      <c r="BV61" s="461"/>
      <c r="BW61" s="461"/>
      <c r="BX61" s="462"/>
      <c r="BY61" s="464"/>
      <c r="BZ61" s="460"/>
      <c r="CA61" s="461"/>
      <c r="CB61" s="461"/>
      <c r="CC61" s="462"/>
      <c r="CD61" s="464"/>
      <c r="CE61" s="460"/>
      <c r="CF61" s="461"/>
      <c r="CG61" s="461"/>
      <c r="CH61" s="462"/>
      <c r="CI61" s="464"/>
      <c r="CJ61" s="460"/>
      <c r="CK61" s="461"/>
      <c r="CL61" s="461"/>
      <c r="CM61" s="462"/>
      <c r="CN61" s="464"/>
      <c r="CO61" s="460"/>
      <c r="CP61" s="461"/>
      <c r="CQ61" s="461"/>
      <c r="CR61" s="462"/>
      <c r="CS61" s="464"/>
      <c r="CT61" s="460"/>
      <c r="CU61" s="461"/>
      <c r="CV61" s="461"/>
      <c r="CW61" s="462"/>
      <c r="CX61" s="464"/>
      <c r="CY61" s="460"/>
      <c r="CZ61" s="461"/>
      <c r="DA61" s="461"/>
      <c r="DB61" s="462"/>
      <c r="DC61" s="464"/>
      <c r="DD61" s="460"/>
      <c r="DE61" s="461"/>
      <c r="DF61" s="461"/>
      <c r="DG61" s="462"/>
      <c r="DH61" s="464"/>
      <c r="DI61" s="460"/>
      <c r="DJ61" s="461"/>
      <c r="DK61" s="461"/>
      <c r="DL61" s="462"/>
      <c r="DM61" s="464"/>
      <c r="DN61" s="460"/>
      <c r="DO61" s="461"/>
      <c r="DP61" s="461"/>
      <c r="DQ61" s="462"/>
      <c r="DR61" s="464"/>
    </row>
    <row r="62" spans="1:122" ht="12.75" customHeight="1">
      <c r="A62" s="92"/>
      <c r="B62" s="92"/>
      <c r="C62" s="1123" t="s">
        <v>73</v>
      </c>
      <c r="D62" s="395"/>
      <c r="E62" s="865">
        <f>IF(F62=0,G62,F62)</f>
        <v>28.524999999999999</v>
      </c>
      <c r="F62" s="1945">
        <v>0</v>
      </c>
      <c r="G62" s="1945">
        <v>28.524999999999999</v>
      </c>
      <c r="H62" s="1308">
        <v>2017</v>
      </c>
      <c r="I62" s="1948">
        <v>2.1499999999999998E-2</v>
      </c>
      <c r="J62" s="1357">
        <v>3</v>
      </c>
      <c r="K62" s="549"/>
      <c r="L62" s="441">
        <f>IF(P62=0,0,IF(P62&lt;0,IF($J62=3,P62,IF($J62=2,P62,IF($J62=1,P62,0)))))</f>
        <v>0</v>
      </c>
      <c r="M62" s="442">
        <f>IF(P62=0,0,IF(P62&lt;0,IF($J62=6,P62,IF($J62=5,P62,IF($J62=4,P62,0)))))</f>
        <v>0</v>
      </c>
      <c r="N62" s="442">
        <f>IF(P62=0,0,IF(P62&lt;0,IF($J62=9,P62,IF($J62=8,P62,IF($J62=7,P62,0)))))</f>
        <v>0</v>
      </c>
      <c r="O62" s="443">
        <f>IF(P62=0,0,IF(P62&lt;0,IF($J62=12,P62,IF($J62=11,P62,IF($J62=10,P62,0)))))</f>
        <v>0</v>
      </c>
      <c r="P62" s="440">
        <f>IF(P$5=$H62,-$E62,0)</f>
        <v>0</v>
      </c>
      <c r="Q62" s="441">
        <f>IF(U62=0,0,IF(U62&lt;0,IF($J62=3,U62,IF($J62=2,U62,IF($J62=1,U62,0)))))</f>
        <v>0</v>
      </c>
      <c r="R62" s="442">
        <f>IF(U62=0,0,IF(U62&lt;0,IF($J62=6,U62,IF($J62=5,U62,IF($J62=4,U62,0)))))</f>
        <v>0</v>
      </c>
      <c r="S62" s="442">
        <f>IF(U62=0,0,IF(U62&lt;0,IF($J62=9,U62,IF($J62=8,U62,IF($J62=7,U62,0)))))</f>
        <v>0</v>
      </c>
      <c r="T62" s="443">
        <f>IF(U62=0,0,IF(U62&lt;0,IF($J62=12,U62,IF($J62=11,U62,IF($J62=10,U62,0)))))</f>
        <v>0</v>
      </c>
      <c r="U62" s="440">
        <f>IF(U$5=$H62,-$E62,0)</f>
        <v>0</v>
      </c>
      <c r="V62" s="441">
        <f>IF(Z62=0,0,IF(Z62&lt;0,IF($J62=3,Z62,IF($J62=2,Z62,IF($J62=1,Z62,0)))))</f>
        <v>0</v>
      </c>
      <c r="W62" s="442">
        <f>IF(Z62=0,0,IF(Z62&lt;0,IF($J62=6,Z62,IF($J62=5,Z62,IF($J62=4,Z62,0)))))</f>
        <v>0</v>
      </c>
      <c r="X62" s="442">
        <f>IF(Z62=0,0,IF(Z62&lt;0,IF($J62=9,Z62,IF($J62=8,Z62,IF($J62=7,Z62,0)))))</f>
        <v>0</v>
      </c>
      <c r="Y62" s="443">
        <f>IF(Z62=0,0,IF(Z62&lt;0,IF($J62=12,Z62,IF($J62=11,Z62,IF($J62=10,Z62,0)))))</f>
        <v>0</v>
      </c>
      <c r="Z62" s="440">
        <f>IF(Z$5=$H62,-$E62,0)</f>
        <v>0</v>
      </c>
      <c r="AA62" s="441">
        <f>IF(AE62=0,0,IF(AE62&lt;0,IF($J62=3,AE62,IF($J62=2,AE62,IF($J62=1,AE62,0)))))</f>
        <v>0</v>
      </c>
      <c r="AB62" s="442">
        <f>IF(AE62=0,0,IF(AE62&lt;0,IF($J62=6,AE62,IF($J62=5,AE62,IF($J62=4,AE62,0)))))</f>
        <v>0</v>
      </c>
      <c r="AC62" s="442">
        <f>IF(AE62=0,0,IF(AE62&lt;0,IF($J62=9,AE62,IF($J62=8,AE62,IF($J62=7,AE62,0)))))</f>
        <v>0</v>
      </c>
      <c r="AD62" s="443">
        <f>IF(AE62=0,0,IF(AE62&lt;0,IF($J62=12,AE62,IF($J62=11,AE62,IF($J62=10,AE62,0)))))</f>
        <v>0</v>
      </c>
      <c r="AE62" s="440">
        <f>IF(AE$5=$H62,-$E62,0)</f>
        <v>0</v>
      </c>
      <c r="AF62" s="441">
        <f>IF(AJ62=0,0,IF(AJ62&lt;0,IF($J62=3,AJ62,IF($J62=2,AJ62,IF($J62=1,AJ62,0)))))</f>
        <v>0</v>
      </c>
      <c r="AG62" s="442">
        <f>IF(AJ62=0,0,IF(AJ62&lt;0,IF($J62=6,AJ62,IF($J62=5,AJ62,IF($J62=4,AJ62,0)))))</f>
        <v>0</v>
      </c>
      <c r="AH62" s="442">
        <f>IF(AJ62=0,0,IF(AJ62&lt;0,IF($J62=9,AJ62,IF($J62=8,AJ62,IF($J62=7,AJ62,0)))))</f>
        <v>0</v>
      </c>
      <c r="AI62" s="443">
        <f>IF(AJ62=0,0,IF(AJ62&lt;0,IF($J62=12,AJ62,IF($J62=11,AJ62,IF($J62=10,AJ62,0)))))</f>
        <v>0</v>
      </c>
      <c r="AJ62" s="440">
        <f>IF(AJ$5=$H62,-$E62,0)</f>
        <v>0</v>
      </c>
      <c r="AK62" s="441">
        <f>IF(AO62=0,0,IF(AO62&lt;0,IF($J62=3,AO62,IF($J62=2,AO62,IF($J62=1,AO62,0)))))</f>
        <v>0</v>
      </c>
      <c r="AL62" s="442">
        <f>IF(AO62=0,0,IF(AO62&lt;0,IF($J62=6,AO62,IF($J62=5,AO62,IF($J62=4,AO62,0)))))</f>
        <v>0</v>
      </c>
      <c r="AM62" s="442">
        <f>IF(AO62=0,0,IF(AO62&lt;0,IF($J62=9,AO62,IF($J62=8,AO62,IF($J62=7,AO62,0)))))</f>
        <v>0</v>
      </c>
      <c r="AN62" s="443">
        <f>IF(AO62=0,0,IF(AO62&lt;0,IF($J62=12,AO62,IF($J62=11,AO62,IF($J62=10,AO62,0)))))</f>
        <v>0</v>
      </c>
      <c r="AO62" s="440">
        <f>IF(AO$5=$H62,-$E62,0)</f>
        <v>0</v>
      </c>
      <c r="AP62" s="441">
        <f>IF(AT62=0,0,IF(AT62&lt;0,IF($J62=3,AT62,IF($J62=2,AT62,IF($J62=1,AT62,0)))))</f>
        <v>-28.524999999999999</v>
      </c>
      <c r="AQ62" s="442">
        <f>IF(AT62=0,0,IF(AT62&lt;0,IF($J62=6,AT62,IF($J62=5,AT62,IF($J62=4,AT62,0)))))</f>
        <v>0</v>
      </c>
      <c r="AR62" s="442">
        <f>IF(AT62=0,0,IF(AT62&lt;0,IF($J62=9,AT62,IF($J62=8,AT62,IF($J62=7,AT62,0)))))</f>
        <v>0</v>
      </c>
      <c r="AS62" s="443">
        <f>IF(AT62=0,0,IF(AT62&lt;0,IF($J62=12,AT62,IF($J62=11,AT62,IF($J62=10,AT62,0)))))</f>
        <v>0</v>
      </c>
      <c r="AT62" s="440">
        <f>IF(AT$5=$H62,-$E62,0)</f>
        <v>-28.524999999999999</v>
      </c>
      <c r="AU62" s="441">
        <f>IF(AY62=0,0,IF(AY62&lt;0,IF($J62=3,AY62,IF($J62=2,AY62,IF($J62=1,AY62,0)))))</f>
        <v>0</v>
      </c>
      <c r="AV62" s="442">
        <f>IF(AY62=0,0,IF(AY62&lt;0,IF($J62=6,AY62,IF($J62=5,AY62,IF($J62=4,AY62,0)))))</f>
        <v>0</v>
      </c>
      <c r="AW62" s="442">
        <f>IF(AY62=0,0,IF(AY62&lt;0,IF($J62=9,AY62,IF($J62=8,AY62,IF($J62=7,AY62,0)))))</f>
        <v>0</v>
      </c>
      <c r="AX62" s="443">
        <f>IF(AY62=0,0,IF(AY62&lt;0,IF($J62=12,AY62,IF($J62=11,AY62,IF($J62=10,AY62,0)))))</f>
        <v>0</v>
      </c>
      <c r="AY62" s="440">
        <f>IF(AY$5=$H62,-$E62,0)</f>
        <v>0</v>
      </c>
      <c r="AZ62" s="441">
        <f>IF(BD62=0,0,IF(BD62&lt;0,IF($J62=3,BD62,IF($J62=2,BD62,IF($J62=1,BD62,0)))))</f>
        <v>0</v>
      </c>
      <c r="BA62" s="442">
        <f>IF(BD62=0,0,IF(BD62&lt;0,IF($J62=6,BD62,IF($J62=5,BD62,IF($J62=4,BD62,0)))))</f>
        <v>0</v>
      </c>
      <c r="BB62" s="442">
        <f>IF(BD62=0,0,IF(BD62&lt;0,IF($J62=9,BD62,IF($J62=8,BD62,IF($J62=7,BD62,0)))))</f>
        <v>0</v>
      </c>
      <c r="BC62" s="443">
        <f>IF(BD62=0,0,IF(BD62&lt;0,IF($J62=12,BD62,IF($J62=11,BD62,IF($J62=10,BD62,0)))))</f>
        <v>0</v>
      </c>
      <c r="BD62" s="440">
        <f>IF(BD$5=$H62,-$E62,0)</f>
        <v>0</v>
      </c>
      <c r="BE62" s="441">
        <f>IF(BI62=0,0,IF(BI62&lt;0,IF($J62=3,BI62,IF($J62=2,BI62,IF($J62=1,BI62,0)))))</f>
        <v>0</v>
      </c>
      <c r="BF62" s="442">
        <f>IF(BI62=0,0,IF(BI62&lt;0,IF($J62=6,BI62,IF($J62=5,BI62,IF($J62=4,BI62,0)))))</f>
        <v>0</v>
      </c>
      <c r="BG62" s="442">
        <f>IF(BI62=0,0,IF(BI62&lt;0,IF($J62=9,BI62,IF($J62=8,BI62,IF($J62=7,BI62,0)))))</f>
        <v>0</v>
      </c>
      <c r="BH62" s="443">
        <f>IF(BI62=0,0,IF(BI62&lt;0,IF($J62=12,BI62,IF($J62=11,BI62,IF($J62=10,BI62,0)))))</f>
        <v>0</v>
      </c>
      <c r="BI62" s="440">
        <f>IF(BI$5=$H62,-$E62,0)</f>
        <v>0</v>
      </c>
      <c r="BJ62" s="441">
        <f>IF(BN62=0,0,IF(BN62&lt;0,IF($J62=3,BN62,IF($J62=2,BN62,IF($J62=1,BN62,0)))))</f>
        <v>0</v>
      </c>
      <c r="BK62" s="442">
        <f>IF(BN62=0,0,IF(BN62&lt;0,IF($J62=6,BN62,IF($J62=5,BN62,IF($J62=4,BN62,0)))))</f>
        <v>0</v>
      </c>
      <c r="BL62" s="442">
        <f>IF(BN62=0,0,IF(BN62&lt;0,IF($J62=9,BN62,IF($J62=8,BN62,IF($J62=7,BN62,0)))))</f>
        <v>0</v>
      </c>
      <c r="BM62" s="443">
        <f>IF(BN62=0,0,IF(BN62&lt;0,IF($J62=12,BN62,IF($J62=11,BN62,IF($J62=10,BN62,0)))))</f>
        <v>0</v>
      </c>
      <c r="BN62" s="440">
        <f>IF(BN$5=$H62,-$E62,0)</f>
        <v>0</v>
      </c>
      <c r="BO62" s="465"/>
      <c r="BP62" s="441">
        <f>IF($H62&lt;&gt;BT$5,0,IF(BT62&lt;0,IF($J62=1,-$E62*$I62/12*3,IF($J62=2,-$E62*$I62/12*2,IF($J62=3,-$E62*$I62/12*1,0)))))+IF(BO$5&lt;&gt;$H62,0,IF(BO62&lt;0,IF($J62=1,-$E62*$I62/12*0,IF($J62=2,-$E62*$I62/12*1,IF($J62=3,-$E62*$I62/12*2,IF($J62&gt;=4,-$E62*$I62/12*3,0))))))</f>
        <v>0</v>
      </c>
      <c r="BQ62" s="442">
        <f>IF($H62&lt;&gt;BT$5,0,IF(BT62&lt;0,IF(OR($J62=1,$J62=2,$J62=3,$J62=4),-$E62*$I62/12*3,IF($J62=5,-$E62*$I62/12*2,IF($J62=6,-$E62*$I62/12*1,0)))))+IF(BO$5&lt;&gt;$H62,0,IF(BO62&lt;0,IF($J62=4,-$E62*$I62/12*0,IF($J62=5,-$E62*$I62/12*1,IF($J62=6,-$E62*$I62/12*2,IF($J62&gt;=7,-$E62*$I62/12*3,0))))))</f>
        <v>0</v>
      </c>
      <c r="BR62" s="442">
        <f>IF($H62&lt;&gt;BT$5,0,IF(BT62&lt;0,IF(OR($J62=1,$J62=2,$J62=3,$J62=4,$J62=5,$J62=6,$J62=7),-$E62*$I62/12*3,IF($J62=8,-$E62*$I62/12*2,IF($J62=9,-$E62*$I62/12*1,0)))))+IF(BO$5&lt;&gt;$H62,0,IF(BO62&lt;0,IF($J62=7,-$E62*$I62/12*0,IF($J62=8,-$E62*$I62/12*1,IF($J62=9,-$E62*$I62/12*2,IF($J62&gt;=10,-$E62*$I62/12*3,0))))))</f>
        <v>0</v>
      </c>
      <c r="BS62" s="443">
        <f>IF($H62&lt;&gt;BT$5,0,IF(BT62&lt;0,IF(OR($J62=1,$J62=2,$J62=3,$J62=4,$J62=5,$J62=6,$J62=7,$J62=8,$J62=9,$J62=10),-$E62*$I62/12*3,IF($J62=11,-$E62*$I62/12*2,IF($J62=12,-$E62*$I62/12*1,0)))))+IF(BO$5&lt;&gt;$H62,0,IF(BO62&lt;0,IF($J62=10,-$E62*$I62/12*0,IF($J62=11,-$E62*$I62/12*1,IF($J62=12,-$E62*$I62/12*2,0)))))</f>
        <v>0</v>
      </c>
      <c r="BT62" s="440">
        <f>IF(AND(BO62&lt;&gt;0,BO$5=$H62),-$I62*$E62-BO62,IF(BT$5=$H62,-$I62*$E62*(12-$J62+1)/12,0))</f>
        <v>0</v>
      </c>
      <c r="BU62" s="441">
        <f>IF($H62&lt;&gt;BY$5,0,IF(BY62&lt;0,IF($J62=1,-$E62*$I62/12*3,IF($J62=2,-$E62*$I62/12*2,IF($J62=3,-$E62*$I62/12*1,0)))))+IF(BT$5&lt;&gt;$H62,0,IF(BT62&lt;0,IF($J62=1,-$E62*$I62/12*0,IF($J62=2,-$E62*$I62/12*1,IF($J62=3,-$E62*$I62/12*2,IF($J62&gt;=4,-$E62*$I62/12*3,0))))))</f>
        <v>0</v>
      </c>
      <c r="BV62" s="442">
        <f>IF($H62&lt;&gt;BY$5,0,IF(BY62&lt;0,IF(OR($J62=1,$J62=2,$J62=3,$J62=4),-$E62*$I62/12*3,IF($J62=5,-$E62*$I62/12*2,IF($J62=6,-$E62*$I62/12*1,0)))))+IF(BT$5&lt;&gt;$H62,0,IF(BT62&lt;0,IF($J62=4,-$E62*$I62/12*0,IF($J62=5,-$E62*$I62/12*1,IF($J62=6,-$E62*$I62/12*2,IF($J62&gt;=7,-$E62*$I62/12*3,0))))))</f>
        <v>0</v>
      </c>
      <c r="BW62" s="442">
        <f>IF($H62&lt;&gt;BY$5,0,IF(BY62&lt;0,IF(OR($J62=1,$J62=2,$J62=3,$J62=4,$J62=5,$J62=6,$J62=7),-$E62*$I62/12*3,IF($J62=8,-$E62*$I62/12*2,IF($J62=9,-$E62*$I62/12*1,0)))))+IF(BT$5&lt;&gt;$H62,0,IF(BT62&lt;0,IF($J62=7,-$E62*$I62/12*0,IF($J62=8,-$E62*$I62/12*1,IF($J62=9,-$E62*$I62/12*2,IF($J62&gt;=10,-$E62*$I62/12*3,0))))))</f>
        <v>0</v>
      </c>
      <c r="BX62" s="443">
        <f>IF($H62&lt;&gt;BY$5,0,IF(BY62&lt;0,IF(OR($J62=1,$J62=2,$J62=3,$J62=4,$J62=5,$J62=6,$J62=7,$J62=8,$J62=9,$J62=10),-$E62*$I62/12*3,IF($J62=11,-$E62*$I62/12*2,IF($J62=12,-$E62*$I62/12*1,0)))))+IF(BT$5&lt;&gt;$H62,0,IF(BT62&lt;0,IF($J62=10,-$E62*$I62/12*0,IF($J62=11,-$E62*$I62/12*1,IF($J62=12,-$E62*$I62/12*2,0)))))</f>
        <v>0</v>
      </c>
      <c r="BY62" s="440">
        <f>IF(AND(BT62&lt;&gt;0,BT$5=$H62),-$I62*$E62-BT62,IF(BY$5=$H62,-$I62*$E62*(12-$J62+1)/12,0))</f>
        <v>0</v>
      </c>
      <c r="BZ62" s="441">
        <f>IF($H62&lt;&gt;CD$5,0,IF(CD62&lt;0,IF($J62=1,-$E62*$I62/12*3,IF($J62=2,-$E62*$I62/12*2,IF($J62=3,-$E62*$I62/12*1,0)))))+IF(BY$5&lt;&gt;$H62,0,IF(BY62&lt;0,IF($J62=1,-$E62*$I62/12*0,IF($J62=2,-$E62*$I62/12*1,IF($J62=3,-$E62*$I62/12*2,IF($J62&gt;=4,-$E62*$I62/12*3,0))))))</f>
        <v>0</v>
      </c>
      <c r="CA62" s="442">
        <f>IF($H62&lt;&gt;CD$5,0,IF(CD62&lt;0,IF(OR($J62=1,$J62=2,$J62=3,$J62=4),-$E62*$I62/12*3,IF($J62=5,-$E62*$I62/12*2,IF($J62=6,-$E62*$I62/12*1,0)))))+IF(BY$5&lt;&gt;$H62,0,IF(BY62&lt;0,IF($J62=4,-$E62*$I62/12*0,IF($J62=5,-$E62*$I62/12*1,IF($J62=6,-$E62*$I62/12*2,IF($J62&gt;=7,-$E62*$I62/12*3,0))))))</f>
        <v>0</v>
      </c>
      <c r="CB62" s="442">
        <f>IF($H62&lt;&gt;CD$5,0,IF(CD62&lt;0,IF(OR($J62=1,$J62=2,$J62=3,$J62=4,$J62=5,$J62=6,$J62=7),-$E62*$I62/12*3,IF($J62=8,-$E62*$I62/12*2,IF($J62=9,-$E62*$I62/12*1,0)))))+IF(BY$5&lt;&gt;$H62,0,IF(BY62&lt;0,IF($J62=7,-$E62*$I62/12*0,IF($J62=8,-$E62*$I62/12*1,IF($J62=9,-$E62*$I62/12*2,IF($J62&gt;=10,-$E62*$I62/12*3,0))))))</f>
        <v>0</v>
      </c>
      <c r="CC62" s="443">
        <f>IF($H62&lt;&gt;CD$5,0,IF(CD62&lt;0,IF(OR($J62=1,$J62=2,$J62=3,$J62=4,$J62=5,$J62=6,$J62=7,$J62=8,$J62=9,$J62=10),-$E62*$I62/12*3,IF($J62=11,-$E62*$I62/12*2,IF($J62=12,-$E62*$I62/12*1,0)))))+IF(BY$5&lt;&gt;$H62,0,IF(BY62&lt;0,IF($J62=10,-$E62*$I62/12*0,IF($J62=11,-$E62*$I62/12*1,IF($J62=12,-$E62*$I62/12*2,0)))))</f>
        <v>0</v>
      </c>
      <c r="CD62" s="440">
        <f>IF(AND(BY62&lt;&gt;0,BY$5=$H62),-$I62*$E62-BY62,IF(CD$5=$H62,-$I62*$E62*(12-$J62+1)/12,0))</f>
        <v>0</v>
      </c>
      <c r="CE62" s="441">
        <f>IF($H62&lt;&gt;CI$5,0,IF(CI62&lt;0,IF($J62=1,-$E62*$I62/12*3,IF($J62=2,-$E62*$I62/12*2,IF($J62=3,-$E62*$I62/12*1,0)))))+IF(CD$5&lt;&gt;$H62,0,IF(CD62&lt;0,IF($J62=1,-$E62*$I62/12*0,IF($J62=2,-$E62*$I62/12*1,IF($J62=3,-$E62*$I62/12*2,IF($J62&gt;=4,-$E62*$I62/12*3,0))))))</f>
        <v>0</v>
      </c>
      <c r="CF62" s="442">
        <f>IF($H62&lt;&gt;CI$5,0,IF(CI62&lt;0,IF(OR($J62=1,$J62=2,$J62=3,$J62=4),-$E62*$I62/12*3,IF($J62=5,-$E62*$I62/12*2,IF($J62=6,-$E62*$I62/12*1,0)))))+IF(CD$5&lt;&gt;$H62,0,IF(CD62&lt;0,IF($J62=4,-$E62*$I62/12*0,IF($J62=5,-$E62*$I62/12*1,IF($J62=6,-$E62*$I62/12*2,IF($J62&gt;=7,-$E62*$I62/12*3,0))))))</f>
        <v>0</v>
      </c>
      <c r="CG62" s="442">
        <f>IF($H62&lt;&gt;CI$5,0,IF(CI62&lt;0,IF(OR($J62=1,$J62=2,$J62=3,$J62=4,$J62=5,$J62=6,$J62=7),-$E62*$I62/12*3,IF($J62=8,-$E62*$I62/12*2,IF($J62=9,-$E62*$I62/12*1,0)))))+IF(CD$5&lt;&gt;$H62,0,IF(CD62&lt;0,IF($J62=7,-$E62*$I62/12*0,IF($J62=8,-$E62*$I62/12*1,IF($J62=9,-$E62*$I62/12*2,IF($J62&gt;=10,-$E62*$I62/12*3,0))))))</f>
        <v>0</v>
      </c>
      <c r="CH62" s="443">
        <f>IF($H62&lt;&gt;CI$5,0,IF(CI62&lt;0,IF(OR($J62=1,$J62=2,$J62=3,$J62=4,$J62=5,$J62=6,$J62=7,$J62=8,$J62=9,$J62=10),-$E62*$I62/12*3,IF($J62=11,-$E62*$I62/12*2,IF($J62=12,-$E62*$I62/12*1,0)))))+IF(CD$5&lt;&gt;$H62,0,IF(CD62&lt;0,IF($J62=10,-$E62*$I62/12*0,IF($J62=11,-$E62*$I62/12*1,IF($J62=12,-$E62*$I62/12*2,0)))))</f>
        <v>0</v>
      </c>
      <c r="CI62" s="440">
        <f>IF(AND(CD62&lt;&gt;0,CD$5=$H62),-$I62*$E62-CD62,IF(CI$5=$H62,-$I62*$E62*(12-$J62+1)/12,0))</f>
        <v>0</v>
      </c>
      <c r="CJ62" s="441">
        <f>IF($H62&lt;&gt;CN$5,0,IF(CN62&lt;0,IF($J62=1,-$E62*$I62/12*3,IF($J62=2,-$E62*$I62/12*2,IF($J62=3,-$E62*$I62/12*1,0)))))+IF(CI$5&lt;&gt;$H62,0,IF(CI62&lt;0,IF($J62=1,-$E62*$I62/12*0,IF($J62=2,-$E62*$I62/12*1,IF($J62=3,-$E62*$I62/12*2,IF($J62&gt;=4,-$E62*$I62/12*3,0))))))</f>
        <v>0</v>
      </c>
      <c r="CK62" s="442">
        <f>IF($H62&lt;&gt;CN$5,0,IF(CN62&lt;0,IF(OR($J62=1,$J62=2,$J62=3,$J62=4),-$E62*$I62/12*3,IF($J62=5,-$E62*$I62/12*2,IF($J62=6,-$E62*$I62/12*1,0)))))+IF(CI$5&lt;&gt;$H62,0,IF(CI62&lt;0,IF($J62=4,-$E62*$I62/12*0,IF($J62=5,-$E62*$I62/12*1,IF($J62=6,-$E62*$I62/12*2,IF($J62&gt;=7,-$E62*$I62/12*3,0))))))</f>
        <v>0</v>
      </c>
      <c r="CL62" s="442">
        <f>IF($H62&lt;&gt;CN$5,0,IF(CN62&lt;0,IF(OR($J62=1,$J62=2,$J62=3,$J62=4,$J62=5,$J62=6,$J62=7),-$E62*$I62/12*3,IF($J62=8,-$E62*$I62/12*2,IF($J62=9,-$E62*$I62/12*1,0)))))+IF(CI$5&lt;&gt;$H62,0,IF(CI62&lt;0,IF($J62=7,-$E62*$I62/12*0,IF($J62=8,-$E62*$I62/12*1,IF($J62=9,-$E62*$I62/12*2,IF($J62&gt;=10,-$E62*$I62/12*3,0))))))</f>
        <v>0</v>
      </c>
      <c r="CM62" s="443">
        <f>IF($H62&lt;&gt;CN$5,0,IF(CN62&lt;0,IF(OR($J62=1,$J62=2,$J62=3,$J62=4,$J62=5,$J62=6,$J62=7,$J62=8,$J62=9,$J62=10),-$E62*$I62/12*3,IF($J62=11,-$E62*$I62/12*2,IF($J62=12,-$E62*$I62/12*1,0)))))+IF(CI$5&lt;&gt;$H62,0,IF(CI62&lt;0,IF($J62=10,-$E62*$I62/12*0,IF($J62=11,-$E62*$I62/12*1,IF($J62=12,-$E62*$I62/12*2,0)))))</f>
        <v>0</v>
      </c>
      <c r="CN62" s="440">
        <f>IF(AND(CI62&lt;&gt;0,CI$5=$H62),-$I62*$E62-CI62,IF(CN$5=$H62,-$I62*$E62*(12-$J62+1)/12,0))</f>
        <v>0</v>
      </c>
      <c r="CO62" s="441">
        <f>IF($H62&lt;&gt;CS$5,0,IF(CS62&lt;0,IF($J62=1,-$E62*$I62/12*3,IF($J62=2,-$E62*$I62/12*2,IF($J62=3,-$E62*$I62/12*1,0)))))+IF(CN$5&lt;&gt;$H62,0,IF(CN62&lt;0,IF($J62=1,-$E62*$I62/12*0,IF($J62=2,-$E62*$I62/12*1,IF($J62=3,-$E62*$I62/12*2,IF($J62&gt;=4,-$E62*$I62/12*3,0))))))</f>
        <v>0</v>
      </c>
      <c r="CP62" s="442">
        <f>IF($H62&lt;&gt;CS$5,0,IF(CS62&lt;0,IF(OR($J62=1,$J62=2,$J62=3,$J62=4),-$E62*$I62/12*3,IF($J62=5,-$E62*$I62/12*2,IF($J62=6,-$E62*$I62/12*1,0)))))+IF(CN$5&lt;&gt;$H62,0,IF(CN62&lt;0,IF($J62=4,-$E62*$I62/12*0,IF($J62=5,-$E62*$I62/12*1,IF($J62=6,-$E62*$I62/12*2,IF($J62&gt;=7,-$E62*$I62/12*3,0))))))</f>
        <v>0</v>
      </c>
      <c r="CQ62" s="442">
        <f>IF($H62&lt;&gt;CS$5,0,IF(CS62&lt;0,IF(OR($J62=1,$J62=2,$J62=3,$J62=4,$J62=5,$J62=6,$J62=7),-$E62*$I62/12*3,IF($J62=8,-$E62*$I62/12*2,IF($J62=9,-$E62*$I62/12*1,0)))))+IF(CN$5&lt;&gt;$H62,0,IF(CN62&lt;0,IF($J62=7,-$E62*$I62/12*0,IF($J62=8,-$E62*$I62/12*1,IF($J62=9,-$E62*$I62/12*2,IF($J62&gt;=10,-$E62*$I62/12*3,0))))))</f>
        <v>0</v>
      </c>
      <c r="CR62" s="443">
        <f>IF($H62&lt;&gt;CS$5,0,IF(CS62&lt;0,IF(OR($J62=1,$J62=2,$J62=3,$J62=4,$J62=5,$J62=6,$J62=7,$J62=8,$J62=9,$J62=10),-$E62*$I62/12*3,IF($J62=11,-$E62*$I62/12*2,IF($J62=12,-$E62*$I62/12*1,0)))))+IF(CN$5&lt;&gt;$H62,0,IF(CN62&lt;0,IF($J62=10,-$E62*$I62/12*0,IF($J62=11,-$E62*$I62/12*1,IF($J62=12,-$E62*$I62/12*2,0)))))</f>
        <v>0</v>
      </c>
      <c r="CS62" s="440">
        <f>IF(AND(CN62&lt;&gt;0,CN$5=$H62),-$I62*$E62-CN62,IF(CS$5=$H62,-$I62*$E62*(12-$J62+1)/12,0))</f>
        <v>0</v>
      </c>
      <c r="CT62" s="441">
        <f>IF($H62&lt;&gt;CX$5,0,IF(CX62&lt;0,IF($J62=1,-$E62*$I62/12*3,IF($J62=2,-$E62*$I62/12*2,IF($J62=3,-$E62*$I62/12*1,0)))))+IF(CS$5&lt;&gt;$H62,0,IF(CS62&lt;0,IF($J62=1,-$E62*$I62/12*0,IF($J62=2,-$E62*$I62/12*1,IF($J62=3,-$E62*$I62/12*2,IF($J62&gt;=4,-$E62*$I62/12*3,0))))))</f>
        <v>-5.1107291666666659E-2</v>
      </c>
      <c r="CU62" s="442">
        <f>IF($H62&lt;&gt;CX$5,0,IF(CX62&lt;0,IF(OR($J62=1,$J62=2,$J62=3,$J62=4),-$E62*$I62/12*3,IF($J62=5,-$E62*$I62/12*2,IF($J62=6,-$E62*$I62/12*1,0)))))+IF(CS$5&lt;&gt;$H62,0,IF(CS62&lt;0,IF($J62=4,-$E62*$I62/12*0,IF($J62=5,-$E62*$I62/12*1,IF($J62=6,-$E62*$I62/12*2,IF($J62&gt;=7,-$E62*$I62/12*3,0))))))</f>
        <v>-0.15332187499999997</v>
      </c>
      <c r="CV62" s="442">
        <f>IF($H62&lt;&gt;CX$5,0,IF(CX62&lt;0,IF(OR($J62=1,$J62=2,$J62=3,$J62=4,$J62=5,$J62=6,$J62=7),-$E62*$I62/12*3,IF($J62=8,-$E62*$I62/12*2,IF($J62=9,-$E62*$I62/12*1,0)))))+IF(CS$5&lt;&gt;$H62,0,IF(CS62&lt;0,IF($J62=7,-$E62*$I62/12*0,IF($J62=8,-$E62*$I62/12*1,IF($J62=9,-$E62*$I62/12*2,IF($J62&gt;=10,-$E62*$I62/12*3,0))))))</f>
        <v>-0.15332187499999997</v>
      </c>
      <c r="CW62" s="443">
        <f>IF($H62&lt;&gt;CX$5,0,IF(CX62&lt;0,IF(OR($J62=1,$J62=2,$J62=3,$J62=4,$J62=5,$J62=6,$J62=7,$J62=8,$J62=9,$J62=10),-$E62*$I62/12*3,IF($J62=11,-$E62*$I62/12*2,IF($J62=12,-$E62*$I62/12*1,0)))))+IF(CS$5&lt;&gt;$H62,0,IF(CS62&lt;0,IF($J62=10,-$E62*$I62/12*0,IF($J62=11,-$E62*$I62/12*1,IF($J62=12,-$E62*$I62/12*2,0)))))</f>
        <v>-0.15332187499999997</v>
      </c>
      <c r="CX62" s="440">
        <f>IF(AND(CS62&lt;&gt;0,CS$5=$H62),-$I62*$E62-CS62,IF(CX$5=$H62,-$I62*$E62*(12-$J62+1)/12,0))</f>
        <v>-0.51107291666666654</v>
      </c>
      <c r="CY62" s="441">
        <f>IF($H62&lt;&gt;DC$5,0,IF(DC62&lt;0,IF($J62=1,-$E62*$I62/12*3,IF($J62=2,-$E62*$I62/12*2,IF($J62=3,-$E62*$I62/12*1,0)))))+IF(CX$5&lt;&gt;$H62,0,IF(CX62&lt;0,IF($J62=1,-$E62*$I62/12*0,IF($J62=2,-$E62*$I62/12*1,IF($J62=3,-$E62*$I62/12*2,IF($J62&gt;=4,-$E62*$I62/12*3,0))))))</f>
        <v>-0.10221458333333332</v>
      </c>
      <c r="CZ62" s="442">
        <f>IF($H62&lt;&gt;DC$5,0,IF(DC62&lt;0,IF(OR($J62=1,$J62=2,$J62=3,$J62=4),-$E62*$I62/12*3,IF($J62=5,-$E62*$I62/12*2,IF($J62=6,-$E62*$I62/12*1,0)))))+IF(CX$5&lt;&gt;$H62,0,IF(CX62&lt;0,IF($J62=4,-$E62*$I62/12*0,IF($J62=5,-$E62*$I62/12*1,IF($J62=6,-$E62*$I62/12*2,IF($J62&gt;=7,-$E62*$I62/12*3,0))))))</f>
        <v>0</v>
      </c>
      <c r="DA62" s="442">
        <f>IF($H62&lt;&gt;DC$5,0,IF(DC62&lt;0,IF(OR($J62=1,$J62=2,$J62=3,$J62=4,$J62=5,$J62=6,$J62=7),-$E62*$I62/12*3,IF($J62=8,-$E62*$I62/12*2,IF($J62=9,-$E62*$I62/12*1,0)))))+IF(CX$5&lt;&gt;$H62,0,IF(CX62&lt;0,IF($J62=7,-$E62*$I62/12*0,IF($J62=8,-$E62*$I62/12*1,IF($J62=9,-$E62*$I62/12*2,IF($J62&gt;=10,-$E62*$I62/12*3,0))))))</f>
        <v>0</v>
      </c>
      <c r="DB62" s="443">
        <f>IF($H62&lt;&gt;DC$5,0,IF(DC62&lt;0,IF(OR($J62=1,$J62=2,$J62=3,$J62=4,$J62=5,$J62=6,$J62=7,$J62=8,$J62=9,$J62=10),-$E62*$I62/12*3,IF($J62=11,-$E62*$I62/12*2,IF($J62=12,-$E62*$I62/12*1,0)))))+IF(CX$5&lt;&gt;$H62,0,IF(CX62&lt;0,IF($J62=10,-$E62*$I62/12*0,IF($J62=11,-$E62*$I62/12*1,IF($J62=12,-$E62*$I62/12*2,0)))))</f>
        <v>0</v>
      </c>
      <c r="DC62" s="440">
        <f>IF(AND(CX62&lt;&gt;0,CX$5=$H62),-$I62*$E62-CX62,IF(DC$5=$H62,-$I62*$E62*(12-$J62+1)/12,0))</f>
        <v>-0.10221458333333333</v>
      </c>
      <c r="DD62" s="441">
        <f>IF($H62&lt;&gt;DH$5,0,IF(DH62&lt;0,IF($J62=1,-$E62*$I62/12*3,IF($J62=2,-$E62*$I62/12*2,IF($J62=3,-$E62*$I62/12*1,0)))))+IF(DC$5&lt;&gt;$H62,0,IF(DC62&lt;0,IF($J62=1,-$E62*$I62/12*0,IF($J62=2,-$E62*$I62/12*1,IF($J62=3,-$E62*$I62/12*2,IF($J62&gt;=4,-$E62*$I62/12*3,0))))))</f>
        <v>0</v>
      </c>
      <c r="DE62" s="442">
        <f>IF($H62&lt;&gt;DH$5,0,IF(DH62&lt;0,IF(OR($J62=1,$J62=2,$J62=3,$J62=4),-$E62*$I62/12*3,IF($J62=5,-$E62*$I62/12*2,IF($J62=6,-$E62*$I62/12*1,0)))))+IF(DC$5&lt;&gt;$H62,0,IF(DC62&lt;0,IF($J62=4,-$E62*$I62/12*0,IF($J62=5,-$E62*$I62/12*1,IF($J62=6,-$E62*$I62/12*2,IF($J62&gt;=7,-$E62*$I62/12*3,0))))))</f>
        <v>0</v>
      </c>
      <c r="DF62" s="442">
        <f>IF($H62&lt;&gt;DH$5,0,IF(DH62&lt;0,IF(OR($J62=1,$J62=2,$J62=3,$J62=4,$J62=5,$J62=6,$J62=7),-$E62*$I62/12*3,IF($J62=8,-$E62*$I62/12*2,IF($J62=9,-$E62*$I62/12*1,0)))))+IF(DC$5&lt;&gt;$H62,0,IF(DC62&lt;0,IF($J62=7,-$E62*$I62/12*0,IF($J62=8,-$E62*$I62/12*1,IF($J62=9,-$E62*$I62/12*2,IF($J62&gt;=10,-$E62*$I62/12*3,0))))))</f>
        <v>0</v>
      </c>
      <c r="DG62" s="443">
        <f>IF($H62&lt;&gt;DH$5,0,IF(DH62&lt;0,IF(OR($J62=1,$J62=2,$J62=3,$J62=4,$J62=5,$J62=6,$J62=7,$J62=8,$J62=9,$J62=10),-$E62*$I62/12*3,IF($J62=11,-$E62*$I62/12*2,IF($J62=12,-$E62*$I62/12*1,0)))))+IF(DC$5&lt;&gt;$H62,0,IF(DC62&lt;0,IF($J62=10,-$E62*$I62/12*0,IF($J62=11,-$E62*$I62/12*1,IF($J62=12,-$E62*$I62/12*2,0)))))</f>
        <v>0</v>
      </c>
      <c r="DH62" s="440">
        <f>IF(AND(DC62&lt;&gt;0,DC$5=$H62),-$I62*$E62-DC62,IF(DH$5=$H62,-$I62*$E62*(12-$J62+1)/12,0))</f>
        <v>0</v>
      </c>
      <c r="DI62" s="441">
        <f>IF($H62&lt;&gt;DM$5,0,IF(DM62&lt;0,IF($J62=1,-$E62*$I62/12*3,IF($J62=2,-$E62*$I62/12*2,IF($J62=3,-$E62*$I62/12*1,0)))))+IF(DH$5&lt;&gt;$H62,0,IF(DH62&lt;0,IF($J62=1,-$E62*$I62/12*0,IF($J62=2,-$E62*$I62/12*1,IF($J62=3,-$E62*$I62/12*2,IF($J62&gt;=4,-$E62*$I62/12*3,0))))))</f>
        <v>0</v>
      </c>
      <c r="DJ62" s="442">
        <f>IF($H62&lt;&gt;DM$5,0,IF(DM62&lt;0,IF(OR($J62=1,$J62=2,$J62=3,$J62=4),-$E62*$I62/12*3,IF($J62=5,-$E62*$I62/12*2,IF($J62=6,-$E62*$I62/12*1,0)))))+IF(DH$5&lt;&gt;$H62,0,IF(DH62&lt;0,IF($J62=4,-$E62*$I62/12*0,IF($J62=5,-$E62*$I62/12*1,IF($J62=6,-$E62*$I62/12*2,IF($J62&gt;=7,-$E62*$I62/12*3,0))))))</f>
        <v>0</v>
      </c>
      <c r="DK62" s="442">
        <f>IF($H62&lt;&gt;DM$5,0,IF(DM62&lt;0,IF(OR($J62=1,$J62=2,$J62=3,$J62=4,$J62=5,$J62=6,$J62=7),-$E62*$I62/12*3,IF($J62=8,-$E62*$I62/12*2,IF($J62=9,-$E62*$I62/12*1,0)))))+IF(DH$5&lt;&gt;$H62,0,IF(DH62&lt;0,IF($J62=7,-$E62*$I62/12*0,IF($J62=8,-$E62*$I62/12*1,IF($J62=9,-$E62*$I62/12*2,IF($J62&gt;=10,-$E62*$I62/12*3,0))))))</f>
        <v>0</v>
      </c>
      <c r="DL62" s="443">
        <f>IF($H62&lt;&gt;DM$5,0,IF(DM62&lt;0,IF(OR($J62=1,$J62=2,$J62=3,$J62=4,$J62=5,$J62=6,$J62=7,$J62=8,$J62=9,$J62=10),-$E62*$I62/12*3,IF($J62=11,-$E62*$I62/12*2,IF($J62=12,-$E62*$I62/12*1,0)))))+IF(DH$5&lt;&gt;$H62,0,IF(DH62&lt;0,IF($J62=10,-$E62*$I62/12*0,IF($J62=11,-$E62*$I62/12*1,IF($J62=12,-$E62*$I62/12*2,0)))))</f>
        <v>0</v>
      </c>
      <c r="DM62" s="440">
        <f>IF(AND(DH62&lt;&gt;0,DH$5=$H62),-$I62*$E62-DH62,IF(DM$5=$H62,-$I62*$E62*(12-$J62+1)/12,0))</f>
        <v>0</v>
      </c>
      <c r="DN62" s="441">
        <f>IF($H62&lt;&gt;DR$5,0,IF(DR62&lt;0,IF($J62=1,-$E62*$I62/12*3,IF($J62=2,-$E62*$I62/12*2,IF($J62=3,-$E62*$I62/12*1,0)))))+IF(DM$5&lt;&gt;$H62,0,IF(DM62&lt;0,IF($J62=1,-$E62*$I62/12*0,IF($J62=2,-$E62*$I62/12*1,IF($J62=3,-$E62*$I62/12*2,IF($J62&gt;=4,-$E62*$I62/12*3,0))))))</f>
        <v>0</v>
      </c>
      <c r="DO62" s="442">
        <f>IF($H62&lt;&gt;DR$5,0,IF(DR62&lt;0,IF(OR($J62=1,$J62=2,$J62=3,$J62=4),-$E62*$I62/12*3,IF($J62=5,-$E62*$I62/12*2,IF($J62=6,-$E62*$I62/12*1,0)))))+IF(DM$5&lt;&gt;$H62,0,IF(DM62&lt;0,IF($J62=4,-$E62*$I62/12*0,IF($J62=5,-$E62*$I62/12*1,IF($J62=6,-$E62*$I62/12*2,IF($J62&gt;=7,-$E62*$I62/12*3,0))))))</f>
        <v>0</v>
      </c>
      <c r="DP62" s="442">
        <f>IF($H62&lt;&gt;DR$5,0,IF(DR62&lt;0,IF(OR($J62=1,$J62=2,$J62=3,$J62=4,$J62=5,$J62=6,$J62=7),-$E62*$I62/12*3,IF($J62=8,-$E62*$I62/12*2,IF($J62=9,-$E62*$I62/12*1,0)))))+IF(DM$5&lt;&gt;$H62,0,IF(DM62&lt;0,IF($J62=7,-$E62*$I62/12*0,IF($J62=8,-$E62*$I62/12*1,IF($J62=9,-$E62*$I62/12*2,IF($J62&gt;=10,-$E62*$I62/12*3,0))))))</f>
        <v>0</v>
      </c>
      <c r="DQ62" s="443">
        <f>IF($H62&lt;&gt;DR$5,0,IF(DR62&lt;0,IF(OR($J62=1,$J62=2,$J62=3,$J62=4,$J62=5,$J62=6,$J62=7,$J62=8,$J62=9,$J62=10),-$E62*$I62/12*3,IF($J62=11,-$E62*$I62/12*2,IF($J62=12,-$E62*$I62/12*1,0)))))+IF(DM$5&lt;&gt;$H62,0,IF(DM62&lt;0,IF($J62=10,-$E62*$I62/12*0,IF($J62=11,-$E62*$I62/12*1,IF($J62=12,-$E62*$I62/12*2,0)))))</f>
        <v>0</v>
      </c>
      <c r="DR62" s="440">
        <f>IF(AND(DM62&lt;&gt;0,DM$5=$H62),-$I62*$E62-DM62,IF(DR$5=$H62,-$I62*$E62*(12-$J62+1)/12,0))</f>
        <v>0</v>
      </c>
    </row>
    <row r="63" spans="1:122" ht="12.75" customHeight="1">
      <c r="A63" s="92"/>
      <c r="B63" s="92"/>
      <c r="C63" s="1123" t="s">
        <v>74</v>
      </c>
      <c r="D63" s="395"/>
      <c r="E63" s="865">
        <f>IF(F63=0,G63,F63)</f>
        <v>129.61000000000001</v>
      </c>
      <c r="F63" s="1945">
        <v>0</v>
      </c>
      <c r="G63" s="1945">
        <v>129.61000000000001</v>
      </c>
      <c r="H63" s="1308">
        <v>2017</v>
      </c>
      <c r="I63" s="1948">
        <v>2.5000000000000001E-2</v>
      </c>
      <c r="J63" s="1357">
        <v>9</v>
      </c>
      <c r="K63" s="549"/>
      <c r="L63" s="441">
        <f>IF(P63=0,0,IF(P63&lt;0,IF($J63=3,P63,IF($J63=2,P63,IF($J63=1,P63,0)))))</f>
        <v>0</v>
      </c>
      <c r="M63" s="442">
        <f>IF(P63=0,0,IF(P63&lt;0,IF($J63=6,P63,IF($J63=5,P63,IF($J63=4,P63,0)))))</f>
        <v>0</v>
      </c>
      <c r="N63" s="442">
        <f>IF(P63=0,0,IF(P63&lt;0,IF($J63=9,P63,IF($J63=8,P63,IF($J63=7,P63,0)))))</f>
        <v>0</v>
      </c>
      <c r="O63" s="443">
        <f>IF(P63=0,0,IF(P63&lt;0,IF($J63=12,P63,IF($J63=11,P63,IF($J63=10,P63,0)))))</f>
        <v>0</v>
      </c>
      <c r="P63" s="440">
        <f>IF(P$5=$H63,-$E63,0)</f>
        <v>0</v>
      </c>
      <c r="Q63" s="441">
        <f>IF(U63=0,0,IF(U63&lt;0,IF($J63=3,U63,IF($J63=2,U63,IF($J63=1,U63,0)))))</f>
        <v>0</v>
      </c>
      <c r="R63" s="442">
        <f>IF(U63=0,0,IF(U63&lt;0,IF($J63=6,U63,IF($J63=5,U63,IF($J63=4,U63,0)))))</f>
        <v>0</v>
      </c>
      <c r="S63" s="442">
        <f>IF(U63=0,0,IF(U63&lt;0,IF($J63=9,U63,IF($J63=8,U63,IF($J63=7,U63,0)))))</f>
        <v>0</v>
      </c>
      <c r="T63" s="443">
        <f>IF(U63=0,0,IF(U63&lt;0,IF($J63=12,U63,IF($J63=11,U63,IF($J63=10,U63,0)))))</f>
        <v>0</v>
      </c>
      <c r="U63" s="440">
        <f>IF(U$5=$H63,-$E63,0)</f>
        <v>0</v>
      </c>
      <c r="V63" s="441">
        <f>IF(Z63=0,0,IF(Z63&lt;0,IF($J63=3,Z63,IF($J63=2,Z63,IF($J63=1,Z63,0)))))</f>
        <v>0</v>
      </c>
      <c r="W63" s="442">
        <f>IF(Z63=0,0,IF(Z63&lt;0,IF($J63=6,Z63,IF($J63=5,Z63,IF($J63=4,Z63,0)))))</f>
        <v>0</v>
      </c>
      <c r="X63" s="442">
        <f>IF(Z63=0,0,IF(Z63&lt;0,IF($J63=9,Z63,IF($J63=8,Z63,IF($J63=7,Z63,0)))))</f>
        <v>0</v>
      </c>
      <c r="Y63" s="443">
        <f>IF(Z63=0,0,IF(Z63&lt;0,IF($J63=12,Z63,IF($J63=11,Z63,IF($J63=10,Z63,0)))))</f>
        <v>0</v>
      </c>
      <c r="Z63" s="440">
        <f>IF(Z$5=$H63,-$E63,0)</f>
        <v>0</v>
      </c>
      <c r="AA63" s="441">
        <f>IF(AE63=0,0,IF(AE63&lt;0,IF($J63=3,AE63,IF($J63=2,AE63,IF($J63=1,AE63,0)))))</f>
        <v>0</v>
      </c>
      <c r="AB63" s="442">
        <f>IF(AE63=0,0,IF(AE63&lt;0,IF($J63=6,AE63,IF($J63=5,AE63,IF($J63=4,AE63,0)))))</f>
        <v>0</v>
      </c>
      <c r="AC63" s="442">
        <f>IF(AE63=0,0,IF(AE63&lt;0,IF($J63=9,AE63,IF($J63=8,AE63,IF($J63=7,AE63,0)))))</f>
        <v>0</v>
      </c>
      <c r="AD63" s="443">
        <f>IF(AE63=0,0,IF(AE63&lt;0,IF($J63=12,AE63,IF($J63=11,AE63,IF($J63=10,AE63,0)))))</f>
        <v>0</v>
      </c>
      <c r="AE63" s="440">
        <f>IF(AE$5=$H63,-$E63,0)</f>
        <v>0</v>
      </c>
      <c r="AF63" s="441">
        <f>IF(AJ63=0,0,IF(AJ63&lt;0,IF($J63=3,AJ63,IF($J63=2,AJ63,IF($J63=1,AJ63,0)))))</f>
        <v>0</v>
      </c>
      <c r="AG63" s="442">
        <f>IF(AJ63=0,0,IF(AJ63&lt;0,IF($J63=6,AJ63,IF($J63=5,AJ63,IF($J63=4,AJ63,0)))))</f>
        <v>0</v>
      </c>
      <c r="AH63" s="442">
        <f>IF(AJ63=0,0,IF(AJ63&lt;0,IF($J63=9,AJ63,IF($J63=8,AJ63,IF($J63=7,AJ63,0)))))</f>
        <v>0</v>
      </c>
      <c r="AI63" s="443">
        <f>IF(AJ63=0,0,IF(AJ63&lt;0,IF($J63=12,AJ63,IF($J63=11,AJ63,IF($J63=10,AJ63,0)))))</f>
        <v>0</v>
      </c>
      <c r="AJ63" s="440">
        <f>IF(AJ$5=$H63,-$E63,0)</f>
        <v>0</v>
      </c>
      <c r="AK63" s="441">
        <f>IF(AO63=0,0,IF(AO63&lt;0,IF($J63=3,AO63,IF($J63=2,AO63,IF($J63=1,AO63,0)))))</f>
        <v>0</v>
      </c>
      <c r="AL63" s="442">
        <f>IF(AO63=0,0,IF(AO63&lt;0,IF($J63=6,AO63,IF($J63=5,AO63,IF($J63=4,AO63,0)))))</f>
        <v>0</v>
      </c>
      <c r="AM63" s="442">
        <f>IF(AO63=0,0,IF(AO63&lt;0,IF($J63=9,AO63,IF($J63=8,AO63,IF($J63=7,AO63,0)))))</f>
        <v>0</v>
      </c>
      <c r="AN63" s="443">
        <f>IF(AO63=0,0,IF(AO63&lt;0,IF($J63=12,AO63,IF($J63=11,AO63,IF($J63=10,AO63,0)))))</f>
        <v>0</v>
      </c>
      <c r="AO63" s="440">
        <f>IF(AO$5=$H63,-$E63,0)</f>
        <v>0</v>
      </c>
      <c r="AP63" s="441">
        <f>IF(AT63=0,0,IF(AT63&lt;0,IF($J63=3,AT63,IF($J63=2,AT63,IF($J63=1,AT63,0)))))</f>
        <v>0</v>
      </c>
      <c r="AQ63" s="442">
        <f>IF(AT63=0,0,IF(AT63&lt;0,IF($J63=6,AT63,IF($J63=5,AT63,IF($J63=4,AT63,0)))))</f>
        <v>0</v>
      </c>
      <c r="AR63" s="442">
        <f>IF(AT63=0,0,IF(AT63&lt;0,IF($J63=9,AT63,IF($J63=8,AT63,IF($J63=7,AT63,0)))))</f>
        <v>-129.61000000000001</v>
      </c>
      <c r="AS63" s="443">
        <f>IF(AT63=0,0,IF(AT63&lt;0,IF($J63=12,AT63,IF($J63=11,AT63,IF($J63=10,AT63,0)))))</f>
        <v>0</v>
      </c>
      <c r="AT63" s="440">
        <f>IF(AT$5=$H63,-$E63,0)</f>
        <v>-129.61000000000001</v>
      </c>
      <c r="AU63" s="441">
        <f>IF(AY63=0,0,IF(AY63&lt;0,IF($J63=3,AY63,IF($J63=2,AY63,IF($J63=1,AY63,0)))))</f>
        <v>0</v>
      </c>
      <c r="AV63" s="442">
        <f>IF(AY63=0,0,IF(AY63&lt;0,IF($J63=6,AY63,IF($J63=5,AY63,IF($J63=4,AY63,0)))))</f>
        <v>0</v>
      </c>
      <c r="AW63" s="442">
        <f>IF(AY63=0,0,IF(AY63&lt;0,IF($J63=9,AY63,IF($J63=8,AY63,IF($J63=7,AY63,0)))))</f>
        <v>0</v>
      </c>
      <c r="AX63" s="443">
        <f>IF(AY63=0,0,IF(AY63&lt;0,IF($J63=12,AY63,IF($J63=11,AY63,IF($J63=10,AY63,0)))))</f>
        <v>0</v>
      </c>
      <c r="AY63" s="440">
        <f>IF(AY$5=$H63,-$E63,0)</f>
        <v>0</v>
      </c>
      <c r="AZ63" s="441">
        <f>IF(BD63=0,0,IF(BD63&lt;0,IF($J63=3,BD63,IF($J63=2,BD63,IF($J63=1,BD63,0)))))</f>
        <v>0</v>
      </c>
      <c r="BA63" s="442">
        <f>IF(BD63=0,0,IF(BD63&lt;0,IF($J63=6,BD63,IF($J63=5,BD63,IF($J63=4,BD63,0)))))</f>
        <v>0</v>
      </c>
      <c r="BB63" s="442">
        <f>IF(BD63=0,0,IF(BD63&lt;0,IF($J63=9,BD63,IF($J63=8,BD63,IF($J63=7,BD63,0)))))</f>
        <v>0</v>
      </c>
      <c r="BC63" s="443">
        <f>IF(BD63=0,0,IF(BD63&lt;0,IF($J63=12,BD63,IF($J63=11,BD63,IF($J63=10,BD63,0)))))</f>
        <v>0</v>
      </c>
      <c r="BD63" s="440">
        <f>IF(BD$5=$H63,-$E63,0)</f>
        <v>0</v>
      </c>
      <c r="BE63" s="441">
        <f>IF(BI63=0,0,IF(BI63&lt;0,IF($J63=3,BI63,IF($J63=2,BI63,IF($J63=1,BI63,0)))))</f>
        <v>0</v>
      </c>
      <c r="BF63" s="442">
        <f>IF(BI63=0,0,IF(BI63&lt;0,IF($J63=6,BI63,IF($J63=5,BI63,IF($J63=4,BI63,0)))))</f>
        <v>0</v>
      </c>
      <c r="BG63" s="442">
        <f>IF(BI63=0,0,IF(BI63&lt;0,IF($J63=9,BI63,IF($J63=8,BI63,IF($J63=7,BI63,0)))))</f>
        <v>0</v>
      </c>
      <c r="BH63" s="443">
        <f>IF(BI63=0,0,IF(BI63&lt;0,IF($J63=12,BI63,IF($J63=11,BI63,IF($J63=10,BI63,0)))))</f>
        <v>0</v>
      </c>
      <c r="BI63" s="440">
        <f>IF(BI$5=$H63,-$E63,0)</f>
        <v>0</v>
      </c>
      <c r="BJ63" s="441">
        <f>IF(BN63=0,0,IF(BN63&lt;0,IF($J63=3,BN63,IF($J63=2,BN63,IF($J63=1,BN63,0)))))</f>
        <v>0</v>
      </c>
      <c r="BK63" s="442">
        <f>IF(BN63=0,0,IF(BN63&lt;0,IF($J63=6,BN63,IF($J63=5,BN63,IF($J63=4,BN63,0)))))</f>
        <v>0</v>
      </c>
      <c r="BL63" s="442">
        <f>IF(BN63=0,0,IF(BN63&lt;0,IF($J63=9,BN63,IF($J63=8,BN63,IF($J63=7,BN63,0)))))</f>
        <v>0</v>
      </c>
      <c r="BM63" s="443">
        <f>IF(BN63=0,0,IF(BN63&lt;0,IF($J63=12,BN63,IF($J63=11,BN63,IF($J63=10,BN63,0)))))</f>
        <v>0</v>
      </c>
      <c r="BN63" s="440">
        <f>IF(BN$5=$H63,-$E63,0)</f>
        <v>0</v>
      </c>
      <c r="BO63" s="463"/>
      <c r="BP63" s="441">
        <f>IF($H63&lt;&gt;BT$5,0,IF(BT63&lt;0,IF($J63=1,-$E63*$I63/12*3,IF($J63=2,-$E63*$I63/12*2,IF($J63=3,-$E63*$I63/12*1,0)))))+IF(BO$5&lt;&gt;$H63,0,IF(BO63&lt;0,IF($J63=1,-$E63*$I63/12*0,IF($J63=2,-$E63*$I63/12*1,IF($J63=3,-$E63*$I63/12*2,IF($J63&gt;=4,-$E63*$I63/12*3,0))))))</f>
        <v>0</v>
      </c>
      <c r="BQ63" s="442">
        <f>IF($H63&lt;&gt;BT$5,0,IF(BT63&lt;0,IF(OR($J63=1,$J63=2,$J63=3,$J63=4),-$E63*$I63/12*3,IF($J63=5,-$E63*$I63/12*2,IF($J63=6,-$E63*$I63/12*1,0)))))+IF(BO$5&lt;&gt;$H63,0,IF(BO63&lt;0,IF($J63=4,-$E63*$I63/12*0,IF($J63=5,-$E63*$I63/12*1,IF($J63=6,-$E63*$I63/12*2,IF($J63&gt;=7,-$E63*$I63/12*3,0))))))</f>
        <v>0</v>
      </c>
      <c r="BR63" s="442">
        <f>IF($H63&lt;&gt;BT$5,0,IF(BT63&lt;0,IF(OR($J63=1,$J63=2,$J63=3,$J63=4,$J63=5,$J63=6,$J63=7),-$E63*$I63/12*3,IF($J63=8,-$E63*$I63/12*2,IF($J63=9,-$E63*$I63/12*1,0)))))+IF(BO$5&lt;&gt;$H63,0,IF(BO63&lt;0,IF($J63=7,-$E63*$I63/12*0,IF($J63=8,-$E63*$I63/12*1,IF($J63=9,-$E63*$I63/12*2,IF($J63&gt;=10,-$E63*$I63/12*3,0))))))</f>
        <v>0</v>
      </c>
      <c r="BS63" s="443">
        <f>IF($H63&lt;&gt;BT$5,0,IF(BT63&lt;0,IF(OR($J63=1,$J63=2,$J63=3,$J63=4,$J63=5,$J63=6,$J63=7,$J63=8,$J63=9,$J63=10),-$E63*$I63/12*3,IF($J63=11,-$E63*$I63/12*2,IF($J63=12,-$E63*$I63/12*1,0)))))+IF(BO$5&lt;&gt;$H63,0,IF(BO63&lt;0,IF($J63=10,-$E63*$I63/12*0,IF($J63=11,-$E63*$I63/12*1,IF($J63=12,-$E63*$I63/12*2,0)))))</f>
        <v>0</v>
      </c>
      <c r="BT63" s="440">
        <f>IF(AND(BO63&lt;&gt;0,BO$5=$H63),-$I63*$E63-BO63,IF(BT$5=$H63,-$I63*$E63*(12-$J63+1)/12,0))</f>
        <v>0</v>
      </c>
      <c r="BU63" s="441">
        <f>IF($H63&lt;&gt;BY$5,0,IF(BY63&lt;0,IF($J63=1,-$E63*$I63/12*3,IF($J63=2,-$E63*$I63/12*2,IF($J63=3,-$E63*$I63/12*1,0)))))+IF(BT$5&lt;&gt;$H63,0,IF(BT63&lt;0,IF($J63=1,-$E63*$I63/12*0,IF($J63=2,-$E63*$I63/12*1,IF($J63=3,-$E63*$I63/12*2,IF($J63&gt;=4,-$E63*$I63/12*3,0))))))</f>
        <v>0</v>
      </c>
      <c r="BV63" s="442">
        <f>IF($H63&lt;&gt;BY$5,0,IF(BY63&lt;0,IF(OR($J63=1,$J63=2,$J63=3,$J63=4),-$E63*$I63/12*3,IF($J63=5,-$E63*$I63/12*2,IF($J63=6,-$E63*$I63/12*1,0)))))+IF(BT$5&lt;&gt;$H63,0,IF(BT63&lt;0,IF($J63=4,-$E63*$I63/12*0,IF($J63=5,-$E63*$I63/12*1,IF($J63=6,-$E63*$I63/12*2,IF($J63&gt;=7,-$E63*$I63/12*3,0))))))</f>
        <v>0</v>
      </c>
      <c r="BW63" s="442">
        <f>IF($H63&lt;&gt;BY$5,0,IF(BY63&lt;0,IF(OR($J63=1,$J63=2,$J63=3,$J63=4,$J63=5,$J63=6,$J63=7),-$E63*$I63/12*3,IF($J63=8,-$E63*$I63/12*2,IF($J63=9,-$E63*$I63/12*1,0)))))+IF(BT$5&lt;&gt;$H63,0,IF(BT63&lt;0,IF($J63=7,-$E63*$I63/12*0,IF($J63=8,-$E63*$I63/12*1,IF($J63=9,-$E63*$I63/12*2,IF($J63&gt;=10,-$E63*$I63/12*3,0))))))</f>
        <v>0</v>
      </c>
      <c r="BX63" s="443">
        <f>IF($H63&lt;&gt;BY$5,0,IF(BY63&lt;0,IF(OR($J63=1,$J63=2,$J63=3,$J63=4,$J63=5,$J63=6,$J63=7,$J63=8,$J63=9,$J63=10),-$E63*$I63/12*3,IF($J63=11,-$E63*$I63/12*2,IF($J63=12,-$E63*$I63/12*1,0)))))+IF(BT$5&lt;&gt;$H63,0,IF(BT63&lt;0,IF($J63=10,-$E63*$I63/12*0,IF($J63=11,-$E63*$I63/12*1,IF($J63=12,-$E63*$I63/12*2,0)))))</f>
        <v>0</v>
      </c>
      <c r="BY63" s="440">
        <f>IF(AND(BT63&lt;&gt;0,BT$5=$H63),-$I63*$E63-BT63,IF(BY$5=$H63,-$I63*$E63*(12-$J63+1)/12,0))</f>
        <v>0</v>
      </c>
      <c r="BZ63" s="441">
        <f>IF($H63&lt;&gt;CD$5,0,IF(CD63&lt;0,IF($J63=1,-$E63*$I63/12*3,IF($J63=2,-$E63*$I63/12*2,IF($J63=3,-$E63*$I63/12*1,0)))))+IF(BY$5&lt;&gt;$H63,0,IF(BY63&lt;0,IF($J63=1,-$E63*$I63/12*0,IF($J63=2,-$E63*$I63/12*1,IF($J63=3,-$E63*$I63/12*2,IF($J63&gt;=4,-$E63*$I63/12*3,0))))))</f>
        <v>0</v>
      </c>
      <c r="CA63" s="442">
        <f>IF($H63&lt;&gt;CD$5,0,IF(CD63&lt;0,IF(OR($J63=1,$J63=2,$J63=3,$J63=4),-$E63*$I63/12*3,IF($J63=5,-$E63*$I63/12*2,IF($J63=6,-$E63*$I63/12*1,0)))))+IF(BY$5&lt;&gt;$H63,0,IF(BY63&lt;0,IF($J63=4,-$E63*$I63/12*0,IF($J63=5,-$E63*$I63/12*1,IF($J63=6,-$E63*$I63/12*2,IF($J63&gt;=7,-$E63*$I63/12*3,0))))))</f>
        <v>0</v>
      </c>
      <c r="CB63" s="442">
        <f>IF($H63&lt;&gt;CD$5,0,IF(CD63&lt;0,IF(OR($J63=1,$J63=2,$J63=3,$J63=4,$J63=5,$J63=6,$J63=7),-$E63*$I63/12*3,IF($J63=8,-$E63*$I63/12*2,IF($J63=9,-$E63*$I63/12*1,0)))))+IF(BY$5&lt;&gt;$H63,0,IF(BY63&lt;0,IF($J63=7,-$E63*$I63/12*0,IF($J63=8,-$E63*$I63/12*1,IF($J63=9,-$E63*$I63/12*2,IF($J63&gt;=10,-$E63*$I63/12*3,0))))))</f>
        <v>0</v>
      </c>
      <c r="CC63" s="443">
        <f>IF($H63&lt;&gt;CD$5,0,IF(CD63&lt;0,IF(OR($J63=1,$J63=2,$J63=3,$J63=4,$J63=5,$J63=6,$J63=7,$J63=8,$J63=9,$J63=10),-$E63*$I63/12*3,IF($J63=11,-$E63*$I63/12*2,IF($J63=12,-$E63*$I63/12*1,0)))))+IF(BY$5&lt;&gt;$H63,0,IF(BY63&lt;0,IF($J63=10,-$E63*$I63/12*0,IF($J63=11,-$E63*$I63/12*1,IF($J63=12,-$E63*$I63/12*2,0)))))</f>
        <v>0</v>
      </c>
      <c r="CD63" s="440">
        <f>IF(AND(BY63&lt;&gt;0,BY$5=$H63),-$I63*$E63-BY63,IF(CD$5=$H63,-$I63*$E63*(12-$J63+1)/12,0))</f>
        <v>0</v>
      </c>
      <c r="CE63" s="441">
        <f>IF($H63&lt;&gt;CI$5,0,IF(CI63&lt;0,IF($J63=1,-$E63*$I63/12*3,IF($J63=2,-$E63*$I63/12*2,IF($J63=3,-$E63*$I63/12*1,0)))))+IF(CD$5&lt;&gt;$H63,0,IF(CD63&lt;0,IF($J63=1,-$E63*$I63/12*0,IF($J63=2,-$E63*$I63/12*1,IF($J63=3,-$E63*$I63/12*2,IF($J63&gt;=4,-$E63*$I63/12*3,0))))))</f>
        <v>0</v>
      </c>
      <c r="CF63" s="442">
        <f>IF($H63&lt;&gt;CI$5,0,IF(CI63&lt;0,IF(OR($J63=1,$J63=2,$J63=3,$J63=4),-$E63*$I63/12*3,IF($J63=5,-$E63*$I63/12*2,IF($J63=6,-$E63*$I63/12*1,0)))))+IF(CD$5&lt;&gt;$H63,0,IF(CD63&lt;0,IF($J63=4,-$E63*$I63/12*0,IF($J63=5,-$E63*$I63/12*1,IF($J63=6,-$E63*$I63/12*2,IF($J63&gt;=7,-$E63*$I63/12*3,0))))))</f>
        <v>0</v>
      </c>
      <c r="CG63" s="442">
        <f>IF($H63&lt;&gt;CI$5,0,IF(CI63&lt;0,IF(OR($J63=1,$J63=2,$J63=3,$J63=4,$J63=5,$J63=6,$J63=7),-$E63*$I63/12*3,IF($J63=8,-$E63*$I63/12*2,IF($J63=9,-$E63*$I63/12*1,0)))))+IF(CD$5&lt;&gt;$H63,0,IF(CD63&lt;0,IF($J63=7,-$E63*$I63/12*0,IF($J63=8,-$E63*$I63/12*1,IF($J63=9,-$E63*$I63/12*2,IF($J63&gt;=10,-$E63*$I63/12*3,0))))))</f>
        <v>0</v>
      </c>
      <c r="CH63" s="443">
        <f>IF($H63&lt;&gt;CI$5,0,IF(CI63&lt;0,IF(OR($J63=1,$J63=2,$J63=3,$J63=4,$J63=5,$J63=6,$J63=7,$J63=8,$J63=9,$J63=10),-$E63*$I63/12*3,IF($J63=11,-$E63*$I63/12*2,IF($J63=12,-$E63*$I63/12*1,0)))))+IF(CD$5&lt;&gt;$H63,0,IF(CD63&lt;0,IF($J63=10,-$E63*$I63/12*0,IF($J63=11,-$E63*$I63/12*1,IF($J63=12,-$E63*$I63/12*2,0)))))</f>
        <v>0</v>
      </c>
      <c r="CI63" s="440">
        <f>IF(AND(CD63&lt;&gt;0,CD$5=$H63),-$I63*$E63-CD63,IF(CI$5=$H63,-$I63*$E63*(12-$J63+1)/12,0))</f>
        <v>0</v>
      </c>
      <c r="CJ63" s="441">
        <f>IF($H63&lt;&gt;CN$5,0,IF(CN63&lt;0,IF($J63=1,-$E63*$I63/12*3,IF($J63=2,-$E63*$I63/12*2,IF($J63=3,-$E63*$I63/12*1,0)))))+IF(CI$5&lt;&gt;$H63,0,IF(CI63&lt;0,IF($J63=1,-$E63*$I63/12*0,IF($J63=2,-$E63*$I63/12*1,IF($J63=3,-$E63*$I63/12*2,IF($J63&gt;=4,-$E63*$I63/12*3,0))))))</f>
        <v>0</v>
      </c>
      <c r="CK63" s="442">
        <f>IF($H63&lt;&gt;CN$5,0,IF(CN63&lt;0,IF(OR($J63=1,$J63=2,$J63=3,$J63=4),-$E63*$I63/12*3,IF($J63=5,-$E63*$I63/12*2,IF($J63=6,-$E63*$I63/12*1,0)))))+IF(CI$5&lt;&gt;$H63,0,IF(CI63&lt;0,IF($J63=4,-$E63*$I63/12*0,IF($J63=5,-$E63*$I63/12*1,IF($J63=6,-$E63*$I63/12*2,IF($J63&gt;=7,-$E63*$I63/12*3,0))))))</f>
        <v>0</v>
      </c>
      <c r="CL63" s="442">
        <f>IF($H63&lt;&gt;CN$5,0,IF(CN63&lt;0,IF(OR($J63=1,$J63=2,$J63=3,$J63=4,$J63=5,$J63=6,$J63=7),-$E63*$I63/12*3,IF($J63=8,-$E63*$I63/12*2,IF($J63=9,-$E63*$I63/12*1,0)))))+IF(CI$5&lt;&gt;$H63,0,IF(CI63&lt;0,IF($J63=7,-$E63*$I63/12*0,IF($J63=8,-$E63*$I63/12*1,IF($J63=9,-$E63*$I63/12*2,IF($J63&gt;=10,-$E63*$I63/12*3,0))))))</f>
        <v>0</v>
      </c>
      <c r="CM63" s="443">
        <f>IF($H63&lt;&gt;CN$5,0,IF(CN63&lt;0,IF(OR($J63=1,$J63=2,$J63=3,$J63=4,$J63=5,$J63=6,$J63=7,$J63=8,$J63=9,$J63=10),-$E63*$I63/12*3,IF($J63=11,-$E63*$I63/12*2,IF($J63=12,-$E63*$I63/12*1,0)))))+IF(CI$5&lt;&gt;$H63,0,IF(CI63&lt;0,IF($J63=10,-$E63*$I63/12*0,IF($J63=11,-$E63*$I63/12*1,IF($J63=12,-$E63*$I63/12*2,0)))))</f>
        <v>0</v>
      </c>
      <c r="CN63" s="440">
        <f>IF(AND(CI63&lt;&gt;0,CI$5=$H63),-$I63*$E63-CI63,IF(CN$5=$H63,-$I63*$E63*(12-$J63+1)/12,0))</f>
        <v>0</v>
      </c>
      <c r="CO63" s="441">
        <f>IF($H63&lt;&gt;CS$5,0,IF(CS63&lt;0,IF($J63=1,-$E63*$I63/12*3,IF($J63=2,-$E63*$I63/12*2,IF($J63=3,-$E63*$I63/12*1,0)))))+IF(CN$5&lt;&gt;$H63,0,IF(CN63&lt;0,IF($J63=1,-$E63*$I63/12*0,IF($J63=2,-$E63*$I63/12*1,IF($J63=3,-$E63*$I63/12*2,IF($J63&gt;=4,-$E63*$I63/12*3,0))))))</f>
        <v>0</v>
      </c>
      <c r="CP63" s="442">
        <f>IF($H63&lt;&gt;CS$5,0,IF(CS63&lt;0,IF(OR($J63=1,$J63=2,$J63=3,$J63=4),-$E63*$I63/12*3,IF($J63=5,-$E63*$I63/12*2,IF($J63=6,-$E63*$I63/12*1,0)))))+IF(CN$5&lt;&gt;$H63,0,IF(CN63&lt;0,IF($J63=4,-$E63*$I63/12*0,IF($J63=5,-$E63*$I63/12*1,IF($J63=6,-$E63*$I63/12*2,IF($J63&gt;=7,-$E63*$I63/12*3,0))))))</f>
        <v>0</v>
      </c>
      <c r="CQ63" s="442">
        <f>IF($H63&lt;&gt;CS$5,0,IF(CS63&lt;0,IF(OR($J63=1,$J63=2,$J63=3,$J63=4,$J63=5,$J63=6,$J63=7),-$E63*$I63/12*3,IF($J63=8,-$E63*$I63/12*2,IF($J63=9,-$E63*$I63/12*1,0)))))+IF(CN$5&lt;&gt;$H63,0,IF(CN63&lt;0,IF($J63=7,-$E63*$I63/12*0,IF($J63=8,-$E63*$I63/12*1,IF($J63=9,-$E63*$I63/12*2,IF($J63&gt;=10,-$E63*$I63/12*3,0))))))</f>
        <v>0</v>
      </c>
      <c r="CR63" s="443">
        <f>IF($H63&lt;&gt;CS$5,0,IF(CS63&lt;0,IF(OR($J63=1,$J63=2,$J63=3,$J63=4,$J63=5,$J63=6,$J63=7,$J63=8,$J63=9,$J63=10),-$E63*$I63/12*3,IF($J63=11,-$E63*$I63/12*2,IF($J63=12,-$E63*$I63/12*1,0)))))+IF(CN$5&lt;&gt;$H63,0,IF(CN63&lt;0,IF($J63=10,-$E63*$I63/12*0,IF($J63=11,-$E63*$I63/12*1,IF($J63=12,-$E63*$I63/12*2,0)))))</f>
        <v>0</v>
      </c>
      <c r="CS63" s="440">
        <f>IF(AND(CN63&lt;&gt;0,CN$5=$H63),-$I63*$E63-CN63,IF(CS$5=$H63,-$I63*$E63*(12-$J63+1)/12,0))</f>
        <v>0</v>
      </c>
      <c r="CT63" s="441">
        <f>IF($H63&lt;&gt;CX$5,0,IF(CX63&lt;0,IF($J63=1,-$E63*$I63/12*3,IF($J63=2,-$E63*$I63/12*2,IF($J63=3,-$E63*$I63/12*1,0)))))+IF(CS$5&lt;&gt;$H63,0,IF(CS63&lt;0,IF($J63=1,-$E63*$I63/12*0,IF($J63=2,-$E63*$I63/12*1,IF($J63=3,-$E63*$I63/12*2,IF($J63&gt;=4,-$E63*$I63/12*3,0))))))</f>
        <v>0</v>
      </c>
      <c r="CU63" s="442">
        <f>IF($H63&lt;&gt;CX$5,0,IF(CX63&lt;0,IF(OR($J63=1,$J63=2,$J63=3,$J63=4),-$E63*$I63/12*3,IF($J63=5,-$E63*$I63/12*2,IF($J63=6,-$E63*$I63/12*1,0)))))+IF(CS$5&lt;&gt;$H63,0,IF(CS63&lt;0,IF($J63=4,-$E63*$I63/12*0,IF($J63=5,-$E63*$I63/12*1,IF($J63=6,-$E63*$I63/12*2,IF($J63&gt;=7,-$E63*$I63/12*3,0))))))</f>
        <v>0</v>
      </c>
      <c r="CV63" s="442">
        <f>IF($H63&lt;&gt;CX$5,0,IF(CX63&lt;0,IF(OR($J63=1,$J63=2,$J63=3,$J63=4,$J63=5,$J63=6,$J63=7),-$E63*$I63/12*3,IF($J63=8,-$E63*$I63/12*2,IF($J63=9,-$E63*$I63/12*1,0)))))+IF(CS$5&lt;&gt;$H63,0,IF(CS63&lt;0,IF($J63=7,-$E63*$I63/12*0,IF($J63=8,-$E63*$I63/12*1,IF($J63=9,-$E63*$I63/12*2,IF($J63&gt;=10,-$E63*$I63/12*3,0))))))</f>
        <v>-0.27002083333333338</v>
      </c>
      <c r="CW63" s="443">
        <f>IF($H63&lt;&gt;CX$5,0,IF(CX63&lt;0,IF(OR($J63=1,$J63=2,$J63=3,$J63=4,$J63=5,$J63=6,$J63=7,$J63=8,$J63=9,$J63=10),-$E63*$I63/12*3,IF($J63=11,-$E63*$I63/12*2,IF($J63=12,-$E63*$I63/12*1,0)))))+IF(CS$5&lt;&gt;$H63,0,IF(CS63&lt;0,IF($J63=10,-$E63*$I63/12*0,IF($J63=11,-$E63*$I63/12*1,IF($J63=12,-$E63*$I63/12*2,0)))))</f>
        <v>-0.81006250000000013</v>
      </c>
      <c r="CX63" s="440">
        <f>IF(AND(CS63&lt;&gt;0,CS$5=$H63),-$I63*$E63-CS63,IF(CX$5=$H63,-$I63*$E63*(12-$J63+1)/12,0))</f>
        <v>-1.0800833333333335</v>
      </c>
      <c r="CY63" s="441">
        <f>IF($H63&lt;&gt;DC$5,0,IF(DC63&lt;0,IF($J63=1,-$E63*$I63/12*3,IF($J63=2,-$E63*$I63/12*2,IF($J63=3,-$E63*$I63/12*1,0)))))+IF(CX$5&lt;&gt;$H63,0,IF(CX63&lt;0,IF($J63=1,-$E63*$I63/12*0,IF($J63=2,-$E63*$I63/12*1,IF($J63=3,-$E63*$I63/12*2,IF($J63&gt;=4,-$E63*$I63/12*3,0))))))</f>
        <v>-0.81006250000000013</v>
      </c>
      <c r="CZ63" s="442">
        <f>IF($H63&lt;&gt;DC$5,0,IF(DC63&lt;0,IF(OR($J63=1,$J63=2,$J63=3,$J63=4),-$E63*$I63/12*3,IF($J63=5,-$E63*$I63/12*2,IF($J63=6,-$E63*$I63/12*1,0)))))+IF(CX$5&lt;&gt;$H63,0,IF(CX63&lt;0,IF($J63=4,-$E63*$I63/12*0,IF($J63=5,-$E63*$I63/12*1,IF($J63=6,-$E63*$I63/12*2,IF($J63&gt;=7,-$E63*$I63/12*3,0))))))</f>
        <v>-0.81006250000000013</v>
      </c>
      <c r="DA63" s="442">
        <f>IF($H63&lt;&gt;DC$5,0,IF(DC63&lt;0,IF(OR($J63=1,$J63=2,$J63=3,$J63=4,$J63=5,$J63=6,$J63=7),-$E63*$I63/12*3,IF($J63=8,-$E63*$I63/12*2,IF($J63=9,-$E63*$I63/12*1,0)))))+IF(CX$5&lt;&gt;$H63,0,IF(CX63&lt;0,IF($J63=7,-$E63*$I63/12*0,IF($J63=8,-$E63*$I63/12*1,IF($J63=9,-$E63*$I63/12*2,IF($J63&gt;=10,-$E63*$I63/12*3,0))))))</f>
        <v>-0.54004166666666675</v>
      </c>
      <c r="DB63" s="443">
        <f>IF($H63&lt;&gt;DC$5,0,IF(DC63&lt;0,IF(OR($J63=1,$J63=2,$J63=3,$J63=4,$J63=5,$J63=6,$J63=7,$J63=8,$J63=9,$J63=10),-$E63*$I63/12*3,IF($J63=11,-$E63*$I63/12*2,IF($J63=12,-$E63*$I63/12*1,0)))))+IF(CX$5&lt;&gt;$H63,0,IF(CX63&lt;0,IF($J63=10,-$E63*$I63/12*0,IF($J63=11,-$E63*$I63/12*1,IF($J63=12,-$E63*$I63/12*2,0)))))</f>
        <v>0</v>
      </c>
      <c r="DC63" s="440">
        <f>IF(AND(CX63&lt;&gt;0,CX$5=$H63),-$I63*$E63-CX63,IF(DC$5=$H63,-$I63*$E63*(12-$J63+1)/12,0))</f>
        <v>-2.160166666666667</v>
      </c>
      <c r="DD63" s="441">
        <f>IF($H63&lt;&gt;DH$5,0,IF(DH63&lt;0,IF($J63=1,-$E63*$I63/12*3,IF($J63=2,-$E63*$I63/12*2,IF($J63=3,-$E63*$I63/12*1,0)))))+IF(DC$5&lt;&gt;$H63,0,IF(DC63&lt;0,IF($J63=1,-$E63*$I63/12*0,IF($J63=2,-$E63*$I63/12*1,IF($J63=3,-$E63*$I63/12*2,IF($J63&gt;=4,-$E63*$I63/12*3,0))))))</f>
        <v>0</v>
      </c>
      <c r="DE63" s="442">
        <f>IF($H63&lt;&gt;DH$5,0,IF(DH63&lt;0,IF(OR($J63=1,$J63=2,$J63=3,$J63=4),-$E63*$I63/12*3,IF($J63=5,-$E63*$I63/12*2,IF($J63=6,-$E63*$I63/12*1,0)))))+IF(DC$5&lt;&gt;$H63,0,IF(DC63&lt;0,IF($J63=4,-$E63*$I63/12*0,IF($J63=5,-$E63*$I63/12*1,IF($J63=6,-$E63*$I63/12*2,IF($J63&gt;=7,-$E63*$I63/12*3,0))))))</f>
        <v>0</v>
      </c>
      <c r="DF63" s="442">
        <f>IF($H63&lt;&gt;DH$5,0,IF(DH63&lt;0,IF(OR($J63=1,$J63=2,$J63=3,$J63=4,$J63=5,$J63=6,$J63=7),-$E63*$I63/12*3,IF($J63=8,-$E63*$I63/12*2,IF($J63=9,-$E63*$I63/12*1,0)))))+IF(DC$5&lt;&gt;$H63,0,IF(DC63&lt;0,IF($J63=7,-$E63*$I63/12*0,IF($J63=8,-$E63*$I63/12*1,IF($J63=9,-$E63*$I63/12*2,IF($J63&gt;=10,-$E63*$I63/12*3,0))))))</f>
        <v>0</v>
      </c>
      <c r="DG63" s="443">
        <f>IF($H63&lt;&gt;DH$5,0,IF(DH63&lt;0,IF(OR($J63=1,$J63=2,$J63=3,$J63=4,$J63=5,$J63=6,$J63=7,$J63=8,$J63=9,$J63=10),-$E63*$I63/12*3,IF($J63=11,-$E63*$I63/12*2,IF($J63=12,-$E63*$I63/12*1,0)))))+IF(DC$5&lt;&gt;$H63,0,IF(DC63&lt;0,IF($J63=10,-$E63*$I63/12*0,IF($J63=11,-$E63*$I63/12*1,IF($J63=12,-$E63*$I63/12*2,0)))))</f>
        <v>0</v>
      </c>
      <c r="DH63" s="440">
        <f>IF(AND(DC63&lt;&gt;0,DC$5=$H63),-$I63*$E63-DC63,IF(DH$5=$H63,-$I63*$E63*(12-$J63+1)/12,0))</f>
        <v>0</v>
      </c>
      <c r="DI63" s="441">
        <f>IF($H63&lt;&gt;DM$5,0,IF(DM63&lt;0,IF($J63=1,-$E63*$I63/12*3,IF($J63=2,-$E63*$I63/12*2,IF($J63=3,-$E63*$I63/12*1,0)))))+IF(DH$5&lt;&gt;$H63,0,IF(DH63&lt;0,IF($J63=1,-$E63*$I63/12*0,IF($J63=2,-$E63*$I63/12*1,IF($J63=3,-$E63*$I63/12*2,IF($J63&gt;=4,-$E63*$I63/12*3,0))))))</f>
        <v>0</v>
      </c>
      <c r="DJ63" s="442">
        <f>IF($H63&lt;&gt;DM$5,0,IF(DM63&lt;0,IF(OR($J63=1,$J63=2,$J63=3,$J63=4),-$E63*$I63/12*3,IF($J63=5,-$E63*$I63/12*2,IF($J63=6,-$E63*$I63/12*1,0)))))+IF(DH$5&lt;&gt;$H63,0,IF(DH63&lt;0,IF($J63=4,-$E63*$I63/12*0,IF($J63=5,-$E63*$I63/12*1,IF($J63=6,-$E63*$I63/12*2,IF($J63&gt;=7,-$E63*$I63/12*3,0))))))</f>
        <v>0</v>
      </c>
      <c r="DK63" s="442">
        <f>IF($H63&lt;&gt;DM$5,0,IF(DM63&lt;0,IF(OR($J63=1,$J63=2,$J63=3,$J63=4,$J63=5,$J63=6,$J63=7),-$E63*$I63/12*3,IF($J63=8,-$E63*$I63/12*2,IF($J63=9,-$E63*$I63/12*1,0)))))+IF(DH$5&lt;&gt;$H63,0,IF(DH63&lt;0,IF($J63=7,-$E63*$I63/12*0,IF($J63=8,-$E63*$I63/12*1,IF($J63=9,-$E63*$I63/12*2,IF($J63&gt;=10,-$E63*$I63/12*3,0))))))</f>
        <v>0</v>
      </c>
      <c r="DL63" s="443">
        <f>IF($H63&lt;&gt;DM$5,0,IF(DM63&lt;0,IF(OR($J63=1,$J63=2,$J63=3,$J63=4,$J63=5,$J63=6,$J63=7,$J63=8,$J63=9,$J63=10),-$E63*$I63/12*3,IF($J63=11,-$E63*$I63/12*2,IF($J63=12,-$E63*$I63/12*1,0)))))+IF(DH$5&lt;&gt;$H63,0,IF(DH63&lt;0,IF($J63=10,-$E63*$I63/12*0,IF($J63=11,-$E63*$I63/12*1,IF($J63=12,-$E63*$I63/12*2,0)))))</f>
        <v>0</v>
      </c>
      <c r="DM63" s="440">
        <f>IF(AND(DH63&lt;&gt;0,DH$5=$H63),-$I63*$E63-DH63,IF(DM$5=$H63,-$I63*$E63*(12-$J63+1)/12,0))</f>
        <v>0</v>
      </c>
      <c r="DN63" s="441">
        <f>IF($H63&lt;&gt;DR$5,0,IF(DR63&lt;0,IF($J63=1,-$E63*$I63/12*3,IF($J63=2,-$E63*$I63/12*2,IF($J63=3,-$E63*$I63/12*1,0)))))+IF(DM$5&lt;&gt;$H63,0,IF(DM63&lt;0,IF($J63=1,-$E63*$I63/12*0,IF($J63=2,-$E63*$I63/12*1,IF($J63=3,-$E63*$I63/12*2,IF($J63&gt;=4,-$E63*$I63/12*3,0))))))</f>
        <v>0</v>
      </c>
      <c r="DO63" s="442">
        <f>IF($H63&lt;&gt;DR$5,0,IF(DR63&lt;0,IF(OR($J63=1,$J63=2,$J63=3,$J63=4),-$E63*$I63/12*3,IF($J63=5,-$E63*$I63/12*2,IF($J63=6,-$E63*$I63/12*1,0)))))+IF(DM$5&lt;&gt;$H63,0,IF(DM63&lt;0,IF($J63=4,-$E63*$I63/12*0,IF($J63=5,-$E63*$I63/12*1,IF($J63=6,-$E63*$I63/12*2,IF($J63&gt;=7,-$E63*$I63/12*3,0))))))</f>
        <v>0</v>
      </c>
      <c r="DP63" s="442">
        <f>IF($H63&lt;&gt;DR$5,0,IF(DR63&lt;0,IF(OR($J63=1,$J63=2,$J63=3,$J63=4,$J63=5,$J63=6,$J63=7),-$E63*$I63/12*3,IF($J63=8,-$E63*$I63/12*2,IF($J63=9,-$E63*$I63/12*1,0)))))+IF(DM$5&lt;&gt;$H63,0,IF(DM63&lt;0,IF($J63=7,-$E63*$I63/12*0,IF($J63=8,-$E63*$I63/12*1,IF($J63=9,-$E63*$I63/12*2,IF($J63&gt;=10,-$E63*$I63/12*3,0))))))</f>
        <v>0</v>
      </c>
      <c r="DQ63" s="443">
        <f>IF($H63&lt;&gt;DR$5,0,IF(DR63&lt;0,IF(OR($J63=1,$J63=2,$J63=3,$J63=4,$J63=5,$J63=6,$J63=7,$J63=8,$J63=9,$J63=10),-$E63*$I63/12*3,IF($J63=11,-$E63*$I63/12*2,IF($J63=12,-$E63*$I63/12*1,0)))))+IF(DM$5&lt;&gt;$H63,0,IF(DM63&lt;0,IF($J63=10,-$E63*$I63/12*0,IF($J63=11,-$E63*$I63/12*1,IF($J63=12,-$E63*$I63/12*2,0)))))</f>
        <v>0</v>
      </c>
      <c r="DR63" s="440">
        <f>IF(AND(DM63&lt;&gt;0,DM$5=$H63),-$I63*$E63-DM63,IF(DR$5=$H63,-$I63*$E63*(12-$J63+1)/12,0))</f>
        <v>0</v>
      </c>
    </row>
    <row r="64" spans="1:122" ht="12.75" customHeight="1">
      <c r="A64" s="92"/>
      <c r="B64" s="92"/>
      <c r="C64" s="1590" t="s">
        <v>1161</v>
      </c>
      <c r="D64" s="395"/>
      <c r="E64" s="865">
        <f t="shared" ref="E64" si="744">IF(F64=0,G64,F64)</f>
        <v>26</v>
      </c>
      <c r="F64" s="1945">
        <v>26</v>
      </c>
      <c r="G64" s="1945">
        <v>26</v>
      </c>
      <c r="H64" s="1308">
        <v>2041</v>
      </c>
      <c r="I64" s="1948">
        <v>2.5499999999999998E-2</v>
      </c>
      <c r="J64" s="1357">
        <v>11</v>
      </c>
      <c r="K64" s="549"/>
      <c r="L64" s="441">
        <f t="shared" ref="L64" si="745">IF(P64=0,0,IF(P64&lt;0,IF($J64=3,P64,IF($J64=2,P64,IF($J64=1,P64,0)))))</f>
        <v>0</v>
      </c>
      <c r="M64" s="442">
        <f t="shared" ref="M64" si="746">IF(P64=0,0,IF(P64&lt;0,IF($J64=6,P64,IF($J64=5,P64,IF($J64=4,P64,0)))))</f>
        <v>0</v>
      </c>
      <c r="N64" s="442">
        <f t="shared" ref="N64" si="747">IF(P64=0,0,IF(P64&lt;0,IF($J64=9,P64,IF($J64=8,P64,IF($J64=7,P64,0)))))</f>
        <v>0</v>
      </c>
      <c r="O64" s="443">
        <f t="shared" ref="O64" si="748">IF(P64=0,0,IF(P64&lt;0,IF($J64=12,P64,IF($J64=11,P64,IF($J64=10,P64,0)))))</f>
        <v>0</v>
      </c>
      <c r="P64" s="440">
        <f t="shared" ref="P64:P77" si="749">IF(P$5=$H64,-$E64,0)</f>
        <v>0</v>
      </c>
      <c r="Q64" s="441">
        <f t="shared" ref="Q64" si="750">IF(U64=0,0,IF(U64&lt;0,IF($J64=3,U64,IF($J64=2,U64,IF($J64=1,U64,0)))))</f>
        <v>0</v>
      </c>
      <c r="R64" s="442">
        <f t="shared" ref="R64" si="751">IF(U64=0,0,IF(U64&lt;0,IF($J64=6,U64,IF($J64=5,U64,IF($J64=4,U64,0)))))</f>
        <v>0</v>
      </c>
      <c r="S64" s="442">
        <f t="shared" ref="S64" si="752">IF(U64=0,0,IF(U64&lt;0,IF($J64=9,U64,IF($J64=8,U64,IF($J64=7,U64,0)))))</f>
        <v>0</v>
      </c>
      <c r="T64" s="443">
        <f t="shared" ref="T64" si="753">IF(U64=0,0,IF(U64&lt;0,IF($J64=12,U64,IF($J64=11,U64,IF($J64=10,U64,0)))))</f>
        <v>0</v>
      </c>
      <c r="U64" s="440">
        <f t="shared" ref="U64:U77" si="754">IF(U$5=$H64,-$E64,0)</f>
        <v>0</v>
      </c>
      <c r="V64" s="441">
        <f t="shared" ref="V64" si="755">IF(Z64=0,0,IF(Z64&lt;0,IF($J64=3,Z64,IF($J64=2,Z64,IF($J64=1,Z64,0)))))</f>
        <v>0</v>
      </c>
      <c r="W64" s="442">
        <f t="shared" ref="W64" si="756">IF(Z64=0,0,IF(Z64&lt;0,IF($J64=6,Z64,IF($J64=5,Z64,IF($J64=4,Z64,0)))))</f>
        <v>0</v>
      </c>
      <c r="X64" s="442">
        <f t="shared" ref="X64" si="757">IF(Z64=0,0,IF(Z64&lt;0,IF($J64=9,Z64,IF($J64=8,Z64,IF($J64=7,Z64,0)))))</f>
        <v>0</v>
      </c>
      <c r="Y64" s="443">
        <f t="shared" ref="Y64" si="758">IF(Z64=0,0,IF(Z64&lt;0,IF($J64=12,Z64,IF($J64=11,Z64,IF($J64=10,Z64,0)))))</f>
        <v>0</v>
      </c>
      <c r="Z64" s="440">
        <f t="shared" ref="Z64:Z77" si="759">IF(Z$5=$H64,-$E64,0)</f>
        <v>0</v>
      </c>
      <c r="AA64" s="441">
        <f t="shared" ref="AA64" si="760">IF(AE64=0,0,IF(AE64&lt;0,IF($J64=3,AE64,IF($J64=2,AE64,IF($J64=1,AE64,0)))))</f>
        <v>0</v>
      </c>
      <c r="AB64" s="442">
        <f t="shared" ref="AB64" si="761">IF(AE64=0,0,IF(AE64&lt;0,IF($J64=6,AE64,IF($J64=5,AE64,IF($J64=4,AE64,0)))))</f>
        <v>0</v>
      </c>
      <c r="AC64" s="442">
        <f t="shared" ref="AC64" si="762">IF(AE64=0,0,IF(AE64&lt;0,IF($J64=9,AE64,IF($J64=8,AE64,IF($J64=7,AE64,0)))))</f>
        <v>0</v>
      </c>
      <c r="AD64" s="443">
        <f t="shared" ref="AD64" si="763">IF(AE64=0,0,IF(AE64&lt;0,IF($J64=12,AE64,IF($J64=11,AE64,IF($J64=10,AE64,0)))))</f>
        <v>0</v>
      </c>
      <c r="AE64" s="440">
        <f t="shared" ref="AE64:AE77" si="764">IF(AE$5=$H64,-$E64,0)</f>
        <v>0</v>
      </c>
      <c r="AF64" s="441">
        <f t="shared" ref="AF64" si="765">IF(AJ64=0,0,IF(AJ64&lt;0,IF($J64=3,AJ64,IF($J64=2,AJ64,IF($J64=1,AJ64,0)))))</f>
        <v>0</v>
      </c>
      <c r="AG64" s="442">
        <f t="shared" ref="AG64" si="766">IF(AJ64=0,0,IF(AJ64&lt;0,IF($J64=6,AJ64,IF($J64=5,AJ64,IF($J64=4,AJ64,0)))))</f>
        <v>0</v>
      </c>
      <c r="AH64" s="442">
        <f t="shared" ref="AH64" si="767">IF(AJ64=0,0,IF(AJ64&lt;0,IF($J64=9,AJ64,IF($J64=8,AJ64,IF($J64=7,AJ64,0)))))</f>
        <v>0</v>
      </c>
      <c r="AI64" s="443">
        <f t="shared" ref="AI64" si="768">IF(AJ64=0,0,IF(AJ64&lt;0,IF($J64=12,AJ64,IF($J64=11,AJ64,IF($J64=10,AJ64,0)))))</f>
        <v>0</v>
      </c>
      <c r="AJ64" s="440">
        <f t="shared" ref="AJ64:AJ77" si="769">IF(AJ$5=$H64,-$E64,0)</f>
        <v>0</v>
      </c>
      <c r="AK64" s="441">
        <f t="shared" ref="AK64" si="770">IF(AO64=0,0,IF(AO64&lt;0,IF($J64=3,AO64,IF($J64=2,AO64,IF($J64=1,AO64,0)))))</f>
        <v>0</v>
      </c>
      <c r="AL64" s="442">
        <f t="shared" ref="AL64" si="771">IF(AO64=0,0,IF(AO64&lt;0,IF($J64=6,AO64,IF($J64=5,AO64,IF($J64=4,AO64,0)))))</f>
        <v>0</v>
      </c>
      <c r="AM64" s="442">
        <f t="shared" ref="AM64" si="772">IF(AO64=0,0,IF(AO64&lt;0,IF($J64=9,AO64,IF($J64=8,AO64,IF($J64=7,AO64,0)))))</f>
        <v>0</v>
      </c>
      <c r="AN64" s="443">
        <f t="shared" ref="AN64" si="773">IF(AO64=0,0,IF(AO64&lt;0,IF($J64=12,AO64,IF($J64=11,AO64,IF($J64=10,AO64,0)))))</f>
        <v>0</v>
      </c>
      <c r="AO64" s="440">
        <f t="shared" ref="AO64:AO77" si="774">IF(AO$5=$H64,-$E64,0)</f>
        <v>0</v>
      </c>
      <c r="AP64" s="441">
        <f t="shared" ref="AP64" si="775">IF(AT64=0,0,IF(AT64&lt;0,IF($J64=3,AT64,IF($J64=2,AT64,IF($J64=1,AT64,0)))))</f>
        <v>0</v>
      </c>
      <c r="AQ64" s="442">
        <f t="shared" ref="AQ64" si="776">IF(AT64=0,0,IF(AT64&lt;0,IF($J64=6,AT64,IF($J64=5,AT64,IF($J64=4,AT64,0)))))</f>
        <v>0</v>
      </c>
      <c r="AR64" s="442">
        <f t="shared" ref="AR64" si="777">IF(AT64=0,0,IF(AT64&lt;0,IF($J64=9,AT64,IF($J64=8,AT64,IF($J64=7,AT64,0)))))</f>
        <v>0</v>
      </c>
      <c r="AS64" s="443">
        <f t="shared" ref="AS64" si="778">IF(AT64=0,0,IF(AT64&lt;0,IF($J64=12,AT64,IF($J64=11,AT64,IF($J64=10,AT64,0)))))</f>
        <v>0</v>
      </c>
      <c r="AT64" s="440">
        <f t="shared" ref="AT64:AT77" si="779">IF(AT$5=$H64,-$E64,0)</f>
        <v>0</v>
      </c>
      <c r="AU64" s="441">
        <f t="shared" ref="AU64" si="780">IF(AY64=0,0,IF(AY64&lt;0,IF($J64=3,AY64,IF($J64=2,AY64,IF($J64=1,AY64,0)))))</f>
        <v>0</v>
      </c>
      <c r="AV64" s="442">
        <f t="shared" ref="AV64" si="781">IF(AY64=0,0,IF(AY64&lt;0,IF($J64=6,AY64,IF($J64=5,AY64,IF($J64=4,AY64,0)))))</f>
        <v>0</v>
      </c>
      <c r="AW64" s="442">
        <f t="shared" ref="AW64" si="782">IF(AY64=0,0,IF(AY64&lt;0,IF($J64=9,AY64,IF($J64=8,AY64,IF($J64=7,AY64,0)))))</f>
        <v>0</v>
      </c>
      <c r="AX64" s="443">
        <f t="shared" ref="AX64" si="783">IF(AY64=0,0,IF(AY64&lt;0,IF($J64=12,AY64,IF($J64=11,AY64,IF($J64=10,AY64,0)))))</f>
        <v>0</v>
      </c>
      <c r="AY64" s="440">
        <f t="shared" ref="AY64:AY77" si="784">IF(AY$5=$H64,-$E64,0)</f>
        <v>0</v>
      </c>
      <c r="AZ64" s="441">
        <f t="shared" ref="AZ64" si="785">IF(BD64=0,0,IF(BD64&lt;0,IF($J64=3,BD64,IF($J64=2,BD64,IF($J64=1,BD64,0)))))</f>
        <v>0</v>
      </c>
      <c r="BA64" s="442">
        <f t="shared" ref="BA64" si="786">IF(BD64=0,0,IF(BD64&lt;0,IF($J64=6,BD64,IF($J64=5,BD64,IF($J64=4,BD64,0)))))</f>
        <v>0</v>
      </c>
      <c r="BB64" s="442">
        <f t="shared" ref="BB64" si="787">IF(BD64=0,0,IF(BD64&lt;0,IF($J64=9,BD64,IF($J64=8,BD64,IF($J64=7,BD64,0)))))</f>
        <v>0</v>
      </c>
      <c r="BC64" s="443">
        <f t="shared" ref="BC64" si="788">IF(BD64=0,0,IF(BD64&lt;0,IF($J64=12,BD64,IF($J64=11,BD64,IF($J64=10,BD64,0)))))</f>
        <v>0</v>
      </c>
      <c r="BD64" s="440">
        <f t="shared" ref="BD64:BD77" si="789">IF(BD$5=$H64,-$E64,0)</f>
        <v>0</v>
      </c>
      <c r="BE64" s="441">
        <f t="shared" ref="BE64" si="790">IF(BI64=0,0,IF(BI64&lt;0,IF($J64=3,BI64,IF($J64=2,BI64,IF($J64=1,BI64,0)))))</f>
        <v>0</v>
      </c>
      <c r="BF64" s="442">
        <f t="shared" ref="BF64" si="791">IF(BI64=0,0,IF(BI64&lt;0,IF($J64=6,BI64,IF($J64=5,BI64,IF($J64=4,BI64,0)))))</f>
        <v>0</v>
      </c>
      <c r="BG64" s="442">
        <f t="shared" ref="BG64" si="792">IF(BI64=0,0,IF(BI64&lt;0,IF($J64=9,BI64,IF($J64=8,BI64,IF($J64=7,BI64,0)))))</f>
        <v>0</v>
      </c>
      <c r="BH64" s="443">
        <f t="shared" ref="BH64" si="793">IF(BI64=0,0,IF(BI64&lt;0,IF($J64=12,BI64,IF($J64=11,BI64,IF($J64=10,BI64,0)))))</f>
        <v>0</v>
      </c>
      <c r="BI64" s="440">
        <f t="shared" ref="BI64:BI77" si="794">IF(BI$5=$H64,-$E64,0)</f>
        <v>0</v>
      </c>
      <c r="BJ64" s="441">
        <f t="shared" ref="BJ64" si="795">IF(BN64=0,0,IF(BN64&lt;0,IF($J64=3,BN64,IF($J64=2,BN64,IF($J64=1,BN64,0)))))</f>
        <v>0</v>
      </c>
      <c r="BK64" s="442">
        <f t="shared" ref="BK64" si="796">IF(BN64=0,0,IF(BN64&lt;0,IF($J64=6,BN64,IF($J64=5,BN64,IF($J64=4,BN64,0)))))</f>
        <v>0</v>
      </c>
      <c r="BL64" s="442">
        <f t="shared" ref="BL64" si="797">IF(BN64=0,0,IF(BN64&lt;0,IF($J64=9,BN64,IF($J64=8,BN64,IF($J64=7,BN64,0)))))</f>
        <v>0</v>
      </c>
      <c r="BM64" s="443">
        <f t="shared" ref="BM64" si="798">IF(BN64=0,0,IF(BN64&lt;0,IF($J64=12,BN64,IF($J64=11,BN64,IF($J64=10,BN64,0)))))</f>
        <v>0</v>
      </c>
      <c r="BN64" s="440">
        <f t="shared" ref="BN64:BN77" si="799">IF(BN$5=$H64,-$E64,0)</f>
        <v>0</v>
      </c>
      <c r="BO64" s="465"/>
      <c r="BP64" s="441">
        <f t="shared" ref="BP64" si="800">IF($H64&lt;&gt;BT$5,0,IF(BT64&lt;0,IF($J64=1,-$E64*$I64/12*3,IF($J64=2,-$E64*$I64/12*2,IF($J64=3,-$E64*$I64/12*1,0)))))+IF(BO$5&lt;&gt;$H64,0,IF(BO64&lt;0,IF($J64=1,-$E64*$I64/12*0,IF($J64=2,-$E64*$I64/12*1,IF($J64=3,-$E64*$I64/12*2,IF($J64&gt;=4,-$E64*$I64/12*3,0))))))</f>
        <v>0</v>
      </c>
      <c r="BQ64" s="442">
        <f t="shared" ref="BQ64" si="801">IF($H64&lt;&gt;BT$5,0,IF(BT64&lt;0,IF(OR($J64=1,$J64=2,$J64=3,$J64=4),-$E64*$I64/12*3,IF($J64=5,-$E64*$I64/12*2,IF($J64=6,-$E64*$I64/12*1,0)))))+IF(BO$5&lt;&gt;$H64,0,IF(BO64&lt;0,IF($J64=4,-$E64*$I64/12*0,IF($J64=5,-$E64*$I64/12*1,IF($J64=6,-$E64*$I64/12*2,IF($J64&gt;=7,-$E64*$I64/12*3,0))))))</f>
        <v>0</v>
      </c>
      <c r="BR64" s="442">
        <f t="shared" ref="BR64" si="802">IF($H64&lt;&gt;BT$5,0,IF(BT64&lt;0,IF(OR($J64=1,$J64=2,$J64=3,$J64=4,$J64=5,$J64=6,$J64=7),-$E64*$I64/12*3,IF($J64=8,-$E64*$I64/12*2,IF($J64=9,-$E64*$I64/12*1,0)))))+IF(BO$5&lt;&gt;$H64,0,IF(BO64&lt;0,IF($J64=7,-$E64*$I64/12*0,IF($J64=8,-$E64*$I64/12*1,IF($J64=9,-$E64*$I64/12*2,IF($J64&gt;=10,-$E64*$I64/12*3,0))))))</f>
        <v>0</v>
      </c>
      <c r="BS64" s="443">
        <f t="shared" ref="BS64" si="803">IF($H64&lt;&gt;BT$5,0,IF(BT64&lt;0,IF(OR($J64=1,$J64=2,$J64=3,$J64=4,$J64=5,$J64=6,$J64=7,$J64=8,$J64=9,$J64=10),-$E64*$I64/12*3,IF($J64=11,-$E64*$I64/12*2,IF($J64=12,-$E64*$I64/12*1,0)))))+IF(BO$5&lt;&gt;$H64,0,IF(BO64&lt;0,IF($J64=10,-$E64*$I64/12*0,IF($J64=11,-$E64*$I64/12*1,IF($J64=12,-$E64*$I64/12*2,0)))))</f>
        <v>0</v>
      </c>
      <c r="BT64" s="440">
        <f t="shared" ref="BT64" si="804">IF(AND(BO64&lt;&gt;0,BO$5=$H64),-$I64*$E64-BO64,IF(BT$5=$H64,-$I64*$E64*(12-$J64+1)/12,0))</f>
        <v>0</v>
      </c>
      <c r="BU64" s="441">
        <f t="shared" ref="BU64" si="805">IF($H64&lt;&gt;BY$5,0,IF(BY64&lt;0,IF($J64=1,-$E64*$I64/12*3,IF($J64=2,-$E64*$I64/12*2,IF($J64=3,-$E64*$I64/12*1,0)))))+IF(BT$5&lt;&gt;$H64,0,IF(BT64&lt;0,IF($J64=1,-$E64*$I64/12*0,IF($J64=2,-$E64*$I64/12*1,IF($J64=3,-$E64*$I64/12*2,IF($J64&gt;=4,-$E64*$I64/12*3,0))))))</f>
        <v>0</v>
      </c>
      <c r="BV64" s="442">
        <f t="shared" ref="BV64" si="806">IF($H64&lt;&gt;BY$5,0,IF(BY64&lt;0,IF(OR($J64=1,$J64=2,$J64=3,$J64=4),-$E64*$I64/12*3,IF($J64=5,-$E64*$I64/12*2,IF($J64=6,-$E64*$I64/12*1,0)))))+IF(BT$5&lt;&gt;$H64,0,IF(BT64&lt;0,IF($J64=4,-$E64*$I64/12*0,IF($J64=5,-$E64*$I64/12*1,IF($J64=6,-$E64*$I64/12*2,IF($J64&gt;=7,-$E64*$I64/12*3,0))))))</f>
        <v>0</v>
      </c>
      <c r="BW64" s="442">
        <f t="shared" ref="BW64" si="807">IF($H64&lt;&gt;BY$5,0,IF(BY64&lt;0,IF(OR($J64=1,$J64=2,$J64=3,$J64=4,$J64=5,$J64=6,$J64=7),-$E64*$I64/12*3,IF($J64=8,-$E64*$I64/12*2,IF($J64=9,-$E64*$I64/12*1,0)))))+IF(BT$5&lt;&gt;$H64,0,IF(BT64&lt;0,IF($J64=7,-$E64*$I64/12*0,IF($J64=8,-$E64*$I64/12*1,IF($J64=9,-$E64*$I64/12*2,IF($J64&gt;=10,-$E64*$I64/12*3,0))))))</f>
        <v>0</v>
      </c>
      <c r="BX64" s="443">
        <f t="shared" ref="BX64" si="808">IF($H64&lt;&gt;BY$5,0,IF(BY64&lt;0,IF(OR($J64=1,$J64=2,$J64=3,$J64=4,$J64=5,$J64=6,$J64=7,$J64=8,$J64=9,$J64=10),-$E64*$I64/12*3,IF($J64=11,-$E64*$I64/12*2,IF($J64=12,-$E64*$I64/12*1,0)))))+IF(BT$5&lt;&gt;$H64,0,IF(BT64&lt;0,IF($J64=10,-$E64*$I64/12*0,IF($J64=11,-$E64*$I64/12*1,IF($J64=12,-$E64*$I64/12*2,0)))))</f>
        <v>0</v>
      </c>
      <c r="BY64" s="440">
        <f t="shared" ref="BY64" si="809">IF(AND(BT64&lt;&gt;0,BT$5=$H64),-$I64*$E64-BT64,IF(BY$5=$H64,-$I64*$E64*(12-$J64+1)/12,0))</f>
        <v>0</v>
      </c>
      <c r="BZ64" s="441">
        <f t="shared" ref="BZ64" si="810">IF($H64&lt;&gt;CD$5,0,IF(CD64&lt;0,IF($J64=1,-$E64*$I64/12*3,IF($J64=2,-$E64*$I64/12*2,IF($J64=3,-$E64*$I64/12*1,0)))))+IF(BY$5&lt;&gt;$H64,0,IF(BY64&lt;0,IF($J64=1,-$E64*$I64/12*0,IF($J64=2,-$E64*$I64/12*1,IF($J64=3,-$E64*$I64/12*2,IF($J64&gt;=4,-$E64*$I64/12*3,0))))))</f>
        <v>0</v>
      </c>
      <c r="CA64" s="442">
        <f t="shared" ref="CA64" si="811">IF($H64&lt;&gt;CD$5,0,IF(CD64&lt;0,IF(OR($J64=1,$J64=2,$J64=3,$J64=4),-$E64*$I64/12*3,IF($J64=5,-$E64*$I64/12*2,IF($J64=6,-$E64*$I64/12*1,0)))))+IF(BY$5&lt;&gt;$H64,0,IF(BY64&lt;0,IF($J64=4,-$E64*$I64/12*0,IF($J64=5,-$E64*$I64/12*1,IF($J64=6,-$E64*$I64/12*2,IF($J64&gt;=7,-$E64*$I64/12*3,0))))))</f>
        <v>0</v>
      </c>
      <c r="CB64" s="442">
        <f t="shared" ref="CB64" si="812">IF($H64&lt;&gt;CD$5,0,IF(CD64&lt;0,IF(OR($J64=1,$J64=2,$J64=3,$J64=4,$J64=5,$J64=6,$J64=7),-$E64*$I64/12*3,IF($J64=8,-$E64*$I64/12*2,IF($J64=9,-$E64*$I64/12*1,0)))))+IF(BY$5&lt;&gt;$H64,0,IF(BY64&lt;0,IF($J64=7,-$E64*$I64/12*0,IF($J64=8,-$E64*$I64/12*1,IF($J64=9,-$E64*$I64/12*2,IF($J64&gt;=10,-$E64*$I64/12*3,0))))))</f>
        <v>0</v>
      </c>
      <c r="CC64" s="443">
        <f t="shared" ref="CC64" si="813">IF($H64&lt;&gt;CD$5,0,IF(CD64&lt;0,IF(OR($J64=1,$J64=2,$J64=3,$J64=4,$J64=5,$J64=6,$J64=7,$J64=8,$J64=9,$J64=10),-$E64*$I64/12*3,IF($J64=11,-$E64*$I64/12*2,IF($J64=12,-$E64*$I64/12*1,0)))))+IF(BY$5&lt;&gt;$H64,0,IF(BY64&lt;0,IF($J64=10,-$E64*$I64/12*0,IF($J64=11,-$E64*$I64/12*1,IF($J64=12,-$E64*$I64/12*2,0)))))</f>
        <v>0</v>
      </c>
      <c r="CD64" s="440">
        <f t="shared" ref="CD64" si="814">IF(AND(BY64&lt;&gt;0,BY$5=$H64),-$I64*$E64-BY64,IF(CD$5=$H64,-$I64*$E64*(12-$J64+1)/12,0))</f>
        <v>0</v>
      </c>
      <c r="CE64" s="441">
        <f t="shared" ref="CE64" si="815">IF($H64&lt;&gt;CI$5,0,IF(CI64&lt;0,IF($J64=1,-$E64*$I64/12*3,IF($J64=2,-$E64*$I64/12*2,IF($J64=3,-$E64*$I64/12*1,0)))))+IF(CD$5&lt;&gt;$H64,0,IF(CD64&lt;0,IF($J64=1,-$E64*$I64/12*0,IF($J64=2,-$E64*$I64/12*1,IF($J64=3,-$E64*$I64/12*2,IF($J64&gt;=4,-$E64*$I64/12*3,0))))))</f>
        <v>0</v>
      </c>
      <c r="CF64" s="442">
        <f t="shared" ref="CF64" si="816">IF($H64&lt;&gt;CI$5,0,IF(CI64&lt;0,IF(OR($J64=1,$J64=2,$J64=3,$J64=4),-$E64*$I64/12*3,IF($J64=5,-$E64*$I64/12*2,IF($J64=6,-$E64*$I64/12*1,0)))))+IF(CD$5&lt;&gt;$H64,0,IF(CD64&lt;0,IF($J64=4,-$E64*$I64/12*0,IF($J64=5,-$E64*$I64/12*1,IF($J64=6,-$E64*$I64/12*2,IF($J64&gt;=7,-$E64*$I64/12*3,0))))))</f>
        <v>0</v>
      </c>
      <c r="CG64" s="442">
        <f t="shared" ref="CG64" si="817">IF($H64&lt;&gt;CI$5,0,IF(CI64&lt;0,IF(OR($J64=1,$J64=2,$J64=3,$J64=4,$J64=5,$J64=6,$J64=7),-$E64*$I64/12*3,IF($J64=8,-$E64*$I64/12*2,IF($J64=9,-$E64*$I64/12*1,0)))))+IF(CD$5&lt;&gt;$H64,0,IF(CD64&lt;0,IF($J64=7,-$E64*$I64/12*0,IF($J64=8,-$E64*$I64/12*1,IF($J64=9,-$E64*$I64/12*2,IF($J64&gt;=10,-$E64*$I64/12*3,0))))))</f>
        <v>0</v>
      </c>
      <c r="CH64" s="443">
        <f t="shared" ref="CH64" si="818">IF($H64&lt;&gt;CI$5,0,IF(CI64&lt;0,IF(OR($J64=1,$J64=2,$J64=3,$J64=4,$J64=5,$J64=6,$J64=7,$J64=8,$J64=9,$J64=10),-$E64*$I64/12*3,IF($J64=11,-$E64*$I64/12*2,IF($J64=12,-$E64*$I64/12*1,0)))))+IF(CD$5&lt;&gt;$H64,0,IF(CD64&lt;0,IF($J64=10,-$E64*$I64/12*0,IF($J64=11,-$E64*$I64/12*1,IF($J64=12,-$E64*$I64/12*2,0)))))</f>
        <v>0</v>
      </c>
      <c r="CI64" s="440">
        <f t="shared" ref="CI64" si="819">IF(AND(CD64&lt;&gt;0,CD$5=$H64),-$I64*$E64-CD64,IF(CI$5=$H64,-$I64*$E64*(12-$J64+1)/12,0))</f>
        <v>0</v>
      </c>
      <c r="CJ64" s="441">
        <f t="shared" ref="CJ64" si="820">IF($H64&lt;&gt;CN$5,0,IF(CN64&lt;0,IF($J64=1,-$E64*$I64/12*3,IF($J64=2,-$E64*$I64/12*2,IF($J64=3,-$E64*$I64/12*1,0)))))+IF(CI$5&lt;&gt;$H64,0,IF(CI64&lt;0,IF($J64=1,-$E64*$I64/12*0,IF($J64=2,-$E64*$I64/12*1,IF($J64=3,-$E64*$I64/12*2,IF($J64&gt;=4,-$E64*$I64/12*3,0))))))</f>
        <v>0</v>
      </c>
      <c r="CK64" s="442">
        <f t="shared" ref="CK64" si="821">IF($H64&lt;&gt;CN$5,0,IF(CN64&lt;0,IF(OR($J64=1,$J64=2,$J64=3,$J64=4),-$E64*$I64/12*3,IF($J64=5,-$E64*$I64/12*2,IF($J64=6,-$E64*$I64/12*1,0)))))+IF(CI$5&lt;&gt;$H64,0,IF(CI64&lt;0,IF($J64=4,-$E64*$I64/12*0,IF($J64=5,-$E64*$I64/12*1,IF($J64=6,-$E64*$I64/12*2,IF($J64&gt;=7,-$E64*$I64/12*3,0))))))</f>
        <v>0</v>
      </c>
      <c r="CL64" s="442">
        <f t="shared" ref="CL64" si="822">IF($H64&lt;&gt;CN$5,0,IF(CN64&lt;0,IF(OR($J64=1,$J64=2,$J64=3,$J64=4,$J64=5,$J64=6,$J64=7),-$E64*$I64/12*3,IF($J64=8,-$E64*$I64/12*2,IF($J64=9,-$E64*$I64/12*1,0)))))+IF(CI$5&lt;&gt;$H64,0,IF(CI64&lt;0,IF($J64=7,-$E64*$I64/12*0,IF($J64=8,-$E64*$I64/12*1,IF($J64=9,-$E64*$I64/12*2,IF($J64&gt;=10,-$E64*$I64/12*3,0))))))</f>
        <v>0</v>
      </c>
      <c r="CM64" s="443">
        <f t="shared" ref="CM64" si="823">IF($H64&lt;&gt;CN$5,0,IF(CN64&lt;0,IF(OR($J64=1,$J64=2,$J64=3,$J64=4,$J64=5,$J64=6,$J64=7,$J64=8,$J64=9,$J64=10),-$E64*$I64/12*3,IF($J64=11,-$E64*$I64/12*2,IF($J64=12,-$E64*$I64/12*1,0)))))+IF(CI$5&lt;&gt;$H64,0,IF(CI64&lt;0,IF($J64=10,-$E64*$I64/12*0,IF($J64=11,-$E64*$I64/12*1,IF($J64=12,-$E64*$I64/12*2,0)))))</f>
        <v>0</v>
      </c>
      <c r="CN64" s="440">
        <f t="shared" ref="CN64" si="824">IF(AND(CI64&lt;&gt;0,CI$5=$H64),-$I64*$E64-CI64,IF(CN$5=$H64,-$I64*$E64*(12-$J64+1)/12,0))</f>
        <v>0</v>
      </c>
      <c r="CO64" s="441">
        <f t="shared" ref="CO64" si="825">IF($H64&lt;&gt;CS$5,0,IF(CS64&lt;0,IF($J64=1,-$E64*$I64/12*3,IF($J64=2,-$E64*$I64/12*2,IF($J64=3,-$E64*$I64/12*1,0)))))+IF(CN$5&lt;&gt;$H64,0,IF(CN64&lt;0,IF($J64=1,-$E64*$I64/12*0,IF($J64=2,-$E64*$I64/12*1,IF($J64=3,-$E64*$I64/12*2,IF($J64&gt;=4,-$E64*$I64/12*3,0))))))</f>
        <v>0</v>
      </c>
      <c r="CP64" s="442">
        <f t="shared" ref="CP64" si="826">IF($H64&lt;&gt;CS$5,0,IF(CS64&lt;0,IF(OR($J64=1,$J64=2,$J64=3,$J64=4),-$E64*$I64/12*3,IF($J64=5,-$E64*$I64/12*2,IF($J64=6,-$E64*$I64/12*1,0)))))+IF(CN$5&lt;&gt;$H64,0,IF(CN64&lt;0,IF($J64=4,-$E64*$I64/12*0,IF($J64=5,-$E64*$I64/12*1,IF($J64=6,-$E64*$I64/12*2,IF($J64&gt;=7,-$E64*$I64/12*3,0))))))</f>
        <v>0</v>
      </c>
      <c r="CQ64" s="442">
        <f t="shared" ref="CQ64" si="827">IF($H64&lt;&gt;CS$5,0,IF(CS64&lt;0,IF(OR($J64=1,$J64=2,$J64=3,$J64=4,$J64=5,$J64=6,$J64=7),-$E64*$I64/12*3,IF($J64=8,-$E64*$I64/12*2,IF($J64=9,-$E64*$I64/12*1,0)))))+IF(CN$5&lt;&gt;$H64,0,IF(CN64&lt;0,IF($J64=7,-$E64*$I64/12*0,IF($J64=8,-$E64*$I64/12*1,IF($J64=9,-$E64*$I64/12*2,IF($J64&gt;=10,-$E64*$I64/12*3,0))))))</f>
        <v>0</v>
      </c>
      <c r="CR64" s="443">
        <f t="shared" ref="CR64" si="828">IF($H64&lt;&gt;CS$5,0,IF(CS64&lt;0,IF(OR($J64=1,$J64=2,$J64=3,$J64=4,$J64=5,$J64=6,$J64=7,$J64=8,$J64=9,$J64=10),-$E64*$I64/12*3,IF($J64=11,-$E64*$I64/12*2,IF($J64=12,-$E64*$I64/12*1,0)))))+IF(CN$5&lt;&gt;$H64,0,IF(CN64&lt;0,IF($J64=10,-$E64*$I64/12*0,IF($J64=11,-$E64*$I64/12*1,IF($J64=12,-$E64*$I64/12*2,0)))))</f>
        <v>0</v>
      </c>
      <c r="CS64" s="440">
        <f t="shared" ref="CS64" si="829">IF(AND(CN64&lt;&gt;0,CN$5=$H64),-$I64*$E64-CN64,IF(CS$5=$H64,-$I64*$E64*(12-$J64+1)/12,0))</f>
        <v>0</v>
      </c>
      <c r="CT64" s="441">
        <f t="shared" ref="CT64" si="830">IF($H64&lt;&gt;CX$5,0,IF(CX64&lt;0,IF($J64=1,-$E64*$I64/12*3,IF($J64=2,-$E64*$I64/12*2,IF($J64=3,-$E64*$I64/12*1,0)))))+IF(CS$5&lt;&gt;$H64,0,IF(CS64&lt;0,IF($J64=1,-$E64*$I64/12*0,IF($J64=2,-$E64*$I64/12*1,IF($J64=3,-$E64*$I64/12*2,IF($J64&gt;=4,-$E64*$I64/12*3,0))))))</f>
        <v>0</v>
      </c>
      <c r="CU64" s="442">
        <f t="shared" ref="CU64" si="831">IF($H64&lt;&gt;CX$5,0,IF(CX64&lt;0,IF(OR($J64=1,$J64=2,$J64=3,$J64=4),-$E64*$I64/12*3,IF($J64=5,-$E64*$I64/12*2,IF($J64=6,-$E64*$I64/12*1,0)))))+IF(CS$5&lt;&gt;$H64,0,IF(CS64&lt;0,IF($J64=4,-$E64*$I64/12*0,IF($J64=5,-$E64*$I64/12*1,IF($J64=6,-$E64*$I64/12*2,IF($J64&gt;=7,-$E64*$I64/12*3,0))))))</f>
        <v>0</v>
      </c>
      <c r="CV64" s="442">
        <f t="shared" ref="CV64" si="832">IF($H64&lt;&gt;CX$5,0,IF(CX64&lt;0,IF(OR($J64=1,$J64=2,$J64=3,$J64=4,$J64=5,$J64=6,$J64=7),-$E64*$I64/12*3,IF($J64=8,-$E64*$I64/12*2,IF($J64=9,-$E64*$I64/12*1,0)))))+IF(CS$5&lt;&gt;$H64,0,IF(CS64&lt;0,IF($J64=7,-$E64*$I64/12*0,IF($J64=8,-$E64*$I64/12*1,IF($J64=9,-$E64*$I64/12*2,IF($J64&gt;=10,-$E64*$I64/12*3,0))))))</f>
        <v>0</v>
      </c>
      <c r="CW64" s="443">
        <f t="shared" ref="CW64" si="833">IF($H64&lt;&gt;CX$5,0,IF(CX64&lt;0,IF(OR($J64=1,$J64=2,$J64=3,$J64=4,$J64=5,$J64=6,$J64=7,$J64=8,$J64=9,$J64=10),-$E64*$I64/12*3,IF($J64=11,-$E64*$I64/12*2,IF($J64=12,-$E64*$I64/12*1,0)))))+IF(CS$5&lt;&gt;$H64,0,IF(CS64&lt;0,IF($J64=10,-$E64*$I64/12*0,IF($J64=11,-$E64*$I64/12*1,IF($J64=12,-$E64*$I64/12*2,0)))))</f>
        <v>0</v>
      </c>
      <c r="CX64" s="440">
        <f t="shared" ref="CX64" si="834">IF(AND(CS64&lt;&gt;0,CS$5=$H64),-$I64*$E64-CS64,IF(CX$5=$H64,-$I64*$E64*(12-$J64+1)/12,0))</f>
        <v>0</v>
      </c>
      <c r="CY64" s="441">
        <f t="shared" ref="CY64" si="835">IF($H64&lt;&gt;DC$5,0,IF(DC64&lt;0,IF($J64=1,-$E64*$I64/12*3,IF($J64=2,-$E64*$I64/12*2,IF($J64=3,-$E64*$I64/12*1,0)))))+IF(CX$5&lt;&gt;$H64,0,IF(CX64&lt;0,IF($J64=1,-$E64*$I64/12*0,IF($J64=2,-$E64*$I64/12*1,IF($J64=3,-$E64*$I64/12*2,IF($J64&gt;=4,-$E64*$I64/12*3,0))))))</f>
        <v>0</v>
      </c>
      <c r="CZ64" s="442">
        <f t="shared" ref="CZ64" si="836">IF($H64&lt;&gt;DC$5,0,IF(DC64&lt;0,IF(OR($J64=1,$J64=2,$J64=3,$J64=4),-$E64*$I64/12*3,IF($J64=5,-$E64*$I64/12*2,IF($J64=6,-$E64*$I64/12*1,0)))))+IF(CX$5&lt;&gt;$H64,0,IF(CX64&lt;0,IF($J64=4,-$E64*$I64/12*0,IF($J64=5,-$E64*$I64/12*1,IF($J64=6,-$E64*$I64/12*2,IF($J64&gt;=7,-$E64*$I64/12*3,0))))))</f>
        <v>0</v>
      </c>
      <c r="DA64" s="442">
        <f t="shared" ref="DA64" si="837">IF($H64&lt;&gt;DC$5,0,IF(DC64&lt;0,IF(OR($J64=1,$J64=2,$J64=3,$J64=4,$J64=5,$J64=6,$J64=7),-$E64*$I64/12*3,IF($J64=8,-$E64*$I64/12*2,IF($J64=9,-$E64*$I64/12*1,0)))))+IF(CX$5&lt;&gt;$H64,0,IF(CX64&lt;0,IF($J64=7,-$E64*$I64/12*0,IF($J64=8,-$E64*$I64/12*1,IF($J64=9,-$E64*$I64/12*2,IF($J64&gt;=10,-$E64*$I64/12*3,0))))))</f>
        <v>0</v>
      </c>
      <c r="DB64" s="443">
        <f t="shared" ref="DB64" si="838">IF($H64&lt;&gt;DC$5,0,IF(DC64&lt;0,IF(OR($J64=1,$J64=2,$J64=3,$J64=4,$J64=5,$J64=6,$J64=7,$J64=8,$J64=9,$J64=10),-$E64*$I64/12*3,IF($J64=11,-$E64*$I64/12*2,IF($J64=12,-$E64*$I64/12*1,0)))))+IF(CX$5&lt;&gt;$H64,0,IF(CX64&lt;0,IF($J64=10,-$E64*$I64/12*0,IF($J64=11,-$E64*$I64/12*1,IF($J64=12,-$E64*$I64/12*2,0)))))</f>
        <v>0</v>
      </c>
      <c r="DC64" s="440">
        <f t="shared" ref="DC64" si="839">IF(AND(CX64&lt;&gt;0,CX$5=$H64),-$I64*$E64-CX64,IF(DC$5=$H64,-$I64*$E64*(12-$J64+1)/12,0))</f>
        <v>0</v>
      </c>
      <c r="DD64" s="441">
        <f t="shared" ref="DD64" si="840">IF($H64&lt;&gt;DH$5,0,IF(DH64&lt;0,IF($J64=1,-$E64*$I64/12*3,IF($J64=2,-$E64*$I64/12*2,IF($J64=3,-$E64*$I64/12*1,0)))))+IF(DC$5&lt;&gt;$H64,0,IF(DC64&lt;0,IF($J64=1,-$E64*$I64/12*0,IF($J64=2,-$E64*$I64/12*1,IF($J64=3,-$E64*$I64/12*2,IF($J64&gt;=4,-$E64*$I64/12*3,0))))))</f>
        <v>0</v>
      </c>
      <c r="DE64" s="442">
        <f t="shared" ref="DE64" si="841">IF($H64&lt;&gt;DH$5,0,IF(DH64&lt;0,IF(OR($J64=1,$J64=2,$J64=3,$J64=4),-$E64*$I64/12*3,IF($J64=5,-$E64*$I64/12*2,IF($J64=6,-$E64*$I64/12*1,0)))))+IF(DC$5&lt;&gt;$H64,0,IF(DC64&lt;0,IF($J64=4,-$E64*$I64/12*0,IF($J64=5,-$E64*$I64/12*1,IF($J64=6,-$E64*$I64/12*2,IF($J64&gt;=7,-$E64*$I64/12*3,0))))))</f>
        <v>0</v>
      </c>
      <c r="DF64" s="442">
        <f t="shared" ref="DF64" si="842">IF($H64&lt;&gt;DH$5,0,IF(DH64&lt;0,IF(OR($J64=1,$J64=2,$J64=3,$J64=4,$J64=5,$J64=6,$J64=7),-$E64*$I64/12*3,IF($J64=8,-$E64*$I64/12*2,IF($J64=9,-$E64*$I64/12*1,0)))))+IF(DC$5&lt;&gt;$H64,0,IF(DC64&lt;0,IF($J64=7,-$E64*$I64/12*0,IF($J64=8,-$E64*$I64/12*1,IF($J64=9,-$E64*$I64/12*2,IF($J64&gt;=10,-$E64*$I64/12*3,0))))))</f>
        <v>0</v>
      </c>
      <c r="DG64" s="443">
        <f t="shared" ref="DG64" si="843">IF($H64&lt;&gt;DH$5,0,IF(DH64&lt;0,IF(OR($J64=1,$J64=2,$J64=3,$J64=4,$J64=5,$J64=6,$J64=7,$J64=8,$J64=9,$J64=10),-$E64*$I64/12*3,IF($J64=11,-$E64*$I64/12*2,IF($J64=12,-$E64*$I64/12*1,0)))))+IF(DC$5&lt;&gt;$H64,0,IF(DC64&lt;0,IF($J64=10,-$E64*$I64/12*0,IF($J64=11,-$E64*$I64/12*1,IF($J64=12,-$E64*$I64/12*2,0)))))</f>
        <v>0</v>
      </c>
      <c r="DH64" s="440">
        <f t="shared" ref="DH64" si="844">IF(AND(DC64&lt;&gt;0,DC$5=$H64),-$I64*$E64-DC64,IF(DH$5=$H64,-$I64*$E64*(12-$J64+1)/12,0))</f>
        <v>0</v>
      </c>
      <c r="DI64" s="441">
        <f t="shared" ref="DI64" si="845">IF($H64&lt;&gt;DM$5,0,IF(DM64&lt;0,IF($J64=1,-$E64*$I64/12*3,IF($J64=2,-$E64*$I64/12*2,IF($J64=3,-$E64*$I64/12*1,0)))))+IF(DH$5&lt;&gt;$H64,0,IF(DH64&lt;0,IF($J64=1,-$E64*$I64/12*0,IF($J64=2,-$E64*$I64/12*1,IF($J64=3,-$E64*$I64/12*2,IF($J64&gt;=4,-$E64*$I64/12*3,0))))))</f>
        <v>0</v>
      </c>
      <c r="DJ64" s="442">
        <f t="shared" ref="DJ64" si="846">IF($H64&lt;&gt;DM$5,0,IF(DM64&lt;0,IF(OR($J64=1,$J64=2,$J64=3,$J64=4),-$E64*$I64/12*3,IF($J64=5,-$E64*$I64/12*2,IF($J64=6,-$E64*$I64/12*1,0)))))+IF(DH$5&lt;&gt;$H64,0,IF(DH64&lt;0,IF($J64=4,-$E64*$I64/12*0,IF($J64=5,-$E64*$I64/12*1,IF($J64=6,-$E64*$I64/12*2,IF($J64&gt;=7,-$E64*$I64/12*3,0))))))</f>
        <v>0</v>
      </c>
      <c r="DK64" s="442">
        <f t="shared" ref="DK64" si="847">IF($H64&lt;&gt;DM$5,0,IF(DM64&lt;0,IF(OR($J64=1,$J64=2,$J64=3,$J64=4,$J64=5,$J64=6,$J64=7),-$E64*$I64/12*3,IF($J64=8,-$E64*$I64/12*2,IF($J64=9,-$E64*$I64/12*1,0)))))+IF(DH$5&lt;&gt;$H64,0,IF(DH64&lt;0,IF($J64=7,-$E64*$I64/12*0,IF($J64=8,-$E64*$I64/12*1,IF($J64=9,-$E64*$I64/12*2,IF($J64&gt;=10,-$E64*$I64/12*3,0))))))</f>
        <v>0</v>
      </c>
      <c r="DL64" s="443">
        <f t="shared" ref="DL64" si="848">IF($H64&lt;&gt;DM$5,0,IF(DM64&lt;0,IF(OR($J64=1,$J64=2,$J64=3,$J64=4,$J64=5,$J64=6,$J64=7,$J64=8,$J64=9,$J64=10),-$E64*$I64/12*3,IF($J64=11,-$E64*$I64/12*2,IF($J64=12,-$E64*$I64/12*1,0)))))+IF(DH$5&lt;&gt;$H64,0,IF(DH64&lt;0,IF($J64=10,-$E64*$I64/12*0,IF($J64=11,-$E64*$I64/12*1,IF($J64=12,-$E64*$I64/12*2,0)))))</f>
        <v>0</v>
      </c>
      <c r="DM64" s="440">
        <f t="shared" ref="DM64" si="849">IF(AND(DH64&lt;&gt;0,DH$5=$H64),-$I64*$E64-DH64,IF(DM$5=$H64,-$I64*$E64*(12-$J64+1)/12,0))</f>
        <v>0</v>
      </c>
      <c r="DN64" s="441">
        <f t="shared" ref="DN64" si="850">IF($H64&lt;&gt;DR$5,0,IF(DR64&lt;0,IF($J64=1,-$E64*$I64/12*3,IF($J64=2,-$E64*$I64/12*2,IF($J64=3,-$E64*$I64/12*1,0)))))+IF(DM$5&lt;&gt;$H64,0,IF(DM64&lt;0,IF($J64=1,-$E64*$I64/12*0,IF($J64=2,-$E64*$I64/12*1,IF($J64=3,-$E64*$I64/12*2,IF($J64&gt;=4,-$E64*$I64/12*3,0))))))</f>
        <v>0</v>
      </c>
      <c r="DO64" s="442">
        <f t="shared" ref="DO64" si="851">IF($H64&lt;&gt;DR$5,0,IF(DR64&lt;0,IF(OR($J64=1,$J64=2,$J64=3,$J64=4),-$E64*$I64/12*3,IF($J64=5,-$E64*$I64/12*2,IF($J64=6,-$E64*$I64/12*1,0)))))+IF(DM$5&lt;&gt;$H64,0,IF(DM64&lt;0,IF($J64=4,-$E64*$I64/12*0,IF($J64=5,-$E64*$I64/12*1,IF($J64=6,-$E64*$I64/12*2,IF($J64&gt;=7,-$E64*$I64/12*3,0))))))</f>
        <v>0</v>
      </c>
      <c r="DP64" s="442">
        <f t="shared" ref="DP64" si="852">IF($H64&lt;&gt;DR$5,0,IF(DR64&lt;0,IF(OR($J64=1,$J64=2,$J64=3,$J64=4,$J64=5,$J64=6,$J64=7),-$E64*$I64/12*3,IF($J64=8,-$E64*$I64/12*2,IF($J64=9,-$E64*$I64/12*1,0)))))+IF(DM$5&lt;&gt;$H64,0,IF(DM64&lt;0,IF($J64=7,-$E64*$I64/12*0,IF($J64=8,-$E64*$I64/12*1,IF($J64=9,-$E64*$I64/12*2,IF($J64&gt;=10,-$E64*$I64/12*3,0))))))</f>
        <v>0</v>
      </c>
      <c r="DQ64" s="443">
        <f t="shared" ref="DQ64" si="853">IF($H64&lt;&gt;DR$5,0,IF(DR64&lt;0,IF(OR($J64=1,$J64=2,$J64=3,$J64=4,$J64=5,$J64=6,$J64=7,$J64=8,$J64=9,$J64=10),-$E64*$I64/12*3,IF($J64=11,-$E64*$I64/12*2,IF($J64=12,-$E64*$I64/12*1,0)))))+IF(DM$5&lt;&gt;$H64,0,IF(DM64&lt;0,IF($J64=10,-$E64*$I64/12*0,IF($J64=11,-$E64*$I64/12*1,IF($J64=12,-$E64*$I64/12*2,0)))))</f>
        <v>0</v>
      </c>
      <c r="DR64" s="440">
        <f t="shared" ref="DR64" si="854">IF(AND(DM64&lt;&gt;0,DM$5=$H64),-$I64*$E64-DM64,IF(DR$5=$H64,-$I64*$E64*(12-$J64+1)/12,0))</f>
        <v>0</v>
      </c>
    </row>
    <row r="65" spans="1:122" ht="12.75" customHeight="1">
      <c r="C65" s="1590" t="s">
        <v>1163</v>
      </c>
      <c r="D65" s="395"/>
      <c r="E65" s="865">
        <f>IF(F65=0,G65,F65)</f>
        <v>234.52</v>
      </c>
      <c r="F65" s="1945">
        <v>234.52</v>
      </c>
      <c r="G65" s="1945">
        <v>234.52</v>
      </c>
      <c r="H65" s="1308">
        <v>2023</v>
      </c>
      <c r="I65" s="1948">
        <v>3.7499999999999999E-2</v>
      </c>
      <c r="J65" s="1357">
        <v>12</v>
      </c>
      <c r="K65" s="549"/>
      <c r="L65" s="441">
        <f>IF(P65=0,0,IF(P65&lt;0,IF($J65=3,P65,IF($J65=2,P65,IF($J65=1,P65,0)))))</f>
        <v>0</v>
      </c>
      <c r="M65" s="442">
        <f>IF(P65=0,0,IF(P65&lt;0,IF($J65=6,P65,IF($J65=5,P65,IF($J65=4,P65,0)))))</f>
        <v>0</v>
      </c>
      <c r="N65" s="442">
        <f>IF(P65=0,0,IF(P65&lt;0,IF($J65=9,P65,IF($J65=8,P65,IF($J65=7,P65,0)))))</f>
        <v>0</v>
      </c>
      <c r="O65" s="443">
        <f>IF(P65=0,0,IF(P65&lt;0,IF($J65=12,P65,IF($J65=11,P65,IF($J65=10,P65,0)))))</f>
        <v>0</v>
      </c>
      <c r="P65" s="440">
        <f>IF(P$5=$H65,-$E65,0)</f>
        <v>0</v>
      </c>
      <c r="Q65" s="441">
        <f>IF(U65=0,0,IF(U65&lt;0,IF($J65=3,U65,IF($J65=2,U65,IF($J65=1,U65,0)))))</f>
        <v>0</v>
      </c>
      <c r="R65" s="442">
        <f>IF(U65=0,0,IF(U65&lt;0,IF($J65=6,U65,IF($J65=5,U65,IF($J65=4,U65,0)))))</f>
        <v>0</v>
      </c>
      <c r="S65" s="442">
        <f>IF(U65=0,0,IF(U65&lt;0,IF($J65=9,U65,IF($J65=8,U65,IF($J65=7,U65,0)))))</f>
        <v>0</v>
      </c>
      <c r="T65" s="443">
        <f>IF(U65=0,0,IF(U65&lt;0,IF($J65=12,U65,IF($J65=11,U65,IF($J65=10,U65,0)))))</f>
        <v>0</v>
      </c>
      <c r="U65" s="440">
        <f>IF(U$5=$H65,-$E65,0)</f>
        <v>0</v>
      </c>
      <c r="V65" s="441">
        <f>IF(Z65=0,0,IF(Z65&lt;0,IF($J65=3,Z65,IF($J65=2,Z65,IF($J65=1,Z65,0)))))</f>
        <v>0</v>
      </c>
      <c r="W65" s="442">
        <f>IF(Z65=0,0,IF(Z65&lt;0,IF($J65=6,Z65,IF($J65=5,Z65,IF($J65=4,Z65,0)))))</f>
        <v>0</v>
      </c>
      <c r="X65" s="442">
        <f>IF(Z65=0,0,IF(Z65&lt;0,IF($J65=9,Z65,IF($J65=8,Z65,IF($J65=7,Z65,0)))))</f>
        <v>0</v>
      </c>
      <c r="Y65" s="443">
        <f>IF(Z65=0,0,IF(Z65&lt;0,IF($J65=12,Z65,IF($J65=11,Z65,IF($J65=10,Z65,0)))))</f>
        <v>0</v>
      </c>
      <c r="Z65" s="440">
        <f>IF(Z$5=$H65,-$E65,0)</f>
        <v>0</v>
      </c>
      <c r="AA65" s="441">
        <f>IF(AE65=0,0,IF(AE65&lt;0,IF($J65=3,AE65,IF($J65=2,AE65,IF($J65=1,AE65,0)))))</f>
        <v>0</v>
      </c>
      <c r="AB65" s="442">
        <f>IF(AE65=0,0,IF(AE65&lt;0,IF($J65=6,AE65,IF($J65=5,AE65,IF($J65=4,AE65,0)))))</f>
        <v>0</v>
      </c>
      <c r="AC65" s="442">
        <f>IF(AE65=0,0,IF(AE65&lt;0,IF($J65=9,AE65,IF($J65=8,AE65,IF($J65=7,AE65,0)))))</f>
        <v>0</v>
      </c>
      <c r="AD65" s="443">
        <f>IF(AE65=0,0,IF(AE65&lt;0,IF($J65=12,AE65,IF($J65=11,AE65,IF($J65=10,AE65,0)))))</f>
        <v>0</v>
      </c>
      <c r="AE65" s="440">
        <f>IF(AE$5=$H65,-$E65,0)</f>
        <v>0</v>
      </c>
      <c r="AF65" s="441">
        <f>IF(AJ65=0,0,IF(AJ65&lt;0,IF($J65=3,AJ65,IF($J65=2,AJ65,IF($J65=1,AJ65,0)))))</f>
        <v>0</v>
      </c>
      <c r="AG65" s="442">
        <f>IF(AJ65=0,0,IF(AJ65&lt;0,IF($J65=6,AJ65,IF($J65=5,AJ65,IF($J65=4,AJ65,0)))))</f>
        <v>0</v>
      </c>
      <c r="AH65" s="442">
        <f>IF(AJ65=0,0,IF(AJ65&lt;0,IF($J65=9,AJ65,IF($J65=8,AJ65,IF($J65=7,AJ65,0)))))</f>
        <v>0</v>
      </c>
      <c r="AI65" s="443">
        <f>IF(AJ65=0,0,IF(AJ65&lt;0,IF($J65=12,AJ65,IF($J65=11,AJ65,IF($J65=10,AJ65,0)))))</f>
        <v>0</v>
      </c>
      <c r="AJ65" s="440">
        <f>IF(AJ$5=$H65,-$E65,0)</f>
        <v>0</v>
      </c>
      <c r="AK65" s="441">
        <f>IF(AO65=0,0,IF(AO65&lt;0,IF($J65=3,AO65,IF($J65=2,AO65,IF($J65=1,AO65,0)))))</f>
        <v>0</v>
      </c>
      <c r="AL65" s="442">
        <f>IF(AO65=0,0,IF(AO65&lt;0,IF($J65=6,AO65,IF($J65=5,AO65,IF($J65=4,AO65,0)))))</f>
        <v>0</v>
      </c>
      <c r="AM65" s="442">
        <f>IF(AO65=0,0,IF(AO65&lt;0,IF($J65=9,AO65,IF($J65=8,AO65,IF($J65=7,AO65,0)))))</f>
        <v>0</v>
      </c>
      <c r="AN65" s="443">
        <f>IF(AO65=0,0,IF(AO65&lt;0,IF($J65=12,AO65,IF($J65=11,AO65,IF($J65=10,AO65,0)))))</f>
        <v>0</v>
      </c>
      <c r="AO65" s="440">
        <f>IF(AO$5=$H65,-$E65,0)</f>
        <v>0</v>
      </c>
      <c r="AP65" s="441">
        <f>IF(AT65=0,0,IF(AT65&lt;0,IF($J65=3,AT65,IF($J65=2,AT65,IF($J65=1,AT65,0)))))</f>
        <v>0</v>
      </c>
      <c r="AQ65" s="442">
        <f>IF(AT65=0,0,IF(AT65&lt;0,IF($J65=6,AT65,IF($J65=5,AT65,IF($J65=4,AT65,0)))))</f>
        <v>0</v>
      </c>
      <c r="AR65" s="442">
        <f>IF(AT65=0,0,IF(AT65&lt;0,IF($J65=9,AT65,IF($J65=8,AT65,IF($J65=7,AT65,0)))))</f>
        <v>0</v>
      </c>
      <c r="AS65" s="443">
        <f>IF(AT65=0,0,IF(AT65&lt;0,IF($J65=12,AT65,IF($J65=11,AT65,IF($J65=10,AT65,0)))))</f>
        <v>0</v>
      </c>
      <c r="AT65" s="440">
        <f>IF(AT$5=$H65,-$E65,0)</f>
        <v>0</v>
      </c>
      <c r="AU65" s="441">
        <f>IF(AY65=0,0,IF(AY65&lt;0,IF($J65=3,AY65,IF($J65=2,AY65,IF($J65=1,AY65,0)))))</f>
        <v>0</v>
      </c>
      <c r="AV65" s="442">
        <f>IF(AY65=0,0,IF(AY65&lt;0,IF($J65=6,AY65,IF($J65=5,AY65,IF($J65=4,AY65,0)))))</f>
        <v>0</v>
      </c>
      <c r="AW65" s="442">
        <f>IF(AY65=0,0,IF(AY65&lt;0,IF($J65=9,AY65,IF($J65=8,AY65,IF($J65=7,AY65,0)))))</f>
        <v>0</v>
      </c>
      <c r="AX65" s="443">
        <f>IF(AY65=0,0,IF(AY65&lt;0,IF($J65=12,AY65,IF($J65=11,AY65,IF($J65=10,AY65,0)))))</f>
        <v>0</v>
      </c>
      <c r="AY65" s="440">
        <f>IF(AY$5=$H65,-$E65,0)</f>
        <v>0</v>
      </c>
      <c r="AZ65" s="441">
        <f>IF(BD65=0,0,IF(BD65&lt;0,IF($J65=3,BD65,IF($J65=2,BD65,IF($J65=1,BD65,0)))))</f>
        <v>0</v>
      </c>
      <c r="BA65" s="442">
        <f>IF(BD65=0,0,IF(BD65&lt;0,IF($J65=6,BD65,IF($J65=5,BD65,IF($J65=4,BD65,0)))))</f>
        <v>0</v>
      </c>
      <c r="BB65" s="442">
        <f>IF(BD65=0,0,IF(BD65&lt;0,IF($J65=9,BD65,IF($J65=8,BD65,IF($J65=7,BD65,0)))))</f>
        <v>0</v>
      </c>
      <c r="BC65" s="443">
        <f>IF(BD65=0,0,IF(BD65&lt;0,IF($J65=12,BD65,IF($J65=11,BD65,IF($J65=10,BD65,0)))))</f>
        <v>0</v>
      </c>
      <c r="BD65" s="440">
        <f>IF(BD$5=$H65,-$E65,0)</f>
        <v>0</v>
      </c>
      <c r="BE65" s="441">
        <f>IF(BI65=0,0,IF(BI65&lt;0,IF($J65=3,BI65,IF($J65=2,BI65,IF($J65=1,BI65,0)))))</f>
        <v>0</v>
      </c>
      <c r="BF65" s="442">
        <f>IF(BI65=0,0,IF(BI65&lt;0,IF($J65=6,BI65,IF($J65=5,BI65,IF($J65=4,BI65,0)))))</f>
        <v>0</v>
      </c>
      <c r="BG65" s="442">
        <f>IF(BI65=0,0,IF(BI65&lt;0,IF($J65=9,BI65,IF($J65=8,BI65,IF($J65=7,BI65,0)))))</f>
        <v>0</v>
      </c>
      <c r="BH65" s="443">
        <f>IF(BI65=0,0,IF(BI65&lt;0,IF($J65=12,BI65,IF($J65=11,BI65,IF($J65=10,BI65,0)))))</f>
        <v>0</v>
      </c>
      <c r="BI65" s="440">
        <f>IF(BI$5=$H65,-$E65,0)</f>
        <v>0</v>
      </c>
      <c r="BJ65" s="441">
        <f>IF(BN65=0,0,IF(BN65&lt;0,IF($J65=3,BN65,IF($J65=2,BN65,IF($J65=1,BN65,0)))))</f>
        <v>0</v>
      </c>
      <c r="BK65" s="442">
        <f>IF(BN65=0,0,IF(BN65&lt;0,IF($J65=6,BN65,IF($J65=5,BN65,IF($J65=4,BN65,0)))))</f>
        <v>0</v>
      </c>
      <c r="BL65" s="442">
        <f>IF(BN65=0,0,IF(BN65&lt;0,IF($J65=9,BN65,IF($J65=8,BN65,IF($J65=7,BN65,0)))))</f>
        <v>0</v>
      </c>
      <c r="BM65" s="443">
        <f>IF(BN65=0,0,IF(BN65&lt;0,IF($J65=12,BN65,IF($J65=11,BN65,IF($J65=10,BN65,0)))))</f>
        <v>0</v>
      </c>
      <c r="BN65" s="440">
        <f>IF(BN$5=$H65,-$E65,0)</f>
        <v>0</v>
      </c>
      <c r="BO65" s="473"/>
      <c r="BP65" s="441">
        <f>IF($H65&lt;&gt;BT$5,0,IF(BT65&lt;0,IF($J65=1,-$E65*$I65/12*3,IF($J65=2,-$E65*$I65/12*2,IF($J65=3,-$E65*$I65/12*1,0)))))+IF(BO$5&lt;&gt;$H65,0,IF(BO65&lt;0,IF($J65=1,-$E65*$I65/12*0,IF($J65=2,-$E65*$I65/12*1,IF($J65=3,-$E65*$I65/12*2,IF($J65&gt;=4,-$E65*$I65/12*3,0))))))</f>
        <v>0</v>
      </c>
      <c r="BQ65" s="442">
        <f>IF($H65&lt;&gt;BT$5,0,IF(BT65&lt;0,IF(OR($J65=1,$J65=2,$J65=3,$J65=4),-$E65*$I65/12*3,IF($J65=5,-$E65*$I65/12*2,IF($J65=6,-$E65*$I65/12*1,0)))))+IF(BO$5&lt;&gt;$H65,0,IF(BO65&lt;0,IF($J65=4,-$E65*$I65/12*0,IF($J65=5,-$E65*$I65/12*1,IF($J65=6,-$E65*$I65/12*2,IF($J65&gt;=7,-$E65*$I65/12*3,0))))))</f>
        <v>0</v>
      </c>
      <c r="BR65" s="442">
        <f>IF($H65&lt;&gt;BT$5,0,IF(BT65&lt;0,IF(OR($J65=1,$J65=2,$J65=3,$J65=4,$J65=5,$J65=6,$J65=7),-$E65*$I65/12*3,IF($J65=8,-$E65*$I65/12*2,IF($J65=9,-$E65*$I65/12*1,0)))))+IF(BO$5&lt;&gt;$H65,0,IF(BO65&lt;0,IF($J65=7,-$E65*$I65/12*0,IF($J65=8,-$E65*$I65/12*1,IF($J65=9,-$E65*$I65/12*2,IF($J65&gt;=10,-$E65*$I65/12*3,0))))))</f>
        <v>0</v>
      </c>
      <c r="BS65" s="443">
        <f>IF($H65&lt;&gt;BT$5,0,IF(BT65&lt;0,IF(OR($J65=1,$J65=2,$J65=3,$J65=4,$J65=5,$J65=6,$J65=7,$J65=8,$J65=9,$J65=10),-$E65*$I65/12*3,IF($J65=11,-$E65*$I65/12*2,IF($J65=12,-$E65*$I65/12*1,0)))))+IF(BO$5&lt;&gt;$H65,0,IF(BO65&lt;0,IF($J65=10,-$E65*$I65/12*0,IF($J65=11,-$E65*$I65/12*1,IF($J65=12,-$E65*$I65/12*2,0)))))</f>
        <v>0</v>
      </c>
      <c r="BT65" s="440">
        <f>IF(AND(BO65&lt;&gt;0,BO$5=$H65),-$I65*$E65-BO65,IF(BT$5=$H65,-$I65*$E65*(12-$J65+1)/12,0))</f>
        <v>0</v>
      </c>
      <c r="BU65" s="441">
        <f>IF($H65&lt;&gt;BY$5,0,IF(BY65&lt;0,IF($J65=1,-$E65*$I65/12*3,IF($J65=2,-$E65*$I65/12*2,IF($J65=3,-$E65*$I65/12*1,0)))))+IF(BT$5&lt;&gt;$H65,0,IF(BT65&lt;0,IF($J65=1,-$E65*$I65/12*0,IF($J65=2,-$E65*$I65/12*1,IF($J65=3,-$E65*$I65/12*2,IF($J65&gt;=4,-$E65*$I65/12*3,0))))))</f>
        <v>0</v>
      </c>
      <c r="BV65" s="442">
        <f>IF($H65&lt;&gt;BY$5,0,IF(BY65&lt;0,IF(OR($J65=1,$J65=2,$J65=3,$J65=4),-$E65*$I65/12*3,IF($J65=5,-$E65*$I65/12*2,IF($J65=6,-$E65*$I65/12*1,0)))))+IF(BT$5&lt;&gt;$H65,0,IF(BT65&lt;0,IF($J65=4,-$E65*$I65/12*0,IF($J65=5,-$E65*$I65/12*1,IF($J65=6,-$E65*$I65/12*2,IF($J65&gt;=7,-$E65*$I65/12*3,0))))))</f>
        <v>0</v>
      </c>
      <c r="BW65" s="442">
        <f>IF($H65&lt;&gt;BY$5,0,IF(BY65&lt;0,IF(OR($J65=1,$J65=2,$J65=3,$J65=4,$J65=5,$J65=6,$J65=7),-$E65*$I65/12*3,IF($J65=8,-$E65*$I65/12*2,IF($J65=9,-$E65*$I65/12*1,0)))))+IF(BT$5&lt;&gt;$H65,0,IF(BT65&lt;0,IF($J65=7,-$E65*$I65/12*0,IF($J65=8,-$E65*$I65/12*1,IF($J65=9,-$E65*$I65/12*2,IF($J65&gt;=10,-$E65*$I65/12*3,0))))))</f>
        <v>0</v>
      </c>
      <c r="BX65" s="443">
        <f>IF($H65&lt;&gt;BY$5,0,IF(BY65&lt;0,IF(OR($J65=1,$J65=2,$J65=3,$J65=4,$J65=5,$J65=6,$J65=7,$J65=8,$J65=9,$J65=10),-$E65*$I65/12*3,IF($J65=11,-$E65*$I65/12*2,IF($J65=12,-$E65*$I65/12*1,0)))))+IF(BT$5&lt;&gt;$H65,0,IF(BT65&lt;0,IF($J65=10,-$E65*$I65/12*0,IF($J65=11,-$E65*$I65/12*1,IF($J65=12,-$E65*$I65/12*2,0)))))</f>
        <v>0</v>
      </c>
      <c r="BY65" s="440">
        <f>IF(AND(BT65&lt;&gt;0,BT$5=$H65),-$I65*$E65-BT65,IF(BY$5=$H65,-$I65*$E65*(12-$J65+1)/12,0))</f>
        <v>0</v>
      </c>
      <c r="BZ65" s="441">
        <f>IF($H65&lt;&gt;CD$5,0,IF(CD65&lt;0,IF($J65=1,-$E65*$I65/12*3,IF($J65=2,-$E65*$I65/12*2,IF($J65=3,-$E65*$I65/12*1,0)))))+IF(BY$5&lt;&gt;$H65,0,IF(BY65&lt;0,IF($J65=1,-$E65*$I65/12*0,IF($J65=2,-$E65*$I65/12*1,IF($J65=3,-$E65*$I65/12*2,IF($J65&gt;=4,-$E65*$I65/12*3,0))))))</f>
        <v>0</v>
      </c>
      <c r="CA65" s="442">
        <f>IF($H65&lt;&gt;CD$5,0,IF(CD65&lt;0,IF(OR($J65=1,$J65=2,$J65=3,$J65=4),-$E65*$I65/12*3,IF($J65=5,-$E65*$I65/12*2,IF($J65=6,-$E65*$I65/12*1,0)))))+IF(BY$5&lt;&gt;$H65,0,IF(BY65&lt;0,IF($J65=4,-$E65*$I65/12*0,IF($J65=5,-$E65*$I65/12*1,IF($J65=6,-$E65*$I65/12*2,IF($J65&gt;=7,-$E65*$I65/12*3,0))))))</f>
        <v>0</v>
      </c>
      <c r="CB65" s="442">
        <f>IF($H65&lt;&gt;CD$5,0,IF(CD65&lt;0,IF(OR($J65=1,$J65=2,$J65=3,$J65=4,$J65=5,$J65=6,$J65=7),-$E65*$I65/12*3,IF($J65=8,-$E65*$I65/12*2,IF($J65=9,-$E65*$I65/12*1,0)))))+IF(BY$5&lt;&gt;$H65,0,IF(BY65&lt;0,IF($J65=7,-$E65*$I65/12*0,IF($J65=8,-$E65*$I65/12*1,IF($J65=9,-$E65*$I65/12*2,IF($J65&gt;=10,-$E65*$I65/12*3,0))))))</f>
        <v>0</v>
      </c>
      <c r="CC65" s="443">
        <f>IF($H65&lt;&gt;CD$5,0,IF(CD65&lt;0,IF(OR($J65=1,$J65=2,$J65=3,$J65=4,$J65=5,$J65=6,$J65=7,$J65=8,$J65=9,$J65=10),-$E65*$I65/12*3,IF($J65=11,-$E65*$I65/12*2,IF($J65=12,-$E65*$I65/12*1,0)))))+IF(BY$5&lt;&gt;$H65,0,IF(BY65&lt;0,IF($J65=10,-$E65*$I65/12*0,IF($J65=11,-$E65*$I65/12*1,IF($J65=12,-$E65*$I65/12*2,0)))))</f>
        <v>0</v>
      </c>
      <c r="CD65" s="440">
        <f>IF(AND(BY65&lt;&gt;0,BY$5=$H65),-$I65*$E65-BY65,IF(CD$5=$H65,-$I65*$E65*(12-$J65+1)/12,0))</f>
        <v>0</v>
      </c>
      <c r="CE65" s="441">
        <f>IF($H65&lt;&gt;CI$5,0,IF(CI65&lt;0,IF($J65=1,-$E65*$I65/12*3,IF($J65=2,-$E65*$I65/12*2,IF($J65=3,-$E65*$I65/12*1,0)))))+IF(CD$5&lt;&gt;$H65,0,IF(CD65&lt;0,IF($J65=1,-$E65*$I65/12*0,IF($J65=2,-$E65*$I65/12*1,IF($J65=3,-$E65*$I65/12*2,IF($J65&gt;=4,-$E65*$I65/12*3,0))))))</f>
        <v>0</v>
      </c>
      <c r="CF65" s="442">
        <f>IF($H65&lt;&gt;CI$5,0,IF(CI65&lt;0,IF(OR($J65=1,$J65=2,$J65=3,$J65=4),-$E65*$I65/12*3,IF($J65=5,-$E65*$I65/12*2,IF($J65=6,-$E65*$I65/12*1,0)))))+IF(CD$5&lt;&gt;$H65,0,IF(CD65&lt;0,IF($J65=4,-$E65*$I65/12*0,IF($J65=5,-$E65*$I65/12*1,IF($J65=6,-$E65*$I65/12*2,IF($J65&gt;=7,-$E65*$I65/12*3,0))))))</f>
        <v>0</v>
      </c>
      <c r="CG65" s="442">
        <f>IF($H65&lt;&gt;CI$5,0,IF(CI65&lt;0,IF(OR($J65=1,$J65=2,$J65=3,$J65=4,$J65=5,$J65=6,$J65=7),-$E65*$I65/12*3,IF($J65=8,-$E65*$I65/12*2,IF($J65=9,-$E65*$I65/12*1,0)))))+IF(CD$5&lt;&gt;$H65,0,IF(CD65&lt;0,IF($J65=7,-$E65*$I65/12*0,IF($J65=8,-$E65*$I65/12*1,IF($J65=9,-$E65*$I65/12*2,IF($J65&gt;=10,-$E65*$I65/12*3,0))))))</f>
        <v>0</v>
      </c>
      <c r="CH65" s="443">
        <f>IF($H65&lt;&gt;CI$5,0,IF(CI65&lt;0,IF(OR($J65=1,$J65=2,$J65=3,$J65=4,$J65=5,$J65=6,$J65=7,$J65=8,$J65=9,$J65=10),-$E65*$I65/12*3,IF($J65=11,-$E65*$I65/12*2,IF($J65=12,-$E65*$I65/12*1,0)))))+IF(CD$5&lt;&gt;$H65,0,IF(CD65&lt;0,IF($J65=10,-$E65*$I65/12*0,IF($J65=11,-$E65*$I65/12*1,IF($J65=12,-$E65*$I65/12*2,0)))))</f>
        <v>0</v>
      </c>
      <c r="CI65" s="440">
        <f>IF(AND(CD65&lt;&gt;0,CD$5=$H65),-$I65*$E65-CD65,IF(CI$5=$H65,-$I65*$E65*(12-$J65+1)/12,0))</f>
        <v>0</v>
      </c>
      <c r="CJ65" s="441">
        <f>IF($H65&lt;&gt;CN$5,0,IF(CN65&lt;0,IF($J65=1,-$E65*$I65/12*3,IF($J65=2,-$E65*$I65/12*2,IF($J65=3,-$E65*$I65/12*1,0)))))+IF(CI$5&lt;&gt;$H65,0,IF(CI65&lt;0,IF($J65=1,-$E65*$I65/12*0,IF($J65=2,-$E65*$I65/12*1,IF($J65=3,-$E65*$I65/12*2,IF($J65&gt;=4,-$E65*$I65/12*3,0))))))</f>
        <v>0</v>
      </c>
      <c r="CK65" s="442">
        <f>IF($H65&lt;&gt;CN$5,0,IF(CN65&lt;0,IF(OR($J65=1,$J65=2,$J65=3,$J65=4),-$E65*$I65/12*3,IF($J65=5,-$E65*$I65/12*2,IF($J65=6,-$E65*$I65/12*1,0)))))+IF(CI$5&lt;&gt;$H65,0,IF(CI65&lt;0,IF($J65=4,-$E65*$I65/12*0,IF($J65=5,-$E65*$I65/12*1,IF($J65=6,-$E65*$I65/12*2,IF($J65&gt;=7,-$E65*$I65/12*3,0))))))</f>
        <v>0</v>
      </c>
      <c r="CL65" s="442">
        <f>IF($H65&lt;&gt;CN$5,0,IF(CN65&lt;0,IF(OR($J65=1,$J65=2,$J65=3,$J65=4,$J65=5,$J65=6,$J65=7),-$E65*$I65/12*3,IF($J65=8,-$E65*$I65/12*2,IF($J65=9,-$E65*$I65/12*1,0)))))+IF(CI$5&lt;&gt;$H65,0,IF(CI65&lt;0,IF($J65=7,-$E65*$I65/12*0,IF($J65=8,-$E65*$I65/12*1,IF($J65=9,-$E65*$I65/12*2,IF($J65&gt;=10,-$E65*$I65/12*3,0))))))</f>
        <v>0</v>
      </c>
      <c r="CM65" s="443">
        <f>IF($H65&lt;&gt;CN$5,0,IF(CN65&lt;0,IF(OR($J65=1,$J65=2,$J65=3,$J65=4,$J65=5,$J65=6,$J65=7,$J65=8,$J65=9,$J65=10),-$E65*$I65/12*3,IF($J65=11,-$E65*$I65/12*2,IF($J65=12,-$E65*$I65/12*1,0)))))+IF(CI$5&lt;&gt;$H65,0,IF(CI65&lt;0,IF($J65=10,-$E65*$I65/12*0,IF($J65=11,-$E65*$I65/12*1,IF($J65=12,-$E65*$I65/12*2,0)))))</f>
        <v>0</v>
      </c>
      <c r="CN65" s="440">
        <f>IF(AND(CI65&lt;&gt;0,CI$5=$H65),-$I65*$E65-CI65,IF(CN$5=$H65,-$I65*$E65*(12-$J65+1)/12,0))</f>
        <v>0</v>
      </c>
      <c r="CO65" s="441">
        <f>IF($H65&lt;&gt;CS$5,0,IF(CS65&lt;0,IF($J65=1,-$E65*$I65/12*3,IF($J65=2,-$E65*$I65/12*2,IF($J65=3,-$E65*$I65/12*1,0)))))+IF(CN$5&lt;&gt;$H65,0,IF(CN65&lt;0,IF($J65=1,-$E65*$I65/12*0,IF($J65=2,-$E65*$I65/12*1,IF($J65=3,-$E65*$I65/12*2,IF($J65&gt;=4,-$E65*$I65/12*3,0))))))</f>
        <v>0</v>
      </c>
      <c r="CP65" s="442">
        <f>IF($H65&lt;&gt;CS$5,0,IF(CS65&lt;0,IF(OR($J65=1,$J65=2,$J65=3,$J65=4),-$E65*$I65/12*3,IF($J65=5,-$E65*$I65/12*2,IF($J65=6,-$E65*$I65/12*1,0)))))+IF(CN$5&lt;&gt;$H65,0,IF(CN65&lt;0,IF($J65=4,-$E65*$I65/12*0,IF($J65=5,-$E65*$I65/12*1,IF($J65=6,-$E65*$I65/12*2,IF($J65&gt;=7,-$E65*$I65/12*3,0))))))</f>
        <v>0</v>
      </c>
      <c r="CQ65" s="442">
        <f>IF($H65&lt;&gt;CS$5,0,IF(CS65&lt;0,IF(OR($J65=1,$J65=2,$J65=3,$J65=4,$J65=5,$J65=6,$J65=7),-$E65*$I65/12*3,IF($J65=8,-$E65*$I65/12*2,IF($J65=9,-$E65*$I65/12*1,0)))))+IF(CN$5&lt;&gt;$H65,0,IF(CN65&lt;0,IF($J65=7,-$E65*$I65/12*0,IF($J65=8,-$E65*$I65/12*1,IF($J65=9,-$E65*$I65/12*2,IF($J65&gt;=10,-$E65*$I65/12*3,0))))))</f>
        <v>0</v>
      </c>
      <c r="CR65" s="443">
        <f>IF($H65&lt;&gt;CS$5,0,IF(CS65&lt;0,IF(OR($J65=1,$J65=2,$J65=3,$J65=4,$J65=5,$J65=6,$J65=7,$J65=8,$J65=9,$J65=10),-$E65*$I65/12*3,IF($J65=11,-$E65*$I65/12*2,IF($J65=12,-$E65*$I65/12*1,0)))))+IF(CN$5&lt;&gt;$H65,0,IF(CN65&lt;0,IF($J65=10,-$E65*$I65/12*0,IF($J65=11,-$E65*$I65/12*1,IF($J65=12,-$E65*$I65/12*2,0)))))</f>
        <v>0</v>
      </c>
      <c r="CS65" s="440">
        <f>IF(AND(CN65&lt;&gt;0,CN$5=$H65),-$I65*$E65-CN65,IF(CS$5=$H65,-$I65*$E65*(12-$J65+1)/12,0))</f>
        <v>0</v>
      </c>
      <c r="CT65" s="441">
        <f>IF($H65&lt;&gt;CX$5,0,IF(CX65&lt;0,IF($J65=1,-$E65*$I65/12*3,IF($J65=2,-$E65*$I65/12*2,IF($J65=3,-$E65*$I65/12*1,0)))))+IF(CS$5&lt;&gt;$H65,0,IF(CS65&lt;0,IF($J65=1,-$E65*$I65/12*0,IF($J65=2,-$E65*$I65/12*1,IF($J65=3,-$E65*$I65/12*2,IF($J65&gt;=4,-$E65*$I65/12*3,0))))))</f>
        <v>0</v>
      </c>
      <c r="CU65" s="442">
        <f>IF($H65&lt;&gt;CX$5,0,IF(CX65&lt;0,IF(OR($J65=1,$J65=2,$J65=3,$J65=4),-$E65*$I65/12*3,IF($J65=5,-$E65*$I65/12*2,IF($J65=6,-$E65*$I65/12*1,0)))))+IF(CS$5&lt;&gt;$H65,0,IF(CS65&lt;0,IF($J65=4,-$E65*$I65/12*0,IF($J65=5,-$E65*$I65/12*1,IF($J65=6,-$E65*$I65/12*2,IF($J65&gt;=7,-$E65*$I65/12*3,0))))))</f>
        <v>0</v>
      </c>
      <c r="CV65" s="442">
        <f>IF($H65&lt;&gt;CX$5,0,IF(CX65&lt;0,IF(OR($J65=1,$J65=2,$J65=3,$J65=4,$J65=5,$J65=6,$J65=7),-$E65*$I65/12*3,IF($J65=8,-$E65*$I65/12*2,IF($J65=9,-$E65*$I65/12*1,0)))))+IF(CS$5&lt;&gt;$H65,0,IF(CS65&lt;0,IF($J65=7,-$E65*$I65/12*0,IF($J65=8,-$E65*$I65/12*1,IF($J65=9,-$E65*$I65/12*2,IF($J65&gt;=10,-$E65*$I65/12*3,0))))))</f>
        <v>0</v>
      </c>
      <c r="CW65" s="443">
        <f>IF($H65&lt;&gt;CX$5,0,IF(CX65&lt;0,IF(OR($J65=1,$J65=2,$J65=3,$J65=4,$J65=5,$J65=6,$J65=7,$J65=8,$J65=9,$J65=10),-$E65*$I65/12*3,IF($J65=11,-$E65*$I65/12*2,IF($J65=12,-$E65*$I65/12*1,0)))))+IF(CS$5&lt;&gt;$H65,0,IF(CS65&lt;0,IF($J65=10,-$E65*$I65/12*0,IF($J65=11,-$E65*$I65/12*1,IF($J65=12,-$E65*$I65/12*2,0)))))</f>
        <v>0</v>
      </c>
      <c r="CX65" s="440">
        <f>IF(AND(CS65&lt;&gt;0,CS$5=$H65),-$I65*$E65-CS65,IF(CX$5=$H65,-$I65*$E65*(12-$J65+1)/12,0))</f>
        <v>0</v>
      </c>
      <c r="CY65" s="441">
        <f>IF($H65&lt;&gt;DC$5,0,IF(DC65&lt;0,IF($J65=1,-$E65*$I65/12*3,IF($J65=2,-$E65*$I65/12*2,IF($J65=3,-$E65*$I65/12*1,0)))))+IF(CX$5&lt;&gt;$H65,0,IF(CX65&lt;0,IF($J65=1,-$E65*$I65/12*0,IF($J65=2,-$E65*$I65/12*1,IF($J65=3,-$E65*$I65/12*2,IF($J65&gt;=4,-$E65*$I65/12*3,0))))))</f>
        <v>0</v>
      </c>
      <c r="CZ65" s="442">
        <f>IF($H65&lt;&gt;DC$5,0,IF(DC65&lt;0,IF(OR($J65=1,$J65=2,$J65=3,$J65=4),-$E65*$I65/12*3,IF($J65=5,-$E65*$I65/12*2,IF($J65=6,-$E65*$I65/12*1,0)))))+IF(CX$5&lt;&gt;$H65,0,IF(CX65&lt;0,IF($J65=4,-$E65*$I65/12*0,IF($J65=5,-$E65*$I65/12*1,IF($J65=6,-$E65*$I65/12*2,IF($J65&gt;=7,-$E65*$I65/12*3,0))))))</f>
        <v>0</v>
      </c>
      <c r="DA65" s="442">
        <f>IF($H65&lt;&gt;DC$5,0,IF(DC65&lt;0,IF(OR($J65=1,$J65=2,$J65=3,$J65=4,$J65=5,$J65=6,$J65=7),-$E65*$I65/12*3,IF($J65=8,-$E65*$I65/12*2,IF($J65=9,-$E65*$I65/12*1,0)))))+IF(CX$5&lt;&gt;$H65,0,IF(CX65&lt;0,IF($J65=7,-$E65*$I65/12*0,IF($J65=8,-$E65*$I65/12*1,IF($J65=9,-$E65*$I65/12*2,IF($J65&gt;=10,-$E65*$I65/12*3,0))))))</f>
        <v>0</v>
      </c>
      <c r="DB65" s="443">
        <f>IF($H65&lt;&gt;DC$5,0,IF(DC65&lt;0,IF(OR($J65=1,$J65=2,$J65=3,$J65=4,$J65=5,$J65=6,$J65=7,$J65=8,$J65=9,$J65=10),-$E65*$I65/12*3,IF($J65=11,-$E65*$I65/12*2,IF($J65=12,-$E65*$I65/12*1,0)))))+IF(CX$5&lt;&gt;$H65,0,IF(CX65&lt;0,IF($J65=10,-$E65*$I65/12*0,IF($J65=11,-$E65*$I65/12*1,IF($J65=12,-$E65*$I65/12*2,0)))))</f>
        <v>0</v>
      </c>
      <c r="DC65" s="440">
        <f>IF(AND(CX65&lt;&gt;0,CX$5=$H65),-$I65*$E65-CX65,IF(DC$5=$H65,-$I65*$E65*(12-$J65+1)/12,0))</f>
        <v>0</v>
      </c>
      <c r="DD65" s="441">
        <f>IF($H65&lt;&gt;DH$5,0,IF(DH65&lt;0,IF($J65=1,-$E65*$I65/12*3,IF($J65=2,-$E65*$I65/12*2,IF($J65=3,-$E65*$I65/12*1,0)))))+IF(DC$5&lt;&gt;$H65,0,IF(DC65&lt;0,IF($J65=1,-$E65*$I65/12*0,IF($J65=2,-$E65*$I65/12*1,IF($J65=3,-$E65*$I65/12*2,IF($J65&gt;=4,-$E65*$I65/12*3,0))))))</f>
        <v>0</v>
      </c>
      <c r="DE65" s="442">
        <f>IF($H65&lt;&gt;DH$5,0,IF(DH65&lt;0,IF(OR($J65=1,$J65=2,$J65=3,$J65=4),-$E65*$I65/12*3,IF($J65=5,-$E65*$I65/12*2,IF($J65=6,-$E65*$I65/12*1,0)))))+IF(DC$5&lt;&gt;$H65,0,IF(DC65&lt;0,IF($J65=4,-$E65*$I65/12*0,IF($J65=5,-$E65*$I65/12*1,IF($J65=6,-$E65*$I65/12*2,IF($J65&gt;=7,-$E65*$I65/12*3,0))))))</f>
        <v>0</v>
      </c>
      <c r="DF65" s="442">
        <f>IF($H65&lt;&gt;DH$5,0,IF(DH65&lt;0,IF(OR($J65=1,$J65=2,$J65=3,$J65=4,$J65=5,$J65=6,$J65=7),-$E65*$I65/12*3,IF($J65=8,-$E65*$I65/12*2,IF($J65=9,-$E65*$I65/12*1,0)))))+IF(DC$5&lt;&gt;$H65,0,IF(DC65&lt;0,IF($J65=7,-$E65*$I65/12*0,IF($J65=8,-$E65*$I65/12*1,IF($J65=9,-$E65*$I65/12*2,IF($J65&gt;=10,-$E65*$I65/12*3,0))))))</f>
        <v>0</v>
      </c>
      <c r="DG65" s="443">
        <f>IF($H65&lt;&gt;DH$5,0,IF(DH65&lt;0,IF(OR($J65=1,$J65=2,$J65=3,$J65=4,$J65=5,$J65=6,$J65=7,$J65=8,$J65=9,$J65=10),-$E65*$I65/12*3,IF($J65=11,-$E65*$I65/12*2,IF($J65=12,-$E65*$I65/12*1,0)))))+IF(DC$5&lt;&gt;$H65,0,IF(DC65&lt;0,IF($J65=10,-$E65*$I65/12*0,IF($J65=11,-$E65*$I65/12*1,IF($J65=12,-$E65*$I65/12*2,0)))))</f>
        <v>0</v>
      </c>
      <c r="DH65" s="440">
        <f>IF(AND(DC65&lt;&gt;0,DC$5=$H65),-$I65*$E65-DC65,IF(DH$5=$H65,-$I65*$E65*(12-$J65+1)/12,0))</f>
        <v>0</v>
      </c>
      <c r="DI65" s="441">
        <f>IF($H65&lt;&gt;DM$5,0,IF(DM65&lt;0,IF($J65=1,-$E65*$I65/12*3,IF($J65=2,-$E65*$I65/12*2,IF($J65=3,-$E65*$I65/12*1,0)))))+IF(DH$5&lt;&gt;$H65,0,IF(DH65&lt;0,IF($J65=1,-$E65*$I65/12*0,IF($J65=2,-$E65*$I65/12*1,IF($J65=3,-$E65*$I65/12*2,IF($J65&gt;=4,-$E65*$I65/12*3,0))))))</f>
        <v>0</v>
      </c>
      <c r="DJ65" s="442">
        <f>IF($H65&lt;&gt;DM$5,0,IF(DM65&lt;0,IF(OR($J65=1,$J65=2,$J65=3,$J65=4),-$E65*$I65/12*3,IF($J65=5,-$E65*$I65/12*2,IF($J65=6,-$E65*$I65/12*1,0)))))+IF(DH$5&lt;&gt;$H65,0,IF(DH65&lt;0,IF($J65=4,-$E65*$I65/12*0,IF($J65=5,-$E65*$I65/12*1,IF($J65=6,-$E65*$I65/12*2,IF($J65&gt;=7,-$E65*$I65/12*3,0))))))</f>
        <v>0</v>
      </c>
      <c r="DK65" s="442">
        <f>IF($H65&lt;&gt;DM$5,0,IF(DM65&lt;0,IF(OR($J65=1,$J65=2,$J65=3,$J65=4,$J65=5,$J65=6,$J65=7),-$E65*$I65/12*3,IF($J65=8,-$E65*$I65/12*2,IF($J65=9,-$E65*$I65/12*1,0)))))+IF(DH$5&lt;&gt;$H65,0,IF(DH65&lt;0,IF($J65=7,-$E65*$I65/12*0,IF($J65=8,-$E65*$I65/12*1,IF($J65=9,-$E65*$I65/12*2,IF($J65&gt;=10,-$E65*$I65/12*3,0))))))</f>
        <v>0</v>
      </c>
      <c r="DL65" s="443">
        <f>IF($H65&lt;&gt;DM$5,0,IF(DM65&lt;0,IF(OR($J65=1,$J65=2,$J65=3,$J65=4,$J65=5,$J65=6,$J65=7,$J65=8,$J65=9,$J65=10),-$E65*$I65/12*3,IF($J65=11,-$E65*$I65/12*2,IF($J65=12,-$E65*$I65/12*1,0)))))+IF(DH$5&lt;&gt;$H65,0,IF(DH65&lt;0,IF($J65=10,-$E65*$I65/12*0,IF($J65=11,-$E65*$I65/12*1,IF($J65=12,-$E65*$I65/12*2,0)))))</f>
        <v>0</v>
      </c>
      <c r="DM65" s="440">
        <f>IF(AND(DH65&lt;&gt;0,DH$5=$H65),-$I65*$E65-DH65,IF(DM$5=$H65,-$I65*$E65*(12-$J65+1)/12,0))</f>
        <v>0</v>
      </c>
      <c r="DN65" s="441">
        <f>IF($H65&lt;&gt;DR$5,0,IF(DR65&lt;0,IF($J65=1,-$E65*$I65/12*3,IF($J65=2,-$E65*$I65/12*2,IF($J65=3,-$E65*$I65/12*1,0)))))+IF(DM$5&lt;&gt;$H65,0,IF(DM65&lt;0,IF($J65=1,-$E65*$I65/12*0,IF($J65=2,-$E65*$I65/12*1,IF($J65=3,-$E65*$I65/12*2,IF($J65&gt;=4,-$E65*$I65/12*3,0))))))</f>
        <v>0</v>
      </c>
      <c r="DO65" s="442">
        <f>IF($H65&lt;&gt;DR$5,0,IF(DR65&lt;0,IF(OR($J65=1,$J65=2,$J65=3,$J65=4),-$E65*$I65/12*3,IF($J65=5,-$E65*$I65/12*2,IF($J65=6,-$E65*$I65/12*1,0)))))+IF(DM$5&lt;&gt;$H65,0,IF(DM65&lt;0,IF($J65=4,-$E65*$I65/12*0,IF($J65=5,-$E65*$I65/12*1,IF($J65=6,-$E65*$I65/12*2,IF($J65&gt;=7,-$E65*$I65/12*3,0))))))</f>
        <v>0</v>
      </c>
      <c r="DP65" s="442">
        <f>IF($H65&lt;&gt;DR$5,0,IF(DR65&lt;0,IF(OR($J65=1,$J65=2,$J65=3,$J65=4,$J65=5,$J65=6,$J65=7),-$E65*$I65/12*3,IF($J65=8,-$E65*$I65/12*2,IF($J65=9,-$E65*$I65/12*1,0)))))+IF(DM$5&lt;&gt;$H65,0,IF(DM65&lt;0,IF($J65=7,-$E65*$I65/12*0,IF($J65=8,-$E65*$I65/12*1,IF($J65=9,-$E65*$I65/12*2,IF($J65&gt;=10,-$E65*$I65/12*3,0))))))</f>
        <v>0</v>
      </c>
      <c r="DQ65" s="443">
        <f>IF($H65&lt;&gt;DR$5,0,IF(DR65&lt;0,IF(OR($J65=1,$J65=2,$J65=3,$J65=4,$J65=5,$J65=6,$J65=7,$J65=8,$J65=9,$J65=10),-$E65*$I65/12*3,IF($J65=11,-$E65*$I65/12*2,IF($J65=12,-$E65*$I65/12*1,0)))))+IF(DM$5&lt;&gt;$H65,0,IF(DM65&lt;0,IF($J65=10,-$E65*$I65/12*0,IF($J65=11,-$E65*$I65/12*1,IF($J65=12,-$E65*$I65/12*2,0)))))</f>
        <v>0</v>
      </c>
      <c r="DR65" s="440">
        <f>IF(AND(DM65&lt;&gt;0,DM$5=$H65),-$I65*$E65-DM65,IF(DR$5=$H65,-$I65*$E65*(12-$J65+1)/12,0))</f>
        <v>0</v>
      </c>
    </row>
    <row r="66" spans="1:122" ht="12.75" customHeight="1">
      <c r="A66" s="92"/>
      <c r="B66" s="92"/>
      <c r="C66" s="1590" t="s">
        <v>1164</v>
      </c>
      <c r="D66" s="395"/>
      <c r="E66" s="865">
        <f>IF(F66=0,G66,F66)</f>
        <v>50</v>
      </c>
      <c r="F66" s="1945">
        <v>50</v>
      </c>
      <c r="G66" s="1945">
        <v>50</v>
      </c>
      <c r="H66" s="1308">
        <v>2023</v>
      </c>
      <c r="I66" s="1948">
        <v>3.1E-2</v>
      </c>
      <c r="J66" s="1357">
        <v>3</v>
      </c>
      <c r="K66" s="549"/>
      <c r="L66" s="441">
        <f>IF(P66=0,0,IF(P66&lt;0,IF($J66=3,P66,IF($J66=2,P66,IF($J66=1,P66,0)))))</f>
        <v>0</v>
      </c>
      <c r="M66" s="442">
        <f>IF(P66=0,0,IF(P66&lt;0,IF($J66=6,P66,IF($J66=5,P66,IF($J66=4,P66,0)))))</f>
        <v>0</v>
      </c>
      <c r="N66" s="442">
        <f>IF(P66=0,0,IF(P66&lt;0,IF($J66=9,P66,IF($J66=8,P66,IF($J66=7,P66,0)))))</f>
        <v>0</v>
      </c>
      <c r="O66" s="443">
        <f>IF(P66=0,0,IF(P66&lt;0,IF($J66=12,P66,IF($J66=11,P66,IF($J66=10,P66,0)))))</f>
        <v>0</v>
      </c>
      <c r="P66" s="440">
        <f>IF(P$5=$H66,-$E66,0)</f>
        <v>0</v>
      </c>
      <c r="Q66" s="441">
        <f>IF(U66=0,0,IF(U66&lt;0,IF($J66=3,U66,IF($J66=2,U66,IF($J66=1,U66,0)))))</f>
        <v>0</v>
      </c>
      <c r="R66" s="442">
        <f>IF(U66=0,0,IF(U66&lt;0,IF($J66=6,U66,IF($J66=5,U66,IF($J66=4,U66,0)))))</f>
        <v>0</v>
      </c>
      <c r="S66" s="442">
        <f>IF(U66=0,0,IF(U66&lt;0,IF($J66=9,U66,IF($J66=8,U66,IF($J66=7,U66,0)))))</f>
        <v>0</v>
      </c>
      <c r="T66" s="443">
        <f>IF(U66=0,0,IF(U66&lt;0,IF($J66=12,U66,IF($J66=11,U66,IF($J66=10,U66,0)))))</f>
        <v>0</v>
      </c>
      <c r="U66" s="440">
        <f>IF(U$5=$H66,-$E66,0)</f>
        <v>0</v>
      </c>
      <c r="V66" s="441">
        <f>IF(Z66=0,0,IF(Z66&lt;0,IF($J66=3,Z66,IF($J66=2,Z66,IF($J66=1,Z66,0)))))</f>
        <v>0</v>
      </c>
      <c r="W66" s="442">
        <f>IF(Z66=0,0,IF(Z66&lt;0,IF($J66=6,Z66,IF($J66=5,Z66,IF($J66=4,Z66,0)))))</f>
        <v>0</v>
      </c>
      <c r="X66" s="442">
        <f>IF(Z66=0,0,IF(Z66&lt;0,IF($J66=9,Z66,IF($J66=8,Z66,IF($J66=7,Z66,0)))))</f>
        <v>0</v>
      </c>
      <c r="Y66" s="443">
        <f>IF(Z66=0,0,IF(Z66&lt;0,IF($J66=12,Z66,IF($J66=11,Z66,IF($J66=10,Z66,0)))))</f>
        <v>0</v>
      </c>
      <c r="Z66" s="440">
        <f>IF(Z$5=$H66,-$E66,0)</f>
        <v>0</v>
      </c>
      <c r="AA66" s="441">
        <f>IF(AE66=0,0,IF(AE66&lt;0,IF($J66=3,AE66,IF($J66=2,AE66,IF($J66=1,AE66,0)))))</f>
        <v>0</v>
      </c>
      <c r="AB66" s="442">
        <f>IF(AE66=0,0,IF(AE66&lt;0,IF($J66=6,AE66,IF($J66=5,AE66,IF($J66=4,AE66,0)))))</f>
        <v>0</v>
      </c>
      <c r="AC66" s="442">
        <f>IF(AE66=0,0,IF(AE66&lt;0,IF($J66=9,AE66,IF($J66=8,AE66,IF($J66=7,AE66,0)))))</f>
        <v>0</v>
      </c>
      <c r="AD66" s="443">
        <f>IF(AE66=0,0,IF(AE66&lt;0,IF($J66=12,AE66,IF($J66=11,AE66,IF($J66=10,AE66,0)))))</f>
        <v>0</v>
      </c>
      <c r="AE66" s="440">
        <f>IF(AE$5=$H66,-$E66,0)</f>
        <v>0</v>
      </c>
      <c r="AF66" s="441">
        <f>IF(AJ66=0,0,IF(AJ66&lt;0,IF($J66=3,AJ66,IF($J66=2,AJ66,IF($J66=1,AJ66,0)))))</f>
        <v>0</v>
      </c>
      <c r="AG66" s="442">
        <f>IF(AJ66=0,0,IF(AJ66&lt;0,IF($J66=6,AJ66,IF($J66=5,AJ66,IF($J66=4,AJ66,0)))))</f>
        <v>0</v>
      </c>
      <c r="AH66" s="442">
        <f>IF(AJ66=0,0,IF(AJ66&lt;0,IF($J66=9,AJ66,IF($J66=8,AJ66,IF($J66=7,AJ66,0)))))</f>
        <v>0</v>
      </c>
      <c r="AI66" s="443">
        <f>IF(AJ66=0,0,IF(AJ66&lt;0,IF($J66=12,AJ66,IF($J66=11,AJ66,IF($J66=10,AJ66,0)))))</f>
        <v>0</v>
      </c>
      <c r="AJ66" s="440">
        <f>IF(AJ$5=$H66,-$E66,0)</f>
        <v>0</v>
      </c>
      <c r="AK66" s="441">
        <f>IF(AO66=0,0,IF(AO66&lt;0,IF($J66=3,AO66,IF($J66=2,AO66,IF($J66=1,AO66,0)))))</f>
        <v>0</v>
      </c>
      <c r="AL66" s="442">
        <f>IF(AO66=0,0,IF(AO66&lt;0,IF($J66=6,AO66,IF($J66=5,AO66,IF($J66=4,AO66,0)))))</f>
        <v>0</v>
      </c>
      <c r="AM66" s="442">
        <f>IF(AO66=0,0,IF(AO66&lt;0,IF($J66=9,AO66,IF($J66=8,AO66,IF($J66=7,AO66,0)))))</f>
        <v>0</v>
      </c>
      <c r="AN66" s="443">
        <f>IF(AO66=0,0,IF(AO66&lt;0,IF($J66=12,AO66,IF($J66=11,AO66,IF($J66=10,AO66,0)))))</f>
        <v>0</v>
      </c>
      <c r="AO66" s="440">
        <f>IF(AO$5=$H66,-$E66,0)</f>
        <v>0</v>
      </c>
      <c r="AP66" s="441">
        <f>IF(AT66=0,0,IF(AT66&lt;0,IF($J66=3,AT66,IF($J66=2,AT66,IF($J66=1,AT66,0)))))</f>
        <v>0</v>
      </c>
      <c r="AQ66" s="442">
        <f>IF(AT66=0,0,IF(AT66&lt;0,IF($J66=6,AT66,IF($J66=5,AT66,IF($J66=4,AT66,0)))))</f>
        <v>0</v>
      </c>
      <c r="AR66" s="442">
        <f>IF(AT66=0,0,IF(AT66&lt;0,IF($J66=9,AT66,IF($J66=8,AT66,IF($J66=7,AT66,0)))))</f>
        <v>0</v>
      </c>
      <c r="AS66" s="443">
        <f>IF(AT66=0,0,IF(AT66&lt;0,IF($J66=12,AT66,IF($J66=11,AT66,IF($J66=10,AT66,0)))))</f>
        <v>0</v>
      </c>
      <c r="AT66" s="440">
        <f>IF(AT$5=$H66,-$E66,0)</f>
        <v>0</v>
      </c>
      <c r="AU66" s="441">
        <f>IF(AY66=0,0,IF(AY66&lt;0,IF($J66=3,AY66,IF($J66=2,AY66,IF($J66=1,AY66,0)))))</f>
        <v>0</v>
      </c>
      <c r="AV66" s="442">
        <f>IF(AY66=0,0,IF(AY66&lt;0,IF($J66=6,AY66,IF($J66=5,AY66,IF($J66=4,AY66,0)))))</f>
        <v>0</v>
      </c>
      <c r="AW66" s="442">
        <f>IF(AY66=0,0,IF(AY66&lt;0,IF($J66=9,AY66,IF($J66=8,AY66,IF($J66=7,AY66,0)))))</f>
        <v>0</v>
      </c>
      <c r="AX66" s="443">
        <f>IF(AY66=0,0,IF(AY66&lt;0,IF($J66=12,AY66,IF($J66=11,AY66,IF($J66=10,AY66,0)))))</f>
        <v>0</v>
      </c>
      <c r="AY66" s="440">
        <f>IF(AY$5=$H66,-$E66,0)</f>
        <v>0</v>
      </c>
      <c r="AZ66" s="441">
        <f>IF(BD66=0,0,IF(BD66&lt;0,IF($J66=3,BD66,IF($J66=2,BD66,IF($J66=1,BD66,0)))))</f>
        <v>0</v>
      </c>
      <c r="BA66" s="442">
        <f>IF(BD66=0,0,IF(BD66&lt;0,IF($J66=6,BD66,IF($J66=5,BD66,IF($J66=4,BD66,0)))))</f>
        <v>0</v>
      </c>
      <c r="BB66" s="442">
        <f>IF(BD66=0,0,IF(BD66&lt;0,IF($J66=9,BD66,IF($J66=8,BD66,IF($J66=7,BD66,0)))))</f>
        <v>0</v>
      </c>
      <c r="BC66" s="443">
        <f>IF(BD66=0,0,IF(BD66&lt;0,IF($J66=12,BD66,IF($J66=11,BD66,IF($J66=10,BD66,0)))))</f>
        <v>0</v>
      </c>
      <c r="BD66" s="440">
        <f>IF(BD$5=$H66,-$E66,0)</f>
        <v>0</v>
      </c>
      <c r="BE66" s="441">
        <f>IF(BI66=0,0,IF(BI66&lt;0,IF($J66=3,BI66,IF($J66=2,BI66,IF($J66=1,BI66,0)))))</f>
        <v>0</v>
      </c>
      <c r="BF66" s="442">
        <f>IF(BI66=0,0,IF(BI66&lt;0,IF($J66=6,BI66,IF($J66=5,BI66,IF($J66=4,BI66,0)))))</f>
        <v>0</v>
      </c>
      <c r="BG66" s="442">
        <f>IF(BI66=0,0,IF(BI66&lt;0,IF($J66=9,BI66,IF($J66=8,BI66,IF($J66=7,BI66,0)))))</f>
        <v>0</v>
      </c>
      <c r="BH66" s="443">
        <f>IF(BI66=0,0,IF(BI66&lt;0,IF($J66=12,BI66,IF($J66=11,BI66,IF($J66=10,BI66,0)))))</f>
        <v>0</v>
      </c>
      <c r="BI66" s="440">
        <f>IF(BI$5=$H66,-$E66,0)</f>
        <v>0</v>
      </c>
      <c r="BJ66" s="441">
        <f>IF(BN66=0,0,IF(BN66&lt;0,IF($J66=3,BN66,IF($J66=2,BN66,IF($J66=1,BN66,0)))))</f>
        <v>0</v>
      </c>
      <c r="BK66" s="442">
        <f>IF(BN66=0,0,IF(BN66&lt;0,IF($J66=6,BN66,IF($J66=5,BN66,IF($J66=4,BN66,0)))))</f>
        <v>0</v>
      </c>
      <c r="BL66" s="442">
        <f>IF(BN66=0,0,IF(BN66&lt;0,IF($J66=9,BN66,IF($J66=8,BN66,IF($J66=7,BN66,0)))))</f>
        <v>0</v>
      </c>
      <c r="BM66" s="443">
        <f>IF(BN66=0,0,IF(BN66&lt;0,IF($J66=12,BN66,IF($J66=11,BN66,IF($J66=10,BN66,0)))))</f>
        <v>0</v>
      </c>
      <c r="BN66" s="440">
        <f>IF(BN$5=$H66,-$E66,0)</f>
        <v>0</v>
      </c>
      <c r="BO66" s="465"/>
      <c r="BP66" s="441">
        <f>IF($H66&lt;&gt;BT$5,0,IF(BT66&lt;0,IF($J66=1,-$E66*$I66/12*3,IF($J66=2,-$E66*$I66/12*2,IF($J66=3,-$E66*$I66/12*1,0)))))+IF(BO$5&lt;&gt;$H66,0,IF(BO66&lt;0,IF($J66=1,-$E66*$I66/12*0,IF($J66=2,-$E66*$I66/12*1,IF($J66=3,-$E66*$I66/12*2,IF($J66&gt;=4,-$E66*$I66/12*3,0))))))</f>
        <v>0</v>
      </c>
      <c r="BQ66" s="442">
        <f>IF($H66&lt;&gt;BT$5,0,IF(BT66&lt;0,IF(OR($J66=1,$J66=2,$J66=3,$J66=4),-$E66*$I66/12*3,IF($J66=5,-$E66*$I66/12*2,IF($J66=6,-$E66*$I66/12*1,0)))))+IF(BO$5&lt;&gt;$H66,0,IF(BO66&lt;0,IF($J66=4,-$E66*$I66/12*0,IF($J66=5,-$E66*$I66/12*1,IF($J66=6,-$E66*$I66/12*2,IF($J66&gt;=7,-$E66*$I66/12*3,0))))))</f>
        <v>0</v>
      </c>
      <c r="BR66" s="442">
        <f>IF($H66&lt;&gt;BT$5,0,IF(BT66&lt;0,IF(OR($J66=1,$J66=2,$J66=3,$J66=4,$J66=5,$J66=6,$J66=7),-$E66*$I66/12*3,IF($J66=8,-$E66*$I66/12*2,IF($J66=9,-$E66*$I66/12*1,0)))))+IF(BO$5&lt;&gt;$H66,0,IF(BO66&lt;0,IF($J66=7,-$E66*$I66/12*0,IF($J66=8,-$E66*$I66/12*1,IF($J66=9,-$E66*$I66/12*2,IF($J66&gt;=10,-$E66*$I66/12*3,0))))))</f>
        <v>0</v>
      </c>
      <c r="BS66" s="443">
        <f>IF($H66&lt;&gt;BT$5,0,IF(BT66&lt;0,IF(OR($J66=1,$J66=2,$J66=3,$J66=4,$J66=5,$J66=6,$J66=7,$J66=8,$J66=9,$J66=10),-$E66*$I66/12*3,IF($J66=11,-$E66*$I66/12*2,IF($J66=12,-$E66*$I66/12*1,0)))))+IF(BO$5&lt;&gt;$H66,0,IF(BO66&lt;0,IF($J66=10,-$E66*$I66/12*0,IF($J66=11,-$E66*$I66/12*1,IF($J66=12,-$E66*$I66/12*2,0)))))</f>
        <v>0</v>
      </c>
      <c r="BT66" s="440">
        <f>IF(AND(BO66&lt;&gt;0,BO$5=$H66),-$I66*$E66-BO66,IF(BT$5=$H66,-$I66*$E66*(12-$J66+1)/12,0))</f>
        <v>0</v>
      </c>
      <c r="BU66" s="441">
        <f>IF($H66&lt;&gt;BY$5,0,IF(BY66&lt;0,IF($J66=1,-$E66*$I66/12*3,IF($J66=2,-$E66*$I66/12*2,IF($J66=3,-$E66*$I66/12*1,0)))))+IF(BT$5&lt;&gt;$H66,0,IF(BT66&lt;0,IF($J66=1,-$E66*$I66/12*0,IF($J66=2,-$E66*$I66/12*1,IF($J66=3,-$E66*$I66/12*2,IF($J66&gt;=4,-$E66*$I66/12*3,0))))))</f>
        <v>0</v>
      </c>
      <c r="BV66" s="442">
        <f>IF($H66&lt;&gt;BY$5,0,IF(BY66&lt;0,IF(OR($J66=1,$J66=2,$J66=3,$J66=4),-$E66*$I66/12*3,IF($J66=5,-$E66*$I66/12*2,IF($J66=6,-$E66*$I66/12*1,0)))))+IF(BT$5&lt;&gt;$H66,0,IF(BT66&lt;0,IF($J66=4,-$E66*$I66/12*0,IF($J66=5,-$E66*$I66/12*1,IF($J66=6,-$E66*$I66/12*2,IF($J66&gt;=7,-$E66*$I66/12*3,0))))))</f>
        <v>0</v>
      </c>
      <c r="BW66" s="442">
        <f>IF($H66&lt;&gt;BY$5,0,IF(BY66&lt;0,IF(OR($J66=1,$J66=2,$J66=3,$J66=4,$J66=5,$J66=6,$J66=7),-$E66*$I66/12*3,IF($J66=8,-$E66*$I66/12*2,IF($J66=9,-$E66*$I66/12*1,0)))))+IF(BT$5&lt;&gt;$H66,0,IF(BT66&lt;0,IF($J66=7,-$E66*$I66/12*0,IF($J66=8,-$E66*$I66/12*1,IF($J66=9,-$E66*$I66/12*2,IF($J66&gt;=10,-$E66*$I66/12*3,0))))))</f>
        <v>0</v>
      </c>
      <c r="BX66" s="443">
        <f>IF($H66&lt;&gt;BY$5,0,IF(BY66&lt;0,IF(OR($J66=1,$J66=2,$J66=3,$J66=4,$J66=5,$J66=6,$J66=7,$J66=8,$J66=9,$J66=10),-$E66*$I66/12*3,IF($J66=11,-$E66*$I66/12*2,IF($J66=12,-$E66*$I66/12*1,0)))))+IF(BT$5&lt;&gt;$H66,0,IF(BT66&lt;0,IF($J66=10,-$E66*$I66/12*0,IF($J66=11,-$E66*$I66/12*1,IF($J66=12,-$E66*$I66/12*2,0)))))</f>
        <v>0</v>
      </c>
      <c r="BY66" s="440">
        <f>IF(AND(BT66&lt;&gt;0,BT$5=$H66),-$I66*$E66-BT66,IF(BY$5=$H66,-$I66*$E66*(12-$J66+1)/12,0))</f>
        <v>0</v>
      </c>
      <c r="BZ66" s="441">
        <f>IF($H66&lt;&gt;CD$5,0,IF(CD66&lt;0,IF($J66=1,-$E66*$I66/12*3,IF($J66=2,-$E66*$I66/12*2,IF($J66=3,-$E66*$I66/12*1,0)))))+IF(BY$5&lt;&gt;$H66,0,IF(BY66&lt;0,IF($J66=1,-$E66*$I66/12*0,IF($J66=2,-$E66*$I66/12*1,IF($J66=3,-$E66*$I66/12*2,IF($J66&gt;=4,-$E66*$I66/12*3,0))))))</f>
        <v>0</v>
      </c>
      <c r="CA66" s="442">
        <f>IF($H66&lt;&gt;CD$5,0,IF(CD66&lt;0,IF(OR($J66=1,$J66=2,$J66=3,$J66=4),-$E66*$I66/12*3,IF($J66=5,-$E66*$I66/12*2,IF($J66=6,-$E66*$I66/12*1,0)))))+IF(BY$5&lt;&gt;$H66,0,IF(BY66&lt;0,IF($J66=4,-$E66*$I66/12*0,IF($J66=5,-$E66*$I66/12*1,IF($J66=6,-$E66*$I66/12*2,IF($J66&gt;=7,-$E66*$I66/12*3,0))))))</f>
        <v>0</v>
      </c>
      <c r="CB66" s="442">
        <f>IF($H66&lt;&gt;CD$5,0,IF(CD66&lt;0,IF(OR($J66=1,$J66=2,$J66=3,$J66=4,$J66=5,$J66=6,$J66=7),-$E66*$I66/12*3,IF($J66=8,-$E66*$I66/12*2,IF($J66=9,-$E66*$I66/12*1,0)))))+IF(BY$5&lt;&gt;$H66,0,IF(BY66&lt;0,IF($J66=7,-$E66*$I66/12*0,IF($J66=8,-$E66*$I66/12*1,IF($J66=9,-$E66*$I66/12*2,IF($J66&gt;=10,-$E66*$I66/12*3,0))))))</f>
        <v>0</v>
      </c>
      <c r="CC66" s="443">
        <f>IF($H66&lt;&gt;CD$5,0,IF(CD66&lt;0,IF(OR($J66=1,$J66=2,$J66=3,$J66=4,$J66=5,$J66=6,$J66=7,$J66=8,$J66=9,$J66=10),-$E66*$I66/12*3,IF($J66=11,-$E66*$I66/12*2,IF($J66=12,-$E66*$I66/12*1,0)))))+IF(BY$5&lt;&gt;$H66,0,IF(BY66&lt;0,IF($J66=10,-$E66*$I66/12*0,IF($J66=11,-$E66*$I66/12*1,IF($J66=12,-$E66*$I66/12*2,0)))))</f>
        <v>0</v>
      </c>
      <c r="CD66" s="440">
        <f>IF(AND(BY66&lt;&gt;0,BY$5=$H66),-$I66*$E66-BY66,IF(CD$5=$H66,-$I66*$E66*(12-$J66+1)/12,0))</f>
        <v>0</v>
      </c>
      <c r="CE66" s="441">
        <f>IF($H66&lt;&gt;CI$5,0,IF(CI66&lt;0,IF($J66=1,-$E66*$I66/12*3,IF($J66=2,-$E66*$I66/12*2,IF($J66=3,-$E66*$I66/12*1,0)))))+IF(CD$5&lt;&gt;$H66,0,IF(CD66&lt;0,IF($J66=1,-$E66*$I66/12*0,IF($J66=2,-$E66*$I66/12*1,IF($J66=3,-$E66*$I66/12*2,IF($J66&gt;=4,-$E66*$I66/12*3,0))))))</f>
        <v>0</v>
      </c>
      <c r="CF66" s="442">
        <f>IF($H66&lt;&gt;CI$5,0,IF(CI66&lt;0,IF(OR($J66=1,$J66=2,$J66=3,$J66=4),-$E66*$I66/12*3,IF($J66=5,-$E66*$I66/12*2,IF($J66=6,-$E66*$I66/12*1,0)))))+IF(CD$5&lt;&gt;$H66,0,IF(CD66&lt;0,IF($J66=4,-$E66*$I66/12*0,IF($J66=5,-$E66*$I66/12*1,IF($J66=6,-$E66*$I66/12*2,IF($J66&gt;=7,-$E66*$I66/12*3,0))))))</f>
        <v>0</v>
      </c>
      <c r="CG66" s="442">
        <f>IF($H66&lt;&gt;CI$5,0,IF(CI66&lt;0,IF(OR($J66=1,$J66=2,$J66=3,$J66=4,$J66=5,$J66=6,$J66=7),-$E66*$I66/12*3,IF($J66=8,-$E66*$I66/12*2,IF($J66=9,-$E66*$I66/12*1,0)))))+IF(CD$5&lt;&gt;$H66,0,IF(CD66&lt;0,IF($J66=7,-$E66*$I66/12*0,IF($J66=8,-$E66*$I66/12*1,IF($J66=9,-$E66*$I66/12*2,IF($J66&gt;=10,-$E66*$I66/12*3,0))))))</f>
        <v>0</v>
      </c>
      <c r="CH66" s="443">
        <f>IF($H66&lt;&gt;CI$5,0,IF(CI66&lt;0,IF(OR($J66=1,$J66=2,$J66=3,$J66=4,$J66=5,$J66=6,$J66=7,$J66=8,$J66=9,$J66=10),-$E66*$I66/12*3,IF($J66=11,-$E66*$I66/12*2,IF($J66=12,-$E66*$I66/12*1,0)))))+IF(CD$5&lt;&gt;$H66,0,IF(CD66&lt;0,IF($J66=10,-$E66*$I66/12*0,IF($J66=11,-$E66*$I66/12*1,IF($J66=12,-$E66*$I66/12*2,0)))))</f>
        <v>0</v>
      </c>
      <c r="CI66" s="440">
        <f>IF(AND(CD66&lt;&gt;0,CD$5=$H66),-$I66*$E66-CD66,IF(CI$5=$H66,-$I66*$E66*(12-$J66+1)/12,0))</f>
        <v>0</v>
      </c>
      <c r="CJ66" s="441">
        <f>IF($H66&lt;&gt;CN$5,0,IF(CN66&lt;0,IF($J66=1,-$E66*$I66/12*3,IF($J66=2,-$E66*$I66/12*2,IF($J66=3,-$E66*$I66/12*1,0)))))+IF(CI$5&lt;&gt;$H66,0,IF(CI66&lt;0,IF($J66=1,-$E66*$I66/12*0,IF($J66=2,-$E66*$I66/12*1,IF($J66=3,-$E66*$I66/12*2,IF($J66&gt;=4,-$E66*$I66/12*3,0))))))</f>
        <v>0</v>
      </c>
      <c r="CK66" s="442">
        <f>IF($H66&lt;&gt;CN$5,0,IF(CN66&lt;0,IF(OR($J66=1,$J66=2,$J66=3,$J66=4),-$E66*$I66/12*3,IF($J66=5,-$E66*$I66/12*2,IF($J66=6,-$E66*$I66/12*1,0)))))+IF(CI$5&lt;&gt;$H66,0,IF(CI66&lt;0,IF($J66=4,-$E66*$I66/12*0,IF($J66=5,-$E66*$I66/12*1,IF($J66=6,-$E66*$I66/12*2,IF($J66&gt;=7,-$E66*$I66/12*3,0))))))</f>
        <v>0</v>
      </c>
      <c r="CL66" s="442">
        <f>IF($H66&lt;&gt;CN$5,0,IF(CN66&lt;0,IF(OR($J66=1,$J66=2,$J66=3,$J66=4,$J66=5,$J66=6,$J66=7),-$E66*$I66/12*3,IF($J66=8,-$E66*$I66/12*2,IF($J66=9,-$E66*$I66/12*1,0)))))+IF(CI$5&lt;&gt;$H66,0,IF(CI66&lt;0,IF($J66=7,-$E66*$I66/12*0,IF($J66=8,-$E66*$I66/12*1,IF($J66=9,-$E66*$I66/12*2,IF($J66&gt;=10,-$E66*$I66/12*3,0))))))</f>
        <v>0</v>
      </c>
      <c r="CM66" s="443">
        <f>IF($H66&lt;&gt;CN$5,0,IF(CN66&lt;0,IF(OR($J66=1,$J66=2,$J66=3,$J66=4,$J66=5,$J66=6,$J66=7,$J66=8,$J66=9,$J66=10),-$E66*$I66/12*3,IF($J66=11,-$E66*$I66/12*2,IF($J66=12,-$E66*$I66/12*1,0)))))+IF(CI$5&lt;&gt;$H66,0,IF(CI66&lt;0,IF($J66=10,-$E66*$I66/12*0,IF($J66=11,-$E66*$I66/12*1,IF($J66=12,-$E66*$I66/12*2,0)))))</f>
        <v>0</v>
      </c>
      <c r="CN66" s="440">
        <f>IF(AND(CI66&lt;&gt;0,CI$5=$H66),-$I66*$E66-CI66,IF(CN$5=$H66,-$I66*$E66*(12-$J66+1)/12,0))</f>
        <v>0</v>
      </c>
      <c r="CO66" s="441">
        <f>IF($H66&lt;&gt;CS$5,0,IF(CS66&lt;0,IF($J66=1,-$E66*$I66/12*3,IF($J66=2,-$E66*$I66/12*2,IF($J66=3,-$E66*$I66/12*1,0)))))+IF(CN$5&lt;&gt;$H66,0,IF(CN66&lt;0,IF($J66=1,-$E66*$I66/12*0,IF($J66=2,-$E66*$I66/12*1,IF($J66=3,-$E66*$I66/12*2,IF($J66&gt;=4,-$E66*$I66/12*3,0))))))</f>
        <v>0</v>
      </c>
      <c r="CP66" s="442">
        <f>IF($H66&lt;&gt;CS$5,0,IF(CS66&lt;0,IF(OR($J66=1,$J66=2,$J66=3,$J66=4),-$E66*$I66/12*3,IF($J66=5,-$E66*$I66/12*2,IF($J66=6,-$E66*$I66/12*1,0)))))+IF(CN$5&lt;&gt;$H66,0,IF(CN66&lt;0,IF($J66=4,-$E66*$I66/12*0,IF($J66=5,-$E66*$I66/12*1,IF($J66=6,-$E66*$I66/12*2,IF($J66&gt;=7,-$E66*$I66/12*3,0))))))</f>
        <v>0</v>
      </c>
      <c r="CQ66" s="442">
        <f>IF($H66&lt;&gt;CS$5,0,IF(CS66&lt;0,IF(OR($J66=1,$J66=2,$J66=3,$J66=4,$J66=5,$J66=6,$J66=7),-$E66*$I66/12*3,IF($J66=8,-$E66*$I66/12*2,IF($J66=9,-$E66*$I66/12*1,0)))))+IF(CN$5&lt;&gt;$H66,0,IF(CN66&lt;0,IF($J66=7,-$E66*$I66/12*0,IF($J66=8,-$E66*$I66/12*1,IF($J66=9,-$E66*$I66/12*2,IF($J66&gt;=10,-$E66*$I66/12*3,0))))))</f>
        <v>0</v>
      </c>
      <c r="CR66" s="443">
        <f>IF($H66&lt;&gt;CS$5,0,IF(CS66&lt;0,IF(OR($J66=1,$J66=2,$J66=3,$J66=4,$J66=5,$J66=6,$J66=7,$J66=8,$J66=9,$J66=10),-$E66*$I66/12*3,IF($J66=11,-$E66*$I66/12*2,IF($J66=12,-$E66*$I66/12*1,0)))))+IF(CN$5&lt;&gt;$H66,0,IF(CN66&lt;0,IF($J66=10,-$E66*$I66/12*0,IF($J66=11,-$E66*$I66/12*1,IF($J66=12,-$E66*$I66/12*2,0)))))</f>
        <v>0</v>
      </c>
      <c r="CS66" s="440">
        <f>IF(AND(CN66&lt;&gt;0,CN$5=$H66),-$I66*$E66-CN66,IF(CS$5=$H66,-$I66*$E66*(12-$J66+1)/12,0))</f>
        <v>0</v>
      </c>
      <c r="CT66" s="441">
        <f>IF($H66&lt;&gt;CX$5,0,IF(CX66&lt;0,IF($J66=1,-$E66*$I66/12*3,IF($J66=2,-$E66*$I66/12*2,IF($J66=3,-$E66*$I66/12*1,0)))))+IF(CS$5&lt;&gt;$H66,0,IF(CS66&lt;0,IF($J66=1,-$E66*$I66/12*0,IF($J66=2,-$E66*$I66/12*1,IF($J66=3,-$E66*$I66/12*2,IF($J66&gt;=4,-$E66*$I66/12*3,0))))))</f>
        <v>0</v>
      </c>
      <c r="CU66" s="442">
        <f>IF($H66&lt;&gt;CX$5,0,IF(CX66&lt;0,IF(OR($J66=1,$J66=2,$J66=3,$J66=4),-$E66*$I66/12*3,IF($J66=5,-$E66*$I66/12*2,IF($J66=6,-$E66*$I66/12*1,0)))))+IF(CS$5&lt;&gt;$H66,0,IF(CS66&lt;0,IF($J66=4,-$E66*$I66/12*0,IF($J66=5,-$E66*$I66/12*1,IF($J66=6,-$E66*$I66/12*2,IF($J66&gt;=7,-$E66*$I66/12*3,0))))))</f>
        <v>0</v>
      </c>
      <c r="CV66" s="442">
        <f>IF($H66&lt;&gt;CX$5,0,IF(CX66&lt;0,IF(OR($J66=1,$J66=2,$J66=3,$J66=4,$J66=5,$J66=6,$J66=7),-$E66*$I66/12*3,IF($J66=8,-$E66*$I66/12*2,IF($J66=9,-$E66*$I66/12*1,0)))))+IF(CS$5&lt;&gt;$H66,0,IF(CS66&lt;0,IF($J66=7,-$E66*$I66/12*0,IF($J66=8,-$E66*$I66/12*1,IF($J66=9,-$E66*$I66/12*2,IF($J66&gt;=10,-$E66*$I66/12*3,0))))))</f>
        <v>0</v>
      </c>
      <c r="CW66" s="443">
        <f>IF($H66&lt;&gt;CX$5,0,IF(CX66&lt;0,IF(OR($J66=1,$J66=2,$J66=3,$J66=4,$J66=5,$J66=6,$J66=7,$J66=8,$J66=9,$J66=10),-$E66*$I66/12*3,IF($J66=11,-$E66*$I66/12*2,IF($J66=12,-$E66*$I66/12*1,0)))))+IF(CS$5&lt;&gt;$H66,0,IF(CS66&lt;0,IF($J66=10,-$E66*$I66/12*0,IF($J66=11,-$E66*$I66/12*1,IF($J66=12,-$E66*$I66/12*2,0)))))</f>
        <v>0</v>
      </c>
      <c r="CX66" s="440">
        <f>IF(AND(CS66&lt;&gt;0,CS$5=$H66),-$I66*$E66-CS66,IF(CX$5=$H66,-$I66*$E66*(12-$J66+1)/12,0))</f>
        <v>0</v>
      </c>
      <c r="CY66" s="441">
        <f>IF($H66&lt;&gt;DC$5,0,IF(DC66&lt;0,IF($J66=1,-$E66*$I66/12*3,IF($J66=2,-$E66*$I66/12*2,IF($J66=3,-$E66*$I66/12*1,0)))))+IF(CX$5&lt;&gt;$H66,0,IF(CX66&lt;0,IF($J66=1,-$E66*$I66/12*0,IF($J66=2,-$E66*$I66/12*1,IF($J66=3,-$E66*$I66/12*2,IF($J66&gt;=4,-$E66*$I66/12*3,0))))))</f>
        <v>0</v>
      </c>
      <c r="CZ66" s="442">
        <f>IF($H66&lt;&gt;DC$5,0,IF(DC66&lt;0,IF(OR($J66=1,$J66=2,$J66=3,$J66=4),-$E66*$I66/12*3,IF($J66=5,-$E66*$I66/12*2,IF($J66=6,-$E66*$I66/12*1,0)))))+IF(CX$5&lt;&gt;$H66,0,IF(CX66&lt;0,IF($J66=4,-$E66*$I66/12*0,IF($J66=5,-$E66*$I66/12*1,IF($J66=6,-$E66*$I66/12*2,IF($J66&gt;=7,-$E66*$I66/12*3,0))))))</f>
        <v>0</v>
      </c>
      <c r="DA66" s="442">
        <f>IF($H66&lt;&gt;DC$5,0,IF(DC66&lt;0,IF(OR($J66=1,$J66=2,$J66=3,$J66=4,$J66=5,$J66=6,$J66=7),-$E66*$I66/12*3,IF($J66=8,-$E66*$I66/12*2,IF($J66=9,-$E66*$I66/12*1,0)))))+IF(CX$5&lt;&gt;$H66,0,IF(CX66&lt;0,IF($J66=7,-$E66*$I66/12*0,IF($J66=8,-$E66*$I66/12*1,IF($J66=9,-$E66*$I66/12*2,IF($J66&gt;=10,-$E66*$I66/12*3,0))))))</f>
        <v>0</v>
      </c>
      <c r="DB66" s="443">
        <f>IF($H66&lt;&gt;DC$5,0,IF(DC66&lt;0,IF(OR($J66=1,$J66=2,$J66=3,$J66=4,$J66=5,$J66=6,$J66=7,$J66=8,$J66=9,$J66=10),-$E66*$I66/12*3,IF($J66=11,-$E66*$I66/12*2,IF($J66=12,-$E66*$I66/12*1,0)))))+IF(CX$5&lt;&gt;$H66,0,IF(CX66&lt;0,IF($J66=10,-$E66*$I66/12*0,IF($J66=11,-$E66*$I66/12*1,IF($J66=12,-$E66*$I66/12*2,0)))))</f>
        <v>0</v>
      </c>
      <c r="DC66" s="440">
        <f>IF(AND(CX66&lt;&gt;0,CX$5=$H66),-$I66*$E66-CX66,IF(DC$5=$H66,-$I66*$E66*(12-$J66+1)/12,0))</f>
        <v>0</v>
      </c>
      <c r="DD66" s="441">
        <f>IF($H66&lt;&gt;DH$5,0,IF(DH66&lt;0,IF($J66=1,-$E66*$I66/12*3,IF($J66=2,-$E66*$I66/12*2,IF($J66=3,-$E66*$I66/12*1,0)))))+IF(DC$5&lt;&gt;$H66,0,IF(DC66&lt;0,IF($J66=1,-$E66*$I66/12*0,IF($J66=2,-$E66*$I66/12*1,IF($J66=3,-$E66*$I66/12*2,IF($J66&gt;=4,-$E66*$I66/12*3,0))))))</f>
        <v>0</v>
      </c>
      <c r="DE66" s="442">
        <f>IF($H66&lt;&gt;DH$5,0,IF(DH66&lt;0,IF(OR($J66=1,$J66=2,$J66=3,$J66=4),-$E66*$I66/12*3,IF($J66=5,-$E66*$I66/12*2,IF($J66=6,-$E66*$I66/12*1,0)))))+IF(DC$5&lt;&gt;$H66,0,IF(DC66&lt;0,IF($J66=4,-$E66*$I66/12*0,IF($J66=5,-$E66*$I66/12*1,IF($J66=6,-$E66*$I66/12*2,IF($J66&gt;=7,-$E66*$I66/12*3,0))))))</f>
        <v>0</v>
      </c>
      <c r="DF66" s="442">
        <f>IF($H66&lt;&gt;DH$5,0,IF(DH66&lt;0,IF(OR($J66=1,$J66=2,$J66=3,$J66=4,$J66=5,$J66=6,$J66=7),-$E66*$I66/12*3,IF($J66=8,-$E66*$I66/12*2,IF($J66=9,-$E66*$I66/12*1,0)))))+IF(DC$5&lt;&gt;$H66,0,IF(DC66&lt;0,IF($J66=7,-$E66*$I66/12*0,IF($J66=8,-$E66*$I66/12*1,IF($J66=9,-$E66*$I66/12*2,IF($J66&gt;=10,-$E66*$I66/12*3,0))))))</f>
        <v>0</v>
      </c>
      <c r="DG66" s="443">
        <f>IF($H66&lt;&gt;DH$5,0,IF(DH66&lt;0,IF(OR($J66=1,$J66=2,$J66=3,$J66=4,$J66=5,$J66=6,$J66=7,$J66=8,$J66=9,$J66=10),-$E66*$I66/12*3,IF($J66=11,-$E66*$I66/12*2,IF($J66=12,-$E66*$I66/12*1,0)))))+IF(DC$5&lt;&gt;$H66,0,IF(DC66&lt;0,IF($J66=10,-$E66*$I66/12*0,IF($J66=11,-$E66*$I66/12*1,IF($J66=12,-$E66*$I66/12*2,0)))))</f>
        <v>0</v>
      </c>
      <c r="DH66" s="440">
        <f>IF(AND(DC66&lt;&gt;0,DC$5=$H66),-$I66*$E66-DC66,IF(DH$5=$H66,-$I66*$E66*(12-$J66+1)/12,0))</f>
        <v>0</v>
      </c>
      <c r="DI66" s="441">
        <f>IF($H66&lt;&gt;DM$5,0,IF(DM66&lt;0,IF($J66=1,-$E66*$I66/12*3,IF($J66=2,-$E66*$I66/12*2,IF($J66=3,-$E66*$I66/12*1,0)))))+IF(DH$5&lt;&gt;$H66,0,IF(DH66&lt;0,IF($J66=1,-$E66*$I66/12*0,IF($J66=2,-$E66*$I66/12*1,IF($J66=3,-$E66*$I66/12*2,IF($J66&gt;=4,-$E66*$I66/12*3,0))))))</f>
        <v>0</v>
      </c>
      <c r="DJ66" s="442">
        <f>IF($H66&lt;&gt;DM$5,0,IF(DM66&lt;0,IF(OR($J66=1,$J66=2,$J66=3,$J66=4),-$E66*$I66/12*3,IF($J66=5,-$E66*$I66/12*2,IF($J66=6,-$E66*$I66/12*1,0)))))+IF(DH$5&lt;&gt;$H66,0,IF(DH66&lt;0,IF($J66=4,-$E66*$I66/12*0,IF($J66=5,-$E66*$I66/12*1,IF($J66=6,-$E66*$I66/12*2,IF($J66&gt;=7,-$E66*$I66/12*3,0))))))</f>
        <v>0</v>
      </c>
      <c r="DK66" s="442">
        <f>IF($H66&lt;&gt;DM$5,0,IF(DM66&lt;0,IF(OR($J66=1,$J66=2,$J66=3,$J66=4,$J66=5,$J66=6,$J66=7),-$E66*$I66/12*3,IF($J66=8,-$E66*$I66/12*2,IF($J66=9,-$E66*$I66/12*1,0)))))+IF(DH$5&lt;&gt;$H66,0,IF(DH66&lt;0,IF($J66=7,-$E66*$I66/12*0,IF($J66=8,-$E66*$I66/12*1,IF($J66=9,-$E66*$I66/12*2,IF($J66&gt;=10,-$E66*$I66/12*3,0))))))</f>
        <v>0</v>
      </c>
      <c r="DL66" s="443">
        <f>IF($H66&lt;&gt;DM$5,0,IF(DM66&lt;0,IF(OR($J66=1,$J66=2,$J66=3,$J66=4,$J66=5,$J66=6,$J66=7,$J66=8,$J66=9,$J66=10),-$E66*$I66/12*3,IF($J66=11,-$E66*$I66/12*2,IF($J66=12,-$E66*$I66/12*1,0)))))+IF(DH$5&lt;&gt;$H66,0,IF(DH66&lt;0,IF($J66=10,-$E66*$I66/12*0,IF($J66=11,-$E66*$I66/12*1,IF($J66=12,-$E66*$I66/12*2,0)))))</f>
        <v>0</v>
      </c>
      <c r="DM66" s="440">
        <f>IF(AND(DH66&lt;&gt;0,DH$5=$H66),-$I66*$E66-DH66,IF(DM$5=$H66,-$I66*$E66*(12-$J66+1)/12,0))</f>
        <v>0</v>
      </c>
      <c r="DN66" s="441">
        <f>IF($H66&lt;&gt;DR$5,0,IF(DR66&lt;0,IF($J66=1,-$E66*$I66/12*3,IF($J66=2,-$E66*$I66/12*2,IF($J66=3,-$E66*$I66/12*1,0)))))+IF(DM$5&lt;&gt;$H66,0,IF(DM66&lt;0,IF($J66=1,-$E66*$I66/12*0,IF($J66=2,-$E66*$I66/12*1,IF($J66=3,-$E66*$I66/12*2,IF($J66&gt;=4,-$E66*$I66/12*3,0))))))</f>
        <v>0</v>
      </c>
      <c r="DO66" s="442">
        <f>IF($H66&lt;&gt;DR$5,0,IF(DR66&lt;0,IF(OR($J66=1,$J66=2,$J66=3,$J66=4),-$E66*$I66/12*3,IF($J66=5,-$E66*$I66/12*2,IF($J66=6,-$E66*$I66/12*1,0)))))+IF(DM$5&lt;&gt;$H66,0,IF(DM66&lt;0,IF($J66=4,-$E66*$I66/12*0,IF($J66=5,-$E66*$I66/12*1,IF($J66=6,-$E66*$I66/12*2,IF($J66&gt;=7,-$E66*$I66/12*3,0))))))</f>
        <v>0</v>
      </c>
      <c r="DP66" s="442">
        <f>IF($H66&lt;&gt;DR$5,0,IF(DR66&lt;0,IF(OR($J66=1,$J66=2,$J66=3,$J66=4,$J66=5,$J66=6,$J66=7),-$E66*$I66/12*3,IF($J66=8,-$E66*$I66/12*2,IF($J66=9,-$E66*$I66/12*1,0)))))+IF(DM$5&lt;&gt;$H66,0,IF(DM66&lt;0,IF($J66=7,-$E66*$I66/12*0,IF($J66=8,-$E66*$I66/12*1,IF($J66=9,-$E66*$I66/12*2,IF($J66&gt;=10,-$E66*$I66/12*3,0))))))</f>
        <v>0</v>
      </c>
      <c r="DQ66" s="443">
        <f>IF($H66&lt;&gt;DR$5,0,IF(DR66&lt;0,IF(OR($J66=1,$J66=2,$J66=3,$J66=4,$J66=5,$J66=6,$J66=7,$J66=8,$J66=9,$J66=10),-$E66*$I66/12*3,IF($J66=11,-$E66*$I66/12*2,IF($J66=12,-$E66*$I66/12*1,0)))))+IF(DM$5&lt;&gt;$H66,0,IF(DM66&lt;0,IF($J66=10,-$E66*$I66/12*0,IF($J66=11,-$E66*$I66/12*1,IF($J66=12,-$E66*$I66/12*2,0)))))</f>
        <v>0</v>
      </c>
      <c r="DR66" s="440">
        <f>IF(AND(DM66&lt;&gt;0,DM$5=$H66),-$I66*$E66-DM66,IF(DR$5=$H66,-$I66*$E66*(12-$J66+1)/12,0))</f>
        <v>0</v>
      </c>
    </row>
    <row r="67" spans="1:122" ht="12.75" customHeight="1">
      <c r="C67" s="1590" t="s">
        <v>1165</v>
      </c>
      <c r="D67" s="395"/>
      <c r="E67" s="865">
        <f>IF(F67=0,G67,F67)</f>
        <v>90.14</v>
      </c>
      <c r="F67" s="1945">
        <v>90.14</v>
      </c>
      <c r="G67" s="1945">
        <v>90.14</v>
      </c>
      <c r="H67" s="1308">
        <v>2019</v>
      </c>
      <c r="I67" s="1948">
        <v>0.03</v>
      </c>
      <c r="J67" s="1357">
        <v>5</v>
      </c>
      <c r="K67" s="549"/>
      <c r="L67" s="441">
        <f>IF(P67=0,0,IF(P67&lt;0,IF($J67=3,P67,IF($J67=2,P67,IF($J67=1,P67,0)))))</f>
        <v>0</v>
      </c>
      <c r="M67" s="442">
        <f>IF(P67=0,0,IF(P67&lt;0,IF($J67=6,P67,IF($J67=5,P67,IF($J67=4,P67,0)))))</f>
        <v>0</v>
      </c>
      <c r="N67" s="442">
        <f>IF(P67=0,0,IF(P67&lt;0,IF($J67=9,P67,IF($J67=8,P67,IF($J67=7,P67,0)))))</f>
        <v>0</v>
      </c>
      <c r="O67" s="443">
        <f>IF(P67=0,0,IF(P67&lt;0,IF($J67=12,P67,IF($J67=11,P67,IF($J67=10,P67,0)))))</f>
        <v>0</v>
      </c>
      <c r="P67" s="440">
        <f>IF(P$5=$H67,-$E67,0)</f>
        <v>0</v>
      </c>
      <c r="Q67" s="441">
        <f>IF(U67=0,0,IF(U67&lt;0,IF($J67=3,U67,IF($J67=2,U67,IF($J67=1,U67,0)))))</f>
        <v>0</v>
      </c>
      <c r="R67" s="442">
        <f>IF(U67=0,0,IF(U67&lt;0,IF($J67=6,U67,IF($J67=5,U67,IF($J67=4,U67,0)))))</f>
        <v>0</v>
      </c>
      <c r="S67" s="442">
        <f>IF(U67=0,0,IF(U67&lt;0,IF($J67=9,U67,IF($J67=8,U67,IF($J67=7,U67,0)))))</f>
        <v>0</v>
      </c>
      <c r="T67" s="443">
        <f>IF(U67=0,0,IF(U67&lt;0,IF($J67=12,U67,IF($J67=11,U67,IF($J67=10,U67,0)))))</f>
        <v>0</v>
      </c>
      <c r="U67" s="440">
        <f>IF(U$5=$H67,-$E67,0)</f>
        <v>0</v>
      </c>
      <c r="V67" s="441">
        <f>IF(Z67=0,0,IF(Z67&lt;0,IF($J67=3,Z67,IF($J67=2,Z67,IF($J67=1,Z67,0)))))</f>
        <v>0</v>
      </c>
      <c r="W67" s="442">
        <f>IF(Z67=0,0,IF(Z67&lt;0,IF($J67=6,Z67,IF($J67=5,Z67,IF($J67=4,Z67,0)))))</f>
        <v>0</v>
      </c>
      <c r="X67" s="442">
        <f>IF(Z67=0,0,IF(Z67&lt;0,IF($J67=9,Z67,IF($J67=8,Z67,IF($J67=7,Z67,0)))))</f>
        <v>0</v>
      </c>
      <c r="Y67" s="443">
        <f>IF(Z67=0,0,IF(Z67&lt;0,IF($J67=12,Z67,IF($J67=11,Z67,IF($J67=10,Z67,0)))))</f>
        <v>0</v>
      </c>
      <c r="Z67" s="440">
        <f>IF(Z$5=$H67,-$E67,0)</f>
        <v>0</v>
      </c>
      <c r="AA67" s="441">
        <f>IF(AE67=0,0,IF(AE67&lt;0,IF($J67=3,AE67,IF($J67=2,AE67,IF($J67=1,AE67,0)))))</f>
        <v>0</v>
      </c>
      <c r="AB67" s="442">
        <f>IF(AE67=0,0,IF(AE67&lt;0,IF($J67=6,AE67,IF($J67=5,AE67,IF($J67=4,AE67,0)))))</f>
        <v>0</v>
      </c>
      <c r="AC67" s="442">
        <f>IF(AE67=0,0,IF(AE67&lt;0,IF($J67=9,AE67,IF($J67=8,AE67,IF($J67=7,AE67,0)))))</f>
        <v>0</v>
      </c>
      <c r="AD67" s="443">
        <f>IF(AE67=0,0,IF(AE67&lt;0,IF($J67=12,AE67,IF($J67=11,AE67,IF($J67=10,AE67,0)))))</f>
        <v>0</v>
      </c>
      <c r="AE67" s="440">
        <f>IF(AE$5=$H67,-$E67,0)</f>
        <v>0</v>
      </c>
      <c r="AF67" s="441">
        <f>IF(AJ67=0,0,IF(AJ67&lt;0,IF($J67=3,AJ67,IF($J67=2,AJ67,IF($J67=1,AJ67,0)))))</f>
        <v>0</v>
      </c>
      <c r="AG67" s="442">
        <f>IF(AJ67=0,0,IF(AJ67&lt;0,IF($J67=6,AJ67,IF($J67=5,AJ67,IF($J67=4,AJ67,0)))))</f>
        <v>0</v>
      </c>
      <c r="AH67" s="442">
        <f>IF(AJ67=0,0,IF(AJ67&lt;0,IF($J67=9,AJ67,IF($J67=8,AJ67,IF($J67=7,AJ67,0)))))</f>
        <v>0</v>
      </c>
      <c r="AI67" s="443">
        <f>IF(AJ67=0,0,IF(AJ67&lt;0,IF($J67=12,AJ67,IF($J67=11,AJ67,IF($J67=10,AJ67,0)))))</f>
        <v>0</v>
      </c>
      <c r="AJ67" s="440">
        <f>IF(AJ$5=$H67,-$E67,0)</f>
        <v>0</v>
      </c>
      <c r="AK67" s="441">
        <f>IF(AO67=0,0,IF(AO67&lt;0,IF($J67=3,AO67,IF($J67=2,AO67,IF($J67=1,AO67,0)))))</f>
        <v>0</v>
      </c>
      <c r="AL67" s="442">
        <f>IF(AO67=0,0,IF(AO67&lt;0,IF($J67=6,AO67,IF($J67=5,AO67,IF($J67=4,AO67,0)))))</f>
        <v>0</v>
      </c>
      <c r="AM67" s="442">
        <f>IF(AO67=0,0,IF(AO67&lt;0,IF($J67=9,AO67,IF($J67=8,AO67,IF($J67=7,AO67,0)))))</f>
        <v>0</v>
      </c>
      <c r="AN67" s="443">
        <f>IF(AO67=0,0,IF(AO67&lt;0,IF($J67=12,AO67,IF($J67=11,AO67,IF($J67=10,AO67,0)))))</f>
        <v>0</v>
      </c>
      <c r="AO67" s="440">
        <f>IF(AO$5=$H67,-$E67,0)</f>
        <v>0</v>
      </c>
      <c r="AP67" s="441">
        <f>IF(AT67=0,0,IF(AT67&lt;0,IF($J67=3,AT67,IF($J67=2,AT67,IF($J67=1,AT67,0)))))</f>
        <v>0</v>
      </c>
      <c r="AQ67" s="442">
        <f>IF(AT67=0,0,IF(AT67&lt;0,IF($J67=6,AT67,IF($J67=5,AT67,IF($J67=4,AT67,0)))))</f>
        <v>0</v>
      </c>
      <c r="AR67" s="442">
        <f>IF(AT67=0,0,IF(AT67&lt;0,IF($J67=9,AT67,IF($J67=8,AT67,IF($J67=7,AT67,0)))))</f>
        <v>0</v>
      </c>
      <c r="AS67" s="443">
        <f>IF(AT67=0,0,IF(AT67&lt;0,IF($J67=12,AT67,IF($J67=11,AT67,IF($J67=10,AT67,0)))))</f>
        <v>0</v>
      </c>
      <c r="AT67" s="440">
        <f>IF(AT$5=$H67,-$E67,0)</f>
        <v>0</v>
      </c>
      <c r="AU67" s="441">
        <f>IF(AY67=0,0,IF(AY67&lt;0,IF($J67=3,AY67,IF($J67=2,AY67,IF($J67=1,AY67,0)))))</f>
        <v>0</v>
      </c>
      <c r="AV67" s="442">
        <f>IF(AY67=0,0,IF(AY67&lt;0,IF($J67=6,AY67,IF($J67=5,AY67,IF($J67=4,AY67,0)))))</f>
        <v>0</v>
      </c>
      <c r="AW67" s="442">
        <f>IF(AY67=0,0,IF(AY67&lt;0,IF($J67=9,AY67,IF($J67=8,AY67,IF($J67=7,AY67,0)))))</f>
        <v>0</v>
      </c>
      <c r="AX67" s="443">
        <f>IF(AY67=0,0,IF(AY67&lt;0,IF($J67=12,AY67,IF($J67=11,AY67,IF($J67=10,AY67,0)))))</f>
        <v>0</v>
      </c>
      <c r="AY67" s="440">
        <f>IF(AY$5=$H67,-$E67,0)</f>
        <v>0</v>
      </c>
      <c r="AZ67" s="441">
        <f>IF(BD67=0,0,IF(BD67&lt;0,IF($J67=3,BD67,IF($J67=2,BD67,IF($J67=1,BD67,0)))))</f>
        <v>0</v>
      </c>
      <c r="BA67" s="442">
        <f>IF(BD67=0,0,IF(BD67&lt;0,IF($J67=6,BD67,IF($J67=5,BD67,IF($J67=4,BD67,0)))))</f>
        <v>-90.14</v>
      </c>
      <c r="BB67" s="442">
        <f>IF(BD67=0,0,IF(BD67&lt;0,IF($J67=9,BD67,IF($J67=8,BD67,IF($J67=7,BD67,0)))))</f>
        <v>0</v>
      </c>
      <c r="BC67" s="443">
        <f>IF(BD67=0,0,IF(BD67&lt;0,IF($J67=12,BD67,IF($J67=11,BD67,IF($J67=10,BD67,0)))))</f>
        <v>0</v>
      </c>
      <c r="BD67" s="440">
        <f>IF(BD$5=$H67,-$E67,0)</f>
        <v>-90.14</v>
      </c>
      <c r="BE67" s="441">
        <f>IF(BI67=0,0,IF(BI67&lt;0,IF($J67=3,BI67,IF($J67=2,BI67,IF($J67=1,BI67,0)))))</f>
        <v>0</v>
      </c>
      <c r="BF67" s="442">
        <f>IF(BI67=0,0,IF(BI67&lt;0,IF($J67=6,BI67,IF($J67=5,BI67,IF($J67=4,BI67,0)))))</f>
        <v>0</v>
      </c>
      <c r="BG67" s="442">
        <f>IF(BI67=0,0,IF(BI67&lt;0,IF($J67=9,BI67,IF($J67=8,BI67,IF($J67=7,BI67,0)))))</f>
        <v>0</v>
      </c>
      <c r="BH67" s="443">
        <f>IF(BI67=0,0,IF(BI67&lt;0,IF($J67=12,BI67,IF($J67=11,BI67,IF($J67=10,BI67,0)))))</f>
        <v>0</v>
      </c>
      <c r="BI67" s="440">
        <f>IF(BI$5=$H67,-$E67,0)</f>
        <v>0</v>
      </c>
      <c r="BJ67" s="441">
        <f>IF(BN67=0,0,IF(BN67&lt;0,IF($J67=3,BN67,IF($J67=2,BN67,IF($J67=1,BN67,0)))))</f>
        <v>0</v>
      </c>
      <c r="BK67" s="442">
        <f>IF(BN67=0,0,IF(BN67&lt;0,IF($J67=6,BN67,IF($J67=5,BN67,IF($J67=4,BN67,0)))))</f>
        <v>0</v>
      </c>
      <c r="BL67" s="442">
        <f>IF(BN67=0,0,IF(BN67&lt;0,IF($J67=9,BN67,IF($J67=8,BN67,IF($J67=7,BN67,0)))))</f>
        <v>0</v>
      </c>
      <c r="BM67" s="443">
        <f>IF(BN67=0,0,IF(BN67&lt;0,IF($J67=12,BN67,IF($J67=11,BN67,IF($J67=10,BN67,0)))))</f>
        <v>0</v>
      </c>
      <c r="BN67" s="440">
        <f>IF(BN$5=$H67,-$E67,0)</f>
        <v>0</v>
      </c>
      <c r="BO67" s="473"/>
      <c r="BP67" s="441">
        <f>IF($H67&lt;&gt;BT$5,0,IF(BT67&lt;0,IF($J67=1,-$E67*$I67/12*3,IF($J67=2,-$E67*$I67/12*2,IF($J67=3,-$E67*$I67/12*1,0)))))+IF(BO$5&lt;&gt;$H67,0,IF(BO67&lt;0,IF($J67=1,-$E67*$I67/12*0,IF($J67=2,-$E67*$I67/12*1,IF($J67=3,-$E67*$I67/12*2,IF($J67&gt;=4,-$E67*$I67/12*3,0))))))</f>
        <v>0</v>
      </c>
      <c r="BQ67" s="442">
        <f>IF($H67&lt;&gt;BT$5,0,IF(BT67&lt;0,IF(OR($J67=1,$J67=2,$J67=3,$J67=4),-$E67*$I67/12*3,IF($J67=5,-$E67*$I67/12*2,IF($J67=6,-$E67*$I67/12*1,0)))))+IF(BO$5&lt;&gt;$H67,0,IF(BO67&lt;0,IF($J67=4,-$E67*$I67/12*0,IF($J67=5,-$E67*$I67/12*1,IF($J67=6,-$E67*$I67/12*2,IF($J67&gt;=7,-$E67*$I67/12*3,0))))))</f>
        <v>0</v>
      </c>
      <c r="BR67" s="442">
        <f>IF($H67&lt;&gt;BT$5,0,IF(BT67&lt;0,IF(OR($J67=1,$J67=2,$J67=3,$J67=4,$J67=5,$J67=6,$J67=7),-$E67*$I67/12*3,IF($J67=8,-$E67*$I67/12*2,IF($J67=9,-$E67*$I67/12*1,0)))))+IF(BO$5&lt;&gt;$H67,0,IF(BO67&lt;0,IF($J67=7,-$E67*$I67/12*0,IF($J67=8,-$E67*$I67/12*1,IF($J67=9,-$E67*$I67/12*2,IF($J67&gt;=10,-$E67*$I67/12*3,0))))))</f>
        <v>0</v>
      </c>
      <c r="BS67" s="443">
        <f>IF($H67&lt;&gt;BT$5,0,IF(BT67&lt;0,IF(OR($J67=1,$J67=2,$J67=3,$J67=4,$J67=5,$J67=6,$J67=7,$J67=8,$J67=9,$J67=10),-$E67*$I67/12*3,IF($J67=11,-$E67*$I67/12*2,IF($J67=12,-$E67*$I67/12*1,0)))))+IF(BO$5&lt;&gt;$H67,0,IF(BO67&lt;0,IF($J67=10,-$E67*$I67/12*0,IF($J67=11,-$E67*$I67/12*1,IF($J67=12,-$E67*$I67/12*2,0)))))</f>
        <v>0</v>
      </c>
      <c r="BT67" s="440">
        <f>IF(AND(BO67&lt;&gt;0,BO$5=$H67),-$I67*$E67-BO67,IF(BT$5=$H67,-$I67*$E67*(12-$J67+1)/12,0))</f>
        <v>0</v>
      </c>
      <c r="BU67" s="441">
        <f>IF($H67&lt;&gt;BY$5,0,IF(BY67&lt;0,IF($J67=1,-$E67*$I67/12*3,IF($J67=2,-$E67*$I67/12*2,IF($J67=3,-$E67*$I67/12*1,0)))))+IF(BT$5&lt;&gt;$H67,0,IF(BT67&lt;0,IF($J67=1,-$E67*$I67/12*0,IF($J67=2,-$E67*$I67/12*1,IF($J67=3,-$E67*$I67/12*2,IF($J67&gt;=4,-$E67*$I67/12*3,0))))))</f>
        <v>0</v>
      </c>
      <c r="BV67" s="442">
        <f>IF($H67&lt;&gt;BY$5,0,IF(BY67&lt;0,IF(OR($J67=1,$J67=2,$J67=3,$J67=4),-$E67*$I67/12*3,IF($J67=5,-$E67*$I67/12*2,IF($J67=6,-$E67*$I67/12*1,0)))))+IF(BT$5&lt;&gt;$H67,0,IF(BT67&lt;0,IF($J67=4,-$E67*$I67/12*0,IF($J67=5,-$E67*$I67/12*1,IF($J67=6,-$E67*$I67/12*2,IF($J67&gt;=7,-$E67*$I67/12*3,0))))))</f>
        <v>0</v>
      </c>
      <c r="BW67" s="442">
        <f>IF($H67&lt;&gt;BY$5,0,IF(BY67&lt;0,IF(OR($J67=1,$J67=2,$J67=3,$J67=4,$J67=5,$J67=6,$J67=7),-$E67*$I67/12*3,IF($J67=8,-$E67*$I67/12*2,IF($J67=9,-$E67*$I67/12*1,0)))))+IF(BT$5&lt;&gt;$H67,0,IF(BT67&lt;0,IF($J67=7,-$E67*$I67/12*0,IF($J67=8,-$E67*$I67/12*1,IF($J67=9,-$E67*$I67/12*2,IF($J67&gt;=10,-$E67*$I67/12*3,0))))))</f>
        <v>0</v>
      </c>
      <c r="BX67" s="443">
        <f>IF($H67&lt;&gt;BY$5,0,IF(BY67&lt;0,IF(OR($J67=1,$J67=2,$J67=3,$J67=4,$J67=5,$J67=6,$J67=7,$J67=8,$J67=9,$J67=10),-$E67*$I67/12*3,IF($J67=11,-$E67*$I67/12*2,IF($J67=12,-$E67*$I67/12*1,0)))))+IF(BT$5&lt;&gt;$H67,0,IF(BT67&lt;0,IF($J67=10,-$E67*$I67/12*0,IF($J67=11,-$E67*$I67/12*1,IF($J67=12,-$E67*$I67/12*2,0)))))</f>
        <v>0</v>
      </c>
      <c r="BY67" s="440">
        <f>IF(AND(BT67&lt;&gt;0,BT$5=$H67),-$I67*$E67-BT67,IF(BY$5=$H67,-$I67*$E67*(12-$J67+1)/12,0))</f>
        <v>0</v>
      </c>
      <c r="BZ67" s="441">
        <f>IF($H67&lt;&gt;CD$5,0,IF(CD67&lt;0,IF($J67=1,-$E67*$I67/12*3,IF($J67=2,-$E67*$I67/12*2,IF($J67=3,-$E67*$I67/12*1,0)))))+IF(BY$5&lt;&gt;$H67,0,IF(BY67&lt;0,IF($J67=1,-$E67*$I67/12*0,IF($J67=2,-$E67*$I67/12*1,IF($J67=3,-$E67*$I67/12*2,IF($J67&gt;=4,-$E67*$I67/12*3,0))))))</f>
        <v>0</v>
      </c>
      <c r="CA67" s="442">
        <f>IF($H67&lt;&gt;CD$5,0,IF(CD67&lt;0,IF(OR($J67=1,$J67=2,$J67=3,$J67=4),-$E67*$I67/12*3,IF($J67=5,-$E67*$I67/12*2,IF($J67=6,-$E67*$I67/12*1,0)))))+IF(BY$5&lt;&gt;$H67,0,IF(BY67&lt;0,IF($J67=4,-$E67*$I67/12*0,IF($J67=5,-$E67*$I67/12*1,IF($J67=6,-$E67*$I67/12*2,IF($J67&gt;=7,-$E67*$I67/12*3,0))))))</f>
        <v>0</v>
      </c>
      <c r="CB67" s="442">
        <f>IF($H67&lt;&gt;CD$5,0,IF(CD67&lt;0,IF(OR($J67=1,$J67=2,$J67=3,$J67=4,$J67=5,$J67=6,$J67=7),-$E67*$I67/12*3,IF($J67=8,-$E67*$I67/12*2,IF($J67=9,-$E67*$I67/12*1,0)))))+IF(BY$5&lt;&gt;$H67,0,IF(BY67&lt;0,IF($J67=7,-$E67*$I67/12*0,IF($J67=8,-$E67*$I67/12*1,IF($J67=9,-$E67*$I67/12*2,IF($J67&gt;=10,-$E67*$I67/12*3,0))))))</f>
        <v>0</v>
      </c>
      <c r="CC67" s="443">
        <f>IF($H67&lt;&gt;CD$5,0,IF(CD67&lt;0,IF(OR($J67=1,$J67=2,$J67=3,$J67=4,$J67=5,$J67=6,$J67=7,$J67=8,$J67=9,$J67=10),-$E67*$I67/12*3,IF($J67=11,-$E67*$I67/12*2,IF($J67=12,-$E67*$I67/12*1,0)))))+IF(BY$5&lt;&gt;$H67,0,IF(BY67&lt;0,IF($J67=10,-$E67*$I67/12*0,IF($J67=11,-$E67*$I67/12*1,IF($J67=12,-$E67*$I67/12*2,0)))))</f>
        <v>0</v>
      </c>
      <c r="CD67" s="440">
        <f>IF(AND(BY67&lt;&gt;0,BY$5=$H67),-$I67*$E67-BY67,IF(CD$5=$H67,-$I67*$E67*(12-$J67+1)/12,0))</f>
        <v>0</v>
      </c>
      <c r="CE67" s="441">
        <f>IF($H67&lt;&gt;CI$5,0,IF(CI67&lt;0,IF($J67=1,-$E67*$I67/12*3,IF($J67=2,-$E67*$I67/12*2,IF($J67=3,-$E67*$I67/12*1,0)))))+IF(CD$5&lt;&gt;$H67,0,IF(CD67&lt;0,IF($J67=1,-$E67*$I67/12*0,IF($J67=2,-$E67*$I67/12*1,IF($J67=3,-$E67*$I67/12*2,IF($J67&gt;=4,-$E67*$I67/12*3,0))))))</f>
        <v>0</v>
      </c>
      <c r="CF67" s="442">
        <f>IF($H67&lt;&gt;CI$5,0,IF(CI67&lt;0,IF(OR($J67=1,$J67=2,$J67=3,$J67=4),-$E67*$I67/12*3,IF($J67=5,-$E67*$I67/12*2,IF($J67=6,-$E67*$I67/12*1,0)))))+IF(CD$5&lt;&gt;$H67,0,IF(CD67&lt;0,IF($J67=4,-$E67*$I67/12*0,IF($J67=5,-$E67*$I67/12*1,IF($J67=6,-$E67*$I67/12*2,IF($J67&gt;=7,-$E67*$I67/12*3,0))))))</f>
        <v>0</v>
      </c>
      <c r="CG67" s="442">
        <f>IF($H67&lt;&gt;CI$5,0,IF(CI67&lt;0,IF(OR($J67=1,$J67=2,$J67=3,$J67=4,$J67=5,$J67=6,$J67=7),-$E67*$I67/12*3,IF($J67=8,-$E67*$I67/12*2,IF($J67=9,-$E67*$I67/12*1,0)))))+IF(CD$5&lt;&gt;$H67,0,IF(CD67&lt;0,IF($J67=7,-$E67*$I67/12*0,IF($J67=8,-$E67*$I67/12*1,IF($J67=9,-$E67*$I67/12*2,IF($J67&gt;=10,-$E67*$I67/12*3,0))))))</f>
        <v>0</v>
      </c>
      <c r="CH67" s="443">
        <f>IF($H67&lt;&gt;CI$5,0,IF(CI67&lt;0,IF(OR($J67=1,$J67=2,$J67=3,$J67=4,$J67=5,$J67=6,$J67=7,$J67=8,$J67=9,$J67=10),-$E67*$I67/12*3,IF($J67=11,-$E67*$I67/12*2,IF($J67=12,-$E67*$I67/12*1,0)))))+IF(CD$5&lt;&gt;$H67,0,IF(CD67&lt;0,IF($J67=10,-$E67*$I67/12*0,IF($J67=11,-$E67*$I67/12*1,IF($J67=12,-$E67*$I67/12*2,0)))))</f>
        <v>0</v>
      </c>
      <c r="CI67" s="440">
        <f>IF(AND(CD67&lt;&gt;0,CD$5=$H67),-$I67*$E67-CD67,IF(CI$5=$H67,-$I67*$E67*(12-$J67+1)/12,0))</f>
        <v>0</v>
      </c>
      <c r="CJ67" s="441">
        <f>IF($H67&lt;&gt;CN$5,0,IF(CN67&lt;0,IF($J67=1,-$E67*$I67/12*3,IF($J67=2,-$E67*$I67/12*2,IF($J67=3,-$E67*$I67/12*1,0)))))+IF(CI$5&lt;&gt;$H67,0,IF(CI67&lt;0,IF($J67=1,-$E67*$I67/12*0,IF($J67=2,-$E67*$I67/12*1,IF($J67=3,-$E67*$I67/12*2,IF($J67&gt;=4,-$E67*$I67/12*3,0))))))</f>
        <v>0</v>
      </c>
      <c r="CK67" s="442">
        <f>IF($H67&lt;&gt;CN$5,0,IF(CN67&lt;0,IF(OR($J67=1,$J67=2,$J67=3,$J67=4),-$E67*$I67/12*3,IF($J67=5,-$E67*$I67/12*2,IF($J67=6,-$E67*$I67/12*1,0)))))+IF(CI$5&lt;&gt;$H67,0,IF(CI67&lt;0,IF($J67=4,-$E67*$I67/12*0,IF($J67=5,-$E67*$I67/12*1,IF($J67=6,-$E67*$I67/12*2,IF($J67&gt;=7,-$E67*$I67/12*3,0))))))</f>
        <v>0</v>
      </c>
      <c r="CL67" s="442">
        <f>IF($H67&lt;&gt;CN$5,0,IF(CN67&lt;0,IF(OR($J67=1,$J67=2,$J67=3,$J67=4,$J67=5,$J67=6,$J67=7),-$E67*$I67/12*3,IF($J67=8,-$E67*$I67/12*2,IF($J67=9,-$E67*$I67/12*1,0)))))+IF(CI$5&lt;&gt;$H67,0,IF(CI67&lt;0,IF($J67=7,-$E67*$I67/12*0,IF($J67=8,-$E67*$I67/12*1,IF($J67=9,-$E67*$I67/12*2,IF($J67&gt;=10,-$E67*$I67/12*3,0))))))</f>
        <v>0</v>
      </c>
      <c r="CM67" s="443">
        <f>IF($H67&lt;&gt;CN$5,0,IF(CN67&lt;0,IF(OR($J67=1,$J67=2,$J67=3,$J67=4,$J67=5,$J67=6,$J67=7,$J67=8,$J67=9,$J67=10),-$E67*$I67/12*3,IF($J67=11,-$E67*$I67/12*2,IF($J67=12,-$E67*$I67/12*1,0)))))+IF(CI$5&lt;&gt;$H67,0,IF(CI67&lt;0,IF($J67=10,-$E67*$I67/12*0,IF($J67=11,-$E67*$I67/12*1,IF($J67=12,-$E67*$I67/12*2,0)))))</f>
        <v>0</v>
      </c>
      <c r="CN67" s="440">
        <f>IF(AND(CI67&lt;&gt;0,CI$5=$H67),-$I67*$E67-CI67,IF(CN$5=$H67,-$I67*$E67*(12-$J67+1)/12,0))</f>
        <v>0</v>
      </c>
      <c r="CO67" s="441">
        <f>IF($H67&lt;&gt;CS$5,0,IF(CS67&lt;0,IF($J67=1,-$E67*$I67/12*3,IF($J67=2,-$E67*$I67/12*2,IF($J67=3,-$E67*$I67/12*1,0)))))+IF(CN$5&lt;&gt;$H67,0,IF(CN67&lt;0,IF($J67=1,-$E67*$I67/12*0,IF($J67=2,-$E67*$I67/12*1,IF($J67=3,-$E67*$I67/12*2,IF($J67&gt;=4,-$E67*$I67/12*3,0))))))</f>
        <v>0</v>
      </c>
      <c r="CP67" s="442">
        <f>IF($H67&lt;&gt;CS$5,0,IF(CS67&lt;0,IF(OR($J67=1,$J67=2,$J67=3,$J67=4),-$E67*$I67/12*3,IF($J67=5,-$E67*$I67/12*2,IF($J67=6,-$E67*$I67/12*1,0)))))+IF(CN$5&lt;&gt;$H67,0,IF(CN67&lt;0,IF($J67=4,-$E67*$I67/12*0,IF($J67=5,-$E67*$I67/12*1,IF($J67=6,-$E67*$I67/12*2,IF($J67&gt;=7,-$E67*$I67/12*3,0))))))</f>
        <v>0</v>
      </c>
      <c r="CQ67" s="442">
        <f>IF($H67&lt;&gt;CS$5,0,IF(CS67&lt;0,IF(OR($J67=1,$J67=2,$J67=3,$J67=4,$J67=5,$J67=6,$J67=7),-$E67*$I67/12*3,IF($J67=8,-$E67*$I67/12*2,IF($J67=9,-$E67*$I67/12*1,0)))))+IF(CN$5&lt;&gt;$H67,0,IF(CN67&lt;0,IF($J67=7,-$E67*$I67/12*0,IF($J67=8,-$E67*$I67/12*1,IF($J67=9,-$E67*$I67/12*2,IF($J67&gt;=10,-$E67*$I67/12*3,0))))))</f>
        <v>0</v>
      </c>
      <c r="CR67" s="443">
        <f>IF($H67&lt;&gt;CS$5,0,IF(CS67&lt;0,IF(OR($J67=1,$J67=2,$J67=3,$J67=4,$J67=5,$J67=6,$J67=7,$J67=8,$J67=9,$J67=10),-$E67*$I67/12*3,IF($J67=11,-$E67*$I67/12*2,IF($J67=12,-$E67*$I67/12*1,0)))))+IF(CN$5&lt;&gt;$H67,0,IF(CN67&lt;0,IF($J67=10,-$E67*$I67/12*0,IF($J67=11,-$E67*$I67/12*1,IF($J67=12,-$E67*$I67/12*2,0)))))</f>
        <v>0</v>
      </c>
      <c r="CS67" s="440">
        <f>IF(AND(CN67&lt;&gt;0,CN$5=$H67),-$I67*$E67-CN67,IF(CS$5=$H67,-$I67*$E67*(12-$J67+1)/12,0))</f>
        <v>0</v>
      </c>
      <c r="CT67" s="441">
        <f>IF($H67&lt;&gt;CX$5,0,IF(CX67&lt;0,IF($J67=1,-$E67*$I67/12*3,IF($J67=2,-$E67*$I67/12*2,IF($J67=3,-$E67*$I67/12*1,0)))))+IF(CS$5&lt;&gt;$H67,0,IF(CS67&lt;0,IF($J67=1,-$E67*$I67/12*0,IF($J67=2,-$E67*$I67/12*1,IF($J67=3,-$E67*$I67/12*2,IF($J67&gt;=4,-$E67*$I67/12*3,0))))))</f>
        <v>0</v>
      </c>
      <c r="CU67" s="442">
        <f>IF($H67&lt;&gt;CX$5,0,IF(CX67&lt;0,IF(OR($J67=1,$J67=2,$J67=3,$J67=4),-$E67*$I67/12*3,IF($J67=5,-$E67*$I67/12*2,IF($J67=6,-$E67*$I67/12*1,0)))))+IF(CS$5&lt;&gt;$H67,0,IF(CS67&lt;0,IF($J67=4,-$E67*$I67/12*0,IF($J67=5,-$E67*$I67/12*1,IF($J67=6,-$E67*$I67/12*2,IF($J67&gt;=7,-$E67*$I67/12*3,0))))))</f>
        <v>0</v>
      </c>
      <c r="CV67" s="442">
        <f>IF($H67&lt;&gt;CX$5,0,IF(CX67&lt;0,IF(OR($J67=1,$J67=2,$J67=3,$J67=4,$J67=5,$J67=6,$J67=7),-$E67*$I67/12*3,IF($J67=8,-$E67*$I67/12*2,IF($J67=9,-$E67*$I67/12*1,0)))))+IF(CS$5&lt;&gt;$H67,0,IF(CS67&lt;0,IF($J67=7,-$E67*$I67/12*0,IF($J67=8,-$E67*$I67/12*1,IF($J67=9,-$E67*$I67/12*2,IF($J67&gt;=10,-$E67*$I67/12*3,0))))))</f>
        <v>0</v>
      </c>
      <c r="CW67" s="443">
        <f>IF($H67&lt;&gt;CX$5,0,IF(CX67&lt;0,IF(OR($J67=1,$J67=2,$J67=3,$J67=4,$J67=5,$J67=6,$J67=7,$J67=8,$J67=9,$J67=10),-$E67*$I67/12*3,IF($J67=11,-$E67*$I67/12*2,IF($J67=12,-$E67*$I67/12*1,0)))))+IF(CS$5&lt;&gt;$H67,0,IF(CS67&lt;0,IF($J67=10,-$E67*$I67/12*0,IF($J67=11,-$E67*$I67/12*1,IF($J67=12,-$E67*$I67/12*2,0)))))</f>
        <v>0</v>
      </c>
      <c r="CX67" s="440">
        <f>IF(AND(CS67&lt;&gt;0,CS$5=$H67),-$I67*$E67-CS67,IF(CX$5=$H67,-$I67*$E67*(12-$J67+1)/12,0))</f>
        <v>0</v>
      </c>
      <c r="CY67" s="441">
        <f>IF($H67&lt;&gt;DC$5,0,IF(DC67&lt;0,IF($J67=1,-$E67*$I67/12*3,IF($J67=2,-$E67*$I67/12*2,IF($J67=3,-$E67*$I67/12*1,0)))))+IF(CX$5&lt;&gt;$H67,0,IF(CX67&lt;0,IF($J67=1,-$E67*$I67/12*0,IF($J67=2,-$E67*$I67/12*1,IF($J67=3,-$E67*$I67/12*2,IF($J67&gt;=4,-$E67*$I67/12*3,0))))))</f>
        <v>0</v>
      </c>
      <c r="CZ67" s="442">
        <f>IF($H67&lt;&gt;DC$5,0,IF(DC67&lt;0,IF(OR($J67=1,$J67=2,$J67=3,$J67=4),-$E67*$I67/12*3,IF($J67=5,-$E67*$I67/12*2,IF($J67=6,-$E67*$I67/12*1,0)))))+IF(CX$5&lt;&gt;$H67,0,IF(CX67&lt;0,IF($J67=4,-$E67*$I67/12*0,IF($J67=5,-$E67*$I67/12*1,IF($J67=6,-$E67*$I67/12*2,IF($J67&gt;=7,-$E67*$I67/12*3,0))))))</f>
        <v>0</v>
      </c>
      <c r="DA67" s="442">
        <f>IF($H67&lt;&gt;DC$5,0,IF(DC67&lt;0,IF(OR($J67=1,$J67=2,$J67=3,$J67=4,$J67=5,$J67=6,$J67=7),-$E67*$I67/12*3,IF($J67=8,-$E67*$I67/12*2,IF($J67=9,-$E67*$I67/12*1,0)))))+IF(CX$5&lt;&gt;$H67,0,IF(CX67&lt;0,IF($J67=7,-$E67*$I67/12*0,IF($J67=8,-$E67*$I67/12*1,IF($J67=9,-$E67*$I67/12*2,IF($J67&gt;=10,-$E67*$I67/12*3,0))))))</f>
        <v>0</v>
      </c>
      <c r="DB67" s="443">
        <f>IF($H67&lt;&gt;DC$5,0,IF(DC67&lt;0,IF(OR($J67=1,$J67=2,$J67=3,$J67=4,$J67=5,$J67=6,$J67=7,$J67=8,$J67=9,$J67=10),-$E67*$I67/12*3,IF($J67=11,-$E67*$I67/12*2,IF($J67=12,-$E67*$I67/12*1,0)))))+IF(CX$5&lt;&gt;$H67,0,IF(CX67&lt;0,IF($J67=10,-$E67*$I67/12*0,IF($J67=11,-$E67*$I67/12*1,IF($J67=12,-$E67*$I67/12*2,0)))))</f>
        <v>0</v>
      </c>
      <c r="DC67" s="440">
        <f>IF(AND(CX67&lt;&gt;0,CX$5=$H67),-$I67*$E67-CX67,IF(DC$5=$H67,-$I67*$E67*(12-$J67+1)/12,0))</f>
        <v>0</v>
      </c>
      <c r="DD67" s="441">
        <f>IF($H67&lt;&gt;DH$5,0,IF(DH67&lt;0,IF($J67=1,-$E67*$I67/12*3,IF($J67=2,-$E67*$I67/12*2,IF($J67=3,-$E67*$I67/12*1,0)))))+IF(DC$5&lt;&gt;$H67,0,IF(DC67&lt;0,IF($J67=1,-$E67*$I67/12*0,IF($J67=2,-$E67*$I67/12*1,IF($J67=3,-$E67*$I67/12*2,IF($J67&gt;=4,-$E67*$I67/12*3,0))))))</f>
        <v>0</v>
      </c>
      <c r="DE67" s="442">
        <f>IF($H67&lt;&gt;DH$5,0,IF(DH67&lt;0,IF(OR($J67=1,$J67=2,$J67=3,$J67=4),-$E67*$I67/12*3,IF($J67=5,-$E67*$I67/12*2,IF($J67=6,-$E67*$I67/12*1,0)))))+IF(DC$5&lt;&gt;$H67,0,IF(DC67&lt;0,IF($J67=4,-$E67*$I67/12*0,IF($J67=5,-$E67*$I67/12*1,IF($J67=6,-$E67*$I67/12*2,IF($J67&gt;=7,-$E67*$I67/12*3,0))))))</f>
        <v>-0.45069999999999993</v>
      </c>
      <c r="DF67" s="442">
        <f>IF($H67&lt;&gt;DH$5,0,IF(DH67&lt;0,IF(OR($J67=1,$J67=2,$J67=3,$J67=4,$J67=5,$J67=6,$J67=7),-$E67*$I67/12*3,IF($J67=8,-$E67*$I67/12*2,IF($J67=9,-$E67*$I67/12*1,0)))))+IF(DC$5&lt;&gt;$H67,0,IF(DC67&lt;0,IF($J67=7,-$E67*$I67/12*0,IF($J67=8,-$E67*$I67/12*1,IF($J67=9,-$E67*$I67/12*2,IF($J67&gt;=10,-$E67*$I67/12*3,0))))))</f>
        <v>-0.67604999999999993</v>
      </c>
      <c r="DG67" s="443">
        <f>IF($H67&lt;&gt;DH$5,0,IF(DH67&lt;0,IF(OR($J67=1,$J67=2,$J67=3,$J67=4,$J67=5,$J67=6,$J67=7,$J67=8,$J67=9,$J67=10),-$E67*$I67/12*3,IF($J67=11,-$E67*$I67/12*2,IF($J67=12,-$E67*$I67/12*1,0)))))+IF(DC$5&lt;&gt;$H67,0,IF(DC67&lt;0,IF($J67=10,-$E67*$I67/12*0,IF($J67=11,-$E67*$I67/12*1,IF($J67=12,-$E67*$I67/12*2,0)))))</f>
        <v>-0.67604999999999993</v>
      </c>
      <c r="DH67" s="440">
        <f>IF(AND(DC67&lt;&gt;0,DC$5=$H67),-$I67*$E67-DC67,IF(DH$5=$H67,-$I67*$E67*(12-$J67+1)/12,0))</f>
        <v>-1.8027999999999997</v>
      </c>
      <c r="DI67" s="441">
        <f>IF($H67&lt;&gt;DM$5,0,IF(DM67&lt;0,IF($J67=1,-$E67*$I67/12*3,IF($J67=2,-$E67*$I67/12*2,IF($J67=3,-$E67*$I67/12*1,0)))))+IF(DH$5&lt;&gt;$H67,0,IF(DH67&lt;0,IF($J67=1,-$E67*$I67/12*0,IF($J67=2,-$E67*$I67/12*1,IF($J67=3,-$E67*$I67/12*2,IF($J67&gt;=4,-$E67*$I67/12*3,0))))))</f>
        <v>-0.67604999999999993</v>
      </c>
      <c r="DJ67" s="442">
        <f>IF($H67&lt;&gt;DM$5,0,IF(DM67&lt;0,IF(OR($J67=1,$J67=2,$J67=3,$J67=4),-$E67*$I67/12*3,IF($J67=5,-$E67*$I67/12*2,IF($J67=6,-$E67*$I67/12*1,0)))))+IF(DH$5&lt;&gt;$H67,0,IF(DH67&lt;0,IF($J67=4,-$E67*$I67/12*0,IF($J67=5,-$E67*$I67/12*1,IF($J67=6,-$E67*$I67/12*2,IF($J67&gt;=7,-$E67*$I67/12*3,0))))))</f>
        <v>-0.22534999999999997</v>
      </c>
      <c r="DK67" s="442">
        <f>IF($H67&lt;&gt;DM$5,0,IF(DM67&lt;0,IF(OR($J67=1,$J67=2,$J67=3,$J67=4,$J67=5,$J67=6,$J67=7),-$E67*$I67/12*3,IF($J67=8,-$E67*$I67/12*2,IF($J67=9,-$E67*$I67/12*1,0)))))+IF(DH$5&lt;&gt;$H67,0,IF(DH67&lt;0,IF($J67=7,-$E67*$I67/12*0,IF($J67=8,-$E67*$I67/12*1,IF($J67=9,-$E67*$I67/12*2,IF($J67&gt;=10,-$E67*$I67/12*3,0))))))</f>
        <v>0</v>
      </c>
      <c r="DL67" s="443">
        <f>IF($H67&lt;&gt;DM$5,0,IF(DM67&lt;0,IF(OR($J67=1,$J67=2,$J67=3,$J67=4,$J67=5,$J67=6,$J67=7,$J67=8,$J67=9,$J67=10),-$E67*$I67/12*3,IF($J67=11,-$E67*$I67/12*2,IF($J67=12,-$E67*$I67/12*1,0)))))+IF(DH$5&lt;&gt;$H67,0,IF(DH67&lt;0,IF($J67=10,-$E67*$I67/12*0,IF($J67=11,-$E67*$I67/12*1,IF($J67=12,-$E67*$I67/12*2,0)))))</f>
        <v>0</v>
      </c>
      <c r="DM67" s="440">
        <f>IF(AND(DH67&lt;&gt;0,DH$5=$H67),-$I67*$E67-DH67,IF(DM$5=$H67,-$I67*$E67*(12-$J67+1)/12,0))</f>
        <v>-0.90139999999999998</v>
      </c>
      <c r="DN67" s="441">
        <f>IF($H67&lt;&gt;DR$5,0,IF(DR67&lt;0,IF($J67=1,-$E67*$I67/12*3,IF($J67=2,-$E67*$I67/12*2,IF($J67=3,-$E67*$I67/12*1,0)))))+IF(DM$5&lt;&gt;$H67,0,IF(DM67&lt;0,IF($J67=1,-$E67*$I67/12*0,IF($J67=2,-$E67*$I67/12*1,IF($J67=3,-$E67*$I67/12*2,IF($J67&gt;=4,-$E67*$I67/12*3,0))))))</f>
        <v>0</v>
      </c>
      <c r="DO67" s="442">
        <f>IF($H67&lt;&gt;DR$5,0,IF(DR67&lt;0,IF(OR($J67=1,$J67=2,$J67=3,$J67=4),-$E67*$I67/12*3,IF($J67=5,-$E67*$I67/12*2,IF($J67=6,-$E67*$I67/12*1,0)))))+IF(DM$5&lt;&gt;$H67,0,IF(DM67&lt;0,IF($J67=4,-$E67*$I67/12*0,IF($J67=5,-$E67*$I67/12*1,IF($J67=6,-$E67*$I67/12*2,IF($J67&gt;=7,-$E67*$I67/12*3,0))))))</f>
        <v>0</v>
      </c>
      <c r="DP67" s="442">
        <f>IF($H67&lt;&gt;DR$5,0,IF(DR67&lt;0,IF(OR($J67=1,$J67=2,$J67=3,$J67=4,$J67=5,$J67=6,$J67=7),-$E67*$I67/12*3,IF($J67=8,-$E67*$I67/12*2,IF($J67=9,-$E67*$I67/12*1,0)))))+IF(DM$5&lt;&gt;$H67,0,IF(DM67&lt;0,IF($J67=7,-$E67*$I67/12*0,IF($J67=8,-$E67*$I67/12*1,IF($J67=9,-$E67*$I67/12*2,IF($J67&gt;=10,-$E67*$I67/12*3,0))))))</f>
        <v>0</v>
      </c>
      <c r="DQ67" s="443">
        <f>IF($H67&lt;&gt;DR$5,0,IF(DR67&lt;0,IF(OR($J67=1,$J67=2,$J67=3,$J67=4,$J67=5,$J67=6,$J67=7,$J67=8,$J67=9,$J67=10),-$E67*$I67/12*3,IF($J67=11,-$E67*$I67/12*2,IF($J67=12,-$E67*$I67/12*1,0)))))+IF(DM$5&lt;&gt;$H67,0,IF(DM67&lt;0,IF($J67=10,-$E67*$I67/12*0,IF($J67=11,-$E67*$I67/12*1,IF($J67=12,-$E67*$I67/12*2,0)))))</f>
        <v>0</v>
      </c>
      <c r="DR67" s="440">
        <f>IF(AND(DM67&lt;&gt;0,DM$5=$H67),-$I67*$E67-DM67,IF(DR$5=$H67,-$I67*$E67*(12-$J67+1)/12,0))</f>
        <v>0</v>
      </c>
    </row>
    <row r="68" spans="1:122" ht="12.75" customHeight="1">
      <c r="A68" s="92"/>
      <c r="B68" s="92"/>
      <c r="C68" s="1590" t="s">
        <v>1166</v>
      </c>
      <c r="D68" s="395"/>
      <c r="E68" s="865">
        <f>IF(F68=0,G68,F68)</f>
        <v>56.6</v>
      </c>
      <c r="F68" s="1945">
        <v>56.6</v>
      </c>
      <c r="G68" s="1945">
        <v>56.6</v>
      </c>
      <c r="H68" s="1308">
        <v>2041</v>
      </c>
      <c r="I68" s="1948">
        <v>3.5000000000000003E-2</v>
      </c>
      <c r="J68" s="1357">
        <v>4</v>
      </c>
      <c r="K68" s="549"/>
      <c r="L68" s="441">
        <f>IF(P68=0,0,IF(P68&lt;0,IF($J68=3,P68,IF($J68=2,P68,IF($J68=1,P68,0)))))</f>
        <v>0</v>
      </c>
      <c r="M68" s="442">
        <f>IF(P68=0,0,IF(P68&lt;0,IF($J68=6,P68,IF($J68=5,P68,IF($J68=4,P68,0)))))</f>
        <v>0</v>
      </c>
      <c r="N68" s="442">
        <f>IF(P68=0,0,IF(P68&lt;0,IF($J68=9,P68,IF($J68=8,P68,IF($J68=7,P68,0)))))</f>
        <v>0</v>
      </c>
      <c r="O68" s="443">
        <f>IF(P68=0,0,IF(P68&lt;0,IF($J68=12,P68,IF($J68=11,P68,IF($J68=10,P68,0)))))</f>
        <v>0</v>
      </c>
      <c r="P68" s="440">
        <f>IF(P$5=$H68,-$E68,0)</f>
        <v>0</v>
      </c>
      <c r="Q68" s="441">
        <f>IF(U68=0,0,IF(U68&lt;0,IF($J68=3,U68,IF($J68=2,U68,IF($J68=1,U68,0)))))</f>
        <v>0</v>
      </c>
      <c r="R68" s="442">
        <f>IF(U68=0,0,IF(U68&lt;0,IF($J68=6,U68,IF($J68=5,U68,IF($J68=4,U68,0)))))</f>
        <v>0</v>
      </c>
      <c r="S68" s="442">
        <f>IF(U68=0,0,IF(U68&lt;0,IF($J68=9,U68,IF($J68=8,U68,IF($J68=7,U68,0)))))</f>
        <v>0</v>
      </c>
      <c r="T68" s="443">
        <f>IF(U68=0,0,IF(U68&lt;0,IF($J68=12,U68,IF($J68=11,U68,IF($J68=10,U68,0)))))</f>
        <v>0</v>
      </c>
      <c r="U68" s="440">
        <f>IF(U$5=$H68,-$E68,0)</f>
        <v>0</v>
      </c>
      <c r="V68" s="441">
        <f>IF(Z68=0,0,IF(Z68&lt;0,IF($J68=3,Z68,IF($J68=2,Z68,IF($J68=1,Z68,0)))))</f>
        <v>0</v>
      </c>
      <c r="W68" s="442">
        <f>IF(Z68=0,0,IF(Z68&lt;0,IF($J68=6,Z68,IF($J68=5,Z68,IF($J68=4,Z68,0)))))</f>
        <v>0</v>
      </c>
      <c r="X68" s="442">
        <f>IF(Z68=0,0,IF(Z68&lt;0,IF($J68=9,Z68,IF($J68=8,Z68,IF($J68=7,Z68,0)))))</f>
        <v>0</v>
      </c>
      <c r="Y68" s="443">
        <f>IF(Z68=0,0,IF(Z68&lt;0,IF($J68=12,Z68,IF($J68=11,Z68,IF($J68=10,Z68,0)))))</f>
        <v>0</v>
      </c>
      <c r="Z68" s="440">
        <f>IF(Z$5=$H68,-$E68,0)</f>
        <v>0</v>
      </c>
      <c r="AA68" s="441">
        <f>IF(AE68=0,0,IF(AE68&lt;0,IF($J68=3,AE68,IF($J68=2,AE68,IF($J68=1,AE68,0)))))</f>
        <v>0</v>
      </c>
      <c r="AB68" s="442">
        <f>IF(AE68=0,0,IF(AE68&lt;0,IF($J68=6,AE68,IF($J68=5,AE68,IF($J68=4,AE68,0)))))</f>
        <v>0</v>
      </c>
      <c r="AC68" s="442">
        <f>IF(AE68=0,0,IF(AE68&lt;0,IF($J68=9,AE68,IF($J68=8,AE68,IF($J68=7,AE68,0)))))</f>
        <v>0</v>
      </c>
      <c r="AD68" s="443">
        <f>IF(AE68=0,0,IF(AE68&lt;0,IF($J68=12,AE68,IF($J68=11,AE68,IF($J68=10,AE68,0)))))</f>
        <v>0</v>
      </c>
      <c r="AE68" s="440">
        <f>IF(AE$5=$H68,-$E68,0)</f>
        <v>0</v>
      </c>
      <c r="AF68" s="441">
        <f>IF(AJ68=0,0,IF(AJ68&lt;0,IF($J68=3,AJ68,IF($J68=2,AJ68,IF($J68=1,AJ68,0)))))</f>
        <v>0</v>
      </c>
      <c r="AG68" s="442">
        <f>IF(AJ68=0,0,IF(AJ68&lt;0,IF($J68=6,AJ68,IF($J68=5,AJ68,IF($J68=4,AJ68,0)))))</f>
        <v>0</v>
      </c>
      <c r="AH68" s="442">
        <f>IF(AJ68=0,0,IF(AJ68&lt;0,IF($J68=9,AJ68,IF($J68=8,AJ68,IF($J68=7,AJ68,0)))))</f>
        <v>0</v>
      </c>
      <c r="AI68" s="443">
        <f>IF(AJ68=0,0,IF(AJ68&lt;0,IF($J68=12,AJ68,IF($J68=11,AJ68,IF($J68=10,AJ68,0)))))</f>
        <v>0</v>
      </c>
      <c r="AJ68" s="440">
        <f>IF(AJ$5=$H68,-$E68,0)</f>
        <v>0</v>
      </c>
      <c r="AK68" s="441">
        <f>IF(AO68=0,0,IF(AO68&lt;0,IF($J68=3,AO68,IF($J68=2,AO68,IF($J68=1,AO68,0)))))</f>
        <v>0</v>
      </c>
      <c r="AL68" s="442">
        <f>IF(AO68=0,0,IF(AO68&lt;0,IF($J68=6,AO68,IF($J68=5,AO68,IF($J68=4,AO68,0)))))</f>
        <v>0</v>
      </c>
      <c r="AM68" s="442">
        <f>IF(AO68=0,0,IF(AO68&lt;0,IF($J68=9,AO68,IF($J68=8,AO68,IF($J68=7,AO68,0)))))</f>
        <v>0</v>
      </c>
      <c r="AN68" s="443">
        <f>IF(AO68=0,0,IF(AO68&lt;0,IF($J68=12,AO68,IF($J68=11,AO68,IF($J68=10,AO68,0)))))</f>
        <v>0</v>
      </c>
      <c r="AO68" s="440">
        <f>IF(AO$5=$H68,-$E68,0)</f>
        <v>0</v>
      </c>
      <c r="AP68" s="441">
        <f>IF(AT68=0,0,IF(AT68&lt;0,IF($J68=3,AT68,IF($J68=2,AT68,IF($J68=1,AT68,0)))))</f>
        <v>0</v>
      </c>
      <c r="AQ68" s="442">
        <f>IF(AT68=0,0,IF(AT68&lt;0,IF($J68=6,AT68,IF($J68=5,AT68,IF($J68=4,AT68,0)))))</f>
        <v>0</v>
      </c>
      <c r="AR68" s="442">
        <f>IF(AT68=0,0,IF(AT68&lt;0,IF($J68=9,AT68,IF($J68=8,AT68,IF($J68=7,AT68,0)))))</f>
        <v>0</v>
      </c>
      <c r="AS68" s="443">
        <f>IF(AT68=0,0,IF(AT68&lt;0,IF($J68=12,AT68,IF($J68=11,AT68,IF($J68=10,AT68,0)))))</f>
        <v>0</v>
      </c>
      <c r="AT68" s="440">
        <f>IF(AT$5=$H68,-$E68,0)</f>
        <v>0</v>
      </c>
      <c r="AU68" s="441">
        <f>IF(AY68=0,0,IF(AY68&lt;0,IF($J68=3,AY68,IF($J68=2,AY68,IF($J68=1,AY68,0)))))</f>
        <v>0</v>
      </c>
      <c r="AV68" s="442">
        <f>IF(AY68=0,0,IF(AY68&lt;0,IF($J68=6,AY68,IF($J68=5,AY68,IF($J68=4,AY68,0)))))</f>
        <v>0</v>
      </c>
      <c r="AW68" s="442">
        <f>IF(AY68=0,0,IF(AY68&lt;0,IF($J68=9,AY68,IF($J68=8,AY68,IF($J68=7,AY68,0)))))</f>
        <v>0</v>
      </c>
      <c r="AX68" s="443">
        <f>IF(AY68=0,0,IF(AY68&lt;0,IF($J68=12,AY68,IF($J68=11,AY68,IF($J68=10,AY68,0)))))</f>
        <v>0</v>
      </c>
      <c r="AY68" s="440">
        <f>IF(AY$5=$H68,-$E68,0)</f>
        <v>0</v>
      </c>
      <c r="AZ68" s="441">
        <f>IF(BD68=0,0,IF(BD68&lt;0,IF($J68=3,BD68,IF($J68=2,BD68,IF($J68=1,BD68,0)))))</f>
        <v>0</v>
      </c>
      <c r="BA68" s="442">
        <f>IF(BD68=0,0,IF(BD68&lt;0,IF($J68=6,BD68,IF($J68=5,BD68,IF($J68=4,BD68,0)))))</f>
        <v>0</v>
      </c>
      <c r="BB68" s="442">
        <f>IF(BD68=0,0,IF(BD68&lt;0,IF($J68=9,BD68,IF($J68=8,BD68,IF($J68=7,BD68,0)))))</f>
        <v>0</v>
      </c>
      <c r="BC68" s="443">
        <f>IF(BD68=0,0,IF(BD68&lt;0,IF($J68=12,BD68,IF($J68=11,BD68,IF($J68=10,BD68,0)))))</f>
        <v>0</v>
      </c>
      <c r="BD68" s="440">
        <f>IF(BD$5=$H68,-$E68,0)</f>
        <v>0</v>
      </c>
      <c r="BE68" s="441">
        <f>IF(BI68=0,0,IF(BI68&lt;0,IF($J68=3,BI68,IF($J68=2,BI68,IF($J68=1,BI68,0)))))</f>
        <v>0</v>
      </c>
      <c r="BF68" s="442">
        <f>IF(BI68=0,0,IF(BI68&lt;0,IF($J68=6,BI68,IF($J68=5,BI68,IF($J68=4,BI68,0)))))</f>
        <v>0</v>
      </c>
      <c r="BG68" s="442">
        <f>IF(BI68=0,0,IF(BI68&lt;0,IF($J68=9,BI68,IF($J68=8,BI68,IF($J68=7,BI68,0)))))</f>
        <v>0</v>
      </c>
      <c r="BH68" s="443">
        <f>IF(BI68=0,0,IF(BI68&lt;0,IF($J68=12,BI68,IF($J68=11,BI68,IF($J68=10,BI68,0)))))</f>
        <v>0</v>
      </c>
      <c r="BI68" s="440">
        <f>IF(BI$5=$H68,-$E68,0)</f>
        <v>0</v>
      </c>
      <c r="BJ68" s="441">
        <f>IF(BN68=0,0,IF(BN68&lt;0,IF($J68=3,BN68,IF($J68=2,BN68,IF($J68=1,BN68,0)))))</f>
        <v>0</v>
      </c>
      <c r="BK68" s="442">
        <f>IF(BN68=0,0,IF(BN68&lt;0,IF($J68=6,BN68,IF($J68=5,BN68,IF($J68=4,BN68,0)))))</f>
        <v>0</v>
      </c>
      <c r="BL68" s="442">
        <f>IF(BN68=0,0,IF(BN68&lt;0,IF($J68=9,BN68,IF($J68=8,BN68,IF($J68=7,BN68,0)))))</f>
        <v>0</v>
      </c>
      <c r="BM68" s="443">
        <f>IF(BN68=0,0,IF(BN68&lt;0,IF($J68=12,BN68,IF($J68=11,BN68,IF($J68=10,BN68,0)))))</f>
        <v>0</v>
      </c>
      <c r="BN68" s="440">
        <f>IF(BN$5=$H68,-$E68,0)</f>
        <v>0</v>
      </c>
      <c r="BO68" s="469"/>
      <c r="BP68" s="441">
        <f>IF($H68&lt;&gt;BT$5,0,IF(BT68&lt;0,IF($J68=1,-$E68*$I68/12*3,IF($J68=2,-$E68*$I68/12*2,IF($J68=3,-$E68*$I68/12*1,0)))))+IF(BO$5&lt;&gt;$H68,0,IF(BO68&lt;0,IF($J68=1,-$E68*$I68/12*0,IF($J68=2,-$E68*$I68/12*1,IF($J68=3,-$E68*$I68/12*2,IF($J68&gt;=4,-$E68*$I68/12*3,0))))))</f>
        <v>0</v>
      </c>
      <c r="BQ68" s="442">
        <f>IF($H68&lt;&gt;BT$5,0,IF(BT68&lt;0,IF(OR($J68=1,$J68=2,$J68=3,$J68=4),-$E68*$I68/12*3,IF($J68=5,-$E68*$I68/12*2,IF($J68=6,-$E68*$I68/12*1,0)))))+IF(BO$5&lt;&gt;$H68,0,IF(BO68&lt;0,IF($J68=4,-$E68*$I68/12*0,IF($J68=5,-$E68*$I68/12*1,IF($J68=6,-$E68*$I68/12*2,IF($J68&gt;=7,-$E68*$I68/12*3,0))))))</f>
        <v>0</v>
      </c>
      <c r="BR68" s="442">
        <f>IF($H68&lt;&gt;BT$5,0,IF(BT68&lt;0,IF(OR($J68=1,$J68=2,$J68=3,$J68=4,$J68=5,$J68=6,$J68=7),-$E68*$I68/12*3,IF($J68=8,-$E68*$I68/12*2,IF($J68=9,-$E68*$I68/12*1,0)))))+IF(BO$5&lt;&gt;$H68,0,IF(BO68&lt;0,IF($J68=7,-$E68*$I68/12*0,IF($J68=8,-$E68*$I68/12*1,IF($J68=9,-$E68*$I68/12*2,IF($J68&gt;=10,-$E68*$I68/12*3,0))))))</f>
        <v>0</v>
      </c>
      <c r="BS68" s="443">
        <f>IF($H68&lt;&gt;BT$5,0,IF(BT68&lt;0,IF(OR($J68=1,$J68=2,$J68=3,$J68=4,$J68=5,$J68=6,$J68=7,$J68=8,$J68=9,$J68=10),-$E68*$I68/12*3,IF($J68=11,-$E68*$I68/12*2,IF($J68=12,-$E68*$I68/12*1,0)))))+IF(BO$5&lt;&gt;$H68,0,IF(BO68&lt;0,IF($J68=10,-$E68*$I68/12*0,IF($J68=11,-$E68*$I68/12*1,IF($J68=12,-$E68*$I68/12*2,0)))))</f>
        <v>0</v>
      </c>
      <c r="BT68" s="440">
        <f>IF(AND(BO68&lt;&gt;0,BO$5=$H68),-$I68*$E68-BO68,IF(BT$5=$H68,-$I68*$E68*(12-$J68+1)/12,0))</f>
        <v>0</v>
      </c>
      <c r="BU68" s="441">
        <f>IF($H68&lt;&gt;BY$5,0,IF(BY68&lt;0,IF($J68=1,-$E68*$I68/12*3,IF($J68=2,-$E68*$I68/12*2,IF($J68=3,-$E68*$I68/12*1,0)))))+IF(BT$5&lt;&gt;$H68,0,IF(BT68&lt;0,IF($J68=1,-$E68*$I68/12*0,IF($J68=2,-$E68*$I68/12*1,IF($J68=3,-$E68*$I68/12*2,IF($J68&gt;=4,-$E68*$I68/12*3,0))))))</f>
        <v>0</v>
      </c>
      <c r="BV68" s="442">
        <f>IF($H68&lt;&gt;BY$5,0,IF(BY68&lt;0,IF(OR($J68=1,$J68=2,$J68=3,$J68=4),-$E68*$I68/12*3,IF($J68=5,-$E68*$I68/12*2,IF($J68=6,-$E68*$I68/12*1,0)))))+IF(BT$5&lt;&gt;$H68,0,IF(BT68&lt;0,IF($J68=4,-$E68*$I68/12*0,IF($J68=5,-$E68*$I68/12*1,IF($J68=6,-$E68*$I68/12*2,IF($J68&gt;=7,-$E68*$I68/12*3,0))))))</f>
        <v>0</v>
      </c>
      <c r="BW68" s="442">
        <f>IF($H68&lt;&gt;BY$5,0,IF(BY68&lt;0,IF(OR($J68=1,$J68=2,$J68=3,$J68=4,$J68=5,$J68=6,$J68=7),-$E68*$I68/12*3,IF($J68=8,-$E68*$I68/12*2,IF($J68=9,-$E68*$I68/12*1,0)))))+IF(BT$5&lt;&gt;$H68,0,IF(BT68&lt;0,IF($J68=7,-$E68*$I68/12*0,IF($J68=8,-$E68*$I68/12*1,IF($J68=9,-$E68*$I68/12*2,IF($J68&gt;=10,-$E68*$I68/12*3,0))))))</f>
        <v>0</v>
      </c>
      <c r="BX68" s="443">
        <f>IF($H68&lt;&gt;BY$5,0,IF(BY68&lt;0,IF(OR($J68=1,$J68=2,$J68=3,$J68=4,$J68=5,$J68=6,$J68=7,$J68=8,$J68=9,$J68=10),-$E68*$I68/12*3,IF($J68=11,-$E68*$I68/12*2,IF($J68=12,-$E68*$I68/12*1,0)))))+IF(BT$5&lt;&gt;$H68,0,IF(BT68&lt;0,IF($J68=10,-$E68*$I68/12*0,IF($J68=11,-$E68*$I68/12*1,IF($J68=12,-$E68*$I68/12*2,0)))))</f>
        <v>0</v>
      </c>
      <c r="BY68" s="440">
        <f>IF(AND(BT68&lt;&gt;0,BT$5=$H68),-$I68*$E68-BT68,IF(BY$5=$H68,-$I68*$E68*(12-$J68+1)/12,0))</f>
        <v>0</v>
      </c>
      <c r="BZ68" s="441">
        <f>IF($H68&lt;&gt;CD$5,0,IF(CD68&lt;0,IF($J68=1,-$E68*$I68/12*3,IF($J68=2,-$E68*$I68/12*2,IF($J68=3,-$E68*$I68/12*1,0)))))+IF(BY$5&lt;&gt;$H68,0,IF(BY68&lt;0,IF($J68=1,-$E68*$I68/12*0,IF($J68=2,-$E68*$I68/12*1,IF($J68=3,-$E68*$I68/12*2,IF($J68&gt;=4,-$E68*$I68/12*3,0))))))</f>
        <v>0</v>
      </c>
      <c r="CA68" s="442">
        <f>IF($H68&lt;&gt;CD$5,0,IF(CD68&lt;0,IF(OR($J68=1,$J68=2,$J68=3,$J68=4),-$E68*$I68/12*3,IF($J68=5,-$E68*$I68/12*2,IF($J68=6,-$E68*$I68/12*1,0)))))+IF(BY$5&lt;&gt;$H68,0,IF(BY68&lt;0,IF($J68=4,-$E68*$I68/12*0,IF($J68=5,-$E68*$I68/12*1,IF($J68=6,-$E68*$I68/12*2,IF($J68&gt;=7,-$E68*$I68/12*3,0))))))</f>
        <v>0</v>
      </c>
      <c r="CB68" s="442">
        <f>IF($H68&lt;&gt;CD$5,0,IF(CD68&lt;0,IF(OR($J68=1,$J68=2,$J68=3,$J68=4,$J68=5,$J68=6,$J68=7),-$E68*$I68/12*3,IF($J68=8,-$E68*$I68/12*2,IF($J68=9,-$E68*$I68/12*1,0)))))+IF(BY$5&lt;&gt;$H68,0,IF(BY68&lt;0,IF($J68=7,-$E68*$I68/12*0,IF($J68=8,-$E68*$I68/12*1,IF($J68=9,-$E68*$I68/12*2,IF($J68&gt;=10,-$E68*$I68/12*3,0))))))</f>
        <v>0</v>
      </c>
      <c r="CC68" s="443">
        <f>IF($H68&lt;&gt;CD$5,0,IF(CD68&lt;0,IF(OR($J68=1,$J68=2,$J68=3,$J68=4,$J68=5,$J68=6,$J68=7,$J68=8,$J68=9,$J68=10),-$E68*$I68/12*3,IF($J68=11,-$E68*$I68/12*2,IF($J68=12,-$E68*$I68/12*1,0)))))+IF(BY$5&lt;&gt;$H68,0,IF(BY68&lt;0,IF($J68=10,-$E68*$I68/12*0,IF($J68=11,-$E68*$I68/12*1,IF($J68=12,-$E68*$I68/12*2,0)))))</f>
        <v>0</v>
      </c>
      <c r="CD68" s="440">
        <f>IF(AND(BY68&lt;&gt;0,BY$5=$H68),-$I68*$E68-BY68,IF(CD$5=$H68,-$I68*$E68*(12-$J68+1)/12,0))</f>
        <v>0</v>
      </c>
      <c r="CE68" s="441">
        <f>IF($H68&lt;&gt;CI$5,0,IF(CI68&lt;0,IF($J68=1,-$E68*$I68/12*3,IF($J68=2,-$E68*$I68/12*2,IF($J68=3,-$E68*$I68/12*1,0)))))+IF(CD$5&lt;&gt;$H68,0,IF(CD68&lt;0,IF($J68=1,-$E68*$I68/12*0,IF($J68=2,-$E68*$I68/12*1,IF($J68=3,-$E68*$I68/12*2,IF($J68&gt;=4,-$E68*$I68/12*3,0))))))</f>
        <v>0</v>
      </c>
      <c r="CF68" s="442">
        <f>IF($H68&lt;&gt;CI$5,0,IF(CI68&lt;0,IF(OR($J68=1,$J68=2,$J68=3,$J68=4),-$E68*$I68/12*3,IF($J68=5,-$E68*$I68/12*2,IF($J68=6,-$E68*$I68/12*1,0)))))+IF(CD$5&lt;&gt;$H68,0,IF(CD68&lt;0,IF($J68=4,-$E68*$I68/12*0,IF($J68=5,-$E68*$I68/12*1,IF($J68=6,-$E68*$I68/12*2,IF($J68&gt;=7,-$E68*$I68/12*3,0))))))</f>
        <v>0</v>
      </c>
      <c r="CG68" s="442">
        <f>IF($H68&lt;&gt;CI$5,0,IF(CI68&lt;0,IF(OR($J68=1,$J68=2,$J68=3,$J68=4,$J68=5,$J68=6,$J68=7),-$E68*$I68/12*3,IF($J68=8,-$E68*$I68/12*2,IF($J68=9,-$E68*$I68/12*1,0)))))+IF(CD$5&lt;&gt;$H68,0,IF(CD68&lt;0,IF($J68=7,-$E68*$I68/12*0,IF($J68=8,-$E68*$I68/12*1,IF($J68=9,-$E68*$I68/12*2,IF($J68&gt;=10,-$E68*$I68/12*3,0))))))</f>
        <v>0</v>
      </c>
      <c r="CH68" s="443">
        <f>IF($H68&lt;&gt;CI$5,0,IF(CI68&lt;0,IF(OR($J68=1,$J68=2,$J68=3,$J68=4,$J68=5,$J68=6,$J68=7,$J68=8,$J68=9,$J68=10),-$E68*$I68/12*3,IF($J68=11,-$E68*$I68/12*2,IF($J68=12,-$E68*$I68/12*1,0)))))+IF(CD$5&lt;&gt;$H68,0,IF(CD68&lt;0,IF($J68=10,-$E68*$I68/12*0,IF($J68=11,-$E68*$I68/12*1,IF($J68=12,-$E68*$I68/12*2,0)))))</f>
        <v>0</v>
      </c>
      <c r="CI68" s="440">
        <f>IF(AND(CD68&lt;&gt;0,CD$5=$H68),-$I68*$E68-CD68,IF(CI$5=$H68,-$I68*$E68*(12-$J68+1)/12,0))</f>
        <v>0</v>
      </c>
      <c r="CJ68" s="441">
        <f>IF($H68&lt;&gt;CN$5,0,IF(CN68&lt;0,IF($J68=1,-$E68*$I68/12*3,IF($J68=2,-$E68*$I68/12*2,IF($J68=3,-$E68*$I68/12*1,0)))))+IF(CI$5&lt;&gt;$H68,0,IF(CI68&lt;0,IF($J68=1,-$E68*$I68/12*0,IF($J68=2,-$E68*$I68/12*1,IF($J68=3,-$E68*$I68/12*2,IF($J68&gt;=4,-$E68*$I68/12*3,0))))))</f>
        <v>0</v>
      </c>
      <c r="CK68" s="442">
        <f>IF($H68&lt;&gt;CN$5,0,IF(CN68&lt;0,IF(OR($J68=1,$J68=2,$J68=3,$J68=4),-$E68*$I68/12*3,IF($J68=5,-$E68*$I68/12*2,IF($J68=6,-$E68*$I68/12*1,0)))))+IF(CI$5&lt;&gt;$H68,0,IF(CI68&lt;0,IF($J68=4,-$E68*$I68/12*0,IF($J68=5,-$E68*$I68/12*1,IF($J68=6,-$E68*$I68/12*2,IF($J68&gt;=7,-$E68*$I68/12*3,0))))))</f>
        <v>0</v>
      </c>
      <c r="CL68" s="442">
        <f>IF($H68&lt;&gt;CN$5,0,IF(CN68&lt;0,IF(OR($J68=1,$J68=2,$J68=3,$J68=4,$J68=5,$J68=6,$J68=7),-$E68*$I68/12*3,IF($J68=8,-$E68*$I68/12*2,IF($J68=9,-$E68*$I68/12*1,0)))))+IF(CI$5&lt;&gt;$H68,0,IF(CI68&lt;0,IF($J68=7,-$E68*$I68/12*0,IF($J68=8,-$E68*$I68/12*1,IF($J68=9,-$E68*$I68/12*2,IF($J68&gt;=10,-$E68*$I68/12*3,0))))))</f>
        <v>0</v>
      </c>
      <c r="CM68" s="443">
        <f>IF($H68&lt;&gt;CN$5,0,IF(CN68&lt;0,IF(OR($J68=1,$J68=2,$J68=3,$J68=4,$J68=5,$J68=6,$J68=7,$J68=8,$J68=9,$J68=10),-$E68*$I68/12*3,IF($J68=11,-$E68*$I68/12*2,IF($J68=12,-$E68*$I68/12*1,0)))))+IF(CI$5&lt;&gt;$H68,0,IF(CI68&lt;0,IF($J68=10,-$E68*$I68/12*0,IF($J68=11,-$E68*$I68/12*1,IF($J68=12,-$E68*$I68/12*2,0)))))</f>
        <v>0</v>
      </c>
      <c r="CN68" s="440">
        <f>IF(AND(CI68&lt;&gt;0,CI$5=$H68),-$I68*$E68-CI68,IF(CN$5=$H68,-$I68*$E68*(12-$J68+1)/12,0))</f>
        <v>0</v>
      </c>
      <c r="CO68" s="441">
        <f>IF($H68&lt;&gt;CS$5,0,IF(CS68&lt;0,IF($J68=1,-$E68*$I68/12*3,IF($J68=2,-$E68*$I68/12*2,IF($J68=3,-$E68*$I68/12*1,0)))))+IF(CN$5&lt;&gt;$H68,0,IF(CN68&lt;0,IF($J68=1,-$E68*$I68/12*0,IF($J68=2,-$E68*$I68/12*1,IF($J68=3,-$E68*$I68/12*2,IF($J68&gt;=4,-$E68*$I68/12*3,0))))))</f>
        <v>0</v>
      </c>
      <c r="CP68" s="442">
        <f>IF($H68&lt;&gt;CS$5,0,IF(CS68&lt;0,IF(OR($J68=1,$J68=2,$J68=3,$J68=4),-$E68*$I68/12*3,IF($J68=5,-$E68*$I68/12*2,IF($J68=6,-$E68*$I68/12*1,0)))))+IF(CN$5&lt;&gt;$H68,0,IF(CN68&lt;0,IF($J68=4,-$E68*$I68/12*0,IF($J68=5,-$E68*$I68/12*1,IF($J68=6,-$E68*$I68/12*2,IF($J68&gt;=7,-$E68*$I68/12*3,0))))))</f>
        <v>0</v>
      </c>
      <c r="CQ68" s="442">
        <f>IF($H68&lt;&gt;CS$5,0,IF(CS68&lt;0,IF(OR($J68=1,$J68=2,$J68=3,$J68=4,$J68=5,$J68=6,$J68=7),-$E68*$I68/12*3,IF($J68=8,-$E68*$I68/12*2,IF($J68=9,-$E68*$I68/12*1,0)))))+IF(CN$5&lt;&gt;$H68,0,IF(CN68&lt;0,IF($J68=7,-$E68*$I68/12*0,IF($J68=8,-$E68*$I68/12*1,IF($J68=9,-$E68*$I68/12*2,IF($J68&gt;=10,-$E68*$I68/12*3,0))))))</f>
        <v>0</v>
      </c>
      <c r="CR68" s="443">
        <f>IF($H68&lt;&gt;CS$5,0,IF(CS68&lt;0,IF(OR($J68=1,$J68=2,$J68=3,$J68=4,$J68=5,$J68=6,$J68=7,$J68=8,$J68=9,$J68=10),-$E68*$I68/12*3,IF($J68=11,-$E68*$I68/12*2,IF($J68=12,-$E68*$I68/12*1,0)))))+IF(CN$5&lt;&gt;$H68,0,IF(CN68&lt;0,IF($J68=10,-$E68*$I68/12*0,IF($J68=11,-$E68*$I68/12*1,IF($J68=12,-$E68*$I68/12*2,0)))))</f>
        <v>0</v>
      </c>
      <c r="CS68" s="440">
        <f>IF(AND(CN68&lt;&gt;0,CN$5=$H68),-$I68*$E68-CN68,IF(CS$5=$H68,-$I68*$E68*(12-$J68+1)/12,0))</f>
        <v>0</v>
      </c>
      <c r="CT68" s="441">
        <f>IF($H68&lt;&gt;CX$5,0,IF(CX68&lt;0,IF($J68=1,-$E68*$I68/12*3,IF($J68=2,-$E68*$I68/12*2,IF($J68=3,-$E68*$I68/12*1,0)))))+IF(CS$5&lt;&gt;$H68,0,IF(CS68&lt;0,IF($J68=1,-$E68*$I68/12*0,IF($J68=2,-$E68*$I68/12*1,IF($J68=3,-$E68*$I68/12*2,IF($J68&gt;=4,-$E68*$I68/12*3,0))))))</f>
        <v>0</v>
      </c>
      <c r="CU68" s="442">
        <f>IF($H68&lt;&gt;CX$5,0,IF(CX68&lt;0,IF(OR($J68=1,$J68=2,$J68=3,$J68=4),-$E68*$I68/12*3,IF($J68=5,-$E68*$I68/12*2,IF($J68=6,-$E68*$I68/12*1,0)))))+IF(CS$5&lt;&gt;$H68,0,IF(CS68&lt;0,IF($J68=4,-$E68*$I68/12*0,IF($J68=5,-$E68*$I68/12*1,IF($J68=6,-$E68*$I68/12*2,IF($J68&gt;=7,-$E68*$I68/12*3,0))))))</f>
        <v>0</v>
      </c>
      <c r="CV68" s="442">
        <f>IF($H68&lt;&gt;CX$5,0,IF(CX68&lt;0,IF(OR($J68=1,$J68=2,$J68=3,$J68=4,$J68=5,$J68=6,$J68=7),-$E68*$I68/12*3,IF($J68=8,-$E68*$I68/12*2,IF($J68=9,-$E68*$I68/12*1,0)))))+IF(CS$5&lt;&gt;$H68,0,IF(CS68&lt;0,IF($J68=7,-$E68*$I68/12*0,IF($J68=8,-$E68*$I68/12*1,IF($J68=9,-$E68*$I68/12*2,IF($J68&gt;=10,-$E68*$I68/12*3,0))))))</f>
        <v>0</v>
      </c>
      <c r="CW68" s="443">
        <f>IF($H68&lt;&gt;CX$5,0,IF(CX68&lt;0,IF(OR($J68=1,$J68=2,$J68=3,$J68=4,$J68=5,$J68=6,$J68=7,$J68=8,$J68=9,$J68=10),-$E68*$I68/12*3,IF($J68=11,-$E68*$I68/12*2,IF($J68=12,-$E68*$I68/12*1,0)))))+IF(CS$5&lt;&gt;$H68,0,IF(CS68&lt;0,IF($J68=10,-$E68*$I68/12*0,IF($J68=11,-$E68*$I68/12*1,IF($J68=12,-$E68*$I68/12*2,0)))))</f>
        <v>0</v>
      </c>
      <c r="CX68" s="440">
        <f>IF(AND(CS68&lt;&gt;0,CS$5=$H68),-$I68*$E68-CS68,IF(CX$5=$H68,-$I68*$E68*(12-$J68+1)/12,0))</f>
        <v>0</v>
      </c>
      <c r="CY68" s="441">
        <f>IF($H68&lt;&gt;DC$5,0,IF(DC68&lt;0,IF($J68=1,-$E68*$I68/12*3,IF($J68=2,-$E68*$I68/12*2,IF($J68=3,-$E68*$I68/12*1,0)))))+IF(CX$5&lt;&gt;$H68,0,IF(CX68&lt;0,IF($J68=1,-$E68*$I68/12*0,IF($J68=2,-$E68*$I68/12*1,IF($J68=3,-$E68*$I68/12*2,IF($J68&gt;=4,-$E68*$I68/12*3,0))))))</f>
        <v>0</v>
      </c>
      <c r="CZ68" s="442">
        <f>IF($H68&lt;&gt;DC$5,0,IF(DC68&lt;0,IF(OR($J68=1,$J68=2,$J68=3,$J68=4),-$E68*$I68/12*3,IF($J68=5,-$E68*$I68/12*2,IF($J68=6,-$E68*$I68/12*1,0)))))+IF(CX$5&lt;&gt;$H68,0,IF(CX68&lt;0,IF($J68=4,-$E68*$I68/12*0,IF($J68=5,-$E68*$I68/12*1,IF($J68=6,-$E68*$I68/12*2,IF($J68&gt;=7,-$E68*$I68/12*3,0))))))</f>
        <v>0</v>
      </c>
      <c r="DA68" s="442">
        <f>IF($H68&lt;&gt;DC$5,0,IF(DC68&lt;0,IF(OR($J68=1,$J68=2,$J68=3,$J68=4,$J68=5,$J68=6,$J68=7),-$E68*$I68/12*3,IF($J68=8,-$E68*$I68/12*2,IF($J68=9,-$E68*$I68/12*1,0)))))+IF(CX$5&lt;&gt;$H68,0,IF(CX68&lt;0,IF($J68=7,-$E68*$I68/12*0,IF($J68=8,-$E68*$I68/12*1,IF($J68=9,-$E68*$I68/12*2,IF($J68&gt;=10,-$E68*$I68/12*3,0))))))</f>
        <v>0</v>
      </c>
      <c r="DB68" s="443">
        <f>IF($H68&lt;&gt;DC$5,0,IF(DC68&lt;0,IF(OR($J68=1,$J68=2,$J68=3,$J68=4,$J68=5,$J68=6,$J68=7,$J68=8,$J68=9,$J68=10),-$E68*$I68/12*3,IF($J68=11,-$E68*$I68/12*2,IF($J68=12,-$E68*$I68/12*1,0)))))+IF(CX$5&lt;&gt;$H68,0,IF(CX68&lt;0,IF($J68=10,-$E68*$I68/12*0,IF($J68=11,-$E68*$I68/12*1,IF($J68=12,-$E68*$I68/12*2,0)))))</f>
        <v>0</v>
      </c>
      <c r="DC68" s="440">
        <f>IF(AND(CX68&lt;&gt;0,CX$5=$H68),-$I68*$E68-CX68,IF(DC$5=$H68,-$I68*$E68*(12-$J68+1)/12,0))</f>
        <v>0</v>
      </c>
      <c r="DD68" s="441">
        <f>IF($H68&lt;&gt;DH$5,0,IF(DH68&lt;0,IF($J68=1,-$E68*$I68/12*3,IF($J68=2,-$E68*$I68/12*2,IF($J68=3,-$E68*$I68/12*1,0)))))+IF(DC$5&lt;&gt;$H68,0,IF(DC68&lt;0,IF($J68=1,-$E68*$I68/12*0,IF($J68=2,-$E68*$I68/12*1,IF($J68=3,-$E68*$I68/12*2,IF($J68&gt;=4,-$E68*$I68/12*3,0))))))</f>
        <v>0</v>
      </c>
      <c r="DE68" s="442">
        <f>IF($H68&lt;&gt;DH$5,0,IF(DH68&lt;0,IF(OR($J68=1,$J68=2,$J68=3,$J68=4),-$E68*$I68/12*3,IF($J68=5,-$E68*$I68/12*2,IF($J68=6,-$E68*$I68/12*1,0)))))+IF(DC$5&lt;&gt;$H68,0,IF(DC68&lt;0,IF($J68=4,-$E68*$I68/12*0,IF($J68=5,-$E68*$I68/12*1,IF($J68=6,-$E68*$I68/12*2,IF($J68&gt;=7,-$E68*$I68/12*3,0))))))</f>
        <v>0</v>
      </c>
      <c r="DF68" s="442">
        <f>IF($H68&lt;&gt;DH$5,0,IF(DH68&lt;0,IF(OR($J68=1,$J68=2,$J68=3,$J68=4,$J68=5,$J68=6,$J68=7),-$E68*$I68/12*3,IF($J68=8,-$E68*$I68/12*2,IF($J68=9,-$E68*$I68/12*1,0)))))+IF(DC$5&lt;&gt;$H68,0,IF(DC68&lt;0,IF($J68=7,-$E68*$I68/12*0,IF($J68=8,-$E68*$I68/12*1,IF($J68=9,-$E68*$I68/12*2,IF($J68&gt;=10,-$E68*$I68/12*3,0))))))</f>
        <v>0</v>
      </c>
      <c r="DG68" s="443">
        <f>IF($H68&lt;&gt;DH$5,0,IF(DH68&lt;0,IF(OR($J68=1,$J68=2,$J68=3,$J68=4,$J68=5,$J68=6,$J68=7,$J68=8,$J68=9,$J68=10),-$E68*$I68/12*3,IF($J68=11,-$E68*$I68/12*2,IF($J68=12,-$E68*$I68/12*1,0)))))+IF(DC$5&lt;&gt;$H68,0,IF(DC68&lt;0,IF($J68=10,-$E68*$I68/12*0,IF($J68=11,-$E68*$I68/12*1,IF($J68=12,-$E68*$I68/12*2,0)))))</f>
        <v>0</v>
      </c>
      <c r="DH68" s="440">
        <f>IF(AND(DC68&lt;&gt;0,DC$5=$H68),-$I68*$E68-DC68,IF(DH$5=$H68,-$I68*$E68*(12-$J68+1)/12,0))</f>
        <v>0</v>
      </c>
      <c r="DI68" s="441">
        <f>IF($H68&lt;&gt;DM$5,0,IF(DM68&lt;0,IF($J68=1,-$E68*$I68/12*3,IF($J68=2,-$E68*$I68/12*2,IF($J68=3,-$E68*$I68/12*1,0)))))+IF(DH$5&lt;&gt;$H68,0,IF(DH68&lt;0,IF($J68=1,-$E68*$I68/12*0,IF($J68=2,-$E68*$I68/12*1,IF($J68=3,-$E68*$I68/12*2,IF($J68&gt;=4,-$E68*$I68/12*3,0))))))</f>
        <v>0</v>
      </c>
      <c r="DJ68" s="442">
        <f>IF($H68&lt;&gt;DM$5,0,IF(DM68&lt;0,IF(OR($J68=1,$J68=2,$J68=3,$J68=4),-$E68*$I68/12*3,IF($J68=5,-$E68*$I68/12*2,IF($J68=6,-$E68*$I68/12*1,0)))))+IF(DH$5&lt;&gt;$H68,0,IF(DH68&lt;0,IF($J68=4,-$E68*$I68/12*0,IF($J68=5,-$E68*$I68/12*1,IF($J68=6,-$E68*$I68/12*2,IF($J68&gt;=7,-$E68*$I68/12*3,0))))))</f>
        <v>0</v>
      </c>
      <c r="DK68" s="442">
        <f>IF($H68&lt;&gt;DM$5,0,IF(DM68&lt;0,IF(OR($J68=1,$J68=2,$J68=3,$J68=4,$J68=5,$J68=6,$J68=7),-$E68*$I68/12*3,IF($J68=8,-$E68*$I68/12*2,IF($J68=9,-$E68*$I68/12*1,0)))))+IF(DH$5&lt;&gt;$H68,0,IF(DH68&lt;0,IF($J68=7,-$E68*$I68/12*0,IF($J68=8,-$E68*$I68/12*1,IF($J68=9,-$E68*$I68/12*2,IF($J68&gt;=10,-$E68*$I68/12*3,0))))))</f>
        <v>0</v>
      </c>
      <c r="DL68" s="443">
        <f>IF($H68&lt;&gt;DM$5,0,IF(DM68&lt;0,IF(OR($J68=1,$J68=2,$J68=3,$J68=4,$J68=5,$J68=6,$J68=7,$J68=8,$J68=9,$J68=10),-$E68*$I68/12*3,IF($J68=11,-$E68*$I68/12*2,IF($J68=12,-$E68*$I68/12*1,0)))))+IF(DH$5&lt;&gt;$H68,0,IF(DH68&lt;0,IF($J68=10,-$E68*$I68/12*0,IF($J68=11,-$E68*$I68/12*1,IF($J68=12,-$E68*$I68/12*2,0)))))</f>
        <v>0</v>
      </c>
      <c r="DM68" s="440">
        <f>IF(AND(DH68&lt;&gt;0,DH$5=$H68),-$I68*$E68-DH68,IF(DM$5=$H68,-$I68*$E68*(12-$J68+1)/12,0))</f>
        <v>0</v>
      </c>
      <c r="DN68" s="441">
        <f>IF($H68&lt;&gt;DR$5,0,IF(DR68&lt;0,IF($J68=1,-$E68*$I68/12*3,IF($J68=2,-$E68*$I68/12*2,IF($J68=3,-$E68*$I68/12*1,0)))))+IF(DM$5&lt;&gt;$H68,0,IF(DM68&lt;0,IF($J68=1,-$E68*$I68/12*0,IF($J68=2,-$E68*$I68/12*1,IF($J68=3,-$E68*$I68/12*2,IF($J68&gt;=4,-$E68*$I68/12*3,0))))))</f>
        <v>0</v>
      </c>
      <c r="DO68" s="442">
        <f>IF($H68&lt;&gt;DR$5,0,IF(DR68&lt;0,IF(OR($J68=1,$J68=2,$J68=3,$J68=4),-$E68*$I68/12*3,IF($J68=5,-$E68*$I68/12*2,IF($J68=6,-$E68*$I68/12*1,0)))))+IF(DM$5&lt;&gt;$H68,0,IF(DM68&lt;0,IF($J68=4,-$E68*$I68/12*0,IF($J68=5,-$E68*$I68/12*1,IF($J68=6,-$E68*$I68/12*2,IF($J68&gt;=7,-$E68*$I68/12*3,0))))))</f>
        <v>0</v>
      </c>
      <c r="DP68" s="442">
        <f>IF($H68&lt;&gt;DR$5,0,IF(DR68&lt;0,IF(OR($J68=1,$J68=2,$J68=3,$J68=4,$J68=5,$J68=6,$J68=7),-$E68*$I68/12*3,IF($J68=8,-$E68*$I68/12*2,IF($J68=9,-$E68*$I68/12*1,0)))))+IF(DM$5&lt;&gt;$H68,0,IF(DM68&lt;0,IF($J68=7,-$E68*$I68/12*0,IF($J68=8,-$E68*$I68/12*1,IF($J68=9,-$E68*$I68/12*2,IF($J68&gt;=10,-$E68*$I68/12*3,0))))))</f>
        <v>0</v>
      </c>
      <c r="DQ68" s="443">
        <f>IF($H68&lt;&gt;DR$5,0,IF(DR68&lt;0,IF(OR($J68=1,$J68=2,$J68=3,$J68=4,$J68=5,$J68=6,$J68=7,$J68=8,$J68=9,$J68=10),-$E68*$I68/12*3,IF($J68=11,-$E68*$I68/12*2,IF($J68=12,-$E68*$I68/12*1,0)))))+IF(DM$5&lt;&gt;$H68,0,IF(DM68&lt;0,IF($J68=10,-$E68*$I68/12*0,IF($J68=11,-$E68*$I68/12*1,IF($J68=12,-$E68*$I68/12*2,0)))))</f>
        <v>0</v>
      </c>
      <c r="DR68" s="440">
        <f>IF(AND(DM68&lt;&gt;0,DM$5=$H68),-$I68*$E68-DM68,IF(DR$5=$H68,-$I68*$E68*(12-$J68+1)/12,0))</f>
        <v>0</v>
      </c>
    </row>
    <row r="69" spans="1:122" ht="12.75" customHeight="1">
      <c r="C69" t="s">
        <v>1012</v>
      </c>
      <c r="D69" s="395"/>
      <c r="E69" s="865">
        <f>IF(F69=0,G69,F69)</f>
        <v>43</v>
      </c>
      <c r="F69" s="1945">
        <v>43</v>
      </c>
      <c r="G69" s="1945">
        <v>43</v>
      </c>
      <c r="H69" s="1308">
        <v>2018</v>
      </c>
      <c r="I69" s="1948">
        <v>3.125E-2</v>
      </c>
      <c r="J69" s="1357">
        <v>7</v>
      </c>
      <c r="K69" s="549"/>
      <c r="L69" s="441">
        <f>IF(P69=0,0,IF(P69&lt;0,IF($J69=3,P69,IF($J69=2,P69,IF($J69=1,P69,0)))))</f>
        <v>0</v>
      </c>
      <c r="M69" s="442">
        <f>IF(P69=0,0,IF(P69&lt;0,IF($J69=6,P69,IF($J69=5,P69,IF($J69=4,P69,0)))))</f>
        <v>0</v>
      </c>
      <c r="N69" s="442">
        <f>IF(P69=0,0,IF(P69&lt;0,IF($J69=9,P69,IF($J69=8,P69,IF($J69=7,P69,0)))))</f>
        <v>0</v>
      </c>
      <c r="O69" s="443">
        <f>IF(P69=0,0,IF(P69&lt;0,IF($J69=12,P69,IF($J69=11,P69,IF($J69=10,P69,0)))))</f>
        <v>0</v>
      </c>
      <c r="P69" s="440">
        <f>IF(P$5=$H69,-$E69,0)</f>
        <v>0</v>
      </c>
      <c r="Q69" s="441">
        <f>IF(U69=0,0,IF(U69&lt;0,IF($J69=3,U69,IF($J69=2,U69,IF($J69=1,U69,0)))))</f>
        <v>0</v>
      </c>
      <c r="R69" s="442">
        <f>IF(U69=0,0,IF(U69&lt;0,IF($J69=6,U69,IF($J69=5,U69,IF($J69=4,U69,0)))))</f>
        <v>0</v>
      </c>
      <c r="S69" s="442">
        <f>IF(U69=0,0,IF(U69&lt;0,IF($J69=9,U69,IF($J69=8,U69,IF($J69=7,U69,0)))))</f>
        <v>0</v>
      </c>
      <c r="T69" s="443">
        <f>IF(U69=0,0,IF(U69&lt;0,IF($J69=12,U69,IF($J69=11,U69,IF($J69=10,U69,0)))))</f>
        <v>0</v>
      </c>
      <c r="U69" s="440">
        <f>IF(U$5=$H69,-$E69,0)</f>
        <v>0</v>
      </c>
      <c r="V69" s="441">
        <f>IF(Z69=0,0,IF(Z69&lt;0,IF($J69=3,Z69,IF($J69=2,Z69,IF($J69=1,Z69,0)))))</f>
        <v>0</v>
      </c>
      <c r="W69" s="442">
        <f>IF(Z69=0,0,IF(Z69&lt;0,IF($J69=6,Z69,IF($J69=5,Z69,IF($J69=4,Z69,0)))))</f>
        <v>0</v>
      </c>
      <c r="X69" s="442">
        <f>IF(Z69=0,0,IF(Z69&lt;0,IF($J69=9,Z69,IF($J69=8,Z69,IF($J69=7,Z69,0)))))</f>
        <v>0</v>
      </c>
      <c r="Y69" s="443">
        <f>IF(Z69=0,0,IF(Z69&lt;0,IF($J69=12,Z69,IF($J69=11,Z69,IF($J69=10,Z69,0)))))</f>
        <v>0</v>
      </c>
      <c r="Z69" s="440">
        <f>IF(Z$5=$H69,-$E69,0)</f>
        <v>0</v>
      </c>
      <c r="AA69" s="441">
        <f>IF(AE69=0,0,IF(AE69&lt;0,IF($J69=3,AE69,IF($J69=2,AE69,IF($J69=1,AE69,0)))))</f>
        <v>0</v>
      </c>
      <c r="AB69" s="442">
        <f>IF(AE69=0,0,IF(AE69&lt;0,IF($J69=6,AE69,IF($J69=5,AE69,IF($J69=4,AE69,0)))))</f>
        <v>0</v>
      </c>
      <c r="AC69" s="442">
        <f>IF(AE69=0,0,IF(AE69&lt;0,IF($J69=9,AE69,IF($J69=8,AE69,IF($J69=7,AE69,0)))))</f>
        <v>0</v>
      </c>
      <c r="AD69" s="443">
        <f>IF(AE69=0,0,IF(AE69&lt;0,IF($J69=12,AE69,IF($J69=11,AE69,IF($J69=10,AE69,0)))))</f>
        <v>0</v>
      </c>
      <c r="AE69" s="440">
        <f>IF(AE$5=$H69,-$E69,0)</f>
        <v>0</v>
      </c>
      <c r="AF69" s="441">
        <f>IF(AJ69=0,0,IF(AJ69&lt;0,IF($J69=3,AJ69,IF($J69=2,AJ69,IF($J69=1,AJ69,0)))))</f>
        <v>0</v>
      </c>
      <c r="AG69" s="442">
        <f>IF(AJ69=0,0,IF(AJ69&lt;0,IF($J69=6,AJ69,IF($J69=5,AJ69,IF($J69=4,AJ69,0)))))</f>
        <v>0</v>
      </c>
      <c r="AH69" s="442">
        <f>IF(AJ69=0,0,IF(AJ69&lt;0,IF($J69=9,AJ69,IF($J69=8,AJ69,IF($J69=7,AJ69,0)))))</f>
        <v>0</v>
      </c>
      <c r="AI69" s="443">
        <f>IF(AJ69=0,0,IF(AJ69&lt;0,IF($J69=12,AJ69,IF($J69=11,AJ69,IF($J69=10,AJ69,0)))))</f>
        <v>0</v>
      </c>
      <c r="AJ69" s="440">
        <f>IF(AJ$5=$H69,-$E69,0)</f>
        <v>0</v>
      </c>
      <c r="AK69" s="441">
        <f>IF(AO69=0,0,IF(AO69&lt;0,IF($J69=3,AO69,IF($J69=2,AO69,IF($J69=1,AO69,0)))))</f>
        <v>0</v>
      </c>
      <c r="AL69" s="442">
        <f>IF(AO69=0,0,IF(AO69&lt;0,IF($J69=6,AO69,IF($J69=5,AO69,IF($J69=4,AO69,0)))))</f>
        <v>0</v>
      </c>
      <c r="AM69" s="442">
        <f>IF(AO69=0,0,IF(AO69&lt;0,IF($J69=9,AO69,IF($J69=8,AO69,IF($J69=7,AO69,0)))))</f>
        <v>0</v>
      </c>
      <c r="AN69" s="443">
        <f>IF(AO69=0,0,IF(AO69&lt;0,IF($J69=12,AO69,IF($J69=11,AO69,IF($J69=10,AO69,0)))))</f>
        <v>0</v>
      </c>
      <c r="AO69" s="440">
        <f>IF(AO$5=$H69,-$E69,0)</f>
        <v>0</v>
      </c>
      <c r="AP69" s="441">
        <f>IF(AT69=0,0,IF(AT69&lt;0,IF($J69=3,AT69,IF($J69=2,AT69,IF($J69=1,AT69,0)))))</f>
        <v>0</v>
      </c>
      <c r="AQ69" s="442">
        <f>IF(AT69=0,0,IF(AT69&lt;0,IF($J69=6,AT69,IF($J69=5,AT69,IF($J69=4,AT69,0)))))</f>
        <v>0</v>
      </c>
      <c r="AR69" s="442">
        <f>IF(AT69=0,0,IF(AT69&lt;0,IF($J69=9,AT69,IF($J69=8,AT69,IF($J69=7,AT69,0)))))</f>
        <v>0</v>
      </c>
      <c r="AS69" s="443">
        <f>IF(AT69=0,0,IF(AT69&lt;0,IF($J69=12,AT69,IF($J69=11,AT69,IF($J69=10,AT69,0)))))</f>
        <v>0</v>
      </c>
      <c r="AT69" s="440">
        <f>IF(AT$5=$H69,-$E69,0)</f>
        <v>0</v>
      </c>
      <c r="AU69" s="441">
        <f>IF(AY69=0,0,IF(AY69&lt;0,IF($J69=3,AY69,IF($J69=2,AY69,IF($J69=1,AY69,0)))))</f>
        <v>0</v>
      </c>
      <c r="AV69" s="442">
        <f>IF(AY69=0,0,IF(AY69&lt;0,IF($J69=6,AY69,IF($J69=5,AY69,IF($J69=4,AY69,0)))))</f>
        <v>0</v>
      </c>
      <c r="AW69" s="442">
        <f>IF(AY69=0,0,IF(AY69&lt;0,IF($J69=9,AY69,IF($J69=8,AY69,IF($J69=7,AY69,0)))))</f>
        <v>-43</v>
      </c>
      <c r="AX69" s="443">
        <f>IF(AY69=0,0,IF(AY69&lt;0,IF($J69=12,AY69,IF($J69=11,AY69,IF($J69=10,AY69,0)))))</f>
        <v>0</v>
      </c>
      <c r="AY69" s="440">
        <f>IF(AY$5=$H69,-$E69,0)</f>
        <v>-43</v>
      </c>
      <c r="AZ69" s="441">
        <f>IF(BD69=0,0,IF(BD69&lt;0,IF($J69=3,BD69,IF($J69=2,BD69,IF($J69=1,BD69,0)))))</f>
        <v>0</v>
      </c>
      <c r="BA69" s="442">
        <f>IF(BD69=0,0,IF(BD69&lt;0,IF($J69=6,BD69,IF($J69=5,BD69,IF($J69=4,BD69,0)))))</f>
        <v>0</v>
      </c>
      <c r="BB69" s="442">
        <f>IF(BD69=0,0,IF(BD69&lt;0,IF($J69=9,BD69,IF($J69=8,BD69,IF($J69=7,BD69,0)))))</f>
        <v>0</v>
      </c>
      <c r="BC69" s="443">
        <f>IF(BD69=0,0,IF(BD69&lt;0,IF($J69=12,BD69,IF($J69=11,BD69,IF($J69=10,BD69,0)))))</f>
        <v>0</v>
      </c>
      <c r="BD69" s="440">
        <f>IF(BD$5=$H69,-$E69,0)</f>
        <v>0</v>
      </c>
      <c r="BE69" s="441">
        <f>IF(BI69=0,0,IF(BI69&lt;0,IF($J69=3,BI69,IF($J69=2,BI69,IF($J69=1,BI69,0)))))</f>
        <v>0</v>
      </c>
      <c r="BF69" s="442">
        <f>IF(BI69=0,0,IF(BI69&lt;0,IF($J69=6,BI69,IF($J69=5,BI69,IF($J69=4,BI69,0)))))</f>
        <v>0</v>
      </c>
      <c r="BG69" s="442">
        <f>IF(BI69=0,0,IF(BI69&lt;0,IF($J69=9,BI69,IF($J69=8,BI69,IF($J69=7,BI69,0)))))</f>
        <v>0</v>
      </c>
      <c r="BH69" s="443">
        <f>IF(BI69=0,0,IF(BI69&lt;0,IF($J69=12,BI69,IF($J69=11,BI69,IF($J69=10,BI69,0)))))</f>
        <v>0</v>
      </c>
      <c r="BI69" s="440">
        <f>IF(BI$5=$H69,-$E69,0)</f>
        <v>0</v>
      </c>
      <c r="BJ69" s="441">
        <f>IF(BN69=0,0,IF(BN69&lt;0,IF($J69=3,BN69,IF($J69=2,BN69,IF($J69=1,BN69,0)))))</f>
        <v>0</v>
      </c>
      <c r="BK69" s="442">
        <f>IF(BN69=0,0,IF(BN69&lt;0,IF($J69=6,BN69,IF($J69=5,BN69,IF($J69=4,BN69,0)))))</f>
        <v>0</v>
      </c>
      <c r="BL69" s="442">
        <f>IF(BN69=0,0,IF(BN69&lt;0,IF($J69=9,BN69,IF($J69=8,BN69,IF($J69=7,BN69,0)))))</f>
        <v>0</v>
      </c>
      <c r="BM69" s="443">
        <f>IF(BN69=0,0,IF(BN69&lt;0,IF($J69=12,BN69,IF($J69=11,BN69,IF($J69=10,BN69,0)))))</f>
        <v>0</v>
      </c>
      <c r="BN69" s="440">
        <f>IF(BN$5=$H69,-$E69,0)</f>
        <v>0</v>
      </c>
      <c r="BO69" s="473"/>
      <c r="BP69" s="441">
        <f>IF($H69&lt;&gt;BT$5,0,IF(BT69&lt;0,IF($J69=1,-$E69*$I69/12*3,IF($J69=2,-$E69*$I69/12*2,IF($J69=3,-$E69*$I69/12*1,0)))))+IF(BO$5&lt;&gt;$H69,0,IF(BO69&lt;0,IF($J69=1,-$E69*$I69/12*0,IF($J69=2,-$E69*$I69/12*1,IF($J69=3,-$E69*$I69/12*2,IF($J69&gt;=4,-$E69*$I69/12*3,0))))))</f>
        <v>0</v>
      </c>
      <c r="BQ69" s="442">
        <f>IF($H69&lt;&gt;BT$5,0,IF(BT69&lt;0,IF(OR($J69=1,$J69=2,$J69=3,$J69=4),-$E69*$I69/12*3,IF($J69=5,-$E69*$I69/12*2,IF($J69=6,-$E69*$I69/12*1,0)))))+IF(BO$5&lt;&gt;$H69,0,IF(BO69&lt;0,IF($J69=4,-$E69*$I69/12*0,IF($J69=5,-$E69*$I69/12*1,IF($J69=6,-$E69*$I69/12*2,IF($J69&gt;=7,-$E69*$I69/12*3,0))))))</f>
        <v>0</v>
      </c>
      <c r="BR69" s="442">
        <f>IF($H69&lt;&gt;BT$5,0,IF(BT69&lt;0,IF(OR($J69=1,$J69=2,$J69=3,$J69=4,$J69=5,$J69=6,$J69=7),-$E69*$I69/12*3,IF($J69=8,-$E69*$I69/12*2,IF($J69=9,-$E69*$I69/12*1,0)))))+IF(BO$5&lt;&gt;$H69,0,IF(BO69&lt;0,IF($J69=7,-$E69*$I69/12*0,IF($J69=8,-$E69*$I69/12*1,IF($J69=9,-$E69*$I69/12*2,IF($J69&gt;=10,-$E69*$I69/12*3,0))))))</f>
        <v>0</v>
      </c>
      <c r="BS69" s="443">
        <f>IF($H69&lt;&gt;BT$5,0,IF(BT69&lt;0,IF(OR($J69=1,$J69=2,$J69=3,$J69=4,$J69=5,$J69=6,$J69=7,$J69=8,$J69=9,$J69=10),-$E69*$I69/12*3,IF($J69=11,-$E69*$I69/12*2,IF($J69=12,-$E69*$I69/12*1,0)))))+IF(BO$5&lt;&gt;$H69,0,IF(BO69&lt;0,IF($J69=10,-$E69*$I69/12*0,IF($J69=11,-$E69*$I69/12*1,IF($J69=12,-$E69*$I69/12*2,0)))))</f>
        <v>0</v>
      </c>
      <c r="BT69" s="440">
        <f>IF(AND(BO69&lt;&gt;0,BO$5=$H69),-$I69*$E69-BO69,IF(BT$5=$H69,-$I69*$E69*(12-$J69+1)/12,0))</f>
        <v>0</v>
      </c>
      <c r="BU69" s="441">
        <f>IF($H69&lt;&gt;BY$5,0,IF(BY69&lt;0,IF($J69=1,-$E69*$I69/12*3,IF($J69=2,-$E69*$I69/12*2,IF($J69=3,-$E69*$I69/12*1,0)))))+IF(BT$5&lt;&gt;$H69,0,IF(BT69&lt;0,IF($J69=1,-$E69*$I69/12*0,IF($J69=2,-$E69*$I69/12*1,IF($J69=3,-$E69*$I69/12*2,IF($J69&gt;=4,-$E69*$I69/12*3,0))))))</f>
        <v>0</v>
      </c>
      <c r="BV69" s="442">
        <f>IF($H69&lt;&gt;BY$5,0,IF(BY69&lt;0,IF(OR($J69=1,$J69=2,$J69=3,$J69=4),-$E69*$I69/12*3,IF($J69=5,-$E69*$I69/12*2,IF($J69=6,-$E69*$I69/12*1,0)))))+IF(BT$5&lt;&gt;$H69,0,IF(BT69&lt;0,IF($J69=4,-$E69*$I69/12*0,IF($J69=5,-$E69*$I69/12*1,IF($J69=6,-$E69*$I69/12*2,IF($J69&gt;=7,-$E69*$I69/12*3,0))))))</f>
        <v>0</v>
      </c>
      <c r="BW69" s="442">
        <f>IF($H69&lt;&gt;BY$5,0,IF(BY69&lt;0,IF(OR($J69=1,$J69=2,$J69=3,$J69=4,$J69=5,$J69=6,$J69=7),-$E69*$I69/12*3,IF($J69=8,-$E69*$I69/12*2,IF($J69=9,-$E69*$I69/12*1,0)))))+IF(BT$5&lt;&gt;$H69,0,IF(BT69&lt;0,IF($J69=7,-$E69*$I69/12*0,IF($J69=8,-$E69*$I69/12*1,IF($J69=9,-$E69*$I69/12*2,IF($J69&gt;=10,-$E69*$I69/12*3,0))))))</f>
        <v>0</v>
      </c>
      <c r="BX69" s="443">
        <f>IF($H69&lt;&gt;BY$5,0,IF(BY69&lt;0,IF(OR($J69=1,$J69=2,$J69=3,$J69=4,$J69=5,$J69=6,$J69=7,$J69=8,$J69=9,$J69=10),-$E69*$I69/12*3,IF($J69=11,-$E69*$I69/12*2,IF($J69=12,-$E69*$I69/12*1,0)))))+IF(BT$5&lt;&gt;$H69,0,IF(BT69&lt;0,IF($J69=10,-$E69*$I69/12*0,IF($J69=11,-$E69*$I69/12*1,IF($J69=12,-$E69*$I69/12*2,0)))))</f>
        <v>0</v>
      </c>
      <c r="BY69" s="440">
        <f>IF(AND(BT69&lt;&gt;0,BT$5=$H69),-$I69*$E69-BT69,IF(BY$5=$H69,-$I69*$E69*(12-$J69+1)/12,0))</f>
        <v>0</v>
      </c>
      <c r="BZ69" s="441">
        <f>IF($H69&lt;&gt;CD$5,0,IF(CD69&lt;0,IF($J69=1,-$E69*$I69/12*3,IF($J69=2,-$E69*$I69/12*2,IF($J69=3,-$E69*$I69/12*1,0)))))+IF(BY$5&lt;&gt;$H69,0,IF(BY69&lt;0,IF($J69=1,-$E69*$I69/12*0,IF($J69=2,-$E69*$I69/12*1,IF($J69=3,-$E69*$I69/12*2,IF($J69&gt;=4,-$E69*$I69/12*3,0))))))</f>
        <v>0</v>
      </c>
      <c r="CA69" s="442">
        <f>IF($H69&lt;&gt;CD$5,0,IF(CD69&lt;0,IF(OR($J69=1,$J69=2,$J69=3,$J69=4),-$E69*$I69/12*3,IF($J69=5,-$E69*$I69/12*2,IF($J69=6,-$E69*$I69/12*1,0)))))+IF(BY$5&lt;&gt;$H69,0,IF(BY69&lt;0,IF($J69=4,-$E69*$I69/12*0,IF($J69=5,-$E69*$I69/12*1,IF($J69=6,-$E69*$I69/12*2,IF($J69&gt;=7,-$E69*$I69/12*3,0))))))</f>
        <v>0</v>
      </c>
      <c r="CB69" s="442">
        <f>IF($H69&lt;&gt;CD$5,0,IF(CD69&lt;0,IF(OR($J69=1,$J69=2,$J69=3,$J69=4,$J69=5,$J69=6,$J69=7),-$E69*$I69/12*3,IF($J69=8,-$E69*$I69/12*2,IF($J69=9,-$E69*$I69/12*1,0)))))+IF(BY$5&lt;&gt;$H69,0,IF(BY69&lt;0,IF($J69=7,-$E69*$I69/12*0,IF($J69=8,-$E69*$I69/12*1,IF($J69=9,-$E69*$I69/12*2,IF($J69&gt;=10,-$E69*$I69/12*3,0))))))</f>
        <v>0</v>
      </c>
      <c r="CC69" s="443">
        <f>IF($H69&lt;&gt;CD$5,0,IF(CD69&lt;0,IF(OR($J69=1,$J69=2,$J69=3,$J69=4,$J69=5,$J69=6,$J69=7,$J69=8,$J69=9,$J69=10),-$E69*$I69/12*3,IF($J69=11,-$E69*$I69/12*2,IF($J69=12,-$E69*$I69/12*1,0)))))+IF(BY$5&lt;&gt;$H69,0,IF(BY69&lt;0,IF($J69=10,-$E69*$I69/12*0,IF($J69=11,-$E69*$I69/12*1,IF($J69=12,-$E69*$I69/12*2,0)))))</f>
        <v>0</v>
      </c>
      <c r="CD69" s="440">
        <f>IF(AND(BY69&lt;&gt;0,BY$5=$H69),-$I69*$E69-BY69,IF(CD$5=$H69,-$I69*$E69*(12-$J69+1)/12,0))</f>
        <v>0</v>
      </c>
      <c r="CE69" s="441">
        <f>IF($H69&lt;&gt;CI$5,0,IF(CI69&lt;0,IF($J69=1,-$E69*$I69/12*3,IF($J69=2,-$E69*$I69/12*2,IF($J69=3,-$E69*$I69/12*1,0)))))+IF(CD$5&lt;&gt;$H69,0,IF(CD69&lt;0,IF($J69=1,-$E69*$I69/12*0,IF($J69=2,-$E69*$I69/12*1,IF($J69=3,-$E69*$I69/12*2,IF($J69&gt;=4,-$E69*$I69/12*3,0))))))</f>
        <v>0</v>
      </c>
      <c r="CF69" s="442">
        <f>IF($H69&lt;&gt;CI$5,0,IF(CI69&lt;0,IF(OR($J69=1,$J69=2,$J69=3,$J69=4),-$E69*$I69/12*3,IF($J69=5,-$E69*$I69/12*2,IF($J69=6,-$E69*$I69/12*1,0)))))+IF(CD$5&lt;&gt;$H69,0,IF(CD69&lt;0,IF($J69=4,-$E69*$I69/12*0,IF($J69=5,-$E69*$I69/12*1,IF($J69=6,-$E69*$I69/12*2,IF($J69&gt;=7,-$E69*$I69/12*3,0))))))</f>
        <v>0</v>
      </c>
      <c r="CG69" s="442">
        <f>IF($H69&lt;&gt;CI$5,0,IF(CI69&lt;0,IF(OR($J69=1,$J69=2,$J69=3,$J69=4,$J69=5,$J69=6,$J69=7),-$E69*$I69/12*3,IF($J69=8,-$E69*$I69/12*2,IF($J69=9,-$E69*$I69/12*1,0)))))+IF(CD$5&lt;&gt;$H69,0,IF(CD69&lt;0,IF($J69=7,-$E69*$I69/12*0,IF($J69=8,-$E69*$I69/12*1,IF($J69=9,-$E69*$I69/12*2,IF($J69&gt;=10,-$E69*$I69/12*3,0))))))</f>
        <v>0</v>
      </c>
      <c r="CH69" s="443">
        <f>IF($H69&lt;&gt;CI$5,0,IF(CI69&lt;0,IF(OR($J69=1,$J69=2,$J69=3,$J69=4,$J69=5,$J69=6,$J69=7,$J69=8,$J69=9,$J69=10),-$E69*$I69/12*3,IF($J69=11,-$E69*$I69/12*2,IF($J69=12,-$E69*$I69/12*1,0)))))+IF(CD$5&lt;&gt;$H69,0,IF(CD69&lt;0,IF($J69=10,-$E69*$I69/12*0,IF($J69=11,-$E69*$I69/12*1,IF($J69=12,-$E69*$I69/12*2,0)))))</f>
        <v>0</v>
      </c>
      <c r="CI69" s="440">
        <f>IF(AND(CD69&lt;&gt;0,CD$5=$H69),-$I69*$E69-CD69,IF(CI$5=$H69,-$I69*$E69*(12-$J69+1)/12,0))</f>
        <v>0</v>
      </c>
      <c r="CJ69" s="441">
        <f>IF($H69&lt;&gt;CN$5,0,IF(CN69&lt;0,IF($J69=1,-$E69*$I69/12*3,IF($J69=2,-$E69*$I69/12*2,IF($J69=3,-$E69*$I69/12*1,0)))))+IF(CI$5&lt;&gt;$H69,0,IF(CI69&lt;0,IF($J69=1,-$E69*$I69/12*0,IF($J69=2,-$E69*$I69/12*1,IF($J69=3,-$E69*$I69/12*2,IF($J69&gt;=4,-$E69*$I69/12*3,0))))))</f>
        <v>0</v>
      </c>
      <c r="CK69" s="442">
        <f>IF($H69&lt;&gt;CN$5,0,IF(CN69&lt;0,IF(OR($J69=1,$J69=2,$J69=3,$J69=4),-$E69*$I69/12*3,IF($J69=5,-$E69*$I69/12*2,IF($J69=6,-$E69*$I69/12*1,0)))))+IF(CI$5&lt;&gt;$H69,0,IF(CI69&lt;0,IF($J69=4,-$E69*$I69/12*0,IF($J69=5,-$E69*$I69/12*1,IF($J69=6,-$E69*$I69/12*2,IF($J69&gt;=7,-$E69*$I69/12*3,0))))))</f>
        <v>0</v>
      </c>
      <c r="CL69" s="442">
        <f>IF($H69&lt;&gt;CN$5,0,IF(CN69&lt;0,IF(OR($J69=1,$J69=2,$J69=3,$J69=4,$J69=5,$J69=6,$J69=7),-$E69*$I69/12*3,IF($J69=8,-$E69*$I69/12*2,IF($J69=9,-$E69*$I69/12*1,0)))))+IF(CI$5&lt;&gt;$H69,0,IF(CI69&lt;0,IF($J69=7,-$E69*$I69/12*0,IF($J69=8,-$E69*$I69/12*1,IF($J69=9,-$E69*$I69/12*2,IF($J69&gt;=10,-$E69*$I69/12*3,0))))))</f>
        <v>0</v>
      </c>
      <c r="CM69" s="443">
        <f>IF($H69&lt;&gt;CN$5,0,IF(CN69&lt;0,IF(OR($J69=1,$J69=2,$J69=3,$J69=4,$J69=5,$J69=6,$J69=7,$J69=8,$J69=9,$J69=10),-$E69*$I69/12*3,IF($J69=11,-$E69*$I69/12*2,IF($J69=12,-$E69*$I69/12*1,0)))))+IF(CI$5&lt;&gt;$H69,0,IF(CI69&lt;0,IF($J69=10,-$E69*$I69/12*0,IF($J69=11,-$E69*$I69/12*1,IF($J69=12,-$E69*$I69/12*2,0)))))</f>
        <v>0</v>
      </c>
      <c r="CN69" s="440">
        <f>IF(AND(CI69&lt;&gt;0,CI$5=$H69),-$I69*$E69-CI69,IF(CN$5=$H69,-$I69*$E69*(12-$J69+1)/12,0))</f>
        <v>0</v>
      </c>
      <c r="CO69" s="441">
        <f>IF($H69&lt;&gt;CS$5,0,IF(CS69&lt;0,IF($J69=1,-$E69*$I69/12*3,IF($J69=2,-$E69*$I69/12*2,IF($J69=3,-$E69*$I69/12*1,0)))))+IF(CN$5&lt;&gt;$H69,0,IF(CN69&lt;0,IF($J69=1,-$E69*$I69/12*0,IF($J69=2,-$E69*$I69/12*1,IF($J69=3,-$E69*$I69/12*2,IF($J69&gt;=4,-$E69*$I69/12*3,0))))))</f>
        <v>0</v>
      </c>
      <c r="CP69" s="442">
        <f>IF($H69&lt;&gt;CS$5,0,IF(CS69&lt;0,IF(OR($J69=1,$J69=2,$J69=3,$J69=4),-$E69*$I69/12*3,IF($J69=5,-$E69*$I69/12*2,IF($J69=6,-$E69*$I69/12*1,0)))))+IF(CN$5&lt;&gt;$H69,0,IF(CN69&lt;0,IF($J69=4,-$E69*$I69/12*0,IF($J69=5,-$E69*$I69/12*1,IF($J69=6,-$E69*$I69/12*2,IF($J69&gt;=7,-$E69*$I69/12*3,0))))))</f>
        <v>0</v>
      </c>
      <c r="CQ69" s="442">
        <f>IF($H69&lt;&gt;CS$5,0,IF(CS69&lt;0,IF(OR($J69=1,$J69=2,$J69=3,$J69=4,$J69=5,$J69=6,$J69=7),-$E69*$I69/12*3,IF($J69=8,-$E69*$I69/12*2,IF($J69=9,-$E69*$I69/12*1,0)))))+IF(CN$5&lt;&gt;$H69,0,IF(CN69&lt;0,IF($J69=7,-$E69*$I69/12*0,IF($J69=8,-$E69*$I69/12*1,IF($J69=9,-$E69*$I69/12*2,IF($J69&gt;=10,-$E69*$I69/12*3,0))))))</f>
        <v>0</v>
      </c>
      <c r="CR69" s="443">
        <f>IF($H69&lt;&gt;CS$5,0,IF(CS69&lt;0,IF(OR($J69=1,$J69=2,$J69=3,$J69=4,$J69=5,$J69=6,$J69=7,$J69=8,$J69=9,$J69=10),-$E69*$I69/12*3,IF($J69=11,-$E69*$I69/12*2,IF($J69=12,-$E69*$I69/12*1,0)))))+IF(CN$5&lt;&gt;$H69,0,IF(CN69&lt;0,IF($J69=10,-$E69*$I69/12*0,IF($J69=11,-$E69*$I69/12*1,IF($J69=12,-$E69*$I69/12*2,0)))))</f>
        <v>0</v>
      </c>
      <c r="CS69" s="440">
        <f>IF(AND(CN69&lt;&gt;0,CN$5=$H69),-$I69*$E69-CN69,IF(CS$5=$H69,-$I69*$E69*(12-$J69+1)/12,0))</f>
        <v>0</v>
      </c>
      <c r="CT69" s="441">
        <f>IF($H69&lt;&gt;CX$5,0,IF(CX69&lt;0,IF($J69=1,-$E69*$I69/12*3,IF($J69=2,-$E69*$I69/12*2,IF($J69=3,-$E69*$I69/12*1,0)))))+IF(CS$5&lt;&gt;$H69,0,IF(CS69&lt;0,IF($J69=1,-$E69*$I69/12*0,IF($J69=2,-$E69*$I69/12*1,IF($J69=3,-$E69*$I69/12*2,IF($J69&gt;=4,-$E69*$I69/12*3,0))))))</f>
        <v>0</v>
      </c>
      <c r="CU69" s="442">
        <f>IF($H69&lt;&gt;CX$5,0,IF(CX69&lt;0,IF(OR($J69=1,$J69=2,$J69=3,$J69=4),-$E69*$I69/12*3,IF($J69=5,-$E69*$I69/12*2,IF($J69=6,-$E69*$I69/12*1,0)))))+IF(CS$5&lt;&gt;$H69,0,IF(CS69&lt;0,IF($J69=4,-$E69*$I69/12*0,IF($J69=5,-$E69*$I69/12*1,IF($J69=6,-$E69*$I69/12*2,IF($J69&gt;=7,-$E69*$I69/12*3,0))))))</f>
        <v>0</v>
      </c>
      <c r="CV69" s="442">
        <f>IF($H69&lt;&gt;CX$5,0,IF(CX69&lt;0,IF(OR($J69=1,$J69=2,$J69=3,$J69=4,$J69=5,$J69=6,$J69=7),-$E69*$I69/12*3,IF($J69=8,-$E69*$I69/12*2,IF($J69=9,-$E69*$I69/12*1,0)))))+IF(CS$5&lt;&gt;$H69,0,IF(CS69&lt;0,IF($J69=7,-$E69*$I69/12*0,IF($J69=8,-$E69*$I69/12*1,IF($J69=9,-$E69*$I69/12*2,IF($J69&gt;=10,-$E69*$I69/12*3,0))))))</f>
        <v>0</v>
      </c>
      <c r="CW69" s="443">
        <f>IF($H69&lt;&gt;CX$5,0,IF(CX69&lt;0,IF(OR($J69=1,$J69=2,$J69=3,$J69=4,$J69=5,$J69=6,$J69=7,$J69=8,$J69=9,$J69=10),-$E69*$I69/12*3,IF($J69=11,-$E69*$I69/12*2,IF($J69=12,-$E69*$I69/12*1,0)))))+IF(CS$5&lt;&gt;$H69,0,IF(CS69&lt;0,IF($J69=10,-$E69*$I69/12*0,IF($J69=11,-$E69*$I69/12*1,IF($J69=12,-$E69*$I69/12*2,0)))))</f>
        <v>0</v>
      </c>
      <c r="CX69" s="440">
        <f>IF(AND(CS69&lt;&gt;0,CS$5=$H69),-$I69*$E69-CS69,IF(CX$5=$H69,-$I69*$E69*(12-$J69+1)/12,0))</f>
        <v>0</v>
      </c>
      <c r="CY69" s="441">
        <f>IF($H69&lt;&gt;DC$5,0,IF(DC69&lt;0,IF($J69=1,-$E69*$I69/12*3,IF($J69=2,-$E69*$I69/12*2,IF($J69=3,-$E69*$I69/12*1,0)))))+IF(CX$5&lt;&gt;$H69,0,IF(CX69&lt;0,IF($J69=1,-$E69*$I69/12*0,IF($J69=2,-$E69*$I69/12*1,IF($J69=3,-$E69*$I69/12*2,IF($J69&gt;=4,-$E69*$I69/12*3,0))))))</f>
        <v>0</v>
      </c>
      <c r="CZ69" s="442">
        <f>IF($H69&lt;&gt;DC$5,0,IF(DC69&lt;0,IF(OR($J69=1,$J69=2,$J69=3,$J69=4),-$E69*$I69/12*3,IF($J69=5,-$E69*$I69/12*2,IF($J69=6,-$E69*$I69/12*1,0)))))+IF(CX$5&lt;&gt;$H69,0,IF(CX69&lt;0,IF($J69=4,-$E69*$I69/12*0,IF($J69=5,-$E69*$I69/12*1,IF($J69=6,-$E69*$I69/12*2,IF($J69&gt;=7,-$E69*$I69/12*3,0))))))</f>
        <v>0</v>
      </c>
      <c r="DA69" s="442">
        <f>IF($H69&lt;&gt;DC$5,0,IF(DC69&lt;0,IF(OR($J69=1,$J69=2,$J69=3,$J69=4,$J69=5,$J69=6,$J69=7),-$E69*$I69/12*3,IF($J69=8,-$E69*$I69/12*2,IF($J69=9,-$E69*$I69/12*1,0)))))+IF(CX$5&lt;&gt;$H69,0,IF(CX69&lt;0,IF($J69=7,-$E69*$I69/12*0,IF($J69=8,-$E69*$I69/12*1,IF($J69=9,-$E69*$I69/12*2,IF($J69&gt;=10,-$E69*$I69/12*3,0))))))</f>
        <v>-0.3359375</v>
      </c>
      <c r="DB69" s="443">
        <f>IF($H69&lt;&gt;DC$5,0,IF(DC69&lt;0,IF(OR($J69=1,$J69=2,$J69=3,$J69=4,$J69=5,$J69=6,$J69=7,$J69=8,$J69=9,$J69=10),-$E69*$I69/12*3,IF($J69=11,-$E69*$I69/12*2,IF($J69=12,-$E69*$I69/12*1,0)))))+IF(CX$5&lt;&gt;$H69,0,IF(CX69&lt;0,IF($J69=10,-$E69*$I69/12*0,IF($J69=11,-$E69*$I69/12*1,IF($J69=12,-$E69*$I69/12*2,0)))))</f>
        <v>-0.3359375</v>
      </c>
      <c r="DC69" s="440">
        <f>IF(AND(CX69&lt;&gt;0,CX$5=$H69),-$I69*$E69-CX69,IF(DC$5=$H69,-$I69*$E69*(12-$J69+1)/12,0))</f>
        <v>-0.671875</v>
      </c>
      <c r="DD69" s="441">
        <f>IF($H69&lt;&gt;DH$5,0,IF(DH69&lt;0,IF($J69=1,-$E69*$I69/12*3,IF($J69=2,-$E69*$I69/12*2,IF($J69=3,-$E69*$I69/12*1,0)))))+IF(DC$5&lt;&gt;$H69,0,IF(DC69&lt;0,IF($J69=1,-$E69*$I69/12*0,IF($J69=2,-$E69*$I69/12*1,IF($J69=3,-$E69*$I69/12*2,IF($J69&gt;=4,-$E69*$I69/12*3,0))))))</f>
        <v>-0.3359375</v>
      </c>
      <c r="DE69" s="442">
        <f>IF($H69&lt;&gt;DH$5,0,IF(DH69&lt;0,IF(OR($J69=1,$J69=2,$J69=3,$J69=4),-$E69*$I69/12*3,IF($J69=5,-$E69*$I69/12*2,IF($J69=6,-$E69*$I69/12*1,0)))))+IF(DC$5&lt;&gt;$H69,0,IF(DC69&lt;0,IF($J69=4,-$E69*$I69/12*0,IF($J69=5,-$E69*$I69/12*1,IF($J69=6,-$E69*$I69/12*2,IF($J69&gt;=7,-$E69*$I69/12*3,0))))))</f>
        <v>-0.3359375</v>
      </c>
      <c r="DF69" s="442">
        <f>IF($H69&lt;&gt;DH$5,0,IF(DH69&lt;0,IF(OR($J69=1,$J69=2,$J69=3,$J69=4,$J69=5,$J69=6,$J69=7),-$E69*$I69/12*3,IF($J69=8,-$E69*$I69/12*2,IF($J69=9,-$E69*$I69/12*1,0)))))+IF(DC$5&lt;&gt;$H69,0,IF(DC69&lt;0,IF($J69=7,-$E69*$I69/12*0,IF($J69=8,-$E69*$I69/12*1,IF($J69=9,-$E69*$I69/12*2,IF($J69&gt;=10,-$E69*$I69/12*3,0))))))</f>
        <v>0</v>
      </c>
      <c r="DG69" s="443">
        <f>IF($H69&lt;&gt;DH$5,0,IF(DH69&lt;0,IF(OR($J69=1,$J69=2,$J69=3,$J69=4,$J69=5,$J69=6,$J69=7,$J69=8,$J69=9,$J69=10),-$E69*$I69/12*3,IF($J69=11,-$E69*$I69/12*2,IF($J69=12,-$E69*$I69/12*1,0)))))+IF(DC$5&lt;&gt;$H69,0,IF(DC69&lt;0,IF($J69=10,-$E69*$I69/12*0,IF($J69=11,-$E69*$I69/12*1,IF($J69=12,-$E69*$I69/12*2,0)))))</f>
        <v>0</v>
      </c>
      <c r="DH69" s="440">
        <f>IF(AND(DC69&lt;&gt;0,DC$5=$H69),-$I69*$E69-DC69,IF(DH$5=$H69,-$I69*$E69*(12-$J69+1)/12,0))</f>
        <v>-0.671875</v>
      </c>
      <c r="DI69" s="441">
        <f>IF($H69&lt;&gt;DM$5,0,IF(DM69&lt;0,IF($J69=1,-$E69*$I69/12*3,IF($J69=2,-$E69*$I69/12*2,IF($J69=3,-$E69*$I69/12*1,0)))))+IF(DH$5&lt;&gt;$H69,0,IF(DH69&lt;0,IF($J69=1,-$E69*$I69/12*0,IF($J69=2,-$E69*$I69/12*1,IF($J69=3,-$E69*$I69/12*2,IF($J69&gt;=4,-$E69*$I69/12*3,0))))))</f>
        <v>0</v>
      </c>
      <c r="DJ69" s="442">
        <f>IF($H69&lt;&gt;DM$5,0,IF(DM69&lt;0,IF(OR($J69=1,$J69=2,$J69=3,$J69=4),-$E69*$I69/12*3,IF($J69=5,-$E69*$I69/12*2,IF($J69=6,-$E69*$I69/12*1,0)))))+IF(DH$5&lt;&gt;$H69,0,IF(DH69&lt;0,IF($J69=4,-$E69*$I69/12*0,IF($J69=5,-$E69*$I69/12*1,IF($J69=6,-$E69*$I69/12*2,IF($J69&gt;=7,-$E69*$I69/12*3,0))))))</f>
        <v>0</v>
      </c>
      <c r="DK69" s="442">
        <f>IF($H69&lt;&gt;DM$5,0,IF(DM69&lt;0,IF(OR($J69=1,$J69=2,$J69=3,$J69=4,$J69=5,$J69=6,$J69=7),-$E69*$I69/12*3,IF($J69=8,-$E69*$I69/12*2,IF($J69=9,-$E69*$I69/12*1,0)))))+IF(DH$5&lt;&gt;$H69,0,IF(DH69&lt;0,IF($J69=7,-$E69*$I69/12*0,IF($J69=8,-$E69*$I69/12*1,IF($J69=9,-$E69*$I69/12*2,IF($J69&gt;=10,-$E69*$I69/12*3,0))))))</f>
        <v>0</v>
      </c>
      <c r="DL69" s="443">
        <f>IF($H69&lt;&gt;DM$5,0,IF(DM69&lt;0,IF(OR($J69=1,$J69=2,$J69=3,$J69=4,$J69=5,$J69=6,$J69=7,$J69=8,$J69=9,$J69=10),-$E69*$I69/12*3,IF($J69=11,-$E69*$I69/12*2,IF($J69=12,-$E69*$I69/12*1,0)))))+IF(DH$5&lt;&gt;$H69,0,IF(DH69&lt;0,IF($J69=10,-$E69*$I69/12*0,IF($J69=11,-$E69*$I69/12*1,IF($J69=12,-$E69*$I69/12*2,0)))))</f>
        <v>0</v>
      </c>
      <c r="DM69" s="440">
        <f>IF(AND(DH69&lt;&gt;0,DH$5=$H69),-$I69*$E69-DH69,IF(DM$5=$H69,-$I69*$E69*(12-$J69+1)/12,0))</f>
        <v>0</v>
      </c>
      <c r="DN69" s="441">
        <f>IF($H69&lt;&gt;DR$5,0,IF(DR69&lt;0,IF($J69=1,-$E69*$I69/12*3,IF($J69=2,-$E69*$I69/12*2,IF($J69=3,-$E69*$I69/12*1,0)))))+IF(DM$5&lt;&gt;$H69,0,IF(DM69&lt;0,IF($J69=1,-$E69*$I69/12*0,IF($J69=2,-$E69*$I69/12*1,IF($J69=3,-$E69*$I69/12*2,IF($J69&gt;=4,-$E69*$I69/12*3,0))))))</f>
        <v>0</v>
      </c>
      <c r="DO69" s="442">
        <f>IF($H69&lt;&gt;DR$5,0,IF(DR69&lt;0,IF(OR($J69=1,$J69=2,$J69=3,$J69=4),-$E69*$I69/12*3,IF($J69=5,-$E69*$I69/12*2,IF($J69=6,-$E69*$I69/12*1,0)))))+IF(DM$5&lt;&gt;$H69,0,IF(DM69&lt;0,IF($J69=4,-$E69*$I69/12*0,IF($J69=5,-$E69*$I69/12*1,IF($J69=6,-$E69*$I69/12*2,IF($J69&gt;=7,-$E69*$I69/12*3,0))))))</f>
        <v>0</v>
      </c>
      <c r="DP69" s="442">
        <f>IF($H69&lt;&gt;DR$5,0,IF(DR69&lt;0,IF(OR($J69=1,$J69=2,$J69=3,$J69=4,$J69=5,$J69=6,$J69=7),-$E69*$I69/12*3,IF($J69=8,-$E69*$I69/12*2,IF($J69=9,-$E69*$I69/12*1,0)))))+IF(DM$5&lt;&gt;$H69,0,IF(DM69&lt;0,IF($J69=7,-$E69*$I69/12*0,IF($J69=8,-$E69*$I69/12*1,IF($J69=9,-$E69*$I69/12*2,IF($J69&gt;=10,-$E69*$I69/12*3,0))))))</f>
        <v>0</v>
      </c>
      <c r="DQ69" s="443">
        <f>IF($H69&lt;&gt;DR$5,0,IF(DR69&lt;0,IF(OR($J69=1,$J69=2,$J69=3,$J69=4,$J69=5,$J69=6,$J69=7,$J69=8,$J69=9,$J69=10),-$E69*$I69/12*3,IF($J69=11,-$E69*$I69/12*2,IF($J69=12,-$E69*$I69/12*1,0)))))+IF(DM$5&lt;&gt;$H69,0,IF(DM69&lt;0,IF($J69=10,-$E69*$I69/12*0,IF($J69=11,-$E69*$I69/12*1,IF($J69=12,-$E69*$I69/12*2,0)))))</f>
        <v>0</v>
      </c>
      <c r="DR69" s="440">
        <f>IF(AND(DM69&lt;&gt;0,DM$5=$H69),-$I69*$E69-DM69,IF(DR$5=$H69,-$I69*$E69*(12-$J69+1)/12,0))</f>
        <v>0</v>
      </c>
    </row>
    <row r="70" spans="1:122" ht="12.75" customHeight="1">
      <c r="A70" s="92"/>
      <c r="B70" s="92"/>
      <c r="C70" s="1590" t="s">
        <v>1167</v>
      </c>
      <c r="D70" s="395"/>
      <c r="E70" s="865">
        <f t="shared" ref="E70" si="855">IF(F70=0,G70,F70)</f>
        <v>177</v>
      </c>
      <c r="F70" s="1945">
        <v>177</v>
      </c>
      <c r="G70" s="1945">
        <v>177</v>
      </c>
      <c r="H70" s="1308">
        <v>2020</v>
      </c>
      <c r="I70" s="1948">
        <v>5.7000000000000002E-2</v>
      </c>
      <c r="J70" s="1357">
        <v>8</v>
      </c>
      <c r="K70" s="549"/>
      <c r="L70" s="441">
        <f t="shared" ref="L70" si="856">IF(P70=0,0,IF(P70&lt;0,IF($J70=3,P70,IF($J70=2,P70,IF($J70=1,P70,0)))))</f>
        <v>0</v>
      </c>
      <c r="M70" s="442">
        <f t="shared" ref="M70" si="857">IF(P70=0,0,IF(P70&lt;0,IF($J70=6,P70,IF($J70=5,P70,IF($J70=4,P70,0)))))</f>
        <v>0</v>
      </c>
      <c r="N70" s="442">
        <f t="shared" ref="N70" si="858">IF(P70=0,0,IF(P70&lt;0,IF($J70=9,P70,IF($J70=8,P70,IF($J70=7,P70,0)))))</f>
        <v>0</v>
      </c>
      <c r="O70" s="443">
        <f t="shared" ref="O70" si="859">IF(P70=0,0,IF(P70&lt;0,IF($J70=12,P70,IF($J70=11,P70,IF($J70=10,P70,0)))))</f>
        <v>0</v>
      </c>
      <c r="P70" s="440">
        <f t="shared" si="749"/>
        <v>0</v>
      </c>
      <c r="Q70" s="441">
        <f t="shared" ref="Q70" si="860">IF(U70=0,0,IF(U70&lt;0,IF($J70=3,U70,IF($J70=2,U70,IF($J70=1,U70,0)))))</f>
        <v>0</v>
      </c>
      <c r="R70" s="442">
        <f t="shared" ref="R70" si="861">IF(U70=0,0,IF(U70&lt;0,IF($J70=6,U70,IF($J70=5,U70,IF($J70=4,U70,0)))))</f>
        <v>0</v>
      </c>
      <c r="S70" s="442">
        <f t="shared" ref="S70" si="862">IF(U70=0,0,IF(U70&lt;0,IF($J70=9,U70,IF($J70=8,U70,IF($J70=7,U70,0)))))</f>
        <v>0</v>
      </c>
      <c r="T70" s="443">
        <f t="shared" ref="T70" si="863">IF(U70=0,0,IF(U70&lt;0,IF($J70=12,U70,IF($J70=11,U70,IF($J70=10,U70,0)))))</f>
        <v>0</v>
      </c>
      <c r="U70" s="440">
        <f t="shared" si="754"/>
        <v>0</v>
      </c>
      <c r="V70" s="441">
        <f t="shared" ref="V70" si="864">IF(Z70=0,0,IF(Z70&lt;0,IF($J70=3,Z70,IF($J70=2,Z70,IF($J70=1,Z70,0)))))</f>
        <v>0</v>
      </c>
      <c r="W70" s="442">
        <f t="shared" ref="W70" si="865">IF(Z70=0,0,IF(Z70&lt;0,IF($J70=6,Z70,IF($J70=5,Z70,IF($J70=4,Z70,0)))))</f>
        <v>0</v>
      </c>
      <c r="X70" s="442">
        <f t="shared" ref="X70" si="866">IF(Z70=0,0,IF(Z70&lt;0,IF($J70=9,Z70,IF($J70=8,Z70,IF($J70=7,Z70,0)))))</f>
        <v>0</v>
      </c>
      <c r="Y70" s="443">
        <f t="shared" ref="Y70" si="867">IF(Z70=0,0,IF(Z70&lt;0,IF($J70=12,Z70,IF($J70=11,Z70,IF($J70=10,Z70,0)))))</f>
        <v>0</v>
      </c>
      <c r="Z70" s="440">
        <f t="shared" si="759"/>
        <v>0</v>
      </c>
      <c r="AA70" s="441">
        <f t="shared" ref="AA70" si="868">IF(AE70=0,0,IF(AE70&lt;0,IF($J70=3,AE70,IF($J70=2,AE70,IF($J70=1,AE70,0)))))</f>
        <v>0</v>
      </c>
      <c r="AB70" s="442">
        <f t="shared" ref="AB70" si="869">IF(AE70=0,0,IF(AE70&lt;0,IF($J70=6,AE70,IF($J70=5,AE70,IF($J70=4,AE70,0)))))</f>
        <v>0</v>
      </c>
      <c r="AC70" s="442">
        <f t="shared" ref="AC70" si="870">IF(AE70=0,0,IF(AE70&lt;0,IF($J70=9,AE70,IF($J70=8,AE70,IF($J70=7,AE70,0)))))</f>
        <v>0</v>
      </c>
      <c r="AD70" s="443">
        <f t="shared" ref="AD70" si="871">IF(AE70=0,0,IF(AE70&lt;0,IF($J70=12,AE70,IF($J70=11,AE70,IF($J70=10,AE70,0)))))</f>
        <v>0</v>
      </c>
      <c r="AE70" s="440">
        <f t="shared" si="764"/>
        <v>0</v>
      </c>
      <c r="AF70" s="441">
        <f t="shared" ref="AF70" si="872">IF(AJ70=0,0,IF(AJ70&lt;0,IF($J70=3,AJ70,IF($J70=2,AJ70,IF($J70=1,AJ70,0)))))</f>
        <v>0</v>
      </c>
      <c r="AG70" s="442">
        <f t="shared" ref="AG70" si="873">IF(AJ70=0,0,IF(AJ70&lt;0,IF($J70=6,AJ70,IF($J70=5,AJ70,IF($J70=4,AJ70,0)))))</f>
        <v>0</v>
      </c>
      <c r="AH70" s="442">
        <f t="shared" ref="AH70" si="874">IF(AJ70=0,0,IF(AJ70&lt;0,IF($J70=9,AJ70,IF($J70=8,AJ70,IF($J70=7,AJ70,0)))))</f>
        <v>0</v>
      </c>
      <c r="AI70" s="443">
        <f t="shared" ref="AI70" si="875">IF(AJ70=0,0,IF(AJ70&lt;0,IF($J70=12,AJ70,IF($J70=11,AJ70,IF($J70=10,AJ70,0)))))</f>
        <v>0</v>
      </c>
      <c r="AJ70" s="440">
        <f t="shared" si="769"/>
        <v>0</v>
      </c>
      <c r="AK70" s="441">
        <f t="shared" ref="AK70" si="876">IF(AO70=0,0,IF(AO70&lt;0,IF($J70=3,AO70,IF($J70=2,AO70,IF($J70=1,AO70,0)))))</f>
        <v>0</v>
      </c>
      <c r="AL70" s="442">
        <f t="shared" ref="AL70" si="877">IF(AO70=0,0,IF(AO70&lt;0,IF($J70=6,AO70,IF($J70=5,AO70,IF($J70=4,AO70,0)))))</f>
        <v>0</v>
      </c>
      <c r="AM70" s="442">
        <f t="shared" ref="AM70" si="878">IF(AO70=0,0,IF(AO70&lt;0,IF($J70=9,AO70,IF($J70=8,AO70,IF($J70=7,AO70,0)))))</f>
        <v>0</v>
      </c>
      <c r="AN70" s="443">
        <f t="shared" ref="AN70" si="879">IF(AO70=0,0,IF(AO70&lt;0,IF($J70=12,AO70,IF($J70=11,AO70,IF($J70=10,AO70,0)))))</f>
        <v>0</v>
      </c>
      <c r="AO70" s="440">
        <f t="shared" si="774"/>
        <v>0</v>
      </c>
      <c r="AP70" s="441">
        <f t="shared" ref="AP70" si="880">IF(AT70=0,0,IF(AT70&lt;0,IF($J70=3,AT70,IF($J70=2,AT70,IF($J70=1,AT70,0)))))</f>
        <v>0</v>
      </c>
      <c r="AQ70" s="442">
        <f t="shared" ref="AQ70" si="881">IF(AT70=0,0,IF(AT70&lt;0,IF($J70=6,AT70,IF($J70=5,AT70,IF($J70=4,AT70,0)))))</f>
        <v>0</v>
      </c>
      <c r="AR70" s="442">
        <f t="shared" ref="AR70" si="882">IF(AT70=0,0,IF(AT70&lt;0,IF($J70=9,AT70,IF($J70=8,AT70,IF($J70=7,AT70,0)))))</f>
        <v>0</v>
      </c>
      <c r="AS70" s="443">
        <f t="shared" ref="AS70" si="883">IF(AT70=0,0,IF(AT70&lt;0,IF($J70=12,AT70,IF($J70=11,AT70,IF($J70=10,AT70,0)))))</f>
        <v>0</v>
      </c>
      <c r="AT70" s="440">
        <f t="shared" si="779"/>
        <v>0</v>
      </c>
      <c r="AU70" s="441">
        <f t="shared" ref="AU70" si="884">IF(AY70=0,0,IF(AY70&lt;0,IF($J70=3,AY70,IF($J70=2,AY70,IF($J70=1,AY70,0)))))</f>
        <v>0</v>
      </c>
      <c r="AV70" s="442">
        <f t="shared" ref="AV70" si="885">IF(AY70=0,0,IF(AY70&lt;0,IF($J70=6,AY70,IF($J70=5,AY70,IF($J70=4,AY70,0)))))</f>
        <v>0</v>
      </c>
      <c r="AW70" s="442">
        <f t="shared" ref="AW70" si="886">IF(AY70=0,0,IF(AY70&lt;0,IF($J70=9,AY70,IF($J70=8,AY70,IF($J70=7,AY70,0)))))</f>
        <v>0</v>
      </c>
      <c r="AX70" s="443">
        <f t="shared" ref="AX70" si="887">IF(AY70=0,0,IF(AY70&lt;0,IF($J70=12,AY70,IF($J70=11,AY70,IF($J70=10,AY70,0)))))</f>
        <v>0</v>
      </c>
      <c r="AY70" s="440">
        <f t="shared" si="784"/>
        <v>0</v>
      </c>
      <c r="AZ70" s="441">
        <f t="shared" ref="AZ70" si="888">IF(BD70=0,0,IF(BD70&lt;0,IF($J70=3,BD70,IF($J70=2,BD70,IF($J70=1,BD70,0)))))</f>
        <v>0</v>
      </c>
      <c r="BA70" s="442">
        <f t="shared" ref="BA70" si="889">IF(BD70=0,0,IF(BD70&lt;0,IF($J70=6,BD70,IF($J70=5,BD70,IF($J70=4,BD70,0)))))</f>
        <v>0</v>
      </c>
      <c r="BB70" s="442">
        <f t="shared" ref="BB70" si="890">IF(BD70=0,0,IF(BD70&lt;0,IF($J70=9,BD70,IF($J70=8,BD70,IF($J70=7,BD70,0)))))</f>
        <v>0</v>
      </c>
      <c r="BC70" s="443">
        <f t="shared" ref="BC70" si="891">IF(BD70=0,0,IF(BD70&lt;0,IF($J70=12,BD70,IF($J70=11,BD70,IF($J70=10,BD70,0)))))</f>
        <v>0</v>
      </c>
      <c r="BD70" s="440">
        <f t="shared" si="789"/>
        <v>0</v>
      </c>
      <c r="BE70" s="441">
        <f t="shared" ref="BE70" si="892">IF(BI70=0,0,IF(BI70&lt;0,IF($J70=3,BI70,IF($J70=2,BI70,IF($J70=1,BI70,0)))))</f>
        <v>0</v>
      </c>
      <c r="BF70" s="442">
        <f t="shared" ref="BF70" si="893">IF(BI70=0,0,IF(BI70&lt;0,IF($J70=6,BI70,IF($J70=5,BI70,IF($J70=4,BI70,0)))))</f>
        <v>0</v>
      </c>
      <c r="BG70" s="442">
        <f t="shared" ref="BG70" si="894">IF(BI70=0,0,IF(BI70&lt;0,IF($J70=9,BI70,IF($J70=8,BI70,IF($J70=7,BI70,0)))))</f>
        <v>-177</v>
      </c>
      <c r="BH70" s="443">
        <f t="shared" ref="BH70" si="895">IF(BI70=0,0,IF(BI70&lt;0,IF($J70=12,BI70,IF($J70=11,BI70,IF($J70=10,BI70,0)))))</f>
        <v>0</v>
      </c>
      <c r="BI70" s="440">
        <f t="shared" si="794"/>
        <v>-177</v>
      </c>
      <c r="BJ70" s="441">
        <f t="shared" ref="BJ70" si="896">IF(BN70=0,0,IF(BN70&lt;0,IF($J70=3,BN70,IF($J70=2,BN70,IF($J70=1,BN70,0)))))</f>
        <v>0</v>
      </c>
      <c r="BK70" s="442">
        <f t="shared" ref="BK70" si="897">IF(BN70=0,0,IF(BN70&lt;0,IF($J70=6,BN70,IF($J70=5,BN70,IF($J70=4,BN70,0)))))</f>
        <v>0</v>
      </c>
      <c r="BL70" s="442">
        <f t="shared" ref="BL70" si="898">IF(BN70=0,0,IF(BN70&lt;0,IF($J70=9,BN70,IF($J70=8,BN70,IF($J70=7,BN70,0)))))</f>
        <v>0</v>
      </c>
      <c r="BM70" s="443">
        <f t="shared" ref="BM70" si="899">IF(BN70=0,0,IF(BN70&lt;0,IF($J70=12,BN70,IF($J70=11,BN70,IF($J70=10,BN70,0)))))</f>
        <v>0</v>
      </c>
      <c r="BN70" s="440">
        <f t="shared" si="799"/>
        <v>0</v>
      </c>
      <c r="BO70" s="465"/>
      <c r="BP70" s="441">
        <f t="shared" ref="BP70" si="900">IF($H70&lt;&gt;BT$5,0,IF(BT70&lt;0,IF($J70=1,-$E70*$I70/12*3,IF($J70=2,-$E70*$I70/12*2,IF($J70=3,-$E70*$I70/12*1,0)))))+IF(BO$5&lt;&gt;$H70,0,IF(BO70&lt;0,IF($J70=1,-$E70*$I70/12*0,IF($J70=2,-$E70*$I70/12*1,IF($J70=3,-$E70*$I70/12*2,IF($J70&gt;=4,-$E70*$I70/12*3,0))))))</f>
        <v>0</v>
      </c>
      <c r="BQ70" s="442">
        <f t="shared" ref="BQ70" si="901">IF($H70&lt;&gt;BT$5,0,IF(BT70&lt;0,IF(OR($J70=1,$J70=2,$J70=3,$J70=4),-$E70*$I70/12*3,IF($J70=5,-$E70*$I70/12*2,IF($J70=6,-$E70*$I70/12*1,0)))))+IF(BO$5&lt;&gt;$H70,0,IF(BO70&lt;0,IF($J70=4,-$E70*$I70/12*0,IF($J70=5,-$E70*$I70/12*1,IF($J70=6,-$E70*$I70/12*2,IF($J70&gt;=7,-$E70*$I70/12*3,0))))))</f>
        <v>0</v>
      </c>
      <c r="BR70" s="442">
        <f t="shared" ref="BR70" si="902">IF($H70&lt;&gt;BT$5,0,IF(BT70&lt;0,IF(OR($J70=1,$J70=2,$J70=3,$J70=4,$J70=5,$J70=6,$J70=7),-$E70*$I70/12*3,IF($J70=8,-$E70*$I70/12*2,IF($J70=9,-$E70*$I70/12*1,0)))))+IF(BO$5&lt;&gt;$H70,0,IF(BO70&lt;0,IF($J70=7,-$E70*$I70/12*0,IF($J70=8,-$E70*$I70/12*1,IF($J70=9,-$E70*$I70/12*2,IF($J70&gt;=10,-$E70*$I70/12*3,0))))))</f>
        <v>0</v>
      </c>
      <c r="BS70" s="443">
        <f t="shared" ref="BS70" si="903">IF($H70&lt;&gt;BT$5,0,IF(BT70&lt;0,IF(OR($J70=1,$J70=2,$J70=3,$J70=4,$J70=5,$J70=6,$J70=7,$J70=8,$J70=9,$J70=10),-$E70*$I70/12*3,IF($J70=11,-$E70*$I70/12*2,IF($J70=12,-$E70*$I70/12*1,0)))))+IF(BO$5&lt;&gt;$H70,0,IF(BO70&lt;0,IF($J70=10,-$E70*$I70/12*0,IF($J70=11,-$E70*$I70/12*1,IF($J70=12,-$E70*$I70/12*2,0)))))</f>
        <v>0</v>
      </c>
      <c r="BT70" s="440">
        <f t="shared" ref="BT70" si="904">IF(AND(BO70&lt;&gt;0,BO$5=$H70),-$I70*$E70-BO70,IF(BT$5=$H70,-$I70*$E70*(12-$J70+1)/12,0))</f>
        <v>0</v>
      </c>
      <c r="BU70" s="441">
        <f t="shared" ref="BU70" si="905">IF($H70&lt;&gt;BY$5,0,IF(BY70&lt;0,IF($J70=1,-$E70*$I70/12*3,IF($J70=2,-$E70*$I70/12*2,IF($J70=3,-$E70*$I70/12*1,0)))))+IF(BT$5&lt;&gt;$H70,0,IF(BT70&lt;0,IF($J70=1,-$E70*$I70/12*0,IF($J70=2,-$E70*$I70/12*1,IF($J70=3,-$E70*$I70/12*2,IF($J70&gt;=4,-$E70*$I70/12*3,0))))))</f>
        <v>0</v>
      </c>
      <c r="BV70" s="442">
        <f t="shared" ref="BV70" si="906">IF($H70&lt;&gt;BY$5,0,IF(BY70&lt;0,IF(OR($J70=1,$J70=2,$J70=3,$J70=4),-$E70*$I70/12*3,IF($J70=5,-$E70*$I70/12*2,IF($J70=6,-$E70*$I70/12*1,0)))))+IF(BT$5&lt;&gt;$H70,0,IF(BT70&lt;0,IF($J70=4,-$E70*$I70/12*0,IF($J70=5,-$E70*$I70/12*1,IF($J70=6,-$E70*$I70/12*2,IF($J70&gt;=7,-$E70*$I70/12*3,0))))))</f>
        <v>0</v>
      </c>
      <c r="BW70" s="442">
        <f t="shared" ref="BW70" si="907">IF($H70&lt;&gt;BY$5,0,IF(BY70&lt;0,IF(OR($J70=1,$J70=2,$J70=3,$J70=4,$J70=5,$J70=6,$J70=7),-$E70*$I70/12*3,IF($J70=8,-$E70*$I70/12*2,IF($J70=9,-$E70*$I70/12*1,0)))))+IF(BT$5&lt;&gt;$H70,0,IF(BT70&lt;0,IF($J70=7,-$E70*$I70/12*0,IF($J70=8,-$E70*$I70/12*1,IF($J70=9,-$E70*$I70/12*2,IF($J70&gt;=10,-$E70*$I70/12*3,0))))))</f>
        <v>0</v>
      </c>
      <c r="BX70" s="443">
        <f t="shared" ref="BX70" si="908">IF($H70&lt;&gt;BY$5,0,IF(BY70&lt;0,IF(OR($J70=1,$J70=2,$J70=3,$J70=4,$J70=5,$J70=6,$J70=7,$J70=8,$J70=9,$J70=10),-$E70*$I70/12*3,IF($J70=11,-$E70*$I70/12*2,IF($J70=12,-$E70*$I70/12*1,0)))))+IF(BT$5&lt;&gt;$H70,0,IF(BT70&lt;0,IF($J70=10,-$E70*$I70/12*0,IF($J70=11,-$E70*$I70/12*1,IF($J70=12,-$E70*$I70/12*2,0)))))</f>
        <v>0</v>
      </c>
      <c r="BY70" s="440">
        <f t="shared" ref="BY70" si="909">IF(AND(BT70&lt;&gt;0,BT$5=$H70),-$I70*$E70-BT70,IF(BY$5=$H70,-$I70*$E70*(12-$J70+1)/12,0))</f>
        <v>0</v>
      </c>
      <c r="BZ70" s="441">
        <f t="shared" ref="BZ70" si="910">IF($H70&lt;&gt;CD$5,0,IF(CD70&lt;0,IF($J70=1,-$E70*$I70/12*3,IF($J70=2,-$E70*$I70/12*2,IF($J70=3,-$E70*$I70/12*1,0)))))+IF(BY$5&lt;&gt;$H70,0,IF(BY70&lt;0,IF($J70=1,-$E70*$I70/12*0,IF($J70=2,-$E70*$I70/12*1,IF($J70=3,-$E70*$I70/12*2,IF($J70&gt;=4,-$E70*$I70/12*3,0))))))</f>
        <v>0</v>
      </c>
      <c r="CA70" s="442">
        <f t="shared" ref="CA70" si="911">IF($H70&lt;&gt;CD$5,0,IF(CD70&lt;0,IF(OR($J70=1,$J70=2,$J70=3,$J70=4),-$E70*$I70/12*3,IF($J70=5,-$E70*$I70/12*2,IF($J70=6,-$E70*$I70/12*1,0)))))+IF(BY$5&lt;&gt;$H70,0,IF(BY70&lt;0,IF($J70=4,-$E70*$I70/12*0,IF($J70=5,-$E70*$I70/12*1,IF($J70=6,-$E70*$I70/12*2,IF($J70&gt;=7,-$E70*$I70/12*3,0))))))</f>
        <v>0</v>
      </c>
      <c r="CB70" s="442">
        <f t="shared" ref="CB70" si="912">IF($H70&lt;&gt;CD$5,0,IF(CD70&lt;0,IF(OR($J70=1,$J70=2,$J70=3,$J70=4,$J70=5,$J70=6,$J70=7),-$E70*$I70/12*3,IF($J70=8,-$E70*$I70/12*2,IF($J70=9,-$E70*$I70/12*1,0)))))+IF(BY$5&lt;&gt;$H70,0,IF(BY70&lt;0,IF($J70=7,-$E70*$I70/12*0,IF($J70=8,-$E70*$I70/12*1,IF($J70=9,-$E70*$I70/12*2,IF($J70&gt;=10,-$E70*$I70/12*3,0))))))</f>
        <v>0</v>
      </c>
      <c r="CC70" s="443">
        <f t="shared" ref="CC70" si="913">IF($H70&lt;&gt;CD$5,0,IF(CD70&lt;0,IF(OR($J70=1,$J70=2,$J70=3,$J70=4,$J70=5,$J70=6,$J70=7,$J70=8,$J70=9,$J70=10),-$E70*$I70/12*3,IF($J70=11,-$E70*$I70/12*2,IF($J70=12,-$E70*$I70/12*1,0)))))+IF(BY$5&lt;&gt;$H70,0,IF(BY70&lt;0,IF($J70=10,-$E70*$I70/12*0,IF($J70=11,-$E70*$I70/12*1,IF($J70=12,-$E70*$I70/12*2,0)))))</f>
        <v>0</v>
      </c>
      <c r="CD70" s="440">
        <f t="shared" ref="CD70" si="914">IF(AND(BY70&lt;&gt;0,BY$5=$H70),-$I70*$E70-BY70,IF(CD$5=$H70,-$I70*$E70*(12-$J70+1)/12,0))</f>
        <v>0</v>
      </c>
      <c r="CE70" s="441">
        <f t="shared" ref="CE70" si="915">IF($H70&lt;&gt;CI$5,0,IF(CI70&lt;0,IF($J70=1,-$E70*$I70/12*3,IF($J70=2,-$E70*$I70/12*2,IF($J70=3,-$E70*$I70/12*1,0)))))+IF(CD$5&lt;&gt;$H70,0,IF(CD70&lt;0,IF($J70=1,-$E70*$I70/12*0,IF($J70=2,-$E70*$I70/12*1,IF($J70=3,-$E70*$I70/12*2,IF($J70&gt;=4,-$E70*$I70/12*3,0))))))</f>
        <v>0</v>
      </c>
      <c r="CF70" s="442">
        <f t="shared" ref="CF70" si="916">IF($H70&lt;&gt;CI$5,0,IF(CI70&lt;0,IF(OR($J70=1,$J70=2,$J70=3,$J70=4),-$E70*$I70/12*3,IF($J70=5,-$E70*$I70/12*2,IF($J70=6,-$E70*$I70/12*1,0)))))+IF(CD$5&lt;&gt;$H70,0,IF(CD70&lt;0,IF($J70=4,-$E70*$I70/12*0,IF($J70=5,-$E70*$I70/12*1,IF($J70=6,-$E70*$I70/12*2,IF($J70&gt;=7,-$E70*$I70/12*3,0))))))</f>
        <v>0</v>
      </c>
      <c r="CG70" s="442">
        <f t="shared" ref="CG70" si="917">IF($H70&lt;&gt;CI$5,0,IF(CI70&lt;0,IF(OR($J70=1,$J70=2,$J70=3,$J70=4,$J70=5,$J70=6,$J70=7),-$E70*$I70/12*3,IF($J70=8,-$E70*$I70/12*2,IF($J70=9,-$E70*$I70/12*1,0)))))+IF(CD$5&lt;&gt;$H70,0,IF(CD70&lt;0,IF($J70=7,-$E70*$I70/12*0,IF($J70=8,-$E70*$I70/12*1,IF($J70=9,-$E70*$I70/12*2,IF($J70&gt;=10,-$E70*$I70/12*3,0))))))</f>
        <v>0</v>
      </c>
      <c r="CH70" s="443">
        <f t="shared" ref="CH70" si="918">IF($H70&lt;&gt;CI$5,0,IF(CI70&lt;0,IF(OR($J70=1,$J70=2,$J70=3,$J70=4,$J70=5,$J70=6,$J70=7,$J70=8,$J70=9,$J70=10),-$E70*$I70/12*3,IF($J70=11,-$E70*$I70/12*2,IF($J70=12,-$E70*$I70/12*1,0)))))+IF(CD$5&lt;&gt;$H70,0,IF(CD70&lt;0,IF($J70=10,-$E70*$I70/12*0,IF($J70=11,-$E70*$I70/12*1,IF($J70=12,-$E70*$I70/12*2,0)))))</f>
        <v>0</v>
      </c>
      <c r="CI70" s="440">
        <f t="shared" ref="CI70" si="919">IF(AND(CD70&lt;&gt;0,CD$5=$H70),-$I70*$E70-CD70,IF(CI$5=$H70,-$I70*$E70*(12-$J70+1)/12,0))</f>
        <v>0</v>
      </c>
      <c r="CJ70" s="441">
        <f t="shared" ref="CJ70" si="920">IF($H70&lt;&gt;CN$5,0,IF(CN70&lt;0,IF($J70=1,-$E70*$I70/12*3,IF($J70=2,-$E70*$I70/12*2,IF($J70=3,-$E70*$I70/12*1,0)))))+IF(CI$5&lt;&gt;$H70,0,IF(CI70&lt;0,IF($J70=1,-$E70*$I70/12*0,IF($J70=2,-$E70*$I70/12*1,IF($J70=3,-$E70*$I70/12*2,IF($J70&gt;=4,-$E70*$I70/12*3,0))))))</f>
        <v>0</v>
      </c>
      <c r="CK70" s="442">
        <f t="shared" ref="CK70" si="921">IF($H70&lt;&gt;CN$5,0,IF(CN70&lt;0,IF(OR($J70=1,$J70=2,$J70=3,$J70=4),-$E70*$I70/12*3,IF($J70=5,-$E70*$I70/12*2,IF($J70=6,-$E70*$I70/12*1,0)))))+IF(CI$5&lt;&gt;$H70,0,IF(CI70&lt;0,IF($J70=4,-$E70*$I70/12*0,IF($J70=5,-$E70*$I70/12*1,IF($J70=6,-$E70*$I70/12*2,IF($J70&gt;=7,-$E70*$I70/12*3,0))))))</f>
        <v>0</v>
      </c>
      <c r="CL70" s="442">
        <f t="shared" ref="CL70" si="922">IF($H70&lt;&gt;CN$5,0,IF(CN70&lt;0,IF(OR($J70=1,$J70=2,$J70=3,$J70=4,$J70=5,$J70=6,$J70=7),-$E70*$I70/12*3,IF($J70=8,-$E70*$I70/12*2,IF($J70=9,-$E70*$I70/12*1,0)))))+IF(CI$5&lt;&gt;$H70,0,IF(CI70&lt;0,IF($J70=7,-$E70*$I70/12*0,IF($J70=8,-$E70*$I70/12*1,IF($J70=9,-$E70*$I70/12*2,IF($J70&gt;=10,-$E70*$I70/12*3,0))))))</f>
        <v>0</v>
      </c>
      <c r="CM70" s="443">
        <f t="shared" ref="CM70" si="923">IF($H70&lt;&gt;CN$5,0,IF(CN70&lt;0,IF(OR($J70=1,$J70=2,$J70=3,$J70=4,$J70=5,$J70=6,$J70=7,$J70=8,$J70=9,$J70=10),-$E70*$I70/12*3,IF($J70=11,-$E70*$I70/12*2,IF($J70=12,-$E70*$I70/12*1,0)))))+IF(CI$5&lt;&gt;$H70,0,IF(CI70&lt;0,IF($J70=10,-$E70*$I70/12*0,IF($J70=11,-$E70*$I70/12*1,IF($J70=12,-$E70*$I70/12*2,0)))))</f>
        <v>0</v>
      </c>
      <c r="CN70" s="440">
        <f t="shared" ref="CN70" si="924">IF(AND(CI70&lt;&gt;0,CI$5=$H70),-$I70*$E70-CI70,IF(CN$5=$H70,-$I70*$E70*(12-$J70+1)/12,0))</f>
        <v>0</v>
      </c>
      <c r="CO70" s="441">
        <f t="shared" ref="CO70" si="925">IF($H70&lt;&gt;CS$5,0,IF(CS70&lt;0,IF($J70=1,-$E70*$I70/12*3,IF($J70=2,-$E70*$I70/12*2,IF($J70=3,-$E70*$I70/12*1,0)))))+IF(CN$5&lt;&gt;$H70,0,IF(CN70&lt;0,IF($J70=1,-$E70*$I70/12*0,IF($J70=2,-$E70*$I70/12*1,IF($J70=3,-$E70*$I70/12*2,IF($J70&gt;=4,-$E70*$I70/12*3,0))))))</f>
        <v>0</v>
      </c>
      <c r="CP70" s="442">
        <f t="shared" ref="CP70" si="926">IF($H70&lt;&gt;CS$5,0,IF(CS70&lt;0,IF(OR($J70=1,$J70=2,$J70=3,$J70=4),-$E70*$I70/12*3,IF($J70=5,-$E70*$I70/12*2,IF($J70=6,-$E70*$I70/12*1,0)))))+IF(CN$5&lt;&gt;$H70,0,IF(CN70&lt;0,IF($J70=4,-$E70*$I70/12*0,IF($J70=5,-$E70*$I70/12*1,IF($J70=6,-$E70*$I70/12*2,IF($J70&gt;=7,-$E70*$I70/12*3,0))))))</f>
        <v>0</v>
      </c>
      <c r="CQ70" s="442">
        <f t="shared" ref="CQ70" si="927">IF($H70&lt;&gt;CS$5,0,IF(CS70&lt;0,IF(OR($J70=1,$J70=2,$J70=3,$J70=4,$J70=5,$J70=6,$J70=7),-$E70*$I70/12*3,IF($J70=8,-$E70*$I70/12*2,IF($J70=9,-$E70*$I70/12*1,0)))))+IF(CN$5&lt;&gt;$H70,0,IF(CN70&lt;0,IF($J70=7,-$E70*$I70/12*0,IF($J70=8,-$E70*$I70/12*1,IF($J70=9,-$E70*$I70/12*2,IF($J70&gt;=10,-$E70*$I70/12*3,0))))))</f>
        <v>0</v>
      </c>
      <c r="CR70" s="443">
        <f t="shared" ref="CR70" si="928">IF($H70&lt;&gt;CS$5,0,IF(CS70&lt;0,IF(OR($J70=1,$J70=2,$J70=3,$J70=4,$J70=5,$J70=6,$J70=7,$J70=8,$J70=9,$J70=10),-$E70*$I70/12*3,IF($J70=11,-$E70*$I70/12*2,IF($J70=12,-$E70*$I70/12*1,0)))))+IF(CN$5&lt;&gt;$H70,0,IF(CN70&lt;0,IF($J70=10,-$E70*$I70/12*0,IF($J70=11,-$E70*$I70/12*1,IF($J70=12,-$E70*$I70/12*2,0)))))</f>
        <v>0</v>
      </c>
      <c r="CS70" s="440">
        <f t="shared" ref="CS70" si="929">IF(AND(CN70&lt;&gt;0,CN$5=$H70),-$I70*$E70-CN70,IF(CS$5=$H70,-$I70*$E70*(12-$J70+1)/12,0))</f>
        <v>0</v>
      </c>
      <c r="CT70" s="441">
        <f t="shared" ref="CT70" si="930">IF($H70&lt;&gt;CX$5,0,IF(CX70&lt;0,IF($J70=1,-$E70*$I70/12*3,IF($J70=2,-$E70*$I70/12*2,IF($J70=3,-$E70*$I70/12*1,0)))))+IF(CS$5&lt;&gt;$H70,0,IF(CS70&lt;0,IF($J70=1,-$E70*$I70/12*0,IF($J70=2,-$E70*$I70/12*1,IF($J70=3,-$E70*$I70/12*2,IF($J70&gt;=4,-$E70*$I70/12*3,0))))))</f>
        <v>0</v>
      </c>
      <c r="CU70" s="442">
        <f t="shared" ref="CU70" si="931">IF($H70&lt;&gt;CX$5,0,IF(CX70&lt;0,IF(OR($J70=1,$J70=2,$J70=3,$J70=4),-$E70*$I70/12*3,IF($J70=5,-$E70*$I70/12*2,IF($J70=6,-$E70*$I70/12*1,0)))))+IF(CS$5&lt;&gt;$H70,0,IF(CS70&lt;0,IF($J70=4,-$E70*$I70/12*0,IF($J70=5,-$E70*$I70/12*1,IF($J70=6,-$E70*$I70/12*2,IF($J70&gt;=7,-$E70*$I70/12*3,0))))))</f>
        <v>0</v>
      </c>
      <c r="CV70" s="442">
        <f t="shared" ref="CV70" si="932">IF($H70&lt;&gt;CX$5,0,IF(CX70&lt;0,IF(OR($J70=1,$J70=2,$J70=3,$J70=4,$J70=5,$J70=6,$J70=7),-$E70*$I70/12*3,IF($J70=8,-$E70*$I70/12*2,IF($J70=9,-$E70*$I70/12*1,0)))))+IF(CS$5&lt;&gt;$H70,0,IF(CS70&lt;0,IF($J70=7,-$E70*$I70/12*0,IF($J70=8,-$E70*$I70/12*1,IF($J70=9,-$E70*$I70/12*2,IF($J70&gt;=10,-$E70*$I70/12*3,0))))))</f>
        <v>0</v>
      </c>
      <c r="CW70" s="443">
        <f t="shared" ref="CW70" si="933">IF($H70&lt;&gt;CX$5,0,IF(CX70&lt;0,IF(OR($J70=1,$J70=2,$J70=3,$J70=4,$J70=5,$J70=6,$J70=7,$J70=8,$J70=9,$J70=10),-$E70*$I70/12*3,IF($J70=11,-$E70*$I70/12*2,IF($J70=12,-$E70*$I70/12*1,0)))))+IF(CS$5&lt;&gt;$H70,0,IF(CS70&lt;0,IF($J70=10,-$E70*$I70/12*0,IF($J70=11,-$E70*$I70/12*1,IF($J70=12,-$E70*$I70/12*2,0)))))</f>
        <v>0</v>
      </c>
      <c r="CX70" s="440">
        <f t="shared" ref="CX70" si="934">IF(AND(CS70&lt;&gt;0,CS$5=$H70),-$I70*$E70-CS70,IF(CX$5=$H70,-$I70*$E70*(12-$J70+1)/12,0))</f>
        <v>0</v>
      </c>
      <c r="CY70" s="441">
        <f t="shared" ref="CY70" si="935">IF($H70&lt;&gt;DC$5,0,IF(DC70&lt;0,IF($J70=1,-$E70*$I70/12*3,IF($J70=2,-$E70*$I70/12*2,IF($J70=3,-$E70*$I70/12*1,0)))))+IF(CX$5&lt;&gt;$H70,0,IF(CX70&lt;0,IF($J70=1,-$E70*$I70/12*0,IF($J70=2,-$E70*$I70/12*1,IF($J70=3,-$E70*$I70/12*2,IF($J70&gt;=4,-$E70*$I70/12*3,0))))))</f>
        <v>0</v>
      </c>
      <c r="CZ70" s="442">
        <f t="shared" ref="CZ70" si="936">IF($H70&lt;&gt;DC$5,0,IF(DC70&lt;0,IF(OR($J70=1,$J70=2,$J70=3,$J70=4),-$E70*$I70/12*3,IF($J70=5,-$E70*$I70/12*2,IF($J70=6,-$E70*$I70/12*1,0)))))+IF(CX$5&lt;&gt;$H70,0,IF(CX70&lt;0,IF($J70=4,-$E70*$I70/12*0,IF($J70=5,-$E70*$I70/12*1,IF($J70=6,-$E70*$I70/12*2,IF($J70&gt;=7,-$E70*$I70/12*3,0))))))</f>
        <v>0</v>
      </c>
      <c r="DA70" s="442">
        <f t="shared" ref="DA70" si="937">IF($H70&lt;&gt;DC$5,0,IF(DC70&lt;0,IF(OR($J70=1,$J70=2,$J70=3,$J70=4,$J70=5,$J70=6,$J70=7),-$E70*$I70/12*3,IF($J70=8,-$E70*$I70/12*2,IF($J70=9,-$E70*$I70/12*1,0)))))+IF(CX$5&lt;&gt;$H70,0,IF(CX70&lt;0,IF($J70=7,-$E70*$I70/12*0,IF($J70=8,-$E70*$I70/12*1,IF($J70=9,-$E70*$I70/12*2,IF($J70&gt;=10,-$E70*$I70/12*3,0))))))</f>
        <v>0</v>
      </c>
      <c r="DB70" s="443">
        <f t="shared" ref="DB70" si="938">IF($H70&lt;&gt;DC$5,0,IF(DC70&lt;0,IF(OR($J70=1,$J70=2,$J70=3,$J70=4,$J70=5,$J70=6,$J70=7,$J70=8,$J70=9,$J70=10),-$E70*$I70/12*3,IF($J70=11,-$E70*$I70/12*2,IF($J70=12,-$E70*$I70/12*1,0)))))+IF(CX$5&lt;&gt;$H70,0,IF(CX70&lt;0,IF($J70=10,-$E70*$I70/12*0,IF($J70=11,-$E70*$I70/12*1,IF($J70=12,-$E70*$I70/12*2,0)))))</f>
        <v>0</v>
      </c>
      <c r="DC70" s="440">
        <f t="shared" ref="DC70" si="939">IF(AND(CX70&lt;&gt;0,CX$5=$H70),-$I70*$E70-CX70,IF(DC$5=$H70,-$I70*$E70*(12-$J70+1)/12,0))</f>
        <v>0</v>
      </c>
      <c r="DD70" s="441">
        <f t="shared" ref="DD70" si="940">IF($H70&lt;&gt;DH$5,0,IF(DH70&lt;0,IF($J70=1,-$E70*$I70/12*3,IF($J70=2,-$E70*$I70/12*2,IF($J70=3,-$E70*$I70/12*1,0)))))+IF(DC$5&lt;&gt;$H70,0,IF(DC70&lt;0,IF($J70=1,-$E70*$I70/12*0,IF($J70=2,-$E70*$I70/12*1,IF($J70=3,-$E70*$I70/12*2,IF($J70&gt;=4,-$E70*$I70/12*3,0))))))</f>
        <v>0</v>
      </c>
      <c r="DE70" s="442">
        <f t="shared" ref="DE70" si="941">IF($H70&lt;&gt;DH$5,0,IF(DH70&lt;0,IF(OR($J70=1,$J70=2,$J70=3,$J70=4),-$E70*$I70/12*3,IF($J70=5,-$E70*$I70/12*2,IF($J70=6,-$E70*$I70/12*1,0)))))+IF(DC$5&lt;&gt;$H70,0,IF(DC70&lt;0,IF($J70=4,-$E70*$I70/12*0,IF($J70=5,-$E70*$I70/12*1,IF($J70=6,-$E70*$I70/12*2,IF($J70&gt;=7,-$E70*$I70/12*3,0))))))</f>
        <v>0</v>
      </c>
      <c r="DF70" s="442">
        <f t="shared" ref="DF70" si="942">IF($H70&lt;&gt;DH$5,0,IF(DH70&lt;0,IF(OR($J70=1,$J70=2,$J70=3,$J70=4,$J70=5,$J70=6,$J70=7),-$E70*$I70/12*3,IF($J70=8,-$E70*$I70/12*2,IF($J70=9,-$E70*$I70/12*1,0)))))+IF(DC$5&lt;&gt;$H70,0,IF(DC70&lt;0,IF($J70=7,-$E70*$I70/12*0,IF($J70=8,-$E70*$I70/12*1,IF($J70=9,-$E70*$I70/12*2,IF($J70&gt;=10,-$E70*$I70/12*3,0))))))</f>
        <v>0</v>
      </c>
      <c r="DG70" s="443">
        <f t="shared" ref="DG70" si="943">IF($H70&lt;&gt;DH$5,0,IF(DH70&lt;0,IF(OR($J70=1,$J70=2,$J70=3,$J70=4,$J70=5,$J70=6,$J70=7,$J70=8,$J70=9,$J70=10),-$E70*$I70/12*3,IF($J70=11,-$E70*$I70/12*2,IF($J70=12,-$E70*$I70/12*1,0)))))+IF(DC$5&lt;&gt;$H70,0,IF(DC70&lt;0,IF($J70=10,-$E70*$I70/12*0,IF($J70=11,-$E70*$I70/12*1,IF($J70=12,-$E70*$I70/12*2,0)))))</f>
        <v>0</v>
      </c>
      <c r="DH70" s="440">
        <f t="shared" ref="DH70" si="944">IF(AND(DC70&lt;&gt;0,DC$5=$H70),-$I70*$E70-DC70,IF(DH$5=$H70,-$I70*$E70*(12-$J70+1)/12,0))</f>
        <v>0</v>
      </c>
      <c r="DI70" s="441">
        <f t="shared" ref="DI70" si="945">IF($H70&lt;&gt;DM$5,0,IF(DM70&lt;0,IF($J70=1,-$E70*$I70/12*3,IF($J70=2,-$E70*$I70/12*2,IF($J70=3,-$E70*$I70/12*1,0)))))+IF(DH$5&lt;&gt;$H70,0,IF(DH70&lt;0,IF($J70=1,-$E70*$I70/12*0,IF($J70=2,-$E70*$I70/12*1,IF($J70=3,-$E70*$I70/12*2,IF($J70&gt;=4,-$E70*$I70/12*3,0))))))</f>
        <v>0</v>
      </c>
      <c r="DJ70" s="442">
        <f t="shared" ref="DJ70" si="946">IF($H70&lt;&gt;DM$5,0,IF(DM70&lt;0,IF(OR($J70=1,$J70=2,$J70=3,$J70=4),-$E70*$I70/12*3,IF($J70=5,-$E70*$I70/12*2,IF($J70=6,-$E70*$I70/12*1,0)))))+IF(DH$5&lt;&gt;$H70,0,IF(DH70&lt;0,IF($J70=4,-$E70*$I70/12*0,IF($J70=5,-$E70*$I70/12*1,IF($J70=6,-$E70*$I70/12*2,IF($J70&gt;=7,-$E70*$I70/12*3,0))))))</f>
        <v>0</v>
      </c>
      <c r="DK70" s="442">
        <f t="shared" ref="DK70" si="947">IF($H70&lt;&gt;DM$5,0,IF(DM70&lt;0,IF(OR($J70=1,$J70=2,$J70=3,$J70=4,$J70=5,$J70=6,$J70=7),-$E70*$I70/12*3,IF($J70=8,-$E70*$I70/12*2,IF($J70=9,-$E70*$I70/12*1,0)))))+IF(DH$5&lt;&gt;$H70,0,IF(DH70&lt;0,IF($J70=7,-$E70*$I70/12*0,IF($J70=8,-$E70*$I70/12*1,IF($J70=9,-$E70*$I70/12*2,IF($J70&gt;=10,-$E70*$I70/12*3,0))))))</f>
        <v>-1.6815</v>
      </c>
      <c r="DL70" s="443">
        <f t="shared" ref="DL70" si="948">IF($H70&lt;&gt;DM$5,0,IF(DM70&lt;0,IF(OR($J70=1,$J70=2,$J70=3,$J70=4,$J70=5,$J70=6,$J70=7,$J70=8,$J70=9,$J70=10),-$E70*$I70/12*3,IF($J70=11,-$E70*$I70/12*2,IF($J70=12,-$E70*$I70/12*1,0)))))+IF(DH$5&lt;&gt;$H70,0,IF(DH70&lt;0,IF($J70=10,-$E70*$I70/12*0,IF($J70=11,-$E70*$I70/12*1,IF($J70=12,-$E70*$I70/12*2,0)))))</f>
        <v>-2.5222500000000001</v>
      </c>
      <c r="DM70" s="440">
        <f t="shared" ref="DM70" si="949">IF(AND(DH70&lt;&gt;0,DH$5=$H70),-$I70*$E70-DH70,IF(DM$5=$H70,-$I70*$E70*(12-$J70+1)/12,0))</f>
        <v>-4.2037500000000003</v>
      </c>
      <c r="DN70" s="441">
        <f t="shared" ref="DN70" si="950">IF($H70&lt;&gt;DR$5,0,IF(DR70&lt;0,IF($J70=1,-$E70*$I70/12*3,IF($J70=2,-$E70*$I70/12*2,IF($J70=3,-$E70*$I70/12*1,0)))))+IF(DM$5&lt;&gt;$H70,0,IF(DM70&lt;0,IF($J70=1,-$E70*$I70/12*0,IF($J70=2,-$E70*$I70/12*1,IF($J70=3,-$E70*$I70/12*2,IF($J70&gt;=4,-$E70*$I70/12*3,0))))))</f>
        <v>-2.5222500000000001</v>
      </c>
      <c r="DO70" s="442">
        <f t="shared" ref="DO70" si="951">IF($H70&lt;&gt;DR$5,0,IF(DR70&lt;0,IF(OR($J70=1,$J70=2,$J70=3,$J70=4),-$E70*$I70/12*3,IF($J70=5,-$E70*$I70/12*2,IF($J70=6,-$E70*$I70/12*1,0)))))+IF(DM$5&lt;&gt;$H70,0,IF(DM70&lt;0,IF($J70=4,-$E70*$I70/12*0,IF($J70=5,-$E70*$I70/12*1,IF($J70=6,-$E70*$I70/12*2,IF($J70&gt;=7,-$E70*$I70/12*3,0))))))</f>
        <v>-2.5222500000000001</v>
      </c>
      <c r="DP70" s="442">
        <f t="shared" ref="DP70" si="952">IF($H70&lt;&gt;DR$5,0,IF(DR70&lt;0,IF(OR($J70=1,$J70=2,$J70=3,$J70=4,$J70=5,$J70=6,$J70=7),-$E70*$I70/12*3,IF($J70=8,-$E70*$I70/12*2,IF($J70=9,-$E70*$I70/12*1,0)))))+IF(DM$5&lt;&gt;$H70,0,IF(DM70&lt;0,IF($J70=7,-$E70*$I70/12*0,IF($J70=8,-$E70*$I70/12*1,IF($J70=9,-$E70*$I70/12*2,IF($J70&gt;=10,-$E70*$I70/12*3,0))))))</f>
        <v>-0.84075</v>
      </c>
      <c r="DQ70" s="443">
        <f t="shared" ref="DQ70" si="953">IF($H70&lt;&gt;DR$5,0,IF(DR70&lt;0,IF(OR($J70=1,$J70=2,$J70=3,$J70=4,$J70=5,$J70=6,$J70=7,$J70=8,$J70=9,$J70=10),-$E70*$I70/12*3,IF($J70=11,-$E70*$I70/12*2,IF($J70=12,-$E70*$I70/12*1,0)))))+IF(DM$5&lt;&gt;$H70,0,IF(DM70&lt;0,IF($J70=10,-$E70*$I70/12*0,IF($J70=11,-$E70*$I70/12*1,IF($J70=12,-$E70*$I70/12*2,0)))))</f>
        <v>0</v>
      </c>
      <c r="DR70" s="440">
        <f t="shared" ref="DR70" si="954">IF(AND(DM70&lt;&gt;0,DM$5=$H70),-$I70*$E70-DM70,IF(DR$5=$H70,-$I70*$E70*(12-$J70+1)/12,0))</f>
        <v>-5.8852500000000001</v>
      </c>
    </row>
    <row r="71" spans="1:122" ht="12.75" customHeight="1">
      <c r="A71" s="92"/>
      <c r="B71" s="92"/>
      <c r="C71" s="1590" t="s">
        <v>1162</v>
      </c>
      <c r="D71" s="395"/>
      <c r="E71" s="865">
        <f t="shared" ref="E71:E77" si="955">IF(F71=0,G71,F71)</f>
        <v>141.26</v>
      </c>
      <c r="F71" s="1945">
        <v>141.26</v>
      </c>
      <c r="G71" s="1945">
        <v>141.26</v>
      </c>
      <c r="H71" s="1308">
        <v>2018</v>
      </c>
      <c r="I71" s="1948">
        <v>5.6299999999999996E-2</v>
      </c>
      <c r="J71" s="1357">
        <v>6</v>
      </c>
      <c r="K71" s="549"/>
      <c r="L71" s="441">
        <f t="shared" ref="L71:L76" si="956">IF(P71=0,0,IF(P71&lt;0,IF($J71=3,P71,IF($J71=2,P71,IF($J71=1,P71,0)))))</f>
        <v>0</v>
      </c>
      <c r="M71" s="442">
        <f t="shared" ref="M71:M76" si="957">IF(P71=0,0,IF(P71&lt;0,IF($J71=6,P71,IF($J71=5,P71,IF($J71=4,P71,0)))))</f>
        <v>0</v>
      </c>
      <c r="N71" s="442">
        <f t="shared" ref="N71:N76" si="958">IF(P71=0,0,IF(P71&lt;0,IF($J71=9,P71,IF($J71=8,P71,IF($J71=7,P71,0)))))</f>
        <v>0</v>
      </c>
      <c r="O71" s="443">
        <f t="shared" ref="O71:O76" si="959">IF(P71=0,0,IF(P71&lt;0,IF($J71=12,P71,IF($J71=11,P71,IF($J71=10,P71,0)))))</f>
        <v>0</v>
      </c>
      <c r="P71" s="440">
        <f t="shared" ref="P71:P76" si="960">IF(P$5=$H71,-$E71,0)</f>
        <v>0</v>
      </c>
      <c r="Q71" s="441">
        <f t="shared" ref="Q71:Q76" si="961">IF(U71=0,0,IF(U71&lt;0,IF($J71=3,U71,IF($J71=2,U71,IF($J71=1,U71,0)))))</f>
        <v>0</v>
      </c>
      <c r="R71" s="442">
        <f t="shared" ref="R71:R76" si="962">IF(U71=0,0,IF(U71&lt;0,IF($J71=6,U71,IF($J71=5,U71,IF($J71=4,U71,0)))))</f>
        <v>0</v>
      </c>
      <c r="S71" s="442">
        <f t="shared" ref="S71:S76" si="963">IF(U71=0,0,IF(U71&lt;0,IF($J71=9,U71,IF($J71=8,U71,IF($J71=7,U71,0)))))</f>
        <v>0</v>
      </c>
      <c r="T71" s="443">
        <f t="shared" ref="T71:T76" si="964">IF(U71=0,0,IF(U71&lt;0,IF($J71=12,U71,IF($J71=11,U71,IF($J71=10,U71,0)))))</f>
        <v>0</v>
      </c>
      <c r="U71" s="440">
        <f t="shared" ref="U71:U76" si="965">IF(U$5=$H71,-$E71,0)</f>
        <v>0</v>
      </c>
      <c r="V71" s="441">
        <f t="shared" ref="V71:V76" si="966">IF(Z71=0,0,IF(Z71&lt;0,IF($J71=3,Z71,IF($J71=2,Z71,IF($J71=1,Z71,0)))))</f>
        <v>0</v>
      </c>
      <c r="W71" s="442">
        <f t="shared" ref="W71:W76" si="967">IF(Z71=0,0,IF(Z71&lt;0,IF($J71=6,Z71,IF($J71=5,Z71,IF($J71=4,Z71,0)))))</f>
        <v>0</v>
      </c>
      <c r="X71" s="442">
        <f t="shared" ref="X71:X76" si="968">IF(Z71=0,0,IF(Z71&lt;0,IF($J71=9,Z71,IF($J71=8,Z71,IF($J71=7,Z71,0)))))</f>
        <v>0</v>
      </c>
      <c r="Y71" s="443">
        <f t="shared" ref="Y71:Y76" si="969">IF(Z71=0,0,IF(Z71&lt;0,IF($J71=12,Z71,IF($J71=11,Z71,IF($J71=10,Z71,0)))))</f>
        <v>0</v>
      </c>
      <c r="Z71" s="440">
        <f t="shared" ref="Z71:Z76" si="970">IF(Z$5=$H71,-$E71,0)</f>
        <v>0</v>
      </c>
      <c r="AA71" s="441">
        <f t="shared" ref="AA71:AA76" si="971">IF(AE71=0,0,IF(AE71&lt;0,IF($J71=3,AE71,IF($J71=2,AE71,IF($J71=1,AE71,0)))))</f>
        <v>0</v>
      </c>
      <c r="AB71" s="442">
        <f t="shared" ref="AB71:AB76" si="972">IF(AE71=0,0,IF(AE71&lt;0,IF($J71=6,AE71,IF($J71=5,AE71,IF($J71=4,AE71,0)))))</f>
        <v>0</v>
      </c>
      <c r="AC71" s="442">
        <f t="shared" ref="AC71:AC76" si="973">IF(AE71=0,0,IF(AE71&lt;0,IF($J71=9,AE71,IF($J71=8,AE71,IF($J71=7,AE71,0)))))</f>
        <v>0</v>
      </c>
      <c r="AD71" s="443">
        <f t="shared" ref="AD71:AD76" si="974">IF(AE71=0,0,IF(AE71&lt;0,IF($J71=12,AE71,IF($J71=11,AE71,IF($J71=10,AE71,0)))))</f>
        <v>0</v>
      </c>
      <c r="AE71" s="440">
        <f t="shared" ref="AE71:AE76" si="975">IF(AE$5=$H71,-$E71,0)</f>
        <v>0</v>
      </c>
      <c r="AF71" s="441">
        <f t="shared" ref="AF71:AF76" si="976">IF(AJ71=0,0,IF(AJ71&lt;0,IF($J71=3,AJ71,IF($J71=2,AJ71,IF($J71=1,AJ71,0)))))</f>
        <v>0</v>
      </c>
      <c r="AG71" s="442">
        <f t="shared" ref="AG71:AG76" si="977">IF(AJ71=0,0,IF(AJ71&lt;0,IF($J71=6,AJ71,IF($J71=5,AJ71,IF($J71=4,AJ71,0)))))</f>
        <v>0</v>
      </c>
      <c r="AH71" s="442">
        <f t="shared" ref="AH71:AH76" si="978">IF(AJ71=0,0,IF(AJ71&lt;0,IF($J71=9,AJ71,IF($J71=8,AJ71,IF($J71=7,AJ71,0)))))</f>
        <v>0</v>
      </c>
      <c r="AI71" s="443">
        <f t="shared" ref="AI71:AI76" si="979">IF(AJ71=0,0,IF(AJ71&lt;0,IF($J71=12,AJ71,IF($J71=11,AJ71,IF($J71=10,AJ71,0)))))</f>
        <v>0</v>
      </c>
      <c r="AJ71" s="440">
        <f t="shared" ref="AJ71:AJ76" si="980">IF(AJ$5=$H71,-$E71,0)</f>
        <v>0</v>
      </c>
      <c r="AK71" s="441">
        <f t="shared" ref="AK71:AK76" si="981">IF(AO71=0,0,IF(AO71&lt;0,IF($J71=3,AO71,IF($J71=2,AO71,IF($J71=1,AO71,0)))))</f>
        <v>0</v>
      </c>
      <c r="AL71" s="442">
        <f t="shared" ref="AL71:AL76" si="982">IF(AO71=0,0,IF(AO71&lt;0,IF($J71=6,AO71,IF($J71=5,AO71,IF($J71=4,AO71,0)))))</f>
        <v>0</v>
      </c>
      <c r="AM71" s="442">
        <f t="shared" ref="AM71:AM76" si="983">IF(AO71=0,0,IF(AO71&lt;0,IF($J71=9,AO71,IF($J71=8,AO71,IF($J71=7,AO71,0)))))</f>
        <v>0</v>
      </c>
      <c r="AN71" s="443">
        <f t="shared" ref="AN71:AN76" si="984">IF(AO71=0,0,IF(AO71&lt;0,IF($J71=12,AO71,IF($J71=11,AO71,IF($J71=10,AO71,0)))))</f>
        <v>0</v>
      </c>
      <c r="AO71" s="440">
        <f t="shared" ref="AO71:AO76" si="985">IF(AO$5=$H71,-$E71,0)</f>
        <v>0</v>
      </c>
      <c r="AP71" s="441">
        <f t="shared" ref="AP71:AP77" si="986">IF(AT71=0,0,IF(AT71&lt;0,IF($J71=3,AT71,IF($J71=2,AT71,IF($J71=1,AT71,0)))))</f>
        <v>0</v>
      </c>
      <c r="AQ71" s="442">
        <f t="shared" ref="AQ71:AQ77" si="987">IF(AT71=0,0,IF(AT71&lt;0,IF($J71=6,AT71,IF($J71=5,AT71,IF($J71=4,AT71,0)))))</f>
        <v>0</v>
      </c>
      <c r="AR71" s="442">
        <f t="shared" ref="AR71:AR77" si="988">IF(AT71=0,0,IF(AT71&lt;0,IF($J71=9,AT71,IF($J71=8,AT71,IF($J71=7,AT71,0)))))</f>
        <v>0</v>
      </c>
      <c r="AS71" s="443">
        <f t="shared" ref="AS71:AS77" si="989">IF(AT71=0,0,IF(AT71&lt;0,IF($J71=12,AT71,IF($J71=11,AT71,IF($J71=10,AT71,0)))))</f>
        <v>0</v>
      </c>
      <c r="AT71" s="440">
        <f t="shared" ref="AT71:AT76" si="990">IF(AT$5=$H71,-$E71,0)</f>
        <v>0</v>
      </c>
      <c r="AU71" s="441">
        <f t="shared" ref="AU71:AU77" si="991">IF(AY71=0,0,IF(AY71&lt;0,IF($J71=3,AY71,IF($J71=2,AY71,IF($J71=1,AY71,0)))))</f>
        <v>0</v>
      </c>
      <c r="AV71" s="442">
        <f t="shared" ref="AV71:AV77" si="992">IF(AY71=0,0,IF(AY71&lt;0,IF($J71=6,AY71,IF($J71=5,AY71,IF($J71=4,AY71,0)))))</f>
        <v>-141.26</v>
      </c>
      <c r="AW71" s="442">
        <f t="shared" ref="AW71:AW77" si="993">IF(AY71=0,0,IF(AY71&lt;0,IF($J71=9,AY71,IF($J71=8,AY71,IF($J71=7,AY71,0)))))</f>
        <v>0</v>
      </c>
      <c r="AX71" s="443">
        <f t="shared" ref="AX71:AX77" si="994">IF(AY71=0,0,IF(AY71&lt;0,IF($J71=12,AY71,IF($J71=11,AY71,IF($J71=10,AY71,0)))))</f>
        <v>0</v>
      </c>
      <c r="AY71" s="440">
        <f t="shared" ref="AY71:AY76" si="995">IF(AY$5=$H71,-$E71,0)</f>
        <v>-141.26</v>
      </c>
      <c r="AZ71" s="441">
        <f t="shared" ref="AZ71:AZ77" si="996">IF(BD71=0,0,IF(BD71&lt;0,IF($J71=3,BD71,IF($J71=2,BD71,IF($J71=1,BD71,0)))))</f>
        <v>0</v>
      </c>
      <c r="BA71" s="442">
        <f t="shared" ref="BA71:BA77" si="997">IF(BD71=0,0,IF(BD71&lt;0,IF($J71=6,BD71,IF($J71=5,BD71,IF($J71=4,BD71,0)))))</f>
        <v>0</v>
      </c>
      <c r="BB71" s="442">
        <f t="shared" ref="BB71:BB77" si="998">IF(BD71=0,0,IF(BD71&lt;0,IF($J71=9,BD71,IF($J71=8,BD71,IF($J71=7,BD71,0)))))</f>
        <v>0</v>
      </c>
      <c r="BC71" s="443">
        <f t="shared" ref="BC71:BC77" si="999">IF(BD71=0,0,IF(BD71&lt;0,IF($J71=12,BD71,IF($J71=11,BD71,IF($J71=10,BD71,0)))))</f>
        <v>0</v>
      </c>
      <c r="BD71" s="440">
        <f t="shared" ref="BD71:BD76" si="1000">IF(BD$5=$H71,-$E71,0)</f>
        <v>0</v>
      </c>
      <c r="BE71" s="441">
        <f t="shared" ref="BE71:BE77" si="1001">IF(BI71=0,0,IF(BI71&lt;0,IF($J71=3,BI71,IF($J71=2,BI71,IF($J71=1,BI71,0)))))</f>
        <v>0</v>
      </c>
      <c r="BF71" s="442">
        <f t="shared" ref="BF71:BF77" si="1002">IF(BI71=0,0,IF(BI71&lt;0,IF($J71=6,BI71,IF($J71=5,BI71,IF($J71=4,BI71,0)))))</f>
        <v>0</v>
      </c>
      <c r="BG71" s="442">
        <f t="shared" ref="BG71:BG77" si="1003">IF(BI71=0,0,IF(BI71&lt;0,IF($J71=9,BI71,IF($J71=8,BI71,IF($J71=7,BI71,0)))))</f>
        <v>0</v>
      </c>
      <c r="BH71" s="443">
        <f t="shared" ref="BH71:BH77" si="1004">IF(BI71=0,0,IF(BI71&lt;0,IF($J71=12,BI71,IF($J71=11,BI71,IF($J71=10,BI71,0)))))</f>
        <v>0</v>
      </c>
      <c r="BI71" s="440">
        <f t="shared" ref="BI71:BI76" si="1005">IF(BI$5=$H71,-$E71,0)</f>
        <v>0</v>
      </c>
      <c r="BJ71" s="441">
        <f t="shared" ref="BJ71:BJ77" si="1006">IF(BN71=0,0,IF(BN71&lt;0,IF($J71=3,BN71,IF($J71=2,BN71,IF($J71=1,BN71,0)))))</f>
        <v>0</v>
      </c>
      <c r="BK71" s="442">
        <f t="shared" ref="BK71:BK77" si="1007">IF(BN71=0,0,IF(BN71&lt;0,IF($J71=6,BN71,IF($J71=5,BN71,IF($J71=4,BN71,0)))))</f>
        <v>0</v>
      </c>
      <c r="BL71" s="442">
        <f t="shared" ref="BL71:BL77" si="1008">IF(BN71=0,0,IF(BN71&lt;0,IF($J71=9,BN71,IF($J71=8,BN71,IF($J71=7,BN71,0)))))</f>
        <v>0</v>
      </c>
      <c r="BM71" s="443">
        <f t="shared" ref="BM71:BM77" si="1009">IF(BN71=0,0,IF(BN71&lt;0,IF($J71=12,BN71,IF($J71=11,BN71,IF($J71=10,BN71,0)))))</f>
        <v>0</v>
      </c>
      <c r="BN71" s="440">
        <f t="shared" ref="BN71:BN76" si="1010">IF(BN$5=$H71,-$E71,0)</f>
        <v>0</v>
      </c>
      <c r="BO71" s="465"/>
      <c r="BP71" s="441">
        <f t="shared" ref="BP71:BP77" si="1011">IF($H71&lt;&gt;BT$5,0,IF(BT71&lt;0,IF($J71=1,-$E71*$I71/12*3,IF($J71=2,-$E71*$I71/12*2,IF($J71=3,-$E71*$I71/12*1,0)))))+IF(BO$5&lt;&gt;$H71,0,IF(BO71&lt;0,IF($J71=1,-$E71*$I71/12*0,IF($J71=2,-$E71*$I71/12*1,IF($J71=3,-$E71*$I71/12*2,IF($J71&gt;=4,-$E71*$I71/12*3,0))))))</f>
        <v>0</v>
      </c>
      <c r="BQ71" s="442">
        <f t="shared" ref="BQ71:BQ77" si="1012">IF($H71&lt;&gt;BT$5,0,IF(BT71&lt;0,IF(OR($J71=1,$J71=2,$J71=3,$J71=4),-$E71*$I71/12*3,IF($J71=5,-$E71*$I71/12*2,IF($J71=6,-$E71*$I71/12*1,0)))))+IF(BO$5&lt;&gt;$H71,0,IF(BO71&lt;0,IF($J71=4,-$E71*$I71/12*0,IF($J71=5,-$E71*$I71/12*1,IF($J71=6,-$E71*$I71/12*2,IF($J71&gt;=7,-$E71*$I71/12*3,0))))))</f>
        <v>0</v>
      </c>
      <c r="BR71" s="442">
        <f t="shared" ref="BR71:BR77" si="1013">IF($H71&lt;&gt;BT$5,0,IF(BT71&lt;0,IF(OR($J71=1,$J71=2,$J71=3,$J71=4,$J71=5,$J71=6,$J71=7),-$E71*$I71/12*3,IF($J71=8,-$E71*$I71/12*2,IF($J71=9,-$E71*$I71/12*1,0)))))+IF(BO$5&lt;&gt;$H71,0,IF(BO71&lt;0,IF($J71=7,-$E71*$I71/12*0,IF($J71=8,-$E71*$I71/12*1,IF($J71=9,-$E71*$I71/12*2,IF($J71&gt;=10,-$E71*$I71/12*3,0))))))</f>
        <v>0</v>
      </c>
      <c r="BS71" s="443">
        <f t="shared" ref="BS71:BS77" si="1014">IF($H71&lt;&gt;BT$5,0,IF(BT71&lt;0,IF(OR($J71=1,$J71=2,$J71=3,$J71=4,$J71=5,$J71=6,$J71=7,$J71=8,$J71=9,$J71=10),-$E71*$I71/12*3,IF($J71=11,-$E71*$I71/12*2,IF($J71=12,-$E71*$I71/12*1,0)))))+IF(BO$5&lt;&gt;$H71,0,IF(BO71&lt;0,IF($J71=10,-$E71*$I71/12*0,IF($J71=11,-$E71*$I71/12*1,IF($J71=12,-$E71*$I71/12*2,0)))))</f>
        <v>0</v>
      </c>
      <c r="BT71" s="440">
        <f t="shared" ref="BT71:BT77" si="1015">IF(AND(BO71&lt;&gt;0,BO$5=$H71),-$I71*$E71-BO71,IF(BT$5=$H71,-$I71*$E71*(12-$J71+1)/12,0))</f>
        <v>0</v>
      </c>
      <c r="BU71" s="441">
        <f t="shared" ref="BU71:BU77" si="1016">IF($H71&lt;&gt;BY$5,0,IF(BY71&lt;0,IF($J71=1,-$E71*$I71/12*3,IF($J71=2,-$E71*$I71/12*2,IF($J71=3,-$E71*$I71/12*1,0)))))+IF(BT$5&lt;&gt;$H71,0,IF(BT71&lt;0,IF($J71=1,-$E71*$I71/12*0,IF($J71=2,-$E71*$I71/12*1,IF($J71=3,-$E71*$I71/12*2,IF($J71&gt;=4,-$E71*$I71/12*3,0))))))</f>
        <v>0</v>
      </c>
      <c r="BV71" s="442">
        <f t="shared" ref="BV71:BV77" si="1017">IF($H71&lt;&gt;BY$5,0,IF(BY71&lt;0,IF(OR($J71=1,$J71=2,$J71=3,$J71=4),-$E71*$I71/12*3,IF($J71=5,-$E71*$I71/12*2,IF($J71=6,-$E71*$I71/12*1,0)))))+IF(BT$5&lt;&gt;$H71,0,IF(BT71&lt;0,IF($J71=4,-$E71*$I71/12*0,IF($J71=5,-$E71*$I71/12*1,IF($J71=6,-$E71*$I71/12*2,IF($J71&gt;=7,-$E71*$I71/12*3,0))))))</f>
        <v>0</v>
      </c>
      <c r="BW71" s="442">
        <f t="shared" ref="BW71:BW77" si="1018">IF($H71&lt;&gt;BY$5,0,IF(BY71&lt;0,IF(OR($J71=1,$J71=2,$J71=3,$J71=4,$J71=5,$J71=6,$J71=7),-$E71*$I71/12*3,IF($J71=8,-$E71*$I71/12*2,IF($J71=9,-$E71*$I71/12*1,0)))))+IF(BT$5&lt;&gt;$H71,0,IF(BT71&lt;0,IF($J71=7,-$E71*$I71/12*0,IF($J71=8,-$E71*$I71/12*1,IF($J71=9,-$E71*$I71/12*2,IF($J71&gt;=10,-$E71*$I71/12*3,0))))))</f>
        <v>0</v>
      </c>
      <c r="BX71" s="443">
        <f t="shared" ref="BX71:BX77" si="1019">IF($H71&lt;&gt;BY$5,0,IF(BY71&lt;0,IF(OR($J71=1,$J71=2,$J71=3,$J71=4,$J71=5,$J71=6,$J71=7,$J71=8,$J71=9,$J71=10),-$E71*$I71/12*3,IF($J71=11,-$E71*$I71/12*2,IF($J71=12,-$E71*$I71/12*1,0)))))+IF(BT$5&lt;&gt;$H71,0,IF(BT71&lt;0,IF($J71=10,-$E71*$I71/12*0,IF($J71=11,-$E71*$I71/12*1,IF($J71=12,-$E71*$I71/12*2,0)))))</f>
        <v>0</v>
      </c>
      <c r="BY71" s="440">
        <f t="shared" ref="BY71:BY77" si="1020">IF(AND(BT71&lt;&gt;0,BT$5=$H71),-$I71*$E71-BT71,IF(BY$5=$H71,-$I71*$E71*(12-$J71+1)/12,0))</f>
        <v>0</v>
      </c>
      <c r="BZ71" s="441">
        <f t="shared" ref="BZ71:BZ77" si="1021">IF($H71&lt;&gt;CD$5,0,IF(CD71&lt;0,IF($J71=1,-$E71*$I71/12*3,IF($J71=2,-$E71*$I71/12*2,IF($J71=3,-$E71*$I71/12*1,0)))))+IF(BY$5&lt;&gt;$H71,0,IF(BY71&lt;0,IF($J71=1,-$E71*$I71/12*0,IF($J71=2,-$E71*$I71/12*1,IF($J71=3,-$E71*$I71/12*2,IF($J71&gt;=4,-$E71*$I71/12*3,0))))))</f>
        <v>0</v>
      </c>
      <c r="CA71" s="442">
        <f t="shared" ref="CA71:CA77" si="1022">IF($H71&lt;&gt;CD$5,0,IF(CD71&lt;0,IF(OR($J71=1,$J71=2,$J71=3,$J71=4),-$E71*$I71/12*3,IF($J71=5,-$E71*$I71/12*2,IF($J71=6,-$E71*$I71/12*1,0)))))+IF(BY$5&lt;&gt;$H71,0,IF(BY71&lt;0,IF($J71=4,-$E71*$I71/12*0,IF($J71=5,-$E71*$I71/12*1,IF($J71=6,-$E71*$I71/12*2,IF($J71&gt;=7,-$E71*$I71/12*3,0))))))</f>
        <v>0</v>
      </c>
      <c r="CB71" s="442">
        <f t="shared" ref="CB71:CB77" si="1023">IF($H71&lt;&gt;CD$5,0,IF(CD71&lt;0,IF(OR($J71=1,$J71=2,$J71=3,$J71=4,$J71=5,$J71=6,$J71=7),-$E71*$I71/12*3,IF($J71=8,-$E71*$I71/12*2,IF($J71=9,-$E71*$I71/12*1,0)))))+IF(BY$5&lt;&gt;$H71,0,IF(BY71&lt;0,IF($J71=7,-$E71*$I71/12*0,IF($J71=8,-$E71*$I71/12*1,IF($J71=9,-$E71*$I71/12*2,IF($J71&gt;=10,-$E71*$I71/12*3,0))))))</f>
        <v>0</v>
      </c>
      <c r="CC71" s="443">
        <f t="shared" ref="CC71:CC77" si="1024">IF($H71&lt;&gt;CD$5,0,IF(CD71&lt;0,IF(OR($J71=1,$J71=2,$J71=3,$J71=4,$J71=5,$J71=6,$J71=7,$J71=8,$J71=9,$J71=10),-$E71*$I71/12*3,IF($J71=11,-$E71*$I71/12*2,IF($J71=12,-$E71*$I71/12*1,0)))))+IF(BY$5&lt;&gt;$H71,0,IF(BY71&lt;0,IF($J71=10,-$E71*$I71/12*0,IF($J71=11,-$E71*$I71/12*1,IF($J71=12,-$E71*$I71/12*2,0)))))</f>
        <v>0</v>
      </c>
      <c r="CD71" s="440">
        <f t="shared" ref="CD71:CD77" si="1025">IF(AND(BY71&lt;&gt;0,BY$5=$H71),-$I71*$E71-BY71,IF(CD$5=$H71,-$I71*$E71*(12-$J71+1)/12,0))</f>
        <v>0</v>
      </c>
      <c r="CE71" s="441">
        <f t="shared" ref="CE71:CE77" si="1026">IF($H71&lt;&gt;CI$5,0,IF(CI71&lt;0,IF($J71=1,-$E71*$I71/12*3,IF($J71=2,-$E71*$I71/12*2,IF($J71=3,-$E71*$I71/12*1,0)))))+IF(CD$5&lt;&gt;$H71,0,IF(CD71&lt;0,IF($J71=1,-$E71*$I71/12*0,IF($J71=2,-$E71*$I71/12*1,IF($J71=3,-$E71*$I71/12*2,IF($J71&gt;=4,-$E71*$I71/12*3,0))))))</f>
        <v>0</v>
      </c>
      <c r="CF71" s="442">
        <f t="shared" ref="CF71:CF77" si="1027">IF($H71&lt;&gt;CI$5,0,IF(CI71&lt;0,IF(OR($J71=1,$J71=2,$J71=3,$J71=4),-$E71*$I71/12*3,IF($J71=5,-$E71*$I71/12*2,IF($J71=6,-$E71*$I71/12*1,0)))))+IF(CD$5&lt;&gt;$H71,0,IF(CD71&lt;0,IF($J71=4,-$E71*$I71/12*0,IF($J71=5,-$E71*$I71/12*1,IF($J71=6,-$E71*$I71/12*2,IF($J71&gt;=7,-$E71*$I71/12*3,0))))))</f>
        <v>0</v>
      </c>
      <c r="CG71" s="442">
        <f t="shared" ref="CG71:CG77" si="1028">IF($H71&lt;&gt;CI$5,0,IF(CI71&lt;0,IF(OR($J71=1,$J71=2,$J71=3,$J71=4,$J71=5,$J71=6,$J71=7),-$E71*$I71/12*3,IF($J71=8,-$E71*$I71/12*2,IF($J71=9,-$E71*$I71/12*1,0)))))+IF(CD$5&lt;&gt;$H71,0,IF(CD71&lt;0,IF($J71=7,-$E71*$I71/12*0,IF($J71=8,-$E71*$I71/12*1,IF($J71=9,-$E71*$I71/12*2,IF($J71&gt;=10,-$E71*$I71/12*3,0))))))</f>
        <v>0</v>
      </c>
      <c r="CH71" s="443">
        <f t="shared" ref="CH71:CH77" si="1029">IF($H71&lt;&gt;CI$5,0,IF(CI71&lt;0,IF(OR($J71=1,$J71=2,$J71=3,$J71=4,$J71=5,$J71=6,$J71=7,$J71=8,$J71=9,$J71=10),-$E71*$I71/12*3,IF($J71=11,-$E71*$I71/12*2,IF($J71=12,-$E71*$I71/12*1,0)))))+IF(CD$5&lt;&gt;$H71,0,IF(CD71&lt;0,IF($J71=10,-$E71*$I71/12*0,IF($J71=11,-$E71*$I71/12*1,IF($J71=12,-$E71*$I71/12*2,0)))))</f>
        <v>0</v>
      </c>
      <c r="CI71" s="440">
        <f t="shared" ref="CI71:CI77" si="1030">IF(AND(CD71&lt;&gt;0,CD$5=$H71),-$I71*$E71-CD71,IF(CI$5=$H71,-$I71*$E71*(12-$J71+1)/12,0))</f>
        <v>0</v>
      </c>
      <c r="CJ71" s="441">
        <f t="shared" ref="CJ71:CJ77" si="1031">IF($H71&lt;&gt;CN$5,0,IF(CN71&lt;0,IF($J71=1,-$E71*$I71/12*3,IF($J71=2,-$E71*$I71/12*2,IF($J71=3,-$E71*$I71/12*1,0)))))+IF(CI$5&lt;&gt;$H71,0,IF(CI71&lt;0,IF($J71=1,-$E71*$I71/12*0,IF($J71=2,-$E71*$I71/12*1,IF($J71=3,-$E71*$I71/12*2,IF($J71&gt;=4,-$E71*$I71/12*3,0))))))</f>
        <v>0</v>
      </c>
      <c r="CK71" s="442">
        <f t="shared" ref="CK71:CK77" si="1032">IF($H71&lt;&gt;CN$5,0,IF(CN71&lt;0,IF(OR($J71=1,$J71=2,$J71=3,$J71=4),-$E71*$I71/12*3,IF($J71=5,-$E71*$I71/12*2,IF($J71=6,-$E71*$I71/12*1,0)))))+IF(CI$5&lt;&gt;$H71,0,IF(CI71&lt;0,IF($J71=4,-$E71*$I71/12*0,IF($J71=5,-$E71*$I71/12*1,IF($J71=6,-$E71*$I71/12*2,IF($J71&gt;=7,-$E71*$I71/12*3,0))))))</f>
        <v>0</v>
      </c>
      <c r="CL71" s="442">
        <f t="shared" ref="CL71:CL77" si="1033">IF($H71&lt;&gt;CN$5,0,IF(CN71&lt;0,IF(OR($J71=1,$J71=2,$J71=3,$J71=4,$J71=5,$J71=6,$J71=7),-$E71*$I71/12*3,IF($J71=8,-$E71*$I71/12*2,IF($J71=9,-$E71*$I71/12*1,0)))))+IF(CI$5&lt;&gt;$H71,0,IF(CI71&lt;0,IF($J71=7,-$E71*$I71/12*0,IF($J71=8,-$E71*$I71/12*1,IF($J71=9,-$E71*$I71/12*2,IF($J71&gt;=10,-$E71*$I71/12*3,0))))))</f>
        <v>0</v>
      </c>
      <c r="CM71" s="443">
        <f t="shared" ref="CM71:CM77" si="1034">IF($H71&lt;&gt;CN$5,0,IF(CN71&lt;0,IF(OR($J71=1,$J71=2,$J71=3,$J71=4,$J71=5,$J71=6,$J71=7,$J71=8,$J71=9,$J71=10),-$E71*$I71/12*3,IF($J71=11,-$E71*$I71/12*2,IF($J71=12,-$E71*$I71/12*1,0)))))+IF(CI$5&lt;&gt;$H71,0,IF(CI71&lt;0,IF($J71=10,-$E71*$I71/12*0,IF($J71=11,-$E71*$I71/12*1,IF($J71=12,-$E71*$I71/12*2,0)))))</f>
        <v>0</v>
      </c>
      <c r="CN71" s="440">
        <f t="shared" ref="CN71:CN77" si="1035">IF(AND(CI71&lt;&gt;0,CI$5=$H71),-$I71*$E71-CI71,IF(CN$5=$H71,-$I71*$E71*(12-$J71+1)/12,0))</f>
        <v>0</v>
      </c>
      <c r="CO71" s="441">
        <f t="shared" ref="CO71:CO77" si="1036">IF($H71&lt;&gt;CS$5,0,IF(CS71&lt;0,IF($J71=1,-$E71*$I71/12*3,IF($J71=2,-$E71*$I71/12*2,IF($J71=3,-$E71*$I71/12*1,0)))))+IF(CN$5&lt;&gt;$H71,0,IF(CN71&lt;0,IF($J71=1,-$E71*$I71/12*0,IF($J71=2,-$E71*$I71/12*1,IF($J71=3,-$E71*$I71/12*2,IF($J71&gt;=4,-$E71*$I71/12*3,0))))))</f>
        <v>0</v>
      </c>
      <c r="CP71" s="442">
        <f t="shared" ref="CP71:CP77" si="1037">IF($H71&lt;&gt;CS$5,0,IF(CS71&lt;0,IF(OR($J71=1,$J71=2,$J71=3,$J71=4),-$E71*$I71/12*3,IF($J71=5,-$E71*$I71/12*2,IF($J71=6,-$E71*$I71/12*1,0)))))+IF(CN$5&lt;&gt;$H71,0,IF(CN71&lt;0,IF($J71=4,-$E71*$I71/12*0,IF($J71=5,-$E71*$I71/12*1,IF($J71=6,-$E71*$I71/12*2,IF($J71&gt;=7,-$E71*$I71/12*3,0))))))</f>
        <v>0</v>
      </c>
      <c r="CQ71" s="442">
        <f t="shared" ref="CQ71:CQ77" si="1038">IF($H71&lt;&gt;CS$5,0,IF(CS71&lt;0,IF(OR($J71=1,$J71=2,$J71=3,$J71=4,$J71=5,$J71=6,$J71=7),-$E71*$I71/12*3,IF($J71=8,-$E71*$I71/12*2,IF($J71=9,-$E71*$I71/12*1,0)))))+IF(CN$5&lt;&gt;$H71,0,IF(CN71&lt;0,IF($J71=7,-$E71*$I71/12*0,IF($J71=8,-$E71*$I71/12*1,IF($J71=9,-$E71*$I71/12*2,IF($J71&gt;=10,-$E71*$I71/12*3,0))))))</f>
        <v>0</v>
      </c>
      <c r="CR71" s="443">
        <f t="shared" ref="CR71:CR77" si="1039">IF($H71&lt;&gt;CS$5,0,IF(CS71&lt;0,IF(OR($J71=1,$J71=2,$J71=3,$J71=4,$J71=5,$J71=6,$J71=7,$J71=8,$J71=9,$J71=10),-$E71*$I71/12*3,IF($J71=11,-$E71*$I71/12*2,IF($J71=12,-$E71*$I71/12*1,0)))))+IF(CN$5&lt;&gt;$H71,0,IF(CN71&lt;0,IF($J71=10,-$E71*$I71/12*0,IF($J71=11,-$E71*$I71/12*1,IF($J71=12,-$E71*$I71/12*2,0)))))</f>
        <v>0</v>
      </c>
      <c r="CS71" s="440">
        <f t="shared" ref="CS71:CS77" si="1040">IF(AND(CN71&lt;&gt;0,CN$5=$H71),-$I71*$E71-CN71,IF(CS$5=$H71,-$I71*$E71*(12-$J71+1)/12,0))</f>
        <v>0</v>
      </c>
      <c r="CT71" s="441">
        <f t="shared" ref="CT71:CT77" si="1041">IF($H71&lt;&gt;CX$5,0,IF(CX71&lt;0,IF($J71=1,-$E71*$I71/12*3,IF($J71=2,-$E71*$I71/12*2,IF($J71=3,-$E71*$I71/12*1,0)))))+IF(CS$5&lt;&gt;$H71,0,IF(CS71&lt;0,IF($J71=1,-$E71*$I71/12*0,IF($J71=2,-$E71*$I71/12*1,IF($J71=3,-$E71*$I71/12*2,IF($J71&gt;=4,-$E71*$I71/12*3,0))))))</f>
        <v>0</v>
      </c>
      <c r="CU71" s="442">
        <f t="shared" ref="CU71:CU77" si="1042">IF($H71&lt;&gt;CX$5,0,IF(CX71&lt;0,IF(OR($J71=1,$J71=2,$J71=3,$J71=4),-$E71*$I71/12*3,IF($J71=5,-$E71*$I71/12*2,IF($J71=6,-$E71*$I71/12*1,0)))))+IF(CS$5&lt;&gt;$H71,0,IF(CS71&lt;0,IF($J71=4,-$E71*$I71/12*0,IF($J71=5,-$E71*$I71/12*1,IF($J71=6,-$E71*$I71/12*2,IF($J71&gt;=7,-$E71*$I71/12*3,0))))))</f>
        <v>0</v>
      </c>
      <c r="CV71" s="442">
        <f t="shared" ref="CV71:CV77" si="1043">IF($H71&lt;&gt;CX$5,0,IF(CX71&lt;0,IF(OR($J71=1,$J71=2,$J71=3,$J71=4,$J71=5,$J71=6,$J71=7),-$E71*$I71/12*3,IF($J71=8,-$E71*$I71/12*2,IF($J71=9,-$E71*$I71/12*1,0)))))+IF(CS$5&lt;&gt;$H71,0,IF(CS71&lt;0,IF($J71=7,-$E71*$I71/12*0,IF($J71=8,-$E71*$I71/12*1,IF($J71=9,-$E71*$I71/12*2,IF($J71&gt;=10,-$E71*$I71/12*3,0))))))</f>
        <v>0</v>
      </c>
      <c r="CW71" s="443">
        <f t="shared" ref="CW71:CW77" si="1044">IF($H71&lt;&gt;CX$5,0,IF(CX71&lt;0,IF(OR($J71=1,$J71=2,$J71=3,$J71=4,$J71=5,$J71=6,$J71=7,$J71=8,$J71=9,$J71=10),-$E71*$I71/12*3,IF($J71=11,-$E71*$I71/12*2,IF($J71=12,-$E71*$I71/12*1,0)))))+IF(CS$5&lt;&gt;$H71,0,IF(CS71&lt;0,IF($J71=10,-$E71*$I71/12*0,IF($J71=11,-$E71*$I71/12*1,IF($J71=12,-$E71*$I71/12*2,0)))))</f>
        <v>0</v>
      </c>
      <c r="CX71" s="440">
        <f t="shared" ref="CX71:CX77" si="1045">IF(AND(CS71&lt;&gt;0,CS$5=$H71),-$I71*$E71-CS71,IF(CX$5=$H71,-$I71*$E71*(12-$J71+1)/12,0))</f>
        <v>0</v>
      </c>
      <c r="CY71" s="441">
        <f t="shared" ref="CY71:CY77" si="1046">IF($H71&lt;&gt;DC$5,0,IF(DC71&lt;0,IF($J71=1,-$E71*$I71/12*3,IF($J71=2,-$E71*$I71/12*2,IF($J71=3,-$E71*$I71/12*1,0)))))+IF(CX$5&lt;&gt;$H71,0,IF(CX71&lt;0,IF($J71=1,-$E71*$I71/12*0,IF($J71=2,-$E71*$I71/12*1,IF($J71=3,-$E71*$I71/12*2,IF($J71&gt;=4,-$E71*$I71/12*3,0))))))</f>
        <v>0</v>
      </c>
      <c r="CZ71" s="442">
        <f t="shared" ref="CZ71:CZ77" si="1047">IF($H71&lt;&gt;DC$5,0,IF(DC71&lt;0,IF(OR($J71=1,$J71=2,$J71=3,$J71=4),-$E71*$I71/12*3,IF($J71=5,-$E71*$I71/12*2,IF($J71=6,-$E71*$I71/12*1,0)))))+IF(CX$5&lt;&gt;$H71,0,IF(CX71&lt;0,IF($J71=4,-$E71*$I71/12*0,IF($J71=5,-$E71*$I71/12*1,IF($J71=6,-$E71*$I71/12*2,IF($J71&gt;=7,-$E71*$I71/12*3,0))))))</f>
        <v>-0.66274483333333323</v>
      </c>
      <c r="DA71" s="442">
        <f t="shared" ref="DA71:DA77" si="1048">IF($H71&lt;&gt;DC$5,0,IF(DC71&lt;0,IF(OR($J71=1,$J71=2,$J71=3,$J71=4,$J71=5,$J71=6,$J71=7),-$E71*$I71/12*3,IF($J71=8,-$E71*$I71/12*2,IF($J71=9,-$E71*$I71/12*1,0)))))+IF(CX$5&lt;&gt;$H71,0,IF(CX71&lt;0,IF($J71=7,-$E71*$I71/12*0,IF($J71=8,-$E71*$I71/12*1,IF($J71=9,-$E71*$I71/12*2,IF($J71&gt;=10,-$E71*$I71/12*3,0))))))</f>
        <v>-1.9882344999999997</v>
      </c>
      <c r="DB71" s="443">
        <f t="shared" ref="DB71:DB77" si="1049">IF($H71&lt;&gt;DC$5,0,IF(DC71&lt;0,IF(OR($J71=1,$J71=2,$J71=3,$J71=4,$J71=5,$J71=6,$J71=7,$J71=8,$J71=9,$J71=10),-$E71*$I71/12*3,IF($J71=11,-$E71*$I71/12*2,IF($J71=12,-$E71*$I71/12*1,0)))))+IF(CX$5&lt;&gt;$H71,0,IF(CX71&lt;0,IF($J71=10,-$E71*$I71/12*0,IF($J71=11,-$E71*$I71/12*1,IF($J71=12,-$E71*$I71/12*2,0)))))</f>
        <v>-1.9882344999999997</v>
      </c>
      <c r="DC71" s="440">
        <f t="shared" ref="DC71:DC77" si="1050">IF(AND(CX71&lt;&gt;0,CX$5=$H71),-$I71*$E71-CX71,IF(DC$5=$H71,-$I71*$E71*(12-$J71+1)/12,0))</f>
        <v>-4.6392138333333328</v>
      </c>
      <c r="DD71" s="441">
        <f t="shared" ref="DD71:DD77" si="1051">IF($H71&lt;&gt;DH$5,0,IF(DH71&lt;0,IF($J71=1,-$E71*$I71/12*3,IF($J71=2,-$E71*$I71/12*2,IF($J71=3,-$E71*$I71/12*1,0)))))+IF(DC$5&lt;&gt;$H71,0,IF(DC71&lt;0,IF($J71=1,-$E71*$I71/12*0,IF($J71=2,-$E71*$I71/12*1,IF($J71=3,-$E71*$I71/12*2,IF($J71&gt;=4,-$E71*$I71/12*3,0))))))</f>
        <v>-1.9882344999999997</v>
      </c>
      <c r="DE71" s="442">
        <f t="shared" ref="DE71:DE77" si="1052">IF($H71&lt;&gt;DH$5,0,IF(DH71&lt;0,IF(OR($J71=1,$J71=2,$J71=3,$J71=4),-$E71*$I71/12*3,IF($J71=5,-$E71*$I71/12*2,IF($J71=6,-$E71*$I71/12*1,0)))))+IF(DC$5&lt;&gt;$H71,0,IF(DC71&lt;0,IF($J71=4,-$E71*$I71/12*0,IF($J71=5,-$E71*$I71/12*1,IF($J71=6,-$E71*$I71/12*2,IF($J71&gt;=7,-$E71*$I71/12*3,0))))))</f>
        <v>-1.3254896666666665</v>
      </c>
      <c r="DF71" s="442">
        <f t="shared" ref="DF71:DF77" si="1053">IF($H71&lt;&gt;DH$5,0,IF(DH71&lt;0,IF(OR($J71=1,$J71=2,$J71=3,$J71=4,$J71=5,$J71=6,$J71=7),-$E71*$I71/12*3,IF($J71=8,-$E71*$I71/12*2,IF($J71=9,-$E71*$I71/12*1,0)))))+IF(DC$5&lt;&gt;$H71,0,IF(DC71&lt;0,IF($J71=7,-$E71*$I71/12*0,IF($J71=8,-$E71*$I71/12*1,IF($J71=9,-$E71*$I71/12*2,IF($J71&gt;=10,-$E71*$I71/12*3,0))))))</f>
        <v>0</v>
      </c>
      <c r="DG71" s="443">
        <f t="shared" ref="DG71:DG77" si="1054">IF($H71&lt;&gt;DH$5,0,IF(DH71&lt;0,IF(OR($J71=1,$J71=2,$J71=3,$J71=4,$J71=5,$J71=6,$J71=7,$J71=8,$J71=9,$J71=10),-$E71*$I71/12*3,IF($J71=11,-$E71*$I71/12*2,IF($J71=12,-$E71*$I71/12*1,0)))))+IF(DC$5&lt;&gt;$H71,0,IF(DC71&lt;0,IF($J71=10,-$E71*$I71/12*0,IF($J71=11,-$E71*$I71/12*1,IF($J71=12,-$E71*$I71/12*2,0)))))</f>
        <v>0</v>
      </c>
      <c r="DH71" s="440">
        <f t="shared" ref="DH71:DH77" si="1055">IF(AND(DC71&lt;&gt;0,DC$5=$H71),-$I71*$E71-DC71,IF(DH$5=$H71,-$I71*$E71*(12-$J71+1)/12,0))</f>
        <v>-3.3137241666666659</v>
      </c>
      <c r="DI71" s="441">
        <f t="shared" ref="DI71:DI77" si="1056">IF($H71&lt;&gt;DM$5,0,IF(DM71&lt;0,IF($J71=1,-$E71*$I71/12*3,IF($J71=2,-$E71*$I71/12*2,IF($J71=3,-$E71*$I71/12*1,0)))))+IF(DH$5&lt;&gt;$H71,0,IF(DH71&lt;0,IF($J71=1,-$E71*$I71/12*0,IF($J71=2,-$E71*$I71/12*1,IF($J71=3,-$E71*$I71/12*2,IF($J71&gt;=4,-$E71*$I71/12*3,0))))))</f>
        <v>0</v>
      </c>
      <c r="DJ71" s="442">
        <f t="shared" ref="DJ71:DJ77" si="1057">IF($H71&lt;&gt;DM$5,0,IF(DM71&lt;0,IF(OR($J71=1,$J71=2,$J71=3,$J71=4),-$E71*$I71/12*3,IF($J71=5,-$E71*$I71/12*2,IF($J71=6,-$E71*$I71/12*1,0)))))+IF(DH$5&lt;&gt;$H71,0,IF(DH71&lt;0,IF($J71=4,-$E71*$I71/12*0,IF($J71=5,-$E71*$I71/12*1,IF($J71=6,-$E71*$I71/12*2,IF($J71&gt;=7,-$E71*$I71/12*3,0))))))</f>
        <v>0</v>
      </c>
      <c r="DK71" s="442">
        <f t="shared" ref="DK71:DK77" si="1058">IF($H71&lt;&gt;DM$5,0,IF(DM71&lt;0,IF(OR($J71=1,$J71=2,$J71=3,$J71=4,$J71=5,$J71=6,$J71=7),-$E71*$I71/12*3,IF($J71=8,-$E71*$I71/12*2,IF($J71=9,-$E71*$I71/12*1,0)))))+IF(DH$5&lt;&gt;$H71,0,IF(DH71&lt;0,IF($J71=7,-$E71*$I71/12*0,IF($J71=8,-$E71*$I71/12*1,IF($J71=9,-$E71*$I71/12*2,IF($J71&gt;=10,-$E71*$I71/12*3,0))))))</f>
        <v>0</v>
      </c>
      <c r="DL71" s="443">
        <f t="shared" ref="DL71:DL77" si="1059">IF($H71&lt;&gt;DM$5,0,IF(DM71&lt;0,IF(OR($J71=1,$J71=2,$J71=3,$J71=4,$J71=5,$J71=6,$J71=7,$J71=8,$J71=9,$J71=10),-$E71*$I71/12*3,IF($J71=11,-$E71*$I71/12*2,IF($J71=12,-$E71*$I71/12*1,0)))))+IF(DH$5&lt;&gt;$H71,0,IF(DH71&lt;0,IF($J71=10,-$E71*$I71/12*0,IF($J71=11,-$E71*$I71/12*1,IF($J71=12,-$E71*$I71/12*2,0)))))</f>
        <v>0</v>
      </c>
      <c r="DM71" s="440">
        <f t="shared" ref="DM71:DM77" si="1060">IF(AND(DH71&lt;&gt;0,DH$5=$H71),-$I71*$E71-DH71,IF(DM$5=$H71,-$I71*$E71*(12-$J71+1)/12,0))</f>
        <v>0</v>
      </c>
      <c r="DN71" s="441">
        <f t="shared" ref="DN71:DN77" si="1061">IF($H71&lt;&gt;DR$5,0,IF(DR71&lt;0,IF($J71=1,-$E71*$I71/12*3,IF($J71=2,-$E71*$I71/12*2,IF($J71=3,-$E71*$I71/12*1,0)))))+IF(DM$5&lt;&gt;$H71,0,IF(DM71&lt;0,IF($J71=1,-$E71*$I71/12*0,IF($J71=2,-$E71*$I71/12*1,IF($J71=3,-$E71*$I71/12*2,IF($J71&gt;=4,-$E71*$I71/12*3,0))))))</f>
        <v>0</v>
      </c>
      <c r="DO71" s="442">
        <f t="shared" ref="DO71:DO77" si="1062">IF($H71&lt;&gt;DR$5,0,IF(DR71&lt;0,IF(OR($J71=1,$J71=2,$J71=3,$J71=4),-$E71*$I71/12*3,IF($J71=5,-$E71*$I71/12*2,IF($J71=6,-$E71*$I71/12*1,0)))))+IF(DM$5&lt;&gt;$H71,0,IF(DM71&lt;0,IF($J71=4,-$E71*$I71/12*0,IF($J71=5,-$E71*$I71/12*1,IF($J71=6,-$E71*$I71/12*2,IF($J71&gt;=7,-$E71*$I71/12*3,0))))))</f>
        <v>0</v>
      </c>
      <c r="DP71" s="442">
        <f t="shared" ref="DP71:DP77" si="1063">IF($H71&lt;&gt;DR$5,0,IF(DR71&lt;0,IF(OR($J71=1,$J71=2,$J71=3,$J71=4,$J71=5,$J71=6,$J71=7),-$E71*$I71/12*3,IF($J71=8,-$E71*$I71/12*2,IF($J71=9,-$E71*$I71/12*1,0)))))+IF(DM$5&lt;&gt;$H71,0,IF(DM71&lt;0,IF($J71=7,-$E71*$I71/12*0,IF($J71=8,-$E71*$I71/12*1,IF($J71=9,-$E71*$I71/12*2,IF($J71&gt;=10,-$E71*$I71/12*3,0))))))</f>
        <v>0</v>
      </c>
      <c r="DQ71" s="443">
        <f t="shared" ref="DQ71:DQ77" si="1064">IF($H71&lt;&gt;DR$5,0,IF(DR71&lt;0,IF(OR($J71=1,$J71=2,$J71=3,$J71=4,$J71=5,$J71=6,$J71=7,$J71=8,$J71=9,$J71=10),-$E71*$I71/12*3,IF($J71=11,-$E71*$I71/12*2,IF($J71=12,-$E71*$I71/12*1,0)))))+IF(DM$5&lt;&gt;$H71,0,IF(DM71&lt;0,IF($J71=10,-$E71*$I71/12*0,IF($J71=11,-$E71*$I71/12*1,IF($J71=12,-$E71*$I71/12*2,0)))))</f>
        <v>0</v>
      </c>
      <c r="DR71" s="440">
        <f t="shared" ref="DR71:DR77" si="1065">IF(AND(DM71&lt;&gt;0,DM$5=$H71),-$I71*$E71-DM71,IF(DR$5=$H71,-$I71*$E71*(12-$J71+1)/12,0))</f>
        <v>0</v>
      </c>
    </row>
    <row r="72" spans="1:122" ht="12.75" customHeight="1">
      <c r="A72" s="92"/>
      <c r="B72" s="92"/>
      <c r="C72" s="1590" t="s">
        <v>1169</v>
      </c>
      <c r="D72" s="395"/>
      <c r="E72" s="865">
        <f t="shared" si="955"/>
        <v>46.3</v>
      </c>
      <c r="F72" s="1945">
        <v>46.3</v>
      </c>
      <c r="G72" s="1945">
        <v>46.3</v>
      </c>
      <c r="H72" s="1308">
        <v>2047</v>
      </c>
      <c r="I72" s="1948">
        <v>4.2500000000000003E-2</v>
      </c>
      <c r="J72" s="1357">
        <v>10</v>
      </c>
      <c r="K72" s="549"/>
      <c r="L72" s="441">
        <f t="shared" si="956"/>
        <v>0</v>
      </c>
      <c r="M72" s="442">
        <f t="shared" si="957"/>
        <v>0</v>
      </c>
      <c r="N72" s="442">
        <f t="shared" si="958"/>
        <v>0</v>
      </c>
      <c r="O72" s="443">
        <f t="shared" si="959"/>
        <v>0</v>
      </c>
      <c r="P72" s="440">
        <f t="shared" si="960"/>
        <v>0</v>
      </c>
      <c r="Q72" s="441">
        <f t="shared" si="961"/>
        <v>0</v>
      </c>
      <c r="R72" s="442">
        <f t="shared" si="962"/>
        <v>0</v>
      </c>
      <c r="S72" s="442">
        <f t="shared" si="963"/>
        <v>0</v>
      </c>
      <c r="T72" s="443">
        <f t="shared" si="964"/>
        <v>0</v>
      </c>
      <c r="U72" s="440">
        <f t="shared" si="965"/>
        <v>0</v>
      </c>
      <c r="V72" s="441">
        <f t="shared" si="966"/>
        <v>0</v>
      </c>
      <c r="W72" s="442">
        <f t="shared" si="967"/>
        <v>0</v>
      </c>
      <c r="X72" s="442">
        <f t="shared" si="968"/>
        <v>0</v>
      </c>
      <c r="Y72" s="443">
        <f t="shared" si="969"/>
        <v>0</v>
      </c>
      <c r="Z72" s="440">
        <f t="shared" si="970"/>
        <v>0</v>
      </c>
      <c r="AA72" s="441">
        <f t="shared" si="971"/>
        <v>0</v>
      </c>
      <c r="AB72" s="442">
        <f t="shared" si="972"/>
        <v>0</v>
      </c>
      <c r="AC72" s="442">
        <f t="shared" si="973"/>
        <v>0</v>
      </c>
      <c r="AD72" s="443">
        <f t="shared" si="974"/>
        <v>0</v>
      </c>
      <c r="AE72" s="440">
        <f t="shared" si="975"/>
        <v>0</v>
      </c>
      <c r="AF72" s="441">
        <f t="shared" si="976"/>
        <v>0</v>
      </c>
      <c r="AG72" s="442">
        <f t="shared" si="977"/>
        <v>0</v>
      </c>
      <c r="AH72" s="442">
        <f t="shared" si="978"/>
        <v>0</v>
      </c>
      <c r="AI72" s="443">
        <f t="shared" si="979"/>
        <v>0</v>
      </c>
      <c r="AJ72" s="440">
        <f t="shared" si="980"/>
        <v>0</v>
      </c>
      <c r="AK72" s="441">
        <f t="shared" si="981"/>
        <v>0</v>
      </c>
      <c r="AL72" s="442">
        <f t="shared" si="982"/>
        <v>0</v>
      </c>
      <c r="AM72" s="442">
        <f t="shared" si="983"/>
        <v>0</v>
      </c>
      <c r="AN72" s="443">
        <f t="shared" si="984"/>
        <v>0</v>
      </c>
      <c r="AO72" s="440">
        <f t="shared" si="985"/>
        <v>0</v>
      </c>
      <c r="AP72" s="441">
        <f t="shared" si="986"/>
        <v>0</v>
      </c>
      <c r="AQ72" s="442">
        <f t="shared" si="987"/>
        <v>0</v>
      </c>
      <c r="AR72" s="442">
        <f t="shared" si="988"/>
        <v>0</v>
      </c>
      <c r="AS72" s="443">
        <f t="shared" si="989"/>
        <v>0</v>
      </c>
      <c r="AT72" s="440">
        <f t="shared" si="990"/>
        <v>0</v>
      </c>
      <c r="AU72" s="441">
        <f t="shared" si="991"/>
        <v>0</v>
      </c>
      <c r="AV72" s="442">
        <f t="shared" si="992"/>
        <v>0</v>
      </c>
      <c r="AW72" s="442">
        <f t="shared" si="993"/>
        <v>0</v>
      </c>
      <c r="AX72" s="443">
        <f t="shared" si="994"/>
        <v>0</v>
      </c>
      <c r="AY72" s="440">
        <f t="shared" si="995"/>
        <v>0</v>
      </c>
      <c r="AZ72" s="441">
        <f t="shared" si="996"/>
        <v>0</v>
      </c>
      <c r="BA72" s="442">
        <f t="shared" si="997"/>
        <v>0</v>
      </c>
      <c r="BB72" s="442">
        <f t="shared" si="998"/>
        <v>0</v>
      </c>
      <c r="BC72" s="443">
        <f t="shared" si="999"/>
        <v>0</v>
      </c>
      <c r="BD72" s="440">
        <f t="shared" si="1000"/>
        <v>0</v>
      </c>
      <c r="BE72" s="441">
        <f t="shared" si="1001"/>
        <v>0</v>
      </c>
      <c r="BF72" s="442">
        <f t="shared" si="1002"/>
        <v>0</v>
      </c>
      <c r="BG72" s="442">
        <f t="shared" si="1003"/>
        <v>0</v>
      </c>
      <c r="BH72" s="443">
        <f t="shared" si="1004"/>
        <v>0</v>
      </c>
      <c r="BI72" s="440">
        <f t="shared" si="1005"/>
        <v>0</v>
      </c>
      <c r="BJ72" s="441">
        <f t="shared" si="1006"/>
        <v>0</v>
      </c>
      <c r="BK72" s="442">
        <f t="shared" si="1007"/>
        <v>0</v>
      </c>
      <c r="BL72" s="442">
        <f t="shared" si="1008"/>
        <v>0</v>
      </c>
      <c r="BM72" s="443">
        <f t="shared" si="1009"/>
        <v>0</v>
      </c>
      <c r="BN72" s="440">
        <f t="shared" si="1010"/>
        <v>0</v>
      </c>
      <c r="BO72" s="465"/>
      <c r="BP72" s="441">
        <f t="shared" si="1011"/>
        <v>0</v>
      </c>
      <c r="BQ72" s="442">
        <f t="shared" si="1012"/>
        <v>0</v>
      </c>
      <c r="BR72" s="442">
        <f t="shared" si="1013"/>
        <v>0</v>
      </c>
      <c r="BS72" s="443">
        <f t="shared" si="1014"/>
        <v>0</v>
      </c>
      <c r="BT72" s="440">
        <f t="shared" si="1015"/>
        <v>0</v>
      </c>
      <c r="BU72" s="441">
        <f t="shared" si="1016"/>
        <v>0</v>
      </c>
      <c r="BV72" s="442">
        <f t="shared" si="1017"/>
        <v>0</v>
      </c>
      <c r="BW72" s="442">
        <f t="shared" si="1018"/>
        <v>0</v>
      </c>
      <c r="BX72" s="443">
        <f t="shared" si="1019"/>
        <v>0</v>
      </c>
      <c r="BY72" s="440">
        <f t="shared" si="1020"/>
        <v>0</v>
      </c>
      <c r="BZ72" s="441">
        <f t="shared" si="1021"/>
        <v>0</v>
      </c>
      <c r="CA72" s="442">
        <f t="shared" si="1022"/>
        <v>0</v>
      </c>
      <c r="CB72" s="442">
        <f t="shared" si="1023"/>
        <v>0</v>
      </c>
      <c r="CC72" s="443">
        <f t="shared" si="1024"/>
        <v>0</v>
      </c>
      <c r="CD72" s="440">
        <f t="shared" si="1025"/>
        <v>0</v>
      </c>
      <c r="CE72" s="441">
        <f t="shared" si="1026"/>
        <v>0</v>
      </c>
      <c r="CF72" s="442">
        <f t="shared" si="1027"/>
        <v>0</v>
      </c>
      <c r="CG72" s="442">
        <f t="shared" si="1028"/>
        <v>0</v>
      </c>
      <c r="CH72" s="443">
        <f t="shared" si="1029"/>
        <v>0</v>
      </c>
      <c r="CI72" s="440">
        <f t="shared" si="1030"/>
        <v>0</v>
      </c>
      <c r="CJ72" s="441">
        <f t="shared" si="1031"/>
        <v>0</v>
      </c>
      <c r="CK72" s="442">
        <f t="shared" si="1032"/>
        <v>0</v>
      </c>
      <c r="CL72" s="442">
        <f t="shared" si="1033"/>
        <v>0</v>
      </c>
      <c r="CM72" s="443">
        <f t="shared" si="1034"/>
        <v>0</v>
      </c>
      <c r="CN72" s="440">
        <f t="shared" si="1035"/>
        <v>0</v>
      </c>
      <c r="CO72" s="441">
        <f t="shared" si="1036"/>
        <v>0</v>
      </c>
      <c r="CP72" s="442">
        <f t="shared" si="1037"/>
        <v>0</v>
      </c>
      <c r="CQ72" s="442">
        <f t="shared" si="1038"/>
        <v>0</v>
      </c>
      <c r="CR72" s="443">
        <f t="shared" si="1039"/>
        <v>0</v>
      </c>
      <c r="CS72" s="440">
        <f t="shared" si="1040"/>
        <v>0</v>
      </c>
      <c r="CT72" s="441">
        <f t="shared" si="1041"/>
        <v>0</v>
      </c>
      <c r="CU72" s="442">
        <f t="shared" si="1042"/>
        <v>0</v>
      </c>
      <c r="CV72" s="442">
        <f t="shared" si="1043"/>
        <v>0</v>
      </c>
      <c r="CW72" s="443">
        <f t="shared" si="1044"/>
        <v>0</v>
      </c>
      <c r="CX72" s="440">
        <f t="shared" si="1045"/>
        <v>0</v>
      </c>
      <c r="CY72" s="441">
        <f t="shared" si="1046"/>
        <v>0</v>
      </c>
      <c r="CZ72" s="442">
        <f t="shared" si="1047"/>
        <v>0</v>
      </c>
      <c r="DA72" s="442">
        <f t="shared" si="1048"/>
        <v>0</v>
      </c>
      <c r="DB72" s="443">
        <f t="shared" si="1049"/>
        <v>0</v>
      </c>
      <c r="DC72" s="440">
        <f t="shared" si="1050"/>
        <v>0</v>
      </c>
      <c r="DD72" s="441">
        <f t="shared" si="1051"/>
        <v>0</v>
      </c>
      <c r="DE72" s="442">
        <f t="shared" si="1052"/>
        <v>0</v>
      </c>
      <c r="DF72" s="442">
        <f t="shared" si="1053"/>
        <v>0</v>
      </c>
      <c r="DG72" s="443">
        <f t="shared" si="1054"/>
        <v>0</v>
      </c>
      <c r="DH72" s="440">
        <f t="shared" si="1055"/>
        <v>0</v>
      </c>
      <c r="DI72" s="441">
        <f t="shared" si="1056"/>
        <v>0</v>
      </c>
      <c r="DJ72" s="442">
        <f t="shared" si="1057"/>
        <v>0</v>
      </c>
      <c r="DK72" s="442">
        <f t="shared" si="1058"/>
        <v>0</v>
      </c>
      <c r="DL72" s="443">
        <f t="shared" si="1059"/>
        <v>0</v>
      </c>
      <c r="DM72" s="440">
        <f t="shared" si="1060"/>
        <v>0</v>
      </c>
      <c r="DN72" s="441">
        <f t="shared" si="1061"/>
        <v>0</v>
      </c>
      <c r="DO72" s="442">
        <f t="shared" si="1062"/>
        <v>0</v>
      </c>
      <c r="DP72" s="442">
        <f t="shared" si="1063"/>
        <v>0</v>
      </c>
      <c r="DQ72" s="443">
        <f t="shared" si="1064"/>
        <v>0</v>
      </c>
      <c r="DR72" s="440">
        <f t="shared" si="1065"/>
        <v>0</v>
      </c>
    </row>
    <row r="73" spans="1:122" ht="12.75" customHeight="1">
      <c r="C73" s="1590" t="s">
        <v>1168</v>
      </c>
      <c r="D73" s="395"/>
      <c r="E73" s="865">
        <f t="shared" si="955"/>
        <v>25</v>
      </c>
      <c r="F73" s="1945">
        <v>25</v>
      </c>
      <c r="G73" s="1945">
        <v>25</v>
      </c>
      <c r="H73" s="1308">
        <v>2028</v>
      </c>
      <c r="I73" s="1948">
        <v>4.4999999999999998E-2</v>
      </c>
      <c r="J73" s="1357">
        <v>6</v>
      </c>
      <c r="K73" s="549"/>
      <c r="L73" s="441">
        <f t="shared" si="956"/>
        <v>0</v>
      </c>
      <c r="M73" s="442">
        <f t="shared" si="957"/>
        <v>0</v>
      </c>
      <c r="N73" s="442">
        <f t="shared" si="958"/>
        <v>0</v>
      </c>
      <c r="O73" s="443">
        <f t="shared" si="959"/>
        <v>0</v>
      </c>
      <c r="P73" s="440">
        <f t="shared" si="960"/>
        <v>0</v>
      </c>
      <c r="Q73" s="441">
        <f t="shared" si="961"/>
        <v>0</v>
      </c>
      <c r="R73" s="442">
        <f t="shared" si="962"/>
        <v>0</v>
      </c>
      <c r="S73" s="442">
        <f t="shared" si="963"/>
        <v>0</v>
      </c>
      <c r="T73" s="443">
        <f t="shared" si="964"/>
        <v>0</v>
      </c>
      <c r="U73" s="440">
        <f t="shared" si="965"/>
        <v>0</v>
      </c>
      <c r="V73" s="441">
        <f t="shared" si="966"/>
        <v>0</v>
      </c>
      <c r="W73" s="442">
        <f t="shared" si="967"/>
        <v>0</v>
      </c>
      <c r="X73" s="442">
        <f t="shared" si="968"/>
        <v>0</v>
      </c>
      <c r="Y73" s="443">
        <f t="shared" si="969"/>
        <v>0</v>
      </c>
      <c r="Z73" s="440">
        <f t="shared" si="970"/>
        <v>0</v>
      </c>
      <c r="AA73" s="441">
        <f t="shared" si="971"/>
        <v>0</v>
      </c>
      <c r="AB73" s="442">
        <f t="shared" si="972"/>
        <v>0</v>
      </c>
      <c r="AC73" s="442">
        <f t="shared" si="973"/>
        <v>0</v>
      </c>
      <c r="AD73" s="443">
        <f t="shared" si="974"/>
        <v>0</v>
      </c>
      <c r="AE73" s="440">
        <f t="shared" si="975"/>
        <v>0</v>
      </c>
      <c r="AF73" s="441">
        <f t="shared" si="976"/>
        <v>0</v>
      </c>
      <c r="AG73" s="442">
        <f t="shared" si="977"/>
        <v>0</v>
      </c>
      <c r="AH73" s="442">
        <f t="shared" si="978"/>
        <v>0</v>
      </c>
      <c r="AI73" s="443">
        <f t="shared" si="979"/>
        <v>0</v>
      </c>
      <c r="AJ73" s="440">
        <f t="shared" si="980"/>
        <v>0</v>
      </c>
      <c r="AK73" s="441">
        <f t="shared" si="981"/>
        <v>0</v>
      </c>
      <c r="AL73" s="442">
        <f t="shared" si="982"/>
        <v>0</v>
      </c>
      <c r="AM73" s="442">
        <f t="shared" si="983"/>
        <v>0</v>
      </c>
      <c r="AN73" s="443">
        <f t="shared" si="984"/>
        <v>0</v>
      </c>
      <c r="AO73" s="440">
        <f t="shared" si="985"/>
        <v>0</v>
      </c>
      <c r="AP73" s="441">
        <f t="shared" si="986"/>
        <v>0</v>
      </c>
      <c r="AQ73" s="442">
        <f t="shared" si="987"/>
        <v>0</v>
      </c>
      <c r="AR73" s="442">
        <f t="shared" si="988"/>
        <v>0</v>
      </c>
      <c r="AS73" s="443">
        <f t="shared" si="989"/>
        <v>0</v>
      </c>
      <c r="AT73" s="440">
        <f t="shared" si="990"/>
        <v>0</v>
      </c>
      <c r="AU73" s="441">
        <f t="shared" si="991"/>
        <v>0</v>
      </c>
      <c r="AV73" s="442">
        <f t="shared" si="992"/>
        <v>0</v>
      </c>
      <c r="AW73" s="442">
        <f t="shared" si="993"/>
        <v>0</v>
      </c>
      <c r="AX73" s="443">
        <f t="shared" si="994"/>
        <v>0</v>
      </c>
      <c r="AY73" s="440">
        <f t="shared" si="995"/>
        <v>0</v>
      </c>
      <c r="AZ73" s="441">
        <f t="shared" si="996"/>
        <v>0</v>
      </c>
      <c r="BA73" s="442">
        <f t="shared" si="997"/>
        <v>0</v>
      </c>
      <c r="BB73" s="442">
        <f t="shared" si="998"/>
        <v>0</v>
      </c>
      <c r="BC73" s="443">
        <f t="shared" si="999"/>
        <v>0</v>
      </c>
      <c r="BD73" s="440">
        <f t="shared" si="1000"/>
        <v>0</v>
      </c>
      <c r="BE73" s="441">
        <f t="shared" si="1001"/>
        <v>0</v>
      </c>
      <c r="BF73" s="442">
        <f t="shared" si="1002"/>
        <v>0</v>
      </c>
      <c r="BG73" s="442">
        <f t="shared" si="1003"/>
        <v>0</v>
      </c>
      <c r="BH73" s="443">
        <f t="shared" si="1004"/>
        <v>0</v>
      </c>
      <c r="BI73" s="440">
        <f t="shared" si="1005"/>
        <v>0</v>
      </c>
      <c r="BJ73" s="441">
        <f t="shared" si="1006"/>
        <v>0</v>
      </c>
      <c r="BK73" s="442">
        <f t="shared" si="1007"/>
        <v>0</v>
      </c>
      <c r="BL73" s="442">
        <f t="shared" si="1008"/>
        <v>0</v>
      </c>
      <c r="BM73" s="443">
        <f t="shared" si="1009"/>
        <v>0</v>
      </c>
      <c r="BN73" s="440">
        <f t="shared" si="1010"/>
        <v>0</v>
      </c>
      <c r="BO73" s="473"/>
      <c r="BP73" s="441">
        <f t="shared" si="1011"/>
        <v>0</v>
      </c>
      <c r="BQ73" s="442">
        <f t="shared" si="1012"/>
        <v>0</v>
      </c>
      <c r="BR73" s="442">
        <f t="shared" si="1013"/>
        <v>0</v>
      </c>
      <c r="BS73" s="443">
        <f t="shared" si="1014"/>
        <v>0</v>
      </c>
      <c r="BT73" s="440">
        <f t="shared" si="1015"/>
        <v>0</v>
      </c>
      <c r="BU73" s="441">
        <f t="shared" si="1016"/>
        <v>0</v>
      </c>
      <c r="BV73" s="442">
        <f t="shared" si="1017"/>
        <v>0</v>
      </c>
      <c r="BW73" s="442">
        <f t="shared" si="1018"/>
        <v>0</v>
      </c>
      <c r="BX73" s="443">
        <f t="shared" si="1019"/>
        <v>0</v>
      </c>
      <c r="BY73" s="440">
        <f t="shared" si="1020"/>
        <v>0</v>
      </c>
      <c r="BZ73" s="441">
        <f t="shared" si="1021"/>
        <v>0</v>
      </c>
      <c r="CA73" s="442">
        <f t="shared" si="1022"/>
        <v>0</v>
      </c>
      <c r="CB73" s="442">
        <f t="shared" si="1023"/>
        <v>0</v>
      </c>
      <c r="CC73" s="443">
        <f t="shared" si="1024"/>
        <v>0</v>
      </c>
      <c r="CD73" s="440">
        <f t="shared" si="1025"/>
        <v>0</v>
      </c>
      <c r="CE73" s="441">
        <f t="shared" si="1026"/>
        <v>0</v>
      </c>
      <c r="CF73" s="442">
        <f t="shared" si="1027"/>
        <v>0</v>
      </c>
      <c r="CG73" s="442">
        <f t="shared" si="1028"/>
        <v>0</v>
      </c>
      <c r="CH73" s="443">
        <f t="shared" si="1029"/>
        <v>0</v>
      </c>
      <c r="CI73" s="440">
        <f t="shared" si="1030"/>
        <v>0</v>
      </c>
      <c r="CJ73" s="441">
        <f t="shared" si="1031"/>
        <v>0</v>
      </c>
      <c r="CK73" s="442">
        <f t="shared" si="1032"/>
        <v>0</v>
      </c>
      <c r="CL73" s="442">
        <f t="shared" si="1033"/>
        <v>0</v>
      </c>
      <c r="CM73" s="443">
        <f t="shared" si="1034"/>
        <v>0</v>
      </c>
      <c r="CN73" s="440">
        <f t="shared" si="1035"/>
        <v>0</v>
      </c>
      <c r="CO73" s="441">
        <f t="shared" si="1036"/>
        <v>0</v>
      </c>
      <c r="CP73" s="442">
        <f t="shared" si="1037"/>
        <v>0</v>
      </c>
      <c r="CQ73" s="442">
        <f t="shared" si="1038"/>
        <v>0</v>
      </c>
      <c r="CR73" s="443">
        <f t="shared" si="1039"/>
        <v>0</v>
      </c>
      <c r="CS73" s="440">
        <f t="shared" si="1040"/>
        <v>0</v>
      </c>
      <c r="CT73" s="441">
        <f t="shared" si="1041"/>
        <v>0</v>
      </c>
      <c r="CU73" s="442">
        <f t="shared" si="1042"/>
        <v>0</v>
      </c>
      <c r="CV73" s="442">
        <f t="shared" si="1043"/>
        <v>0</v>
      </c>
      <c r="CW73" s="443">
        <f t="shared" si="1044"/>
        <v>0</v>
      </c>
      <c r="CX73" s="440">
        <f t="shared" si="1045"/>
        <v>0</v>
      </c>
      <c r="CY73" s="441">
        <f t="shared" si="1046"/>
        <v>0</v>
      </c>
      <c r="CZ73" s="442">
        <f t="shared" si="1047"/>
        <v>0</v>
      </c>
      <c r="DA73" s="442">
        <f t="shared" si="1048"/>
        <v>0</v>
      </c>
      <c r="DB73" s="443">
        <f t="shared" si="1049"/>
        <v>0</v>
      </c>
      <c r="DC73" s="440">
        <f t="shared" si="1050"/>
        <v>0</v>
      </c>
      <c r="DD73" s="441">
        <f t="shared" si="1051"/>
        <v>0</v>
      </c>
      <c r="DE73" s="442">
        <f t="shared" si="1052"/>
        <v>0</v>
      </c>
      <c r="DF73" s="442">
        <f t="shared" si="1053"/>
        <v>0</v>
      </c>
      <c r="DG73" s="443">
        <f t="shared" si="1054"/>
        <v>0</v>
      </c>
      <c r="DH73" s="440">
        <f t="shared" si="1055"/>
        <v>0</v>
      </c>
      <c r="DI73" s="441">
        <f t="shared" si="1056"/>
        <v>0</v>
      </c>
      <c r="DJ73" s="442">
        <f t="shared" si="1057"/>
        <v>0</v>
      </c>
      <c r="DK73" s="442">
        <f t="shared" si="1058"/>
        <v>0</v>
      </c>
      <c r="DL73" s="443">
        <f t="shared" si="1059"/>
        <v>0</v>
      </c>
      <c r="DM73" s="440">
        <f t="shared" si="1060"/>
        <v>0</v>
      </c>
      <c r="DN73" s="441">
        <f t="shared" si="1061"/>
        <v>0</v>
      </c>
      <c r="DO73" s="442">
        <f t="shared" si="1062"/>
        <v>0</v>
      </c>
      <c r="DP73" s="442">
        <f t="shared" si="1063"/>
        <v>0</v>
      </c>
      <c r="DQ73" s="443">
        <f t="shared" si="1064"/>
        <v>0</v>
      </c>
      <c r="DR73" s="440">
        <f t="shared" si="1065"/>
        <v>0</v>
      </c>
    </row>
    <row r="74" spans="1:122" ht="12.75" customHeight="1">
      <c r="C74" s="1590" t="s">
        <v>1168</v>
      </c>
      <c r="D74" s="395"/>
      <c r="E74" s="865">
        <f t="shared" si="955"/>
        <v>15</v>
      </c>
      <c r="F74" s="1945">
        <v>15</v>
      </c>
      <c r="G74" s="1945">
        <v>15</v>
      </c>
      <c r="H74" s="1308">
        <v>2028</v>
      </c>
      <c r="I74" s="1948">
        <v>4.4999999999999998E-2</v>
      </c>
      <c r="J74" s="1357">
        <v>6</v>
      </c>
      <c r="K74" s="549"/>
      <c r="L74" s="441">
        <f t="shared" si="956"/>
        <v>0</v>
      </c>
      <c r="M74" s="442">
        <f t="shared" si="957"/>
        <v>0</v>
      </c>
      <c r="N74" s="442">
        <f t="shared" si="958"/>
        <v>0</v>
      </c>
      <c r="O74" s="443">
        <f t="shared" si="959"/>
        <v>0</v>
      </c>
      <c r="P74" s="440">
        <f t="shared" si="960"/>
        <v>0</v>
      </c>
      <c r="Q74" s="441">
        <f t="shared" si="961"/>
        <v>0</v>
      </c>
      <c r="R74" s="442">
        <f t="shared" si="962"/>
        <v>0</v>
      </c>
      <c r="S74" s="442">
        <f t="shared" si="963"/>
        <v>0</v>
      </c>
      <c r="T74" s="443">
        <f t="shared" si="964"/>
        <v>0</v>
      </c>
      <c r="U74" s="440">
        <f t="shared" si="965"/>
        <v>0</v>
      </c>
      <c r="V74" s="441">
        <f t="shared" si="966"/>
        <v>0</v>
      </c>
      <c r="W74" s="442">
        <f t="shared" si="967"/>
        <v>0</v>
      </c>
      <c r="X74" s="442">
        <f t="shared" si="968"/>
        <v>0</v>
      </c>
      <c r="Y74" s="443">
        <f t="shared" si="969"/>
        <v>0</v>
      </c>
      <c r="Z74" s="440">
        <f t="shared" si="970"/>
        <v>0</v>
      </c>
      <c r="AA74" s="441">
        <f t="shared" si="971"/>
        <v>0</v>
      </c>
      <c r="AB74" s="442">
        <f t="shared" si="972"/>
        <v>0</v>
      </c>
      <c r="AC74" s="442">
        <f t="shared" si="973"/>
        <v>0</v>
      </c>
      <c r="AD74" s="443">
        <f t="shared" si="974"/>
        <v>0</v>
      </c>
      <c r="AE74" s="440">
        <f t="shared" si="975"/>
        <v>0</v>
      </c>
      <c r="AF74" s="441">
        <f t="shared" si="976"/>
        <v>0</v>
      </c>
      <c r="AG74" s="442">
        <f t="shared" si="977"/>
        <v>0</v>
      </c>
      <c r="AH74" s="442">
        <f t="shared" si="978"/>
        <v>0</v>
      </c>
      <c r="AI74" s="443">
        <f t="shared" si="979"/>
        <v>0</v>
      </c>
      <c r="AJ74" s="440">
        <f t="shared" si="980"/>
        <v>0</v>
      </c>
      <c r="AK74" s="441">
        <f t="shared" si="981"/>
        <v>0</v>
      </c>
      <c r="AL74" s="442">
        <f t="shared" si="982"/>
        <v>0</v>
      </c>
      <c r="AM74" s="442">
        <f t="shared" si="983"/>
        <v>0</v>
      </c>
      <c r="AN74" s="443">
        <f t="shared" si="984"/>
        <v>0</v>
      </c>
      <c r="AO74" s="440">
        <f t="shared" si="985"/>
        <v>0</v>
      </c>
      <c r="AP74" s="441">
        <f t="shared" si="986"/>
        <v>0</v>
      </c>
      <c r="AQ74" s="442">
        <f t="shared" si="987"/>
        <v>0</v>
      </c>
      <c r="AR74" s="442">
        <f t="shared" si="988"/>
        <v>0</v>
      </c>
      <c r="AS74" s="443">
        <f t="shared" si="989"/>
        <v>0</v>
      </c>
      <c r="AT74" s="440">
        <f t="shared" si="990"/>
        <v>0</v>
      </c>
      <c r="AU74" s="441">
        <f t="shared" si="991"/>
        <v>0</v>
      </c>
      <c r="AV74" s="442">
        <f t="shared" si="992"/>
        <v>0</v>
      </c>
      <c r="AW74" s="442">
        <f t="shared" si="993"/>
        <v>0</v>
      </c>
      <c r="AX74" s="443">
        <f t="shared" si="994"/>
        <v>0</v>
      </c>
      <c r="AY74" s="440">
        <f t="shared" si="995"/>
        <v>0</v>
      </c>
      <c r="AZ74" s="441">
        <f t="shared" si="996"/>
        <v>0</v>
      </c>
      <c r="BA74" s="442">
        <f t="shared" si="997"/>
        <v>0</v>
      </c>
      <c r="BB74" s="442">
        <f t="shared" si="998"/>
        <v>0</v>
      </c>
      <c r="BC74" s="443">
        <f t="shared" si="999"/>
        <v>0</v>
      </c>
      <c r="BD74" s="440">
        <f t="shared" si="1000"/>
        <v>0</v>
      </c>
      <c r="BE74" s="441">
        <f t="shared" si="1001"/>
        <v>0</v>
      </c>
      <c r="BF74" s="442">
        <f t="shared" si="1002"/>
        <v>0</v>
      </c>
      <c r="BG74" s="442">
        <f t="shared" si="1003"/>
        <v>0</v>
      </c>
      <c r="BH74" s="443">
        <f t="shared" si="1004"/>
        <v>0</v>
      </c>
      <c r="BI74" s="440">
        <f t="shared" si="1005"/>
        <v>0</v>
      </c>
      <c r="BJ74" s="441">
        <f t="shared" si="1006"/>
        <v>0</v>
      </c>
      <c r="BK74" s="442">
        <f t="shared" si="1007"/>
        <v>0</v>
      </c>
      <c r="BL74" s="442">
        <f t="shared" si="1008"/>
        <v>0</v>
      </c>
      <c r="BM74" s="443">
        <f t="shared" si="1009"/>
        <v>0</v>
      </c>
      <c r="BN74" s="440">
        <f t="shared" si="1010"/>
        <v>0</v>
      </c>
      <c r="BO74" s="473"/>
      <c r="BP74" s="441">
        <f t="shared" si="1011"/>
        <v>0</v>
      </c>
      <c r="BQ74" s="442">
        <f t="shared" si="1012"/>
        <v>0</v>
      </c>
      <c r="BR74" s="442">
        <f t="shared" si="1013"/>
        <v>0</v>
      </c>
      <c r="BS74" s="443">
        <f t="shared" si="1014"/>
        <v>0</v>
      </c>
      <c r="BT74" s="440">
        <f t="shared" si="1015"/>
        <v>0</v>
      </c>
      <c r="BU74" s="441">
        <f t="shared" si="1016"/>
        <v>0</v>
      </c>
      <c r="BV74" s="442">
        <f t="shared" si="1017"/>
        <v>0</v>
      </c>
      <c r="BW74" s="442">
        <f t="shared" si="1018"/>
        <v>0</v>
      </c>
      <c r="BX74" s="443">
        <f t="shared" si="1019"/>
        <v>0</v>
      </c>
      <c r="BY74" s="440">
        <f t="shared" si="1020"/>
        <v>0</v>
      </c>
      <c r="BZ74" s="441">
        <f t="shared" si="1021"/>
        <v>0</v>
      </c>
      <c r="CA74" s="442">
        <f t="shared" si="1022"/>
        <v>0</v>
      </c>
      <c r="CB74" s="442">
        <f t="shared" si="1023"/>
        <v>0</v>
      </c>
      <c r="CC74" s="443">
        <f t="shared" si="1024"/>
        <v>0</v>
      </c>
      <c r="CD74" s="440">
        <f t="shared" si="1025"/>
        <v>0</v>
      </c>
      <c r="CE74" s="441">
        <f t="shared" si="1026"/>
        <v>0</v>
      </c>
      <c r="CF74" s="442">
        <f t="shared" si="1027"/>
        <v>0</v>
      </c>
      <c r="CG74" s="442">
        <f t="shared" si="1028"/>
        <v>0</v>
      </c>
      <c r="CH74" s="443">
        <f t="shared" si="1029"/>
        <v>0</v>
      </c>
      <c r="CI74" s="440">
        <f t="shared" si="1030"/>
        <v>0</v>
      </c>
      <c r="CJ74" s="441">
        <f t="shared" si="1031"/>
        <v>0</v>
      </c>
      <c r="CK74" s="442">
        <f t="shared" si="1032"/>
        <v>0</v>
      </c>
      <c r="CL74" s="442">
        <f t="shared" si="1033"/>
        <v>0</v>
      </c>
      <c r="CM74" s="443">
        <f t="shared" si="1034"/>
        <v>0</v>
      </c>
      <c r="CN74" s="440">
        <f t="shared" si="1035"/>
        <v>0</v>
      </c>
      <c r="CO74" s="441">
        <f t="shared" si="1036"/>
        <v>0</v>
      </c>
      <c r="CP74" s="442">
        <f t="shared" si="1037"/>
        <v>0</v>
      </c>
      <c r="CQ74" s="442">
        <f t="shared" si="1038"/>
        <v>0</v>
      </c>
      <c r="CR74" s="443">
        <f t="shared" si="1039"/>
        <v>0</v>
      </c>
      <c r="CS74" s="440">
        <f t="shared" si="1040"/>
        <v>0</v>
      </c>
      <c r="CT74" s="441">
        <f t="shared" si="1041"/>
        <v>0</v>
      </c>
      <c r="CU74" s="442">
        <f t="shared" si="1042"/>
        <v>0</v>
      </c>
      <c r="CV74" s="442">
        <f t="shared" si="1043"/>
        <v>0</v>
      </c>
      <c r="CW74" s="443">
        <f t="shared" si="1044"/>
        <v>0</v>
      </c>
      <c r="CX74" s="440">
        <f t="shared" si="1045"/>
        <v>0</v>
      </c>
      <c r="CY74" s="441">
        <f t="shared" si="1046"/>
        <v>0</v>
      </c>
      <c r="CZ74" s="442">
        <f t="shared" si="1047"/>
        <v>0</v>
      </c>
      <c r="DA74" s="442">
        <f t="shared" si="1048"/>
        <v>0</v>
      </c>
      <c r="DB74" s="443">
        <f t="shared" si="1049"/>
        <v>0</v>
      </c>
      <c r="DC74" s="440">
        <f t="shared" si="1050"/>
        <v>0</v>
      </c>
      <c r="DD74" s="441">
        <f t="shared" si="1051"/>
        <v>0</v>
      </c>
      <c r="DE74" s="442">
        <f t="shared" si="1052"/>
        <v>0</v>
      </c>
      <c r="DF74" s="442">
        <f t="shared" si="1053"/>
        <v>0</v>
      </c>
      <c r="DG74" s="443">
        <f t="shared" si="1054"/>
        <v>0</v>
      </c>
      <c r="DH74" s="440">
        <f t="shared" si="1055"/>
        <v>0</v>
      </c>
      <c r="DI74" s="441">
        <f t="shared" si="1056"/>
        <v>0</v>
      </c>
      <c r="DJ74" s="442">
        <f t="shared" si="1057"/>
        <v>0</v>
      </c>
      <c r="DK74" s="442">
        <f t="shared" si="1058"/>
        <v>0</v>
      </c>
      <c r="DL74" s="443">
        <f t="shared" si="1059"/>
        <v>0</v>
      </c>
      <c r="DM74" s="440">
        <f t="shared" si="1060"/>
        <v>0</v>
      </c>
      <c r="DN74" s="441">
        <f t="shared" si="1061"/>
        <v>0</v>
      </c>
      <c r="DO74" s="442">
        <f t="shared" si="1062"/>
        <v>0</v>
      </c>
      <c r="DP74" s="442">
        <f t="shared" si="1063"/>
        <v>0</v>
      </c>
      <c r="DQ74" s="443">
        <f t="shared" si="1064"/>
        <v>0</v>
      </c>
      <c r="DR74" s="440">
        <f t="shared" si="1065"/>
        <v>0</v>
      </c>
    </row>
    <row r="75" spans="1:122" ht="12.75" customHeight="1">
      <c r="C75" t="s">
        <v>1170</v>
      </c>
      <c r="D75" s="395"/>
      <c r="E75" s="865">
        <f t="shared" si="955"/>
        <v>100</v>
      </c>
      <c r="F75" s="1945">
        <v>100</v>
      </c>
      <c r="G75" s="1945">
        <v>100</v>
      </c>
      <c r="H75" s="1308">
        <v>2029</v>
      </c>
      <c r="I75" s="1948">
        <v>4.2500000000000003E-2</v>
      </c>
      <c r="J75" s="1357">
        <v>9</v>
      </c>
      <c r="K75" s="549"/>
      <c r="L75" s="441">
        <f t="shared" si="956"/>
        <v>0</v>
      </c>
      <c r="M75" s="442">
        <f t="shared" si="957"/>
        <v>0</v>
      </c>
      <c r="N75" s="442">
        <f t="shared" si="958"/>
        <v>0</v>
      </c>
      <c r="O75" s="443">
        <f t="shared" si="959"/>
        <v>0</v>
      </c>
      <c r="P75" s="440">
        <f t="shared" si="960"/>
        <v>0</v>
      </c>
      <c r="Q75" s="441">
        <f t="shared" si="961"/>
        <v>0</v>
      </c>
      <c r="R75" s="442">
        <f t="shared" si="962"/>
        <v>0</v>
      </c>
      <c r="S75" s="442">
        <f t="shared" si="963"/>
        <v>0</v>
      </c>
      <c r="T75" s="443">
        <f t="shared" si="964"/>
        <v>0</v>
      </c>
      <c r="U75" s="440">
        <f t="shared" si="965"/>
        <v>0</v>
      </c>
      <c r="V75" s="441">
        <f t="shared" si="966"/>
        <v>0</v>
      </c>
      <c r="W75" s="442">
        <f t="shared" si="967"/>
        <v>0</v>
      </c>
      <c r="X75" s="442">
        <f t="shared" si="968"/>
        <v>0</v>
      </c>
      <c r="Y75" s="443">
        <f t="shared" si="969"/>
        <v>0</v>
      </c>
      <c r="Z75" s="440">
        <f t="shared" si="970"/>
        <v>0</v>
      </c>
      <c r="AA75" s="441">
        <f t="shared" si="971"/>
        <v>0</v>
      </c>
      <c r="AB75" s="442">
        <f t="shared" si="972"/>
        <v>0</v>
      </c>
      <c r="AC75" s="442">
        <f t="shared" si="973"/>
        <v>0</v>
      </c>
      <c r="AD75" s="443">
        <f t="shared" si="974"/>
        <v>0</v>
      </c>
      <c r="AE75" s="440">
        <f t="shared" si="975"/>
        <v>0</v>
      </c>
      <c r="AF75" s="441">
        <f t="shared" si="976"/>
        <v>0</v>
      </c>
      <c r="AG75" s="442">
        <f t="shared" si="977"/>
        <v>0</v>
      </c>
      <c r="AH75" s="442">
        <f t="shared" si="978"/>
        <v>0</v>
      </c>
      <c r="AI75" s="443">
        <f t="shared" si="979"/>
        <v>0</v>
      </c>
      <c r="AJ75" s="440">
        <f t="shared" si="980"/>
        <v>0</v>
      </c>
      <c r="AK75" s="441">
        <f t="shared" si="981"/>
        <v>0</v>
      </c>
      <c r="AL75" s="442">
        <f t="shared" si="982"/>
        <v>0</v>
      </c>
      <c r="AM75" s="442">
        <f t="shared" si="983"/>
        <v>0</v>
      </c>
      <c r="AN75" s="443">
        <f t="shared" si="984"/>
        <v>0</v>
      </c>
      <c r="AO75" s="440">
        <f t="shared" si="985"/>
        <v>0</v>
      </c>
      <c r="AP75" s="441">
        <f t="shared" si="986"/>
        <v>0</v>
      </c>
      <c r="AQ75" s="442">
        <f t="shared" si="987"/>
        <v>0</v>
      </c>
      <c r="AR75" s="442">
        <f t="shared" si="988"/>
        <v>0</v>
      </c>
      <c r="AS75" s="443">
        <f t="shared" si="989"/>
        <v>0</v>
      </c>
      <c r="AT75" s="440">
        <f t="shared" si="990"/>
        <v>0</v>
      </c>
      <c r="AU75" s="441">
        <f t="shared" si="991"/>
        <v>0</v>
      </c>
      <c r="AV75" s="442">
        <f t="shared" si="992"/>
        <v>0</v>
      </c>
      <c r="AW75" s="442">
        <f t="shared" si="993"/>
        <v>0</v>
      </c>
      <c r="AX75" s="443">
        <f t="shared" si="994"/>
        <v>0</v>
      </c>
      <c r="AY75" s="440">
        <f t="shared" si="995"/>
        <v>0</v>
      </c>
      <c r="AZ75" s="441">
        <f t="shared" si="996"/>
        <v>0</v>
      </c>
      <c r="BA75" s="442">
        <f t="shared" si="997"/>
        <v>0</v>
      </c>
      <c r="BB75" s="442">
        <f t="shared" si="998"/>
        <v>0</v>
      </c>
      <c r="BC75" s="443">
        <f t="shared" si="999"/>
        <v>0</v>
      </c>
      <c r="BD75" s="440">
        <f t="shared" si="1000"/>
        <v>0</v>
      </c>
      <c r="BE75" s="441">
        <f t="shared" si="1001"/>
        <v>0</v>
      </c>
      <c r="BF75" s="442">
        <f t="shared" si="1002"/>
        <v>0</v>
      </c>
      <c r="BG75" s="442">
        <f t="shared" si="1003"/>
        <v>0</v>
      </c>
      <c r="BH75" s="443">
        <f t="shared" si="1004"/>
        <v>0</v>
      </c>
      <c r="BI75" s="440">
        <f t="shared" si="1005"/>
        <v>0</v>
      </c>
      <c r="BJ75" s="441">
        <f t="shared" si="1006"/>
        <v>0</v>
      </c>
      <c r="BK75" s="442">
        <f t="shared" si="1007"/>
        <v>0</v>
      </c>
      <c r="BL75" s="442">
        <f t="shared" si="1008"/>
        <v>0</v>
      </c>
      <c r="BM75" s="443">
        <f t="shared" si="1009"/>
        <v>0</v>
      </c>
      <c r="BN75" s="440">
        <f t="shared" si="1010"/>
        <v>0</v>
      </c>
      <c r="BO75" s="473"/>
      <c r="BP75" s="441">
        <f t="shared" si="1011"/>
        <v>0</v>
      </c>
      <c r="BQ75" s="442">
        <f t="shared" si="1012"/>
        <v>0</v>
      </c>
      <c r="BR75" s="442">
        <f t="shared" si="1013"/>
        <v>0</v>
      </c>
      <c r="BS75" s="443">
        <f t="shared" si="1014"/>
        <v>0</v>
      </c>
      <c r="BT75" s="440">
        <f t="shared" si="1015"/>
        <v>0</v>
      </c>
      <c r="BU75" s="441">
        <f t="shared" si="1016"/>
        <v>0</v>
      </c>
      <c r="BV75" s="442">
        <f t="shared" si="1017"/>
        <v>0</v>
      </c>
      <c r="BW75" s="442">
        <f t="shared" si="1018"/>
        <v>0</v>
      </c>
      <c r="BX75" s="443">
        <f t="shared" si="1019"/>
        <v>0</v>
      </c>
      <c r="BY75" s="440">
        <f t="shared" si="1020"/>
        <v>0</v>
      </c>
      <c r="BZ75" s="441">
        <f t="shared" si="1021"/>
        <v>0</v>
      </c>
      <c r="CA75" s="442">
        <f t="shared" si="1022"/>
        <v>0</v>
      </c>
      <c r="CB75" s="442">
        <f t="shared" si="1023"/>
        <v>0</v>
      </c>
      <c r="CC75" s="443">
        <f t="shared" si="1024"/>
        <v>0</v>
      </c>
      <c r="CD75" s="440">
        <f t="shared" si="1025"/>
        <v>0</v>
      </c>
      <c r="CE75" s="441">
        <f t="shared" si="1026"/>
        <v>0</v>
      </c>
      <c r="CF75" s="442">
        <f t="shared" si="1027"/>
        <v>0</v>
      </c>
      <c r="CG75" s="442">
        <f t="shared" si="1028"/>
        <v>0</v>
      </c>
      <c r="CH75" s="443">
        <f t="shared" si="1029"/>
        <v>0</v>
      </c>
      <c r="CI75" s="440">
        <f t="shared" si="1030"/>
        <v>0</v>
      </c>
      <c r="CJ75" s="441">
        <f t="shared" si="1031"/>
        <v>0</v>
      </c>
      <c r="CK75" s="442">
        <f t="shared" si="1032"/>
        <v>0</v>
      </c>
      <c r="CL75" s="442">
        <f t="shared" si="1033"/>
        <v>0</v>
      </c>
      <c r="CM75" s="443">
        <f t="shared" si="1034"/>
        <v>0</v>
      </c>
      <c r="CN75" s="440">
        <f t="shared" si="1035"/>
        <v>0</v>
      </c>
      <c r="CO75" s="441">
        <f t="shared" si="1036"/>
        <v>0</v>
      </c>
      <c r="CP75" s="442">
        <f t="shared" si="1037"/>
        <v>0</v>
      </c>
      <c r="CQ75" s="442">
        <f t="shared" si="1038"/>
        <v>0</v>
      </c>
      <c r="CR75" s="443">
        <f t="shared" si="1039"/>
        <v>0</v>
      </c>
      <c r="CS75" s="440">
        <f t="shared" si="1040"/>
        <v>0</v>
      </c>
      <c r="CT75" s="441">
        <f t="shared" si="1041"/>
        <v>0</v>
      </c>
      <c r="CU75" s="442">
        <f t="shared" si="1042"/>
        <v>0</v>
      </c>
      <c r="CV75" s="442">
        <f t="shared" si="1043"/>
        <v>0</v>
      </c>
      <c r="CW75" s="443">
        <f t="shared" si="1044"/>
        <v>0</v>
      </c>
      <c r="CX75" s="440">
        <f t="shared" si="1045"/>
        <v>0</v>
      </c>
      <c r="CY75" s="441">
        <f t="shared" si="1046"/>
        <v>0</v>
      </c>
      <c r="CZ75" s="442">
        <f t="shared" si="1047"/>
        <v>0</v>
      </c>
      <c r="DA75" s="442">
        <f t="shared" si="1048"/>
        <v>0</v>
      </c>
      <c r="DB75" s="443">
        <f t="shared" si="1049"/>
        <v>0</v>
      </c>
      <c r="DC75" s="440">
        <f t="shared" si="1050"/>
        <v>0</v>
      </c>
      <c r="DD75" s="441">
        <f t="shared" si="1051"/>
        <v>0</v>
      </c>
      <c r="DE75" s="442">
        <f t="shared" si="1052"/>
        <v>0</v>
      </c>
      <c r="DF75" s="442">
        <f t="shared" si="1053"/>
        <v>0</v>
      </c>
      <c r="DG75" s="443">
        <f t="shared" si="1054"/>
        <v>0</v>
      </c>
      <c r="DH75" s="440">
        <f t="shared" si="1055"/>
        <v>0</v>
      </c>
      <c r="DI75" s="441">
        <f t="shared" si="1056"/>
        <v>0</v>
      </c>
      <c r="DJ75" s="442">
        <f t="shared" si="1057"/>
        <v>0</v>
      </c>
      <c r="DK75" s="442">
        <f t="shared" si="1058"/>
        <v>0</v>
      </c>
      <c r="DL75" s="443">
        <f t="shared" si="1059"/>
        <v>0</v>
      </c>
      <c r="DM75" s="440">
        <f t="shared" si="1060"/>
        <v>0</v>
      </c>
      <c r="DN75" s="441">
        <f t="shared" si="1061"/>
        <v>0</v>
      </c>
      <c r="DO75" s="442">
        <f t="shared" si="1062"/>
        <v>0</v>
      </c>
      <c r="DP75" s="442">
        <f t="shared" si="1063"/>
        <v>0</v>
      </c>
      <c r="DQ75" s="443">
        <f t="shared" si="1064"/>
        <v>0</v>
      </c>
      <c r="DR75" s="440">
        <f t="shared" si="1065"/>
        <v>0</v>
      </c>
    </row>
    <row r="76" spans="1:122" ht="12.75" customHeight="1">
      <c r="A76" s="92"/>
      <c r="B76" s="92"/>
      <c r="C76" s="1590" t="s">
        <v>161</v>
      </c>
      <c r="D76" s="395"/>
      <c r="E76" s="865">
        <f t="shared" si="955"/>
        <v>8.9905709999999992</v>
      </c>
      <c r="F76" s="1945">
        <v>8.9905709999999992</v>
      </c>
      <c r="G76" s="1945">
        <v>10.089537999999999</v>
      </c>
      <c r="H76" s="413">
        <v>2039</v>
      </c>
      <c r="I76" s="1947">
        <v>0.05</v>
      </c>
      <c r="J76" s="656">
        <v>12</v>
      </c>
      <c r="K76" s="549"/>
      <c r="L76" s="441">
        <f t="shared" si="956"/>
        <v>0</v>
      </c>
      <c r="M76" s="442">
        <f t="shared" si="957"/>
        <v>0</v>
      </c>
      <c r="N76" s="442">
        <f t="shared" si="958"/>
        <v>0</v>
      </c>
      <c r="O76" s="443">
        <f t="shared" si="959"/>
        <v>0</v>
      </c>
      <c r="P76" s="440">
        <f t="shared" si="960"/>
        <v>0</v>
      </c>
      <c r="Q76" s="441">
        <f t="shared" si="961"/>
        <v>0</v>
      </c>
      <c r="R76" s="442">
        <f t="shared" si="962"/>
        <v>0</v>
      </c>
      <c r="S76" s="442">
        <f t="shared" si="963"/>
        <v>0</v>
      </c>
      <c r="T76" s="443">
        <f t="shared" si="964"/>
        <v>0</v>
      </c>
      <c r="U76" s="440">
        <f t="shared" si="965"/>
        <v>0</v>
      </c>
      <c r="V76" s="441">
        <f t="shared" si="966"/>
        <v>0</v>
      </c>
      <c r="W76" s="442">
        <f t="shared" si="967"/>
        <v>0</v>
      </c>
      <c r="X76" s="442">
        <f t="shared" si="968"/>
        <v>0</v>
      </c>
      <c r="Y76" s="443">
        <f t="shared" si="969"/>
        <v>0</v>
      </c>
      <c r="Z76" s="440">
        <f t="shared" si="970"/>
        <v>0</v>
      </c>
      <c r="AA76" s="441">
        <f t="shared" si="971"/>
        <v>0</v>
      </c>
      <c r="AB76" s="442">
        <f t="shared" si="972"/>
        <v>0</v>
      </c>
      <c r="AC76" s="442">
        <f t="shared" si="973"/>
        <v>0</v>
      </c>
      <c r="AD76" s="443">
        <f t="shared" si="974"/>
        <v>0</v>
      </c>
      <c r="AE76" s="440">
        <f t="shared" si="975"/>
        <v>0</v>
      </c>
      <c r="AF76" s="441">
        <f t="shared" si="976"/>
        <v>0</v>
      </c>
      <c r="AG76" s="442">
        <f t="shared" si="977"/>
        <v>0</v>
      </c>
      <c r="AH76" s="442">
        <f t="shared" si="978"/>
        <v>0</v>
      </c>
      <c r="AI76" s="443">
        <f t="shared" si="979"/>
        <v>0</v>
      </c>
      <c r="AJ76" s="440">
        <f t="shared" si="980"/>
        <v>0</v>
      </c>
      <c r="AK76" s="441">
        <f t="shared" si="981"/>
        <v>0</v>
      </c>
      <c r="AL76" s="442">
        <f t="shared" si="982"/>
        <v>0</v>
      </c>
      <c r="AM76" s="442">
        <f t="shared" si="983"/>
        <v>0</v>
      </c>
      <c r="AN76" s="443">
        <f t="shared" si="984"/>
        <v>0</v>
      </c>
      <c r="AO76" s="440">
        <f t="shared" si="985"/>
        <v>0</v>
      </c>
      <c r="AP76" s="441">
        <f t="shared" si="986"/>
        <v>0</v>
      </c>
      <c r="AQ76" s="442">
        <f t="shared" si="987"/>
        <v>0</v>
      </c>
      <c r="AR76" s="442">
        <f t="shared" si="988"/>
        <v>0</v>
      </c>
      <c r="AS76" s="443">
        <f t="shared" si="989"/>
        <v>0</v>
      </c>
      <c r="AT76" s="440">
        <f t="shared" si="990"/>
        <v>0</v>
      </c>
      <c r="AU76" s="441">
        <f t="shared" si="991"/>
        <v>0</v>
      </c>
      <c r="AV76" s="442">
        <f t="shared" si="992"/>
        <v>0</v>
      </c>
      <c r="AW76" s="442">
        <f t="shared" si="993"/>
        <v>0</v>
      </c>
      <c r="AX76" s="443">
        <f t="shared" si="994"/>
        <v>0</v>
      </c>
      <c r="AY76" s="440">
        <f t="shared" si="995"/>
        <v>0</v>
      </c>
      <c r="AZ76" s="441">
        <f t="shared" si="996"/>
        <v>0</v>
      </c>
      <c r="BA76" s="442">
        <f t="shared" si="997"/>
        <v>0</v>
      </c>
      <c r="BB76" s="442">
        <f t="shared" si="998"/>
        <v>0</v>
      </c>
      <c r="BC76" s="443">
        <f t="shared" si="999"/>
        <v>0</v>
      </c>
      <c r="BD76" s="440">
        <f t="shared" si="1000"/>
        <v>0</v>
      </c>
      <c r="BE76" s="441">
        <f t="shared" si="1001"/>
        <v>0</v>
      </c>
      <c r="BF76" s="442">
        <f t="shared" si="1002"/>
        <v>0</v>
      </c>
      <c r="BG76" s="442">
        <f t="shared" si="1003"/>
        <v>0</v>
      </c>
      <c r="BH76" s="443">
        <f t="shared" si="1004"/>
        <v>0</v>
      </c>
      <c r="BI76" s="440">
        <f t="shared" si="1005"/>
        <v>0</v>
      </c>
      <c r="BJ76" s="441">
        <f t="shared" si="1006"/>
        <v>0</v>
      </c>
      <c r="BK76" s="442">
        <f t="shared" si="1007"/>
        <v>0</v>
      </c>
      <c r="BL76" s="442">
        <f t="shared" si="1008"/>
        <v>0</v>
      </c>
      <c r="BM76" s="443">
        <f t="shared" si="1009"/>
        <v>0</v>
      </c>
      <c r="BN76" s="440">
        <f t="shared" si="1010"/>
        <v>0</v>
      </c>
      <c r="BO76" s="463"/>
      <c r="BP76" s="441">
        <f t="shared" si="1011"/>
        <v>0</v>
      </c>
      <c r="BQ76" s="442">
        <f t="shared" si="1012"/>
        <v>0</v>
      </c>
      <c r="BR76" s="442">
        <f t="shared" si="1013"/>
        <v>0</v>
      </c>
      <c r="BS76" s="443">
        <f t="shared" si="1014"/>
        <v>0</v>
      </c>
      <c r="BT76" s="440">
        <f t="shared" si="1015"/>
        <v>0</v>
      </c>
      <c r="BU76" s="441">
        <f t="shared" si="1016"/>
        <v>0</v>
      </c>
      <c r="BV76" s="442">
        <f t="shared" si="1017"/>
        <v>0</v>
      </c>
      <c r="BW76" s="442">
        <f t="shared" si="1018"/>
        <v>0</v>
      </c>
      <c r="BX76" s="443">
        <f t="shared" si="1019"/>
        <v>0</v>
      </c>
      <c r="BY76" s="440">
        <f t="shared" si="1020"/>
        <v>0</v>
      </c>
      <c r="BZ76" s="441">
        <f t="shared" si="1021"/>
        <v>0</v>
      </c>
      <c r="CA76" s="442">
        <f t="shared" si="1022"/>
        <v>0</v>
      </c>
      <c r="CB76" s="442">
        <f t="shared" si="1023"/>
        <v>0</v>
      </c>
      <c r="CC76" s="443">
        <f t="shared" si="1024"/>
        <v>0</v>
      </c>
      <c r="CD76" s="440">
        <f t="shared" si="1025"/>
        <v>0</v>
      </c>
      <c r="CE76" s="441">
        <f t="shared" si="1026"/>
        <v>0</v>
      </c>
      <c r="CF76" s="442">
        <f t="shared" si="1027"/>
        <v>0</v>
      </c>
      <c r="CG76" s="442">
        <f t="shared" si="1028"/>
        <v>0</v>
      </c>
      <c r="CH76" s="443">
        <f t="shared" si="1029"/>
        <v>0</v>
      </c>
      <c r="CI76" s="440">
        <f t="shared" si="1030"/>
        <v>0</v>
      </c>
      <c r="CJ76" s="441">
        <f t="shared" si="1031"/>
        <v>0</v>
      </c>
      <c r="CK76" s="442">
        <f t="shared" si="1032"/>
        <v>0</v>
      </c>
      <c r="CL76" s="442">
        <f t="shared" si="1033"/>
        <v>0</v>
      </c>
      <c r="CM76" s="443">
        <f t="shared" si="1034"/>
        <v>0</v>
      </c>
      <c r="CN76" s="440">
        <f t="shared" si="1035"/>
        <v>0</v>
      </c>
      <c r="CO76" s="441">
        <f t="shared" si="1036"/>
        <v>0</v>
      </c>
      <c r="CP76" s="442">
        <f t="shared" si="1037"/>
        <v>0</v>
      </c>
      <c r="CQ76" s="442">
        <f t="shared" si="1038"/>
        <v>0</v>
      </c>
      <c r="CR76" s="443">
        <f t="shared" si="1039"/>
        <v>0</v>
      </c>
      <c r="CS76" s="440">
        <f t="shared" si="1040"/>
        <v>0</v>
      </c>
      <c r="CT76" s="441">
        <f t="shared" si="1041"/>
        <v>0</v>
      </c>
      <c r="CU76" s="442">
        <f t="shared" si="1042"/>
        <v>0</v>
      </c>
      <c r="CV76" s="442">
        <f t="shared" si="1043"/>
        <v>0</v>
      </c>
      <c r="CW76" s="443">
        <f t="shared" si="1044"/>
        <v>0</v>
      </c>
      <c r="CX76" s="440">
        <f t="shared" si="1045"/>
        <v>0</v>
      </c>
      <c r="CY76" s="441">
        <f t="shared" si="1046"/>
        <v>0</v>
      </c>
      <c r="CZ76" s="442">
        <f t="shared" si="1047"/>
        <v>0</v>
      </c>
      <c r="DA76" s="442">
        <f t="shared" si="1048"/>
        <v>0</v>
      </c>
      <c r="DB76" s="443">
        <f t="shared" si="1049"/>
        <v>0</v>
      </c>
      <c r="DC76" s="440">
        <f t="shared" si="1050"/>
        <v>0</v>
      </c>
      <c r="DD76" s="441">
        <f t="shared" si="1051"/>
        <v>0</v>
      </c>
      <c r="DE76" s="442">
        <f t="shared" si="1052"/>
        <v>0</v>
      </c>
      <c r="DF76" s="442">
        <f t="shared" si="1053"/>
        <v>0</v>
      </c>
      <c r="DG76" s="443">
        <f t="shared" si="1054"/>
        <v>0</v>
      </c>
      <c r="DH76" s="440">
        <f t="shared" si="1055"/>
        <v>0</v>
      </c>
      <c r="DI76" s="441">
        <f t="shared" si="1056"/>
        <v>0</v>
      </c>
      <c r="DJ76" s="442">
        <f t="shared" si="1057"/>
        <v>0</v>
      </c>
      <c r="DK76" s="442">
        <f t="shared" si="1058"/>
        <v>0</v>
      </c>
      <c r="DL76" s="443">
        <f t="shared" si="1059"/>
        <v>0</v>
      </c>
      <c r="DM76" s="440">
        <f t="shared" si="1060"/>
        <v>0</v>
      </c>
      <c r="DN76" s="441">
        <f t="shared" si="1061"/>
        <v>0</v>
      </c>
      <c r="DO76" s="442">
        <f t="shared" si="1062"/>
        <v>0</v>
      </c>
      <c r="DP76" s="442">
        <f t="shared" si="1063"/>
        <v>0</v>
      </c>
      <c r="DQ76" s="443">
        <f t="shared" si="1064"/>
        <v>0</v>
      </c>
      <c r="DR76" s="440">
        <f t="shared" si="1065"/>
        <v>0</v>
      </c>
    </row>
    <row r="77" spans="1:122" ht="12.75" customHeight="1">
      <c r="C77" s="1123" t="s">
        <v>333</v>
      </c>
      <c r="D77" s="395"/>
      <c r="E77" s="865">
        <f t="shared" si="955"/>
        <v>2.4821840000000002</v>
      </c>
      <c r="F77" s="1945">
        <v>2.4821840000000002</v>
      </c>
      <c r="G77" s="1945">
        <v>7.9605629999999996</v>
      </c>
      <c r="H77" s="413">
        <v>2039</v>
      </c>
      <c r="I77" s="1947">
        <v>0.05</v>
      </c>
      <c r="J77" s="656">
        <v>12</v>
      </c>
      <c r="K77" s="549"/>
      <c r="L77" s="441">
        <f t="shared" ref="L77" si="1066">IF(P77=0,0,IF(P77&lt;0,IF($J77=3,P77,IF($J77=2,P77,IF($J77=1,P77,0)))))</f>
        <v>0</v>
      </c>
      <c r="M77" s="442">
        <f t="shared" ref="M77" si="1067">IF(P77=0,0,IF(P77&lt;0,IF($J77=6,P77,IF($J77=5,P77,IF($J77=4,P77,0)))))</f>
        <v>0</v>
      </c>
      <c r="N77" s="442">
        <f t="shared" ref="N77" si="1068">IF(P77=0,0,IF(P77&lt;0,IF($J77=9,P77,IF($J77=8,P77,IF($J77=7,P77,0)))))</f>
        <v>0</v>
      </c>
      <c r="O77" s="443">
        <f t="shared" ref="O77" si="1069">IF(P77=0,0,IF(P77&lt;0,IF($J77=12,P77,IF($J77=11,P77,IF($J77=10,P77,0)))))</f>
        <v>0</v>
      </c>
      <c r="P77" s="440">
        <f t="shared" si="749"/>
        <v>0</v>
      </c>
      <c r="Q77" s="441">
        <f t="shared" ref="Q77" si="1070">IF(U77=0,0,IF(U77&lt;0,IF($J77=3,U77,IF($J77=2,U77,IF($J77=1,U77,0)))))</f>
        <v>0</v>
      </c>
      <c r="R77" s="442">
        <f t="shared" ref="R77" si="1071">IF(U77=0,0,IF(U77&lt;0,IF($J77=6,U77,IF($J77=5,U77,IF($J77=4,U77,0)))))</f>
        <v>0</v>
      </c>
      <c r="S77" s="442">
        <f t="shared" ref="S77" si="1072">IF(U77=0,0,IF(U77&lt;0,IF($J77=9,U77,IF($J77=8,U77,IF($J77=7,U77,0)))))</f>
        <v>0</v>
      </c>
      <c r="T77" s="443">
        <f t="shared" ref="T77" si="1073">IF(U77=0,0,IF(U77&lt;0,IF($J77=12,U77,IF($J77=11,U77,IF($J77=10,U77,0)))))</f>
        <v>0</v>
      </c>
      <c r="U77" s="440">
        <f t="shared" si="754"/>
        <v>0</v>
      </c>
      <c r="V77" s="441">
        <f t="shared" ref="V77" si="1074">IF(Z77=0,0,IF(Z77&lt;0,IF($J77=3,Z77,IF($J77=2,Z77,IF($J77=1,Z77,0)))))</f>
        <v>0</v>
      </c>
      <c r="W77" s="442">
        <f t="shared" ref="W77" si="1075">IF(Z77=0,0,IF(Z77&lt;0,IF($J77=6,Z77,IF($J77=5,Z77,IF($J77=4,Z77,0)))))</f>
        <v>0</v>
      </c>
      <c r="X77" s="442">
        <f t="shared" ref="X77" si="1076">IF(Z77=0,0,IF(Z77&lt;0,IF($J77=9,Z77,IF($J77=8,Z77,IF($J77=7,Z77,0)))))</f>
        <v>0</v>
      </c>
      <c r="Y77" s="443">
        <f t="shared" ref="Y77" si="1077">IF(Z77=0,0,IF(Z77&lt;0,IF($J77=12,Z77,IF($J77=11,Z77,IF($J77=10,Z77,0)))))</f>
        <v>0</v>
      </c>
      <c r="Z77" s="440">
        <f t="shared" si="759"/>
        <v>0</v>
      </c>
      <c r="AA77" s="441">
        <f t="shared" ref="AA77" si="1078">IF(AE77=0,0,IF(AE77&lt;0,IF($J77=3,AE77,IF($J77=2,AE77,IF($J77=1,AE77,0)))))</f>
        <v>0</v>
      </c>
      <c r="AB77" s="442">
        <f t="shared" ref="AB77" si="1079">IF(AE77=0,0,IF(AE77&lt;0,IF($J77=6,AE77,IF($J77=5,AE77,IF($J77=4,AE77,0)))))</f>
        <v>0</v>
      </c>
      <c r="AC77" s="442">
        <f t="shared" ref="AC77" si="1080">IF(AE77=0,0,IF(AE77&lt;0,IF($J77=9,AE77,IF($J77=8,AE77,IF($J77=7,AE77,0)))))</f>
        <v>0</v>
      </c>
      <c r="AD77" s="443">
        <f t="shared" ref="AD77" si="1081">IF(AE77=0,0,IF(AE77&lt;0,IF($J77=12,AE77,IF($J77=11,AE77,IF($J77=10,AE77,0)))))</f>
        <v>0</v>
      </c>
      <c r="AE77" s="440">
        <f t="shared" si="764"/>
        <v>0</v>
      </c>
      <c r="AF77" s="441">
        <f t="shared" ref="AF77" si="1082">IF(AJ77=0,0,IF(AJ77&lt;0,IF($J77=3,AJ77,IF($J77=2,AJ77,IF($J77=1,AJ77,0)))))</f>
        <v>0</v>
      </c>
      <c r="AG77" s="442">
        <f t="shared" ref="AG77" si="1083">IF(AJ77=0,0,IF(AJ77&lt;0,IF($J77=6,AJ77,IF($J77=5,AJ77,IF($J77=4,AJ77,0)))))</f>
        <v>0</v>
      </c>
      <c r="AH77" s="442">
        <f t="shared" ref="AH77" si="1084">IF(AJ77=0,0,IF(AJ77&lt;0,IF($J77=9,AJ77,IF($J77=8,AJ77,IF($J77=7,AJ77,0)))))</f>
        <v>0</v>
      </c>
      <c r="AI77" s="443">
        <f t="shared" ref="AI77" si="1085">IF(AJ77=0,0,IF(AJ77&lt;0,IF($J77=12,AJ77,IF($J77=11,AJ77,IF($J77=10,AJ77,0)))))</f>
        <v>0</v>
      </c>
      <c r="AJ77" s="440">
        <f t="shared" si="769"/>
        <v>0</v>
      </c>
      <c r="AK77" s="441">
        <f t="shared" ref="AK77" si="1086">IF(AO77=0,0,IF(AO77&lt;0,IF($J77=3,AO77,IF($J77=2,AO77,IF($J77=1,AO77,0)))))</f>
        <v>0</v>
      </c>
      <c r="AL77" s="442">
        <f t="shared" ref="AL77" si="1087">IF(AO77=0,0,IF(AO77&lt;0,IF($J77=6,AO77,IF($J77=5,AO77,IF($J77=4,AO77,0)))))</f>
        <v>0</v>
      </c>
      <c r="AM77" s="442">
        <f t="shared" ref="AM77" si="1088">IF(AO77=0,0,IF(AO77&lt;0,IF($J77=9,AO77,IF($J77=8,AO77,IF($J77=7,AO77,0)))))</f>
        <v>0</v>
      </c>
      <c r="AN77" s="443">
        <f t="shared" ref="AN77" si="1089">IF(AO77=0,0,IF(AO77&lt;0,IF($J77=12,AO77,IF($J77=11,AO77,IF($J77=10,AO77,0)))))</f>
        <v>0</v>
      </c>
      <c r="AO77" s="440">
        <f t="shared" si="774"/>
        <v>0</v>
      </c>
      <c r="AP77" s="441">
        <f t="shared" si="986"/>
        <v>0</v>
      </c>
      <c r="AQ77" s="442">
        <f t="shared" si="987"/>
        <v>0</v>
      </c>
      <c r="AR77" s="442">
        <f t="shared" si="988"/>
        <v>0</v>
      </c>
      <c r="AS77" s="443">
        <f t="shared" si="989"/>
        <v>0</v>
      </c>
      <c r="AT77" s="440">
        <f t="shared" si="779"/>
        <v>0</v>
      </c>
      <c r="AU77" s="441">
        <f t="shared" si="991"/>
        <v>0</v>
      </c>
      <c r="AV77" s="442">
        <f t="shared" si="992"/>
        <v>0</v>
      </c>
      <c r="AW77" s="442">
        <f t="shared" si="993"/>
        <v>0</v>
      </c>
      <c r="AX77" s="443">
        <f t="shared" si="994"/>
        <v>0</v>
      </c>
      <c r="AY77" s="440">
        <f t="shared" si="784"/>
        <v>0</v>
      </c>
      <c r="AZ77" s="441">
        <f t="shared" si="996"/>
        <v>0</v>
      </c>
      <c r="BA77" s="442">
        <f t="shared" si="997"/>
        <v>0</v>
      </c>
      <c r="BB77" s="442">
        <f t="shared" si="998"/>
        <v>0</v>
      </c>
      <c r="BC77" s="443">
        <f t="shared" si="999"/>
        <v>0</v>
      </c>
      <c r="BD77" s="440">
        <f t="shared" si="789"/>
        <v>0</v>
      </c>
      <c r="BE77" s="441">
        <f t="shared" si="1001"/>
        <v>0</v>
      </c>
      <c r="BF77" s="442">
        <f t="shared" si="1002"/>
        <v>0</v>
      </c>
      <c r="BG77" s="442">
        <f t="shared" si="1003"/>
        <v>0</v>
      </c>
      <c r="BH77" s="443">
        <f t="shared" si="1004"/>
        <v>0</v>
      </c>
      <c r="BI77" s="440">
        <f t="shared" si="794"/>
        <v>0</v>
      </c>
      <c r="BJ77" s="441">
        <f t="shared" si="1006"/>
        <v>0</v>
      </c>
      <c r="BK77" s="442">
        <f t="shared" si="1007"/>
        <v>0</v>
      </c>
      <c r="BL77" s="442">
        <f t="shared" si="1008"/>
        <v>0</v>
      </c>
      <c r="BM77" s="443">
        <f t="shared" si="1009"/>
        <v>0</v>
      </c>
      <c r="BN77" s="440">
        <f t="shared" si="799"/>
        <v>0</v>
      </c>
      <c r="BO77" s="473"/>
      <c r="BP77" s="441">
        <f t="shared" si="1011"/>
        <v>0</v>
      </c>
      <c r="BQ77" s="442">
        <f t="shared" si="1012"/>
        <v>0</v>
      </c>
      <c r="BR77" s="442">
        <f t="shared" si="1013"/>
        <v>0</v>
      </c>
      <c r="BS77" s="443">
        <f t="shared" si="1014"/>
        <v>0</v>
      </c>
      <c r="BT77" s="440">
        <f t="shared" si="1015"/>
        <v>0</v>
      </c>
      <c r="BU77" s="441">
        <f t="shared" si="1016"/>
        <v>0</v>
      </c>
      <c r="BV77" s="442">
        <f t="shared" si="1017"/>
        <v>0</v>
      </c>
      <c r="BW77" s="442">
        <f t="shared" si="1018"/>
        <v>0</v>
      </c>
      <c r="BX77" s="443">
        <f t="shared" si="1019"/>
        <v>0</v>
      </c>
      <c r="BY77" s="440">
        <f t="shared" si="1020"/>
        <v>0</v>
      </c>
      <c r="BZ77" s="441">
        <f t="shared" si="1021"/>
        <v>0</v>
      </c>
      <c r="CA77" s="442">
        <f t="shared" si="1022"/>
        <v>0</v>
      </c>
      <c r="CB77" s="442">
        <f t="shared" si="1023"/>
        <v>0</v>
      </c>
      <c r="CC77" s="443">
        <f t="shared" si="1024"/>
        <v>0</v>
      </c>
      <c r="CD77" s="440">
        <f t="shared" si="1025"/>
        <v>0</v>
      </c>
      <c r="CE77" s="441">
        <f t="shared" si="1026"/>
        <v>0</v>
      </c>
      <c r="CF77" s="442">
        <f t="shared" si="1027"/>
        <v>0</v>
      </c>
      <c r="CG77" s="442">
        <f t="shared" si="1028"/>
        <v>0</v>
      </c>
      <c r="CH77" s="443">
        <f t="shared" si="1029"/>
        <v>0</v>
      </c>
      <c r="CI77" s="440">
        <f t="shared" si="1030"/>
        <v>0</v>
      </c>
      <c r="CJ77" s="441">
        <f t="shared" si="1031"/>
        <v>0</v>
      </c>
      <c r="CK77" s="442">
        <f t="shared" si="1032"/>
        <v>0</v>
      </c>
      <c r="CL77" s="442">
        <f t="shared" si="1033"/>
        <v>0</v>
      </c>
      <c r="CM77" s="443">
        <f t="shared" si="1034"/>
        <v>0</v>
      </c>
      <c r="CN77" s="440">
        <f t="shared" si="1035"/>
        <v>0</v>
      </c>
      <c r="CO77" s="441">
        <f t="shared" si="1036"/>
        <v>0</v>
      </c>
      <c r="CP77" s="442">
        <f t="shared" si="1037"/>
        <v>0</v>
      </c>
      <c r="CQ77" s="442">
        <f t="shared" si="1038"/>
        <v>0</v>
      </c>
      <c r="CR77" s="443">
        <f t="shared" si="1039"/>
        <v>0</v>
      </c>
      <c r="CS77" s="440">
        <f t="shared" si="1040"/>
        <v>0</v>
      </c>
      <c r="CT77" s="441">
        <f t="shared" si="1041"/>
        <v>0</v>
      </c>
      <c r="CU77" s="442">
        <f t="shared" si="1042"/>
        <v>0</v>
      </c>
      <c r="CV77" s="442">
        <f t="shared" si="1043"/>
        <v>0</v>
      </c>
      <c r="CW77" s="443">
        <f t="shared" si="1044"/>
        <v>0</v>
      </c>
      <c r="CX77" s="440">
        <f t="shared" si="1045"/>
        <v>0</v>
      </c>
      <c r="CY77" s="441">
        <f t="shared" si="1046"/>
        <v>0</v>
      </c>
      <c r="CZ77" s="442">
        <f t="shared" si="1047"/>
        <v>0</v>
      </c>
      <c r="DA77" s="442">
        <f t="shared" si="1048"/>
        <v>0</v>
      </c>
      <c r="DB77" s="443">
        <f t="shared" si="1049"/>
        <v>0</v>
      </c>
      <c r="DC77" s="440">
        <f t="shared" si="1050"/>
        <v>0</v>
      </c>
      <c r="DD77" s="441">
        <f t="shared" si="1051"/>
        <v>0</v>
      </c>
      <c r="DE77" s="442">
        <f t="shared" si="1052"/>
        <v>0</v>
      </c>
      <c r="DF77" s="442">
        <f t="shared" si="1053"/>
        <v>0</v>
      </c>
      <c r="DG77" s="443">
        <f t="shared" si="1054"/>
        <v>0</v>
      </c>
      <c r="DH77" s="440">
        <f t="shared" si="1055"/>
        <v>0</v>
      </c>
      <c r="DI77" s="441">
        <f t="shared" si="1056"/>
        <v>0</v>
      </c>
      <c r="DJ77" s="442">
        <f t="shared" si="1057"/>
        <v>0</v>
      </c>
      <c r="DK77" s="442">
        <f t="shared" si="1058"/>
        <v>0</v>
      </c>
      <c r="DL77" s="443">
        <f t="shared" si="1059"/>
        <v>0</v>
      </c>
      <c r="DM77" s="440">
        <f t="shared" si="1060"/>
        <v>0</v>
      </c>
      <c r="DN77" s="441">
        <f t="shared" si="1061"/>
        <v>0</v>
      </c>
      <c r="DO77" s="442">
        <f t="shared" si="1062"/>
        <v>0</v>
      </c>
      <c r="DP77" s="442">
        <f t="shared" si="1063"/>
        <v>0</v>
      </c>
      <c r="DQ77" s="443">
        <f t="shared" si="1064"/>
        <v>0</v>
      </c>
      <c r="DR77" s="440">
        <f t="shared" si="1065"/>
        <v>0</v>
      </c>
    </row>
    <row r="78" spans="1:122" ht="12.75" customHeight="1">
      <c r="C78" s="1362"/>
      <c r="D78" s="395"/>
      <c r="E78" s="202"/>
      <c r="F78" s="1355"/>
      <c r="G78" s="1355"/>
      <c r="H78" s="1359"/>
      <c r="I78" s="1360"/>
      <c r="J78" s="1361"/>
      <c r="K78" s="549"/>
      <c r="L78" s="321"/>
      <c r="M78" s="322"/>
      <c r="N78" s="322"/>
      <c r="O78" s="323"/>
      <c r="P78" s="466"/>
      <c r="Q78" s="321"/>
      <c r="R78" s="322"/>
      <c r="S78" s="322"/>
      <c r="T78" s="323"/>
      <c r="U78" s="472"/>
      <c r="V78" s="321"/>
      <c r="W78" s="322"/>
      <c r="X78" s="322"/>
      <c r="Y78" s="323"/>
      <c r="Z78" s="472"/>
      <c r="AA78" s="321"/>
      <c r="AB78" s="322"/>
      <c r="AC78" s="322"/>
      <c r="AD78" s="323"/>
      <c r="AE78" s="472"/>
      <c r="AF78" s="321"/>
      <c r="AG78" s="322"/>
      <c r="AH78" s="322"/>
      <c r="AI78" s="323"/>
      <c r="AJ78" s="472"/>
      <c r="AK78" s="321"/>
      <c r="AL78" s="322"/>
      <c r="AM78" s="322"/>
      <c r="AN78" s="323"/>
      <c r="AO78" s="472"/>
      <c r="AP78" s="321"/>
      <c r="AQ78" s="322"/>
      <c r="AR78" s="322"/>
      <c r="AS78" s="323"/>
      <c r="AT78" s="472"/>
      <c r="AU78" s="321"/>
      <c r="AV78" s="322"/>
      <c r="AW78" s="322"/>
      <c r="AX78" s="323"/>
      <c r="AY78" s="472"/>
      <c r="AZ78" s="321"/>
      <c r="BA78" s="322"/>
      <c r="BB78" s="322"/>
      <c r="BC78" s="323"/>
      <c r="BD78" s="472"/>
      <c r="BE78" s="321"/>
      <c r="BF78" s="322"/>
      <c r="BG78" s="322"/>
      <c r="BH78" s="323"/>
      <c r="BI78" s="472"/>
      <c r="BJ78" s="321"/>
      <c r="BK78" s="322"/>
      <c r="BL78" s="322"/>
      <c r="BM78" s="323"/>
      <c r="BN78" s="472"/>
      <c r="BO78" s="473"/>
      <c r="BP78" s="321"/>
      <c r="BQ78" s="322"/>
      <c r="BR78" s="322"/>
      <c r="BS78" s="323"/>
      <c r="BT78" s="472"/>
      <c r="BU78" s="321"/>
      <c r="BV78" s="322"/>
      <c r="BW78" s="322"/>
      <c r="BX78" s="323"/>
      <c r="BY78" s="472"/>
      <c r="BZ78" s="321"/>
      <c r="CA78" s="322"/>
      <c r="CB78" s="322"/>
      <c r="CC78" s="323"/>
      <c r="CD78" s="472"/>
      <c r="CE78" s="321"/>
      <c r="CF78" s="322"/>
      <c r="CG78" s="322"/>
      <c r="CH78" s="323"/>
      <c r="CI78" s="472"/>
      <c r="CJ78" s="321"/>
      <c r="CK78" s="322"/>
      <c r="CL78" s="322"/>
      <c r="CM78" s="323"/>
      <c r="CN78" s="472"/>
      <c r="CO78" s="321"/>
      <c r="CP78" s="322"/>
      <c r="CQ78" s="322"/>
      <c r="CR78" s="323"/>
      <c r="CS78" s="472"/>
      <c r="CT78" s="321"/>
      <c r="CU78" s="322"/>
      <c r="CV78" s="322"/>
      <c r="CW78" s="323"/>
      <c r="CX78" s="472"/>
      <c r="CY78" s="321"/>
      <c r="CZ78" s="322"/>
      <c r="DA78" s="322"/>
      <c r="DB78" s="323"/>
      <c r="DC78" s="472"/>
      <c r="DD78" s="321"/>
      <c r="DE78" s="322"/>
      <c r="DF78" s="322"/>
      <c r="DG78" s="323"/>
      <c r="DH78" s="472"/>
      <c r="DI78" s="321"/>
      <c r="DJ78" s="322"/>
      <c r="DK78" s="322"/>
      <c r="DL78" s="323"/>
      <c r="DM78" s="472"/>
      <c r="DN78" s="321"/>
      <c r="DO78" s="322"/>
      <c r="DP78" s="322"/>
      <c r="DQ78" s="323"/>
      <c r="DR78" s="472"/>
    </row>
    <row r="79" spans="1:122" ht="12.75" customHeight="1">
      <c r="C79" s="1363" t="s">
        <v>314</v>
      </c>
      <c r="D79" s="395"/>
      <c r="E79" s="202"/>
      <c r="F79" s="1355"/>
      <c r="G79" s="1355"/>
      <c r="H79" s="1359"/>
      <c r="I79" s="1360"/>
      <c r="J79" s="1361"/>
      <c r="K79" s="549"/>
      <c r="L79" s="321"/>
      <c r="M79" s="322"/>
      <c r="N79" s="322"/>
      <c r="O79" s="323"/>
      <c r="P79" s="466"/>
      <c r="Q79" s="321"/>
      <c r="R79" s="322"/>
      <c r="S79" s="322"/>
      <c r="T79" s="323"/>
      <c r="U79" s="472"/>
      <c r="V79" s="321"/>
      <c r="W79" s="322"/>
      <c r="X79" s="322"/>
      <c r="Y79" s="323"/>
      <c r="Z79" s="472"/>
      <c r="AA79" s="321"/>
      <c r="AB79" s="322"/>
      <c r="AC79" s="322"/>
      <c r="AD79" s="323"/>
      <c r="AE79" s="472"/>
      <c r="AF79" s="321"/>
      <c r="AG79" s="322"/>
      <c r="AH79" s="322"/>
      <c r="AI79" s="323"/>
      <c r="AJ79" s="472"/>
      <c r="AK79" s="321"/>
      <c r="AL79" s="322"/>
      <c r="AM79" s="322"/>
      <c r="AN79" s="323"/>
      <c r="AO79" s="472"/>
      <c r="AP79" s="321"/>
      <c r="AQ79" s="322"/>
      <c r="AR79" s="322"/>
      <c r="AS79" s="323"/>
      <c r="AT79" s="472"/>
      <c r="AU79" s="321"/>
      <c r="AV79" s="322"/>
      <c r="AW79" s="322"/>
      <c r="AX79" s="323"/>
      <c r="AY79" s="472"/>
      <c r="AZ79" s="321"/>
      <c r="BA79" s="322"/>
      <c r="BB79" s="322"/>
      <c r="BC79" s="323"/>
      <c r="BD79" s="472"/>
      <c r="BE79" s="321"/>
      <c r="BF79" s="322"/>
      <c r="BG79" s="322"/>
      <c r="BH79" s="323"/>
      <c r="BI79" s="472"/>
      <c r="BJ79" s="321"/>
      <c r="BK79" s="322"/>
      <c r="BL79" s="322"/>
      <c r="BM79" s="323"/>
      <c r="BN79" s="472"/>
      <c r="BO79" s="473"/>
      <c r="BP79" s="321"/>
      <c r="BQ79" s="322"/>
      <c r="BR79" s="322"/>
      <c r="BS79" s="323"/>
      <c r="BT79" s="472"/>
      <c r="BU79" s="321"/>
      <c r="BV79" s="322"/>
      <c r="BW79" s="322"/>
      <c r="BX79" s="323"/>
      <c r="BY79" s="472"/>
      <c r="BZ79" s="321"/>
      <c r="CA79" s="322"/>
      <c r="CB79" s="322"/>
      <c r="CC79" s="323"/>
      <c r="CD79" s="472"/>
      <c r="CE79" s="321"/>
      <c r="CF79" s="322"/>
      <c r="CG79" s="322"/>
      <c r="CH79" s="323"/>
      <c r="CI79" s="472"/>
      <c r="CJ79" s="321"/>
      <c r="CK79" s="322"/>
      <c r="CL79" s="322"/>
      <c r="CM79" s="323"/>
      <c r="CN79" s="472"/>
      <c r="CO79" s="321"/>
      <c r="CP79" s="322"/>
      <c r="CQ79" s="322"/>
      <c r="CR79" s="323"/>
      <c r="CS79" s="472"/>
      <c r="CT79" s="321"/>
      <c r="CU79" s="322"/>
      <c r="CV79" s="322"/>
      <c r="CW79" s="323"/>
      <c r="CX79" s="472"/>
      <c r="CY79" s="321"/>
      <c r="CZ79" s="322"/>
      <c r="DA79" s="322"/>
      <c r="DB79" s="323"/>
      <c r="DC79" s="472"/>
      <c r="DD79" s="321"/>
      <c r="DE79" s="322"/>
      <c r="DF79" s="322"/>
      <c r="DG79" s="323"/>
      <c r="DH79" s="472"/>
      <c r="DI79" s="321"/>
      <c r="DJ79" s="322"/>
      <c r="DK79" s="322"/>
      <c r="DL79" s="323"/>
      <c r="DM79" s="472"/>
      <c r="DN79" s="321"/>
      <c r="DO79" s="322"/>
      <c r="DP79" s="322"/>
      <c r="DQ79" s="323"/>
      <c r="DR79" s="472"/>
    </row>
    <row r="80" spans="1:122" ht="12.75" customHeight="1">
      <c r="C80" s="1590" t="s">
        <v>1171</v>
      </c>
      <c r="D80" s="395"/>
      <c r="E80" s="865">
        <f t="shared" ref="E80:E94" si="1090">IF(F80=0,G80,F80)</f>
        <v>98.9</v>
      </c>
      <c r="F80" s="1945">
        <v>98.9</v>
      </c>
      <c r="G80" s="1945">
        <v>98.9</v>
      </c>
      <c r="H80" s="1308">
        <v>2035</v>
      </c>
      <c r="I80" s="1948">
        <v>2.7E-2</v>
      </c>
      <c r="J80" s="1357">
        <v>4</v>
      </c>
      <c r="K80" s="549"/>
      <c r="L80" s="441">
        <f t="shared" ref="L80:L94" si="1091">IF(P80=0,0,IF(P80&lt;0,IF($J80=3,P80,IF($J80=2,P80,IF($J80=1,P80,0)))))</f>
        <v>0</v>
      </c>
      <c r="M80" s="442">
        <f t="shared" ref="M80:M94" si="1092">IF(P80=0,0,IF(P80&lt;0,IF($J80=6,P80,IF($J80=5,P80,IF($J80=4,P80,0)))))</f>
        <v>0</v>
      </c>
      <c r="N80" s="442">
        <f t="shared" ref="N80:N94" si="1093">IF(P80=0,0,IF(P80&lt;0,IF($J80=9,P80,IF($J80=8,P80,IF($J80=7,P80,0)))))</f>
        <v>0</v>
      </c>
      <c r="O80" s="443">
        <f t="shared" ref="O80:O94" si="1094">IF(P80=0,0,IF(P80&lt;0,IF($J80=12,P80,IF($J80=11,P80,IF($J80=10,P80,0)))))</f>
        <v>0</v>
      </c>
      <c r="P80" s="440">
        <f t="shared" ref="P80:P94" si="1095">IF(P$5=$H80,-$E80,0)</f>
        <v>0</v>
      </c>
      <c r="Q80" s="441">
        <f t="shared" ref="Q80:Q94" si="1096">IF(U80=0,0,IF(U80&lt;0,IF($J80=3,U80,IF($J80=2,U80,IF($J80=1,U80,0)))))</f>
        <v>0</v>
      </c>
      <c r="R80" s="442">
        <f t="shared" ref="R80:R94" si="1097">IF(U80=0,0,IF(U80&lt;0,IF($J80=6,U80,IF($J80=5,U80,IF($J80=4,U80,0)))))</f>
        <v>0</v>
      </c>
      <c r="S80" s="442">
        <f t="shared" ref="S80:S94" si="1098">IF(U80=0,0,IF(U80&lt;0,IF($J80=9,U80,IF($J80=8,U80,IF($J80=7,U80,0)))))</f>
        <v>0</v>
      </c>
      <c r="T80" s="443">
        <f t="shared" ref="T80:T94" si="1099">IF(U80=0,0,IF(U80&lt;0,IF($J80=12,U80,IF($J80=11,U80,IF($J80=10,U80,0)))))</f>
        <v>0</v>
      </c>
      <c r="U80" s="440">
        <f t="shared" ref="U80:U94" si="1100">IF(U$5=$H80,-$E80,0)</f>
        <v>0</v>
      </c>
      <c r="V80" s="441">
        <f t="shared" ref="V80:V94" si="1101">IF(Z80=0,0,IF(Z80&lt;0,IF($J80=3,Z80,IF($J80=2,Z80,IF($J80=1,Z80,0)))))</f>
        <v>0</v>
      </c>
      <c r="W80" s="442">
        <f t="shared" ref="W80:W94" si="1102">IF(Z80=0,0,IF(Z80&lt;0,IF($J80=6,Z80,IF($J80=5,Z80,IF($J80=4,Z80,0)))))</f>
        <v>0</v>
      </c>
      <c r="X80" s="442">
        <f t="shared" ref="X80:X94" si="1103">IF(Z80=0,0,IF(Z80&lt;0,IF($J80=9,Z80,IF($J80=8,Z80,IF($J80=7,Z80,0)))))</f>
        <v>0</v>
      </c>
      <c r="Y80" s="443">
        <f t="shared" ref="Y80:Y94" si="1104">IF(Z80=0,0,IF(Z80&lt;0,IF($J80=12,Z80,IF($J80=11,Z80,IF($J80=10,Z80,0)))))</f>
        <v>0</v>
      </c>
      <c r="Z80" s="440">
        <f t="shared" ref="Z80:Z94" si="1105">IF(Z$5=$H80,-$E80,0)</f>
        <v>0</v>
      </c>
      <c r="AA80" s="441">
        <f t="shared" ref="AA80:AA94" si="1106">IF(AE80=0,0,IF(AE80&lt;0,IF($J80=3,AE80,IF($J80=2,AE80,IF($J80=1,AE80,0)))))</f>
        <v>0</v>
      </c>
      <c r="AB80" s="442">
        <f t="shared" ref="AB80:AB94" si="1107">IF(AE80=0,0,IF(AE80&lt;0,IF($J80=6,AE80,IF($J80=5,AE80,IF($J80=4,AE80,0)))))</f>
        <v>0</v>
      </c>
      <c r="AC80" s="442">
        <f t="shared" ref="AC80:AC94" si="1108">IF(AE80=0,0,IF(AE80&lt;0,IF($J80=9,AE80,IF($J80=8,AE80,IF($J80=7,AE80,0)))))</f>
        <v>0</v>
      </c>
      <c r="AD80" s="443">
        <f t="shared" ref="AD80:AD94" si="1109">IF(AE80=0,0,IF(AE80&lt;0,IF($J80=12,AE80,IF($J80=11,AE80,IF($J80=10,AE80,0)))))</f>
        <v>0</v>
      </c>
      <c r="AE80" s="440">
        <f t="shared" ref="AE80:AE94" si="1110">IF(AE$5=$H80,-$E80,0)</f>
        <v>0</v>
      </c>
      <c r="AF80" s="441">
        <f t="shared" ref="AF80:AF94" si="1111">IF(AJ80=0,0,IF(AJ80&lt;0,IF($J80=3,AJ80,IF($J80=2,AJ80,IF($J80=1,AJ80,0)))))</f>
        <v>0</v>
      </c>
      <c r="AG80" s="442">
        <f t="shared" ref="AG80:AG94" si="1112">IF(AJ80=0,0,IF(AJ80&lt;0,IF($J80=6,AJ80,IF($J80=5,AJ80,IF($J80=4,AJ80,0)))))</f>
        <v>0</v>
      </c>
      <c r="AH80" s="442">
        <f t="shared" ref="AH80:AH94" si="1113">IF(AJ80=0,0,IF(AJ80&lt;0,IF($J80=9,AJ80,IF($J80=8,AJ80,IF($J80=7,AJ80,0)))))</f>
        <v>0</v>
      </c>
      <c r="AI80" s="443">
        <f t="shared" ref="AI80:AI94" si="1114">IF(AJ80=0,0,IF(AJ80&lt;0,IF($J80=12,AJ80,IF($J80=11,AJ80,IF($J80=10,AJ80,0)))))</f>
        <v>0</v>
      </c>
      <c r="AJ80" s="440">
        <f t="shared" ref="AJ80:AJ94" si="1115">IF(AJ$5=$H80,-$E80,0)</f>
        <v>0</v>
      </c>
      <c r="AK80" s="441">
        <f t="shared" ref="AK80:AK94" si="1116">IF(AO80=0,0,IF(AO80&lt;0,IF($J80=3,AO80,IF($J80=2,AO80,IF($J80=1,AO80,0)))))</f>
        <v>0</v>
      </c>
      <c r="AL80" s="442">
        <f t="shared" ref="AL80:AL94" si="1117">IF(AO80=0,0,IF(AO80&lt;0,IF($J80=6,AO80,IF($J80=5,AO80,IF($J80=4,AO80,0)))))</f>
        <v>0</v>
      </c>
      <c r="AM80" s="442">
        <f t="shared" ref="AM80:AM94" si="1118">IF(AO80=0,0,IF(AO80&lt;0,IF($J80=9,AO80,IF($J80=8,AO80,IF($J80=7,AO80,0)))))</f>
        <v>0</v>
      </c>
      <c r="AN80" s="443">
        <f t="shared" ref="AN80:AN94" si="1119">IF(AO80=0,0,IF(AO80&lt;0,IF($J80=12,AO80,IF($J80=11,AO80,IF($J80=10,AO80,0)))))</f>
        <v>0</v>
      </c>
      <c r="AO80" s="440">
        <f t="shared" ref="AO80:AO94" si="1120">IF(AO$5=$H80,-$E80,0)</f>
        <v>0</v>
      </c>
      <c r="AP80" s="441">
        <f t="shared" ref="AP80:AP94" si="1121">IF(AT80=0,0,IF(AT80&lt;0,IF($J80=3,AT80,IF($J80=2,AT80,IF($J80=1,AT80,0)))))</f>
        <v>0</v>
      </c>
      <c r="AQ80" s="442">
        <f t="shared" ref="AQ80:AQ94" si="1122">IF(AT80=0,0,IF(AT80&lt;0,IF($J80=6,AT80,IF($J80=5,AT80,IF($J80=4,AT80,0)))))</f>
        <v>0</v>
      </c>
      <c r="AR80" s="442">
        <f t="shared" ref="AR80:AR94" si="1123">IF(AT80=0,0,IF(AT80&lt;0,IF($J80=9,AT80,IF($J80=8,AT80,IF($J80=7,AT80,0)))))</f>
        <v>0</v>
      </c>
      <c r="AS80" s="443">
        <f t="shared" ref="AS80:AS94" si="1124">IF(AT80=0,0,IF(AT80&lt;0,IF($J80=12,AT80,IF($J80=11,AT80,IF($J80=10,AT80,0)))))</f>
        <v>0</v>
      </c>
      <c r="AT80" s="440">
        <f t="shared" ref="AT80:AT94" si="1125">IF(AT$5=$H80,-$E80,0)</f>
        <v>0</v>
      </c>
      <c r="AU80" s="441">
        <f t="shared" ref="AU80:AU94" si="1126">IF(AY80=0,0,IF(AY80&lt;0,IF($J80=3,AY80,IF($J80=2,AY80,IF($J80=1,AY80,0)))))</f>
        <v>0</v>
      </c>
      <c r="AV80" s="442">
        <f t="shared" ref="AV80:AV94" si="1127">IF(AY80=0,0,IF(AY80&lt;0,IF($J80=6,AY80,IF($J80=5,AY80,IF($J80=4,AY80,0)))))</f>
        <v>0</v>
      </c>
      <c r="AW80" s="442">
        <f t="shared" ref="AW80:AW94" si="1128">IF(AY80=0,0,IF(AY80&lt;0,IF($J80=9,AY80,IF($J80=8,AY80,IF($J80=7,AY80,0)))))</f>
        <v>0</v>
      </c>
      <c r="AX80" s="443">
        <f t="shared" ref="AX80:AX94" si="1129">IF(AY80=0,0,IF(AY80&lt;0,IF($J80=12,AY80,IF($J80=11,AY80,IF($J80=10,AY80,0)))))</f>
        <v>0</v>
      </c>
      <c r="AY80" s="440">
        <f t="shared" ref="AY80:AY94" si="1130">IF(AY$5=$H80,-$E80,0)</f>
        <v>0</v>
      </c>
      <c r="AZ80" s="441">
        <f t="shared" ref="AZ80:AZ94" si="1131">IF(BD80=0,0,IF(BD80&lt;0,IF($J80=3,BD80,IF($J80=2,BD80,IF($J80=1,BD80,0)))))</f>
        <v>0</v>
      </c>
      <c r="BA80" s="442">
        <f t="shared" ref="BA80:BA94" si="1132">IF(BD80=0,0,IF(BD80&lt;0,IF($J80=6,BD80,IF($J80=5,BD80,IF($J80=4,BD80,0)))))</f>
        <v>0</v>
      </c>
      <c r="BB80" s="442">
        <f t="shared" ref="BB80:BB94" si="1133">IF(BD80=0,0,IF(BD80&lt;0,IF($J80=9,BD80,IF($J80=8,BD80,IF($J80=7,BD80,0)))))</f>
        <v>0</v>
      </c>
      <c r="BC80" s="443">
        <f t="shared" ref="BC80:BC94" si="1134">IF(BD80=0,0,IF(BD80&lt;0,IF($J80=12,BD80,IF($J80=11,BD80,IF($J80=10,BD80,0)))))</f>
        <v>0</v>
      </c>
      <c r="BD80" s="440">
        <f t="shared" ref="BD80:BD94" si="1135">IF(BD$5=$H80,-$E80,0)</f>
        <v>0</v>
      </c>
      <c r="BE80" s="441">
        <f t="shared" ref="BE80:BE94" si="1136">IF(BI80=0,0,IF(BI80&lt;0,IF($J80=3,BI80,IF($J80=2,BI80,IF($J80=1,BI80,0)))))</f>
        <v>0</v>
      </c>
      <c r="BF80" s="442">
        <f t="shared" ref="BF80:BF94" si="1137">IF(BI80=0,0,IF(BI80&lt;0,IF($J80=6,BI80,IF($J80=5,BI80,IF($J80=4,BI80,0)))))</f>
        <v>0</v>
      </c>
      <c r="BG80" s="442">
        <f t="shared" ref="BG80:BG94" si="1138">IF(BI80=0,0,IF(BI80&lt;0,IF($J80=9,BI80,IF($J80=8,BI80,IF($J80=7,BI80,0)))))</f>
        <v>0</v>
      </c>
      <c r="BH80" s="443">
        <f t="shared" ref="BH80:BH94" si="1139">IF(BI80=0,0,IF(BI80&lt;0,IF($J80=12,BI80,IF($J80=11,BI80,IF($J80=10,BI80,0)))))</f>
        <v>0</v>
      </c>
      <c r="BI80" s="440">
        <f t="shared" ref="BI80:BI94" si="1140">IF(BI$5=$H80,-$E80,0)</f>
        <v>0</v>
      </c>
      <c r="BJ80" s="441">
        <f t="shared" ref="BJ80:BJ94" si="1141">IF(BN80=0,0,IF(BN80&lt;0,IF($J80=3,BN80,IF($J80=2,BN80,IF($J80=1,BN80,0)))))</f>
        <v>0</v>
      </c>
      <c r="BK80" s="442">
        <f t="shared" ref="BK80:BK94" si="1142">IF(BN80=0,0,IF(BN80&lt;0,IF($J80=6,BN80,IF($J80=5,BN80,IF($J80=4,BN80,0)))))</f>
        <v>0</v>
      </c>
      <c r="BL80" s="442">
        <f t="shared" ref="BL80:BL94" si="1143">IF(BN80=0,0,IF(BN80&lt;0,IF($J80=9,BN80,IF($J80=8,BN80,IF($J80=7,BN80,0)))))</f>
        <v>0</v>
      </c>
      <c r="BM80" s="443">
        <f t="shared" ref="BM80:BM94" si="1144">IF(BN80=0,0,IF(BN80&lt;0,IF($J80=12,BN80,IF($J80=11,BN80,IF($J80=10,BN80,0)))))</f>
        <v>0</v>
      </c>
      <c r="BN80" s="440">
        <f t="shared" ref="BN80:BN94" si="1145">IF(BN$5=$H80,-$E80,0)</f>
        <v>0</v>
      </c>
      <c r="BO80" s="470"/>
      <c r="BP80" s="441">
        <f t="shared" ref="BP80:BP94" si="1146">IF($H80&lt;&gt;BT$5,0,IF(BT80&lt;0,IF($J80=1,-$E80*$I80/12*3,IF($J80=2,-$E80*$I80/12*2,IF($J80=3,-$E80*$I80/12*1,0)))))+IF(BO$5&lt;&gt;$H80,0,IF(BO80&lt;0,IF($J80=1,-$E80*$I80/12*0,IF($J80=2,-$E80*$I80/12*1,IF($J80=3,-$E80*$I80/12*2,IF($J80&gt;=4,-$E80*$I80/12*3,0))))))</f>
        <v>0</v>
      </c>
      <c r="BQ80" s="442">
        <f t="shared" ref="BQ80:BQ94" si="1147">IF($H80&lt;&gt;BT$5,0,IF(BT80&lt;0,IF(OR($J80=1,$J80=2,$J80=3,$J80=4),-$E80*$I80/12*3,IF($J80=5,-$E80*$I80/12*2,IF($J80=6,-$E80*$I80/12*1,0)))))+IF(BO$5&lt;&gt;$H80,0,IF(BO80&lt;0,IF($J80=4,-$E80*$I80/12*0,IF($J80=5,-$E80*$I80/12*1,IF($J80=6,-$E80*$I80/12*2,IF($J80&gt;=7,-$E80*$I80/12*3,0))))))</f>
        <v>0</v>
      </c>
      <c r="BR80" s="442">
        <f t="shared" ref="BR80:BR94" si="1148">IF($H80&lt;&gt;BT$5,0,IF(BT80&lt;0,IF(OR($J80=1,$J80=2,$J80=3,$J80=4,$J80=5,$J80=6,$J80=7),-$E80*$I80/12*3,IF($J80=8,-$E80*$I80/12*2,IF($J80=9,-$E80*$I80/12*1,0)))))+IF(BO$5&lt;&gt;$H80,0,IF(BO80&lt;0,IF($J80=7,-$E80*$I80/12*0,IF($J80=8,-$E80*$I80/12*1,IF($J80=9,-$E80*$I80/12*2,IF($J80&gt;=10,-$E80*$I80/12*3,0))))))</f>
        <v>0</v>
      </c>
      <c r="BS80" s="443">
        <f t="shared" ref="BS80:BS94" si="1149">IF($H80&lt;&gt;BT$5,0,IF(BT80&lt;0,IF(OR($J80=1,$J80=2,$J80=3,$J80=4,$J80=5,$J80=6,$J80=7,$J80=8,$J80=9,$J80=10),-$E80*$I80/12*3,IF($J80=11,-$E80*$I80/12*2,IF($J80=12,-$E80*$I80/12*1,0)))))+IF(BO$5&lt;&gt;$H80,0,IF(BO80&lt;0,IF($J80=10,-$E80*$I80/12*0,IF($J80=11,-$E80*$I80/12*1,IF($J80=12,-$E80*$I80/12*2,0)))))</f>
        <v>0</v>
      </c>
      <c r="BT80" s="440">
        <f t="shared" ref="BT80:BT94" si="1150">IF(AND(BO80&lt;&gt;0,BO$5=$H80),-$I80*$E80-BO80,IF(BT$5=$H80,-$I80*$E80*(12-$J80+1)/12,0))</f>
        <v>0</v>
      </c>
      <c r="BU80" s="441">
        <f t="shared" ref="BU80:BU94" si="1151">IF($H80&lt;&gt;BY$5,0,IF(BY80&lt;0,IF($J80=1,-$E80*$I80/12*3,IF($J80=2,-$E80*$I80/12*2,IF($J80=3,-$E80*$I80/12*1,0)))))+IF(BT$5&lt;&gt;$H80,0,IF(BT80&lt;0,IF($J80=1,-$E80*$I80/12*0,IF($J80=2,-$E80*$I80/12*1,IF($J80=3,-$E80*$I80/12*2,IF($J80&gt;=4,-$E80*$I80/12*3,0))))))</f>
        <v>0</v>
      </c>
      <c r="BV80" s="442">
        <f t="shared" ref="BV80:BV94" si="1152">IF($H80&lt;&gt;BY$5,0,IF(BY80&lt;0,IF(OR($J80=1,$J80=2,$J80=3,$J80=4),-$E80*$I80/12*3,IF($J80=5,-$E80*$I80/12*2,IF($J80=6,-$E80*$I80/12*1,0)))))+IF(BT$5&lt;&gt;$H80,0,IF(BT80&lt;0,IF($J80=4,-$E80*$I80/12*0,IF($J80=5,-$E80*$I80/12*1,IF($J80=6,-$E80*$I80/12*2,IF($J80&gt;=7,-$E80*$I80/12*3,0))))))</f>
        <v>0</v>
      </c>
      <c r="BW80" s="442">
        <f t="shared" ref="BW80:BW94" si="1153">IF($H80&lt;&gt;BY$5,0,IF(BY80&lt;0,IF(OR($J80=1,$J80=2,$J80=3,$J80=4,$J80=5,$J80=6,$J80=7),-$E80*$I80/12*3,IF($J80=8,-$E80*$I80/12*2,IF($J80=9,-$E80*$I80/12*1,0)))))+IF(BT$5&lt;&gt;$H80,0,IF(BT80&lt;0,IF($J80=7,-$E80*$I80/12*0,IF($J80=8,-$E80*$I80/12*1,IF($J80=9,-$E80*$I80/12*2,IF($J80&gt;=10,-$E80*$I80/12*3,0))))))</f>
        <v>0</v>
      </c>
      <c r="BX80" s="443">
        <f t="shared" ref="BX80:BX94" si="1154">IF($H80&lt;&gt;BY$5,0,IF(BY80&lt;0,IF(OR($J80=1,$J80=2,$J80=3,$J80=4,$J80=5,$J80=6,$J80=7,$J80=8,$J80=9,$J80=10),-$E80*$I80/12*3,IF($J80=11,-$E80*$I80/12*2,IF($J80=12,-$E80*$I80/12*1,0)))))+IF(BT$5&lt;&gt;$H80,0,IF(BT80&lt;0,IF($J80=10,-$E80*$I80/12*0,IF($J80=11,-$E80*$I80/12*1,IF($J80=12,-$E80*$I80/12*2,0)))))</f>
        <v>0</v>
      </c>
      <c r="BY80" s="440">
        <f t="shared" ref="BY80:BY94" si="1155">IF(AND(BT80&lt;&gt;0,BT$5=$H80),-$I80*$E80-BT80,IF(BY$5=$H80,-$I80*$E80*(12-$J80+1)/12,0))</f>
        <v>0</v>
      </c>
      <c r="BZ80" s="441">
        <f t="shared" ref="BZ80:BZ94" si="1156">IF($H80&lt;&gt;CD$5,0,IF(CD80&lt;0,IF($J80=1,-$E80*$I80/12*3,IF($J80=2,-$E80*$I80/12*2,IF($J80=3,-$E80*$I80/12*1,0)))))+IF(BY$5&lt;&gt;$H80,0,IF(BY80&lt;0,IF($J80=1,-$E80*$I80/12*0,IF($J80=2,-$E80*$I80/12*1,IF($J80=3,-$E80*$I80/12*2,IF($J80&gt;=4,-$E80*$I80/12*3,0))))))</f>
        <v>0</v>
      </c>
      <c r="CA80" s="442">
        <f t="shared" ref="CA80:CA94" si="1157">IF($H80&lt;&gt;CD$5,0,IF(CD80&lt;0,IF(OR($J80=1,$J80=2,$J80=3,$J80=4),-$E80*$I80/12*3,IF($J80=5,-$E80*$I80/12*2,IF($J80=6,-$E80*$I80/12*1,0)))))+IF(BY$5&lt;&gt;$H80,0,IF(BY80&lt;0,IF($J80=4,-$E80*$I80/12*0,IF($J80=5,-$E80*$I80/12*1,IF($J80=6,-$E80*$I80/12*2,IF($J80&gt;=7,-$E80*$I80/12*3,0))))))</f>
        <v>0</v>
      </c>
      <c r="CB80" s="442">
        <f t="shared" ref="CB80:CB94" si="1158">IF($H80&lt;&gt;CD$5,0,IF(CD80&lt;0,IF(OR($J80=1,$J80=2,$J80=3,$J80=4,$J80=5,$J80=6,$J80=7),-$E80*$I80/12*3,IF($J80=8,-$E80*$I80/12*2,IF($J80=9,-$E80*$I80/12*1,0)))))+IF(BY$5&lt;&gt;$H80,0,IF(BY80&lt;0,IF($J80=7,-$E80*$I80/12*0,IF($J80=8,-$E80*$I80/12*1,IF($J80=9,-$E80*$I80/12*2,IF($J80&gt;=10,-$E80*$I80/12*3,0))))))</f>
        <v>0</v>
      </c>
      <c r="CC80" s="443">
        <f t="shared" ref="CC80:CC94" si="1159">IF($H80&lt;&gt;CD$5,0,IF(CD80&lt;0,IF(OR($J80=1,$J80=2,$J80=3,$J80=4,$J80=5,$J80=6,$J80=7,$J80=8,$J80=9,$J80=10),-$E80*$I80/12*3,IF($J80=11,-$E80*$I80/12*2,IF($J80=12,-$E80*$I80/12*1,0)))))+IF(BY$5&lt;&gt;$H80,0,IF(BY80&lt;0,IF($J80=10,-$E80*$I80/12*0,IF($J80=11,-$E80*$I80/12*1,IF($J80=12,-$E80*$I80/12*2,0)))))</f>
        <v>0</v>
      </c>
      <c r="CD80" s="440">
        <f t="shared" ref="CD80:CD94" si="1160">IF(AND(BY80&lt;&gt;0,BY$5=$H80),-$I80*$E80-BY80,IF(CD$5=$H80,-$I80*$E80*(12-$J80+1)/12,0))</f>
        <v>0</v>
      </c>
      <c r="CE80" s="441">
        <f t="shared" ref="CE80:CE94" si="1161">IF($H80&lt;&gt;CI$5,0,IF(CI80&lt;0,IF($J80=1,-$E80*$I80/12*3,IF($J80=2,-$E80*$I80/12*2,IF($J80=3,-$E80*$I80/12*1,0)))))+IF(CD$5&lt;&gt;$H80,0,IF(CD80&lt;0,IF($J80=1,-$E80*$I80/12*0,IF($J80=2,-$E80*$I80/12*1,IF($J80=3,-$E80*$I80/12*2,IF($J80&gt;=4,-$E80*$I80/12*3,0))))))</f>
        <v>0</v>
      </c>
      <c r="CF80" s="442">
        <f t="shared" ref="CF80:CF94" si="1162">IF($H80&lt;&gt;CI$5,0,IF(CI80&lt;0,IF(OR($J80=1,$J80=2,$J80=3,$J80=4),-$E80*$I80/12*3,IF($J80=5,-$E80*$I80/12*2,IF($J80=6,-$E80*$I80/12*1,0)))))+IF(CD$5&lt;&gt;$H80,0,IF(CD80&lt;0,IF($J80=4,-$E80*$I80/12*0,IF($J80=5,-$E80*$I80/12*1,IF($J80=6,-$E80*$I80/12*2,IF($J80&gt;=7,-$E80*$I80/12*3,0))))))</f>
        <v>0</v>
      </c>
      <c r="CG80" s="442">
        <f t="shared" ref="CG80:CG94" si="1163">IF($H80&lt;&gt;CI$5,0,IF(CI80&lt;0,IF(OR($J80=1,$J80=2,$J80=3,$J80=4,$J80=5,$J80=6,$J80=7),-$E80*$I80/12*3,IF($J80=8,-$E80*$I80/12*2,IF($J80=9,-$E80*$I80/12*1,0)))))+IF(CD$5&lt;&gt;$H80,0,IF(CD80&lt;0,IF($J80=7,-$E80*$I80/12*0,IF($J80=8,-$E80*$I80/12*1,IF($J80=9,-$E80*$I80/12*2,IF($J80&gt;=10,-$E80*$I80/12*3,0))))))</f>
        <v>0</v>
      </c>
      <c r="CH80" s="443">
        <f t="shared" ref="CH80:CH94" si="1164">IF($H80&lt;&gt;CI$5,0,IF(CI80&lt;0,IF(OR($J80=1,$J80=2,$J80=3,$J80=4,$J80=5,$J80=6,$J80=7,$J80=8,$J80=9,$J80=10),-$E80*$I80/12*3,IF($J80=11,-$E80*$I80/12*2,IF($J80=12,-$E80*$I80/12*1,0)))))+IF(CD$5&lt;&gt;$H80,0,IF(CD80&lt;0,IF($J80=10,-$E80*$I80/12*0,IF($J80=11,-$E80*$I80/12*1,IF($J80=12,-$E80*$I80/12*2,0)))))</f>
        <v>0</v>
      </c>
      <c r="CI80" s="440">
        <f t="shared" ref="CI80:CI94" si="1165">IF(AND(CD80&lt;&gt;0,CD$5=$H80),-$I80*$E80-CD80,IF(CI$5=$H80,-$I80*$E80*(12-$J80+1)/12,0))</f>
        <v>0</v>
      </c>
      <c r="CJ80" s="441">
        <f t="shared" ref="CJ80:CJ94" si="1166">IF($H80&lt;&gt;CN$5,0,IF(CN80&lt;0,IF($J80=1,-$E80*$I80/12*3,IF($J80=2,-$E80*$I80/12*2,IF($J80=3,-$E80*$I80/12*1,0)))))+IF(CI$5&lt;&gt;$H80,0,IF(CI80&lt;0,IF($J80=1,-$E80*$I80/12*0,IF($J80=2,-$E80*$I80/12*1,IF($J80=3,-$E80*$I80/12*2,IF($J80&gt;=4,-$E80*$I80/12*3,0))))))</f>
        <v>0</v>
      </c>
      <c r="CK80" s="442">
        <f t="shared" ref="CK80:CK94" si="1167">IF($H80&lt;&gt;CN$5,0,IF(CN80&lt;0,IF(OR($J80=1,$J80=2,$J80=3,$J80=4),-$E80*$I80/12*3,IF($J80=5,-$E80*$I80/12*2,IF($J80=6,-$E80*$I80/12*1,0)))))+IF(CI$5&lt;&gt;$H80,0,IF(CI80&lt;0,IF($J80=4,-$E80*$I80/12*0,IF($J80=5,-$E80*$I80/12*1,IF($J80=6,-$E80*$I80/12*2,IF($J80&gt;=7,-$E80*$I80/12*3,0))))))</f>
        <v>0</v>
      </c>
      <c r="CL80" s="442">
        <f t="shared" ref="CL80:CL94" si="1168">IF($H80&lt;&gt;CN$5,0,IF(CN80&lt;0,IF(OR($J80=1,$J80=2,$J80=3,$J80=4,$J80=5,$J80=6,$J80=7),-$E80*$I80/12*3,IF($J80=8,-$E80*$I80/12*2,IF($J80=9,-$E80*$I80/12*1,0)))))+IF(CI$5&lt;&gt;$H80,0,IF(CI80&lt;0,IF($J80=7,-$E80*$I80/12*0,IF($J80=8,-$E80*$I80/12*1,IF($J80=9,-$E80*$I80/12*2,IF($J80&gt;=10,-$E80*$I80/12*3,0))))))</f>
        <v>0</v>
      </c>
      <c r="CM80" s="443">
        <f t="shared" ref="CM80:CM94" si="1169">IF($H80&lt;&gt;CN$5,0,IF(CN80&lt;0,IF(OR($J80=1,$J80=2,$J80=3,$J80=4,$J80=5,$J80=6,$J80=7,$J80=8,$J80=9,$J80=10),-$E80*$I80/12*3,IF($J80=11,-$E80*$I80/12*2,IF($J80=12,-$E80*$I80/12*1,0)))))+IF(CI$5&lt;&gt;$H80,0,IF(CI80&lt;0,IF($J80=10,-$E80*$I80/12*0,IF($J80=11,-$E80*$I80/12*1,IF($J80=12,-$E80*$I80/12*2,0)))))</f>
        <v>0</v>
      </c>
      <c r="CN80" s="440">
        <f t="shared" ref="CN80:CN94" si="1170">IF(AND(CI80&lt;&gt;0,CI$5=$H80),-$I80*$E80-CI80,IF(CN$5=$H80,-$I80*$E80*(12-$J80+1)/12,0))</f>
        <v>0</v>
      </c>
      <c r="CO80" s="441">
        <f t="shared" ref="CO80:CO94" si="1171">IF($H80&lt;&gt;CS$5,0,IF(CS80&lt;0,IF($J80=1,-$E80*$I80/12*3,IF($J80=2,-$E80*$I80/12*2,IF($J80=3,-$E80*$I80/12*1,0)))))+IF(CN$5&lt;&gt;$H80,0,IF(CN80&lt;0,IF($J80=1,-$E80*$I80/12*0,IF($J80=2,-$E80*$I80/12*1,IF($J80=3,-$E80*$I80/12*2,IF($J80&gt;=4,-$E80*$I80/12*3,0))))))</f>
        <v>0</v>
      </c>
      <c r="CP80" s="442">
        <f t="shared" ref="CP80:CP94" si="1172">IF($H80&lt;&gt;CS$5,0,IF(CS80&lt;0,IF(OR($J80=1,$J80=2,$J80=3,$J80=4),-$E80*$I80/12*3,IF($J80=5,-$E80*$I80/12*2,IF($J80=6,-$E80*$I80/12*1,0)))))+IF(CN$5&lt;&gt;$H80,0,IF(CN80&lt;0,IF($J80=4,-$E80*$I80/12*0,IF($J80=5,-$E80*$I80/12*1,IF($J80=6,-$E80*$I80/12*2,IF($J80&gt;=7,-$E80*$I80/12*3,0))))))</f>
        <v>0</v>
      </c>
      <c r="CQ80" s="442">
        <f t="shared" ref="CQ80:CQ94" si="1173">IF($H80&lt;&gt;CS$5,0,IF(CS80&lt;0,IF(OR($J80=1,$J80=2,$J80=3,$J80=4,$J80=5,$J80=6,$J80=7),-$E80*$I80/12*3,IF($J80=8,-$E80*$I80/12*2,IF($J80=9,-$E80*$I80/12*1,0)))))+IF(CN$5&lt;&gt;$H80,0,IF(CN80&lt;0,IF($J80=7,-$E80*$I80/12*0,IF($J80=8,-$E80*$I80/12*1,IF($J80=9,-$E80*$I80/12*2,IF($J80&gt;=10,-$E80*$I80/12*3,0))))))</f>
        <v>0</v>
      </c>
      <c r="CR80" s="443">
        <f t="shared" ref="CR80:CR94" si="1174">IF($H80&lt;&gt;CS$5,0,IF(CS80&lt;0,IF(OR($J80=1,$J80=2,$J80=3,$J80=4,$J80=5,$J80=6,$J80=7,$J80=8,$J80=9,$J80=10),-$E80*$I80/12*3,IF($J80=11,-$E80*$I80/12*2,IF($J80=12,-$E80*$I80/12*1,0)))))+IF(CN$5&lt;&gt;$H80,0,IF(CN80&lt;0,IF($J80=10,-$E80*$I80/12*0,IF($J80=11,-$E80*$I80/12*1,IF($J80=12,-$E80*$I80/12*2,0)))))</f>
        <v>0</v>
      </c>
      <c r="CS80" s="440">
        <f t="shared" ref="CS80:CS94" si="1175">IF(AND(CN80&lt;&gt;0,CN$5=$H80),-$I80*$E80-CN80,IF(CS$5=$H80,-$I80*$E80*(12-$J80+1)/12,0))</f>
        <v>0</v>
      </c>
      <c r="CT80" s="441">
        <f t="shared" ref="CT80:CT94" si="1176">IF($H80&lt;&gt;CX$5,0,IF(CX80&lt;0,IF($J80=1,-$E80*$I80/12*3,IF($J80=2,-$E80*$I80/12*2,IF($J80=3,-$E80*$I80/12*1,0)))))+IF(CS$5&lt;&gt;$H80,0,IF(CS80&lt;0,IF($J80=1,-$E80*$I80/12*0,IF($J80=2,-$E80*$I80/12*1,IF($J80=3,-$E80*$I80/12*2,IF($J80&gt;=4,-$E80*$I80/12*3,0))))))</f>
        <v>0</v>
      </c>
      <c r="CU80" s="442">
        <f t="shared" ref="CU80:CU94" si="1177">IF($H80&lt;&gt;CX$5,0,IF(CX80&lt;0,IF(OR($J80=1,$J80=2,$J80=3,$J80=4),-$E80*$I80/12*3,IF($J80=5,-$E80*$I80/12*2,IF($J80=6,-$E80*$I80/12*1,0)))))+IF(CS$5&lt;&gt;$H80,0,IF(CS80&lt;0,IF($J80=4,-$E80*$I80/12*0,IF($J80=5,-$E80*$I80/12*1,IF($J80=6,-$E80*$I80/12*2,IF($J80&gt;=7,-$E80*$I80/12*3,0))))))</f>
        <v>0</v>
      </c>
      <c r="CV80" s="442">
        <f t="shared" ref="CV80:CV94" si="1178">IF($H80&lt;&gt;CX$5,0,IF(CX80&lt;0,IF(OR($J80=1,$J80=2,$J80=3,$J80=4,$J80=5,$J80=6,$J80=7),-$E80*$I80/12*3,IF($J80=8,-$E80*$I80/12*2,IF($J80=9,-$E80*$I80/12*1,0)))))+IF(CS$5&lt;&gt;$H80,0,IF(CS80&lt;0,IF($J80=7,-$E80*$I80/12*0,IF($J80=8,-$E80*$I80/12*1,IF($J80=9,-$E80*$I80/12*2,IF($J80&gt;=10,-$E80*$I80/12*3,0))))))</f>
        <v>0</v>
      </c>
      <c r="CW80" s="443">
        <f t="shared" ref="CW80:CW94" si="1179">IF($H80&lt;&gt;CX$5,0,IF(CX80&lt;0,IF(OR($J80=1,$J80=2,$J80=3,$J80=4,$J80=5,$J80=6,$J80=7,$J80=8,$J80=9,$J80=10),-$E80*$I80/12*3,IF($J80=11,-$E80*$I80/12*2,IF($J80=12,-$E80*$I80/12*1,0)))))+IF(CS$5&lt;&gt;$H80,0,IF(CS80&lt;0,IF($J80=10,-$E80*$I80/12*0,IF($J80=11,-$E80*$I80/12*1,IF($J80=12,-$E80*$I80/12*2,0)))))</f>
        <v>0</v>
      </c>
      <c r="CX80" s="440">
        <f t="shared" ref="CX80:CX94" si="1180">IF(AND(CS80&lt;&gt;0,CS$5=$H80),-$I80*$E80-CS80,IF(CX$5=$H80,-$I80*$E80*(12-$J80+1)/12,0))</f>
        <v>0</v>
      </c>
      <c r="CY80" s="441">
        <f t="shared" ref="CY80:CY94" si="1181">IF($H80&lt;&gt;DC$5,0,IF(DC80&lt;0,IF($J80=1,-$E80*$I80/12*3,IF($J80=2,-$E80*$I80/12*2,IF($J80=3,-$E80*$I80/12*1,0)))))+IF(CX$5&lt;&gt;$H80,0,IF(CX80&lt;0,IF($J80=1,-$E80*$I80/12*0,IF($J80=2,-$E80*$I80/12*1,IF($J80=3,-$E80*$I80/12*2,IF($J80&gt;=4,-$E80*$I80/12*3,0))))))</f>
        <v>0</v>
      </c>
      <c r="CZ80" s="442">
        <f t="shared" ref="CZ80:CZ94" si="1182">IF($H80&lt;&gt;DC$5,0,IF(DC80&lt;0,IF(OR($J80=1,$J80=2,$J80=3,$J80=4),-$E80*$I80/12*3,IF($J80=5,-$E80*$I80/12*2,IF($J80=6,-$E80*$I80/12*1,0)))))+IF(CX$5&lt;&gt;$H80,0,IF(CX80&lt;0,IF($J80=4,-$E80*$I80/12*0,IF($J80=5,-$E80*$I80/12*1,IF($J80=6,-$E80*$I80/12*2,IF($J80&gt;=7,-$E80*$I80/12*3,0))))))</f>
        <v>0</v>
      </c>
      <c r="DA80" s="442">
        <f t="shared" ref="DA80:DA94" si="1183">IF($H80&lt;&gt;DC$5,0,IF(DC80&lt;0,IF(OR($J80=1,$J80=2,$J80=3,$J80=4,$J80=5,$J80=6,$J80=7),-$E80*$I80/12*3,IF($J80=8,-$E80*$I80/12*2,IF($J80=9,-$E80*$I80/12*1,0)))))+IF(CX$5&lt;&gt;$H80,0,IF(CX80&lt;0,IF($J80=7,-$E80*$I80/12*0,IF($J80=8,-$E80*$I80/12*1,IF($J80=9,-$E80*$I80/12*2,IF($J80&gt;=10,-$E80*$I80/12*3,0))))))</f>
        <v>0</v>
      </c>
      <c r="DB80" s="443">
        <f t="shared" ref="DB80:DB94" si="1184">IF($H80&lt;&gt;DC$5,0,IF(DC80&lt;0,IF(OR($J80=1,$J80=2,$J80=3,$J80=4,$J80=5,$J80=6,$J80=7,$J80=8,$J80=9,$J80=10),-$E80*$I80/12*3,IF($J80=11,-$E80*$I80/12*2,IF($J80=12,-$E80*$I80/12*1,0)))))+IF(CX$5&lt;&gt;$H80,0,IF(CX80&lt;0,IF($J80=10,-$E80*$I80/12*0,IF($J80=11,-$E80*$I80/12*1,IF($J80=12,-$E80*$I80/12*2,0)))))</f>
        <v>0</v>
      </c>
      <c r="DC80" s="440">
        <f t="shared" ref="DC80:DC94" si="1185">IF(AND(CX80&lt;&gt;0,CX$5=$H80),-$I80*$E80-CX80,IF(DC$5=$H80,-$I80*$E80*(12-$J80+1)/12,0))</f>
        <v>0</v>
      </c>
      <c r="DD80" s="441">
        <f t="shared" ref="DD80:DD94" si="1186">IF($H80&lt;&gt;DH$5,0,IF(DH80&lt;0,IF($J80=1,-$E80*$I80/12*3,IF($J80=2,-$E80*$I80/12*2,IF($J80=3,-$E80*$I80/12*1,0)))))+IF(DC$5&lt;&gt;$H80,0,IF(DC80&lt;0,IF($J80=1,-$E80*$I80/12*0,IF($J80=2,-$E80*$I80/12*1,IF($J80=3,-$E80*$I80/12*2,IF($J80&gt;=4,-$E80*$I80/12*3,0))))))</f>
        <v>0</v>
      </c>
      <c r="DE80" s="442">
        <f t="shared" ref="DE80:DE94" si="1187">IF($H80&lt;&gt;DH$5,0,IF(DH80&lt;0,IF(OR($J80=1,$J80=2,$J80=3,$J80=4),-$E80*$I80/12*3,IF($J80=5,-$E80*$I80/12*2,IF($J80=6,-$E80*$I80/12*1,0)))))+IF(DC$5&lt;&gt;$H80,0,IF(DC80&lt;0,IF($J80=4,-$E80*$I80/12*0,IF($J80=5,-$E80*$I80/12*1,IF($J80=6,-$E80*$I80/12*2,IF($J80&gt;=7,-$E80*$I80/12*3,0))))))</f>
        <v>0</v>
      </c>
      <c r="DF80" s="442">
        <f t="shared" ref="DF80:DF94" si="1188">IF($H80&lt;&gt;DH$5,0,IF(DH80&lt;0,IF(OR($J80=1,$J80=2,$J80=3,$J80=4,$J80=5,$J80=6,$J80=7),-$E80*$I80/12*3,IF($J80=8,-$E80*$I80/12*2,IF($J80=9,-$E80*$I80/12*1,0)))))+IF(DC$5&lt;&gt;$H80,0,IF(DC80&lt;0,IF($J80=7,-$E80*$I80/12*0,IF($J80=8,-$E80*$I80/12*1,IF($J80=9,-$E80*$I80/12*2,IF($J80&gt;=10,-$E80*$I80/12*3,0))))))</f>
        <v>0</v>
      </c>
      <c r="DG80" s="443">
        <f t="shared" ref="DG80:DG94" si="1189">IF($H80&lt;&gt;DH$5,0,IF(DH80&lt;0,IF(OR($J80=1,$J80=2,$J80=3,$J80=4,$J80=5,$J80=6,$J80=7,$J80=8,$J80=9,$J80=10),-$E80*$I80/12*3,IF($J80=11,-$E80*$I80/12*2,IF($J80=12,-$E80*$I80/12*1,0)))))+IF(DC$5&lt;&gt;$H80,0,IF(DC80&lt;0,IF($J80=10,-$E80*$I80/12*0,IF($J80=11,-$E80*$I80/12*1,IF($J80=12,-$E80*$I80/12*2,0)))))</f>
        <v>0</v>
      </c>
      <c r="DH80" s="440">
        <f t="shared" ref="DH80:DH94" si="1190">IF(AND(DC80&lt;&gt;0,DC$5=$H80),-$I80*$E80-DC80,IF(DH$5=$H80,-$I80*$E80*(12-$J80+1)/12,0))</f>
        <v>0</v>
      </c>
      <c r="DI80" s="441">
        <f t="shared" ref="DI80:DI94" si="1191">IF($H80&lt;&gt;DM$5,0,IF(DM80&lt;0,IF($J80=1,-$E80*$I80/12*3,IF($J80=2,-$E80*$I80/12*2,IF($J80=3,-$E80*$I80/12*1,0)))))+IF(DH$5&lt;&gt;$H80,0,IF(DH80&lt;0,IF($J80=1,-$E80*$I80/12*0,IF($J80=2,-$E80*$I80/12*1,IF($J80=3,-$E80*$I80/12*2,IF($J80&gt;=4,-$E80*$I80/12*3,0))))))</f>
        <v>0</v>
      </c>
      <c r="DJ80" s="442">
        <f t="shared" ref="DJ80:DJ94" si="1192">IF($H80&lt;&gt;DM$5,0,IF(DM80&lt;0,IF(OR($J80=1,$J80=2,$J80=3,$J80=4),-$E80*$I80/12*3,IF($J80=5,-$E80*$I80/12*2,IF($J80=6,-$E80*$I80/12*1,0)))))+IF(DH$5&lt;&gt;$H80,0,IF(DH80&lt;0,IF($J80=4,-$E80*$I80/12*0,IF($J80=5,-$E80*$I80/12*1,IF($J80=6,-$E80*$I80/12*2,IF($J80&gt;=7,-$E80*$I80/12*3,0))))))</f>
        <v>0</v>
      </c>
      <c r="DK80" s="442">
        <f t="shared" ref="DK80:DK94" si="1193">IF($H80&lt;&gt;DM$5,0,IF(DM80&lt;0,IF(OR($J80=1,$J80=2,$J80=3,$J80=4,$J80=5,$J80=6,$J80=7),-$E80*$I80/12*3,IF($J80=8,-$E80*$I80/12*2,IF($J80=9,-$E80*$I80/12*1,0)))))+IF(DH$5&lt;&gt;$H80,0,IF(DH80&lt;0,IF($J80=7,-$E80*$I80/12*0,IF($J80=8,-$E80*$I80/12*1,IF($J80=9,-$E80*$I80/12*2,IF($J80&gt;=10,-$E80*$I80/12*3,0))))))</f>
        <v>0</v>
      </c>
      <c r="DL80" s="443">
        <f t="shared" ref="DL80:DL94" si="1194">IF($H80&lt;&gt;DM$5,0,IF(DM80&lt;0,IF(OR($J80=1,$J80=2,$J80=3,$J80=4,$J80=5,$J80=6,$J80=7,$J80=8,$J80=9,$J80=10),-$E80*$I80/12*3,IF($J80=11,-$E80*$I80/12*2,IF($J80=12,-$E80*$I80/12*1,0)))))+IF(DH$5&lt;&gt;$H80,0,IF(DH80&lt;0,IF($J80=10,-$E80*$I80/12*0,IF($J80=11,-$E80*$I80/12*1,IF($J80=12,-$E80*$I80/12*2,0)))))</f>
        <v>0</v>
      </c>
      <c r="DM80" s="440">
        <f t="shared" ref="DM80:DM94" si="1195">IF(AND(DH80&lt;&gt;0,DH$5=$H80),-$I80*$E80-DH80,IF(DM$5=$H80,-$I80*$E80*(12-$J80+1)/12,0))</f>
        <v>0</v>
      </c>
      <c r="DN80" s="441">
        <f t="shared" ref="DN80:DN94" si="1196">IF($H80&lt;&gt;DR$5,0,IF(DR80&lt;0,IF($J80=1,-$E80*$I80/12*3,IF($J80=2,-$E80*$I80/12*2,IF($J80=3,-$E80*$I80/12*1,0)))))+IF(DM$5&lt;&gt;$H80,0,IF(DM80&lt;0,IF($J80=1,-$E80*$I80/12*0,IF($J80=2,-$E80*$I80/12*1,IF($J80=3,-$E80*$I80/12*2,IF($J80&gt;=4,-$E80*$I80/12*3,0))))))</f>
        <v>0</v>
      </c>
      <c r="DO80" s="442">
        <f t="shared" ref="DO80:DO94" si="1197">IF($H80&lt;&gt;DR$5,0,IF(DR80&lt;0,IF(OR($J80=1,$J80=2,$J80=3,$J80=4),-$E80*$I80/12*3,IF($J80=5,-$E80*$I80/12*2,IF($J80=6,-$E80*$I80/12*1,0)))))+IF(DM$5&lt;&gt;$H80,0,IF(DM80&lt;0,IF($J80=4,-$E80*$I80/12*0,IF($J80=5,-$E80*$I80/12*1,IF($J80=6,-$E80*$I80/12*2,IF($J80&gt;=7,-$E80*$I80/12*3,0))))))</f>
        <v>0</v>
      </c>
      <c r="DP80" s="442">
        <f t="shared" ref="DP80:DP94" si="1198">IF($H80&lt;&gt;DR$5,0,IF(DR80&lt;0,IF(OR($J80=1,$J80=2,$J80=3,$J80=4,$J80=5,$J80=6,$J80=7),-$E80*$I80/12*3,IF($J80=8,-$E80*$I80/12*2,IF($J80=9,-$E80*$I80/12*1,0)))))+IF(DM$5&lt;&gt;$H80,0,IF(DM80&lt;0,IF($J80=7,-$E80*$I80/12*0,IF($J80=8,-$E80*$I80/12*1,IF($J80=9,-$E80*$I80/12*2,IF($J80&gt;=10,-$E80*$I80/12*3,0))))))</f>
        <v>0</v>
      </c>
      <c r="DQ80" s="443">
        <f t="shared" ref="DQ80:DQ94" si="1199">IF($H80&lt;&gt;DR$5,0,IF(DR80&lt;0,IF(OR($J80=1,$J80=2,$J80=3,$J80=4,$J80=5,$J80=6,$J80=7,$J80=8,$J80=9,$J80=10),-$E80*$I80/12*3,IF($J80=11,-$E80*$I80/12*2,IF($J80=12,-$E80*$I80/12*1,0)))))+IF(DM$5&lt;&gt;$H80,0,IF(DM80&lt;0,IF($J80=10,-$E80*$I80/12*0,IF($J80=11,-$E80*$I80/12*1,IF($J80=12,-$E80*$I80/12*2,0)))))</f>
        <v>0</v>
      </c>
      <c r="DR80" s="440">
        <f t="shared" ref="DR80:DR94" si="1200">IF(AND(DM80&lt;&gt;0,DM$5=$H80),-$I80*$E80-DM80,IF(DR$5=$H80,-$I80*$E80*(12-$J80+1)/12,0))</f>
        <v>0</v>
      </c>
    </row>
    <row r="81" spans="3:122" ht="12.75" customHeight="1">
      <c r="C81" s="1957" t="s">
        <v>1019</v>
      </c>
      <c r="D81" s="395"/>
      <c r="E81" s="865">
        <f t="shared" si="1090"/>
        <v>8</v>
      </c>
      <c r="F81" s="1945">
        <v>8</v>
      </c>
      <c r="G81" s="1945">
        <v>8</v>
      </c>
      <c r="H81" s="1308">
        <v>2033</v>
      </c>
      <c r="I81" s="1948">
        <v>3.125E-2</v>
      </c>
      <c r="J81" s="1357">
        <v>7</v>
      </c>
      <c r="K81" s="549"/>
      <c r="L81" s="441">
        <f t="shared" si="1091"/>
        <v>0</v>
      </c>
      <c r="M81" s="442">
        <f t="shared" si="1092"/>
        <v>0</v>
      </c>
      <c r="N81" s="442">
        <f t="shared" si="1093"/>
        <v>0</v>
      </c>
      <c r="O81" s="443">
        <f t="shared" si="1094"/>
        <v>0</v>
      </c>
      <c r="P81" s="440">
        <f t="shared" si="1095"/>
        <v>0</v>
      </c>
      <c r="Q81" s="441">
        <f t="shared" si="1096"/>
        <v>0</v>
      </c>
      <c r="R81" s="442">
        <f t="shared" si="1097"/>
        <v>0</v>
      </c>
      <c r="S81" s="442">
        <f t="shared" si="1098"/>
        <v>0</v>
      </c>
      <c r="T81" s="443">
        <f t="shared" si="1099"/>
        <v>0</v>
      </c>
      <c r="U81" s="440">
        <f t="shared" si="1100"/>
        <v>0</v>
      </c>
      <c r="V81" s="441">
        <f t="shared" si="1101"/>
        <v>0</v>
      </c>
      <c r="W81" s="442">
        <f t="shared" si="1102"/>
        <v>0</v>
      </c>
      <c r="X81" s="442">
        <f t="shared" si="1103"/>
        <v>0</v>
      </c>
      <c r="Y81" s="443">
        <f t="shared" si="1104"/>
        <v>0</v>
      </c>
      <c r="Z81" s="440">
        <f t="shared" si="1105"/>
        <v>0</v>
      </c>
      <c r="AA81" s="441">
        <f t="shared" si="1106"/>
        <v>0</v>
      </c>
      <c r="AB81" s="442">
        <f t="shared" si="1107"/>
        <v>0</v>
      </c>
      <c r="AC81" s="442">
        <f t="shared" si="1108"/>
        <v>0</v>
      </c>
      <c r="AD81" s="443">
        <f t="shared" si="1109"/>
        <v>0</v>
      </c>
      <c r="AE81" s="440">
        <f t="shared" si="1110"/>
        <v>0</v>
      </c>
      <c r="AF81" s="441">
        <f t="shared" si="1111"/>
        <v>0</v>
      </c>
      <c r="AG81" s="442">
        <f t="shared" si="1112"/>
        <v>0</v>
      </c>
      <c r="AH81" s="442">
        <f t="shared" si="1113"/>
        <v>0</v>
      </c>
      <c r="AI81" s="443">
        <f t="shared" si="1114"/>
        <v>0</v>
      </c>
      <c r="AJ81" s="440">
        <f t="shared" si="1115"/>
        <v>0</v>
      </c>
      <c r="AK81" s="441">
        <f t="shared" si="1116"/>
        <v>0</v>
      </c>
      <c r="AL81" s="442">
        <f t="shared" si="1117"/>
        <v>0</v>
      </c>
      <c r="AM81" s="442">
        <f t="shared" si="1118"/>
        <v>0</v>
      </c>
      <c r="AN81" s="443">
        <f t="shared" si="1119"/>
        <v>0</v>
      </c>
      <c r="AO81" s="440">
        <f t="shared" si="1120"/>
        <v>0</v>
      </c>
      <c r="AP81" s="441">
        <f t="shared" si="1121"/>
        <v>0</v>
      </c>
      <c r="AQ81" s="442">
        <f t="shared" si="1122"/>
        <v>0</v>
      </c>
      <c r="AR81" s="442">
        <f t="shared" si="1123"/>
        <v>0</v>
      </c>
      <c r="AS81" s="443">
        <f t="shared" si="1124"/>
        <v>0</v>
      </c>
      <c r="AT81" s="440">
        <f t="shared" si="1125"/>
        <v>0</v>
      </c>
      <c r="AU81" s="441">
        <f t="shared" si="1126"/>
        <v>0</v>
      </c>
      <c r="AV81" s="442">
        <f t="shared" si="1127"/>
        <v>0</v>
      </c>
      <c r="AW81" s="442">
        <f t="shared" si="1128"/>
        <v>0</v>
      </c>
      <c r="AX81" s="443">
        <f t="shared" si="1129"/>
        <v>0</v>
      </c>
      <c r="AY81" s="440">
        <f t="shared" si="1130"/>
        <v>0</v>
      </c>
      <c r="AZ81" s="441">
        <f t="shared" si="1131"/>
        <v>0</v>
      </c>
      <c r="BA81" s="442">
        <f t="shared" si="1132"/>
        <v>0</v>
      </c>
      <c r="BB81" s="442">
        <f t="shared" si="1133"/>
        <v>0</v>
      </c>
      <c r="BC81" s="443">
        <f t="shared" si="1134"/>
        <v>0</v>
      </c>
      <c r="BD81" s="440">
        <f t="shared" si="1135"/>
        <v>0</v>
      </c>
      <c r="BE81" s="441">
        <f t="shared" si="1136"/>
        <v>0</v>
      </c>
      <c r="BF81" s="442">
        <f t="shared" si="1137"/>
        <v>0</v>
      </c>
      <c r="BG81" s="442">
        <f t="shared" si="1138"/>
        <v>0</v>
      </c>
      <c r="BH81" s="443">
        <f t="shared" si="1139"/>
        <v>0</v>
      </c>
      <c r="BI81" s="440">
        <f t="shared" si="1140"/>
        <v>0</v>
      </c>
      <c r="BJ81" s="441">
        <f t="shared" si="1141"/>
        <v>0</v>
      </c>
      <c r="BK81" s="442">
        <f t="shared" si="1142"/>
        <v>0</v>
      </c>
      <c r="BL81" s="442">
        <f t="shared" si="1143"/>
        <v>0</v>
      </c>
      <c r="BM81" s="443">
        <f t="shared" si="1144"/>
        <v>0</v>
      </c>
      <c r="BN81" s="440">
        <f t="shared" si="1145"/>
        <v>0</v>
      </c>
      <c r="BO81" s="470"/>
      <c r="BP81" s="441">
        <f t="shared" si="1146"/>
        <v>0</v>
      </c>
      <c r="BQ81" s="442">
        <f t="shared" si="1147"/>
        <v>0</v>
      </c>
      <c r="BR81" s="442">
        <f t="shared" si="1148"/>
        <v>0</v>
      </c>
      <c r="BS81" s="443">
        <f t="shared" si="1149"/>
        <v>0</v>
      </c>
      <c r="BT81" s="440">
        <f t="shared" si="1150"/>
        <v>0</v>
      </c>
      <c r="BU81" s="441">
        <f t="shared" si="1151"/>
        <v>0</v>
      </c>
      <c r="BV81" s="442">
        <f t="shared" si="1152"/>
        <v>0</v>
      </c>
      <c r="BW81" s="442">
        <f t="shared" si="1153"/>
        <v>0</v>
      </c>
      <c r="BX81" s="443">
        <f t="shared" si="1154"/>
        <v>0</v>
      </c>
      <c r="BY81" s="440">
        <f t="shared" si="1155"/>
        <v>0</v>
      </c>
      <c r="BZ81" s="441">
        <f t="shared" si="1156"/>
        <v>0</v>
      </c>
      <c r="CA81" s="442">
        <f t="shared" si="1157"/>
        <v>0</v>
      </c>
      <c r="CB81" s="442">
        <f t="shared" si="1158"/>
        <v>0</v>
      </c>
      <c r="CC81" s="443">
        <f t="shared" si="1159"/>
        <v>0</v>
      </c>
      <c r="CD81" s="440">
        <f t="shared" si="1160"/>
        <v>0</v>
      </c>
      <c r="CE81" s="441">
        <f t="shared" si="1161"/>
        <v>0</v>
      </c>
      <c r="CF81" s="442">
        <f t="shared" si="1162"/>
        <v>0</v>
      </c>
      <c r="CG81" s="442">
        <f t="shared" si="1163"/>
        <v>0</v>
      </c>
      <c r="CH81" s="443">
        <f t="shared" si="1164"/>
        <v>0</v>
      </c>
      <c r="CI81" s="440">
        <f t="shared" si="1165"/>
        <v>0</v>
      </c>
      <c r="CJ81" s="441">
        <f t="shared" si="1166"/>
        <v>0</v>
      </c>
      <c r="CK81" s="442">
        <f t="shared" si="1167"/>
        <v>0</v>
      </c>
      <c r="CL81" s="442">
        <f t="shared" si="1168"/>
        <v>0</v>
      </c>
      <c r="CM81" s="443">
        <f t="shared" si="1169"/>
        <v>0</v>
      </c>
      <c r="CN81" s="440">
        <f t="shared" si="1170"/>
        <v>0</v>
      </c>
      <c r="CO81" s="441">
        <f t="shared" si="1171"/>
        <v>0</v>
      </c>
      <c r="CP81" s="442">
        <f t="shared" si="1172"/>
        <v>0</v>
      </c>
      <c r="CQ81" s="442">
        <f t="shared" si="1173"/>
        <v>0</v>
      </c>
      <c r="CR81" s="443">
        <f t="shared" si="1174"/>
        <v>0</v>
      </c>
      <c r="CS81" s="440">
        <f t="shared" si="1175"/>
        <v>0</v>
      </c>
      <c r="CT81" s="441">
        <f t="shared" si="1176"/>
        <v>0</v>
      </c>
      <c r="CU81" s="442">
        <f t="shared" si="1177"/>
        <v>0</v>
      </c>
      <c r="CV81" s="442">
        <f t="shared" si="1178"/>
        <v>0</v>
      </c>
      <c r="CW81" s="443">
        <f t="shared" si="1179"/>
        <v>0</v>
      </c>
      <c r="CX81" s="440">
        <f t="shared" si="1180"/>
        <v>0</v>
      </c>
      <c r="CY81" s="441">
        <f t="shared" si="1181"/>
        <v>0</v>
      </c>
      <c r="CZ81" s="442">
        <f t="shared" si="1182"/>
        <v>0</v>
      </c>
      <c r="DA81" s="442">
        <f t="shared" si="1183"/>
        <v>0</v>
      </c>
      <c r="DB81" s="443">
        <f t="shared" si="1184"/>
        <v>0</v>
      </c>
      <c r="DC81" s="440">
        <f t="shared" si="1185"/>
        <v>0</v>
      </c>
      <c r="DD81" s="441">
        <f t="shared" si="1186"/>
        <v>0</v>
      </c>
      <c r="DE81" s="442">
        <f t="shared" si="1187"/>
        <v>0</v>
      </c>
      <c r="DF81" s="442">
        <f t="shared" si="1188"/>
        <v>0</v>
      </c>
      <c r="DG81" s="443">
        <f t="shared" si="1189"/>
        <v>0</v>
      </c>
      <c r="DH81" s="440">
        <f t="shared" si="1190"/>
        <v>0</v>
      </c>
      <c r="DI81" s="441">
        <f t="shared" si="1191"/>
        <v>0</v>
      </c>
      <c r="DJ81" s="442">
        <f t="shared" si="1192"/>
        <v>0</v>
      </c>
      <c r="DK81" s="442">
        <f t="shared" si="1193"/>
        <v>0</v>
      </c>
      <c r="DL81" s="443">
        <f t="shared" si="1194"/>
        <v>0</v>
      </c>
      <c r="DM81" s="440">
        <f t="shared" si="1195"/>
        <v>0</v>
      </c>
      <c r="DN81" s="441">
        <f t="shared" si="1196"/>
        <v>0</v>
      </c>
      <c r="DO81" s="442">
        <f t="shared" si="1197"/>
        <v>0</v>
      </c>
      <c r="DP81" s="442">
        <f t="shared" si="1198"/>
        <v>0</v>
      </c>
      <c r="DQ81" s="443">
        <f t="shared" si="1199"/>
        <v>0</v>
      </c>
      <c r="DR81" s="440">
        <f t="shared" si="1200"/>
        <v>0</v>
      </c>
    </row>
    <row r="82" spans="3:122" ht="12.75" customHeight="1">
      <c r="C82" s="1590" t="s">
        <v>1016</v>
      </c>
      <c r="D82" s="395"/>
      <c r="E82" s="865">
        <f t="shared" si="1090"/>
        <v>7.2</v>
      </c>
      <c r="F82" s="1945">
        <v>7.2</v>
      </c>
      <c r="G82" s="1945">
        <v>7.2</v>
      </c>
      <c r="H82" s="1308">
        <v>2034</v>
      </c>
      <c r="I82" s="1948">
        <v>3.125E-2</v>
      </c>
      <c r="J82" s="1357">
        <v>1</v>
      </c>
      <c r="K82" s="549"/>
      <c r="L82" s="441">
        <f t="shared" si="1091"/>
        <v>0</v>
      </c>
      <c r="M82" s="442">
        <f t="shared" si="1092"/>
        <v>0</v>
      </c>
      <c r="N82" s="442">
        <f t="shared" si="1093"/>
        <v>0</v>
      </c>
      <c r="O82" s="443">
        <f t="shared" si="1094"/>
        <v>0</v>
      </c>
      <c r="P82" s="440">
        <f t="shared" si="1095"/>
        <v>0</v>
      </c>
      <c r="Q82" s="441">
        <f t="shared" si="1096"/>
        <v>0</v>
      </c>
      <c r="R82" s="442">
        <f t="shared" si="1097"/>
        <v>0</v>
      </c>
      <c r="S82" s="442">
        <f t="shared" si="1098"/>
        <v>0</v>
      </c>
      <c r="T82" s="443">
        <f t="shared" si="1099"/>
        <v>0</v>
      </c>
      <c r="U82" s="440">
        <f t="shared" si="1100"/>
        <v>0</v>
      </c>
      <c r="V82" s="441">
        <f t="shared" si="1101"/>
        <v>0</v>
      </c>
      <c r="W82" s="442">
        <f t="shared" si="1102"/>
        <v>0</v>
      </c>
      <c r="X82" s="442">
        <f t="shared" si="1103"/>
        <v>0</v>
      </c>
      <c r="Y82" s="443">
        <f t="shared" si="1104"/>
        <v>0</v>
      </c>
      <c r="Z82" s="440">
        <f t="shared" si="1105"/>
        <v>0</v>
      </c>
      <c r="AA82" s="441">
        <f t="shared" si="1106"/>
        <v>0</v>
      </c>
      <c r="AB82" s="442">
        <f t="shared" si="1107"/>
        <v>0</v>
      </c>
      <c r="AC82" s="442">
        <f t="shared" si="1108"/>
        <v>0</v>
      </c>
      <c r="AD82" s="443">
        <f t="shared" si="1109"/>
        <v>0</v>
      </c>
      <c r="AE82" s="440">
        <f t="shared" si="1110"/>
        <v>0</v>
      </c>
      <c r="AF82" s="441">
        <f t="shared" si="1111"/>
        <v>0</v>
      </c>
      <c r="AG82" s="442">
        <f t="shared" si="1112"/>
        <v>0</v>
      </c>
      <c r="AH82" s="442">
        <f t="shared" si="1113"/>
        <v>0</v>
      </c>
      <c r="AI82" s="443">
        <f t="shared" si="1114"/>
        <v>0</v>
      </c>
      <c r="AJ82" s="440">
        <f t="shared" si="1115"/>
        <v>0</v>
      </c>
      <c r="AK82" s="441">
        <f t="shared" si="1116"/>
        <v>0</v>
      </c>
      <c r="AL82" s="442">
        <f t="shared" si="1117"/>
        <v>0</v>
      </c>
      <c r="AM82" s="442">
        <f t="shared" si="1118"/>
        <v>0</v>
      </c>
      <c r="AN82" s="443">
        <f t="shared" si="1119"/>
        <v>0</v>
      </c>
      <c r="AO82" s="440">
        <f t="shared" si="1120"/>
        <v>0</v>
      </c>
      <c r="AP82" s="441">
        <f t="shared" si="1121"/>
        <v>0</v>
      </c>
      <c r="AQ82" s="442">
        <f t="shared" si="1122"/>
        <v>0</v>
      </c>
      <c r="AR82" s="442">
        <f t="shared" si="1123"/>
        <v>0</v>
      </c>
      <c r="AS82" s="443">
        <f t="shared" si="1124"/>
        <v>0</v>
      </c>
      <c r="AT82" s="440">
        <f t="shared" si="1125"/>
        <v>0</v>
      </c>
      <c r="AU82" s="441">
        <f t="shared" si="1126"/>
        <v>0</v>
      </c>
      <c r="AV82" s="442">
        <f t="shared" si="1127"/>
        <v>0</v>
      </c>
      <c r="AW82" s="442">
        <f t="shared" si="1128"/>
        <v>0</v>
      </c>
      <c r="AX82" s="443">
        <f t="shared" si="1129"/>
        <v>0</v>
      </c>
      <c r="AY82" s="440">
        <f t="shared" si="1130"/>
        <v>0</v>
      </c>
      <c r="AZ82" s="441">
        <f t="shared" si="1131"/>
        <v>0</v>
      </c>
      <c r="BA82" s="442">
        <f t="shared" si="1132"/>
        <v>0</v>
      </c>
      <c r="BB82" s="442">
        <f t="shared" si="1133"/>
        <v>0</v>
      </c>
      <c r="BC82" s="443">
        <f t="shared" si="1134"/>
        <v>0</v>
      </c>
      <c r="BD82" s="440">
        <f t="shared" si="1135"/>
        <v>0</v>
      </c>
      <c r="BE82" s="441">
        <f t="shared" si="1136"/>
        <v>0</v>
      </c>
      <c r="BF82" s="442">
        <f t="shared" si="1137"/>
        <v>0</v>
      </c>
      <c r="BG82" s="442">
        <f t="shared" si="1138"/>
        <v>0</v>
      </c>
      <c r="BH82" s="443">
        <f t="shared" si="1139"/>
        <v>0</v>
      </c>
      <c r="BI82" s="440">
        <f t="shared" si="1140"/>
        <v>0</v>
      </c>
      <c r="BJ82" s="441">
        <f t="shared" si="1141"/>
        <v>0</v>
      </c>
      <c r="BK82" s="442">
        <f t="shared" si="1142"/>
        <v>0</v>
      </c>
      <c r="BL82" s="442">
        <f t="shared" si="1143"/>
        <v>0</v>
      </c>
      <c r="BM82" s="443">
        <f t="shared" si="1144"/>
        <v>0</v>
      </c>
      <c r="BN82" s="440">
        <f t="shared" si="1145"/>
        <v>0</v>
      </c>
      <c r="BO82" s="470"/>
      <c r="BP82" s="441">
        <f t="shared" si="1146"/>
        <v>0</v>
      </c>
      <c r="BQ82" s="442">
        <f t="shared" si="1147"/>
        <v>0</v>
      </c>
      <c r="BR82" s="442">
        <f t="shared" si="1148"/>
        <v>0</v>
      </c>
      <c r="BS82" s="443">
        <f t="shared" si="1149"/>
        <v>0</v>
      </c>
      <c r="BT82" s="440">
        <f t="shared" si="1150"/>
        <v>0</v>
      </c>
      <c r="BU82" s="441">
        <f t="shared" si="1151"/>
        <v>0</v>
      </c>
      <c r="BV82" s="442">
        <f t="shared" si="1152"/>
        <v>0</v>
      </c>
      <c r="BW82" s="442">
        <f t="shared" si="1153"/>
        <v>0</v>
      </c>
      <c r="BX82" s="443">
        <f t="shared" si="1154"/>
        <v>0</v>
      </c>
      <c r="BY82" s="440">
        <f t="shared" si="1155"/>
        <v>0</v>
      </c>
      <c r="BZ82" s="441">
        <f t="shared" si="1156"/>
        <v>0</v>
      </c>
      <c r="CA82" s="442">
        <f t="shared" si="1157"/>
        <v>0</v>
      </c>
      <c r="CB82" s="442">
        <f t="shared" si="1158"/>
        <v>0</v>
      </c>
      <c r="CC82" s="443">
        <f t="shared" si="1159"/>
        <v>0</v>
      </c>
      <c r="CD82" s="440">
        <f t="shared" si="1160"/>
        <v>0</v>
      </c>
      <c r="CE82" s="441">
        <f t="shared" si="1161"/>
        <v>0</v>
      </c>
      <c r="CF82" s="442">
        <f t="shared" si="1162"/>
        <v>0</v>
      </c>
      <c r="CG82" s="442">
        <f t="shared" si="1163"/>
        <v>0</v>
      </c>
      <c r="CH82" s="443">
        <f t="shared" si="1164"/>
        <v>0</v>
      </c>
      <c r="CI82" s="440">
        <f t="shared" si="1165"/>
        <v>0</v>
      </c>
      <c r="CJ82" s="441">
        <f t="shared" si="1166"/>
        <v>0</v>
      </c>
      <c r="CK82" s="442">
        <f t="shared" si="1167"/>
        <v>0</v>
      </c>
      <c r="CL82" s="442">
        <f t="shared" si="1168"/>
        <v>0</v>
      </c>
      <c r="CM82" s="443">
        <f t="shared" si="1169"/>
        <v>0</v>
      </c>
      <c r="CN82" s="440">
        <f t="shared" si="1170"/>
        <v>0</v>
      </c>
      <c r="CO82" s="441">
        <f t="shared" si="1171"/>
        <v>0</v>
      </c>
      <c r="CP82" s="442">
        <f t="shared" si="1172"/>
        <v>0</v>
      </c>
      <c r="CQ82" s="442">
        <f t="shared" si="1173"/>
        <v>0</v>
      </c>
      <c r="CR82" s="443">
        <f t="shared" si="1174"/>
        <v>0</v>
      </c>
      <c r="CS82" s="440">
        <f t="shared" si="1175"/>
        <v>0</v>
      </c>
      <c r="CT82" s="441">
        <f t="shared" si="1176"/>
        <v>0</v>
      </c>
      <c r="CU82" s="442">
        <f t="shared" si="1177"/>
        <v>0</v>
      </c>
      <c r="CV82" s="442">
        <f t="shared" si="1178"/>
        <v>0</v>
      </c>
      <c r="CW82" s="443">
        <f t="shared" si="1179"/>
        <v>0</v>
      </c>
      <c r="CX82" s="440">
        <f t="shared" si="1180"/>
        <v>0</v>
      </c>
      <c r="CY82" s="441">
        <f t="shared" si="1181"/>
        <v>0</v>
      </c>
      <c r="CZ82" s="442">
        <f t="shared" si="1182"/>
        <v>0</v>
      </c>
      <c r="DA82" s="442">
        <f t="shared" si="1183"/>
        <v>0</v>
      </c>
      <c r="DB82" s="443">
        <f t="shared" si="1184"/>
        <v>0</v>
      </c>
      <c r="DC82" s="440">
        <f t="shared" si="1185"/>
        <v>0</v>
      </c>
      <c r="DD82" s="441">
        <f t="shared" si="1186"/>
        <v>0</v>
      </c>
      <c r="DE82" s="442">
        <f t="shared" si="1187"/>
        <v>0</v>
      </c>
      <c r="DF82" s="442">
        <f t="shared" si="1188"/>
        <v>0</v>
      </c>
      <c r="DG82" s="443">
        <f t="shared" si="1189"/>
        <v>0</v>
      </c>
      <c r="DH82" s="440">
        <f t="shared" si="1190"/>
        <v>0</v>
      </c>
      <c r="DI82" s="441">
        <f t="shared" si="1191"/>
        <v>0</v>
      </c>
      <c r="DJ82" s="442">
        <f t="shared" si="1192"/>
        <v>0</v>
      </c>
      <c r="DK82" s="442">
        <f t="shared" si="1193"/>
        <v>0</v>
      </c>
      <c r="DL82" s="443">
        <f t="shared" si="1194"/>
        <v>0</v>
      </c>
      <c r="DM82" s="440">
        <f t="shared" si="1195"/>
        <v>0</v>
      </c>
      <c r="DN82" s="441">
        <f t="shared" si="1196"/>
        <v>0</v>
      </c>
      <c r="DO82" s="442">
        <f t="shared" si="1197"/>
        <v>0</v>
      </c>
      <c r="DP82" s="442">
        <f t="shared" si="1198"/>
        <v>0</v>
      </c>
      <c r="DQ82" s="443">
        <f t="shared" si="1199"/>
        <v>0</v>
      </c>
      <c r="DR82" s="440">
        <f t="shared" si="1200"/>
        <v>0</v>
      </c>
    </row>
    <row r="83" spans="3:122" ht="12.75" customHeight="1">
      <c r="C83" s="1590" t="s">
        <v>1172</v>
      </c>
      <c r="D83" s="395"/>
      <c r="E83" s="865">
        <f t="shared" si="1090"/>
        <v>135.55000000000001</v>
      </c>
      <c r="F83" s="1945">
        <v>135.55000000000001</v>
      </c>
      <c r="G83" s="1945">
        <v>135.55000000000001</v>
      </c>
      <c r="H83" s="1308">
        <v>2033</v>
      </c>
      <c r="I83" s="1948">
        <v>0.04</v>
      </c>
      <c r="J83" s="1357">
        <v>12</v>
      </c>
      <c r="K83" s="549"/>
      <c r="L83" s="441">
        <f t="shared" si="1091"/>
        <v>0</v>
      </c>
      <c r="M83" s="442">
        <f t="shared" si="1092"/>
        <v>0</v>
      </c>
      <c r="N83" s="442">
        <f t="shared" si="1093"/>
        <v>0</v>
      </c>
      <c r="O83" s="443">
        <f t="shared" si="1094"/>
        <v>0</v>
      </c>
      <c r="P83" s="440">
        <f t="shared" si="1095"/>
        <v>0</v>
      </c>
      <c r="Q83" s="441">
        <f t="shared" si="1096"/>
        <v>0</v>
      </c>
      <c r="R83" s="442">
        <f t="shared" si="1097"/>
        <v>0</v>
      </c>
      <c r="S83" s="442">
        <f t="shared" si="1098"/>
        <v>0</v>
      </c>
      <c r="T83" s="443">
        <f t="shared" si="1099"/>
        <v>0</v>
      </c>
      <c r="U83" s="440">
        <f t="shared" si="1100"/>
        <v>0</v>
      </c>
      <c r="V83" s="441">
        <f t="shared" si="1101"/>
        <v>0</v>
      </c>
      <c r="W83" s="442">
        <f t="shared" si="1102"/>
        <v>0</v>
      </c>
      <c r="X83" s="442">
        <f t="shared" si="1103"/>
        <v>0</v>
      </c>
      <c r="Y83" s="443">
        <f t="shared" si="1104"/>
        <v>0</v>
      </c>
      <c r="Z83" s="440">
        <f t="shared" si="1105"/>
        <v>0</v>
      </c>
      <c r="AA83" s="441">
        <f t="shared" si="1106"/>
        <v>0</v>
      </c>
      <c r="AB83" s="442">
        <f t="shared" si="1107"/>
        <v>0</v>
      </c>
      <c r="AC83" s="442">
        <f t="shared" si="1108"/>
        <v>0</v>
      </c>
      <c r="AD83" s="443">
        <f t="shared" si="1109"/>
        <v>0</v>
      </c>
      <c r="AE83" s="440">
        <f t="shared" si="1110"/>
        <v>0</v>
      </c>
      <c r="AF83" s="441">
        <f t="shared" si="1111"/>
        <v>0</v>
      </c>
      <c r="AG83" s="442">
        <f t="shared" si="1112"/>
        <v>0</v>
      </c>
      <c r="AH83" s="442">
        <f t="shared" si="1113"/>
        <v>0</v>
      </c>
      <c r="AI83" s="443">
        <f t="shared" si="1114"/>
        <v>0</v>
      </c>
      <c r="AJ83" s="440">
        <f t="shared" si="1115"/>
        <v>0</v>
      </c>
      <c r="AK83" s="441">
        <f t="shared" si="1116"/>
        <v>0</v>
      </c>
      <c r="AL83" s="442">
        <f t="shared" si="1117"/>
        <v>0</v>
      </c>
      <c r="AM83" s="442">
        <f t="shared" si="1118"/>
        <v>0</v>
      </c>
      <c r="AN83" s="443">
        <f t="shared" si="1119"/>
        <v>0</v>
      </c>
      <c r="AO83" s="440">
        <f t="shared" si="1120"/>
        <v>0</v>
      </c>
      <c r="AP83" s="441">
        <f t="shared" si="1121"/>
        <v>0</v>
      </c>
      <c r="AQ83" s="442">
        <f t="shared" si="1122"/>
        <v>0</v>
      </c>
      <c r="AR83" s="442">
        <f t="shared" si="1123"/>
        <v>0</v>
      </c>
      <c r="AS83" s="443">
        <f t="shared" si="1124"/>
        <v>0</v>
      </c>
      <c r="AT83" s="440">
        <f t="shared" si="1125"/>
        <v>0</v>
      </c>
      <c r="AU83" s="441">
        <f t="shared" si="1126"/>
        <v>0</v>
      </c>
      <c r="AV83" s="442">
        <f t="shared" si="1127"/>
        <v>0</v>
      </c>
      <c r="AW83" s="442">
        <f t="shared" si="1128"/>
        <v>0</v>
      </c>
      <c r="AX83" s="443">
        <f t="shared" si="1129"/>
        <v>0</v>
      </c>
      <c r="AY83" s="440">
        <f t="shared" si="1130"/>
        <v>0</v>
      </c>
      <c r="AZ83" s="441">
        <f t="shared" si="1131"/>
        <v>0</v>
      </c>
      <c r="BA83" s="442">
        <f t="shared" si="1132"/>
        <v>0</v>
      </c>
      <c r="BB83" s="442">
        <f t="shared" si="1133"/>
        <v>0</v>
      </c>
      <c r="BC83" s="443">
        <f t="shared" si="1134"/>
        <v>0</v>
      </c>
      <c r="BD83" s="440">
        <f t="shared" si="1135"/>
        <v>0</v>
      </c>
      <c r="BE83" s="441">
        <f t="shared" si="1136"/>
        <v>0</v>
      </c>
      <c r="BF83" s="442">
        <f t="shared" si="1137"/>
        <v>0</v>
      </c>
      <c r="BG83" s="442">
        <f t="shared" si="1138"/>
        <v>0</v>
      </c>
      <c r="BH83" s="443">
        <f t="shared" si="1139"/>
        <v>0</v>
      </c>
      <c r="BI83" s="440">
        <f t="shared" si="1140"/>
        <v>0</v>
      </c>
      <c r="BJ83" s="441">
        <f t="shared" si="1141"/>
        <v>0</v>
      </c>
      <c r="BK83" s="442">
        <f t="shared" si="1142"/>
        <v>0</v>
      </c>
      <c r="BL83" s="442">
        <f t="shared" si="1143"/>
        <v>0</v>
      </c>
      <c r="BM83" s="443">
        <f t="shared" si="1144"/>
        <v>0</v>
      </c>
      <c r="BN83" s="440">
        <f t="shared" si="1145"/>
        <v>0</v>
      </c>
      <c r="BO83" s="470"/>
      <c r="BP83" s="441">
        <f t="shared" si="1146"/>
        <v>0</v>
      </c>
      <c r="BQ83" s="442">
        <f t="shared" si="1147"/>
        <v>0</v>
      </c>
      <c r="BR83" s="442">
        <f t="shared" si="1148"/>
        <v>0</v>
      </c>
      <c r="BS83" s="443">
        <f t="shared" si="1149"/>
        <v>0</v>
      </c>
      <c r="BT83" s="440">
        <f t="shared" si="1150"/>
        <v>0</v>
      </c>
      <c r="BU83" s="441">
        <f t="shared" si="1151"/>
        <v>0</v>
      </c>
      <c r="BV83" s="442">
        <f t="shared" si="1152"/>
        <v>0</v>
      </c>
      <c r="BW83" s="442">
        <f t="shared" si="1153"/>
        <v>0</v>
      </c>
      <c r="BX83" s="443">
        <f t="shared" si="1154"/>
        <v>0</v>
      </c>
      <c r="BY83" s="440">
        <f t="shared" si="1155"/>
        <v>0</v>
      </c>
      <c r="BZ83" s="441">
        <f t="shared" si="1156"/>
        <v>0</v>
      </c>
      <c r="CA83" s="442">
        <f t="shared" si="1157"/>
        <v>0</v>
      </c>
      <c r="CB83" s="442">
        <f t="shared" si="1158"/>
        <v>0</v>
      </c>
      <c r="CC83" s="443">
        <f t="shared" si="1159"/>
        <v>0</v>
      </c>
      <c r="CD83" s="440">
        <f t="shared" si="1160"/>
        <v>0</v>
      </c>
      <c r="CE83" s="441">
        <f t="shared" si="1161"/>
        <v>0</v>
      </c>
      <c r="CF83" s="442">
        <f t="shared" si="1162"/>
        <v>0</v>
      </c>
      <c r="CG83" s="442">
        <f t="shared" si="1163"/>
        <v>0</v>
      </c>
      <c r="CH83" s="443">
        <f t="shared" si="1164"/>
        <v>0</v>
      </c>
      <c r="CI83" s="440">
        <f t="shared" si="1165"/>
        <v>0</v>
      </c>
      <c r="CJ83" s="441">
        <f t="shared" si="1166"/>
        <v>0</v>
      </c>
      <c r="CK83" s="442">
        <f t="shared" si="1167"/>
        <v>0</v>
      </c>
      <c r="CL83" s="442">
        <f t="shared" si="1168"/>
        <v>0</v>
      </c>
      <c r="CM83" s="443">
        <f t="shared" si="1169"/>
        <v>0</v>
      </c>
      <c r="CN83" s="440">
        <f t="shared" si="1170"/>
        <v>0</v>
      </c>
      <c r="CO83" s="441">
        <f t="shared" si="1171"/>
        <v>0</v>
      </c>
      <c r="CP83" s="442">
        <f t="shared" si="1172"/>
        <v>0</v>
      </c>
      <c r="CQ83" s="442">
        <f t="shared" si="1173"/>
        <v>0</v>
      </c>
      <c r="CR83" s="443">
        <f t="shared" si="1174"/>
        <v>0</v>
      </c>
      <c r="CS83" s="440">
        <f t="shared" si="1175"/>
        <v>0</v>
      </c>
      <c r="CT83" s="441">
        <f t="shared" si="1176"/>
        <v>0</v>
      </c>
      <c r="CU83" s="442">
        <f t="shared" si="1177"/>
        <v>0</v>
      </c>
      <c r="CV83" s="442">
        <f t="shared" si="1178"/>
        <v>0</v>
      </c>
      <c r="CW83" s="443">
        <f t="shared" si="1179"/>
        <v>0</v>
      </c>
      <c r="CX83" s="440">
        <f t="shared" si="1180"/>
        <v>0</v>
      </c>
      <c r="CY83" s="441">
        <f t="shared" si="1181"/>
        <v>0</v>
      </c>
      <c r="CZ83" s="442">
        <f t="shared" si="1182"/>
        <v>0</v>
      </c>
      <c r="DA83" s="442">
        <f t="shared" si="1183"/>
        <v>0</v>
      </c>
      <c r="DB83" s="443">
        <f t="shared" si="1184"/>
        <v>0</v>
      </c>
      <c r="DC83" s="440">
        <f t="shared" si="1185"/>
        <v>0</v>
      </c>
      <c r="DD83" s="441">
        <f t="shared" si="1186"/>
        <v>0</v>
      </c>
      <c r="DE83" s="442">
        <f t="shared" si="1187"/>
        <v>0</v>
      </c>
      <c r="DF83" s="442">
        <f t="shared" si="1188"/>
        <v>0</v>
      </c>
      <c r="DG83" s="443">
        <f t="shared" si="1189"/>
        <v>0</v>
      </c>
      <c r="DH83" s="440">
        <f t="shared" si="1190"/>
        <v>0</v>
      </c>
      <c r="DI83" s="441">
        <f t="shared" si="1191"/>
        <v>0</v>
      </c>
      <c r="DJ83" s="442">
        <f t="shared" si="1192"/>
        <v>0</v>
      </c>
      <c r="DK83" s="442">
        <f t="shared" si="1193"/>
        <v>0</v>
      </c>
      <c r="DL83" s="443">
        <f t="shared" si="1194"/>
        <v>0</v>
      </c>
      <c r="DM83" s="440">
        <f t="shared" si="1195"/>
        <v>0</v>
      </c>
      <c r="DN83" s="441">
        <f t="shared" si="1196"/>
        <v>0</v>
      </c>
      <c r="DO83" s="442">
        <f t="shared" si="1197"/>
        <v>0</v>
      </c>
      <c r="DP83" s="442">
        <f t="shared" si="1198"/>
        <v>0</v>
      </c>
      <c r="DQ83" s="443">
        <f t="shared" si="1199"/>
        <v>0</v>
      </c>
      <c r="DR83" s="440">
        <f t="shared" si="1200"/>
        <v>0</v>
      </c>
    </row>
    <row r="84" spans="3:122" ht="12.75" customHeight="1">
      <c r="C84" s="1590" t="s">
        <v>1173</v>
      </c>
      <c r="D84" s="395"/>
      <c r="E84" s="865">
        <f t="shared" si="1090"/>
        <v>46.5</v>
      </c>
      <c r="F84" s="1945">
        <v>46.5</v>
      </c>
      <c r="G84" s="1945">
        <v>46.5</v>
      </c>
      <c r="H84" s="1308">
        <v>2033</v>
      </c>
      <c r="I84" s="1948">
        <v>0.04</v>
      </c>
      <c r="J84" s="1357">
        <v>6</v>
      </c>
      <c r="K84" s="549"/>
      <c r="L84" s="441">
        <f t="shared" si="1091"/>
        <v>0</v>
      </c>
      <c r="M84" s="442">
        <f t="shared" si="1092"/>
        <v>0</v>
      </c>
      <c r="N84" s="442">
        <f t="shared" si="1093"/>
        <v>0</v>
      </c>
      <c r="O84" s="443">
        <f t="shared" si="1094"/>
        <v>0</v>
      </c>
      <c r="P84" s="440">
        <f t="shared" si="1095"/>
        <v>0</v>
      </c>
      <c r="Q84" s="441">
        <f t="shared" si="1096"/>
        <v>0</v>
      </c>
      <c r="R84" s="442">
        <f t="shared" si="1097"/>
        <v>0</v>
      </c>
      <c r="S84" s="442">
        <f t="shared" si="1098"/>
        <v>0</v>
      </c>
      <c r="T84" s="443">
        <f t="shared" si="1099"/>
        <v>0</v>
      </c>
      <c r="U84" s="440">
        <f t="shared" si="1100"/>
        <v>0</v>
      </c>
      <c r="V84" s="441">
        <f t="shared" si="1101"/>
        <v>0</v>
      </c>
      <c r="W84" s="442">
        <f t="shared" si="1102"/>
        <v>0</v>
      </c>
      <c r="X84" s="442">
        <f t="shared" si="1103"/>
        <v>0</v>
      </c>
      <c r="Y84" s="443">
        <f t="shared" si="1104"/>
        <v>0</v>
      </c>
      <c r="Z84" s="440">
        <f t="shared" si="1105"/>
        <v>0</v>
      </c>
      <c r="AA84" s="441">
        <f t="shared" si="1106"/>
        <v>0</v>
      </c>
      <c r="AB84" s="442">
        <f t="shared" si="1107"/>
        <v>0</v>
      </c>
      <c r="AC84" s="442">
        <f t="shared" si="1108"/>
        <v>0</v>
      </c>
      <c r="AD84" s="443">
        <f t="shared" si="1109"/>
        <v>0</v>
      </c>
      <c r="AE84" s="440">
        <f t="shared" si="1110"/>
        <v>0</v>
      </c>
      <c r="AF84" s="441">
        <f t="shared" si="1111"/>
        <v>0</v>
      </c>
      <c r="AG84" s="442">
        <f t="shared" si="1112"/>
        <v>0</v>
      </c>
      <c r="AH84" s="442">
        <f t="shared" si="1113"/>
        <v>0</v>
      </c>
      <c r="AI84" s="443">
        <f t="shared" si="1114"/>
        <v>0</v>
      </c>
      <c r="AJ84" s="440">
        <f t="shared" si="1115"/>
        <v>0</v>
      </c>
      <c r="AK84" s="441">
        <f t="shared" si="1116"/>
        <v>0</v>
      </c>
      <c r="AL84" s="442">
        <f t="shared" si="1117"/>
        <v>0</v>
      </c>
      <c r="AM84" s="442">
        <f t="shared" si="1118"/>
        <v>0</v>
      </c>
      <c r="AN84" s="443">
        <f t="shared" si="1119"/>
        <v>0</v>
      </c>
      <c r="AO84" s="440">
        <f t="shared" si="1120"/>
        <v>0</v>
      </c>
      <c r="AP84" s="441">
        <f t="shared" si="1121"/>
        <v>0</v>
      </c>
      <c r="AQ84" s="442">
        <f t="shared" si="1122"/>
        <v>0</v>
      </c>
      <c r="AR84" s="442">
        <f t="shared" si="1123"/>
        <v>0</v>
      </c>
      <c r="AS84" s="443">
        <f t="shared" si="1124"/>
        <v>0</v>
      </c>
      <c r="AT84" s="440">
        <f t="shared" si="1125"/>
        <v>0</v>
      </c>
      <c r="AU84" s="441">
        <f t="shared" si="1126"/>
        <v>0</v>
      </c>
      <c r="AV84" s="442">
        <f t="shared" si="1127"/>
        <v>0</v>
      </c>
      <c r="AW84" s="442">
        <f t="shared" si="1128"/>
        <v>0</v>
      </c>
      <c r="AX84" s="443">
        <f t="shared" si="1129"/>
        <v>0</v>
      </c>
      <c r="AY84" s="440">
        <f t="shared" si="1130"/>
        <v>0</v>
      </c>
      <c r="AZ84" s="441">
        <f t="shared" si="1131"/>
        <v>0</v>
      </c>
      <c r="BA84" s="442">
        <f t="shared" si="1132"/>
        <v>0</v>
      </c>
      <c r="BB84" s="442">
        <f t="shared" si="1133"/>
        <v>0</v>
      </c>
      <c r="BC84" s="443">
        <f t="shared" si="1134"/>
        <v>0</v>
      </c>
      <c r="BD84" s="440">
        <f t="shared" si="1135"/>
        <v>0</v>
      </c>
      <c r="BE84" s="441">
        <f t="shared" si="1136"/>
        <v>0</v>
      </c>
      <c r="BF84" s="442">
        <f t="shared" si="1137"/>
        <v>0</v>
      </c>
      <c r="BG84" s="442">
        <f t="shared" si="1138"/>
        <v>0</v>
      </c>
      <c r="BH84" s="443">
        <f t="shared" si="1139"/>
        <v>0</v>
      </c>
      <c r="BI84" s="440">
        <f t="shared" si="1140"/>
        <v>0</v>
      </c>
      <c r="BJ84" s="441">
        <f t="shared" si="1141"/>
        <v>0</v>
      </c>
      <c r="BK84" s="442">
        <f t="shared" si="1142"/>
        <v>0</v>
      </c>
      <c r="BL84" s="442">
        <f t="shared" si="1143"/>
        <v>0</v>
      </c>
      <c r="BM84" s="443">
        <f t="shared" si="1144"/>
        <v>0</v>
      </c>
      <c r="BN84" s="440">
        <f t="shared" si="1145"/>
        <v>0</v>
      </c>
      <c r="BO84" s="470"/>
      <c r="BP84" s="441">
        <f t="shared" si="1146"/>
        <v>0</v>
      </c>
      <c r="BQ84" s="442">
        <f t="shared" si="1147"/>
        <v>0</v>
      </c>
      <c r="BR84" s="442">
        <f t="shared" si="1148"/>
        <v>0</v>
      </c>
      <c r="BS84" s="443">
        <f t="shared" si="1149"/>
        <v>0</v>
      </c>
      <c r="BT84" s="440">
        <f t="shared" si="1150"/>
        <v>0</v>
      </c>
      <c r="BU84" s="441">
        <f t="shared" si="1151"/>
        <v>0</v>
      </c>
      <c r="BV84" s="442">
        <f t="shared" si="1152"/>
        <v>0</v>
      </c>
      <c r="BW84" s="442">
        <f t="shared" si="1153"/>
        <v>0</v>
      </c>
      <c r="BX84" s="443">
        <f t="shared" si="1154"/>
        <v>0</v>
      </c>
      <c r="BY84" s="440">
        <f t="shared" si="1155"/>
        <v>0</v>
      </c>
      <c r="BZ84" s="441">
        <f t="shared" si="1156"/>
        <v>0</v>
      </c>
      <c r="CA84" s="442">
        <f t="shared" si="1157"/>
        <v>0</v>
      </c>
      <c r="CB84" s="442">
        <f t="shared" si="1158"/>
        <v>0</v>
      </c>
      <c r="CC84" s="443">
        <f t="shared" si="1159"/>
        <v>0</v>
      </c>
      <c r="CD84" s="440">
        <f t="shared" si="1160"/>
        <v>0</v>
      </c>
      <c r="CE84" s="441">
        <f t="shared" si="1161"/>
        <v>0</v>
      </c>
      <c r="CF84" s="442">
        <f t="shared" si="1162"/>
        <v>0</v>
      </c>
      <c r="CG84" s="442">
        <f t="shared" si="1163"/>
        <v>0</v>
      </c>
      <c r="CH84" s="443">
        <f t="shared" si="1164"/>
        <v>0</v>
      </c>
      <c r="CI84" s="440">
        <f t="shared" si="1165"/>
        <v>0</v>
      </c>
      <c r="CJ84" s="441">
        <f t="shared" si="1166"/>
        <v>0</v>
      </c>
      <c r="CK84" s="442">
        <f t="shared" si="1167"/>
        <v>0</v>
      </c>
      <c r="CL84" s="442">
        <f t="shared" si="1168"/>
        <v>0</v>
      </c>
      <c r="CM84" s="443">
        <f t="shared" si="1169"/>
        <v>0</v>
      </c>
      <c r="CN84" s="440">
        <f t="shared" si="1170"/>
        <v>0</v>
      </c>
      <c r="CO84" s="441">
        <f t="shared" si="1171"/>
        <v>0</v>
      </c>
      <c r="CP84" s="442">
        <f t="shared" si="1172"/>
        <v>0</v>
      </c>
      <c r="CQ84" s="442">
        <f t="shared" si="1173"/>
        <v>0</v>
      </c>
      <c r="CR84" s="443">
        <f t="shared" si="1174"/>
        <v>0</v>
      </c>
      <c r="CS84" s="440">
        <f t="shared" si="1175"/>
        <v>0</v>
      </c>
      <c r="CT84" s="441">
        <f t="shared" si="1176"/>
        <v>0</v>
      </c>
      <c r="CU84" s="442">
        <f t="shared" si="1177"/>
        <v>0</v>
      </c>
      <c r="CV84" s="442">
        <f t="shared" si="1178"/>
        <v>0</v>
      </c>
      <c r="CW84" s="443">
        <f t="shared" si="1179"/>
        <v>0</v>
      </c>
      <c r="CX84" s="440">
        <f t="shared" si="1180"/>
        <v>0</v>
      </c>
      <c r="CY84" s="441">
        <f t="shared" si="1181"/>
        <v>0</v>
      </c>
      <c r="CZ84" s="442">
        <f t="shared" si="1182"/>
        <v>0</v>
      </c>
      <c r="DA84" s="442">
        <f t="shared" si="1183"/>
        <v>0</v>
      </c>
      <c r="DB84" s="443">
        <f t="shared" si="1184"/>
        <v>0</v>
      </c>
      <c r="DC84" s="440">
        <f t="shared" si="1185"/>
        <v>0</v>
      </c>
      <c r="DD84" s="441">
        <f t="shared" si="1186"/>
        <v>0</v>
      </c>
      <c r="DE84" s="442">
        <f t="shared" si="1187"/>
        <v>0</v>
      </c>
      <c r="DF84" s="442">
        <f t="shared" si="1188"/>
        <v>0</v>
      </c>
      <c r="DG84" s="443">
        <f t="shared" si="1189"/>
        <v>0</v>
      </c>
      <c r="DH84" s="440">
        <f t="shared" si="1190"/>
        <v>0</v>
      </c>
      <c r="DI84" s="441">
        <f t="shared" si="1191"/>
        <v>0</v>
      </c>
      <c r="DJ84" s="442">
        <f t="shared" si="1192"/>
        <v>0</v>
      </c>
      <c r="DK84" s="442">
        <f t="shared" si="1193"/>
        <v>0</v>
      </c>
      <c r="DL84" s="443">
        <f t="shared" si="1194"/>
        <v>0</v>
      </c>
      <c r="DM84" s="440">
        <f t="shared" si="1195"/>
        <v>0</v>
      </c>
      <c r="DN84" s="441">
        <f t="shared" si="1196"/>
        <v>0</v>
      </c>
      <c r="DO84" s="442">
        <f t="shared" si="1197"/>
        <v>0</v>
      </c>
      <c r="DP84" s="442">
        <f t="shared" si="1198"/>
        <v>0</v>
      </c>
      <c r="DQ84" s="443">
        <f t="shared" si="1199"/>
        <v>0</v>
      </c>
      <c r="DR84" s="440">
        <f t="shared" si="1200"/>
        <v>0</v>
      </c>
    </row>
    <row r="85" spans="3:122" ht="12.75" customHeight="1">
      <c r="C85" s="1590" t="s">
        <v>1174</v>
      </c>
      <c r="D85" s="395"/>
      <c r="E85" s="865">
        <f t="shared" si="1090"/>
        <v>9.1</v>
      </c>
      <c r="F85" s="1945">
        <v>9.1</v>
      </c>
      <c r="G85" s="1945">
        <v>9.1</v>
      </c>
      <c r="H85" s="1308">
        <v>2033</v>
      </c>
      <c r="I85" s="1948">
        <v>3.6249999999999998E-2</v>
      </c>
      <c r="J85" s="1357">
        <v>10</v>
      </c>
      <c r="K85" s="549"/>
      <c r="L85" s="441">
        <f t="shared" si="1091"/>
        <v>0</v>
      </c>
      <c r="M85" s="442">
        <f t="shared" si="1092"/>
        <v>0</v>
      </c>
      <c r="N85" s="442">
        <f t="shared" si="1093"/>
        <v>0</v>
      </c>
      <c r="O85" s="443">
        <f t="shared" si="1094"/>
        <v>0</v>
      </c>
      <c r="P85" s="440">
        <f t="shared" si="1095"/>
        <v>0</v>
      </c>
      <c r="Q85" s="441">
        <f t="shared" si="1096"/>
        <v>0</v>
      </c>
      <c r="R85" s="442">
        <f t="shared" si="1097"/>
        <v>0</v>
      </c>
      <c r="S85" s="442">
        <f t="shared" si="1098"/>
        <v>0</v>
      </c>
      <c r="T85" s="443">
        <f t="shared" si="1099"/>
        <v>0</v>
      </c>
      <c r="U85" s="440">
        <f t="shared" si="1100"/>
        <v>0</v>
      </c>
      <c r="V85" s="441">
        <f t="shared" si="1101"/>
        <v>0</v>
      </c>
      <c r="W85" s="442">
        <f t="shared" si="1102"/>
        <v>0</v>
      </c>
      <c r="X85" s="442">
        <f t="shared" si="1103"/>
        <v>0</v>
      </c>
      <c r="Y85" s="443">
        <f t="shared" si="1104"/>
        <v>0</v>
      </c>
      <c r="Z85" s="440">
        <f t="shared" si="1105"/>
        <v>0</v>
      </c>
      <c r="AA85" s="441">
        <f t="shared" si="1106"/>
        <v>0</v>
      </c>
      <c r="AB85" s="442">
        <f t="shared" si="1107"/>
        <v>0</v>
      </c>
      <c r="AC85" s="442">
        <f t="shared" si="1108"/>
        <v>0</v>
      </c>
      <c r="AD85" s="443">
        <f t="shared" si="1109"/>
        <v>0</v>
      </c>
      <c r="AE85" s="440">
        <f t="shared" si="1110"/>
        <v>0</v>
      </c>
      <c r="AF85" s="441">
        <f t="shared" si="1111"/>
        <v>0</v>
      </c>
      <c r="AG85" s="442">
        <f t="shared" si="1112"/>
        <v>0</v>
      </c>
      <c r="AH85" s="442">
        <f t="shared" si="1113"/>
        <v>0</v>
      </c>
      <c r="AI85" s="443">
        <f t="shared" si="1114"/>
        <v>0</v>
      </c>
      <c r="AJ85" s="440">
        <f t="shared" si="1115"/>
        <v>0</v>
      </c>
      <c r="AK85" s="441">
        <f t="shared" si="1116"/>
        <v>0</v>
      </c>
      <c r="AL85" s="442">
        <f t="shared" si="1117"/>
        <v>0</v>
      </c>
      <c r="AM85" s="442">
        <f t="shared" si="1118"/>
        <v>0</v>
      </c>
      <c r="AN85" s="443">
        <f t="shared" si="1119"/>
        <v>0</v>
      </c>
      <c r="AO85" s="440">
        <f t="shared" si="1120"/>
        <v>0</v>
      </c>
      <c r="AP85" s="441">
        <f t="shared" si="1121"/>
        <v>0</v>
      </c>
      <c r="AQ85" s="442">
        <f t="shared" si="1122"/>
        <v>0</v>
      </c>
      <c r="AR85" s="442">
        <f t="shared" si="1123"/>
        <v>0</v>
      </c>
      <c r="AS85" s="443">
        <f t="shared" si="1124"/>
        <v>0</v>
      </c>
      <c r="AT85" s="440">
        <f t="shared" si="1125"/>
        <v>0</v>
      </c>
      <c r="AU85" s="441">
        <f t="shared" si="1126"/>
        <v>0</v>
      </c>
      <c r="AV85" s="442">
        <f t="shared" si="1127"/>
        <v>0</v>
      </c>
      <c r="AW85" s="442">
        <f t="shared" si="1128"/>
        <v>0</v>
      </c>
      <c r="AX85" s="443">
        <f t="shared" si="1129"/>
        <v>0</v>
      </c>
      <c r="AY85" s="440">
        <f t="shared" si="1130"/>
        <v>0</v>
      </c>
      <c r="AZ85" s="441">
        <f t="shared" si="1131"/>
        <v>0</v>
      </c>
      <c r="BA85" s="442">
        <f t="shared" si="1132"/>
        <v>0</v>
      </c>
      <c r="BB85" s="442">
        <f t="shared" si="1133"/>
        <v>0</v>
      </c>
      <c r="BC85" s="443">
        <f t="shared" si="1134"/>
        <v>0</v>
      </c>
      <c r="BD85" s="440">
        <f t="shared" si="1135"/>
        <v>0</v>
      </c>
      <c r="BE85" s="441">
        <f t="shared" si="1136"/>
        <v>0</v>
      </c>
      <c r="BF85" s="442">
        <f t="shared" si="1137"/>
        <v>0</v>
      </c>
      <c r="BG85" s="442">
        <f t="shared" si="1138"/>
        <v>0</v>
      </c>
      <c r="BH85" s="443">
        <f t="shared" si="1139"/>
        <v>0</v>
      </c>
      <c r="BI85" s="440">
        <f t="shared" si="1140"/>
        <v>0</v>
      </c>
      <c r="BJ85" s="441">
        <f t="shared" si="1141"/>
        <v>0</v>
      </c>
      <c r="BK85" s="442">
        <f t="shared" si="1142"/>
        <v>0</v>
      </c>
      <c r="BL85" s="442">
        <f t="shared" si="1143"/>
        <v>0</v>
      </c>
      <c r="BM85" s="443">
        <f t="shared" si="1144"/>
        <v>0</v>
      </c>
      <c r="BN85" s="440">
        <f t="shared" si="1145"/>
        <v>0</v>
      </c>
      <c r="BO85" s="470"/>
      <c r="BP85" s="441">
        <f t="shared" si="1146"/>
        <v>0</v>
      </c>
      <c r="BQ85" s="442">
        <f t="shared" si="1147"/>
        <v>0</v>
      </c>
      <c r="BR85" s="442">
        <f t="shared" si="1148"/>
        <v>0</v>
      </c>
      <c r="BS85" s="443">
        <f t="shared" si="1149"/>
        <v>0</v>
      </c>
      <c r="BT85" s="440">
        <f t="shared" si="1150"/>
        <v>0</v>
      </c>
      <c r="BU85" s="441">
        <f t="shared" si="1151"/>
        <v>0</v>
      </c>
      <c r="BV85" s="442">
        <f t="shared" si="1152"/>
        <v>0</v>
      </c>
      <c r="BW85" s="442">
        <f t="shared" si="1153"/>
        <v>0</v>
      </c>
      <c r="BX85" s="443">
        <f t="shared" si="1154"/>
        <v>0</v>
      </c>
      <c r="BY85" s="440">
        <f t="shared" si="1155"/>
        <v>0</v>
      </c>
      <c r="BZ85" s="441">
        <f t="shared" si="1156"/>
        <v>0</v>
      </c>
      <c r="CA85" s="442">
        <f t="shared" si="1157"/>
        <v>0</v>
      </c>
      <c r="CB85" s="442">
        <f t="shared" si="1158"/>
        <v>0</v>
      </c>
      <c r="CC85" s="443">
        <f t="shared" si="1159"/>
        <v>0</v>
      </c>
      <c r="CD85" s="440">
        <f t="shared" si="1160"/>
        <v>0</v>
      </c>
      <c r="CE85" s="441">
        <f t="shared" si="1161"/>
        <v>0</v>
      </c>
      <c r="CF85" s="442">
        <f t="shared" si="1162"/>
        <v>0</v>
      </c>
      <c r="CG85" s="442">
        <f t="shared" si="1163"/>
        <v>0</v>
      </c>
      <c r="CH85" s="443">
        <f t="shared" si="1164"/>
        <v>0</v>
      </c>
      <c r="CI85" s="440">
        <f t="shared" si="1165"/>
        <v>0</v>
      </c>
      <c r="CJ85" s="441">
        <f t="shared" si="1166"/>
        <v>0</v>
      </c>
      <c r="CK85" s="442">
        <f t="shared" si="1167"/>
        <v>0</v>
      </c>
      <c r="CL85" s="442">
        <f t="shared" si="1168"/>
        <v>0</v>
      </c>
      <c r="CM85" s="443">
        <f t="shared" si="1169"/>
        <v>0</v>
      </c>
      <c r="CN85" s="440">
        <f t="shared" si="1170"/>
        <v>0</v>
      </c>
      <c r="CO85" s="441">
        <f t="shared" si="1171"/>
        <v>0</v>
      </c>
      <c r="CP85" s="442">
        <f t="shared" si="1172"/>
        <v>0</v>
      </c>
      <c r="CQ85" s="442">
        <f t="shared" si="1173"/>
        <v>0</v>
      </c>
      <c r="CR85" s="443">
        <f t="shared" si="1174"/>
        <v>0</v>
      </c>
      <c r="CS85" s="440">
        <f t="shared" si="1175"/>
        <v>0</v>
      </c>
      <c r="CT85" s="441">
        <f t="shared" si="1176"/>
        <v>0</v>
      </c>
      <c r="CU85" s="442">
        <f t="shared" si="1177"/>
        <v>0</v>
      </c>
      <c r="CV85" s="442">
        <f t="shared" si="1178"/>
        <v>0</v>
      </c>
      <c r="CW85" s="443">
        <f t="shared" si="1179"/>
        <v>0</v>
      </c>
      <c r="CX85" s="440">
        <f t="shared" si="1180"/>
        <v>0</v>
      </c>
      <c r="CY85" s="441">
        <f t="shared" si="1181"/>
        <v>0</v>
      </c>
      <c r="CZ85" s="442">
        <f t="shared" si="1182"/>
        <v>0</v>
      </c>
      <c r="DA85" s="442">
        <f t="shared" si="1183"/>
        <v>0</v>
      </c>
      <c r="DB85" s="443">
        <f t="shared" si="1184"/>
        <v>0</v>
      </c>
      <c r="DC85" s="440">
        <f t="shared" si="1185"/>
        <v>0</v>
      </c>
      <c r="DD85" s="441">
        <f t="shared" si="1186"/>
        <v>0</v>
      </c>
      <c r="DE85" s="442">
        <f t="shared" si="1187"/>
        <v>0</v>
      </c>
      <c r="DF85" s="442">
        <f t="shared" si="1188"/>
        <v>0</v>
      </c>
      <c r="DG85" s="443">
        <f t="shared" si="1189"/>
        <v>0</v>
      </c>
      <c r="DH85" s="440">
        <f t="shared" si="1190"/>
        <v>0</v>
      </c>
      <c r="DI85" s="441">
        <f t="shared" si="1191"/>
        <v>0</v>
      </c>
      <c r="DJ85" s="442">
        <f t="shared" si="1192"/>
        <v>0</v>
      </c>
      <c r="DK85" s="442">
        <f t="shared" si="1193"/>
        <v>0</v>
      </c>
      <c r="DL85" s="443">
        <f t="shared" si="1194"/>
        <v>0</v>
      </c>
      <c r="DM85" s="440">
        <f t="shared" si="1195"/>
        <v>0</v>
      </c>
      <c r="DN85" s="441">
        <f t="shared" si="1196"/>
        <v>0</v>
      </c>
      <c r="DO85" s="442">
        <f t="shared" si="1197"/>
        <v>0</v>
      </c>
      <c r="DP85" s="442">
        <f t="shared" si="1198"/>
        <v>0</v>
      </c>
      <c r="DQ85" s="443">
        <f t="shared" si="1199"/>
        <v>0</v>
      </c>
      <c r="DR85" s="440">
        <f t="shared" si="1200"/>
        <v>0</v>
      </c>
    </row>
    <row r="86" spans="3:122" ht="12.75" customHeight="1">
      <c r="C86" s="1590" t="s">
        <v>1174</v>
      </c>
      <c r="D86" s="395"/>
      <c r="E86" s="865">
        <f t="shared" si="1090"/>
        <v>20.45</v>
      </c>
      <c r="F86" s="1945">
        <v>20.45</v>
      </c>
      <c r="G86" s="1945">
        <v>20.45</v>
      </c>
      <c r="H86" s="1308">
        <v>2033</v>
      </c>
      <c r="I86" s="1948">
        <v>3.6249999999999998E-2</v>
      </c>
      <c r="J86" s="1357">
        <v>10</v>
      </c>
      <c r="K86" s="549"/>
      <c r="L86" s="441">
        <f t="shared" si="1091"/>
        <v>0</v>
      </c>
      <c r="M86" s="442">
        <f t="shared" si="1092"/>
        <v>0</v>
      </c>
      <c r="N86" s="442">
        <f t="shared" si="1093"/>
        <v>0</v>
      </c>
      <c r="O86" s="443">
        <f t="shared" si="1094"/>
        <v>0</v>
      </c>
      <c r="P86" s="440">
        <f t="shared" si="1095"/>
        <v>0</v>
      </c>
      <c r="Q86" s="441">
        <f t="shared" si="1096"/>
        <v>0</v>
      </c>
      <c r="R86" s="442">
        <f t="shared" si="1097"/>
        <v>0</v>
      </c>
      <c r="S86" s="442">
        <f t="shared" si="1098"/>
        <v>0</v>
      </c>
      <c r="T86" s="443">
        <f t="shared" si="1099"/>
        <v>0</v>
      </c>
      <c r="U86" s="440">
        <f t="shared" si="1100"/>
        <v>0</v>
      </c>
      <c r="V86" s="441">
        <f t="shared" si="1101"/>
        <v>0</v>
      </c>
      <c r="W86" s="442">
        <f t="shared" si="1102"/>
        <v>0</v>
      </c>
      <c r="X86" s="442">
        <f t="shared" si="1103"/>
        <v>0</v>
      </c>
      <c r="Y86" s="443">
        <f t="shared" si="1104"/>
        <v>0</v>
      </c>
      <c r="Z86" s="440">
        <f t="shared" si="1105"/>
        <v>0</v>
      </c>
      <c r="AA86" s="441">
        <f t="shared" si="1106"/>
        <v>0</v>
      </c>
      <c r="AB86" s="442">
        <f t="shared" si="1107"/>
        <v>0</v>
      </c>
      <c r="AC86" s="442">
        <f t="shared" si="1108"/>
        <v>0</v>
      </c>
      <c r="AD86" s="443">
        <f t="shared" si="1109"/>
        <v>0</v>
      </c>
      <c r="AE86" s="440">
        <f t="shared" si="1110"/>
        <v>0</v>
      </c>
      <c r="AF86" s="441">
        <f t="shared" si="1111"/>
        <v>0</v>
      </c>
      <c r="AG86" s="442">
        <f t="shared" si="1112"/>
        <v>0</v>
      </c>
      <c r="AH86" s="442">
        <f t="shared" si="1113"/>
        <v>0</v>
      </c>
      <c r="AI86" s="443">
        <f t="shared" si="1114"/>
        <v>0</v>
      </c>
      <c r="AJ86" s="440">
        <f t="shared" si="1115"/>
        <v>0</v>
      </c>
      <c r="AK86" s="441">
        <f t="shared" si="1116"/>
        <v>0</v>
      </c>
      <c r="AL86" s="442">
        <f t="shared" si="1117"/>
        <v>0</v>
      </c>
      <c r="AM86" s="442">
        <f t="shared" si="1118"/>
        <v>0</v>
      </c>
      <c r="AN86" s="443">
        <f t="shared" si="1119"/>
        <v>0</v>
      </c>
      <c r="AO86" s="440">
        <f t="shared" si="1120"/>
        <v>0</v>
      </c>
      <c r="AP86" s="441">
        <f t="shared" si="1121"/>
        <v>0</v>
      </c>
      <c r="AQ86" s="442">
        <f t="shared" si="1122"/>
        <v>0</v>
      </c>
      <c r="AR86" s="442">
        <f t="shared" si="1123"/>
        <v>0</v>
      </c>
      <c r="AS86" s="443">
        <f t="shared" si="1124"/>
        <v>0</v>
      </c>
      <c r="AT86" s="440">
        <f t="shared" si="1125"/>
        <v>0</v>
      </c>
      <c r="AU86" s="441">
        <f t="shared" si="1126"/>
        <v>0</v>
      </c>
      <c r="AV86" s="442">
        <f t="shared" si="1127"/>
        <v>0</v>
      </c>
      <c r="AW86" s="442">
        <f t="shared" si="1128"/>
        <v>0</v>
      </c>
      <c r="AX86" s="443">
        <f t="shared" si="1129"/>
        <v>0</v>
      </c>
      <c r="AY86" s="440">
        <f t="shared" si="1130"/>
        <v>0</v>
      </c>
      <c r="AZ86" s="441">
        <f t="shared" si="1131"/>
        <v>0</v>
      </c>
      <c r="BA86" s="442">
        <f t="shared" si="1132"/>
        <v>0</v>
      </c>
      <c r="BB86" s="442">
        <f t="shared" si="1133"/>
        <v>0</v>
      </c>
      <c r="BC86" s="443">
        <f t="shared" si="1134"/>
        <v>0</v>
      </c>
      <c r="BD86" s="440">
        <f t="shared" si="1135"/>
        <v>0</v>
      </c>
      <c r="BE86" s="441">
        <f t="shared" si="1136"/>
        <v>0</v>
      </c>
      <c r="BF86" s="442">
        <f t="shared" si="1137"/>
        <v>0</v>
      </c>
      <c r="BG86" s="442">
        <f t="shared" si="1138"/>
        <v>0</v>
      </c>
      <c r="BH86" s="443">
        <f t="shared" si="1139"/>
        <v>0</v>
      </c>
      <c r="BI86" s="440">
        <f t="shared" si="1140"/>
        <v>0</v>
      </c>
      <c r="BJ86" s="441">
        <f t="shared" si="1141"/>
        <v>0</v>
      </c>
      <c r="BK86" s="442">
        <f t="shared" si="1142"/>
        <v>0</v>
      </c>
      <c r="BL86" s="442">
        <f t="shared" si="1143"/>
        <v>0</v>
      </c>
      <c r="BM86" s="443">
        <f t="shared" si="1144"/>
        <v>0</v>
      </c>
      <c r="BN86" s="440">
        <f t="shared" si="1145"/>
        <v>0</v>
      </c>
      <c r="BO86" s="470"/>
      <c r="BP86" s="441">
        <f t="shared" si="1146"/>
        <v>0</v>
      </c>
      <c r="BQ86" s="442">
        <f t="shared" si="1147"/>
        <v>0</v>
      </c>
      <c r="BR86" s="442">
        <f t="shared" si="1148"/>
        <v>0</v>
      </c>
      <c r="BS86" s="443">
        <f t="shared" si="1149"/>
        <v>0</v>
      </c>
      <c r="BT86" s="440">
        <f t="shared" si="1150"/>
        <v>0</v>
      </c>
      <c r="BU86" s="441">
        <f t="shared" si="1151"/>
        <v>0</v>
      </c>
      <c r="BV86" s="442">
        <f t="shared" si="1152"/>
        <v>0</v>
      </c>
      <c r="BW86" s="442">
        <f t="shared" si="1153"/>
        <v>0</v>
      </c>
      <c r="BX86" s="443">
        <f t="shared" si="1154"/>
        <v>0</v>
      </c>
      <c r="BY86" s="440">
        <f t="shared" si="1155"/>
        <v>0</v>
      </c>
      <c r="BZ86" s="441">
        <f t="shared" si="1156"/>
        <v>0</v>
      </c>
      <c r="CA86" s="442">
        <f t="shared" si="1157"/>
        <v>0</v>
      </c>
      <c r="CB86" s="442">
        <f t="shared" si="1158"/>
        <v>0</v>
      </c>
      <c r="CC86" s="443">
        <f t="shared" si="1159"/>
        <v>0</v>
      </c>
      <c r="CD86" s="440">
        <f t="shared" si="1160"/>
        <v>0</v>
      </c>
      <c r="CE86" s="441">
        <f t="shared" si="1161"/>
        <v>0</v>
      </c>
      <c r="CF86" s="442">
        <f t="shared" si="1162"/>
        <v>0</v>
      </c>
      <c r="CG86" s="442">
        <f t="shared" si="1163"/>
        <v>0</v>
      </c>
      <c r="CH86" s="443">
        <f t="shared" si="1164"/>
        <v>0</v>
      </c>
      <c r="CI86" s="440">
        <f t="shared" si="1165"/>
        <v>0</v>
      </c>
      <c r="CJ86" s="441">
        <f t="shared" si="1166"/>
        <v>0</v>
      </c>
      <c r="CK86" s="442">
        <f t="shared" si="1167"/>
        <v>0</v>
      </c>
      <c r="CL86" s="442">
        <f t="shared" si="1168"/>
        <v>0</v>
      </c>
      <c r="CM86" s="443">
        <f t="shared" si="1169"/>
        <v>0</v>
      </c>
      <c r="CN86" s="440">
        <f t="shared" si="1170"/>
        <v>0</v>
      </c>
      <c r="CO86" s="441">
        <f t="shared" si="1171"/>
        <v>0</v>
      </c>
      <c r="CP86" s="442">
        <f t="shared" si="1172"/>
        <v>0</v>
      </c>
      <c r="CQ86" s="442">
        <f t="shared" si="1173"/>
        <v>0</v>
      </c>
      <c r="CR86" s="443">
        <f t="shared" si="1174"/>
        <v>0</v>
      </c>
      <c r="CS86" s="440">
        <f t="shared" si="1175"/>
        <v>0</v>
      </c>
      <c r="CT86" s="441">
        <f t="shared" si="1176"/>
        <v>0</v>
      </c>
      <c r="CU86" s="442">
        <f t="shared" si="1177"/>
        <v>0</v>
      </c>
      <c r="CV86" s="442">
        <f t="shared" si="1178"/>
        <v>0</v>
      </c>
      <c r="CW86" s="443">
        <f t="shared" si="1179"/>
        <v>0</v>
      </c>
      <c r="CX86" s="440">
        <f t="shared" si="1180"/>
        <v>0</v>
      </c>
      <c r="CY86" s="441">
        <f t="shared" si="1181"/>
        <v>0</v>
      </c>
      <c r="CZ86" s="442">
        <f t="shared" si="1182"/>
        <v>0</v>
      </c>
      <c r="DA86" s="442">
        <f t="shared" si="1183"/>
        <v>0</v>
      </c>
      <c r="DB86" s="443">
        <f t="shared" si="1184"/>
        <v>0</v>
      </c>
      <c r="DC86" s="440">
        <f t="shared" si="1185"/>
        <v>0</v>
      </c>
      <c r="DD86" s="441">
        <f t="shared" si="1186"/>
        <v>0</v>
      </c>
      <c r="DE86" s="442">
        <f t="shared" si="1187"/>
        <v>0</v>
      </c>
      <c r="DF86" s="442">
        <f t="shared" si="1188"/>
        <v>0</v>
      </c>
      <c r="DG86" s="443">
        <f t="shared" si="1189"/>
        <v>0</v>
      </c>
      <c r="DH86" s="440">
        <f t="shared" si="1190"/>
        <v>0</v>
      </c>
      <c r="DI86" s="441">
        <f t="shared" si="1191"/>
        <v>0</v>
      </c>
      <c r="DJ86" s="442">
        <f t="shared" si="1192"/>
        <v>0</v>
      </c>
      <c r="DK86" s="442">
        <f t="shared" si="1193"/>
        <v>0</v>
      </c>
      <c r="DL86" s="443">
        <f t="shared" si="1194"/>
        <v>0</v>
      </c>
      <c r="DM86" s="440">
        <f t="shared" si="1195"/>
        <v>0</v>
      </c>
      <c r="DN86" s="441">
        <f t="shared" si="1196"/>
        <v>0</v>
      </c>
      <c r="DO86" s="442">
        <f t="shared" si="1197"/>
        <v>0</v>
      </c>
      <c r="DP86" s="442">
        <f t="shared" si="1198"/>
        <v>0</v>
      </c>
      <c r="DQ86" s="443">
        <f t="shared" si="1199"/>
        <v>0</v>
      </c>
      <c r="DR86" s="440">
        <f t="shared" si="1200"/>
        <v>0</v>
      </c>
    </row>
    <row r="87" spans="3:122" ht="12.75" customHeight="1">
      <c r="C87" s="1590" t="s">
        <v>1175</v>
      </c>
      <c r="D87" s="395"/>
      <c r="E87" s="865">
        <f t="shared" si="1090"/>
        <v>33</v>
      </c>
      <c r="F87" s="1945">
        <v>33</v>
      </c>
      <c r="G87" s="1945">
        <v>33</v>
      </c>
      <c r="H87" s="1308">
        <v>2032</v>
      </c>
      <c r="I87" s="1948">
        <v>3.95E-2</v>
      </c>
      <c r="J87" s="1357">
        <v>11</v>
      </c>
      <c r="K87" s="549"/>
      <c r="L87" s="441">
        <f t="shared" si="1091"/>
        <v>0</v>
      </c>
      <c r="M87" s="442">
        <f t="shared" si="1092"/>
        <v>0</v>
      </c>
      <c r="N87" s="442">
        <f t="shared" si="1093"/>
        <v>0</v>
      </c>
      <c r="O87" s="443">
        <f t="shared" si="1094"/>
        <v>0</v>
      </c>
      <c r="P87" s="440">
        <f t="shared" si="1095"/>
        <v>0</v>
      </c>
      <c r="Q87" s="441">
        <f t="shared" si="1096"/>
        <v>0</v>
      </c>
      <c r="R87" s="442">
        <f t="shared" si="1097"/>
        <v>0</v>
      </c>
      <c r="S87" s="442">
        <f t="shared" si="1098"/>
        <v>0</v>
      </c>
      <c r="T87" s="443">
        <f t="shared" si="1099"/>
        <v>0</v>
      </c>
      <c r="U87" s="440">
        <f t="shared" si="1100"/>
        <v>0</v>
      </c>
      <c r="V87" s="441">
        <f t="shared" si="1101"/>
        <v>0</v>
      </c>
      <c r="W87" s="442">
        <f t="shared" si="1102"/>
        <v>0</v>
      </c>
      <c r="X87" s="442">
        <f t="shared" si="1103"/>
        <v>0</v>
      </c>
      <c r="Y87" s="443">
        <f t="shared" si="1104"/>
        <v>0</v>
      </c>
      <c r="Z87" s="440">
        <f t="shared" si="1105"/>
        <v>0</v>
      </c>
      <c r="AA87" s="441">
        <f t="shared" si="1106"/>
        <v>0</v>
      </c>
      <c r="AB87" s="442">
        <f t="shared" si="1107"/>
        <v>0</v>
      </c>
      <c r="AC87" s="442">
        <f t="shared" si="1108"/>
        <v>0</v>
      </c>
      <c r="AD87" s="443">
        <f t="shared" si="1109"/>
        <v>0</v>
      </c>
      <c r="AE87" s="440">
        <f t="shared" si="1110"/>
        <v>0</v>
      </c>
      <c r="AF87" s="441">
        <f t="shared" si="1111"/>
        <v>0</v>
      </c>
      <c r="AG87" s="442">
        <f t="shared" si="1112"/>
        <v>0</v>
      </c>
      <c r="AH87" s="442">
        <f t="shared" si="1113"/>
        <v>0</v>
      </c>
      <c r="AI87" s="443">
        <f t="shared" si="1114"/>
        <v>0</v>
      </c>
      <c r="AJ87" s="440">
        <f t="shared" si="1115"/>
        <v>0</v>
      </c>
      <c r="AK87" s="441">
        <f t="shared" si="1116"/>
        <v>0</v>
      </c>
      <c r="AL87" s="442">
        <f t="shared" si="1117"/>
        <v>0</v>
      </c>
      <c r="AM87" s="442">
        <f t="shared" si="1118"/>
        <v>0</v>
      </c>
      <c r="AN87" s="443">
        <f t="shared" si="1119"/>
        <v>0</v>
      </c>
      <c r="AO87" s="440">
        <f t="shared" si="1120"/>
        <v>0</v>
      </c>
      <c r="AP87" s="441">
        <f t="shared" si="1121"/>
        <v>0</v>
      </c>
      <c r="AQ87" s="442">
        <f t="shared" si="1122"/>
        <v>0</v>
      </c>
      <c r="AR87" s="442">
        <f t="shared" si="1123"/>
        <v>0</v>
      </c>
      <c r="AS87" s="443">
        <f t="shared" si="1124"/>
        <v>0</v>
      </c>
      <c r="AT87" s="440">
        <f t="shared" si="1125"/>
        <v>0</v>
      </c>
      <c r="AU87" s="441">
        <f t="shared" si="1126"/>
        <v>0</v>
      </c>
      <c r="AV87" s="442">
        <f t="shared" si="1127"/>
        <v>0</v>
      </c>
      <c r="AW87" s="442">
        <f t="shared" si="1128"/>
        <v>0</v>
      </c>
      <c r="AX87" s="443">
        <f t="shared" si="1129"/>
        <v>0</v>
      </c>
      <c r="AY87" s="440">
        <f t="shared" si="1130"/>
        <v>0</v>
      </c>
      <c r="AZ87" s="441">
        <f t="shared" si="1131"/>
        <v>0</v>
      </c>
      <c r="BA87" s="442">
        <f t="shared" si="1132"/>
        <v>0</v>
      </c>
      <c r="BB87" s="442">
        <f t="shared" si="1133"/>
        <v>0</v>
      </c>
      <c r="BC87" s="443">
        <f t="shared" si="1134"/>
        <v>0</v>
      </c>
      <c r="BD87" s="440">
        <f t="shared" si="1135"/>
        <v>0</v>
      </c>
      <c r="BE87" s="441">
        <f t="shared" si="1136"/>
        <v>0</v>
      </c>
      <c r="BF87" s="442">
        <f t="shared" si="1137"/>
        <v>0</v>
      </c>
      <c r="BG87" s="442">
        <f t="shared" si="1138"/>
        <v>0</v>
      </c>
      <c r="BH87" s="443">
        <f t="shared" si="1139"/>
        <v>0</v>
      </c>
      <c r="BI87" s="440">
        <f t="shared" si="1140"/>
        <v>0</v>
      </c>
      <c r="BJ87" s="441">
        <f t="shared" si="1141"/>
        <v>0</v>
      </c>
      <c r="BK87" s="442">
        <f t="shared" si="1142"/>
        <v>0</v>
      </c>
      <c r="BL87" s="442">
        <f t="shared" si="1143"/>
        <v>0</v>
      </c>
      <c r="BM87" s="443">
        <f t="shared" si="1144"/>
        <v>0</v>
      </c>
      <c r="BN87" s="440">
        <f t="shared" si="1145"/>
        <v>0</v>
      </c>
      <c r="BO87" s="470"/>
      <c r="BP87" s="441">
        <f t="shared" si="1146"/>
        <v>0</v>
      </c>
      <c r="BQ87" s="442">
        <f t="shared" si="1147"/>
        <v>0</v>
      </c>
      <c r="BR87" s="442">
        <f t="shared" si="1148"/>
        <v>0</v>
      </c>
      <c r="BS87" s="443">
        <f t="shared" si="1149"/>
        <v>0</v>
      </c>
      <c r="BT87" s="440">
        <f t="shared" si="1150"/>
        <v>0</v>
      </c>
      <c r="BU87" s="441">
        <f t="shared" si="1151"/>
        <v>0</v>
      </c>
      <c r="BV87" s="442">
        <f t="shared" si="1152"/>
        <v>0</v>
      </c>
      <c r="BW87" s="442">
        <f t="shared" si="1153"/>
        <v>0</v>
      </c>
      <c r="BX87" s="443">
        <f t="shared" si="1154"/>
        <v>0</v>
      </c>
      <c r="BY87" s="440">
        <f t="shared" si="1155"/>
        <v>0</v>
      </c>
      <c r="BZ87" s="441">
        <f t="shared" si="1156"/>
        <v>0</v>
      </c>
      <c r="CA87" s="442">
        <f t="shared" si="1157"/>
        <v>0</v>
      </c>
      <c r="CB87" s="442">
        <f t="shared" si="1158"/>
        <v>0</v>
      </c>
      <c r="CC87" s="443">
        <f t="shared" si="1159"/>
        <v>0</v>
      </c>
      <c r="CD87" s="440">
        <f t="shared" si="1160"/>
        <v>0</v>
      </c>
      <c r="CE87" s="441">
        <f t="shared" si="1161"/>
        <v>0</v>
      </c>
      <c r="CF87" s="442">
        <f t="shared" si="1162"/>
        <v>0</v>
      </c>
      <c r="CG87" s="442">
        <f t="shared" si="1163"/>
        <v>0</v>
      </c>
      <c r="CH87" s="443">
        <f t="shared" si="1164"/>
        <v>0</v>
      </c>
      <c r="CI87" s="440">
        <f t="shared" si="1165"/>
        <v>0</v>
      </c>
      <c r="CJ87" s="441">
        <f t="shared" si="1166"/>
        <v>0</v>
      </c>
      <c r="CK87" s="442">
        <f t="shared" si="1167"/>
        <v>0</v>
      </c>
      <c r="CL87" s="442">
        <f t="shared" si="1168"/>
        <v>0</v>
      </c>
      <c r="CM87" s="443">
        <f t="shared" si="1169"/>
        <v>0</v>
      </c>
      <c r="CN87" s="440">
        <f t="shared" si="1170"/>
        <v>0</v>
      </c>
      <c r="CO87" s="441">
        <f t="shared" si="1171"/>
        <v>0</v>
      </c>
      <c r="CP87" s="442">
        <f t="shared" si="1172"/>
        <v>0</v>
      </c>
      <c r="CQ87" s="442">
        <f t="shared" si="1173"/>
        <v>0</v>
      </c>
      <c r="CR87" s="443">
        <f t="shared" si="1174"/>
        <v>0</v>
      </c>
      <c r="CS87" s="440">
        <f t="shared" si="1175"/>
        <v>0</v>
      </c>
      <c r="CT87" s="441">
        <f t="shared" si="1176"/>
        <v>0</v>
      </c>
      <c r="CU87" s="442">
        <f t="shared" si="1177"/>
        <v>0</v>
      </c>
      <c r="CV87" s="442">
        <f t="shared" si="1178"/>
        <v>0</v>
      </c>
      <c r="CW87" s="443">
        <f t="shared" si="1179"/>
        <v>0</v>
      </c>
      <c r="CX87" s="440">
        <f t="shared" si="1180"/>
        <v>0</v>
      </c>
      <c r="CY87" s="441">
        <f t="shared" si="1181"/>
        <v>0</v>
      </c>
      <c r="CZ87" s="442">
        <f t="shared" si="1182"/>
        <v>0</v>
      </c>
      <c r="DA87" s="442">
        <f t="shared" si="1183"/>
        <v>0</v>
      </c>
      <c r="DB87" s="443">
        <f t="shared" si="1184"/>
        <v>0</v>
      </c>
      <c r="DC87" s="440">
        <f t="shared" si="1185"/>
        <v>0</v>
      </c>
      <c r="DD87" s="441">
        <f t="shared" si="1186"/>
        <v>0</v>
      </c>
      <c r="DE87" s="442">
        <f t="shared" si="1187"/>
        <v>0</v>
      </c>
      <c r="DF87" s="442">
        <f t="shared" si="1188"/>
        <v>0</v>
      </c>
      <c r="DG87" s="443">
        <f t="shared" si="1189"/>
        <v>0</v>
      </c>
      <c r="DH87" s="440">
        <f t="shared" si="1190"/>
        <v>0</v>
      </c>
      <c r="DI87" s="441">
        <f t="shared" si="1191"/>
        <v>0</v>
      </c>
      <c r="DJ87" s="442">
        <f t="shared" si="1192"/>
        <v>0</v>
      </c>
      <c r="DK87" s="442">
        <f t="shared" si="1193"/>
        <v>0</v>
      </c>
      <c r="DL87" s="443">
        <f t="shared" si="1194"/>
        <v>0</v>
      </c>
      <c r="DM87" s="440">
        <f t="shared" si="1195"/>
        <v>0</v>
      </c>
      <c r="DN87" s="441">
        <f t="shared" si="1196"/>
        <v>0</v>
      </c>
      <c r="DO87" s="442">
        <f t="shared" si="1197"/>
        <v>0</v>
      </c>
      <c r="DP87" s="442">
        <f t="shared" si="1198"/>
        <v>0</v>
      </c>
      <c r="DQ87" s="443">
        <f t="shared" si="1199"/>
        <v>0</v>
      </c>
      <c r="DR87" s="440">
        <f t="shared" si="1200"/>
        <v>0</v>
      </c>
    </row>
    <row r="88" spans="3:122" ht="12.75" customHeight="1">
      <c r="C88" s="1590" t="s">
        <v>1175</v>
      </c>
      <c r="D88" s="395"/>
      <c r="E88" s="865">
        <f t="shared" si="1090"/>
        <v>23</v>
      </c>
      <c r="F88" s="1945">
        <v>23</v>
      </c>
      <c r="G88" s="1945">
        <v>23</v>
      </c>
      <c r="H88" s="1308">
        <v>2032</v>
      </c>
      <c r="I88" s="1948">
        <v>3.95E-2</v>
      </c>
      <c r="J88" s="1357">
        <v>11</v>
      </c>
      <c r="K88" s="549"/>
      <c r="L88" s="441">
        <f t="shared" si="1091"/>
        <v>0</v>
      </c>
      <c r="M88" s="442">
        <f t="shared" si="1092"/>
        <v>0</v>
      </c>
      <c r="N88" s="442">
        <f t="shared" si="1093"/>
        <v>0</v>
      </c>
      <c r="O88" s="443">
        <f t="shared" si="1094"/>
        <v>0</v>
      </c>
      <c r="P88" s="440">
        <f t="shared" si="1095"/>
        <v>0</v>
      </c>
      <c r="Q88" s="441">
        <f t="shared" si="1096"/>
        <v>0</v>
      </c>
      <c r="R88" s="442">
        <f t="shared" si="1097"/>
        <v>0</v>
      </c>
      <c r="S88" s="442">
        <f t="shared" si="1098"/>
        <v>0</v>
      </c>
      <c r="T88" s="443">
        <f t="shared" si="1099"/>
        <v>0</v>
      </c>
      <c r="U88" s="440">
        <f t="shared" si="1100"/>
        <v>0</v>
      </c>
      <c r="V88" s="441">
        <f t="shared" si="1101"/>
        <v>0</v>
      </c>
      <c r="W88" s="442">
        <f t="shared" si="1102"/>
        <v>0</v>
      </c>
      <c r="X88" s="442">
        <f t="shared" si="1103"/>
        <v>0</v>
      </c>
      <c r="Y88" s="443">
        <f t="shared" si="1104"/>
        <v>0</v>
      </c>
      <c r="Z88" s="440">
        <f t="shared" si="1105"/>
        <v>0</v>
      </c>
      <c r="AA88" s="441">
        <f t="shared" si="1106"/>
        <v>0</v>
      </c>
      <c r="AB88" s="442">
        <f t="shared" si="1107"/>
        <v>0</v>
      </c>
      <c r="AC88" s="442">
        <f t="shared" si="1108"/>
        <v>0</v>
      </c>
      <c r="AD88" s="443">
        <f t="shared" si="1109"/>
        <v>0</v>
      </c>
      <c r="AE88" s="440">
        <f t="shared" si="1110"/>
        <v>0</v>
      </c>
      <c r="AF88" s="441">
        <f t="shared" si="1111"/>
        <v>0</v>
      </c>
      <c r="AG88" s="442">
        <f t="shared" si="1112"/>
        <v>0</v>
      </c>
      <c r="AH88" s="442">
        <f t="shared" si="1113"/>
        <v>0</v>
      </c>
      <c r="AI88" s="443">
        <f t="shared" si="1114"/>
        <v>0</v>
      </c>
      <c r="AJ88" s="440">
        <f t="shared" si="1115"/>
        <v>0</v>
      </c>
      <c r="AK88" s="441">
        <f t="shared" si="1116"/>
        <v>0</v>
      </c>
      <c r="AL88" s="442">
        <f t="shared" si="1117"/>
        <v>0</v>
      </c>
      <c r="AM88" s="442">
        <f t="shared" si="1118"/>
        <v>0</v>
      </c>
      <c r="AN88" s="443">
        <f t="shared" si="1119"/>
        <v>0</v>
      </c>
      <c r="AO88" s="440">
        <f t="shared" si="1120"/>
        <v>0</v>
      </c>
      <c r="AP88" s="441">
        <f t="shared" si="1121"/>
        <v>0</v>
      </c>
      <c r="AQ88" s="442">
        <f t="shared" si="1122"/>
        <v>0</v>
      </c>
      <c r="AR88" s="442">
        <f t="shared" si="1123"/>
        <v>0</v>
      </c>
      <c r="AS88" s="443">
        <f t="shared" si="1124"/>
        <v>0</v>
      </c>
      <c r="AT88" s="440">
        <f t="shared" si="1125"/>
        <v>0</v>
      </c>
      <c r="AU88" s="441">
        <f t="shared" si="1126"/>
        <v>0</v>
      </c>
      <c r="AV88" s="442">
        <f t="shared" si="1127"/>
        <v>0</v>
      </c>
      <c r="AW88" s="442">
        <f t="shared" si="1128"/>
        <v>0</v>
      </c>
      <c r="AX88" s="443">
        <f t="shared" si="1129"/>
        <v>0</v>
      </c>
      <c r="AY88" s="440">
        <f t="shared" si="1130"/>
        <v>0</v>
      </c>
      <c r="AZ88" s="441">
        <f t="shared" si="1131"/>
        <v>0</v>
      </c>
      <c r="BA88" s="442">
        <f t="shared" si="1132"/>
        <v>0</v>
      </c>
      <c r="BB88" s="442">
        <f t="shared" si="1133"/>
        <v>0</v>
      </c>
      <c r="BC88" s="443">
        <f t="shared" si="1134"/>
        <v>0</v>
      </c>
      <c r="BD88" s="440">
        <f t="shared" si="1135"/>
        <v>0</v>
      </c>
      <c r="BE88" s="441">
        <f t="shared" si="1136"/>
        <v>0</v>
      </c>
      <c r="BF88" s="442">
        <f t="shared" si="1137"/>
        <v>0</v>
      </c>
      <c r="BG88" s="442">
        <f t="shared" si="1138"/>
        <v>0</v>
      </c>
      <c r="BH88" s="443">
        <f t="shared" si="1139"/>
        <v>0</v>
      </c>
      <c r="BI88" s="440">
        <f t="shared" si="1140"/>
        <v>0</v>
      </c>
      <c r="BJ88" s="441">
        <f t="shared" si="1141"/>
        <v>0</v>
      </c>
      <c r="BK88" s="442">
        <f t="shared" si="1142"/>
        <v>0</v>
      </c>
      <c r="BL88" s="442">
        <f t="shared" si="1143"/>
        <v>0</v>
      </c>
      <c r="BM88" s="443">
        <f t="shared" si="1144"/>
        <v>0</v>
      </c>
      <c r="BN88" s="440">
        <f t="shared" si="1145"/>
        <v>0</v>
      </c>
      <c r="BO88" s="470"/>
      <c r="BP88" s="441">
        <f t="shared" si="1146"/>
        <v>0</v>
      </c>
      <c r="BQ88" s="442">
        <f t="shared" si="1147"/>
        <v>0</v>
      </c>
      <c r="BR88" s="442">
        <f t="shared" si="1148"/>
        <v>0</v>
      </c>
      <c r="BS88" s="443">
        <f t="shared" si="1149"/>
        <v>0</v>
      </c>
      <c r="BT88" s="440">
        <f t="shared" si="1150"/>
        <v>0</v>
      </c>
      <c r="BU88" s="441">
        <f t="shared" si="1151"/>
        <v>0</v>
      </c>
      <c r="BV88" s="442">
        <f t="shared" si="1152"/>
        <v>0</v>
      </c>
      <c r="BW88" s="442">
        <f t="shared" si="1153"/>
        <v>0</v>
      </c>
      <c r="BX88" s="443">
        <f t="shared" si="1154"/>
        <v>0</v>
      </c>
      <c r="BY88" s="440">
        <f t="shared" si="1155"/>
        <v>0</v>
      </c>
      <c r="BZ88" s="441">
        <f t="shared" si="1156"/>
        <v>0</v>
      </c>
      <c r="CA88" s="442">
        <f t="shared" si="1157"/>
        <v>0</v>
      </c>
      <c r="CB88" s="442">
        <f t="shared" si="1158"/>
        <v>0</v>
      </c>
      <c r="CC88" s="443">
        <f t="shared" si="1159"/>
        <v>0</v>
      </c>
      <c r="CD88" s="440">
        <f t="shared" si="1160"/>
        <v>0</v>
      </c>
      <c r="CE88" s="441">
        <f t="shared" si="1161"/>
        <v>0</v>
      </c>
      <c r="CF88" s="442">
        <f t="shared" si="1162"/>
        <v>0</v>
      </c>
      <c r="CG88" s="442">
        <f t="shared" si="1163"/>
        <v>0</v>
      </c>
      <c r="CH88" s="443">
        <f t="shared" si="1164"/>
        <v>0</v>
      </c>
      <c r="CI88" s="440">
        <f t="shared" si="1165"/>
        <v>0</v>
      </c>
      <c r="CJ88" s="441">
        <f t="shared" si="1166"/>
        <v>0</v>
      </c>
      <c r="CK88" s="442">
        <f t="shared" si="1167"/>
        <v>0</v>
      </c>
      <c r="CL88" s="442">
        <f t="shared" si="1168"/>
        <v>0</v>
      </c>
      <c r="CM88" s="443">
        <f t="shared" si="1169"/>
        <v>0</v>
      </c>
      <c r="CN88" s="440">
        <f t="shared" si="1170"/>
        <v>0</v>
      </c>
      <c r="CO88" s="441">
        <f t="shared" si="1171"/>
        <v>0</v>
      </c>
      <c r="CP88" s="442">
        <f t="shared" si="1172"/>
        <v>0</v>
      </c>
      <c r="CQ88" s="442">
        <f t="shared" si="1173"/>
        <v>0</v>
      </c>
      <c r="CR88" s="443">
        <f t="shared" si="1174"/>
        <v>0</v>
      </c>
      <c r="CS88" s="440">
        <f t="shared" si="1175"/>
        <v>0</v>
      </c>
      <c r="CT88" s="441">
        <f t="shared" si="1176"/>
        <v>0</v>
      </c>
      <c r="CU88" s="442">
        <f t="shared" si="1177"/>
        <v>0</v>
      </c>
      <c r="CV88" s="442">
        <f t="shared" si="1178"/>
        <v>0</v>
      </c>
      <c r="CW88" s="443">
        <f t="shared" si="1179"/>
        <v>0</v>
      </c>
      <c r="CX88" s="440">
        <f t="shared" si="1180"/>
        <v>0</v>
      </c>
      <c r="CY88" s="441">
        <f t="shared" si="1181"/>
        <v>0</v>
      </c>
      <c r="CZ88" s="442">
        <f t="shared" si="1182"/>
        <v>0</v>
      </c>
      <c r="DA88" s="442">
        <f t="shared" si="1183"/>
        <v>0</v>
      </c>
      <c r="DB88" s="443">
        <f t="shared" si="1184"/>
        <v>0</v>
      </c>
      <c r="DC88" s="440">
        <f t="shared" si="1185"/>
        <v>0</v>
      </c>
      <c r="DD88" s="441">
        <f t="shared" si="1186"/>
        <v>0</v>
      </c>
      <c r="DE88" s="442">
        <f t="shared" si="1187"/>
        <v>0</v>
      </c>
      <c r="DF88" s="442">
        <f t="shared" si="1188"/>
        <v>0</v>
      </c>
      <c r="DG88" s="443">
        <f t="shared" si="1189"/>
        <v>0</v>
      </c>
      <c r="DH88" s="440">
        <f t="shared" si="1190"/>
        <v>0</v>
      </c>
      <c r="DI88" s="441">
        <f t="shared" si="1191"/>
        <v>0</v>
      </c>
      <c r="DJ88" s="442">
        <f t="shared" si="1192"/>
        <v>0</v>
      </c>
      <c r="DK88" s="442">
        <f t="shared" si="1193"/>
        <v>0</v>
      </c>
      <c r="DL88" s="443">
        <f t="shared" si="1194"/>
        <v>0</v>
      </c>
      <c r="DM88" s="440">
        <f t="shared" si="1195"/>
        <v>0</v>
      </c>
      <c r="DN88" s="441">
        <f t="shared" si="1196"/>
        <v>0</v>
      </c>
      <c r="DO88" s="442">
        <f t="shared" si="1197"/>
        <v>0</v>
      </c>
      <c r="DP88" s="442">
        <f t="shared" si="1198"/>
        <v>0</v>
      </c>
      <c r="DQ88" s="443">
        <f t="shared" si="1199"/>
        <v>0</v>
      </c>
      <c r="DR88" s="440">
        <f t="shared" si="1200"/>
        <v>0</v>
      </c>
    </row>
    <row r="89" spans="3:122" ht="12.75" customHeight="1">
      <c r="C89" s="1590" t="s">
        <v>1013</v>
      </c>
      <c r="D89" s="395"/>
      <c r="E89" s="865">
        <f t="shared" si="1090"/>
        <v>15.5</v>
      </c>
      <c r="F89" s="1945">
        <v>15.5</v>
      </c>
      <c r="G89" s="1945">
        <v>15.5</v>
      </c>
      <c r="H89" s="1308">
        <v>2033</v>
      </c>
      <c r="I89" s="1948">
        <v>3.6249999999999998E-2</v>
      </c>
      <c r="J89" s="1357">
        <v>12</v>
      </c>
      <c r="K89" s="549"/>
      <c r="L89" s="441">
        <f t="shared" si="1091"/>
        <v>0</v>
      </c>
      <c r="M89" s="442">
        <f t="shared" si="1092"/>
        <v>0</v>
      </c>
      <c r="N89" s="442">
        <f t="shared" si="1093"/>
        <v>0</v>
      </c>
      <c r="O89" s="443">
        <f t="shared" si="1094"/>
        <v>0</v>
      </c>
      <c r="P89" s="440">
        <f t="shared" si="1095"/>
        <v>0</v>
      </c>
      <c r="Q89" s="441">
        <f t="shared" si="1096"/>
        <v>0</v>
      </c>
      <c r="R89" s="442">
        <f t="shared" si="1097"/>
        <v>0</v>
      </c>
      <c r="S89" s="442">
        <f t="shared" si="1098"/>
        <v>0</v>
      </c>
      <c r="T89" s="443">
        <f t="shared" si="1099"/>
        <v>0</v>
      </c>
      <c r="U89" s="440">
        <f t="shared" si="1100"/>
        <v>0</v>
      </c>
      <c r="V89" s="441">
        <f t="shared" si="1101"/>
        <v>0</v>
      </c>
      <c r="W89" s="442">
        <f t="shared" si="1102"/>
        <v>0</v>
      </c>
      <c r="X89" s="442">
        <f t="shared" si="1103"/>
        <v>0</v>
      </c>
      <c r="Y89" s="443">
        <f t="shared" si="1104"/>
        <v>0</v>
      </c>
      <c r="Z89" s="440">
        <f t="shared" si="1105"/>
        <v>0</v>
      </c>
      <c r="AA89" s="441">
        <f t="shared" si="1106"/>
        <v>0</v>
      </c>
      <c r="AB89" s="442">
        <f t="shared" si="1107"/>
        <v>0</v>
      </c>
      <c r="AC89" s="442">
        <f t="shared" si="1108"/>
        <v>0</v>
      </c>
      <c r="AD89" s="443">
        <f t="shared" si="1109"/>
        <v>0</v>
      </c>
      <c r="AE89" s="440">
        <f t="shared" si="1110"/>
        <v>0</v>
      </c>
      <c r="AF89" s="441">
        <f t="shared" si="1111"/>
        <v>0</v>
      </c>
      <c r="AG89" s="442">
        <f t="shared" si="1112"/>
        <v>0</v>
      </c>
      <c r="AH89" s="442">
        <f t="shared" si="1113"/>
        <v>0</v>
      </c>
      <c r="AI89" s="443">
        <f t="shared" si="1114"/>
        <v>0</v>
      </c>
      <c r="AJ89" s="440">
        <f t="shared" si="1115"/>
        <v>0</v>
      </c>
      <c r="AK89" s="441">
        <f t="shared" si="1116"/>
        <v>0</v>
      </c>
      <c r="AL89" s="442">
        <f t="shared" si="1117"/>
        <v>0</v>
      </c>
      <c r="AM89" s="442">
        <f t="shared" si="1118"/>
        <v>0</v>
      </c>
      <c r="AN89" s="443">
        <f t="shared" si="1119"/>
        <v>0</v>
      </c>
      <c r="AO89" s="440">
        <f t="shared" si="1120"/>
        <v>0</v>
      </c>
      <c r="AP89" s="441">
        <f t="shared" si="1121"/>
        <v>0</v>
      </c>
      <c r="AQ89" s="442">
        <f t="shared" si="1122"/>
        <v>0</v>
      </c>
      <c r="AR89" s="442">
        <f t="shared" si="1123"/>
        <v>0</v>
      </c>
      <c r="AS89" s="443">
        <f t="shared" si="1124"/>
        <v>0</v>
      </c>
      <c r="AT89" s="440">
        <f t="shared" si="1125"/>
        <v>0</v>
      </c>
      <c r="AU89" s="441">
        <f t="shared" si="1126"/>
        <v>0</v>
      </c>
      <c r="AV89" s="442">
        <f t="shared" si="1127"/>
        <v>0</v>
      </c>
      <c r="AW89" s="442">
        <f t="shared" si="1128"/>
        <v>0</v>
      </c>
      <c r="AX89" s="443">
        <f t="shared" si="1129"/>
        <v>0</v>
      </c>
      <c r="AY89" s="440">
        <f t="shared" si="1130"/>
        <v>0</v>
      </c>
      <c r="AZ89" s="441">
        <f t="shared" si="1131"/>
        <v>0</v>
      </c>
      <c r="BA89" s="442">
        <f t="shared" si="1132"/>
        <v>0</v>
      </c>
      <c r="BB89" s="442">
        <f t="shared" si="1133"/>
        <v>0</v>
      </c>
      <c r="BC89" s="443">
        <f t="shared" si="1134"/>
        <v>0</v>
      </c>
      <c r="BD89" s="440">
        <f t="shared" si="1135"/>
        <v>0</v>
      </c>
      <c r="BE89" s="441">
        <f t="shared" si="1136"/>
        <v>0</v>
      </c>
      <c r="BF89" s="442">
        <f t="shared" si="1137"/>
        <v>0</v>
      </c>
      <c r="BG89" s="442">
        <f t="shared" si="1138"/>
        <v>0</v>
      </c>
      <c r="BH89" s="443">
        <f t="shared" si="1139"/>
        <v>0</v>
      </c>
      <c r="BI89" s="440">
        <f t="shared" si="1140"/>
        <v>0</v>
      </c>
      <c r="BJ89" s="441">
        <f t="shared" si="1141"/>
        <v>0</v>
      </c>
      <c r="BK89" s="442">
        <f t="shared" si="1142"/>
        <v>0</v>
      </c>
      <c r="BL89" s="442">
        <f t="shared" si="1143"/>
        <v>0</v>
      </c>
      <c r="BM89" s="443">
        <f t="shared" si="1144"/>
        <v>0</v>
      </c>
      <c r="BN89" s="440">
        <f t="shared" si="1145"/>
        <v>0</v>
      </c>
      <c r="BO89" s="470"/>
      <c r="BP89" s="441">
        <f t="shared" si="1146"/>
        <v>0</v>
      </c>
      <c r="BQ89" s="442">
        <f t="shared" si="1147"/>
        <v>0</v>
      </c>
      <c r="BR89" s="442">
        <f t="shared" si="1148"/>
        <v>0</v>
      </c>
      <c r="BS89" s="443">
        <f t="shared" si="1149"/>
        <v>0</v>
      </c>
      <c r="BT89" s="440">
        <f t="shared" si="1150"/>
        <v>0</v>
      </c>
      <c r="BU89" s="441">
        <f t="shared" si="1151"/>
        <v>0</v>
      </c>
      <c r="BV89" s="442">
        <f t="shared" si="1152"/>
        <v>0</v>
      </c>
      <c r="BW89" s="442">
        <f t="shared" si="1153"/>
        <v>0</v>
      </c>
      <c r="BX89" s="443">
        <f t="shared" si="1154"/>
        <v>0</v>
      </c>
      <c r="BY89" s="440">
        <f t="shared" si="1155"/>
        <v>0</v>
      </c>
      <c r="BZ89" s="441">
        <f t="shared" si="1156"/>
        <v>0</v>
      </c>
      <c r="CA89" s="442">
        <f t="shared" si="1157"/>
        <v>0</v>
      </c>
      <c r="CB89" s="442">
        <f t="shared" si="1158"/>
        <v>0</v>
      </c>
      <c r="CC89" s="443">
        <f t="shared" si="1159"/>
        <v>0</v>
      </c>
      <c r="CD89" s="440">
        <f t="shared" si="1160"/>
        <v>0</v>
      </c>
      <c r="CE89" s="441">
        <f t="shared" si="1161"/>
        <v>0</v>
      </c>
      <c r="CF89" s="442">
        <f t="shared" si="1162"/>
        <v>0</v>
      </c>
      <c r="CG89" s="442">
        <f t="shared" si="1163"/>
        <v>0</v>
      </c>
      <c r="CH89" s="443">
        <f t="shared" si="1164"/>
        <v>0</v>
      </c>
      <c r="CI89" s="440">
        <f t="shared" si="1165"/>
        <v>0</v>
      </c>
      <c r="CJ89" s="441">
        <f t="shared" si="1166"/>
        <v>0</v>
      </c>
      <c r="CK89" s="442">
        <f t="shared" si="1167"/>
        <v>0</v>
      </c>
      <c r="CL89" s="442">
        <f t="shared" si="1168"/>
        <v>0</v>
      </c>
      <c r="CM89" s="443">
        <f t="shared" si="1169"/>
        <v>0</v>
      </c>
      <c r="CN89" s="440">
        <f t="shared" si="1170"/>
        <v>0</v>
      </c>
      <c r="CO89" s="441">
        <f t="shared" si="1171"/>
        <v>0</v>
      </c>
      <c r="CP89" s="442">
        <f t="shared" si="1172"/>
        <v>0</v>
      </c>
      <c r="CQ89" s="442">
        <f t="shared" si="1173"/>
        <v>0</v>
      </c>
      <c r="CR89" s="443">
        <f t="shared" si="1174"/>
        <v>0</v>
      </c>
      <c r="CS89" s="440">
        <f t="shared" si="1175"/>
        <v>0</v>
      </c>
      <c r="CT89" s="441">
        <f t="shared" si="1176"/>
        <v>0</v>
      </c>
      <c r="CU89" s="442">
        <f t="shared" si="1177"/>
        <v>0</v>
      </c>
      <c r="CV89" s="442">
        <f t="shared" si="1178"/>
        <v>0</v>
      </c>
      <c r="CW89" s="443">
        <f t="shared" si="1179"/>
        <v>0</v>
      </c>
      <c r="CX89" s="440">
        <f t="shared" si="1180"/>
        <v>0</v>
      </c>
      <c r="CY89" s="441">
        <f t="shared" si="1181"/>
        <v>0</v>
      </c>
      <c r="CZ89" s="442">
        <f t="shared" si="1182"/>
        <v>0</v>
      </c>
      <c r="DA89" s="442">
        <f t="shared" si="1183"/>
        <v>0</v>
      </c>
      <c r="DB89" s="443">
        <f t="shared" si="1184"/>
        <v>0</v>
      </c>
      <c r="DC89" s="440">
        <f t="shared" si="1185"/>
        <v>0</v>
      </c>
      <c r="DD89" s="441">
        <f t="shared" si="1186"/>
        <v>0</v>
      </c>
      <c r="DE89" s="442">
        <f t="shared" si="1187"/>
        <v>0</v>
      </c>
      <c r="DF89" s="442">
        <f t="shared" si="1188"/>
        <v>0</v>
      </c>
      <c r="DG89" s="443">
        <f t="shared" si="1189"/>
        <v>0</v>
      </c>
      <c r="DH89" s="440">
        <f t="shared" si="1190"/>
        <v>0</v>
      </c>
      <c r="DI89" s="441">
        <f t="shared" si="1191"/>
        <v>0</v>
      </c>
      <c r="DJ89" s="442">
        <f t="shared" si="1192"/>
        <v>0</v>
      </c>
      <c r="DK89" s="442">
        <f t="shared" si="1193"/>
        <v>0</v>
      </c>
      <c r="DL89" s="443">
        <f t="shared" si="1194"/>
        <v>0</v>
      </c>
      <c r="DM89" s="440">
        <f t="shared" si="1195"/>
        <v>0</v>
      </c>
      <c r="DN89" s="441">
        <f t="shared" si="1196"/>
        <v>0</v>
      </c>
      <c r="DO89" s="442">
        <f t="shared" si="1197"/>
        <v>0</v>
      </c>
      <c r="DP89" s="442">
        <f t="shared" si="1198"/>
        <v>0</v>
      </c>
      <c r="DQ89" s="443">
        <f t="shared" si="1199"/>
        <v>0</v>
      </c>
      <c r="DR89" s="440">
        <f t="shared" si="1200"/>
        <v>0</v>
      </c>
    </row>
    <row r="90" spans="3:122" ht="12.75" customHeight="1">
      <c r="C90" s="1590" t="s">
        <v>1176</v>
      </c>
      <c r="D90" s="395"/>
      <c r="E90" s="865">
        <f t="shared" si="1090"/>
        <v>163.965</v>
      </c>
      <c r="F90" s="1945">
        <v>163.965</v>
      </c>
      <c r="G90" s="1945">
        <v>163.965</v>
      </c>
      <c r="H90" s="1308">
        <v>2035</v>
      </c>
      <c r="I90" s="1948">
        <v>3.5000000000000003E-2</v>
      </c>
      <c r="J90" s="1357">
        <v>12</v>
      </c>
      <c r="K90" s="549"/>
      <c r="L90" s="441">
        <f t="shared" si="1091"/>
        <v>0</v>
      </c>
      <c r="M90" s="442">
        <f t="shared" si="1092"/>
        <v>0</v>
      </c>
      <c r="N90" s="442">
        <f t="shared" si="1093"/>
        <v>0</v>
      </c>
      <c r="O90" s="443">
        <f t="shared" si="1094"/>
        <v>0</v>
      </c>
      <c r="P90" s="440">
        <f t="shared" si="1095"/>
        <v>0</v>
      </c>
      <c r="Q90" s="441">
        <f t="shared" si="1096"/>
        <v>0</v>
      </c>
      <c r="R90" s="442">
        <f t="shared" si="1097"/>
        <v>0</v>
      </c>
      <c r="S90" s="442">
        <f t="shared" si="1098"/>
        <v>0</v>
      </c>
      <c r="T90" s="443">
        <f t="shared" si="1099"/>
        <v>0</v>
      </c>
      <c r="U90" s="440">
        <f t="shared" si="1100"/>
        <v>0</v>
      </c>
      <c r="V90" s="441">
        <f t="shared" si="1101"/>
        <v>0</v>
      </c>
      <c r="W90" s="442">
        <f t="shared" si="1102"/>
        <v>0</v>
      </c>
      <c r="X90" s="442">
        <f t="shared" si="1103"/>
        <v>0</v>
      </c>
      <c r="Y90" s="443">
        <f t="shared" si="1104"/>
        <v>0</v>
      </c>
      <c r="Z90" s="440">
        <f t="shared" si="1105"/>
        <v>0</v>
      </c>
      <c r="AA90" s="441">
        <f t="shared" si="1106"/>
        <v>0</v>
      </c>
      <c r="AB90" s="442">
        <f t="shared" si="1107"/>
        <v>0</v>
      </c>
      <c r="AC90" s="442">
        <f t="shared" si="1108"/>
        <v>0</v>
      </c>
      <c r="AD90" s="443">
        <f t="shared" si="1109"/>
        <v>0</v>
      </c>
      <c r="AE90" s="440">
        <f t="shared" si="1110"/>
        <v>0</v>
      </c>
      <c r="AF90" s="441">
        <f t="shared" si="1111"/>
        <v>0</v>
      </c>
      <c r="AG90" s="442">
        <f t="shared" si="1112"/>
        <v>0</v>
      </c>
      <c r="AH90" s="442">
        <f t="shared" si="1113"/>
        <v>0</v>
      </c>
      <c r="AI90" s="443">
        <f t="shared" si="1114"/>
        <v>0</v>
      </c>
      <c r="AJ90" s="440">
        <f t="shared" si="1115"/>
        <v>0</v>
      </c>
      <c r="AK90" s="441">
        <f t="shared" si="1116"/>
        <v>0</v>
      </c>
      <c r="AL90" s="442">
        <f t="shared" si="1117"/>
        <v>0</v>
      </c>
      <c r="AM90" s="442">
        <f t="shared" si="1118"/>
        <v>0</v>
      </c>
      <c r="AN90" s="443">
        <f t="shared" si="1119"/>
        <v>0</v>
      </c>
      <c r="AO90" s="440">
        <f t="shared" si="1120"/>
        <v>0</v>
      </c>
      <c r="AP90" s="441">
        <f t="shared" si="1121"/>
        <v>0</v>
      </c>
      <c r="AQ90" s="442">
        <f t="shared" si="1122"/>
        <v>0</v>
      </c>
      <c r="AR90" s="442">
        <f t="shared" si="1123"/>
        <v>0</v>
      </c>
      <c r="AS90" s="443">
        <f t="shared" si="1124"/>
        <v>0</v>
      </c>
      <c r="AT90" s="440">
        <f t="shared" si="1125"/>
        <v>0</v>
      </c>
      <c r="AU90" s="441">
        <f t="shared" si="1126"/>
        <v>0</v>
      </c>
      <c r="AV90" s="442">
        <f t="shared" si="1127"/>
        <v>0</v>
      </c>
      <c r="AW90" s="442">
        <f t="shared" si="1128"/>
        <v>0</v>
      </c>
      <c r="AX90" s="443">
        <f t="shared" si="1129"/>
        <v>0</v>
      </c>
      <c r="AY90" s="440">
        <f t="shared" si="1130"/>
        <v>0</v>
      </c>
      <c r="AZ90" s="441">
        <f t="shared" si="1131"/>
        <v>0</v>
      </c>
      <c r="BA90" s="442">
        <f t="shared" si="1132"/>
        <v>0</v>
      </c>
      <c r="BB90" s="442">
        <f t="shared" si="1133"/>
        <v>0</v>
      </c>
      <c r="BC90" s="443">
        <f t="shared" si="1134"/>
        <v>0</v>
      </c>
      <c r="BD90" s="440">
        <f t="shared" si="1135"/>
        <v>0</v>
      </c>
      <c r="BE90" s="441">
        <f t="shared" si="1136"/>
        <v>0</v>
      </c>
      <c r="BF90" s="442">
        <f t="shared" si="1137"/>
        <v>0</v>
      </c>
      <c r="BG90" s="442">
        <f t="shared" si="1138"/>
        <v>0</v>
      </c>
      <c r="BH90" s="443">
        <f t="shared" si="1139"/>
        <v>0</v>
      </c>
      <c r="BI90" s="440">
        <f t="shared" si="1140"/>
        <v>0</v>
      </c>
      <c r="BJ90" s="441">
        <f t="shared" si="1141"/>
        <v>0</v>
      </c>
      <c r="BK90" s="442">
        <f t="shared" si="1142"/>
        <v>0</v>
      </c>
      <c r="BL90" s="442">
        <f t="shared" si="1143"/>
        <v>0</v>
      </c>
      <c r="BM90" s="443">
        <f t="shared" si="1144"/>
        <v>0</v>
      </c>
      <c r="BN90" s="440">
        <f t="shared" si="1145"/>
        <v>0</v>
      </c>
      <c r="BO90" s="470"/>
      <c r="BP90" s="441">
        <f t="shared" si="1146"/>
        <v>0</v>
      </c>
      <c r="BQ90" s="442">
        <f t="shared" si="1147"/>
        <v>0</v>
      </c>
      <c r="BR90" s="442">
        <f t="shared" si="1148"/>
        <v>0</v>
      </c>
      <c r="BS90" s="443">
        <f t="shared" si="1149"/>
        <v>0</v>
      </c>
      <c r="BT90" s="440">
        <f t="shared" si="1150"/>
        <v>0</v>
      </c>
      <c r="BU90" s="441">
        <f t="shared" si="1151"/>
        <v>0</v>
      </c>
      <c r="BV90" s="442">
        <f t="shared" si="1152"/>
        <v>0</v>
      </c>
      <c r="BW90" s="442">
        <f t="shared" si="1153"/>
        <v>0</v>
      </c>
      <c r="BX90" s="443">
        <f t="shared" si="1154"/>
        <v>0</v>
      </c>
      <c r="BY90" s="440">
        <f t="shared" si="1155"/>
        <v>0</v>
      </c>
      <c r="BZ90" s="441">
        <f t="shared" si="1156"/>
        <v>0</v>
      </c>
      <c r="CA90" s="442">
        <f t="shared" si="1157"/>
        <v>0</v>
      </c>
      <c r="CB90" s="442">
        <f t="shared" si="1158"/>
        <v>0</v>
      </c>
      <c r="CC90" s="443">
        <f t="shared" si="1159"/>
        <v>0</v>
      </c>
      <c r="CD90" s="440">
        <f t="shared" si="1160"/>
        <v>0</v>
      </c>
      <c r="CE90" s="441">
        <f t="shared" si="1161"/>
        <v>0</v>
      </c>
      <c r="CF90" s="442">
        <f t="shared" si="1162"/>
        <v>0</v>
      </c>
      <c r="CG90" s="442">
        <f t="shared" si="1163"/>
        <v>0</v>
      </c>
      <c r="CH90" s="443">
        <f t="shared" si="1164"/>
        <v>0</v>
      </c>
      <c r="CI90" s="440">
        <f t="shared" si="1165"/>
        <v>0</v>
      </c>
      <c r="CJ90" s="441">
        <f t="shared" si="1166"/>
        <v>0</v>
      </c>
      <c r="CK90" s="442">
        <f t="shared" si="1167"/>
        <v>0</v>
      </c>
      <c r="CL90" s="442">
        <f t="shared" si="1168"/>
        <v>0</v>
      </c>
      <c r="CM90" s="443">
        <f t="shared" si="1169"/>
        <v>0</v>
      </c>
      <c r="CN90" s="440">
        <f t="shared" si="1170"/>
        <v>0</v>
      </c>
      <c r="CO90" s="441">
        <f t="shared" si="1171"/>
        <v>0</v>
      </c>
      <c r="CP90" s="442">
        <f t="shared" si="1172"/>
        <v>0</v>
      </c>
      <c r="CQ90" s="442">
        <f t="shared" si="1173"/>
        <v>0</v>
      </c>
      <c r="CR90" s="443">
        <f t="shared" si="1174"/>
        <v>0</v>
      </c>
      <c r="CS90" s="440">
        <f t="shared" si="1175"/>
        <v>0</v>
      </c>
      <c r="CT90" s="441">
        <f t="shared" si="1176"/>
        <v>0</v>
      </c>
      <c r="CU90" s="442">
        <f t="shared" si="1177"/>
        <v>0</v>
      </c>
      <c r="CV90" s="442">
        <f t="shared" si="1178"/>
        <v>0</v>
      </c>
      <c r="CW90" s="443">
        <f t="shared" si="1179"/>
        <v>0</v>
      </c>
      <c r="CX90" s="440">
        <f t="shared" si="1180"/>
        <v>0</v>
      </c>
      <c r="CY90" s="441">
        <f t="shared" si="1181"/>
        <v>0</v>
      </c>
      <c r="CZ90" s="442">
        <f t="shared" si="1182"/>
        <v>0</v>
      </c>
      <c r="DA90" s="442">
        <f t="shared" si="1183"/>
        <v>0</v>
      </c>
      <c r="DB90" s="443">
        <f t="shared" si="1184"/>
        <v>0</v>
      </c>
      <c r="DC90" s="440">
        <f t="shared" si="1185"/>
        <v>0</v>
      </c>
      <c r="DD90" s="441">
        <f t="shared" si="1186"/>
        <v>0</v>
      </c>
      <c r="DE90" s="442">
        <f t="shared" si="1187"/>
        <v>0</v>
      </c>
      <c r="DF90" s="442">
        <f t="shared" si="1188"/>
        <v>0</v>
      </c>
      <c r="DG90" s="443">
        <f t="shared" si="1189"/>
        <v>0</v>
      </c>
      <c r="DH90" s="440">
        <f t="shared" si="1190"/>
        <v>0</v>
      </c>
      <c r="DI90" s="441">
        <f t="shared" si="1191"/>
        <v>0</v>
      </c>
      <c r="DJ90" s="442">
        <f t="shared" si="1192"/>
        <v>0</v>
      </c>
      <c r="DK90" s="442">
        <f t="shared" si="1193"/>
        <v>0</v>
      </c>
      <c r="DL90" s="443">
        <f t="shared" si="1194"/>
        <v>0</v>
      </c>
      <c r="DM90" s="440">
        <f t="shared" si="1195"/>
        <v>0</v>
      </c>
      <c r="DN90" s="441">
        <f t="shared" si="1196"/>
        <v>0</v>
      </c>
      <c r="DO90" s="442">
        <f t="shared" si="1197"/>
        <v>0</v>
      </c>
      <c r="DP90" s="442">
        <f t="shared" si="1198"/>
        <v>0</v>
      </c>
      <c r="DQ90" s="443">
        <f t="shared" si="1199"/>
        <v>0</v>
      </c>
      <c r="DR90" s="440">
        <f t="shared" si="1200"/>
        <v>0</v>
      </c>
    </row>
    <row r="91" spans="3:122" ht="12.75" customHeight="1">
      <c r="C91" s="1590" t="s">
        <v>1014</v>
      </c>
      <c r="D91" s="395"/>
      <c r="E91" s="865">
        <f t="shared" si="1090"/>
        <v>26</v>
      </c>
      <c r="F91" s="1945">
        <v>26</v>
      </c>
      <c r="G91" s="1945">
        <v>26</v>
      </c>
      <c r="H91" s="1308">
        <v>2033</v>
      </c>
      <c r="I91" s="1948">
        <v>3.7499999999999999E-2</v>
      </c>
      <c r="J91" s="1357">
        <v>6</v>
      </c>
      <c r="K91" s="549"/>
      <c r="L91" s="441">
        <f t="shared" si="1091"/>
        <v>0</v>
      </c>
      <c r="M91" s="442">
        <f t="shared" si="1092"/>
        <v>0</v>
      </c>
      <c r="N91" s="442">
        <f t="shared" si="1093"/>
        <v>0</v>
      </c>
      <c r="O91" s="443">
        <f t="shared" si="1094"/>
        <v>0</v>
      </c>
      <c r="P91" s="440">
        <f t="shared" si="1095"/>
        <v>0</v>
      </c>
      <c r="Q91" s="441">
        <f t="shared" si="1096"/>
        <v>0</v>
      </c>
      <c r="R91" s="442">
        <f t="shared" si="1097"/>
        <v>0</v>
      </c>
      <c r="S91" s="442">
        <f t="shared" si="1098"/>
        <v>0</v>
      </c>
      <c r="T91" s="443">
        <f t="shared" si="1099"/>
        <v>0</v>
      </c>
      <c r="U91" s="440">
        <f t="shared" si="1100"/>
        <v>0</v>
      </c>
      <c r="V91" s="441">
        <f t="shared" si="1101"/>
        <v>0</v>
      </c>
      <c r="W91" s="442">
        <f t="shared" si="1102"/>
        <v>0</v>
      </c>
      <c r="X91" s="442">
        <f t="shared" si="1103"/>
        <v>0</v>
      </c>
      <c r="Y91" s="443">
        <f t="shared" si="1104"/>
        <v>0</v>
      </c>
      <c r="Z91" s="440">
        <f t="shared" si="1105"/>
        <v>0</v>
      </c>
      <c r="AA91" s="441">
        <f t="shared" si="1106"/>
        <v>0</v>
      </c>
      <c r="AB91" s="442">
        <f t="shared" si="1107"/>
        <v>0</v>
      </c>
      <c r="AC91" s="442">
        <f t="shared" si="1108"/>
        <v>0</v>
      </c>
      <c r="AD91" s="443">
        <f t="shared" si="1109"/>
        <v>0</v>
      </c>
      <c r="AE91" s="440">
        <f t="shared" si="1110"/>
        <v>0</v>
      </c>
      <c r="AF91" s="441">
        <f t="shared" si="1111"/>
        <v>0</v>
      </c>
      <c r="AG91" s="442">
        <f t="shared" si="1112"/>
        <v>0</v>
      </c>
      <c r="AH91" s="442">
        <f t="shared" si="1113"/>
        <v>0</v>
      </c>
      <c r="AI91" s="443">
        <f t="shared" si="1114"/>
        <v>0</v>
      </c>
      <c r="AJ91" s="440">
        <f t="shared" si="1115"/>
        <v>0</v>
      </c>
      <c r="AK91" s="441">
        <f t="shared" si="1116"/>
        <v>0</v>
      </c>
      <c r="AL91" s="442">
        <f t="shared" si="1117"/>
        <v>0</v>
      </c>
      <c r="AM91" s="442">
        <f t="shared" si="1118"/>
        <v>0</v>
      </c>
      <c r="AN91" s="443">
        <f t="shared" si="1119"/>
        <v>0</v>
      </c>
      <c r="AO91" s="440">
        <f t="shared" si="1120"/>
        <v>0</v>
      </c>
      <c r="AP91" s="441">
        <f t="shared" si="1121"/>
        <v>0</v>
      </c>
      <c r="AQ91" s="442">
        <f t="shared" si="1122"/>
        <v>0</v>
      </c>
      <c r="AR91" s="442">
        <f t="shared" si="1123"/>
        <v>0</v>
      </c>
      <c r="AS91" s="443">
        <f t="shared" si="1124"/>
        <v>0</v>
      </c>
      <c r="AT91" s="440">
        <f t="shared" si="1125"/>
        <v>0</v>
      </c>
      <c r="AU91" s="441">
        <f t="shared" si="1126"/>
        <v>0</v>
      </c>
      <c r="AV91" s="442">
        <f t="shared" si="1127"/>
        <v>0</v>
      </c>
      <c r="AW91" s="442">
        <f t="shared" si="1128"/>
        <v>0</v>
      </c>
      <c r="AX91" s="443">
        <f t="shared" si="1129"/>
        <v>0</v>
      </c>
      <c r="AY91" s="440">
        <f t="shared" si="1130"/>
        <v>0</v>
      </c>
      <c r="AZ91" s="441">
        <f t="shared" si="1131"/>
        <v>0</v>
      </c>
      <c r="BA91" s="442">
        <f t="shared" si="1132"/>
        <v>0</v>
      </c>
      <c r="BB91" s="442">
        <f t="shared" si="1133"/>
        <v>0</v>
      </c>
      <c r="BC91" s="443">
        <f t="shared" si="1134"/>
        <v>0</v>
      </c>
      <c r="BD91" s="440">
        <f t="shared" si="1135"/>
        <v>0</v>
      </c>
      <c r="BE91" s="441">
        <f t="shared" si="1136"/>
        <v>0</v>
      </c>
      <c r="BF91" s="442">
        <f t="shared" si="1137"/>
        <v>0</v>
      </c>
      <c r="BG91" s="442">
        <f t="shared" si="1138"/>
        <v>0</v>
      </c>
      <c r="BH91" s="443">
        <f t="shared" si="1139"/>
        <v>0</v>
      </c>
      <c r="BI91" s="440">
        <f t="shared" si="1140"/>
        <v>0</v>
      </c>
      <c r="BJ91" s="441">
        <f t="shared" si="1141"/>
        <v>0</v>
      </c>
      <c r="BK91" s="442">
        <f t="shared" si="1142"/>
        <v>0</v>
      </c>
      <c r="BL91" s="442">
        <f t="shared" si="1143"/>
        <v>0</v>
      </c>
      <c r="BM91" s="443">
        <f t="shared" si="1144"/>
        <v>0</v>
      </c>
      <c r="BN91" s="440">
        <f t="shared" si="1145"/>
        <v>0</v>
      </c>
      <c r="BO91" s="470"/>
      <c r="BP91" s="441">
        <f t="shared" si="1146"/>
        <v>0</v>
      </c>
      <c r="BQ91" s="442">
        <f t="shared" si="1147"/>
        <v>0</v>
      </c>
      <c r="BR91" s="442">
        <f t="shared" si="1148"/>
        <v>0</v>
      </c>
      <c r="BS91" s="443">
        <f t="shared" si="1149"/>
        <v>0</v>
      </c>
      <c r="BT91" s="440">
        <f t="shared" si="1150"/>
        <v>0</v>
      </c>
      <c r="BU91" s="441">
        <f t="shared" si="1151"/>
        <v>0</v>
      </c>
      <c r="BV91" s="442">
        <f t="shared" si="1152"/>
        <v>0</v>
      </c>
      <c r="BW91" s="442">
        <f t="shared" si="1153"/>
        <v>0</v>
      </c>
      <c r="BX91" s="443">
        <f t="shared" si="1154"/>
        <v>0</v>
      </c>
      <c r="BY91" s="440">
        <f t="shared" si="1155"/>
        <v>0</v>
      </c>
      <c r="BZ91" s="441">
        <f t="shared" si="1156"/>
        <v>0</v>
      </c>
      <c r="CA91" s="442">
        <f t="shared" si="1157"/>
        <v>0</v>
      </c>
      <c r="CB91" s="442">
        <f t="shared" si="1158"/>
        <v>0</v>
      </c>
      <c r="CC91" s="443">
        <f t="shared" si="1159"/>
        <v>0</v>
      </c>
      <c r="CD91" s="440">
        <f t="shared" si="1160"/>
        <v>0</v>
      </c>
      <c r="CE91" s="441">
        <f t="shared" si="1161"/>
        <v>0</v>
      </c>
      <c r="CF91" s="442">
        <f t="shared" si="1162"/>
        <v>0</v>
      </c>
      <c r="CG91" s="442">
        <f t="shared" si="1163"/>
        <v>0</v>
      </c>
      <c r="CH91" s="443">
        <f t="shared" si="1164"/>
        <v>0</v>
      </c>
      <c r="CI91" s="440">
        <f t="shared" si="1165"/>
        <v>0</v>
      </c>
      <c r="CJ91" s="441">
        <f t="shared" si="1166"/>
        <v>0</v>
      </c>
      <c r="CK91" s="442">
        <f t="shared" si="1167"/>
        <v>0</v>
      </c>
      <c r="CL91" s="442">
        <f t="shared" si="1168"/>
        <v>0</v>
      </c>
      <c r="CM91" s="443">
        <f t="shared" si="1169"/>
        <v>0</v>
      </c>
      <c r="CN91" s="440">
        <f t="shared" si="1170"/>
        <v>0</v>
      </c>
      <c r="CO91" s="441">
        <f t="shared" si="1171"/>
        <v>0</v>
      </c>
      <c r="CP91" s="442">
        <f t="shared" si="1172"/>
        <v>0</v>
      </c>
      <c r="CQ91" s="442">
        <f t="shared" si="1173"/>
        <v>0</v>
      </c>
      <c r="CR91" s="443">
        <f t="shared" si="1174"/>
        <v>0</v>
      </c>
      <c r="CS91" s="440">
        <f t="shared" si="1175"/>
        <v>0</v>
      </c>
      <c r="CT91" s="441">
        <f t="shared" si="1176"/>
        <v>0</v>
      </c>
      <c r="CU91" s="442">
        <f t="shared" si="1177"/>
        <v>0</v>
      </c>
      <c r="CV91" s="442">
        <f t="shared" si="1178"/>
        <v>0</v>
      </c>
      <c r="CW91" s="443">
        <f t="shared" si="1179"/>
        <v>0</v>
      </c>
      <c r="CX91" s="440">
        <f t="shared" si="1180"/>
        <v>0</v>
      </c>
      <c r="CY91" s="441">
        <f t="shared" si="1181"/>
        <v>0</v>
      </c>
      <c r="CZ91" s="442">
        <f t="shared" si="1182"/>
        <v>0</v>
      </c>
      <c r="DA91" s="442">
        <f t="shared" si="1183"/>
        <v>0</v>
      </c>
      <c r="DB91" s="443">
        <f t="shared" si="1184"/>
        <v>0</v>
      </c>
      <c r="DC91" s="440">
        <f t="shared" si="1185"/>
        <v>0</v>
      </c>
      <c r="DD91" s="441">
        <f t="shared" si="1186"/>
        <v>0</v>
      </c>
      <c r="DE91" s="442">
        <f t="shared" si="1187"/>
        <v>0</v>
      </c>
      <c r="DF91" s="442">
        <f t="shared" si="1188"/>
        <v>0</v>
      </c>
      <c r="DG91" s="443">
        <f t="shared" si="1189"/>
        <v>0</v>
      </c>
      <c r="DH91" s="440">
        <f t="shared" si="1190"/>
        <v>0</v>
      </c>
      <c r="DI91" s="441">
        <f t="shared" si="1191"/>
        <v>0</v>
      </c>
      <c r="DJ91" s="442">
        <f t="shared" si="1192"/>
        <v>0</v>
      </c>
      <c r="DK91" s="442">
        <f t="shared" si="1193"/>
        <v>0</v>
      </c>
      <c r="DL91" s="443">
        <f t="shared" si="1194"/>
        <v>0</v>
      </c>
      <c r="DM91" s="440">
        <f t="shared" si="1195"/>
        <v>0</v>
      </c>
      <c r="DN91" s="441">
        <f t="shared" si="1196"/>
        <v>0</v>
      </c>
      <c r="DO91" s="442">
        <f t="shared" si="1197"/>
        <v>0</v>
      </c>
      <c r="DP91" s="442">
        <f t="shared" si="1198"/>
        <v>0</v>
      </c>
      <c r="DQ91" s="443">
        <f t="shared" si="1199"/>
        <v>0</v>
      </c>
      <c r="DR91" s="440">
        <f t="shared" si="1200"/>
        <v>0</v>
      </c>
    </row>
    <row r="92" spans="3:122" ht="12.75" customHeight="1">
      <c r="C92" s="1957" t="s">
        <v>1018</v>
      </c>
      <c r="D92" s="395"/>
      <c r="E92" s="865">
        <f t="shared" si="1090"/>
        <v>99.1</v>
      </c>
      <c r="F92" s="1945">
        <v>99.1</v>
      </c>
      <c r="G92" s="1945">
        <v>99.1</v>
      </c>
      <c r="H92" s="1308">
        <v>2033</v>
      </c>
      <c r="I92" s="1948">
        <v>3.7499999999999999E-2</v>
      </c>
      <c r="J92" s="1357">
        <v>7</v>
      </c>
      <c r="K92" s="549"/>
      <c r="L92" s="441">
        <f t="shared" si="1091"/>
        <v>0</v>
      </c>
      <c r="M92" s="442">
        <f t="shared" si="1092"/>
        <v>0</v>
      </c>
      <c r="N92" s="442">
        <f t="shared" si="1093"/>
        <v>0</v>
      </c>
      <c r="O92" s="443">
        <f t="shared" si="1094"/>
        <v>0</v>
      </c>
      <c r="P92" s="440">
        <f t="shared" si="1095"/>
        <v>0</v>
      </c>
      <c r="Q92" s="441">
        <f t="shared" si="1096"/>
        <v>0</v>
      </c>
      <c r="R92" s="442">
        <f t="shared" si="1097"/>
        <v>0</v>
      </c>
      <c r="S92" s="442">
        <f t="shared" si="1098"/>
        <v>0</v>
      </c>
      <c r="T92" s="443">
        <f t="shared" si="1099"/>
        <v>0</v>
      </c>
      <c r="U92" s="440">
        <f t="shared" si="1100"/>
        <v>0</v>
      </c>
      <c r="V92" s="441">
        <f t="shared" si="1101"/>
        <v>0</v>
      </c>
      <c r="W92" s="442">
        <f t="shared" si="1102"/>
        <v>0</v>
      </c>
      <c r="X92" s="442">
        <f t="shared" si="1103"/>
        <v>0</v>
      </c>
      <c r="Y92" s="443">
        <f t="shared" si="1104"/>
        <v>0</v>
      </c>
      <c r="Z92" s="440">
        <f t="shared" si="1105"/>
        <v>0</v>
      </c>
      <c r="AA92" s="441">
        <f t="shared" si="1106"/>
        <v>0</v>
      </c>
      <c r="AB92" s="442">
        <f t="shared" si="1107"/>
        <v>0</v>
      </c>
      <c r="AC92" s="442">
        <f t="shared" si="1108"/>
        <v>0</v>
      </c>
      <c r="AD92" s="443">
        <f t="shared" si="1109"/>
        <v>0</v>
      </c>
      <c r="AE92" s="440">
        <f t="shared" si="1110"/>
        <v>0</v>
      </c>
      <c r="AF92" s="441">
        <f t="shared" si="1111"/>
        <v>0</v>
      </c>
      <c r="AG92" s="442">
        <f t="shared" si="1112"/>
        <v>0</v>
      </c>
      <c r="AH92" s="442">
        <f t="shared" si="1113"/>
        <v>0</v>
      </c>
      <c r="AI92" s="443">
        <f t="shared" si="1114"/>
        <v>0</v>
      </c>
      <c r="AJ92" s="440">
        <f t="shared" si="1115"/>
        <v>0</v>
      </c>
      <c r="AK92" s="441">
        <f t="shared" si="1116"/>
        <v>0</v>
      </c>
      <c r="AL92" s="442">
        <f t="shared" si="1117"/>
        <v>0</v>
      </c>
      <c r="AM92" s="442">
        <f t="shared" si="1118"/>
        <v>0</v>
      </c>
      <c r="AN92" s="443">
        <f t="shared" si="1119"/>
        <v>0</v>
      </c>
      <c r="AO92" s="440">
        <f t="shared" si="1120"/>
        <v>0</v>
      </c>
      <c r="AP92" s="441">
        <f t="shared" si="1121"/>
        <v>0</v>
      </c>
      <c r="AQ92" s="442">
        <f t="shared" si="1122"/>
        <v>0</v>
      </c>
      <c r="AR92" s="442">
        <f t="shared" si="1123"/>
        <v>0</v>
      </c>
      <c r="AS92" s="443">
        <f t="shared" si="1124"/>
        <v>0</v>
      </c>
      <c r="AT92" s="440">
        <f t="shared" si="1125"/>
        <v>0</v>
      </c>
      <c r="AU92" s="441">
        <f t="shared" si="1126"/>
        <v>0</v>
      </c>
      <c r="AV92" s="442">
        <f t="shared" si="1127"/>
        <v>0</v>
      </c>
      <c r="AW92" s="442">
        <f t="shared" si="1128"/>
        <v>0</v>
      </c>
      <c r="AX92" s="443">
        <f t="shared" si="1129"/>
        <v>0</v>
      </c>
      <c r="AY92" s="440">
        <f t="shared" si="1130"/>
        <v>0</v>
      </c>
      <c r="AZ92" s="441">
        <f t="shared" si="1131"/>
        <v>0</v>
      </c>
      <c r="BA92" s="442">
        <f t="shared" si="1132"/>
        <v>0</v>
      </c>
      <c r="BB92" s="442">
        <f t="shared" si="1133"/>
        <v>0</v>
      </c>
      <c r="BC92" s="443">
        <f t="shared" si="1134"/>
        <v>0</v>
      </c>
      <c r="BD92" s="440">
        <f t="shared" si="1135"/>
        <v>0</v>
      </c>
      <c r="BE92" s="441">
        <f t="shared" si="1136"/>
        <v>0</v>
      </c>
      <c r="BF92" s="442">
        <f t="shared" si="1137"/>
        <v>0</v>
      </c>
      <c r="BG92" s="442">
        <f t="shared" si="1138"/>
        <v>0</v>
      </c>
      <c r="BH92" s="443">
        <f t="shared" si="1139"/>
        <v>0</v>
      </c>
      <c r="BI92" s="440">
        <f t="shared" si="1140"/>
        <v>0</v>
      </c>
      <c r="BJ92" s="441">
        <f t="shared" si="1141"/>
        <v>0</v>
      </c>
      <c r="BK92" s="442">
        <f t="shared" si="1142"/>
        <v>0</v>
      </c>
      <c r="BL92" s="442">
        <f t="shared" si="1143"/>
        <v>0</v>
      </c>
      <c r="BM92" s="443">
        <f t="shared" si="1144"/>
        <v>0</v>
      </c>
      <c r="BN92" s="440">
        <f t="shared" si="1145"/>
        <v>0</v>
      </c>
      <c r="BO92" s="470"/>
      <c r="BP92" s="441">
        <f t="shared" si="1146"/>
        <v>0</v>
      </c>
      <c r="BQ92" s="442">
        <f t="shared" si="1147"/>
        <v>0</v>
      </c>
      <c r="BR92" s="442">
        <f t="shared" si="1148"/>
        <v>0</v>
      </c>
      <c r="BS92" s="443">
        <f t="shared" si="1149"/>
        <v>0</v>
      </c>
      <c r="BT92" s="440">
        <f t="shared" si="1150"/>
        <v>0</v>
      </c>
      <c r="BU92" s="441">
        <f t="shared" si="1151"/>
        <v>0</v>
      </c>
      <c r="BV92" s="442">
        <f t="shared" si="1152"/>
        <v>0</v>
      </c>
      <c r="BW92" s="442">
        <f t="shared" si="1153"/>
        <v>0</v>
      </c>
      <c r="BX92" s="443">
        <f t="shared" si="1154"/>
        <v>0</v>
      </c>
      <c r="BY92" s="440">
        <f t="shared" si="1155"/>
        <v>0</v>
      </c>
      <c r="BZ92" s="441">
        <f t="shared" si="1156"/>
        <v>0</v>
      </c>
      <c r="CA92" s="442">
        <f t="shared" si="1157"/>
        <v>0</v>
      </c>
      <c r="CB92" s="442">
        <f t="shared" si="1158"/>
        <v>0</v>
      </c>
      <c r="CC92" s="443">
        <f t="shared" si="1159"/>
        <v>0</v>
      </c>
      <c r="CD92" s="440">
        <f t="shared" si="1160"/>
        <v>0</v>
      </c>
      <c r="CE92" s="441">
        <f t="shared" si="1161"/>
        <v>0</v>
      </c>
      <c r="CF92" s="442">
        <f t="shared" si="1162"/>
        <v>0</v>
      </c>
      <c r="CG92" s="442">
        <f t="shared" si="1163"/>
        <v>0</v>
      </c>
      <c r="CH92" s="443">
        <f t="shared" si="1164"/>
        <v>0</v>
      </c>
      <c r="CI92" s="440">
        <f t="shared" si="1165"/>
        <v>0</v>
      </c>
      <c r="CJ92" s="441">
        <f t="shared" si="1166"/>
        <v>0</v>
      </c>
      <c r="CK92" s="442">
        <f t="shared" si="1167"/>
        <v>0</v>
      </c>
      <c r="CL92" s="442">
        <f t="shared" si="1168"/>
        <v>0</v>
      </c>
      <c r="CM92" s="443">
        <f t="shared" si="1169"/>
        <v>0</v>
      </c>
      <c r="CN92" s="440">
        <f t="shared" si="1170"/>
        <v>0</v>
      </c>
      <c r="CO92" s="441">
        <f t="shared" si="1171"/>
        <v>0</v>
      </c>
      <c r="CP92" s="442">
        <f t="shared" si="1172"/>
        <v>0</v>
      </c>
      <c r="CQ92" s="442">
        <f t="shared" si="1173"/>
        <v>0</v>
      </c>
      <c r="CR92" s="443">
        <f t="shared" si="1174"/>
        <v>0</v>
      </c>
      <c r="CS92" s="440">
        <f t="shared" si="1175"/>
        <v>0</v>
      </c>
      <c r="CT92" s="441">
        <f t="shared" si="1176"/>
        <v>0</v>
      </c>
      <c r="CU92" s="442">
        <f t="shared" si="1177"/>
        <v>0</v>
      </c>
      <c r="CV92" s="442">
        <f t="shared" si="1178"/>
        <v>0</v>
      </c>
      <c r="CW92" s="443">
        <f t="shared" si="1179"/>
        <v>0</v>
      </c>
      <c r="CX92" s="440">
        <f t="shared" si="1180"/>
        <v>0</v>
      </c>
      <c r="CY92" s="441">
        <f t="shared" si="1181"/>
        <v>0</v>
      </c>
      <c r="CZ92" s="442">
        <f t="shared" si="1182"/>
        <v>0</v>
      </c>
      <c r="DA92" s="442">
        <f t="shared" si="1183"/>
        <v>0</v>
      </c>
      <c r="DB92" s="443">
        <f t="shared" si="1184"/>
        <v>0</v>
      </c>
      <c r="DC92" s="440">
        <f t="shared" si="1185"/>
        <v>0</v>
      </c>
      <c r="DD92" s="441">
        <f t="shared" si="1186"/>
        <v>0</v>
      </c>
      <c r="DE92" s="442">
        <f t="shared" si="1187"/>
        <v>0</v>
      </c>
      <c r="DF92" s="442">
        <f t="shared" si="1188"/>
        <v>0</v>
      </c>
      <c r="DG92" s="443">
        <f t="shared" si="1189"/>
        <v>0</v>
      </c>
      <c r="DH92" s="440">
        <f t="shared" si="1190"/>
        <v>0</v>
      </c>
      <c r="DI92" s="441">
        <f t="shared" si="1191"/>
        <v>0</v>
      </c>
      <c r="DJ92" s="442">
        <f t="shared" si="1192"/>
        <v>0</v>
      </c>
      <c r="DK92" s="442">
        <f t="shared" si="1193"/>
        <v>0</v>
      </c>
      <c r="DL92" s="443">
        <f t="shared" si="1194"/>
        <v>0</v>
      </c>
      <c r="DM92" s="440">
        <f t="shared" si="1195"/>
        <v>0</v>
      </c>
      <c r="DN92" s="441">
        <f t="shared" si="1196"/>
        <v>0</v>
      </c>
      <c r="DO92" s="442">
        <f t="shared" si="1197"/>
        <v>0</v>
      </c>
      <c r="DP92" s="442">
        <f t="shared" si="1198"/>
        <v>0</v>
      </c>
      <c r="DQ92" s="443">
        <f t="shared" si="1199"/>
        <v>0</v>
      </c>
      <c r="DR92" s="440">
        <f t="shared" si="1200"/>
        <v>0</v>
      </c>
    </row>
    <row r="93" spans="3:122" ht="12.75" customHeight="1">
      <c r="C93" s="1590" t="s">
        <v>1015</v>
      </c>
      <c r="D93" s="395"/>
      <c r="E93" s="865">
        <f t="shared" si="1090"/>
        <v>82.8</v>
      </c>
      <c r="F93" s="1945">
        <v>82.8</v>
      </c>
      <c r="G93" s="1945">
        <v>82.8</v>
      </c>
      <c r="H93" s="1308">
        <v>2034</v>
      </c>
      <c r="I93" s="1948">
        <v>0.04</v>
      </c>
      <c r="J93" s="1357">
        <v>1</v>
      </c>
      <c r="K93" s="549"/>
      <c r="L93" s="441">
        <f t="shared" si="1091"/>
        <v>0</v>
      </c>
      <c r="M93" s="442">
        <f t="shared" si="1092"/>
        <v>0</v>
      </c>
      <c r="N93" s="442">
        <f t="shared" si="1093"/>
        <v>0</v>
      </c>
      <c r="O93" s="443">
        <f t="shared" si="1094"/>
        <v>0</v>
      </c>
      <c r="P93" s="440">
        <f t="shared" si="1095"/>
        <v>0</v>
      </c>
      <c r="Q93" s="441">
        <f t="shared" si="1096"/>
        <v>0</v>
      </c>
      <c r="R93" s="442">
        <f t="shared" si="1097"/>
        <v>0</v>
      </c>
      <c r="S93" s="442">
        <f t="shared" si="1098"/>
        <v>0</v>
      </c>
      <c r="T93" s="443">
        <f t="shared" si="1099"/>
        <v>0</v>
      </c>
      <c r="U93" s="440">
        <f t="shared" si="1100"/>
        <v>0</v>
      </c>
      <c r="V93" s="441">
        <f t="shared" si="1101"/>
        <v>0</v>
      </c>
      <c r="W93" s="442">
        <f t="shared" si="1102"/>
        <v>0</v>
      </c>
      <c r="X93" s="442">
        <f t="shared" si="1103"/>
        <v>0</v>
      </c>
      <c r="Y93" s="443">
        <f t="shared" si="1104"/>
        <v>0</v>
      </c>
      <c r="Z93" s="440">
        <f t="shared" si="1105"/>
        <v>0</v>
      </c>
      <c r="AA93" s="441">
        <f t="shared" si="1106"/>
        <v>0</v>
      </c>
      <c r="AB93" s="442">
        <f t="shared" si="1107"/>
        <v>0</v>
      </c>
      <c r="AC93" s="442">
        <f t="shared" si="1108"/>
        <v>0</v>
      </c>
      <c r="AD93" s="443">
        <f t="shared" si="1109"/>
        <v>0</v>
      </c>
      <c r="AE93" s="440">
        <f t="shared" si="1110"/>
        <v>0</v>
      </c>
      <c r="AF93" s="441">
        <f t="shared" si="1111"/>
        <v>0</v>
      </c>
      <c r="AG93" s="442">
        <f t="shared" si="1112"/>
        <v>0</v>
      </c>
      <c r="AH93" s="442">
        <f t="shared" si="1113"/>
        <v>0</v>
      </c>
      <c r="AI93" s="443">
        <f t="shared" si="1114"/>
        <v>0</v>
      </c>
      <c r="AJ93" s="440">
        <f t="shared" si="1115"/>
        <v>0</v>
      </c>
      <c r="AK93" s="441">
        <f t="shared" si="1116"/>
        <v>0</v>
      </c>
      <c r="AL93" s="442">
        <f t="shared" si="1117"/>
        <v>0</v>
      </c>
      <c r="AM93" s="442">
        <f t="shared" si="1118"/>
        <v>0</v>
      </c>
      <c r="AN93" s="443">
        <f t="shared" si="1119"/>
        <v>0</v>
      </c>
      <c r="AO93" s="440">
        <f t="shared" si="1120"/>
        <v>0</v>
      </c>
      <c r="AP93" s="441">
        <f t="shared" si="1121"/>
        <v>0</v>
      </c>
      <c r="AQ93" s="442">
        <f t="shared" si="1122"/>
        <v>0</v>
      </c>
      <c r="AR93" s="442">
        <f t="shared" si="1123"/>
        <v>0</v>
      </c>
      <c r="AS93" s="443">
        <f t="shared" si="1124"/>
        <v>0</v>
      </c>
      <c r="AT93" s="440">
        <f t="shared" si="1125"/>
        <v>0</v>
      </c>
      <c r="AU93" s="441">
        <f t="shared" si="1126"/>
        <v>0</v>
      </c>
      <c r="AV93" s="442">
        <f t="shared" si="1127"/>
        <v>0</v>
      </c>
      <c r="AW93" s="442">
        <f t="shared" si="1128"/>
        <v>0</v>
      </c>
      <c r="AX93" s="443">
        <f t="shared" si="1129"/>
        <v>0</v>
      </c>
      <c r="AY93" s="440">
        <f t="shared" si="1130"/>
        <v>0</v>
      </c>
      <c r="AZ93" s="441">
        <f t="shared" si="1131"/>
        <v>0</v>
      </c>
      <c r="BA93" s="442">
        <f t="shared" si="1132"/>
        <v>0</v>
      </c>
      <c r="BB93" s="442">
        <f t="shared" si="1133"/>
        <v>0</v>
      </c>
      <c r="BC93" s="443">
        <f t="shared" si="1134"/>
        <v>0</v>
      </c>
      <c r="BD93" s="440">
        <f t="shared" si="1135"/>
        <v>0</v>
      </c>
      <c r="BE93" s="441">
        <f t="shared" si="1136"/>
        <v>0</v>
      </c>
      <c r="BF93" s="442">
        <f t="shared" si="1137"/>
        <v>0</v>
      </c>
      <c r="BG93" s="442">
        <f t="shared" si="1138"/>
        <v>0</v>
      </c>
      <c r="BH93" s="443">
        <f t="shared" si="1139"/>
        <v>0</v>
      </c>
      <c r="BI93" s="440">
        <f t="shared" si="1140"/>
        <v>0</v>
      </c>
      <c r="BJ93" s="441">
        <f t="shared" si="1141"/>
        <v>0</v>
      </c>
      <c r="BK93" s="442">
        <f t="shared" si="1142"/>
        <v>0</v>
      </c>
      <c r="BL93" s="442">
        <f t="shared" si="1143"/>
        <v>0</v>
      </c>
      <c r="BM93" s="443">
        <f t="shared" si="1144"/>
        <v>0</v>
      </c>
      <c r="BN93" s="440">
        <f t="shared" si="1145"/>
        <v>0</v>
      </c>
      <c r="BO93" s="470"/>
      <c r="BP93" s="441">
        <f t="shared" si="1146"/>
        <v>0</v>
      </c>
      <c r="BQ93" s="442">
        <f t="shared" si="1147"/>
        <v>0</v>
      </c>
      <c r="BR93" s="442">
        <f t="shared" si="1148"/>
        <v>0</v>
      </c>
      <c r="BS93" s="443">
        <f t="shared" si="1149"/>
        <v>0</v>
      </c>
      <c r="BT93" s="440">
        <f t="shared" si="1150"/>
        <v>0</v>
      </c>
      <c r="BU93" s="441">
        <f t="shared" si="1151"/>
        <v>0</v>
      </c>
      <c r="BV93" s="442">
        <f t="shared" si="1152"/>
        <v>0</v>
      </c>
      <c r="BW93" s="442">
        <f t="shared" si="1153"/>
        <v>0</v>
      </c>
      <c r="BX93" s="443">
        <f t="shared" si="1154"/>
        <v>0</v>
      </c>
      <c r="BY93" s="440">
        <f t="shared" si="1155"/>
        <v>0</v>
      </c>
      <c r="BZ93" s="441">
        <f t="shared" si="1156"/>
        <v>0</v>
      </c>
      <c r="CA93" s="442">
        <f t="shared" si="1157"/>
        <v>0</v>
      </c>
      <c r="CB93" s="442">
        <f t="shared" si="1158"/>
        <v>0</v>
      </c>
      <c r="CC93" s="443">
        <f t="shared" si="1159"/>
        <v>0</v>
      </c>
      <c r="CD93" s="440">
        <f t="shared" si="1160"/>
        <v>0</v>
      </c>
      <c r="CE93" s="441">
        <f t="shared" si="1161"/>
        <v>0</v>
      </c>
      <c r="CF93" s="442">
        <f t="shared" si="1162"/>
        <v>0</v>
      </c>
      <c r="CG93" s="442">
        <f t="shared" si="1163"/>
        <v>0</v>
      </c>
      <c r="CH93" s="443">
        <f t="shared" si="1164"/>
        <v>0</v>
      </c>
      <c r="CI93" s="440">
        <f t="shared" si="1165"/>
        <v>0</v>
      </c>
      <c r="CJ93" s="441">
        <f t="shared" si="1166"/>
        <v>0</v>
      </c>
      <c r="CK93" s="442">
        <f t="shared" si="1167"/>
        <v>0</v>
      </c>
      <c r="CL93" s="442">
        <f t="shared" si="1168"/>
        <v>0</v>
      </c>
      <c r="CM93" s="443">
        <f t="shared" si="1169"/>
        <v>0</v>
      </c>
      <c r="CN93" s="440">
        <f t="shared" si="1170"/>
        <v>0</v>
      </c>
      <c r="CO93" s="441">
        <f t="shared" si="1171"/>
        <v>0</v>
      </c>
      <c r="CP93" s="442">
        <f t="shared" si="1172"/>
        <v>0</v>
      </c>
      <c r="CQ93" s="442">
        <f t="shared" si="1173"/>
        <v>0</v>
      </c>
      <c r="CR93" s="443">
        <f t="shared" si="1174"/>
        <v>0</v>
      </c>
      <c r="CS93" s="440">
        <f t="shared" si="1175"/>
        <v>0</v>
      </c>
      <c r="CT93" s="441">
        <f t="shared" si="1176"/>
        <v>0</v>
      </c>
      <c r="CU93" s="442">
        <f t="shared" si="1177"/>
        <v>0</v>
      </c>
      <c r="CV93" s="442">
        <f t="shared" si="1178"/>
        <v>0</v>
      </c>
      <c r="CW93" s="443">
        <f t="shared" si="1179"/>
        <v>0</v>
      </c>
      <c r="CX93" s="440">
        <f t="shared" si="1180"/>
        <v>0</v>
      </c>
      <c r="CY93" s="441">
        <f t="shared" si="1181"/>
        <v>0</v>
      </c>
      <c r="CZ93" s="442">
        <f t="shared" si="1182"/>
        <v>0</v>
      </c>
      <c r="DA93" s="442">
        <f t="shared" si="1183"/>
        <v>0</v>
      </c>
      <c r="DB93" s="443">
        <f t="shared" si="1184"/>
        <v>0</v>
      </c>
      <c r="DC93" s="440">
        <f t="shared" si="1185"/>
        <v>0</v>
      </c>
      <c r="DD93" s="441">
        <f t="shared" si="1186"/>
        <v>0</v>
      </c>
      <c r="DE93" s="442">
        <f t="shared" si="1187"/>
        <v>0</v>
      </c>
      <c r="DF93" s="442">
        <f t="shared" si="1188"/>
        <v>0</v>
      </c>
      <c r="DG93" s="443">
        <f t="shared" si="1189"/>
        <v>0</v>
      </c>
      <c r="DH93" s="440">
        <f t="shared" si="1190"/>
        <v>0</v>
      </c>
      <c r="DI93" s="441">
        <f t="shared" si="1191"/>
        <v>0</v>
      </c>
      <c r="DJ93" s="442">
        <f t="shared" si="1192"/>
        <v>0</v>
      </c>
      <c r="DK93" s="442">
        <f t="shared" si="1193"/>
        <v>0</v>
      </c>
      <c r="DL93" s="443">
        <f t="shared" si="1194"/>
        <v>0</v>
      </c>
      <c r="DM93" s="440">
        <f t="shared" si="1195"/>
        <v>0</v>
      </c>
      <c r="DN93" s="441">
        <f t="shared" si="1196"/>
        <v>0</v>
      </c>
      <c r="DO93" s="442">
        <f t="shared" si="1197"/>
        <v>0</v>
      </c>
      <c r="DP93" s="442">
        <f t="shared" si="1198"/>
        <v>0</v>
      </c>
      <c r="DQ93" s="443">
        <f t="shared" si="1199"/>
        <v>0</v>
      </c>
      <c r="DR93" s="440">
        <f t="shared" si="1200"/>
        <v>0</v>
      </c>
    </row>
    <row r="94" spans="3:122" ht="12.75" customHeight="1">
      <c r="C94" s="1590" t="s">
        <v>1017</v>
      </c>
      <c r="D94" s="395"/>
      <c r="E94" s="865">
        <f t="shared" si="1090"/>
        <v>72.650000000000006</v>
      </c>
      <c r="F94" s="1945">
        <v>72.650000000000006</v>
      </c>
      <c r="G94" s="1945">
        <v>72.650000000000006</v>
      </c>
      <c r="H94" s="1308">
        <v>2035</v>
      </c>
      <c r="I94" s="1948">
        <v>0.04</v>
      </c>
      <c r="J94" s="1357">
        <v>1</v>
      </c>
      <c r="K94" s="549"/>
      <c r="L94" s="441">
        <f t="shared" si="1091"/>
        <v>0</v>
      </c>
      <c r="M94" s="442">
        <f t="shared" si="1092"/>
        <v>0</v>
      </c>
      <c r="N94" s="442">
        <f t="shared" si="1093"/>
        <v>0</v>
      </c>
      <c r="O94" s="443">
        <f t="shared" si="1094"/>
        <v>0</v>
      </c>
      <c r="P94" s="440">
        <f t="shared" si="1095"/>
        <v>0</v>
      </c>
      <c r="Q94" s="441">
        <f t="shared" si="1096"/>
        <v>0</v>
      </c>
      <c r="R94" s="442">
        <f t="shared" si="1097"/>
        <v>0</v>
      </c>
      <c r="S94" s="442">
        <f t="shared" si="1098"/>
        <v>0</v>
      </c>
      <c r="T94" s="443">
        <f t="shared" si="1099"/>
        <v>0</v>
      </c>
      <c r="U94" s="440">
        <f t="shared" si="1100"/>
        <v>0</v>
      </c>
      <c r="V94" s="441">
        <f t="shared" si="1101"/>
        <v>0</v>
      </c>
      <c r="W94" s="442">
        <f t="shared" si="1102"/>
        <v>0</v>
      </c>
      <c r="X94" s="442">
        <f t="shared" si="1103"/>
        <v>0</v>
      </c>
      <c r="Y94" s="443">
        <f t="shared" si="1104"/>
        <v>0</v>
      </c>
      <c r="Z94" s="440">
        <f t="shared" si="1105"/>
        <v>0</v>
      </c>
      <c r="AA94" s="441">
        <f t="shared" si="1106"/>
        <v>0</v>
      </c>
      <c r="AB94" s="442">
        <f t="shared" si="1107"/>
        <v>0</v>
      </c>
      <c r="AC94" s="442">
        <f t="shared" si="1108"/>
        <v>0</v>
      </c>
      <c r="AD94" s="443">
        <f t="shared" si="1109"/>
        <v>0</v>
      </c>
      <c r="AE94" s="440">
        <f t="shared" si="1110"/>
        <v>0</v>
      </c>
      <c r="AF94" s="441">
        <f t="shared" si="1111"/>
        <v>0</v>
      </c>
      <c r="AG94" s="442">
        <f t="shared" si="1112"/>
        <v>0</v>
      </c>
      <c r="AH94" s="442">
        <f t="shared" si="1113"/>
        <v>0</v>
      </c>
      <c r="AI94" s="443">
        <f t="shared" si="1114"/>
        <v>0</v>
      </c>
      <c r="AJ94" s="440">
        <f t="shared" si="1115"/>
        <v>0</v>
      </c>
      <c r="AK94" s="441">
        <f t="shared" si="1116"/>
        <v>0</v>
      </c>
      <c r="AL94" s="442">
        <f t="shared" si="1117"/>
        <v>0</v>
      </c>
      <c r="AM94" s="442">
        <f t="shared" si="1118"/>
        <v>0</v>
      </c>
      <c r="AN94" s="443">
        <f t="shared" si="1119"/>
        <v>0</v>
      </c>
      <c r="AO94" s="440">
        <f t="shared" si="1120"/>
        <v>0</v>
      </c>
      <c r="AP94" s="441">
        <f t="shared" si="1121"/>
        <v>0</v>
      </c>
      <c r="AQ94" s="442">
        <f t="shared" si="1122"/>
        <v>0</v>
      </c>
      <c r="AR94" s="442">
        <f t="shared" si="1123"/>
        <v>0</v>
      </c>
      <c r="AS94" s="443">
        <f t="shared" si="1124"/>
        <v>0</v>
      </c>
      <c r="AT94" s="440">
        <f t="shared" si="1125"/>
        <v>0</v>
      </c>
      <c r="AU94" s="441">
        <f t="shared" si="1126"/>
        <v>0</v>
      </c>
      <c r="AV94" s="442">
        <f t="shared" si="1127"/>
        <v>0</v>
      </c>
      <c r="AW94" s="442">
        <f t="shared" si="1128"/>
        <v>0</v>
      </c>
      <c r="AX94" s="443">
        <f t="shared" si="1129"/>
        <v>0</v>
      </c>
      <c r="AY94" s="440">
        <f t="shared" si="1130"/>
        <v>0</v>
      </c>
      <c r="AZ94" s="441">
        <f t="shared" si="1131"/>
        <v>0</v>
      </c>
      <c r="BA94" s="442">
        <f t="shared" si="1132"/>
        <v>0</v>
      </c>
      <c r="BB94" s="442">
        <f t="shared" si="1133"/>
        <v>0</v>
      </c>
      <c r="BC94" s="443">
        <f t="shared" si="1134"/>
        <v>0</v>
      </c>
      <c r="BD94" s="440">
        <f t="shared" si="1135"/>
        <v>0</v>
      </c>
      <c r="BE94" s="441">
        <f t="shared" si="1136"/>
        <v>0</v>
      </c>
      <c r="BF94" s="442">
        <f t="shared" si="1137"/>
        <v>0</v>
      </c>
      <c r="BG94" s="442">
        <f t="shared" si="1138"/>
        <v>0</v>
      </c>
      <c r="BH94" s="443">
        <f t="shared" si="1139"/>
        <v>0</v>
      </c>
      <c r="BI94" s="440">
        <f t="shared" si="1140"/>
        <v>0</v>
      </c>
      <c r="BJ94" s="441">
        <f t="shared" si="1141"/>
        <v>0</v>
      </c>
      <c r="BK94" s="442">
        <f t="shared" si="1142"/>
        <v>0</v>
      </c>
      <c r="BL94" s="442">
        <f t="shared" si="1143"/>
        <v>0</v>
      </c>
      <c r="BM94" s="443">
        <f t="shared" si="1144"/>
        <v>0</v>
      </c>
      <c r="BN94" s="440">
        <f t="shared" si="1145"/>
        <v>0</v>
      </c>
      <c r="BO94" s="470"/>
      <c r="BP94" s="441">
        <f t="shared" si="1146"/>
        <v>0</v>
      </c>
      <c r="BQ94" s="442">
        <f t="shared" si="1147"/>
        <v>0</v>
      </c>
      <c r="BR94" s="442">
        <f t="shared" si="1148"/>
        <v>0</v>
      </c>
      <c r="BS94" s="443">
        <f t="shared" si="1149"/>
        <v>0</v>
      </c>
      <c r="BT94" s="440">
        <f t="shared" si="1150"/>
        <v>0</v>
      </c>
      <c r="BU94" s="441">
        <f t="shared" si="1151"/>
        <v>0</v>
      </c>
      <c r="BV94" s="442">
        <f t="shared" si="1152"/>
        <v>0</v>
      </c>
      <c r="BW94" s="442">
        <f t="shared" si="1153"/>
        <v>0</v>
      </c>
      <c r="BX94" s="443">
        <f t="shared" si="1154"/>
        <v>0</v>
      </c>
      <c r="BY94" s="440">
        <f t="shared" si="1155"/>
        <v>0</v>
      </c>
      <c r="BZ94" s="441">
        <f t="shared" si="1156"/>
        <v>0</v>
      </c>
      <c r="CA94" s="442">
        <f t="shared" si="1157"/>
        <v>0</v>
      </c>
      <c r="CB94" s="442">
        <f t="shared" si="1158"/>
        <v>0</v>
      </c>
      <c r="CC94" s="443">
        <f t="shared" si="1159"/>
        <v>0</v>
      </c>
      <c r="CD94" s="440">
        <f t="shared" si="1160"/>
        <v>0</v>
      </c>
      <c r="CE94" s="441">
        <f t="shared" si="1161"/>
        <v>0</v>
      </c>
      <c r="CF94" s="442">
        <f t="shared" si="1162"/>
        <v>0</v>
      </c>
      <c r="CG94" s="442">
        <f t="shared" si="1163"/>
        <v>0</v>
      </c>
      <c r="CH94" s="443">
        <f t="shared" si="1164"/>
        <v>0</v>
      </c>
      <c r="CI94" s="440">
        <f t="shared" si="1165"/>
        <v>0</v>
      </c>
      <c r="CJ94" s="441">
        <f t="shared" si="1166"/>
        <v>0</v>
      </c>
      <c r="CK94" s="442">
        <f t="shared" si="1167"/>
        <v>0</v>
      </c>
      <c r="CL94" s="442">
        <f t="shared" si="1168"/>
        <v>0</v>
      </c>
      <c r="CM94" s="443">
        <f t="shared" si="1169"/>
        <v>0</v>
      </c>
      <c r="CN94" s="440">
        <f t="shared" si="1170"/>
        <v>0</v>
      </c>
      <c r="CO94" s="441">
        <f t="shared" si="1171"/>
        <v>0</v>
      </c>
      <c r="CP94" s="442">
        <f t="shared" si="1172"/>
        <v>0</v>
      </c>
      <c r="CQ94" s="442">
        <f t="shared" si="1173"/>
        <v>0</v>
      </c>
      <c r="CR94" s="443">
        <f t="shared" si="1174"/>
        <v>0</v>
      </c>
      <c r="CS94" s="440">
        <f t="shared" si="1175"/>
        <v>0</v>
      </c>
      <c r="CT94" s="441">
        <f t="shared" si="1176"/>
        <v>0</v>
      </c>
      <c r="CU94" s="442">
        <f t="shared" si="1177"/>
        <v>0</v>
      </c>
      <c r="CV94" s="442">
        <f t="shared" si="1178"/>
        <v>0</v>
      </c>
      <c r="CW94" s="443">
        <f t="shared" si="1179"/>
        <v>0</v>
      </c>
      <c r="CX94" s="440">
        <f t="shared" si="1180"/>
        <v>0</v>
      </c>
      <c r="CY94" s="441">
        <f t="shared" si="1181"/>
        <v>0</v>
      </c>
      <c r="CZ94" s="442">
        <f t="shared" si="1182"/>
        <v>0</v>
      </c>
      <c r="DA94" s="442">
        <f t="shared" si="1183"/>
        <v>0</v>
      </c>
      <c r="DB94" s="443">
        <f t="shared" si="1184"/>
        <v>0</v>
      </c>
      <c r="DC94" s="440">
        <f t="shared" si="1185"/>
        <v>0</v>
      </c>
      <c r="DD94" s="441">
        <f t="shared" si="1186"/>
        <v>0</v>
      </c>
      <c r="DE94" s="442">
        <f t="shared" si="1187"/>
        <v>0</v>
      </c>
      <c r="DF94" s="442">
        <f t="shared" si="1188"/>
        <v>0</v>
      </c>
      <c r="DG94" s="443">
        <f t="shared" si="1189"/>
        <v>0</v>
      </c>
      <c r="DH94" s="440">
        <f t="shared" si="1190"/>
        <v>0</v>
      </c>
      <c r="DI94" s="441">
        <f t="shared" si="1191"/>
        <v>0</v>
      </c>
      <c r="DJ94" s="442">
        <f t="shared" si="1192"/>
        <v>0</v>
      </c>
      <c r="DK94" s="442">
        <f t="shared" si="1193"/>
        <v>0</v>
      </c>
      <c r="DL94" s="443">
        <f t="shared" si="1194"/>
        <v>0</v>
      </c>
      <c r="DM94" s="440">
        <f t="shared" si="1195"/>
        <v>0</v>
      </c>
      <c r="DN94" s="441">
        <f t="shared" si="1196"/>
        <v>0</v>
      </c>
      <c r="DO94" s="442">
        <f t="shared" si="1197"/>
        <v>0</v>
      </c>
      <c r="DP94" s="442">
        <f t="shared" si="1198"/>
        <v>0</v>
      </c>
      <c r="DQ94" s="443">
        <f t="shared" si="1199"/>
        <v>0</v>
      </c>
      <c r="DR94" s="440">
        <f t="shared" si="1200"/>
        <v>0</v>
      </c>
    </row>
    <row r="95" spans="3:122" ht="12.75" customHeight="1">
      <c r="C95" s="1590" t="s">
        <v>1177</v>
      </c>
      <c r="D95" s="395"/>
      <c r="E95" s="865">
        <f t="shared" ref="E95:E98" si="1201">IF(F95=0,G95,F95)</f>
        <v>107.5</v>
      </c>
      <c r="F95" s="1945">
        <v>107.5</v>
      </c>
      <c r="G95" s="1945">
        <v>107.5</v>
      </c>
      <c r="H95" s="1308">
        <v>2033</v>
      </c>
      <c r="I95" s="1948">
        <v>4.3749999999999997E-2</v>
      </c>
      <c r="J95" s="1357">
        <v>6</v>
      </c>
      <c r="K95" s="549"/>
      <c r="L95" s="441">
        <f t="shared" ref="L95:L96" si="1202">IF(P95=0,0,IF(P95&lt;0,IF($J95=3,P95,IF($J95=2,P95,IF($J95=1,P95,0)))))</f>
        <v>0</v>
      </c>
      <c r="M95" s="442">
        <f t="shared" ref="M95:M96" si="1203">IF(P95=0,0,IF(P95&lt;0,IF($J95=6,P95,IF($J95=5,P95,IF($J95=4,P95,0)))))</f>
        <v>0</v>
      </c>
      <c r="N95" s="442">
        <f t="shared" ref="N95:N96" si="1204">IF(P95=0,0,IF(P95&lt;0,IF($J95=9,P95,IF($J95=8,P95,IF($J95=7,P95,0)))))</f>
        <v>0</v>
      </c>
      <c r="O95" s="443">
        <f t="shared" ref="O95:O96" si="1205">IF(P95=0,0,IF(P95&lt;0,IF($J95=12,P95,IF($J95=11,P95,IF($J95=10,P95,0)))))</f>
        <v>0</v>
      </c>
      <c r="P95" s="440">
        <f t="shared" ref="P95:P102" si="1206">IF(P$5=$H95,-$E95,0)</f>
        <v>0</v>
      </c>
      <c r="Q95" s="441">
        <f t="shared" ref="Q95:Q96" si="1207">IF(U95=0,0,IF(U95&lt;0,IF($J95=3,U95,IF($J95=2,U95,IF($J95=1,U95,0)))))</f>
        <v>0</v>
      </c>
      <c r="R95" s="442">
        <f t="shared" ref="R95:R96" si="1208">IF(U95=0,0,IF(U95&lt;0,IF($J95=6,U95,IF($J95=5,U95,IF($J95=4,U95,0)))))</f>
        <v>0</v>
      </c>
      <c r="S95" s="442">
        <f t="shared" ref="S95:S96" si="1209">IF(U95=0,0,IF(U95&lt;0,IF($J95=9,U95,IF($J95=8,U95,IF($J95=7,U95,0)))))</f>
        <v>0</v>
      </c>
      <c r="T95" s="443">
        <f t="shared" ref="T95:T96" si="1210">IF(U95=0,0,IF(U95&lt;0,IF($J95=12,U95,IF($J95=11,U95,IF($J95=10,U95,0)))))</f>
        <v>0</v>
      </c>
      <c r="U95" s="440">
        <f t="shared" ref="U95:U102" si="1211">IF(U$5=$H95,-$E95,0)</f>
        <v>0</v>
      </c>
      <c r="V95" s="441">
        <f t="shared" ref="V95:V96" si="1212">IF(Z95=0,0,IF(Z95&lt;0,IF($J95=3,Z95,IF($J95=2,Z95,IF($J95=1,Z95,0)))))</f>
        <v>0</v>
      </c>
      <c r="W95" s="442">
        <f t="shared" ref="W95:W96" si="1213">IF(Z95=0,0,IF(Z95&lt;0,IF($J95=6,Z95,IF($J95=5,Z95,IF($J95=4,Z95,0)))))</f>
        <v>0</v>
      </c>
      <c r="X95" s="442">
        <f t="shared" ref="X95:X96" si="1214">IF(Z95=0,0,IF(Z95&lt;0,IF($J95=9,Z95,IF($J95=8,Z95,IF($J95=7,Z95,0)))))</f>
        <v>0</v>
      </c>
      <c r="Y95" s="443">
        <f t="shared" ref="Y95:Y96" si="1215">IF(Z95=0,0,IF(Z95&lt;0,IF($J95=12,Z95,IF($J95=11,Z95,IF($J95=10,Z95,0)))))</f>
        <v>0</v>
      </c>
      <c r="Z95" s="440">
        <f t="shared" ref="Z95:Z102" si="1216">IF(Z$5=$H95,-$E95,0)</f>
        <v>0</v>
      </c>
      <c r="AA95" s="441">
        <f t="shared" ref="AA95:AA96" si="1217">IF(AE95=0,0,IF(AE95&lt;0,IF($J95=3,AE95,IF($J95=2,AE95,IF($J95=1,AE95,0)))))</f>
        <v>0</v>
      </c>
      <c r="AB95" s="442">
        <f t="shared" ref="AB95:AB96" si="1218">IF(AE95=0,0,IF(AE95&lt;0,IF($J95=6,AE95,IF($J95=5,AE95,IF($J95=4,AE95,0)))))</f>
        <v>0</v>
      </c>
      <c r="AC95" s="442">
        <f t="shared" ref="AC95:AC96" si="1219">IF(AE95=0,0,IF(AE95&lt;0,IF($J95=9,AE95,IF($J95=8,AE95,IF($J95=7,AE95,0)))))</f>
        <v>0</v>
      </c>
      <c r="AD95" s="443">
        <f t="shared" ref="AD95:AD96" si="1220">IF(AE95=0,0,IF(AE95&lt;0,IF($J95=12,AE95,IF($J95=11,AE95,IF($J95=10,AE95,0)))))</f>
        <v>0</v>
      </c>
      <c r="AE95" s="440">
        <f t="shared" ref="AE95:AE102" si="1221">IF(AE$5=$H95,-$E95,0)</f>
        <v>0</v>
      </c>
      <c r="AF95" s="441">
        <f t="shared" ref="AF95:AF96" si="1222">IF(AJ95=0,0,IF(AJ95&lt;0,IF($J95=3,AJ95,IF($J95=2,AJ95,IF($J95=1,AJ95,0)))))</f>
        <v>0</v>
      </c>
      <c r="AG95" s="442">
        <f t="shared" ref="AG95:AG96" si="1223">IF(AJ95=0,0,IF(AJ95&lt;0,IF($J95=6,AJ95,IF($J95=5,AJ95,IF($J95=4,AJ95,0)))))</f>
        <v>0</v>
      </c>
      <c r="AH95" s="442">
        <f t="shared" ref="AH95:AH96" si="1224">IF(AJ95=0,0,IF(AJ95&lt;0,IF($J95=9,AJ95,IF($J95=8,AJ95,IF($J95=7,AJ95,0)))))</f>
        <v>0</v>
      </c>
      <c r="AI95" s="443">
        <f t="shared" ref="AI95:AI96" si="1225">IF(AJ95=0,0,IF(AJ95&lt;0,IF($J95=12,AJ95,IF($J95=11,AJ95,IF($J95=10,AJ95,0)))))</f>
        <v>0</v>
      </c>
      <c r="AJ95" s="440">
        <f t="shared" ref="AJ95:AJ102" si="1226">IF(AJ$5=$H95,-$E95,0)</f>
        <v>0</v>
      </c>
      <c r="AK95" s="441">
        <f t="shared" ref="AK95:AK96" si="1227">IF(AO95=0,0,IF(AO95&lt;0,IF($J95=3,AO95,IF($J95=2,AO95,IF($J95=1,AO95,0)))))</f>
        <v>0</v>
      </c>
      <c r="AL95" s="442">
        <f t="shared" ref="AL95:AL96" si="1228">IF(AO95=0,0,IF(AO95&lt;0,IF($J95=6,AO95,IF($J95=5,AO95,IF($J95=4,AO95,0)))))</f>
        <v>0</v>
      </c>
      <c r="AM95" s="442">
        <f t="shared" ref="AM95:AM96" si="1229">IF(AO95=0,0,IF(AO95&lt;0,IF($J95=9,AO95,IF($J95=8,AO95,IF($J95=7,AO95,0)))))</f>
        <v>0</v>
      </c>
      <c r="AN95" s="443">
        <f t="shared" ref="AN95:AN96" si="1230">IF(AO95=0,0,IF(AO95&lt;0,IF($J95=12,AO95,IF($J95=11,AO95,IF($J95=10,AO95,0)))))</f>
        <v>0</v>
      </c>
      <c r="AO95" s="440">
        <f t="shared" ref="AO95:AO102" si="1231">IF(AO$5=$H95,-$E95,0)</f>
        <v>0</v>
      </c>
      <c r="AP95" s="441">
        <f t="shared" ref="AP95:AP96" si="1232">IF(AT95=0,0,IF(AT95&lt;0,IF($J95=3,AT95,IF($J95=2,AT95,IF($J95=1,AT95,0)))))</f>
        <v>0</v>
      </c>
      <c r="AQ95" s="442">
        <f t="shared" ref="AQ95:AQ96" si="1233">IF(AT95=0,0,IF(AT95&lt;0,IF($J95=6,AT95,IF($J95=5,AT95,IF($J95=4,AT95,0)))))</f>
        <v>0</v>
      </c>
      <c r="AR95" s="442">
        <f t="shared" ref="AR95:AR96" si="1234">IF(AT95=0,0,IF(AT95&lt;0,IF($J95=9,AT95,IF($J95=8,AT95,IF($J95=7,AT95,0)))))</f>
        <v>0</v>
      </c>
      <c r="AS95" s="443">
        <f t="shared" ref="AS95:AS96" si="1235">IF(AT95=0,0,IF(AT95&lt;0,IF($J95=12,AT95,IF($J95=11,AT95,IF($J95=10,AT95,0)))))</f>
        <v>0</v>
      </c>
      <c r="AT95" s="440">
        <f t="shared" ref="AT95:AT102" si="1236">IF(AT$5=$H95,-$E95,0)</f>
        <v>0</v>
      </c>
      <c r="AU95" s="441">
        <f t="shared" ref="AU95:AU96" si="1237">IF(AY95=0,0,IF(AY95&lt;0,IF($J95=3,AY95,IF($J95=2,AY95,IF($J95=1,AY95,0)))))</f>
        <v>0</v>
      </c>
      <c r="AV95" s="442">
        <f t="shared" ref="AV95:AV96" si="1238">IF(AY95=0,0,IF(AY95&lt;0,IF($J95=6,AY95,IF($J95=5,AY95,IF($J95=4,AY95,0)))))</f>
        <v>0</v>
      </c>
      <c r="AW95" s="442">
        <f t="shared" ref="AW95:AW96" si="1239">IF(AY95=0,0,IF(AY95&lt;0,IF($J95=9,AY95,IF($J95=8,AY95,IF($J95=7,AY95,0)))))</f>
        <v>0</v>
      </c>
      <c r="AX95" s="443">
        <f t="shared" ref="AX95:AX96" si="1240">IF(AY95=0,0,IF(AY95&lt;0,IF($J95=12,AY95,IF($J95=11,AY95,IF($J95=10,AY95,0)))))</f>
        <v>0</v>
      </c>
      <c r="AY95" s="440">
        <f t="shared" ref="AY95:AY102" si="1241">IF(AY$5=$H95,-$E95,0)</f>
        <v>0</v>
      </c>
      <c r="AZ95" s="441">
        <f t="shared" ref="AZ95:AZ96" si="1242">IF(BD95=0,0,IF(BD95&lt;0,IF($J95=3,BD95,IF($J95=2,BD95,IF($J95=1,BD95,0)))))</f>
        <v>0</v>
      </c>
      <c r="BA95" s="442">
        <f t="shared" ref="BA95:BA96" si="1243">IF(BD95=0,0,IF(BD95&lt;0,IF($J95=6,BD95,IF($J95=5,BD95,IF($J95=4,BD95,0)))))</f>
        <v>0</v>
      </c>
      <c r="BB95" s="442">
        <f t="shared" ref="BB95:BB96" si="1244">IF(BD95=0,0,IF(BD95&lt;0,IF($J95=9,BD95,IF($J95=8,BD95,IF($J95=7,BD95,0)))))</f>
        <v>0</v>
      </c>
      <c r="BC95" s="443">
        <f t="shared" ref="BC95:BC96" si="1245">IF(BD95=0,0,IF(BD95&lt;0,IF($J95=12,BD95,IF($J95=11,BD95,IF($J95=10,BD95,0)))))</f>
        <v>0</v>
      </c>
      <c r="BD95" s="440">
        <f t="shared" ref="BD95:BD102" si="1246">IF(BD$5=$H95,-$E95,0)</f>
        <v>0</v>
      </c>
      <c r="BE95" s="441">
        <f t="shared" ref="BE95:BE96" si="1247">IF(BI95=0,0,IF(BI95&lt;0,IF($J95=3,BI95,IF($J95=2,BI95,IF($J95=1,BI95,0)))))</f>
        <v>0</v>
      </c>
      <c r="BF95" s="442">
        <f t="shared" ref="BF95:BF96" si="1248">IF(BI95=0,0,IF(BI95&lt;0,IF($J95=6,BI95,IF($J95=5,BI95,IF($J95=4,BI95,0)))))</f>
        <v>0</v>
      </c>
      <c r="BG95" s="442">
        <f t="shared" ref="BG95:BG96" si="1249">IF(BI95=0,0,IF(BI95&lt;0,IF($J95=9,BI95,IF($J95=8,BI95,IF($J95=7,BI95,0)))))</f>
        <v>0</v>
      </c>
      <c r="BH95" s="443">
        <f t="shared" ref="BH95:BH96" si="1250">IF(BI95=0,0,IF(BI95&lt;0,IF($J95=12,BI95,IF($J95=11,BI95,IF($J95=10,BI95,0)))))</f>
        <v>0</v>
      </c>
      <c r="BI95" s="440">
        <f t="shared" ref="BI95:BI102" si="1251">IF(BI$5=$H95,-$E95,0)</f>
        <v>0</v>
      </c>
      <c r="BJ95" s="441">
        <f t="shared" ref="BJ95:BJ96" si="1252">IF(BN95=0,0,IF(BN95&lt;0,IF($J95=3,BN95,IF($J95=2,BN95,IF($J95=1,BN95,0)))))</f>
        <v>0</v>
      </c>
      <c r="BK95" s="442">
        <f t="shared" ref="BK95:BK96" si="1253">IF(BN95=0,0,IF(BN95&lt;0,IF($J95=6,BN95,IF($J95=5,BN95,IF($J95=4,BN95,0)))))</f>
        <v>0</v>
      </c>
      <c r="BL95" s="442">
        <f t="shared" ref="BL95:BL96" si="1254">IF(BN95=0,0,IF(BN95&lt;0,IF($J95=9,BN95,IF($J95=8,BN95,IF($J95=7,BN95,0)))))</f>
        <v>0</v>
      </c>
      <c r="BM95" s="443">
        <f t="shared" ref="BM95:BM96" si="1255">IF(BN95=0,0,IF(BN95&lt;0,IF($J95=12,BN95,IF($J95=11,BN95,IF($J95=10,BN95,0)))))</f>
        <v>0</v>
      </c>
      <c r="BN95" s="440">
        <f t="shared" ref="BN95:BN102" si="1256">IF(BN$5=$H95,-$E95,0)</f>
        <v>0</v>
      </c>
      <c r="BO95" s="470"/>
      <c r="BP95" s="441">
        <f t="shared" ref="BP95:BP98" si="1257">IF($H95&lt;&gt;BT$5,0,IF(BT95&lt;0,IF($J95=1,-$E95*$I95/12*3,IF($J95=2,-$E95*$I95/12*2,IF($J95=3,-$E95*$I95/12*1,0)))))+IF(BO$5&lt;&gt;$H95,0,IF(BO95&lt;0,IF($J95=1,-$E95*$I95/12*0,IF($J95=2,-$E95*$I95/12*1,IF($J95=3,-$E95*$I95/12*2,IF($J95&gt;=4,-$E95*$I95/12*3,0))))))</f>
        <v>0</v>
      </c>
      <c r="BQ95" s="442">
        <f t="shared" ref="BQ95:BQ98" si="1258">IF($H95&lt;&gt;BT$5,0,IF(BT95&lt;0,IF(OR($J95=1,$J95=2,$J95=3,$J95=4),-$E95*$I95/12*3,IF($J95=5,-$E95*$I95/12*2,IF($J95=6,-$E95*$I95/12*1,0)))))+IF(BO$5&lt;&gt;$H95,0,IF(BO95&lt;0,IF($J95=4,-$E95*$I95/12*0,IF($J95=5,-$E95*$I95/12*1,IF($J95=6,-$E95*$I95/12*2,IF($J95&gt;=7,-$E95*$I95/12*3,0))))))</f>
        <v>0</v>
      </c>
      <c r="BR95" s="442">
        <f t="shared" ref="BR95:BR98" si="1259">IF($H95&lt;&gt;BT$5,0,IF(BT95&lt;0,IF(OR($J95=1,$J95=2,$J95=3,$J95=4,$J95=5,$J95=6,$J95=7),-$E95*$I95/12*3,IF($J95=8,-$E95*$I95/12*2,IF($J95=9,-$E95*$I95/12*1,0)))))+IF(BO$5&lt;&gt;$H95,0,IF(BO95&lt;0,IF($J95=7,-$E95*$I95/12*0,IF($J95=8,-$E95*$I95/12*1,IF($J95=9,-$E95*$I95/12*2,IF($J95&gt;=10,-$E95*$I95/12*3,0))))))</f>
        <v>0</v>
      </c>
      <c r="BS95" s="443">
        <f t="shared" ref="BS95:BS98" si="1260">IF($H95&lt;&gt;BT$5,0,IF(BT95&lt;0,IF(OR($J95=1,$J95=2,$J95=3,$J95=4,$J95=5,$J95=6,$J95=7,$J95=8,$J95=9,$J95=10),-$E95*$I95/12*3,IF($J95=11,-$E95*$I95/12*2,IF($J95=12,-$E95*$I95/12*1,0)))))+IF(BO$5&lt;&gt;$H95,0,IF(BO95&lt;0,IF($J95=10,-$E95*$I95/12*0,IF($J95=11,-$E95*$I95/12*1,IF($J95=12,-$E95*$I95/12*2,0)))))</f>
        <v>0</v>
      </c>
      <c r="BT95" s="440">
        <f t="shared" ref="BT95:BT98" si="1261">IF(AND(BO95&lt;&gt;0,BO$5=$H95),-$I95*$E95-BO95,IF(BT$5=$H95,-$I95*$E95*(12-$J95+1)/12,0))</f>
        <v>0</v>
      </c>
      <c r="BU95" s="441">
        <f t="shared" ref="BU95:BU98" si="1262">IF($H95&lt;&gt;BY$5,0,IF(BY95&lt;0,IF($J95=1,-$E95*$I95/12*3,IF($J95=2,-$E95*$I95/12*2,IF($J95=3,-$E95*$I95/12*1,0)))))+IF(BT$5&lt;&gt;$H95,0,IF(BT95&lt;0,IF($J95=1,-$E95*$I95/12*0,IF($J95=2,-$E95*$I95/12*1,IF($J95=3,-$E95*$I95/12*2,IF($J95&gt;=4,-$E95*$I95/12*3,0))))))</f>
        <v>0</v>
      </c>
      <c r="BV95" s="442">
        <f t="shared" ref="BV95:BV98" si="1263">IF($H95&lt;&gt;BY$5,0,IF(BY95&lt;0,IF(OR($J95=1,$J95=2,$J95=3,$J95=4),-$E95*$I95/12*3,IF($J95=5,-$E95*$I95/12*2,IF($J95=6,-$E95*$I95/12*1,0)))))+IF(BT$5&lt;&gt;$H95,0,IF(BT95&lt;0,IF($J95=4,-$E95*$I95/12*0,IF($J95=5,-$E95*$I95/12*1,IF($J95=6,-$E95*$I95/12*2,IF($J95&gt;=7,-$E95*$I95/12*3,0))))))</f>
        <v>0</v>
      </c>
      <c r="BW95" s="442">
        <f t="shared" ref="BW95:BW98" si="1264">IF($H95&lt;&gt;BY$5,0,IF(BY95&lt;0,IF(OR($J95=1,$J95=2,$J95=3,$J95=4,$J95=5,$J95=6,$J95=7),-$E95*$I95/12*3,IF($J95=8,-$E95*$I95/12*2,IF($J95=9,-$E95*$I95/12*1,0)))))+IF(BT$5&lt;&gt;$H95,0,IF(BT95&lt;0,IF($J95=7,-$E95*$I95/12*0,IF($J95=8,-$E95*$I95/12*1,IF($J95=9,-$E95*$I95/12*2,IF($J95&gt;=10,-$E95*$I95/12*3,0))))))</f>
        <v>0</v>
      </c>
      <c r="BX95" s="443">
        <f t="shared" ref="BX95:BX98" si="1265">IF($H95&lt;&gt;BY$5,0,IF(BY95&lt;0,IF(OR($J95=1,$J95=2,$J95=3,$J95=4,$J95=5,$J95=6,$J95=7,$J95=8,$J95=9,$J95=10),-$E95*$I95/12*3,IF($J95=11,-$E95*$I95/12*2,IF($J95=12,-$E95*$I95/12*1,0)))))+IF(BT$5&lt;&gt;$H95,0,IF(BT95&lt;0,IF($J95=10,-$E95*$I95/12*0,IF($J95=11,-$E95*$I95/12*1,IF($J95=12,-$E95*$I95/12*2,0)))))</f>
        <v>0</v>
      </c>
      <c r="BY95" s="440">
        <f t="shared" ref="BY95:BY98" si="1266">IF(AND(BT95&lt;&gt;0,BT$5=$H95),-$I95*$E95-BT95,IF(BY$5=$H95,-$I95*$E95*(12-$J95+1)/12,0))</f>
        <v>0</v>
      </c>
      <c r="BZ95" s="441">
        <f t="shared" ref="BZ95:BZ98" si="1267">IF($H95&lt;&gt;CD$5,0,IF(CD95&lt;0,IF($J95=1,-$E95*$I95/12*3,IF($J95=2,-$E95*$I95/12*2,IF($J95=3,-$E95*$I95/12*1,0)))))+IF(BY$5&lt;&gt;$H95,0,IF(BY95&lt;0,IF($J95=1,-$E95*$I95/12*0,IF($J95=2,-$E95*$I95/12*1,IF($J95=3,-$E95*$I95/12*2,IF($J95&gt;=4,-$E95*$I95/12*3,0))))))</f>
        <v>0</v>
      </c>
      <c r="CA95" s="442">
        <f t="shared" ref="CA95:CA98" si="1268">IF($H95&lt;&gt;CD$5,0,IF(CD95&lt;0,IF(OR($J95=1,$J95=2,$J95=3,$J95=4),-$E95*$I95/12*3,IF($J95=5,-$E95*$I95/12*2,IF($J95=6,-$E95*$I95/12*1,0)))))+IF(BY$5&lt;&gt;$H95,0,IF(BY95&lt;0,IF($J95=4,-$E95*$I95/12*0,IF($J95=5,-$E95*$I95/12*1,IF($J95=6,-$E95*$I95/12*2,IF($J95&gt;=7,-$E95*$I95/12*3,0))))))</f>
        <v>0</v>
      </c>
      <c r="CB95" s="442">
        <f t="shared" ref="CB95:CB98" si="1269">IF($H95&lt;&gt;CD$5,0,IF(CD95&lt;0,IF(OR($J95=1,$J95=2,$J95=3,$J95=4,$J95=5,$J95=6,$J95=7),-$E95*$I95/12*3,IF($J95=8,-$E95*$I95/12*2,IF($J95=9,-$E95*$I95/12*1,0)))))+IF(BY$5&lt;&gt;$H95,0,IF(BY95&lt;0,IF($J95=7,-$E95*$I95/12*0,IF($J95=8,-$E95*$I95/12*1,IF($J95=9,-$E95*$I95/12*2,IF($J95&gt;=10,-$E95*$I95/12*3,0))))))</f>
        <v>0</v>
      </c>
      <c r="CC95" s="443">
        <f t="shared" ref="CC95:CC98" si="1270">IF($H95&lt;&gt;CD$5,0,IF(CD95&lt;0,IF(OR($J95=1,$J95=2,$J95=3,$J95=4,$J95=5,$J95=6,$J95=7,$J95=8,$J95=9,$J95=10),-$E95*$I95/12*3,IF($J95=11,-$E95*$I95/12*2,IF($J95=12,-$E95*$I95/12*1,0)))))+IF(BY$5&lt;&gt;$H95,0,IF(BY95&lt;0,IF($J95=10,-$E95*$I95/12*0,IF($J95=11,-$E95*$I95/12*1,IF($J95=12,-$E95*$I95/12*2,0)))))</f>
        <v>0</v>
      </c>
      <c r="CD95" s="440">
        <f t="shared" ref="CD95:CD98" si="1271">IF(AND(BY95&lt;&gt;0,BY$5=$H95),-$I95*$E95-BY95,IF(CD$5=$H95,-$I95*$E95*(12-$J95+1)/12,0))</f>
        <v>0</v>
      </c>
      <c r="CE95" s="441">
        <f t="shared" ref="CE95:CE98" si="1272">IF($H95&lt;&gt;CI$5,0,IF(CI95&lt;0,IF($J95=1,-$E95*$I95/12*3,IF($J95=2,-$E95*$I95/12*2,IF($J95=3,-$E95*$I95/12*1,0)))))+IF(CD$5&lt;&gt;$H95,0,IF(CD95&lt;0,IF($J95=1,-$E95*$I95/12*0,IF($J95=2,-$E95*$I95/12*1,IF($J95=3,-$E95*$I95/12*2,IF($J95&gt;=4,-$E95*$I95/12*3,0))))))</f>
        <v>0</v>
      </c>
      <c r="CF95" s="442">
        <f t="shared" ref="CF95:CF98" si="1273">IF($H95&lt;&gt;CI$5,0,IF(CI95&lt;0,IF(OR($J95=1,$J95=2,$J95=3,$J95=4),-$E95*$I95/12*3,IF($J95=5,-$E95*$I95/12*2,IF($J95=6,-$E95*$I95/12*1,0)))))+IF(CD$5&lt;&gt;$H95,0,IF(CD95&lt;0,IF($J95=4,-$E95*$I95/12*0,IF($J95=5,-$E95*$I95/12*1,IF($J95=6,-$E95*$I95/12*2,IF($J95&gt;=7,-$E95*$I95/12*3,0))))))</f>
        <v>0</v>
      </c>
      <c r="CG95" s="442">
        <f t="shared" ref="CG95:CG98" si="1274">IF($H95&lt;&gt;CI$5,0,IF(CI95&lt;0,IF(OR($J95=1,$J95=2,$J95=3,$J95=4,$J95=5,$J95=6,$J95=7),-$E95*$I95/12*3,IF($J95=8,-$E95*$I95/12*2,IF($J95=9,-$E95*$I95/12*1,0)))))+IF(CD$5&lt;&gt;$H95,0,IF(CD95&lt;0,IF($J95=7,-$E95*$I95/12*0,IF($J95=8,-$E95*$I95/12*1,IF($J95=9,-$E95*$I95/12*2,IF($J95&gt;=10,-$E95*$I95/12*3,0))))))</f>
        <v>0</v>
      </c>
      <c r="CH95" s="443">
        <f t="shared" ref="CH95:CH98" si="1275">IF($H95&lt;&gt;CI$5,0,IF(CI95&lt;0,IF(OR($J95=1,$J95=2,$J95=3,$J95=4,$J95=5,$J95=6,$J95=7,$J95=8,$J95=9,$J95=10),-$E95*$I95/12*3,IF($J95=11,-$E95*$I95/12*2,IF($J95=12,-$E95*$I95/12*1,0)))))+IF(CD$5&lt;&gt;$H95,0,IF(CD95&lt;0,IF($J95=10,-$E95*$I95/12*0,IF($J95=11,-$E95*$I95/12*1,IF($J95=12,-$E95*$I95/12*2,0)))))</f>
        <v>0</v>
      </c>
      <c r="CI95" s="440">
        <f t="shared" ref="CI95:CI98" si="1276">IF(AND(CD95&lt;&gt;0,CD$5=$H95),-$I95*$E95-CD95,IF(CI$5=$H95,-$I95*$E95*(12-$J95+1)/12,0))</f>
        <v>0</v>
      </c>
      <c r="CJ95" s="441">
        <f t="shared" ref="CJ95:CJ98" si="1277">IF($H95&lt;&gt;CN$5,0,IF(CN95&lt;0,IF($J95=1,-$E95*$I95/12*3,IF($J95=2,-$E95*$I95/12*2,IF($J95=3,-$E95*$I95/12*1,0)))))+IF(CI$5&lt;&gt;$H95,0,IF(CI95&lt;0,IF($J95=1,-$E95*$I95/12*0,IF($J95=2,-$E95*$I95/12*1,IF($J95=3,-$E95*$I95/12*2,IF($J95&gt;=4,-$E95*$I95/12*3,0))))))</f>
        <v>0</v>
      </c>
      <c r="CK95" s="442">
        <f t="shared" ref="CK95:CK98" si="1278">IF($H95&lt;&gt;CN$5,0,IF(CN95&lt;0,IF(OR($J95=1,$J95=2,$J95=3,$J95=4),-$E95*$I95/12*3,IF($J95=5,-$E95*$I95/12*2,IF($J95=6,-$E95*$I95/12*1,0)))))+IF(CI$5&lt;&gt;$H95,0,IF(CI95&lt;0,IF($J95=4,-$E95*$I95/12*0,IF($J95=5,-$E95*$I95/12*1,IF($J95=6,-$E95*$I95/12*2,IF($J95&gt;=7,-$E95*$I95/12*3,0))))))</f>
        <v>0</v>
      </c>
      <c r="CL95" s="442">
        <f t="shared" ref="CL95:CL98" si="1279">IF($H95&lt;&gt;CN$5,0,IF(CN95&lt;0,IF(OR($J95=1,$J95=2,$J95=3,$J95=4,$J95=5,$J95=6,$J95=7),-$E95*$I95/12*3,IF($J95=8,-$E95*$I95/12*2,IF($J95=9,-$E95*$I95/12*1,0)))))+IF(CI$5&lt;&gt;$H95,0,IF(CI95&lt;0,IF($J95=7,-$E95*$I95/12*0,IF($J95=8,-$E95*$I95/12*1,IF($J95=9,-$E95*$I95/12*2,IF($J95&gt;=10,-$E95*$I95/12*3,0))))))</f>
        <v>0</v>
      </c>
      <c r="CM95" s="443">
        <f t="shared" ref="CM95:CM98" si="1280">IF($H95&lt;&gt;CN$5,0,IF(CN95&lt;0,IF(OR($J95=1,$J95=2,$J95=3,$J95=4,$J95=5,$J95=6,$J95=7,$J95=8,$J95=9,$J95=10),-$E95*$I95/12*3,IF($J95=11,-$E95*$I95/12*2,IF($J95=12,-$E95*$I95/12*1,0)))))+IF(CI$5&lt;&gt;$H95,0,IF(CI95&lt;0,IF($J95=10,-$E95*$I95/12*0,IF($J95=11,-$E95*$I95/12*1,IF($J95=12,-$E95*$I95/12*2,0)))))</f>
        <v>0</v>
      </c>
      <c r="CN95" s="440">
        <f t="shared" ref="CN95:CN98" si="1281">IF(AND(CI95&lt;&gt;0,CI$5=$H95),-$I95*$E95-CI95,IF(CN$5=$H95,-$I95*$E95*(12-$J95+1)/12,0))</f>
        <v>0</v>
      </c>
      <c r="CO95" s="441">
        <f t="shared" ref="CO95:CO98" si="1282">IF($H95&lt;&gt;CS$5,0,IF(CS95&lt;0,IF($J95=1,-$E95*$I95/12*3,IF($J95=2,-$E95*$I95/12*2,IF($J95=3,-$E95*$I95/12*1,0)))))+IF(CN$5&lt;&gt;$H95,0,IF(CN95&lt;0,IF($J95=1,-$E95*$I95/12*0,IF($J95=2,-$E95*$I95/12*1,IF($J95=3,-$E95*$I95/12*2,IF($J95&gt;=4,-$E95*$I95/12*3,0))))))</f>
        <v>0</v>
      </c>
      <c r="CP95" s="442">
        <f t="shared" ref="CP95:CP98" si="1283">IF($H95&lt;&gt;CS$5,0,IF(CS95&lt;0,IF(OR($J95=1,$J95=2,$J95=3,$J95=4),-$E95*$I95/12*3,IF($J95=5,-$E95*$I95/12*2,IF($J95=6,-$E95*$I95/12*1,0)))))+IF(CN$5&lt;&gt;$H95,0,IF(CN95&lt;0,IF($J95=4,-$E95*$I95/12*0,IF($J95=5,-$E95*$I95/12*1,IF($J95=6,-$E95*$I95/12*2,IF($J95&gt;=7,-$E95*$I95/12*3,0))))))</f>
        <v>0</v>
      </c>
      <c r="CQ95" s="442">
        <f t="shared" ref="CQ95:CQ98" si="1284">IF($H95&lt;&gt;CS$5,0,IF(CS95&lt;0,IF(OR($J95=1,$J95=2,$J95=3,$J95=4,$J95=5,$J95=6,$J95=7),-$E95*$I95/12*3,IF($J95=8,-$E95*$I95/12*2,IF($J95=9,-$E95*$I95/12*1,0)))))+IF(CN$5&lt;&gt;$H95,0,IF(CN95&lt;0,IF($J95=7,-$E95*$I95/12*0,IF($J95=8,-$E95*$I95/12*1,IF($J95=9,-$E95*$I95/12*2,IF($J95&gt;=10,-$E95*$I95/12*3,0))))))</f>
        <v>0</v>
      </c>
      <c r="CR95" s="443">
        <f t="shared" ref="CR95:CR98" si="1285">IF($H95&lt;&gt;CS$5,0,IF(CS95&lt;0,IF(OR($J95=1,$J95=2,$J95=3,$J95=4,$J95=5,$J95=6,$J95=7,$J95=8,$J95=9,$J95=10),-$E95*$I95/12*3,IF($J95=11,-$E95*$I95/12*2,IF($J95=12,-$E95*$I95/12*1,0)))))+IF(CN$5&lt;&gt;$H95,0,IF(CN95&lt;0,IF($J95=10,-$E95*$I95/12*0,IF($J95=11,-$E95*$I95/12*1,IF($J95=12,-$E95*$I95/12*2,0)))))</f>
        <v>0</v>
      </c>
      <c r="CS95" s="440">
        <f t="shared" ref="CS95:CS98" si="1286">IF(AND(CN95&lt;&gt;0,CN$5=$H95),-$I95*$E95-CN95,IF(CS$5=$H95,-$I95*$E95*(12-$J95+1)/12,0))</f>
        <v>0</v>
      </c>
      <c r="CT95" s="441">
        <f t="shared" ref="CT95:CT98" si="1287">IF($H95&lt;&gt;CX$5,0,IF(CX95&lt;0,IF($J95=1,-$E95*$I95/12*3,IF($J95=2,-$E95*$I95/12*2,IF($J95=3,-$E95*$I95/12*1,0)))))+IF(CS$5&lt;&gt;$H95,0,IF(CS95&lt;0,IF($J95=1,-$E95*$I95/12*0,IF($J95=2,-$E95*$I95/12*1,IF($J95=3,-$E95*$I95/12*2,IF($J95&gt;=4,-$E95*$I95/12*3,0))))))</f>
        <v>0</v>
      </c>
      <c r="CU95" s="442">
        <f t="shared" ref="CU95:CU98" si="1288">IF($H95&lt;&gt;CX$5,0,IF(CX95&lt;0,IF(OR($J95=1,$J95=2,$J95=3,$J95=4),-$E95*$I95/12*3,IF($J95=5,-$E95*$I95/12*2,IF($J95=6,-$E95*$I95/12*1,0)))))+IF(CS$5&lt;&gt;$H95,0,IF(CS95&lt;0,IF($J95=4,-$E95*$I95/12*0,IF($J95=5,-$E95*$I95/12*1,IF($J95=6,-$E95*$I95/12*2,IF($J95&gt;=7,-$E95*$I95/12*3,0))))))</f>
        <v>0</v>
      </c>
      <c r="CV95" s="442">
        <f t="shared" ref="CV95:CV98" si="1289">IF($H95&lt;&gt;CX$5,0,IF(CX95&lt;0,IF(OR($J95=1,$J95=2,$J95=3,$J95=4,$J95=5,$J95=6,$J95=7),-$E95*$I95/12*3,IF($J95=8,-$E95*$I95/12*2,IF($J95=9,-$E95*$I95/12*1,0)))))+IF(CS$5&lt;&gt;$H95,0,IF(CS95&lt;0,IF($J95=7,-$E95*$I95/12*0,IF($J95=8,-$E95*$I95/12*1,IF($J95=9,-$E95*$I95/12*2,IF($J95&gt;=10,-$E95*$I95/12*3,0))))))</f>
        <v>0</v>
      </c>
      <c r="CW95" s="443">
        <f t="shared" ref="CW95:CW98" si="1290">IF($H95&lt;&gt;CX$5,0,IF(CX95&lt;0,IF(OR($J95=1,$J95=2,$J95=3,$J95=4,$J95=5,$J95=6,$J95=7,$J95=8,$J95=9,$J95=10),-$E95*$I95/12*3,IF($J95=11,-$E95*$I95/12*2,IF($J95=12,-$E95*$I95/12*1,0)))))+IF(CS$5&lt;&gt;$H95,0,IF(CS95&lt;0,IF($J95=10,-$E95*$I95/12*0,IF($J95=11,-$E95*$I95/12*1,IF($J95=12,-$E95*$I95/12*2,0)))))</f>
        <v>0</v>
      </c>
      <c r="CX95" s="440">
        <f t="shared" ref="CX95:CX98" si="1291">IF(AND(CS95&lt;&gt;0,CS$5=$H95),-$I95*$E95-CS95,IF(CX$5=$H95,-$I95*$E95*(12-$J95+1)/12,0))</f>
        <v>0</v>
      </c>
      <c r="CY95" s="441">
        <f t="shared" ref="CY95:CY96" si="1292">IF($H95&lt;&gt;DC$5,0,IF(DC95&lt;0,IF($J95=1,-$E95*$I95/12*3,IF($J95=2,-$E95*$I95/12*2,IF($J95=3,-$E95*$I95/12*1,0)))))+IF(CX$5&lt;&gt;$H95,0,IF(CX95&lt;0,IF($J95=1,-$E95*$I95/12*0,IF($J95=2,-$E95*$I95/12*1,IF($J95=3,-$E95*$I95/12*2,IF($J95&gt;=4,-$E95*$I95/12*3,0))))))</f>
        <v>0</v>
      </c>
      <c r="CZ95" s="442">
        <f t="shared" ref="CZ95:CZ96" si="1293">IF($H95&lt;&gt;DC$5,0,IF(DC95&lt;0,IF(OR($J95=1,$J95=2,$J95=3,$J95=4),-$E95*$I95/12*3,IF($J95=5,-$E95*$I95/12*2,IF($J95=6,-$E95*$I95/12*1,0)))))+IF(CX$5&lt;&gt;$H95,0,IF(CX95&lt;0,IF($J95=4,-$E95*$I95/12*0,IF($J95=5,-$E95*$I95/12*1,IF($J95=6,-$E95*$I95/12*2,IF($J95&gt;=7,-$E95*$I95/12*3,0))))))</f>
        <v>0</v>
      </c>
      <c r="DA95" s="442">
        <f t="shared" ref="DA95:DA96" si="1294">IF($H95&lt;&gt;DC$5,0,IF(DC95&lt;0,IF(OR($J95=1,$J95=2,$J95=3,$J95=4,$J95=5,$J95=6,$J95=7),-$E95*$I95/12*3,IF($J95=8,-$E95*$I95/12*2,IF($J95=9,-$E95*$I95/12*1,0)))))+IF(CX$5&lt;&gt;$H95,0,IF(CX95&lt;0,IF($J95=7,-$E95*$I95/12*0,IF($J95=8,-$E95*$I95/12*1,IF($J95=9,-$E95*$I95/12*2,IF($J95&gt;=10,-$E95*$I95/12*3,0))))))</f>
        <v>0</v>
      </c>
      <c r="DB95" s="443">
        <f t="shared" ref="DB95:DB96" si="1295">IF($H95&lt;&gt;DC$5,0,IF(DC95&lt;0,IF(OR($J95=1,$J95=2,$J95=3,$J95=4,$J95=5,$J95=6,$J95=7,$J95=8,$J95=9,$J95=10),-$E95*$I95/12*3,IF($J95=11,-$E95*$I95/12*2,IF($J95=12,-$E95*$I95/12*1,0)))))+IF(CX$5&lt;&gt;$H95,0,IF(CX95&lt;0,IF($J95=10,-$E95*$I95/12*0,IF($J95=11,-$E95*$I95/12*1,IF($J95=12,-$E95*$I95/12*2,0)))))</f>
        <v>0</v>
      </c>
      <c r="DC95" s="440">
        <f t="shared" ref="DC95:DC96" si="1296">IF(AND(CX95&lt;&gt;0,CX$5=$H95),-$I95*$E95-CX95,IF(DC$5=$H95,-$I95*$E95*(12-$J95+1)/12,0))</f>
        <v>0</v>
      </c>
      <c r="DD95" s="441">
        <f t="shared" ref="DD95:DD96" si="1297">IF($H95&lt;&gt;DH$5,0,IF(DH95&lt;0,IF($J95=1,-$E95*$I95/12*3,IF($J95=2,-$E95*$I95/12*2,IF($J95=3,-$E95*$I95/12*1,0)))))+IF(DC$5&lt;&gt;$H95,0,IF(DC95&lt;0,IF($J95=1,-$E95*$I95/12*0,IF($J95=2,-$E95*$I95/12*1,IF($J95=3,-$E95*$I95/12*2,IF($J95&gt;=4,-$E95*$I95/12*3,0))))))</f>
        <v>0</v>
      </c>
      <c r="DE95" s="442">
        <f t="shared" ref="DE95:DE96" si="1298">IF($H95&lt;&gt;DH$5,0,IF(DH95&lt;0,IF(OR($J95=1,$J95=2,$J95=3,$J95=4),-$E95*$I95/12*3,IF($J95=5,-$E95*$I95/12*2,IF($J95=6,-$E95*$I95/12*1,0)))))+IF(DC$5&lt;&gt;$H95,0,IF(DC95&lt;0,IF($J95=4,-$E95*$I95/12*0,IF($J95=5,-$E95*$I95/12*1,IF($J95=6,-$E95*$I95/12*2,IF($J95&gt;=7,-$E95*$I95/12*3,0))))))</f>
        <v>0</v>
      </c>
      <c r="DF95" s="442">
        <f t="shared" ref="DF95:DF96" si="1299">IF($H95&lt;&gt;DH$5,0,IF(DH95&lt;0,IF(OR($J95=1,$J95=2,$J95=3,$J95=4,$J95=5,$J95=6,$J95=7),-$E95*$I95/12*3,IF($J95=8,-$E95*$I95/12*2,IF($J95=9,-$E95*$I95/12*1,0)))))+IF(DC$5&lt;&gt;$H95,0,IF(DC95&lt;0,IF($J95=7,-$E95*$I95/12*0,IF($J95=8,-$E95*$I95/12*1,IF($J95=9,-$E95*$I95/12*2,IF($J95&gt;=10,-$E95*$I95/12*3,0))))))</f>
        <v>0</v>
      </c>
      <c r="DG95" s="443">
        <f t="shared" ref="DG95:DG96" si="1300">IF($H95&lt;&gt;DH$5,0,IF(DH95&lt;0,IF(OR($J95=1,$J95=2,$J95=3,$J95=4,$J95=5,$J95=6,$J95=7,$J95=8,$J95=9,$J95=10),-$E95*$I95/12*3,IF($J95=11,-$E95*$I95/12*2,IF($J95=12,-$E95*$I95/12*1,0)))))+IF(DC$5&lt;&gt;$H95,0,IF(DC95&lt;0,IF($J95=10,-$E95*$I95/12*0,IF($J95=11,-$E95*$I95/12*1,IF($J95=12,-$E95*$I95/12*2,0)))))</f>
        <v>0</v>
      </c>
      <c r="DH95" s="440">
        <f t="shared" ref="DH95:DH96" si="1301">IF(AND(DC95&lt;&gt;0,DC$5=$H95),-$I95*$E95-DC95,IF(DH$5=$H95,-$I95*$E95*(12-$J95+1)/12,0))</f>
        <v>0</v>
      </c>
      <c r="DI95" s="441">
        <f t="shared" ref="DI95:DI96" si="1302">IF($H95&lt;&gt;DM$5,0,IF(DM95&lt;0,IF($J95=1,-$E95*$I95/12*3,IF($J95=2,-$E95*$I95/12*2,IF($J95=3,-$E95*$I95/12*1,0)))))+IF(DH$5&lt;&gt;$H95,0,IF(DH95&lt;0,IF($J95=1,-$E95*$I95/12*0,IF($J95=2,-$E95*$I95/12*1,IF($J95=3,-$E95*$I95/12*2,IF($J95&gt;=4,-$E95*$I95/12*3,0))))))</f>
        <v>0</v>
      </c>
      <c r="DJ95" s="442">
        <f t="shared" ref="DJ95:DJ96" si="1303">IF($H95&lt;&gt;DM$5,0,IF(DM95&lt;0,IF(OR($J95=1,$J95=2,$J95=3,$J95=4),-$E95*$I95/12*3,IF($J95=5,-$E95*$I95/12*2,IF($J95=6,-$E95*$I95/12*1,0)))))+IF(DH$5&lt;&gt;$H95,0,IF(DH95&lt;0,IF($J95=4,-$E95*$I95/12*0,IF($J95=5,-$E95*$I95/12*1,IF($J95=6,-$E95*$I95/12*2,IF($J95&gt;=7,-$E95*$I95/12*3,0))))))</f>
        <v>0</v>
      </c>
      <c r="DK95" s="442">
        <f t="shared" ref="DK95:DK96" si="1304">IF($H95&lt;&gt;DM$5,0,IF(DM95&lt;0,IF(OR($J95=1,$J95=2,$J95=3,$J95=4,$J95=5,$J95=6,$J95=7),-$E95*$I95/12*3,IF($J95=8,-$E95*$I95/12*2,IF($J95=9,-$E95*$I95/12*1,0)))))+IF(DH$5&lt;&gt;$H95,0,IF(DH95&lt;0,IF($J95=7,-$E95*$I95/12*0,IF($J95=8,-$E95*$I95/12*1,IF($J95=9,-$E95*$I95/12*2,IF($J95&gt;=10,-$E95*$I95/12*3,0))))))</f>
        <v>0</v>
      </c>
      <c r="DL95" s="443">
        <f t="shared" ref="DL95:DL96" si="1305">IF($H95&lt;&gt;DM$5,0,IF(DM95&lt;0,IF(OR($J95=1,$J95=2,$J95=3,$J95=4,$J95=5,$J95=6,$J95=7,$J95=8,$J95=9,$J95=10),-$E95*$I95/12*3,IF($J95=11,-$E95*$I95/12*2,IF($J95=12,-$E95*$I95/12*1,0)))))+IF(DH$5&lt;&gt;$H95,0,IF(DH95&lt;0,IF($J95=10,-$E95*$I95/12*0,IF($J95=11,-$E95*$I95/12*1,IF($J95=12,-$E95*$I95/12*2,0)))))</f>
        <v>0</v>
      </c>
      <c r="DM95" s="440">
        <f t="shared" ref="DM95:DM96" si="1306">IF(AND(DH95&lt;&gt;0,DH$5=$H95),-$I95*$E95-DH95,IF(DM$5=$H95,-$I95*$E95*(12-$J95+1)/12,0))</f>
        <v>0</v>
      </c>
      <c r="DN95" s="441">
        <f t="shared" ref="DN95:DN96" si="1307">IF($H95&lt;&gt;DR$5,0,IF(DR95&lt;0,IF($J95=1,-$E95*$I95/12*3,IF($J95=2,-$E95*$I95/12*2,IF($J95=3,-$E95*$I95/12*1,0)))))+IF(DM$5&lt;&gt;$H95,0,IF(DM95&lt;0,IF($J95=1,-$E95*$I95/12*0,IF($J95=2,-$E95*$I95/12*1,IF($J95=3,-$E95*$I95/12*2,IF($J95&gt;=4,-$E95*$I95/12*3,0))))))</f>
        <v>0</v>
      </c>
      <c r="DO95" s="442">
        <f t="shared" ref="DO95:DO96" si="1308">IF($H95&lt;&gt;DR$5,0,IF(DR95&lt;0,IF(OR($J95=1,$J95=2,$J95=3,$J95=4),-$E95*$I95/12*3,IF($J95=5,-$E95*$I95/12*2,IF($J95=6,-$E95*$I95/12*1,0)))))+IF(DM$5&lt;&gt;$H95,0,IF(DM95&lt;0,IF($J95=4,-$E95*$I95/12*0,IF($J95=5,-$E95*$I95/12*1,IF($J95=6,-$E95*$I95/12*2,IF($J95&gt;=7,-$E95*$I95/12*3,0))))))</f>
        <v>0</v>
      </c>
      <c r="DP95" s="442">
        <f t="shared" ref="DP95:DP96" si="1309">IF($H95&lt;&gt;DR$5,0,IF(DR95&lt;0,IF(OR($J95=1,$J95=2,$J95=3,$J95=4,$J95=5,$J95=6,$J95=7),-$E95*$I95/12*3,IF($J95=8,-$E95*$I95/12*2,IF($J95=9,-$E95*$I95/12*1,0)))))+IF(DM$5&lt;&gt;$H95,0,IF(DM95&lt;0,IF($J95=7,-$E95*$I95/12*0,IF($J95=8,-$E95*$I95/12*1,IF($J95=9,-$E95*$I95/12*2,IF($J95&gt;=10,-$E95*$I95/12*3,0))))))</f>
        <v>0</v>
      </c>
      <c r="DQ95" s="443">
        <f t="shared" ref="DQ95:DQ96" si="1310">IF($H95&lt;&gt;DR$5,0,IF(DR95&lt;0,IF(OR($J95=1,$J95=2,$J95=3,$J95=4,$J95=5,$J95=6,$J95=7,$J95=8,$J95=9,$J95=10),-$E95*$I95/12*3,IF($J95=11,-$E95*$I95/12*2,IF($J95=12,-$E95*$I95/12*1,0)))))+IF(DM$5&lt;&gt;$H95,0,IF(DM95&lt;0,IF($J95=10,-$E95*$I95/12*0,IF($J95=11,-$E95*$I95/12*1,IF($J95=12,-$E95*$I95/12*2,0)))))</f>
        <v>0</v>
      </c>
      <c r="DR95" s="440">
        <f t="shared" ref="DR95:DR96" si="1311">IF(AND(DM95&lt;&gt;0,DM$5=$H95),-$I95*$E95-DM95,IF(DR$5=$H95,-$I95*$E95*(12-$J95+1)/12,0))</f>
        <v>0</v>
      </c>
    </row>
    <row r="96" spans="3:122" ht="12.75" customHeight="1">
      <c r="C96" s="1590" t="s">
        <v>1177</v>
      </c>
      <c r="D96" s="395"/>
      <c r="E96" s="865">
        <f t="shared" si="1201"/>
        <v>62.5</v>
      </c>
      <c r="F96" s="1945">
        <v>62.5</v>
      </c>
      <c r="G96" s="1945">
        <v>62.5</v>
      </c>
      <c r="H96" s="1308">
        <v>2033</v>
      </c>
      <c r="I96" s="1948">
        <v>4.3749999999999997E-2</v>
      </c>
      <c r="J96" s="1357">
        <v>6</v>
      </c>
      <c r="K96" s="549"/>
      <c r="L96" s="441">
        <f t="shared" si="1202"/>
        <v>0</v>
      </c>
      <c r="M96" s="442">
        <f t="shared" si="1203"/>
        <v>0</v>
      </c>
      <c r="N96" s="442">
        <f t="shared" si="1204"/>
        <v>0</v>
      </c>
      <c r="O96" s="443">
        <f t="shared" si="1205"/>
        <v>0</v>
      </c>
      <c r="P96" s="440">
        <f t="shared" si="1206"/>
        <v>0</v>
      </c>
      <c r="Q96" s="441">
        <f t="shared" si="1207"/>
        <v>0</v>
      </c>
      <c r="R96" s="442">
        <f t="shared" si="1208"/>
        <v>0</v>
      </c>
      <c r="S96" s="442">
        <f t="shared" si="1209"/>
        <v>0</v>
      </c>
      <c r="T96" s="443">
        <f t="shared" si="1210"/>
        <v>0</v>
      </c>
      <c r="U96" s="440">
        <f t="shared" si="1211"/>
        <v>0</v>
      </c>
      <c r="V96" s="441">
        <f t="shared" si="1212"/>
        <v>0</v>
      </c>
      <c r="W96" s="442">
        <f t="shared" si="1213"/>
        <v>0</v>
      </c>
      <c r="X96" s="442">
        <f t="shared" si="1214"/>
        <v>0</v>
      </c>
      <c r="Y96" s="443">
        <f t="shared" si="1215"/>
        <v>0</v>
      </c>
      <c r="Z96" s="440">
        <f t="shared" si="1216"/>
        <v>0</v>
      </c>
      <c r="AA96" s="441">
        <f t="shared" si="1217"/>
        <v>0</v>
      </c>
      <c r="AB96" s="442">
        <f t="shared" si="1218"/>
        <v>0</v>
      </c>
      <c r="AC96" s="442">
        <f t="shared" si="1219"/>
        <v>0</v>
      </c>
      <c r="AD96" s="443">
        <f t="shared" si="1220"/>
        <v>0</v>
      </c>
      <c r="AE96" s="440">
        <f t="shared" si="1221"/>
        <v>0</v>
      </c>
      <c r="AF96" s="441">
        <f t="shared" si="1222"/>
        <v>0</v>
      </c>
      <c r="AG96" s="442">
        <f t="shared" si="1223"/>
        <v>0</v>
      </c>
      <c r="AH96" s="442">
        <f t="shared" si="1224"/>
        <v>0</v>
      </c>
      <c r="AI96" s="443">
        <f t="shared" si="1225"/>
        <v>0</v>
      </c>
      <c r="AJ96" s="440">
        <f t="shared" si="1226"/>
        <v>0</v>
      </c>
      <c r="AK96" s="441">
        <f t="shared" si="1227"/>
        <v>0</v>
      </c>
      <c r="AL96" s="442">
        <f t="shared" si="1228"/>
        <v>0</v>
      </c>
      <c r="AM96" s="442">
        <f t="shared" si="1229"/>
        <v>0</v>
      </c>
      <c r="AN96" s="443">
        <f t="shared" si="1230"/>
        <v>0</v>
      </c>
      <c r="AO96" s="440">
        <f t="shared" si="1231"/>
        <v>0</v>
      </c>
      <c r="AP96" s="441">
        <f t="shared" si="1232"/>
        <v>0</v>
      </c>
      <c r="AQ96" s="442">
        <f t="shared" si="1233"/>
        <v>0</v>
      </c>
      <c r="AR96" s="442">
        <f t="shared" si="1234"/>
        <v>0</v>
      </c>
      <c r="AS96" s="443">
        <f t="shared" si="1235"/>
        <v>0</v>
      </c>
      <c r="AT96" s="440">
        <f t="shared" si="1236"/>
        <v>0</v>
      </c>
      <c r="AU96" s="441">
        <f t="shared" si="1237"/>
        <v>0</v>
      </c>
      <c r="AV96" s="442">
        <f t="shared" si="1238"/>
        <v>0</v>
      </c>
      <c r="AW96" s="442">
        <f t="shared" si="1239"/>
        <v>0</v>
      </c>
      <c r="AX96" s="443">
        <f t="shared" si="1240"/>
        <v>0</v>
      </c>
      <c r="AY96" s="440">
        <f t="shared" si="1241"/>
        <v>0</v>
      </c>
      <c r="AZ96" s="441">
        <f t="shared" si="1242"/>
        <v>0</v>
      </c>
      <c r="BA96" s="442">
        <f t="shared" si="1243"/>
        <v>0</v>
      </c>
      <c r="BB96" s="442">
        <f t="shared" si="1244"/>
        <v>0</v>
      </c>
      <c r="BC96" s="443">
        <f t="shared" si="1245"/>
        <v>0</v>
      </c>
      <c r="BD96" s="440">
        <f t="shared" si="1246"/>
        <v>0</v>
      </c>
      <c r="BE96" s="441">
        <f t="shared" si="1247"/>
        <v>0</v>
      </c>
      <c r="BF96" s="442">
        <f t="shared" si="1248"/>
        <v>0</v>
      </c>
      <c r="BG96" s="442">
        <f t="shared" si="1249"/>
        <v>0</v>
      </c>
      <c r="BH96" s="443">
        <f t="shared" si="1250"/>
        <v>0</v>
      </c>
      <c r="BI96" s="440">
        <f t="shared" si="1251"/>
        <v>0</v>
      </c>
      <c r="BJ96" s="441">
        <f t="shared" si="1252"/>
        <v>0</v>
      </c>
      <c r="BK96" s="442">
        <f t="shared" si="1253"/>
        <v>0</v>
      </c>
      <c r="BL96" s="442">
        <f t="shared" si="1254"/>
        <v>0</v>
      </c>
      <c r="BM96" s="443">
        <f t="shared" si="1255"/>
        <v>0</v>
      </c>
      <c r="BN96" s="440">
        <f t="shared" si="1256"/>
        <v>0</v>
      </c>
      <c r="BO96" s="470"/>
      <c r="BP96" s="441">
        <f t="shared" si="1257"/>
        <v>0</v>
      </c>
      <c r="BQ96" s="442">
        <f t="shared" si="1258"/>
        <v>0</v>
      </c>
      <c r="BR96" s="442">
        <f t="shared" si="1259"/>
        <v>0</v>
      </c>
      <c r="BS96" s="443">
        <f t="shared" si="1260"/>
        <v>0</v>
      </c>
      <c r="BT96" s="440">
        <f t="shared" si="1261"/>
        <v>0</v>
      </c>
      <c r="BU96" s="441">
        <f t="shared" si="1262"/>
        <v>0</v>
      </c>
      <c r="BV96" s="442">
        <f t="shared" si="1263"/>
        <v>0</v>
      </c>
      <c r="BW96" s="442">
        <f t="shared" si="1264"/>
        <v>0</v>
      </c>
      <c r="BX96" s="443">
        <f t="shared" si="1265"/>
        <v>0</v>
      </c>
      <c r="BY96" s="440">
        <f t="shared" si="1266"/>
        <v>0</v>
      </c>
      <c r="BZ96" s="441">
        <f t="shared" si="1267"/>
        <v>0</v>
      </c>
      <c r="CA96" s="442">
        <f t="shared" si="1268"/>
        <v>0</v>
      </c>
      <c r="CB96" s="442">
        <f t="shared" si="1269"/>
        <v>0</v>
      </c>
      <c r="CC96" s="443">
        <f t="shared" si="1270"/>
        <v>0</v>
      </c>
      <c r="CD96" s="440">
        <f t="shared" si="1271"/>
        <v>0</v>
      </c>
      <c r="CE96" s="441">
        <f t="shared" si="1272"/>
        <v>0</v>
      </c>
      <c r="CF96" s="442">
        <f t="shared" si="1273"/>
        <v>0</v>
      </c>
      <c r="CG96" s="442">
        <f t="shared" si="1274"/>
        <v>0</v>
      </c>
      <c r="CH96" s="443">
        <f t="shared" si="1275"/>
        <v>0</v>
      </c>
      <c r="CI96" s="440">
        <f t="shared" si="1276"/>
        <v>0</v>
      </c>
      <c r="CJ96" s="441">
        <f t="shared" si="1277"/>
        <v>0</v>
      </c>
      <c r="CK96" s="442">
        <f t="shared" si="1278"/>
        <v>0</v>
      </c>
      <c r="CL96" s="442">
        <f t="shared" si="1279"/>
        <v>0</v>
      </c>
      <c r="CM96" s="443">
        <f t="shared" si="1280"/>
        <v>0</v>
      </c>
      <c r="CN96" s="440">
        <f t="shared" si="1281"/>
        <v>0</v>
      </c>
      <c r="CO96" s="441">
        <f t="shared" si="1282"/>
        <v>0</v>
      </c>
      <c r="CP96" s="442">
        <f t="shared" si="1283"/>
        <v>0</v>
      </c>
      <c r="CQ96" s="442">
        <f t="shared" si="1284"/>
        <v>0</v>
      </c>
      <c r="CR96" s="443">
        <f t="shared" si="1285"/>
        <v>0</v>
      </c>
      <c r="CS96" s="440">
        <f t="shared" si="1286"/>
        <v>0</v>
      </c>
      <c r="CT96" s="441">
        <f t="shared" si="1287"/>
        <v>0</v>
      </c>
      <c r="CU96" s="442">
        <f t="shared" si="1288"/>
        <v>0</v>
      </c>
      <c r="CV96" s="442">
        <f t="shared" si="1289"/>
        <v>0</v>
      </c>
      <c r="CW96" s="443">
        <f t="shared" si="1290"/>
        <v>0</v>
      </c>
      <c r="CX96" s="440">
        <f t="shared" si="1291"/>
        <v>0</v>
      </c>
      <c r="CY96" s="441">
        <f t="shared" si="1292"/>
        <v>0</v>
      </c>
      <c r="CZ96" s="442">
        <f t="shared" si="1293"/>
        <v>0</v>
      </c>
      <c r="DA96" s="442">
        <f t="shared" si="1294"/>
        <v>0</v>
      </c>
      <c r="DB96" s="443">
        <f t="shared" si="1295"/>
        <v>0</v>
      </c>
      <c r="DC96" s="440">
        <f t="shared" si="1296"/>
        <v>0</v>
      </c>
      <c r="DD96" s="441">
        <f t="shared" si="1297"/>
        <v>0</v>
      </c>
      <c r="DE96" s="442">
        <f t="shared" si="1298"/>
        <v>0</v>
      </c>
      <c r="DF96" s="442">
        <f t="shared" si="1299"/>
        <v>0</v>
      </c>
      <c r="DG96" s="443">
        <f t="shared" si="1300"/>
        <v>0</v>
      </c>
      <c r="DH96" s="440">
        <f t="shared" si="1301"/>
        <v>0</v>
      </c>
      <c r="DI96" s="441">
        <f t="shared" si="1302"/>
        <v>0</v>
      </c>
      <c r="DJ96" s="442">
        <f t="shared" si="1303"/>
        <v>0</v>
      </c>
      <c r="DK96" s="442">
        <f t="shared" si="1304"/>
        <v>0</v>
      </c>
      <c r="DL96" s="443">
        <f t="shared" si="1305"/>
        <v>0</v>
      </c>
      <c r="DM96" s="440">
        <f t="shared" si="1306"/>
        <v>0</v>
      </c>
      <c r="DN96" s="441">
        <f t="shared" si="1307"/>
        <v>0</v>
      </c>
      <c r="DO96" s="442">
        <f t="shared" si="1308"/>
        <v>0</v>
      </c>
      <c r="DP96" s="442">
        <f t="shared" si="1309"/>
        <v>0</v>
      </c>
      <c r="DQ96" s="443">
        <f t="shared" si="1310"/>
        <v>0</v>
      </c>
      <c r="DR96" s="440">
        <f t="shared" si="1311"/>
        <v>0</v>
      </c>
    </row>
    <row r="97" spans="1:122">
      <c r="C97" s="1590" t="s">
        <v>1177</v>
      </c>
      <c r="D97" s="395"/>
      <c r="E97" s="865">
        <f t="shared" si="1201"/>
        <v>54.6</v>
      </c>
      <c r="F97" s="1945">
        <v>54.6</v>
      </c>
      <c r="G97" s="1945">
        <v>54.6</v>
      </c>
      <c r="H97" s="1308">
        <v>2033</v>
      </c>
      <c r="I97" s="1948">
        <v>4.3749999999999997E-2</v>
      </c>
      <c r="J97" s="1357">
        <v>6</v>
      </c>
      <c r="K97" s="549"/>
      <c r="L97" s="441">
        <f>IF(P97=0,0,IF(P97&lt;0,IF($J97=3,P97,IF($J97=2,P97,IF($J97=1,P97,0)))))</f>
        <v>0</v>
      </c>
      <c r="M97" s="442">
        <f>IF(P97=0,0,IF(P97&lt;0,IF($J97=6,P97,IF($J97=5,P97,IF($J97=4,P97,0)))))</f>
        <v>0</v>
      </c>
      <c r="N97" s="442">
        <f>IF(P97=0,0,IF(P97&lt;0,IF($J97=9,P97,IF($J97=8,P97,IF($J97=7,P97,0)))))</f>
        <v>0</v>
      </c>
      <c r="O97" s="443">
        <f>IF(P97=0,0,IF(P97&lt;0,IF($J97=12,P97,IF($J97=11,P97,IF($J97=10,P97,0)))))</f>
        <v>0</v>
      </c>
      <c r="P97" s="440">
        <f t="shared" si="1206"/>
        <v>0</v>
      </c>
      <c r="Q97" s="441">
        <f>IF(U97=0,0,IF(U97&lt;0,IF($J97=3,U97,IF($J97=2,U97,IF($J97=1,U97,0)))))</f>
        <v>0</v>
      </c>
      <c r="R97" s="442">
        <f>IF(U97=0,0,IF(U97&lt;0,IF($J97=6,U97,IF($J97=5,U97,IF($J97=4,U97,0)))))</f>
        <v>0</v>
      </c>
      <c r="S97" s="442">
        <f>IF(U97=0,0,IF(U97&lt;0,IF($J97=9,U97,IF($J97=8,U97,IF($J97=7,U97,0)))))</f>
        <v>0</v>
      </c>
      <c r="T97" s="443">
        <f>IF(U97=0,0,IF(U97&lt;0,IF($J97=12,U97,IF($J97=11,U97,IF($J97=10,U97,0)))))</f>
        <v>0</v>
      </c>
      <c r="U97" s="440">
        <f t="shared" si="1211"/>
        <v>0</v>
      </c>
      <c r="V97" s="441">
        <f>IF(Z97=0,0,IF(Z97&lt;0,IF($J97=3,Z97,IF($J97=2,Z97,IF($J97=1,Z97,0)))))</f>
        <v>0</v>
      </c>
      <c r="W97" s="442">
        <f>IF(Z97=0,0,IF(Z97&lt;0,IF($J97=6,Z97,IF($J97=5,Z97,IF($J97=4,Z97,0)))))</f>
        <v>0</v>
      </c>
      <c r="X97" s="442">
        <f>IF(Z97=0,0,IF(Z97&lt;0,IF($J97=9,Z97,IF($J97=8,Z97,IF($J97=7,Z97,0)))))</f>
        <v>0</v>
      </c>
      <c r="Y97" s="443">
        <f>IF(Z97=0,0,IF(Z97&lt;0,IF($J97=12,Z97,IF($J97=11,Z97,IF($J97=10,Z97,0)))))</f>
        <v>0</v>
      </c>
      <c r="Z97" s="440">
        <f t="shared" si="1216"/>
        <v>0</v>
      </c>
      <c r="AA97" s="441">
        <f>IF(AE97=0,0,IF(AE97&lt;0,IF($J97=3,AE97,IF($J97=2,AE97,IF($J97=1,AE97,0)))))</f>
        <v>0</v>
      </c>
      <c r="AB97" s="442">
        <f>IF(AE97=0,0,IF(AE97&lt;0,IF($J97=6,AE97,IF($J97=5,AE97,IF($J97=4,AE97,0)))))</f>
        <v>0</v>
      </c>
      <c r="AC97" s="442">
        <f>IF(AE97=0,0,IF(AE97&lt;0,IF($J97=9,AE97,IF($J97=8,AE97,IF($J97=7,AE97,0)))))</f>
        <v>0</v>
      </c>
      <c r="AD97" s="443">
        <f>IF(AE97=0,0,IF(AE97&lt;0,IF($J97=12,AE97,IF($J97=11,AE97,IF($J97=10,AE97,0)))))</f>
        <v>0</v>
      </c>
      <c r="AE97" s="440">
        <f t="shared" si="1221"/>
        <v>0</v>
      </c>
      <c r="AF97" s="441">
        <f>IF(AJ97=0,0,IF(AJ97&lt;0,IF($J97=3,AJ97,IF($J97=2,AJ97,IF($J97=1,AJ97,0)))))</f>
        <v>0</v>
      </c>
      <c r="AG97" s="442">
        <f>IF(AJ97=0,0,IF(AJ97&lt;0,IF($J97=6,AJ97,IF($J97=5,AJ97,IF($J97=4,AJ97,0)))))</f>
        <v>0</v>
      </c>
      <c r="AH97" s="442">
        <f>IF(AJ97=0,0,IF(AJ97&lt;0,IF($J97=9,AJ97,IF($J97=8,AJ97,IF($J97=7,AJ97,0)))))</f>
        <v>0</v>
      </c>
      <c r="AI97" s="443">
        <f>IF(AJ97=0,0,IF(AJ97&lt;0,IF($J97=12,AJ97,IF($J97=11,AJ97,IF($J97=10,AJ97,0)))))</f>
        <v>0</v>
      </c>
      <c r="AJ97" s="440">
        <f t="shared" si="1226"/>
        <v>0</v>
      </c>
      <c r="AK97" s="441">
        <f>IF(AO97=0,0,IF(AO97&lt;0,IF($J97=3,AO97,IF($J97=2,AO97,IF($J97=1,AO97,0)))))</f>
        <v>0</v>
      </c>
      <c r="AL97" s="442">
        <f>IF(AO97=0,0,IF(AO97&lt;0,IF($J97=6,AO97,IF($J97=5,AO97,IF($J97=4,AO97,0)))))</f>
        <v>0</v>
      </c>
      <c r="AM97" s="442">
        <f>IF(AO97=0,0,IF(AO97&lt;0,IF($J97=9,AO97,IF($J97=8,AO97,IF($J97=7,AO97,0)))))</f>
        <v>0</v>
      </c>
      <c r="AN97" s="443">
        <f>IF(AO97=0,0,IF(AO97&lt;0,IF($J97=12,AO97,IF($J97=11,AO97,IF($J97=10,AO97,0)))))</f>
        <v>0</v>
      </c>
      <c r="AO97" s="440">
        <f t="shared" si="1231"/>
        <v>0</v>
      </c>
      <c r="AP97" s="441">
        <f>IF(AT97=0,0,IF(AT97&lt;0,IF($J97=3,AT97,IF($J97=2,AT97,IF($J97=1,AT97,0)))))</f>
        <v>0</v>
      </c>
      <c r="AQ97" s="442">
        <f>IF(AT97=0,0,IF(AT97&lt;0,IF($J97=6,AT97,IF($J97=5,AT97,IF($J97=4,AT97,0)))))</f>
        <v>0</v>
      </c>
      <c r="AR97" s="442">
        <f>IF(AT97=0,0,IF(AT97&lt;0,IF($J97=9,AT97,IF($J97=8,AT97,IF($J97=7,AT97,0)))))</f>
        <v>0</v>
      </c>
      <c r="AS97" s="443">
        <f>IF(AT97=0,0,IF(AT97&lt;0,IF($J97=12,AT97,IF($J97=11,AT97,IF($J97=10,AT97,0)))))</f>
        <v>0</v>
      </c>
      <c r="AT97" s="440">
        <f t="shared" si="1236"/>
        <v>0</v>
      </c>
      <c r="AU97" s="441">
        <f>IF(AY97=0,0,IF(AY97&lt;0,IF($J97=3,AY97,IF($J97=2,AY97,IF($J97=1,AY97,0)))))</f>
        <v>0</v>
      </c>
      <c r="AV97" s="442">
        <f>IF(AY97=0,0,IF(AY97&lt;0,IF($J97=6,AY97,IF($J97=5,AY97,IF($J97=4,AY97,0)))))</f>
        <v>0</v>
      </c>
      <c r="AW97" s="442">
        <f>IF(AY97=0,0,IF(AY97&lt;0,IF($J97=9,AY97,IF($J97=8,AY97,IF($J97=7,AY97,0)))))</f>
        <v>0</v>
      </c>
      <c r="AX97" s="443">
        <f>IF(AY97=0,0,IF(AY97&lt;0,IF($J97=12,AY97,IF($J97=11,AY97,IF($J97=10,AY97,0)))))</f>
        <v>0</v>
      </c>
      <c r="AY97" s="440">
        <f t="shared" si="1241"/>
        <v>0</v>
      </c>
      <c r="AZ97" s="441">
        <f>IF(BD97=0,0,IF(BD97&lt;0,IF($J97=3,BD97,IF($J97=2,BD97,IF($J97=1,BD97,0)))))</f>
        <v>0</v>
      </c>
      <c r="BA97" s="442">
        <f>IF(BD97=0,0,IF(BD97&lt;0,IF($J97=6,BD97,IF($J97=5,BD97,IF($J97=4,BD97,0)))))</f>
        <v>0</v>
      </c>
      <c r="BB97" s="442">
        <f>IF(BD97=0,0,IF(BD97&lt;0,IF($J97=9,BD97,IF($J97=8,BD97,IF($J97=7,BD97,0)))))</f>
        <v>0</v>
      </c>
      <c r="BC97" s="443">
        <f>IF(BD97=0,0,IF(BD97&lt;0,IF($J97=12,BD97,IF($J97=11,BD97,IF($J97=10,BD97,0)))))</f>
        <v>0</v>
      </c>
      <c r="BD97" s="440">
        <f t="shared" si="1246"/>
        <v>0</v>
      </c>
      <c r="BE97" s="441">
        <f>IF(BI97=0,0,IF(BI97&lt;0,IF($J97=3,BI97,IF($J97=2,BI97,IF($J97=1,BI97,0)))))</f>
        <v>0</v>
      </c>
      <c r="BF97" s="442">
        <f>IF(BI97=0,0,IF(BI97&lt;0,IF($J97=6,BI97,IF($J97=5,BI97,IF($J97=4,BI97,0)))))</f>
        <v>0</v>
      </c>
      <c r="BG97" s="442">
        <f>IF(BI97=0,0,IF(BI97&lt;0,IF($J97=9,BI97,IF($J97=8,BI97,IF($J97=7,BI97,0)))))</f>
        <v>0</v>
      </c>
      <c r="BH97" s="443">
        <f>IF(BI97=0,0,IF(BI97&lt;0,IF($J97=12,BI97,IF($J97=11,BI97,IF($J97=10,BI97,0)))))</f>
        <v>0</v>
      </c>
      <c r="BI97" s="440">
        <f t="shared" si="1251"/>
        <v>0</v>
      </c>
      <c r="BJ97" s="441">
        <f>IF(BN97=0,0,IF(BN97&lt;0,IF($J97=3,BN97,IF($J97=2,BN97,IF($J97=1,BN97,0)))))</f>
        <v>0</v>
      </c>
      <c r="BK97" s="442">
        <f>IF(BN97=0,0,IF(BN97&lt;0,IF($J97=6,BN97,IF($J97=5,BN97,IF($J97=4,BN97,0)))))</f>
        <v>0</v>
      </c>
      <c r="BL97" s="442">
        <f>IF(BN97=0,0,IF(BN97&lt;0,IF($J97=9,BN97,IF($J97=8,BN97,IF($J97=7,BN97,0)))))</f>
        <v>0</v>
      </c>
      <c r="BM97" s="443">
        <f>IF(BN97=0,0,IF(BN97&lt;0,IF($J97=12,BN97,IF($J97=11,BN97,IF($J97=10,BN97,0)))))</f>
        <v>0</v>
      </c>
      <c r="BN97" s="440">
        <f t="shared" si="1256"/>
        <v>0</v>
      </c>
      <c r="BO97" s="470"/>
      <c r="BP97" s="441">
        <f t="shared" si="1257"/>
        <v>0</v>
      </c>
      <c r="BQ97" s="442">
        <f t="shared" si="1258"/>
        <v>0</v>
      </c>
      <c r="BR97" s="442">
        <f t="shared" si="1259"/>
        <v>0</v>
      </c>
      <c r="BS97" s="443">
        <f t="shared" si="1260"/>
        <v>0</v>
      </c>
      <c r="BT97" s="440">
        <f t="shared" si="1261"/>
        <v>0</v>
      </c>
      <c r="BU97" s="441">
        <f t="shared" si="1262"/>
        <v>0</v>
      </c>
      <c r="BV97" s="442">
        <f t="shared" si="1263"/>
        <v>0</v>
      </c>
      <c r="BW97" s="442">
        <f t="shared" si="1264"/>
        <v>0</v>
      </c>
      <c r="BX97" s="443">
        <f t="shared" si="1265"/>
        <v>0</v>
      </c>
      <c r="BY97" s="440">
        <f t="shared" si="1266"/>
        <v>0</v>
      </c>
      <c r="BZ97" s="441">
        <f t="shared" si="1267"/>
        <v>0</v>
      </c>
      <c r="CA97" s="442">
        <f t="shared" si="1268"/>
        <v>0</v>
      </c>
      <c r="CB97" s="442">
        <f t="shared" si="1269"/>
        <v>0</v>
      </c>
      <c r="CC97" s="443">
        <f t="shared" si="1270"/>
        <v>0</v>
      </c>
      <c r="CD97" s="440">
        <f t="shared" si="1271"/>
        <v>0</v>
      </c>
      <c r="CE97" s="441">
        <f t="shared" si="1272"/>
        <v>0</v>
      </c>
      <c r="CF97" s="442">
        <f t="shared" si="1273"/>
        <v>0</v>
      </c>
      <c r="CG97" s="442">
        <f t="shared" si="1274"/>
        <v>0</v>
      </c>
      <c r="CH97" s="443">
        <f t="shared" si="1275"/>
        <v>0</v>
      </c>
      <c r="CI97" s="440">
        <f t="shared" si="1276"/>
        <v>0</v>
      </c>
      <c r="CJ97" s="441">
        <f t="shared" si="1277"/>
        <v>0</v>
      </c>
      <c r="CK97" s="442">
        <f t="shared" si="1278"/>
        <v>0</v>
      </c>
      <c r="CL97" s="442">
        <f t="shared" si="1279"/>
        <v>0</v>
      </c>
      <c r="CM97" s="443">
        <f t="shared" si="1280"/>
        <v>0</v>
      </c>
      <c r="CN97" s="440">
        <f t="shared" si="1281"/>
        <v>0</v>
      </c>
      <c r="CO97" s="441">
        <f t="shared" si="1282"/>
        <v>0</v>
      </c>
      <c r="CP97" s="442">
        <f t="shared" si="1283"/>
        <v>0</v>
      </c>
      <c r="CQ97" s="442">
        <f t="shared" si="1284"/>
        <v>0</v>
      </c>
      <c r="CR97" s="443">
        <f t="shared" si="1285"/>
        <v>0</v>
      </c>
      <c r="CS97" s="440">
        <f t="shared" si="1286"/>
        <v>0</v>
      </c>
      <c r="CT97" s="441">
        <f t="shared" si="1287"/>
        <v>0</v>
      </c>
      <c r="CU97" s="442">
        <f t="shared" si="1288"/>
        <v>0</v>
      </c>
      <c r="CV97" s="442">
        <f t="shared" si="1289"/>
        <v>0</v>
      </c>
      <c r="CW97" s="443">
        <f t="shared" si="1290"/>
        <v>0</v>
      </c>
      <c r="CX97" s="440">
        <f t="shared" si="1291"/>
        <v>0</v>
      </c>
      <c r="CY97" s="441">
        <f>IF($H97&lt;&gt;DC$5,0,IF(DC97&lt;0,IF($J97=1,-$E97*$I97/12*3,IF($J97=2,-$E97*$I97/12*2,IF($J97=3,-$E97*$I97/12*1,0)))))+IF(CX$5&lt;&gt;$H97,0,IF(CX97&lt;0,IF($J97=1,-$E97*$I97/12*0,IF($J97=2,-$E97*$I97/12*1,IF($J97=3,-$E97*$I97/12*2,IF($J97&gt;=4,-$E97*$I97/12*3,0))))))</f>
        <v>0</v>
      </c>
      <c r="CZ97" s="442">
        <f>IF($H97&lt;&gt;DC$5,0,IF(DC97&lt;0,IF(OR($J97=1,$J97=2,$J97=3,$J97=4),-$E97*$I97/12*3,IF($J97=5,-$E97*$I97/12*2,IF($J97=6,-$E97*$I97/12*1,0)))))+IF(CX$5&lt;&gt;$H97,0,IF(CX97&lt;0,IF($J97=4,-$E97*$I97/12*0,IF($J97=5,-$E97*$I97/12*1,IF($J97=6,-$E97*$I97/12*2,IF($J97&gt;=7,-$E97*$I97/12*3,0))))))</f>
        <v>0</v>
      </c>
      <c r="DA97" s="442">
        <f>IF($H97&lt;&gt;DC$5,0,IF(DC97&lt;0,IF(OR($J97=1,$J97=2,$J97=3,$J97=4,$J97=5,$J97=6,$J97=7),-$E97*$I97/12*3,IF($J97=8,-$E97*$I97/12*2,IF($J97=9,-$E97*$I97/12*1,0)))))+IF(CX$5&lt;&gt;$H97,0,IF(CX97&lt;0,IF($J97=7,-$E97*$I97/12*0,IF($J97=8,-$E97*$I97/12*1,IF($J97=9,-$E97*$I97/12*2,IF($J97&gt;=10,-$E97*$I97/12*3,0))))))</f>
        <v>0</v>
      </c>
      <c r="DB97" s="443">
        <f>IF($H97&lt;&gt;DC$5,0,IF(DC97&lt;0,IF(OR($J97=1,$J97=2,$J97=3,$J97=4,$J97=5,$J97=6,$J97=7,$J97=8,$J97=9,$J97=10),-$E97*$I97/12*3,IF($J97=11,-$E97*$I97/12*2,IF($J97=12,-$E97*$I97/12*1,0)))))+IF(CX$5&lt;&gt;$H97,0,IF(CX97&lt;0,IF($J97=10,-$E97*$I97/12*0,IF($J97=11,-$E97*$I97/12*1,IF($J97=12,-$E97*$I97/12*2,0)))))</f>
        <v>0</v>
      </c>
      <c r="DC97" s="440">
        <f>IF(AND(CX97&lt;&gt;0,CX$5=$H97),-$I97*$E97-CX97,IF(DC$5=$H97,-$I97*$E97*(12-$J97+1)/12,0))</f>
        <v>0</v>
      </c>
      <c r="DD97" s="441">
        <f>IF($H97&lt;&gt;DH$5,0,IF(DH97&lt;0,IF($J97=1,-$E97*$I97/12*3,IF($J97=2,-$E97*$I97/12*2,IF($J97=3,-$E97*$I97/12*1,0)))))+IF(DC$5&lt;&gt;$H97,0,IF(DC97&lt;0,IF($J97=1,-$E97*$I97/12*0,IF($J97=2,-$E97*$I97/12*1,IF($J97=3,-$E97*$I97/12*2,IF($J97&gt;=4,-$E97*$I97/12*3,0))))))</f>
        <v>0</v>
      </c>
      <c r="DE97" s="442">
        <f>IF($H97&lt;&gt;DH$5,0,IF(DH97&lt;0,IF(OR($J97=1,$J97=2,$J97=3,$J97=4),-$E97*$I97/12*3,IF($J97=5,-$E97*$I97/12*2,IF($J97=6,-$E97*$I97/12*1,0)))))+IF(DC$5&lt;&gt;$H97,0,IF(DC97&lt;0,IF($J97=4,-$E97*$I97/12*0,IF($J97=5,-$E97*$I97/12*1,IF($J97=6,-$E97*$I97/12*2,IF($J97&gt;=7,-$E97*$I97/12*3,0))))))</f>
        <v>0</v>
      </c>
      <c r="DF97" s="442">
        <f>IF($H97&lt;&gt;DH$5,0,IF(DH97&lt;0,IF(OR($J97=1,$J97=2,$J97=3,$J97=4,$J97=5,$J97=6,$J97=7),-$E97*$I97/12*3,IF($J97=8,-$E97*$I97/12*2,IF($J97=9,-$E97*$I97/12*1,0)))))+IF(DC$5&lt;&gt;$H97,0,IF(DC97&lt;0,IF($J97=7,-$E97*$I97/12*0,IF($J97=8,-$E97*$I97/12*1,IF($J97=9,-$E97*$I97/12*2,IF($J97&gt;=10,-$E97*$I97/12*3,0))))))</f>
        <v>0</v>
      </c>
      <c r="DG97" s="443">
        <f>IF($H97&lt;&gt;DH$5,0,IF(DH97&lt;0,IF(OR($J97=1,$J97=2,$J97=3,$J97=4,$J97=5,$J97=6,$J97=7,$J97=8,$J97=9,$J97=10),-$E97*$I97/12*3,IF($J97=11,-$E97*$I97/12*2,IF($J97=12,-$E97*$I97/12*1,0)))))+IF(DC$5&lt;&gt;$H97,0,IF(DC97&lt;0,IF($J97=10,-$E97*$I97/12*0,IF($J97=11,-$E97*$I97/12*1,IF($J97=12,-$E97*$I97/12*2,0)))))</f>
        <v>0</v>
      </c>
      <c r="DH97" s="440">
        <f>IF(AND(DC97&lt;&gt;0,DC$5=$H97),-$I97*$E97-DC97,IF(DH$5=$H97,-$I97*$E97*(12-$J97+1)/12,0))</f>
        <v>0</v>
      </c>
      <c r="DI97" s="441">
        <f>IF($H97&lt;&gt;DM$5,0,IF(DM97&lt;0,IF($J97=1,-$E97*$I97/12*3,IF($J97=2,-$E97*$I97/12*2,IF($J97=3,-$E97*$I97/12*1,0)))))+IF(DH$5&lt;&gt;$H97,0,IF(DH97&lt;0,IF($J97=1,-$E97*$I97/12*0,IF($J97=2,-$E97*$I97/12*1,IF($J97=3,-$E97*$I97/12*2,IF($J97&gt;=4,-$E97*$I97/12*3,0))))))</f>
        <v>0</v>
      </c>
      <c r="DJ97" s="442">
        <f>IF($H97&lt;&gt;DM$5,0,IF(DM97&lt;0,IF(OR($J97=1,$J97=2,$J97=3,$J97=4),-$E97*$I97/12*3,IF($J97=5,-$E97*$I97/12*2,IF($J97=6,-$E97*$I97/12*1,0)))))+IF(DH$5&lt;&gt;$H97,0,IF(DH97&lt;0,IF($J97=4,-$E97*$I97/12*0,IF($J97=5,-$E97*$I97/12*1,IF($J97=6,-$E97*$I97/12*2,IF($J97&gt;=7,-$E97*$I97/12*3,0))))))</f>
        <v>0</v>
      </c>
      <c r="DK97" s="442">
        <f>IF($H97&lt;&gt;DM$5,0,IF(DM97&lt;0,IF(OR($J97=1,$J97=2,$J97=3,$J97=4,$J97=5,$J97=6,$J97=7),-$E97*$I97/12*3,IF($J97=8,-$E97*$I97/12*2,IF($J97=9,-$E97*$I97/12*1,0)))))+IF(DH$5&lt;&gt;$H97,0,IF(DH97&lt;0,IF($J97=7,-$E97*$I97/12*0,IF($J97=8,-$E97*$I97/12*1,IF($J97=9,-$E97*$I97/12*2,IF($J97&gt;=10,-$E97*$I97/12*3,0))))))</f>
        <v>0</v>
      </c>
      <c r="DL97" s="443">
        <f>IF($H97&lt;&gt;DM$5,0,IF(DM97&lt;0,IF(OR($J97=1,$J97=2,$J97=3,$J97=4,$J97=5,$J97=6,$J97=7,$J97=8,$J97=9,$J97=10),-$E97*$I97/12*3,IF($J97=11,-$E97*$I97/12*2,IF($J97=12,-$E97*$I97/12*1,0)))))+IF(DH$5&lt;&gt;$H97,0,IF(DH97&lt;0,IF($J97=10,-$E97*$I97/12*0,IF($J97=11,-$E97*$I97/12*1,IF($J97=12,-$E97*$I97/12*2,0)))))</f>
        <v>0</v>
      </c>
      <c r="DM97" s="440">
        <f>IF(AND(DH97&lt;&gt;0,DH$5=$H97),-$I97*$E97-DH97,IF(DM$5=$H97,-$I97*$E97*(12-$J97+1)/12,0))</f>
        <v>0</v>
      </c>
      <c r="DN97" s="441">
        <f>IF($H97&lt;&gt;DR$5,0,IF(DR97&lt;0,IF($J97=1,-$E97*$I97/12*3,IF($J97=2,-$E97*$I97/12*2,IF($J97=3,-$E97*$I97/12*1,0)))))+IF(DM$5&lt;&gt;$H97,0,IF(DM97&lt;0,IF($J97=1,-$E97*$I97/12*0,IF($J97=2,-$E97*$I97/12*1,IF($J97=3,-$E97*$I97/12*2,IF($J97&gt;=4,-$E97*$I97/12*3,0))))))</f>
        <v>0</v>
      </c>
      <c r="DO97" s="442">
        <f>IF($H97&lt;&gt;DR$5,0,IF(DR97&lt;0,IF(OR($J97=1,$J97=2,$J97=3,$J97=4),-$E97*$I97/12*3,IF($J97=5,-$E97*$I97/12*2,IF($J97=6,-$E97*$I97/12*1,0)))))+IF(DM$5&lt;&gt;$H97,0,IF(DM97&lt;0,IF($J97=4,-$E97*$I97/12*0,IF($J97=5,-$E97*$I97/12*1,IF($J97=6,-$E97*$I97/12*2,IF($J97&gt;=7,-$E97*$I97/12*3,0))))))</f>
        <v>0</v>
      </c>
      <c r="DP97" s="442">
        <f>IF($H97&lt;&gt;DR$5,0,IF(DR97&lt;0,IF(OR($J97=1,$J97=2,$J97=3,$J97=4,$J97=5,$J97=6,$J97=7),-$E97*$I97/12*3,IF($J97=8,-$E97*$I97/12*2,IF($J97=9,-$E97*$I97/12*1,0)))))+IF(DM$5&lt;&gt;$H97,0,IF(DM97&lt;0,IF($J97=7,-$E97*$I97/12*0,IF($J97=8,-$E97*$I97/12*1,IF($J97=9,-$E97*$I97/12*2,IF($J97&gt;=10,-$E97*$I97/12*3,0))))))</f>
        <v>0</v>
      </c>
      <c r="DQ97" s="443">
        <f>IF($H97&lt;&gt;DR$5,0,IF(DR97&lt;0,IF(OR($J97=1,$J97=2,$J97=3,$J97=4,$J97=5,$J97=6,$J97=7,$J97=8,$J97=9,$J97=10),-$E97*$I97/12*3,IF($J97=11,-$E97*$I97/12*2,IF($J97=12,-$E97*$I97/12*1,0)))))+IF(DM$5&lt;&gt;$H97,0,IF(DM97&lt;0,IF($J97=10,-$E97*$I97/12*0,IF($J97=11,-$E97*$I97/12*1,IF($J97=12,-$E97*$I97/12*2,0)))))</f>
        <v>0</v>
      </c>
      <c r="DR97" s="440">
        <f>IF(AND(DM97&lt;&gt;0,DM$5=$H97),-$I97*$E97-DM97,IF(DR$5=$H97,-$I97*$E97*(12-$J97+1)/12,0))</f>
        <v>0</v>
      </c>
    </row>
    <row r="98" spans="1:122" ht="12.75" customHeight="1">
      <c r="C98" s="1590" t="s">
        <v>1178</v>
      </c>
      <c r="D98" s="395"/>
      <c r="E98" s="865">
        <f t="shared" si="1201"/>
        <v>60</v>
      </c>
      <c r="F98" s="1945">
        <v>60</v>
      </c>
      <c r="G98" s="1945">
        <v>60</v>
      </c>
      <c r="H98" s="1308">
        <v>2035</v>
      </c>
      <c r="I98" s="1948">
        <v>4.3749999999999997E-2</v>
      </c>
      <c r="J98" s="1357">
        <v>1</v>
      </c>
      <c r="K98" s="549"/>
      <c r="L98" s="441">
        <f>IF(P98=0,0,IF(P98&lt;0,IF($J98=3,P98,IF($J98=2,P98,IF($J98=1,P98,0)))))</f>
        <v>0</v>
      </c>
      <c r="M98" s="442">
        <f>IF(P98=0,0,IF(P98&lt;0,IF($J98=6,P98,IF($J98=5,P98,IF($J98=4,P98,0)))))</f>
        <v>0</v>
      </c>
      <c r="N98" s="442">
        <f>IF(P98=0,0,IF(P98&lt;0,IF($J98=9,P98,IF($J98=8,P98,IF($J98=7,P98,0)))))</f>
        <v>0</v>
      </c>
      <c r="O98" s="443">
        <f>IF(P98=0,0,IF(P98&lt;0,IF($J98=12,P98,IF($J98=11,P98,IF($J98=10,P98,0)))))</f>
        <v>0</v>
      </c>
      <c r="P98" s="440">
        <f t="shared" si="1206"/>
        <v>0</v>
      </c>
      <c r="Q98" s="441">
        <f>IF(U98=0,0,IF(U98&lt;0,IF($J98=3,U98,IF($J98=2,U98,IF($J98=1,U98,0)))))</f>
        <v>0</v>
      </c>
      <c r="R98" s="442">
        <f>IF(U98=0,0,IF(U98&lt;0,IF($J98=6,U98,IF($J98=5,U98,IF($J98=4,U98,0)))))</f>
        <v>0</v>
      </c>
      <c r="S98" s="442">
        <f>IF(U98=0,0,IF(U98&lt;0,IF($J98=9,U98,IF($J98=8,U98,IF($J98=7,U98,0)))))</f>
        <v>0</v>
      </c>
      <c r="T98" s="443">
        <f>IF(U98=0,0,IF(U98&lt;0,IF($J98=12,U98,IF($J98=11,U98,IF($J98=10,U98,0)))))</f>
        <v>0</v>
      </c>
      <c r="U98" s="440">
        <f t="shared" si="1211"/>
        <v>0</v>
      </c>
      <c r="V98" s="441">
        <f>IF(Z98=0,0,IF(Z98&lt;0,IF($J98=3,Z98,IF($J98=2,Z98,IF($J98=1,Z98,0)))))</f>
        <v>0</v>
      </c>
      <c r="W98" s="442">
        <f>IF(Z98=0,0,IF(Z98&lt;0,IF($J98=6,Z98,IF($J98=5,Z98,IF($J98=4,Z98,0)))))</f>
        <v>0</v>
      </c>
      <c r="X98" s="442">
        <f>IF(Z98=0,0,IF(Z98&lt;0,IF($J98=9,Z98,IF($J98=8,Z98,IF($J98=7,Z98,0)))))</f>
        <v>0</v>
      </c>
      <c r="Y98" s="443">
        <f>IF(Z98=0,0,IF(Z98&lt;0,IF($J98=12,Z98,IF($J98=11,Z98,IF($J98=10,Z98,0)))))</f>
        <v>0</v>
      </c>
      <c r="Z98" s="440">
        <f t="shared" si="1216"/>
        <v>0</v>
      </c>
      <c r="AA98" s="441">
        <f>IF(AE98=0,0,IF(AE98&lt;0,IF($J98=3,AE98,IF($J98=2,AE98,IF($J98=1,AE98,0)))))</f>
        <v>0</v>
      </c>
      <c r="AB98" s="442">
        <f>IF(AE98=0,0,IF(AE98&lt;0,IF($J98=6,AE98,IF($J98=5,AE98,IF($J98=4,AE98,0)))))</f>
        <v>0</v>
      </c>
      <c r="AC98" s="442">
        <f>IF(AE98=0,0,IF(AE98&lt;0,IF($J98=9,AE98,IF($J98=8,AE98,IF($J98=7,AE98,0)))))</f>
        <v>0</v>
      </c>
      <c r="AD98" s="443">
        <f>IF(AE98=0,0,IF(AE98&lt;0,IF($J98=12,AE98,IF($J98=11,AE98,IF($J98=10,AE98,0)))))</f>
        <v>0</v>
      </c>
      <c r="AE98" s="440">
        <f t="shared" si="1221"/>
        <v>0</v>
      </c>
      <c r="AF98" s="441">
        <f>IF(AJ98=0,0,IF(AJ98&lt;0,IF($J98=3,AJ98,IF($J98=2,AJ98,IF($J98=1,AJ98,0)))))</f>
        <v>0</v>
      </c>
      <c r="AG98" s="442">
        <f>IF(AJ98=0,0,IF(AJ98&lt;0,IF($J98=6,AJ98,IF($J98=5,AJ98,IF($J98=4,AJ98,0)))))</f>
        <v>0</v>
      </c>
      <c r="AH98" s="442">
        <f>IF(AJ98=0,0,IF(AJ98&lt;0,IF($J98=9,AJ98,IF($J98=8,AJ98,IF($J98=7,AJ98,0)))))</f>
        <v>0</v>
      </c>
      <c r="AI98" s="443">
        <f>IF(AJ98=0,0,IF(AJ98&lt;0,IF($J98=12,AJ98,IF($J98=11,AJ98,IF($J98=10,AJ98,0)))))</f>
        <v>0</v>
      </c>
      <c r="AJ98" s="440">
        <f t="shared" si="1226"/>
        <v>0</v>
      </c>
      <c r="AK98" s="441">
        <f>IF(AO98=0,0,IF(AO98&lt;0,IF($J98=3,AO98,IF($J98=2,AO98,IF($J98=1,AO98,0)))))</f>
        <v>0</v>
      </c>
      <c r="AL98" s="442">
        <f>IF(AO98=0,0,IF(AO98&lt;0,IF($J98=6,AO98,IF($J98=5,AO98,IF($J98=4,AO98,0)))))</f>
        <v>0</v>
      </c>
      <c r="AM98" s="442">
        <f>IF(AO98=0,0,IF(AO98&lt;0,IF($J98=9,AO98,IF($J98=8,AO98,IF($J98=7,AO98,0)))))</f>
        <v>0</v>
      </c>
      <c r="AN98" s="443">
        <f>IF(AO98=0,0,IF(AO98&lt;0,IF($J98=12,AO98,IF($J98=11,AO98,IF($J98=10,AO98,0)))))</f>
        <v>0</v>
      </c>
      <c r="AO98" s="440">
        <f t="shared" si="1231"/>
        <v>0</v>
      </c>
      <c r="AP98" s="441">
        <f>IF(AT98=0,0,IF(AT98&lt;0,IF($J98=3,AT98,IF($J98=2,AT98,IF($J98=1,AT98,0)))))</f>
        <v>0</v>
      </c>
      <c r="AQ98" s="442">
        <f>IF(AT98=0,0,IF(AT98&lt;0,IF($J98=6,AT98,IF($J98=5,AT98,IF($J98=4,AT98,0)))))</f>
        <v>0</v>
      </c>
      <c r="AR98" s="442">
        <f>IF(AT98=0,0,IF(AT98&lt;0,IF($J98=9,AT98,IF($J98=8,AT98,IF($J98=7,AT98,0)))))</f>
        <v>0</v>
      </c>
      <c r="AS98" s="443">
        <f>IF(AT98=0,0,IF(AT98&lt;0,IF($J98=12,AT98,IF($J98=11,AT98,IF($J98=10,AT98,0)))))</f>
        <v>0</v>
      </c>
      <c r="AT98" s="440">
        <f t="shared" si="1236"/>
        <v>0</v>
      </c>
      <c r="AU98" s="441">
        <f>IF(AY98=0,0,IF(AY98&lt;0,IF($J98=3,AY98,IF($J98=2,AY98,IF($J98=1,AY98,0)))))</f>
        <v>0</v>
      </c>
      <c r="AV98" s="442">
        <f>IF(AY98=0,0,IF(AY98&lt;0,IF($J98=6,AY98,IF($J98=5,AY98,IF($J98=4,AY98,0)))))</f>
        <v>0</v>
      </c>
      <c r="AW98" s="442">
        <f>IF(AY98=0,0,IF(AY98&lt;0,IF($J98=9,AY98,IF($J98=8,AY98,IF($J98=7,AY98,0)))))</f>
        <v>0</v>
      </c>
      <c r="AX98" s="443">
        <f>IF(AY98=0,0,IF(AY98&lt;0,IF($J98=12,AY98,IF($J98=11,AY98,IF($J98=10,AY98,0)))))</f>
        <v>0</v>
      </c>
      <c r="AY98" s="440">
        <f t="shared" si="1241"/>
        <v>0</v>
      </c>
      <c r="AZ98" s="441">
        <f>IF(BD98=0,0,IF(BD98&lt;0,IF($J98=3,BD98,IF($J98=2,BD98,IF($J98=1,BD98,0)))))</f>
        <v>0</v>
      </c>
      <c r="BA98" s="442">
        <f>IF(BD98=0,0,IF(BD98&lt;0,IF($J98=6,BD98,IF($J98=5,BD98,IF($J98=4,BD98,0)))))</f>
        <v>0</v>
      </c>
      <c r="BB98" s="442">
        <f>IF(BD98=0,0,IF(BD98&lt;0,IF($J98=9,BD98,IF($J98=8,BD98,IF($J98=7,BD98,0)))))</f>
        <v>0</v>
      </c>
      <c r="BC98" s="443">
        <f>IF(BD98=0,0,IF(BD98&lt;0,IF($J98=12,BD98,IF($J98=11,BD98,IF($J98=10,BD98,0)))))</f>
        <v>0</v>
      </c>
      <c r="BD98" s="440">
        <f t="shared" si="1246"/>
        <v>0</v>
      </c>
      <c r="BE98" s="441">
        <f>IF(BI98=0,0,IF(BI98&lt;0,IF($J98=3,BI98,IF($J98=2,BI98,IF($J98=1,BI98,0)))))</f>
        <v>0</v>
      </c>
      <c r="BF98" s="442">
        <f>IF(BI98=0,0,IF(BI98&lt;0,IF($J98=6,BI98,IF($J98=5,BI98,IF($J98=4,BI98,0)))))</f>
        <v>0</v>
      </c>
      <c r="BG98" s="442">
        <f>IF(BI98=0,0,IF(BI98&lt;0,IF($J98=9,BI98,IF($J98=8,BI98,IF($J98=7,BI98,0)))))</f>
        <v>0</v>
      </c>
      <c r="BH98" s="443">
        <f>IF(BI98=0,0,IF(BI98&lt;0,IF($J98=12,BI98,IF($J98=11,BI98,IF($J98=10,BI98,0)))))</f>
        <v>0</v>
      </c>
      <c r="BI98" s="440">
        <f t="shared" si="1251"/>
        <v>0</v>
      </c>
      <c r="BJ98" s="441">
        <f>IF(BN98=0,0,IF(BN98&lt;0,IF($J98=3,BN98,IF($J98=2,BN98,IF($J98=1,BN98,0)))))</f>
        <v>0</v>
      </c>
      <c r="BK98" s="442">
        <f>IF(BN98=0,0,IF(BN98&lt;0,IF($J98=6,BN98,IF($J98=5,BN98,IF($J98=4,BN98,0)))))</f>
        <v>0</v>
      </c>
      <c r="BL98" s="442">
        <f>IF(BN98=0,0,IF(BN98&lt;0,IF($J98=9,BN98,IF($J98=8,BN98,IF($J98=7,BN98,0)))))</f>
        <v>0</v>
      </c>
      <c r="BM98" s="443">
        <f>IF(BN98=0,0,IF(BN98&lt;0,IF($J98=12,BN98,IF($J98=11,BN98,IF($J98=10,BN98,0)))))</f>
        <v>0</v>
      </c>
      <c r="BN98" s="440">
        <f t="shared" si="1256"/>
        <v>0</v>
      </c>
      <c r="BO98" s="470"/>
      <c r="BP98" s="441">
        <f t="shared" si="1257"/>
        <v>0</v>
      </c>
      <c r="BQ98" s="442">
        <f t="shared" si="1258"/>
        <v>0</v>
      </c>
      <c r="BR98" s="442">
        <f t="shared" si="1259"/>
        <v>0</v>
      </c>
      <c r="BS98" s="443">
        <f t="shared" si="1260"/>
        <v>0</v>
      </c>
      <c r="BT98" s="440">
        <f t="shared" si="1261"/>
        <v>0</v>
      </c>
      <c r="BU98" s="441">
        <f t="shared" si="1262"/>
        <v>0</v>
      </c>
      <c r="BV98" s="442">
        <f t="shared" si="1263"/>
        <v>0</v>
      </c>
      <c r="BW98" s="442">
        <f t="shared" si="1264"/>
        <v>0</v>
      </c>
      <c r="BX98" s="443">
        <f t="shared" si="1265"/>
        <v>0</v>
      </c>
      <c r="BY98" s="440">
        <f t="shared" si="1266"/>
        <v>0</v>
      </c>
      <c r="BZ98" s="441">
        <f t="shared" si="1267"/>
        <v>0</v>
      </c>
      <c r="CA98" s="442">
        <f t="shared" si="1268"/>
        <v>0</v>
      </c>
      <c r="CB98" s="442">
        <f t="shared" si="1269"/>
        <v>0</v>
      </c>
      <c r="CC98" s="443">
        <f t="shared" si="1270"/>
        <v>0</v>
      </c>
      <c r="CD98" s="440">
        <f t="shared" si="1271"/>
        <v>0</v>
      </c>
      <c r="CE98" s="441">
        <f t="shared" si="1272"/>
        <v>0</v>
      </c>
      <c r="CF98" s="442">
        <f t="shared" si="1273"/>
        <v>0</v>
      </c>
      <c r="CG98" s="442">
        <f t="shared" si="1274"/>
        <v>0</v>
      </c>
      <c r="CH98" s="443">
        <f t="shared" si="1275"/>
        <v>0</v>
      </c>
      <c r="CI98" s="440">
        <f t="shared" si="1276"/>
        <v>0</v>
      </c>
      <c r="CJ98" s="441">
        <f t="shared" si="1277"/>
        <v>0</v>
      </c>
      <c r="CK98" s="442">
        <f t="shared" si="1278"/>
        <v>0</v>
      </c>
      <c r="CL98" s="442">
        <f t="shared" si="1279"/>
        <v>0</v>
      </c>
      <c r="CM98" s="443">
        <f t="shared" si="1280"/>
        <v>0</v>
      </c>
      <c r="CN98" s="440">
        <f t="shared" si="1281"/>
        <v>0</v>
      </c>
      <c r="CO98" s="441">
        <f t="shared" si="1282"/>
        <v>0</v>
      </c>
      <c r="CP98" s="442">
        <f t="shared" si="1283"/>
        <v>0</v>
      </c>
      <c r="CQ98" s="442">
        <f t="shared" si="1284"/>
        <v>0</v>
      </c>
      <c r="CR98" s="443">
        <f t="shared" si="1285"/>
        <v>0</v>
      </c>
      <c r="CS98" s="440">
        <f t="shared" si="1286"/>
        <v>0</v>
      </c>
      <c r="CT98" s="441">
        <f t="shared" si="1287"/>
        <v>0</v>
      </c>
      <c r="CU98" s="442">
        <f t="shared" si="1288"/>
        <v>0</v>
      </c>
      <c r="CV98" s="442">
        <f t="shared" si="1289"/>
        <v>0</v>
      </c>
      <c r="CW98" s="443">
        <f t="shared" si="1290"/>
        <v>0</v>
      </c>
      <c r="CX98" s="440">
        <f t="shared" si="1291"/>
        <v>0</v>
      </c>
      <c r="CY98" s="441">
        <f>IF($H98&lt;&gt;DC$5,0,IF(DC98&lt;0,IF($J98=1,-$E98*$I98/12*3,IF($J98=2,-$E98*$I98/12*2,IF($J98=3,-$E98*$I98/12*1,0)))))+IF(CX$5&lt;&gt;$H98,0,IF(CX98&lt;0,IF($J98=1,-$E98*$I98/12*0,IF($J98=2,-$E98*$I98/12*1,IF($J98=3,-$E98*$I98/12*2,IF($J98&gt;=4,-$E98*$I98/12*3,0))))))</f>
        <v>0</v>
      </c>
      <c r="CZ98" s="442">
        <f>IF($H98&lt;&gt;DC$5,0,IF(DC98&lt;0,IF(OR($J98=1,$J98=2,$J98=3,$J98=4),-$E98*$I98/12*3,IF($J98=5,-$E98*$I98/12*2,IF($J98=6,-$E98*$I98/12*1,0)))))+IF(CX$5&lt;&gt;$H98,0,IF(CX98&lt;0,IF($J98=4,-$E98*$I98/12*0,IF($J98=5,-$E98*$I98/12*1,IF($J98=6,-$E98*$I98/12*2,IF($J98&gt;=7,-$E98*$I98/12*3,0))))))</f>
        <v>0</v>
      </c>
      <c r="DA98" s="442">
        <f>IF($H98&lt;&gt;DC$5,0,IF(DC98&lt;0,IF(OR($J98=1,$J98=2,$J98=3,$J98=4,$J98=5,$J98=6,$J98=7),-$E98*$I98/12*3,IF($J98=8,-$E98*$I98/12*2,IF($J98=9,-$E98*$I98/12*1,0)))))+IF(CX$5&lt;&gt;$H98,0,IF(CX98&lt;0,IF($J98=7,-$E98*$I98/12*0,IF($J98=8,-$E98*$I98/12*1,IF($J98=9,-$E98*$I98/12*2,IF($J98&gt;=10,-$E98*$I98/12*3,0))))))</f>
        <v>0</v>
      </c>
      <c r="DB98" s="443">
        <f>IF($H98&lt;&gt;DC$5,0,IF(DC98&lt;0,IF(OR($J98=1,$J98=2,$J98=3,$J98=4,$J98=5,$J98=6,$J98=7,$J98=8,$J98=9,$J98=10),-$E98*$I98/12*3,IF($J98=11,-$E98*$I98/12*2,IF($J98=12,-$E98*$I98/12*1,0)))))+IF(CX$5&lt;&gt;$H98,0,IF(CX98&lt;0,IF($J98=10,-$E98*$I98/12*0,IF($J98=11,-$E98*$I98/12*1,IF($J98=12,-$E98*$I98/12*2,0)))))</f>
        <v>0</v>
      </c>
      <c r="DC98" s="440">
        <f>IF(AND(CX98&lt;&gt;0,CX$5=$H98),-$I98*$E98-CX98,IF(DC$5=$H98,-$I98*$E98*(12-$J98+1)/12,0))</f>
        <v>0</v>
      </c>
      <c r="DD98" s="441">
        <f>IF($H98&lt;&gt;DH$5,0,IF(DH98&lt;0,IF($J98=1,-$E98*$I98/12*3,IF($J98=2,-$E98*$I98/12*2,IF($J98=3,-$E98*$I98/12*1,0)))))+IF(DC$5&lt;&gt;$H98,0,IF(DC98&lt;0,IF($J98=1,-$E98*$I98/12*0,IF($J98=2,-$E98*$I98/12*1,IF($J98=3,-$E98*$I98/12*2,IF($J98&gt;=4,-$E98*$I98/12*3,0))))))</f>
        <v>0</v>
      </c>
      <c r="DE98" s="442">
        <f>IF($H98&lt;&gt;DH$5,0,IF(DH98&lt;0,IF(OR($J98=1,$J98=2,$J98=3,$J98=4),-$E98*$I98/12*3,IF($J98=5,-$E98*$I98/12*2,IF($J98=6,-$E98*$I98/12*1,0)))))+IF(DC$5&lt;&gt;$H98,0,IF(DC98&lt;0,IF($J98=4,-$E98*$I98/12*0,IF($J98=5,-$E98*$I98/12*1,IF($J98=6,-$E98*$I98/12*2,IF($J98&gt;=7,-$E98*$I98/12*3,0))))))</f>
        <v>0</v>
      </c>
      <c r="DF98" s="442">
        <f>IF($H98&lt;&gt;DH$5,0,IF(DH98&lt;0,IF(OR($J98=1,$J98=2,$J98=3,$J98=4,$J98=5,$J98=6,$J98=7),-$E98*$I98/12*3,IF($J98=8,-$E98*$I98/12*2,IF($J98=9,-$E98*$I98/12*1,0)))))+IF(DC$5&lt;&gt;$H98,0,IF(DC98&lt;0,IF($J98=7,-$E98*$I98/12*0,IF($J98=8,-$E98*$I98/12*1,IF($J98=9,-$E98*$I98/12*2,IF($J98&gt;=10,-$E98*$I98/12*3,0))))))</f>
        <v>0</v>
      </c>
      <c r="DG98" s="443">
        <f>IF($H98&lt;&gt;DH$5,0,IF(DH98&lt;0,IF(OR($J98=1,$J98=2,$J98=3,$J98=4,$J98=5,$J98=6,$J98=7,$J98=8,$J98=9,$J98=10),-$E98*$I98/12*3,IF($J98=11,-$E98*$I98/12*2,IF($J98=12,-$E98*$I98/12*1,0)))))+IF(DC$5&lt;&gt;$H98,0,IF(DC98&lt;0,IF($J98=10,-$E98*$I98/12*0,IF($J98=11,-$E98*$I98/12*1,IF($J98=12,-$E98*$I98/12*2,0)))))</f>
        <v>0</v>
      </c>
      <c r="DH98" s="440">
        <f>IF(AND(DC98&lt;&gt;0,DC$5=$H98),-$I98*$E98-DC98,IF(DH$5=$H98,-$I98*$E98*(12-$J98+1)/12,0))</f>
        <v>0</v>
      </c>
      <c r="DI98" s="441">
        <f>IF($H98&lt;&gt;DM$5,0,IF(DM98&lt;0,IF($J98=1,-$E98*$I98/12*3,IF($J98=2,-$E98*$I98/12*2,IF($J98=3,-$E98*$I98/12*1,0)))))+IF(DH$5&lt;&gt;$H98,0,IF(DH98&lt;0,IF($J98=1,-$E98*$I98/12*0,IF($J98=2,-$E98*$I98/12*1,IF($J98=3,-$E98*$I98/12*2,IF($J98&gt;=4,-$E98*$I98/12*3,0))))))</f>
        <v>0</v>
      </c>
      <c r="DJ98" s="442">
        <f>IF($H98&lt;&gt;DM$5,0,IF(DM98&lt;0,IF(OR($J98=1,$J98=2,$J98=3,$J98=4),-$E98*$I98/12*3,IF($J98=5,-$E98*$I98/12*2,IF($J98=6,-$E98*$I98/12*1,0)))))+IF(DH$5&lt;&gt;$H98,0,IF(DH98&lt;0,IF($J98=4,-$E98*$I98/12*0,IF($J98=5,-$E98*$I98/12*1,IF($J98=6,-$E98*$I98/12*2,IF($J98&gt;=7,-$E98*$I98/12*3,0))))))</f>
        <v>0</v>
      </c>
      <c r="DK98" s="442">
        <f>IF($H98&lt;&gt;DM$5,0,IF(DM98&lt;0,IF(OR($J98=1,$J98=2,$J98=3,$J98=4,$J98=5,$J98=6,$J98=7),-$E98*$I98/12*3,IF($J98=8,-$E98*$I98/12*2,IF($J98=9,-$E98*$I98/12*1,0)))))+IF(DH$5&lt;&gt;$H98,0,IF(DH98&lt;0,IF($J98=7,-$E98*$I98/12*0,IF($J98=8,-$E98*$I98/12*1,IF($J98=9,-$E98*$I98/12*2,IF($J98&gt;=10,-$E98*$I98/12*3,0))))))</f>
        <v>0</v>
      </c>
      <c r="DL98" s="443">
        <f>IF($H98&lt;&gt;DM$5,0,IF(DM98&lt;0,IF(OR($J98=1,$J98=2,$J98=3,$J98=4,$J98=5,$J98=6,$J98=7,$J98=8,$J98=9,$J98=10),-$E98*$I98/12*3,IF($J98=11,-$E98*$I98/12*2,IF($J98=12,-$E98*$I98/12*1,0)))))+IF(DH$5&lt;&gt;$H98,0,IF(DH98&lt;0,IF($J98=10,-$E98*$I98/12*0,IF($J98=11,-$E98*$I98/12*1,IF($J98=12,-$E98*$I98/12*2,0)))))</f>
        <v>0</v>
      </c>
      <c r="DM98" s="440">
        <f>IF(AND(DH98&lt;&gt;0,DH$5=$H98),-$I98*$E98-DH98,IF(DM$5=$H98,-$I98*$E98*(12-$J98+1)/12,0))</f>
        <v>0</v>
      </c>
      <c r="DN98" s="441">
        <f>IF($H98&lt;&gt;DR$5,0,IF(DR98&lt;0,IF($J98=1,-$E98*$I98/12*3,IF($J98=2,-$E98*$I98/12*2,IF($J98=3,-$E98*$I98/12*1,0)))))+IF(DM$5&lt;&gt;$H98,0,IF(DM98&lt;0,IF($J98=1,-$E98*$I98/12*0,IF($J98=2,-$E98*$I98/12*1,IF($J98=3,-$E98*$I98/12*2,IF($J98&gt;=4,-$E98*$I98/12*3,0))))))</f>
        <v>0</v>
      </c>
      <c r="DO98" s="442">
        <f>IF($H98&lt;&gt;DR$5,0,IF(DR98&lt;0,IF(OR($J98=1,$J98=2,$J98=3,$J98=4),-$E98*$I98/12*3,IF($J98=5,-$E98*$I98/12*2,IF($J98=6,-$E98*$I98/12*1,0)))))+IF(DM$5&lt;&gt;$H98,0,IF(DM98&lt;0,IF($J98=4,-$E98*$I98/12*0,IF($J98=5,-$E98*$I98/12*1,IF($J98=6,-$E98*$I98/12*2,IF($J98&gt;=7,-$E98*$I98/12*3,0))))))</f>
        <v>0</v>
      </c>
      <c r="DP98" s="442">
        <f>IF($H98&lt;&gt;DR$5,0,IF(DR98&lt;0,IF(OR($J98=1,$J98=2,$J98=3,$J98=4,$J98=5,$J98=6,$J98=7),-$E98*$I98/12*3,IF($J98=8,-$E98*$I98/12*2,IF($J98=9,-$E98*$I98/12*1,0)))))+IF(DM$5&lt;&gt;$H98,0,IF(DM98&lt;0,IF($J98=7,-$E98*$I98/12*0,IF($J98=8,-$E98*$I98/12*1,IF($J98=9,-$E98*$I98/12*2,IF($J98&gt;=10,-$E98*$I98/12*3,0))))))</f>
        <v>0</v>
      </c>
      <c r="DQ98" s="443">
        <f>IF($H98&lt;&gt;DR$5,0,IF(DR98&lt;0,IF(OR($J98=1,$J98=2,$J98=3,$J98=4,$J98=5,$J98=6,$J98=7,$J98=8,$J98=9,$J98=10),-$E98*$I98/12*3,IF($J98=11,-$E98*$I98/12*2,IF($J98=12,-$E98*$I98/12*1,0)))))+IF(DM$5&lt;&gt;$H98,0,IF(DM98&lt;0,IF($J98=10,-$E98*$I98/12*0,IF($J98=11,-$E98*$I98/12*1,IF($J98=12,-$E98*$I98/12*2,0)))))</f>
        <v>0</v>
      </c>
      <c r="DR98" s="440">
        <f>IF(AND(DM98&lt;&gt;0,DM$5=$H98),-$I98*$E98-DM98,IF(DR$5=$H98,-$I98*$E98*(12-$J98+1)/12,0))</f>
        <v>0</v>
      </c>
    </row>
    <row r="99" spans="1:122" ht="12.75" customHeight="1">
      <c r="C99" s="1362"/>
      <c r="D99" s="395"/>
      <c r="E99" s="202"/>
      <c r="F99" s="1355"/>
      <c r="G99" s="1355"/>
      <c r="H99" s="1359"/>
      <c r="I99" s="1360"/>
      <c r="J99" s="1361"/>
      <c r="K99" s="549"/>
      <c r="L99" s="321"/>
      <c r="M99" s="322"/>
      <c r="N99" s="322"/>
      <c r="O99" s="323"/>
      <c r="P99" s="466"/>
      <c r="Q99" s="321"/>
      <c r="R99" s="322"/>
      <c r="S99" s="322"/>
      <c r="T99" s="323"/>
      <c r="U99" s="472"/>
      <c r="V99" s="321"/>
      <c r="W99" s="322"/>
      <c r="X99" s="322"/>
      <c r="Y99" s="323"/>
      <c r="Z99" s="472"/>
      <c r="AA99" s="321"/>
      <c r="AB99" s="322"/>
      <c r="AC99" s="322"/>
      <c r="AD99" s="323"/>
      <c r="AE99" s="472"/>
      <c r="AF99" s="321"/>
      <c r="AG99" s="322"/>
      <c r="AH99" s="322"/>
      <c r="AI99" s="323"/>
      <c r="AJ99" s="472"/>
      <c r="AK99" s="321"/>
      <c r="AL99" s="322"/>
      <c r="AM99" s="322"/>
      <c r="AN99" s="323"/>
      <c r="AO99" s="472"/>
      <c r="AP99" s="321"/>
      <c r="AQ99" s="322"/>
      <c r="AR99" s="322"/>
      <c r="AS99" s="323"/>
      <c r="AT99" s="472"/>
      <c r="AU99" s="321"/>
      <c r="AV99" s="322"/>
      <c r="AW99" s="322"/>
      <c r="AX99" s="323"/>
      <c r="AY99" s="472"/>
      <c r="AZ99" s="321"/>
      <c r="BA99" s="322"/>
      <c r="BB99" s="322"/>
      <c r="BC99" s="323"/>
      <c r="BD99" s="472"/>
      <c r="BE99" s="321"/>
      <c r="BF99" s="322"/>
      <c r="BG99" s="322"/>
      <c r="BH99" s="323"/>
      <c r="BI99" s="472"/>
      <c r="BJ99" s="321"/>
      <c r="BK99" s="322"/>
      <c r="BL99" s="322"/>
      <c r="BM99" s="323"/>
      <c r="BN99" s="472"/>
      <c r="BO99" s="473"/>
      <c r="BP99" s="321"/>
      <c r="BQ99" s="322"/>
      <c r="BR99" s="322"/>
      <c r="BS99" s="323"/>
      <c r="BT99" s="472"/>
      <c r="BU99" s="321"/>
      <c r="BV99" s="322"/>
      <c r="BW99" s="322"/>
      <c r="BX99" s="323"/>
      <c r="BY99" s="472"/>
      <c r="BZ99" s="321"/>
      <c r="CA99" s="322"/>
      <c r="CB99" s="322"/>
      <c r="CC99" s="323"/>
      <c r="CD99" s="472"/>
      <c r="CE99" s="321"/>
      <c r="CF99" s="322"/>
      <c r="CG99" s="322"/>
      <c r="CH99" s="323"/>
      <c r="CI99" s="472"/>
      <c r="CJ99" s="321"/>
      <c r="CK99" s="322"/>
      <c r="CL99" s="322"/>
      <c r="CM99" s="323"/>
      <c r="CN99" s="472"/>
      <c r="CO99" s="321"/>
      <c r="CP99" s="322"/>
      <c r="CQ99" s="322"/>
      <c r="CR99" s="323"/>
      <c r="CS99" s="472"/>
      <c r="CT99" s="321"/>
      <c r="CU99" s="322"/>
      <c r="CV99" s="322"/>
      <c r="CW99" s="323"/>
      <c r="CX99" s="472"/>
      <c r="CY99" s="321"/>
      <c r="CZ99" s="322"/>
      <c r="DA99" s="322"/>
      <c r="DB99" s="323"/>
      <c r="DC99" s="472"/>
      <c r="DD99" s="321"/>
      <c r="DE99" s="322"/>
      <c r="DF99" s="322"/>
      <c r="DG99" s="323"/>
      <c r="DH99" s="472"/>
      <c r="DI99" s="321"/>
      <c r="DJ99" s="322"/>
      <c r="DK99" s="322"/>
      <c r="DL99" s="323"/>
      <c r="DM99" s="472"/>
      <c r="DN99" s="321"/>
      <c r="DO99" s="322"/>
      <c r="DP99" s="322"/>
      <c r="DQ99" s="323"/>
      <c r="DR99" s="472"/>
    </row>
    <row r="100" spans="1:122" ht="12.75" customHeight="1">
      <c r="C100" s="1123" t="s">
        <v>78</v>
      </c>
      <c r="D100" s="395"/>
      <c r="E100" s="188">
        <f t="shared" ref="E100:E102" si="1312">IF(F100=0,G100,F100)</f>
        <v>1.5169999999999999</v>
      </c>
      <c r="F100" s="1945">
        <v>0</v>
      </c>
      <c r="G100" s="1945">
        <v>1.5169999999999999</v>
      </c>
      <c r="H100" s="1308">
        <v>2017</v>
      </c>
      <c r="I100" s="1948">
        <v>0.09</v>
      </c>
      <c r="J100" s="1357">
        <v>6</v>
      </c>
      <c r="K100" s="549"/>
      <c r="L100" s="441">
        <f t="shared" ref="L100:L102" si="1313">IF(P100=0,0,IF(P100&lt;0,IF($J100=3,P100,IF($J100=2,P100,IF($J100=1,P100,0)))))</f>
        <v>0</v>
      </c>
      <c r="M100" s="442">
        <f t="shared" ref="M100:M102" si="1314">IF(P100=0,0,IF(P100&lt;0,IF($J100=6,P100,IF($J100=5,P100,IF($J100=4,P100,0)))))</f>
        <v>0</v>
      </c>
      <c r="N100" s="442">
        <f t="shared" ref="N100:N102" si="1315">IF(P100=0,0,IF(P100&lt;0,IF($J100=9,P100,IF($J100=8,P100,IF($J100=7,P100,0)))))</f>
        <v>0</v>
      </c>
      <c r="O100" s="443">
        <f t="shared" ref="O100:O102" si="1316">IF(P100=0,0,IF(P100&lt;0,IF($J100=12,P100,IF($J100=11,P100,IF($J100=10,P100,0)))))</f>
        <v>0</v>
      </c>
      <c r="P100" s="440">
        <f t="shared" si="1206"/>
        <v>0</v>
      </c>
      <c r="Q100" s="441">
        <f t="shared" ref="Q100:Q102" si="1317">IF(U100=0,0,IF(U100&lt;0,IF($J100=3,U100,IF($J100=2,U100,IF($J100=1,U100,0)))))</f>
        <v>0</v>
      </c>
      <c r="R100" s="442">
        <f t="shared" ref="R100:R102" si="1318">IF(U100=0,0,IF(U100&lt;0,IF($J100=6,U100,IF($J100=5,U100,IF($J100=4,U100,0)))))</f>
        <v>0</v>
      </c>
      <c r="S100" s="442">
        <f t="shared" ref="S100:S102" si="1319">IF(U100=0,0,IF(U100&lt;0,IF($J100=9,U100,IF($J100=8,U100,IF($J100=7,U100,0)))))</f>
        <v>0</v>
      </c>
      <c r="T100" s="443">
        <f t="shared" ref="T100:T102" si="1320">IF(U100=0,0,IF(U100&lt;0,IF($J100=12,U100,IF($J100=11,U100,IF($J100=10,U100,0)))))</f>
        <v>0</v>
      </c>
      <c r="U100" s="440">
        <f t="shared" si="1211"/>
        <v>0</v>
      </c>
      <c r="V100" s="441">
        <f t="shared" ref="V100:V102" si="1321">IF(Z100=0,0,IF(Z100&lt;0,IF($J100=3,Z100,IF($J100=2,Z100,IF($J100=1,Z100,0)))))</f>
        <v>0</v>
      </c>
      <c r="W100" s="442">
        <f t="shared" ref="W100:W102" si="1322">IF(Z100=0,0,IF(Z100&lt;0,IF($J100=6,Z100,IF($J100=5,Z100,IF($J100=4,Z100,0)))))</f>
        <v>0</v>
      </c>
      <c r="X100" s="442">
        <f t="shared" ref="X100:X102" si="1323">IF(Z100=0,0,IF(Z100&lt;0,IF($J100=9,Z100,IF($J100=8,Z100,IF($J100=7,Z100,0)))))</f>
        <v>0</v>
      </c>
      <c r="Y100" s="443">
        <f t="shared" ref="Y100:Y102" si="1324">IF(Z100=0,0,IF(Z100&lt;0,IF($J100=12,Z100,IF($J100=11,Z100,IF($J100=10,Z100,0)))))</f>
        <v>0</v>
      </c>
      <c r="Z100" s="440">
        <f t="shared" si="1216"/>
        <v>0</v>
      </c>
      <c r="AA100" s="441">
        <f t="shared" ref="AA100:AA102" si="1325">IF(AE100=0,0,IF(AE100&lt;0,IF($J100=3,AE100,IF($J100=2,AE100,IF($J100=1,AE100,0)))))</f>
        <v>0</v>
      </c>
      <c r="AB100" s="442">
        <f t="shared" ref="AB100:AB102" si="1326">IF(AE100=0,0,IF(AE100&lt;0,IF($J100=6,AE100,IF($J100=5,AE100,IF($J100=4,AE100,0)))))</f>
        <v>0</v>
      </c>
      <c r="AC100" s="442">
        <f t="shared" ref="AC100:AC102" si="1327">IF(AE100=0,0,IF(AE100&lt;0,IF($J100=9,AE100,IF($J100=8,AE100,IF($J100=7,AE100,0)))))</f>
        <v>0</v>
      </c>
      <c r="AD100" s="443">
        <f t="shared" ref="AD100:AD102" si="1328">IF(AE100=0,0,IF(AE100&lt;0,IF($J100=12,AE100,IF($J100=11,AE100,IF($J100=10,AE100,0)))))</f>
        <v>0</v>
      </c>
      <c r="AE100" s="440">
        <f t="shared" si="1221"/>
        <v>0</v>
      </c>
      <c r="AF100" s="441">
        <f t="shared" ref="AF100:AF102" si="1329">IF(AJ100=0,0,IF(AJ100&lt;0,IF($J100=3,AJ100,IF($J100=2,AJ100,IF($J100=1,AJ100,0)))))</f>
        <v>0</v>
      </c>
      <c r="AG100" s="442">
        <f t="shared" ref="AG100:AG102" si="1330">IF(AJ100=0,0,IF(AJ100&lt;0,IF($J100=6,AJ100,IF($J100=5,AJ100,IF($J100=4,AJ100,0)))))</f>
        <v>0</v>
      </c>
      <c r="AH100" s="442">
        <f t="shared" ref="AH100:AH102" si="1331">IF(AJ100=0,0,IF(AJ100&lt;0,IF($J100=9,AJ100,IF($J100=8,AJ100,IF($J100=7,AJ100,0)))))</f>
        <v>0</v>
      </c>
      <c r="AI100" s="443">
        <f t="shared" ref="AI100:AI102" si="1332">IF(AJ100=0,0,IF(AJ100&lt;0,IF($J100=12,AJ100,IF($J100=11,AJ100,IF($J100=10,AJ100,0)))))</f>
        <v>0</v>
      </c>
      <c r="AJ100" s="440">
        <f t="shared" si="1226"/>
        <v>0</v>
      </c>
      <c r="AK100" s="441">
        <f t="shared" ref="AK100:AK102" si="1333">IF(AO100=0,0,IF(AO100&lt;0,IF($J100=3,AO100,IF($J100=2,AO100,IF($J100=1,AO100,0)))))</f>
        <v>0</v>
      </c>
      <c r="AL100" s="442">
        <f t="shared" ref="AL100:AL102" si="1334">IF(AO100=0,0,IF(AO100&lt;0,IF($J100=6,AO100,IF($J100=5,AO100,IF($J100=4,AO100,0)))))</f>
        <v>0</v>
      </c>
      <c r="AM100" s="442">
        <f t="shared" ref="AM100:AM102" si="1335">IF(AO100=0,0,IF(AO100&lt;0,IF($J100=9,AO100,IF($J100=8,AO100,IF($J100=7,AO100,0)))))</f>
        <v>0</v>
      </c>
      <c r="AN100" s="443">
        <f t="shared" ref="AN100:AN102" si="1336">IF(AO100=0,0,IF(AO100&lt;0,IF($J100=12,AO100,IF($J100=11,AO100,IF($J100=10,AO100,0)))))</f>
        <v>0</v>
      </c>
      <c r="AO100" s="440">
        <f t="shared" si="1231"/>
        <v>0</v>
      </c>
      <c r="AP100" s="441">
        <f t="shared" ref="AP100:AP102" si="1337">IF(AT100=0,0,IF(AT100&lt;0,IF($J100=3,AT100,IF($J100=2,AT100,IF($J100=1,AT100,0)))))</f>
        <v>0</v>
      </c>
      <c r="AQ100" s="442">
        <f t="shared" ref="AQ100:AQ102" si="1338">IF(AT100=0,0,IF(AT100&lt;0,IF($J100=6,AT100,IF($J100=5,AT100,IF($J100=4,AT100,0)))))</f>
        <v>-1.5169999999999999</v>
      </c>
      <c r="AR100" s="442">
        <f t="shared" ref="AR100:AR102" si="1339">IF(AT100=0,0,IF(AT100&lt;0,IF($J100=9,AT100,IF($J100=8,AT100,IF($J100=7,AT100,0)))))</f>
        <v>0</v>
      </c>
      <c r="AS100" s="443">
        <f t="shared" ref="AS100:AS102" si="1340">IF(AT100=0,0,IF(AT100&lt;0,IF($J100=12,AT100,IF($J100=11,AT100,IF($J100=10,AT100,0)))))</f>
        <v>0</v>
      </c>
      <c r="AT100" s="440">
        <f t="shared" si="1236"/>
        <v>-1.5169999999999999</v>
      </c>
      <c r="AU100" s="441">
        <f t="shared" ref="AU100:AU102" si="1341">IF(AY100=0,0,IF(AY100&lt;0,IF($J100=3,AY100,IF($J100=2,AY100,IF($J100=1,AY100,0)))))</f>
        <v>0</v>
      </c>
      <c r="AV100" s="442">
        <f t="shared" ref="AV100:AV102" si="1342">IF(AY100=0,0,IF(AY100&lt;0,IF($J100=6,AY100,IF($J100=5,AY100,IF($J100=4,AY100,0)))))</f>
        <v>0</v>
      </c>
      <c r="AW100" s="442">
        <f t="shared" ref="AW100:AW102" si="1343">IF(AY100=0,0,IF(AY100&lt;0,IF($J100=9,AY100,IF($J100=8,AY100,IF($J100=7,AY100,0)))))</f>
        <v>0</v>
      </c>
      <c r="AX100" s="443">
        <f t="shared" ref="AX100:AX102" si="1344">IF(AY100=0,0,IF(AY100&lt;0,IF($J100=12,AY100,IF($J100=11,AY100,IF($J100=10,AY100,0)))))</f>
        <v>0</v>
      </c>
      <c r="AY100" s="440">
        <f t="shared" si="1241"/>
        <v>0</v>
      </c>
      <c r="AZ100" s="441">
        <f t="shared" ref="AZ100:AZ102" si="1345">IF(BD100=0,0,IF(BD100&lt;0,IF($J100=3,BD100,IF($J100=2,BD100,IF($J100=1,BD100,0)))))</f>
        <v>0</v>
      </c>
      <c r="BA100" s="442">
        <f t="shared" ref="BA100:BA102" si="1346">IF(BD100=0,0,IF(BD100&lt;0,IF($J100=6,BD100,IF($J100=5,BD100,IF($J100=4,BD100,0)))))</f>
        <v>0</v>
      </c>
      <c r="BB100" s="442">
        <f t="shared" ref="BB100:BB102" si="1347">IF(BD100=0,0,IF(BD100&lt;0,IF($J100=9,BD100,IF($J100=8,BD100,IF($J100=7,BD100,0)))))</f>
        <v>0</v>
      </c>
      <c r="BC100" s="443">
        <f t="shared" ref="BC100:BC102" si="1348">IF(BD100=0,0,IF(BD100&lt;0,IF($J100=12,BD100,IF($J100=11,BD100,IF($J100=10,BD100,0)))))</f>
        <v>0</v>
      </c>
      <c r="BD100" s="440">
        <f t="shared" si="1246"/>
        <v>0</v>
      </c>
      <c r="BE100" s="441">
        <f t="shared" ref="BE100:BE102" si="1349">IF(BI100=0,0,IF(BI100&lt;0,IF($J100=3,BI100,IF($J100=2,BI100,IF($J100=1,BI100,0)))))</f>
        <v>0</v>
      </c>
      <c r="BF100" s="442">
        <f t="shared" ref="BF100:BF102" si="1350">IF(BI100=0,0,IF(BI100&lt;0,IF($J100=6,BI100,IF($J100=5,BI100,IF($J100=4,BI100,0)))))</f>
        <v>0</v>
      </c>
      <c r="BG100" s="442">
        <f t="shared" ref="BG100:BG102" si="1351">IF(BI100=0,0,IF(BI100&lt;0,IF($J100=9,BI100,IF($J100=8,BI100,IF($J100=7,BI100,0)))))</f>
        <v>0</v>
      </c>
      <c r="BH100" s="443">
        <f t="shared" ref="BH100:BH102" si="1352">IF(BI100=0,0,IF(BI100&lt;0,IF($J100=12,BI100,IF($J100=11,BI100,IF($J100=10,BI100,0)))))</f>
        <v>0</v>
      </c>
      <c r="BI100" s="440">
        <f t="shared" si="1251"/>
        <v>0</v>
      </c>
      <c r="BJ100" s="441">
        <f t="shared" ref="BJ100:BJ102" si="1353">IF(BN100=0,0,IF(BN100&lt;0,IF($J100=3,BN100,IF($J100=2,BN100,IF($J100=1,BN100,0)))))</f>
        <v>0</v>
      </c>
      <c r="BK100" s="442">
        <f t="shared" ref="BK100:BK102" si="1354">IF(BN100=0,0,IF(BN100&lt;0,IF($J100=6,BN100,IF($J100=5,BN100,IF($J100=4,BN100,0)))))</f>
        <v>0</v>
      </c>
      <c r="BL100" s="442">
        <f t="shared" ref="BL100:BL102" si="1355">IF(BN100=0,0,IF(BN100&lt;0,IF($J100=9,BN100,IF($J100=8,BN100,IF($J100=7,BN100,0)))))</f>
        <v>0</v>
      </c>
      <c r="BM100" s="443">
        <f t="shared" ref="BM100:BM102" si="1356">IF(BN100=0,0,IF(BN100&lt;0,IF($J100=12,BN100,IF($J100=11,BN100,IF($J100=10,BN100,0)))))</f>
        <v>0</v>
      </c>
      <c r="BN100" s="440">
        <f t="shared" si="1256"/>
        <v>0</v>
      </c>
      <c r="BO100" s="470"/>
      <c r="BP100" s="441">
        <f t="shared" ref="BP100:BP102" si="1357">IF($H100&lt;&gt;BT$5,0,IF(BT100&lt;0,IF($J100=1,-$E100*$I100/12*3,IF($J100=2,-$E100*$I100/12*2,IF($J100=3,-$E100*$I100/12*1,0)))))+IF(BO$5&lt;&gt;$H100,0,IF(BO100&lt;0,IF($J100=1,-$E100*$I100/12*0,IF($J100=2,-$E100*$I100/12*1,IF($J100=3,-$E100*$I100/12*2,IF($J100&gt;=4,-$E100*$I100/12*3,0))))))</f>
        <v>0</v>
      </c>
      <c r="BQ100" s="442">
        <f t="shared" ref="BQ100:BQ102" si="1358">IF($H100&lt;&gt;BT$5,0,IF(BT100&lt;0,IF(OR($J100=1,$J100=2,$J100=3,$J100=4),-$E100*$I100/12*3,IF($J100=5,-$E100*$I100/12*2,IF($J100=6,-$E100*$I100/12*1,0)))))+IF(BO$5&lt;&gt;$H100,0,IF(BO100&lt;0,IF($J100=4,-$E100*$I100/12*0,IF($J100=5,-$E100*$I100/12*1,IF($J100=6,-$E100*$I100/12*2,IF($J100&gt;=7,-$E100*$I100/12*3,0))))))</f>
        <v>0</v>
      </c>
      <c r="BR100" s="442">
        <f t="shared" ref="BR100:BR102" si="1359">IF($H100&lt;&gt;BT$5,0,IF(BT100&lt;0,IF(OR($J100=1,$J100=2,$J100=3,$J100=4,$J100=5,$J100=6,$J100=7),-$E100*$I100/12*3,IF($J100=8,-$E100*$I100/12*2,IF($J100=9,-$E100*$I100/12*1,0)))))+IF(BO$5&lt;&gt;$H100,0,IF(BO100&lt;0,IF($J100=7,-$E100*$I100/12*0,IF($J100=8,-$E100*$I100/12*1,IF($J100=9,-$E100*$I100/12*2,IF($J100&gt;=10,-$E100*$I100/12*3,0))))))</f>
        <v>0</v>
      </c>
      <c r="BS100" s="443">
        <f t="shared" ref="BS100:BS102" si="1360">IF($H100&lt;&gt;BT$5,0,IF(BT100&lt;0,IF(OR($J100=1,$J100=2,$J100=3,$J100=4,$J100=5,$J100=6,$J100=7,$J100=8,$J100=9,$J100=10),-$E100*$I100/12*3,IF($J100=11,-$E100*$I100/12*2,IF($J100=12,-$E100*$I100/12*1,0)))))+IF(BO$5&lt;&gt;$H100,0,IF(BO100&lt;0,IF($J100=10,-$E100*$I100/12*0,IF($J100=11,-$E100*$I100/12*1,IF($J100=12,-$E100*$I100/12*2,0)))))</f>
        <v>0</v>
      </c>
      <c r="BT100" s="440">
        <f t="shared" ref="BT100:BT102" si="1361">IF(AND(BO100&lt;&gt;0,BO$5=$H100),-$I100*$E100-BO100,IF(BT$5=$H100,-$I100*$E100*(12-$J100+1)/12,0))</f>
        <v>0</v>
      </c>
      <c r="BU100" s="441">
        <f t="shared" ref="BU100:BU102" si="1362">IF($H100&lt;&gt;BY$5,0,IF(BY100&lt;0,IF($J100=1,-$E100*$I100/12*3,IF($J100=2,-$E100*$I100/12*2,IF($J100=3,-$E100*$I100/12*1,0)))))+IF(BT$5&lt;&gt;$H100,0,IF(BT100&lt;0,IF($J100=1,-$E100*$I100/12*0,IF($J100=2,-$E100*$I100/12*1,IF($J100=3,-$E100*$I100/12*2,IF($J100&gt;=4,-$E100*$I100/12*3,0))))))</f>
        <v>0</v>
      </c>
      <c r="BV100" s="442">
        <f t="shared" ref="BV100:BV102" si="1363">IF($H100&lt;&gt;BY$5,0,IF(BY100&lt;0,IF(OR($J100=1,$J100=2,$J100=3,$J100=4),-$E100*$I100/12*3,IF($J100=5,-$E100*$I100/12*2,IF($J100=6,-$E100*$I100/12*1,0)))))+IF(BT$5&lt;&gt;$H100,0,IF(BT100&lt;0,IF($J100=4,-$E100*$I100/12*0,IF($J100=5,-$E100*$I100/12*1,IF($J100=6,-$E100*$I100/12*2,IF($J100&gt;=7,-$E100*$I100/12*3,0))))))</f>
        <v>0</v>
      </c>
      <c r="BW100" s="442">
        <f t="shared" ref="BW100:BW102" si="1364">IF($H100&lt;&gt;BY$5,0,IF(BY100&lt;0,IF(OR($J100=1,$J100=2,$J100=3,$J100=4,$J100=5,$J100=6,$J100=7),-$E100*$I100/12*3,IF($J100=8,-$E100*$I100/12*2,IF($J100=9,-$E100*$I100/12*1,0)))))+IF(BT$5&lt;&gt;$H100,0,IF(BT100&lt;0,IF($J100=7,-$E100*$I100/12*0,IF($J100=8,-$E100*$I100/12*1,IF($J100=9,-$E100*$I100/12*2,IF($J100&gt;=10,-$E100*$I100/12*3,0))))))</f>
        <v>0</v>
      </c>
      <c r="BX100" s="443">
        <f t="shared" ref="BX100:BX102" si="1365">IF($H100&lt;&gt;BY$5,0,IF(BY100&lt;0,IF(OR($J100=1,$J100=2,$J100=3,$J100=4,$J100=5,$J100=6,$J100=7,$J100=8,$J100=9,$J100=10),-$E100*$I100/12*3,IF($J100=11,-$E100*$I100/12*2,IF($J100=12,-$E100*$I100/12*1,0)))))+IF(BT$5&lt;&gt;$H100,0,IF(BT100&lt;0,IF($J100=10,-$E100*$I100/12*0,IF($J100=11,-$E100*$I100/12*1,IF($J100=12,-$E100*$I100/12*2,0)))))</f>
        <v>0</v>
      </c>
      <c r="BY100" s="440">
        <f t="shared" ref="BY100:BY102" si="1366">IF(AND(BT100&lt;&gt;0,BT$5=$H100),-$I100*$E100-BT100,IF(BY$5=$H100,-$I100*$E100*(12-$J100+1)/12,0))</f>
        <v>0</v>
      </c>
      <c r="BZ100" s="441">
        <f t="shared" ref="BZ100:BZ102" si="1367">IF($H100&lt;&gt;CD$5,0,IF(CD100&lt;0,IF($J100=1,-$E100*$I100/12*3,IF($J100=2,-$E100*$I100/12*2,IF($J100=3,-$E100*$I100/12*1,0)))))+IF(BY$5&lt;&gt;$H100,0,IF(BY100&lt;0,IF($J100=1,-$E100*$I100/12*0,IF($J100=2,-$E100*$I100/12*1,IF($J100=3,-$E100*$I100/12*2,IF($J100&gt;=4,-$E100*$I100/12*3,0))))))</f>
        <v>0</v>
      </c>
      <c r="CA100" s="442">
        <f t="shared" ref="CA100:CA102" si="1368">IF($H100&lt;&gt;CD$5,0,IF(CD100&lt;0,IF(OR($J100=1,$J100=2,$J100=3,$J100=4),-$E100*$I100/12*3,IF($J100=5,-$E100*$I100/12*2,IF($J100=6,-$E100*$I100/12*1,0)))))+IF(BY$5&lt;&gt;$H100,0,IF(BY100&lt;0,IF($J100=4,-$E100*$I100/12*0,IF($J100=5,-$E100*$I100/12*1,IF($J100=6,-$E100*$I100/12*2,IF($J100&gt;=7,-$E100*$I100/12*3,0))))))</f>
        <v>0</v>
      </c>
      <c r="CB100" s="442">
        <f t="shared" ref="CB100:CB102" si="1369">IF($H100&lt;&gt;CD$5,0,IF(CD100&lt;0,IF(OR($J100=1,$J100=2,$J100=3,$J100=4,$J100=5,$J100=6,$J100=7),-$E100*$I100/12*3,IF($J100=8,-$E100*$I100/12*2,IF($J100=9,-$E100*$I100/12*1,0)))))+IF(BY$5&lt;&gt;$H100,0,IF(BY100&lt;0,IF($J100=7,-$E100*$I100/12*0,IF($J100=8,-$E100*$I100/12*1,IF($J100=9,-$E100*$I100/12*2,IF($J100&gt;=10,-$E100*$I100/12*3,0))))))</f>
        <v>0</v>
      </c>
      <c r="CC100" s="443">
        <f t="shared" ref="CC100:CC102" si="1370">IF($H100&lt;&gt;CD$5,0,IF(CD100&lt;0,IF(OR($J100=1,$J100=2,$J100=3,$J100=4,$J100=5,$J100=6,$J100=7,$J100=8,$J100=9,$J100=10),-$E100*$I100/12*3,IF($J100=11,-$E100*$I100/12*2,IF($J100=12,-$E100*$I100/12*1,0)))))+IF(BY$5&lt;&gt;$H100,0,IF(BY100&lt;0,IF($J100=10,-$E100*$I100/12*0,IF($J100=11,-$E100*$I100/12*1,IF($J100=12,-$E100*$I100/12*2,0)))))</f>
        <v>0</v>
      </c>
      <c r="CD100" s="440">
        <f t="shared" ref="CD100:CD102" si="1371">IF(AND(BY100&lt;&gt;0,BY$5=$H100),-$I100*$E100-BY100,IF(CD$5=$H100,-$I100*$E100*(12-$J100+1)/12,0))</f>
        <v>0</v>
      </c>
      <c r="CE100" s="441">
        <f t="shared" ref="CE100:CE102" si="1372">IF($H100&lt;&gt;CI$5,0,IF(CI100&lt;0,IF($J100=1,-$E100*$I100/12*3,IF($J100=2,-$E100*$I100/12*2,IF($J100=3,-$E100*$I100/12*1,0)))))+IF(CD$5&lt;&gt;$H100,0,IF(CD100&lt;0,IF($J100=1,-$E100*$I100/12*0,IF($J100=2,-$E100*$I100/12*1,IF($J100=3,-$E100*$I100/12*2,IF($J100&gt;=4,-$E100*$I100/12*3,0))))))</f>
        <v>0</v>
      </c>
      <c r="CF100" s="442">
        <f t="shared" ref="CF100:CF102" si="1373">IF($H100&lt;&gt;CI$5,0,IF(CI100&lt;0,IF(OR($J100=1,$J100=2,$J100=3,$J100=4),-$E100*$I100/12*3,IF($J100=5,-$E100*$I100/12*2,IF($J100=6,-$E100*$I100/12*1,0)))))+IF(CD$5&lt;&gt;$H100,0,IF(CD100&lt;0,IF($J100=4,-$E100*$I100/12*0,IF($J100=5,-$E100*$I100/12*1,IF($J100=6,-$E100*$I100/12*2,IF($J100&gt;=7,-$E100*$I100/12*3,0))))))</f>
        <v>0</v>
      </c>
      <c r="CG100" s="442">
        <f t="shared" ref="CG100:CG102" si="1374">IF($H100&lt;&gt;CI$5,0,IF(CI100&lt;0,IF(OR($J100=1,$J100=2,$J100=3,$J100=4,$J100=5,$J100=6,$J100=7),-$E100*$I100/12*3,IF($J100=8,-$E100*$I100/12*2,IF($J100=9,-$E100*$I100/12*1,0)))))+IF(CD$5&lt;&gt;$H100,0,IF(CD100&lt;0,IF($J100=7,-$E100*$I100/12*0,IF($J100=8,-$E100*$I100/12*1,IF($J100=9,-$E100*$I100/12*2,IF($J100&gt;=10,-$E100*$I100/12*3,0))))))</f>
        <v>0</v>
      </c>
      <c r="CH100" s="443">
        <f t="shared" ref="CH100:CH102" si="1375">IF($H100&lt;&gt;CI$5,0,IF(CI100&lt;0,IF(OR($J100=1,$J100=2,$J100=3,$J100=4,$J100=5,$J100=6,$J100=7,$J100=8,$J100=9,$J100=10),-$E100*$I100/12*3,IF($J100=11,-$E100*$I100/12*2,IF($J100=12,-$E100*$I100/12*1,0)))))+IF(CD$5&lt;&gt;$H100,0,IF(CD100&lt;0,IF($J100=10,-$E100*$I100/12*0,IF($J100=11,-$E100*$I100/12*1,IF($J100=12,-$E100*$I100/12*2,0)))))</f>
        <v>0</v>
      </c>
      <c r="CI100" s="440">
        <f t="shared" ref="CI100:CI102" si="1376">IF(AND(CD100&lt;&gt;0,CD$5=$H100),-$I100*$E100-CD100,IF(CI$5=$H100,-$I100*$E100*(12-$J100+1)/12,0))</f>
        <v>0</v>
      </c>
      <c r="CJ100" s="441">
        <f t="shared" ref="CJ100:CJ102" si="1377">IF($H100&lt;&gt;CN$5,0,IF(CN100&lt;0,IF($J100=1,-$E100*$I100/12*3,IF($J100=2,-$E100*$I100/12*2,IF($J100=3,-$E100*$I100/12*1,0)))))+IF(CI$5&lt;&gt;$H100,0,IF(CI100&lt;0,IF($J100=1,-$E100*$I100/12*0,IF($J100=2,-$E100*$I100/12*1,IF($J100=3,-$E100*$I100/12*2,IF($J100&gt;=4,-$E100*$I100/12*3,0))))))</f>
        <v>0</v>
      </c>
      <c r="CK100" s="442">
        <f t="shared" ref="CK100:CK102" si="1378">IF($H100&lt;&gt;CN$5,0,IF(CN100&lt;0,IF(OR($J100=1,$J100=2,$J100=3,$J100=4),-$E100*$I100/12*3,IF($J100=5,-$E100*$I100/12*2,IF($J100=6,-$E100*$I100/12*1,0)))))+IF(CI$5&lt;&gt;$H100,0,IF(CI100&lt;0,IF($J100=4,-$E100*$I100/12*0,IF($J100=5,-$E100*$I100/12*1,IF($J100=6,-$E100*$I100/12*2,IF($J100&gt;=7,-$E100*$I100/12*3,0))))))</f>
        <v>0</v>
      </c>
      <c r="CL100" s="442">
        <f t="shared" ref="CL100:CL102" si="1379">IF($H100&lt;&gt;CN$5,0,IF(CN100&lt;0,IF(OR($J100=1,$J100=2,$J100=3,$J100=4,$J100=5,$J100=6,$J100=7),-$E100*$I100/12*3,IF($J100=8,-$E100*$I100/12*2,IF($J100=9,-$E100*$I100/12*1,0)))))+IF(CI$5&lt;&gt;$H100,0,IF(CI100&lt;0,IF($J100=7,-$E100*$I100/12*0,IF($J100=8,-$E100*$I100/12*1,IF($J100=9,-$E100*$I100/12*2,IF($J100&gt;=10,-$E100*$I100/12*3,0))))))</f>
        <v>0</v>
      </c>
      <c r="CM100" s="443">
        <f t="shared" ref="CM100:CM102" si="1380">IF($H100&lt;&gt;CN$5,0,IF(CN100&lt;0,IF(OR($J100=1,$J100=2,$J100=3,$J100=4,$J100=5,$J100=6,$J100=7,$J100=8,$J100=9,$J100=10),-$E100*$I100/12*3,IF($J100=11,-$E100*$I100/12*2,IF($J100=12,-$E100*$I100/12*1,0)))))+IF(CI$5&lt;&gt;$H100,0,IF(CI100&lt;0,IF($J100=10,-$E100*$I100/12*0,IF($J100=11,-$E100*$I100/12*1,IF($J100=12,-$E100*$I100/12*2,0)))))</f>
        <v>0</v>
      </c>
      <c r="CN100" s="440">
        <f t="shared" ref="CN100:CN102" si="1381">IF(AND(CI100&lt;&gt;0,CI$5=$H100),-$I100*$E100-CI100,IF(CN$5=$H100,-$I100*$E100*(12-$J100+1)/12,0))</f>
        <v>0</v>
      </c>
      <c r="CO100" s="441">
        <f t="shared" ref="CO100:CO102" si="1382">IF($H100&lt;&gt;CS$5,0,IF(CS100&lt;0,IF($J100=1,-$E100*$I100/12*3,IF($J100=2,-$E100*$I100/12*2,IF($J100=3,-$E100*$I100/12*1,0)))))+IF(CN$5&lt;&gt;$H100,0,IF(CN100&lt;0,IF($J100=1,-$E100*$I100/12*0,IF($J100=2,-$E100*$I100/12*1,IF($J100=3,-$E100*$I100/12*2,IF($J100&gt;=4,-$E100*$I100/12*3,0))))))</f>
        <v>0</v>
      </c>
      <c r="CP100" s="442">
        <f t="shared" ref="CP100:CP102" si="1383">IF($H100&lt;&gt;CS$5,0,IF(CS100&lt;0,IF(OR($J100=1,$J100=2,$J100=3,$J100=4),-$E100*$I100/12*3,IF($J100=5,-$E100*$I100/12*2,IF($J100=6,-$E100*$I100/12*1,0)))))+IF(CN$5&lt;&gt;$H100,0,IF(CN100&lt;0,IF($J100=4,-$E100*$I100/12*0,IF($J100=5,-$E100*$I100/12*1,IF($J100=6,-$E100*$I100/12*2,IF($J100&gt;=7,-$E100*$I100/12*3,0))))))</f>
        <v>0</v>
      </c>
      <c r="CQ100" s="442">
        <f t="shared" ref="CQ100:CQ102" si="1384">IF($H100&lt;&gt;CS$5,0,IF(CS100&lt;0,IF(OR($J100=1,$J100=2,$J100=3,$J100=4,$J100=5,$J100=6,$J100=7),-$E100*$I100/12*3,IF($J100=8,-$E100*$I100/12*2,IF($J100=9,-$E100*$I100/12*1,0)))))+IF(CN$5&lt;&gt;$H100,0,IF(CN100&lt;0,IF($J100=7,-$E100*$I100/12*0,IF($J100=8,-$E100*$I100/12*1,IF($J100=9,-$E100*$I100/12*2,IF($J100&gt;=10,-$E100*$I100/12*3,0))))))</f>
        <v>0</v>
      </c>
      <c r="CR100" s="443">
        <f t="shared" ref="CR100:CR102" si="1385">IF($H100&lt;&gt;CS$5,0,IF(CS100&lt;0,IF(OR($J100=1,$J100=2,$J100=3,$J100=4,$J100=5,$J100=6,$J100=7,$J100=8,$J100=9,$J100=10),-$E100*$I100/12*3,IF($J100=11,-$E100*$I100/12*2,IF($J100=12,-$E100*$I100/12*1,0)))))+IF(CN$5&lt;&gt;$H100,0,IF(CN100&lt;0,IF($J100=10,-$E100*$I100/12*0,IF($J100=11,-$E100*$I100/12*1,IF($J100=12,-$E100*$I100/12*2,0)))))</f>
        <v>0</v>
      </c>
      <c r="CS100" s="440">
        <f t="shared" ref="CS100:CS102" si="1386">IF(AND(CN100&lt;&gt;0,CN$5=$H100),-$I100*$E100-CN100,IF(CS$5=$H100,-$I100*$E100*(12-$J100+1)/12,0))</f>
        <v>0</v>
      </c>
      <c r="CT100" s="441">
        <f t="shared" ref="CT100:CT102" si="1387">IF($H100&lt;&gt;CX$5,0,IF(CX100&lt;0,IF($J100=1,-$E100*$I100/12*3,IF($J100=2,-$E100*$I100/12*2,IF($J100=3,-$E100*$I100/12*1,0)))))+IF(CS$5&lt;&gt;$H100,0,IF(CS100&lt;0,IF($J100=1,-$E100*$I100/12*0,IF($J100=2,-$E100*$I100/12*1,IF($J100=3,-$E100*$I100/12*2,IF($J100&gt;=4,-$E100*$I100/12*3,0))))))</f>
        <v>0</v>
      </c>
      <c r="CU100" s="442">
        <f t="shared" ref="CU100:CU102" si="1388">IF($H100&lt;&gt;CX$5,0,IF(CX100&lt;0,IF(OR($J100=1,$J100=2,$J100=3,$J100=4),-$E100*$I100/12*3,IF($J100=5,-$E100*$I100/12*2,IF($J100=6,-$E100*$I100/12*1,0)))))+IF(CS$5&lt;&gt;$H100,0,IF(CS100&lt;0,IF($J100=4,-$E100*$I100/12*0,IF($J100=5,-$E100*$I100/12*1,IF($J100=6,-$E100*$I100/12*2,IF($J100&gt;=7,-$E100*$I100/12*3,0))))))</f>
        <v>-1.1377499999999999E-2</v>
      </c>
      <c r="CV100" s="442">
        <f t="shared" ref="CV100:CV102" si="1389">IF($H100&lt;&gt;CX$5,0,IF(CX100&lt;0,IF(OR($J100=1,$J100=2,$J100=3,$J100=4,$J100=5,$J100=6,$J100=7),-$E100*$I100/12*3,IF($J100=8,-$E100*$I100/12*2,IF($J100=9,-$E100*$I100/12*1,0)))))+IF(CS$5&lt;&gt;$H100,0,IF(CS100&lt;0,IF($J100=7,-$E100*$I100/12*0,IF($J100=8,-$E100*$I100/12*1,IF($J100=9,-$E100*$I100/12*2,IF($J100&gt;=10,-$E100*$I100/12*3,0))))))</f>
        <v>-3.4132499999999996E-2</v>
      </c>
      <c r="CW100" s="443">
        <f t="shared" ref="CW100:CW102" si="1390">IF($H100&lt;&gt;CX$5,0,IF(CX100&lt;0,IF(OR($J100=1,$J100=2,$J100=3,$J100=4,$J100=5,$J100=6,$J100=7,$J100=8,$J100=9,$J100=10),-$E100*$I100/12*3,IF($J100=11,-$E100*$I100/12*2,IF($J100=12,-$E100*$I100/12*1,0)))))+IF(CS$5&lt;&gt;$H100,0,IF(CS100&lt;0,IF($J100=10,-$E100*$I100/12*0,IF($J100=11,-$E100*$I100/12*1,IF($J100=12,-$E100*$I100/12*2,0)))))</f>
        <v>-3.4132499999999996E-2</v>
      </c>
      <c r="CX100" s="440">
        <f t="shared" ref="CX100:CX102" si="1391">IF(AND(CS100&lt;&gt;0,CS$5=$H100),-$I100*$E100-CS100,IF(CX$5=$H100,-$I100*$E100*(12-$J100+1)/12,0))</f>
        <v>-7.9642499999999991E-2</v>
      </c>
      <c r="CY100" s="441">
        <f t="shared" ref="CY100:CY102" si="1392">IF($H100&lt;&gt;DC$5,0,IF(DC100&lt;0,IF($J100=1,-$E100*$I100/12*3,IF($J100=2,-$E100*$I100/12*2,IF($J100=3,-$E100*$I100/12*1,0)))))+IF(CX$5&lt;&gt;$H100,0,IF(CX100&lt;0,IF($J100=1,-$E100*$I100/12*0,IF($J100=2,-$E100*$I100/12*1,IF($J100=3,-$E100*$I100/12*2,IF($J100&gt;=4,-$E100*$I100/12*3,0))))))</f>
        <v>-3.4132499999999996E-2</v>
      </c>
      <c r="CZ100" s="442">
        <f t="shared" ref="CZ100:CZ102" si="1393">IF($H100&lt;&gt;DC$5,0,IF(DC100&lt;0,IF(OR($J100=1,$J100=2,$J100=3,$J100=4),-$E100*$I100/12*3,IF($J100=5,-$E100*$I100/12*2,IF($J100=6,-$E100*$I100/12*1,0)))))+IF(CX$5&lt;&gt;$H100,0,IF(CX100&lt;0,IF($J100=4,-$E100*$I100/12*0,IF($J100=5,-$E100*$I100/12*1,IF($J100=6,-$E100*$I100/12*2,IF($J100&gt;=7,-$E100*$I100/12*3,0))))))</f>
        <v>-2.2754999999999997E-2</v>
      </c>
      <c r="DA100" s="442">
        <f t="shared" ref="DA100:DA102" si="1394">IF($H100&lt;&gt;DC$5,0,IF(DC100&lt;0,IF(OR($J100=1,$J100=2,$J100=3,$J100=4,$J100=5,$J100=6,$J100=7),-$E100*$I100/12*3,IF($J100=8,-$E100*$I100/12*2,IF($J100=9,-$E100*$I100/12*1,0)))))+IF(CX$5&lt;&gt;$H100,0,IF(CX100&lt;0,IF($J100=7,-$E100*$I100/12*0,IF($J100=8,-$E100*$I100/12*1,IF($J100=9,-$E100*$I100/12*2,IF($J100&gt;=10,-$E100*$I100/12*3,0))))))</f>
        <v>0</v>
      </c>
      <c r="DB100" s="443">
        <f t="shared" ref="DB100:DB102" si="1395">IF($H100&lt;&gt;DC$5,0,IF(DC100&lt;0,IF(OR($J100=1,$J100=2,$J100=3,$J100=4,$J100=5,$J100=6,$J100=7,$J100=8,$J100=9,$J100=10),-$E100*$I100/12*3,IF($J100=11,-$E100*$I100/12*2,IF($J100=12,-$E100*$I100/12*1,0)))))+IF(CX$5&lt;&gt;$H100,0,IF(CX100&lt;0,IF($J100=10,-$E100*$I100/12*0,IF($J100=11,-$E100*$I100/12*1,IF($J100=12,-$E100*$I100/12*2,0)))))</f>
        <v>0</v>
      </c>
      <c r="DC100" s="440">
        <f t="shared" ref="DC100:DC102" si="1396">IF(AND(CX100&lt;&gt;0,CX$5=$H100),-$I100*$E100-CX100,IF(DC$5=$H100,-$I100*$E100*(12-$J100+1)/12,0))</f>
        <v>-5.6887499999999994E-2</v>
      </c>
      <c r="DD100" s="441">
        <f t="shared" ref="DD100:DD102" si="1397">IF($H100&lt;&gt;DH$5,0,IF(DH100&lt;0,IF($J100=1,-$E100*$I100/12*3,IF($J100=2,-$E100*$I100/12*2,IF($J100=3,-$E100*$I100/12*1,0)))))+IF(DC$5&lt;&gt;$H100,0,IF(DC100&lt;0,IF($J100=1,-$E100*$I100/12*0,IF($J100=2,-$E100*$I100/12*1,IF($J100=3,-$E100*$I100/12*2,IF($J100&gt;=4,-$E100*$I100/12*3,0))))))</f>
        <v>0</v>
      </c>
      <c r="DE100" s="442">
        <f t="shared" ref="DE100:DE102" si="1398">IF($H100&lt;&gt;DH$5,0,IF(DH100&lt;0,IF(OR($J100=1,$J100=2,$J100=3,$J100=4),-$E100*$I100/12*3,IF($J100=5,-$E100*$I100/12*2,IF($J100=6,-$E100*$I100/12*1,0)))))+IF(DC$5&lt;&gt;$H100,0,IF(DC100&lt;0,IF($J100=4,-$E100*$I100/12*0,IF($J100=5,-$E100*$I100/12*1,IF($J100=6,-$E100*$I100/12*2,IF($J100&gt;=7,-$E100*$I100/12*3,0))))))</f>
        <v>0</v>
      </c>
      <c r="DF100" s="442">
        <f t="shared" ref="DF100:DF102" si="1399">IF($H100&lt;&gt;DH$5,0,IF(DH100&lt;0,IF(OR($J100=1,$J100=2,$J100=3,$J100=4,$J100=5,$J100=6,$J100=7),-$E100*$I100/12*3,IF($J100=8,-$E100*$I100/12*2,IF($J100=9,-$E100*$I100/12*1,0)))))+IF(DC$5&lt;&gt;$H100,0,IF(DC100&lt;0,IF($J100=7,-$E100*$I100/12*0,IF($J100=8,-$E100*$I100/12*1,IF($J100=9,-$E100*$I100/12*2,IF($J100&gt;=10,-$E100*$I100/12*3,0))))))</f>
        <v>0</v>
      </c>
      <c r="DG100" s="443">
        <f t="shared" ref="DG100:DG102" si="1400">IF($H100&lt;&gt;DH$5,0,IF(DH100&lt;0,IF(OR($J100=1,$J100=2,$J100=3,$J100=4,$J100=5,$J100=6,$J100=7,$J100=8,$J100=9,$J100=10),-$E100*$I100/12*3,IF($J100=11,-$E100*$I100/12*2,IF($J100=12,-$E100*$I100/12*1,0)))))+IF(DC$5&lt;&gt;$H100,0,IF(DC100&lt;0,IF($J100=10,-$E100*$I100/12*0,IF($J100=11,-$E100*$I100/12*1,IF($J100=12,-$E100*$I100/12*2,0)))))</f>
        <v>0</v>
      </c>
      <c r="DH100" s="440">
        <f t="shared" ref="DH100:DH102" si="1401">IF(AND(DC100&lt;&gt;0,DC$5=$H100),-$I100*$E100-DC100,IF(DH$5=$H100,-$I100*$E100*(12-$J100+1)/12,0))</f>
        <v>0</v>
      </c>
      <c r="DI100" s="441">
        <f t="shared" ref="DI100:DI102" si="1402">IF($H100&lt;&gt;DM$5,0,IF(DM100&lt;0,IF($J100=1,-$E100*$I100/12*3,IF($J100=2,-$E100*$I100/12*2,IF($J100=3,-$E100*$I100/12*1,0)))))+IF(DH$5&lt;&gt;$H100,0,IF(DH100&lt;0,IF($J100=1,-$E100*$I100/12*0,IF($J100=2,-$E100*$I100/12*1,IF($J100=3,-$E100*$I100/12*2,IF($J100&gt;=4,-$E100*$I100/12*3,0))))))</f>
        <v>0</v>
      </c>
      <c r="DJ100" s="442">
        <f t="shared" ref="DJ100:DJ102" si="1403">IF($H100&lt;&gt;DM$5,0,IF(DM100&lt;0,IF(OR($J100=1,$J100=2,$J100=3,$J100=4),-$E100*$I100/12*3,IF($J100=5,-$E100*$I100/12*2,IF($J100=6,-$E100*$I100/12*1,0)))))+IF(DH$5&lt;&gt;$H100,0,IF(DH100&lt;0,IF($J100=4,-$E100*$I100/12*0,IF($J100=5,-$E100*$I100/12*1,IF($J100=6,-$E100*$I100/12*2,IF($J100&gt;=7,-$E100*$I100/12*3,0))))))</f>
        <v>0</v>
      </c>
      <c r="DK100" s="442">
        <f t="shared" ref="DK100:DK102" si="1404">IF($H100&lt;&gt;DM$5,0,IF(DM100&lt;0,IF(OR($J100=1,$J100=2,$J100=3,$J100=4,$J100=5,$J100=6,$J100=7),-$E100*$I100/12*3,IF($J100=8,-$E100*$I100/12*2,IF($J100=9,-$E100*$I100/12*1,0)))))+IF(DH$5&lt;&gt;$H100,0,IF(DH100&lt;0,IF($J100=7,-$E100*$I100/12*0,IF($J100=8,-$E100*$I100/12*1,IF($J100=9,-$E100*$I100/12*2,IF($J100&gt;=10,-$E100*$I100/12*3,0))))))</f>
        <v>0</v>
      </c>
      <c r="DL100" s="443">
        <f t="shared" ref="DL100:DL102" si="1405">IF($H100&lt;&gt;DM$5,0,IF(DM100&lt;0,IF(OR($J100=1,$J100=2,$J100=3,$J100=4,$J100=5,$J100=6,$J100=7,$J100=8,$J100=9,$J100=10),-$E100*$I100/12*3,IF($J100=11,-$E100*$I100/12*2,IF($J100=12,-$E100*$I100/12*1,0)))))+IF(DH$5&lt;&gt;$H100,0,IF(DH100&lt;0,IF($J100=10,-$E100*$I100/12*0,IF($J100=11,-$E100*$I100/12*1,IF($J100=12,-$E100*$I100/12*2,0)))))</f>
        <v>0</v>
      </c>
      <c r="DM100" s="440">
        <f t="shared" ref="DM100:DM102" si="1406">IF(AND(DH100&lt;&gt;0,DH$5=$H100),-$I100*$E100-DH100,IF(DM$5=$H100,-$I100*$E100*(12-$J100+1)/12,0))</f>
        <v>0</v>
      </c>
      <c r="DN100" s="441">
        <f t="shared" ref="DN100:DN102" si="1407">IF($H100&lt;&gt;DR$5,0,IF(DR100&lt;0,IF($J100=1,-$E100*$I100/12*3,IF($J100=2,-$E100*$I100/12*2,IF($J100=3,-$E100*$I100/12*1,0)))))+IF(DM$5&lt;&gt;$H100,0,IF(DM100&lt;0,IF($J100=1,-$E100*$I100/12*0,IF($J100=2,-$E100*$I100/12*1,IF($J100=3,-$E100*$I100/12*2,IF($J100&gt;=4,-$E100*$I100/12*3,0))))))</f>
        <v>0</v>
      </c>
      <c r="DO100" s="442">
        <f t="shared" ref="DO100:DO102" si="1408">IF($H100&lt;&gt;DR$5,0,IF(DR100&lt;0,IF(OR($J100=1,$J100=2,$J100=3,$J100=4),-$E100*$I100/12*3,IF($J100=5,-$E100*$I100/12*2,IF($J100=6,-$E100*$I100/12*1,0)))))+IF(DM$5&lt;&gt;$H100,0,IF(DM100&lt;0,IF($J100=4,-$E100*$I100/12*0,IF($J100=5,-$E100*$I100/12*1,IF($J100=6,-$E100*$I100/12*2,IF($J100&gt;=7,-$E100*$I100/12*3,0))))))</f>
        <v>0</v>
      </c>
      <c r="DP100" s="442">
        <f t="shared" ref="DP100:DP102" si="1409">IF($H100&lt;&gt;DR$5,0,IF(DR100&lt;0,IF(OR($J100=1,$J100=2,$J100=3,$J100=4,$J100=5,$J100=6,$J100=7),-$E100*$I100/12*3,IF($J100=8,-$E100*$I100/12*2,IF($J100=9,-$E100*$I100/12*1,0)))))+IF(DM$5&lt;&gt;$H100,0,IF(DM100&lt;0,IF($J100=7,-$E100*$I100/12*0,IF($J100=8,-$E100*$I100/12*1,IF($J100=9,-$E100*$I100/12*2,IF($J100&gt;=10,-$E100*$I100/12*3,0))))))</f>
        <v>0</v>
      </c>
      <c r="DQ100" s="443">
        <f t="shared" ref="DQ100:DQ102" si="1410">IF($H100&lt;&gt;DR$5,0,IF(DR100&lt;0,IF(OR($J100=1,$J100=2,$J100=3,$J100=4,$J100=5,$J100=6,$J100=7,$J100=8,$J100=9,$J100=10),-$E100*$I100/12*3,IF($J100=11,-$E100*$I100/12*2,IF($J100=12,-$E100*$I100/12*1,0)))))+IF(DM$5&lt;&gt;$H100,0,IF(DM100&lt;0,IF($J100=10,-$E100*$I100/12*0,IF($J100=11,-$E100*$I100/12*1,IF($J100=12,-$E100*$I100/12*2,0)))))</f>
        <v>0</v>
      </c>
      <c r="DR100" s="440">
        <f t="shared" ref="DR100:DR102" si="1411">IF(AND(DM100&lt;&gt;0,DM$5=$H100),-$I100*$E100-DM100,IF(DR$5=$H100,-$I100*$E100*(12-$J100+1)/12,0))</f>
        <v>0</v>
      </c>
    </row>
    <row r="101" spans="1:122" ht="12.75" customHeight="1">
      <c r="C101" s="1123" t="s">
        <v>79</v>
      </c>
      <c r="D101" s="395"/>
      <c r="E101" s="188">
        <f t="shared" si="1312"/>
        <v>0.102604</v>
      </c>
      <c r="F101" s="1945">
        <v>0</v>
      </c>
      <c r="G101" s="1945">
        <v>0.102604</v>
      </c>
      <c r="H101" s="1308">
        <v>2017</v>
      </c>
      <c r="I101" s="1948">
        <v>0.12</v>
      </c>
      <c r="J101" s="1357">
        <v>6</v>
      </c>
      <c r="K101" s="549"/>
      <c r="L101" s="441">
        <f t="shared" si="1313"/>
        <v>0</v>
      </c>
      <c r="M101" s="442">
        <f t="shared" si="1314"/>
        <v>0</v>
      </c>
      <c r="N101" s="442">
        <f t="shared" si="1315"/>
        <v>0</v>
      </c>
      <c r="O101" s="443">
        <f t="shared" si="1316"/>
        <v>0</v>
      </c>
      <c r="P101" s="440">
        <f t="shared" si="1206"/>
        <v>0</v>
      </c>
      <c r="Q101" s="441">
        <f t="shared" si="1317"/>
        <v>0</v>
      </c>
      <c r="R101" s="442">
        <f t="shared" si="1318"/>
        <v>0</v>
      </c>
      <c r="S101" s="442">
        <f t="shared" si="1319"/>
        <v>0</v>
      </c>
      <c r="T101" s="443">
        <f t="shared" si="1320"/>
        <v>0</v>
      </c>
      <c r="U101" s="440">
        <f t="shared" si="1211"/>
        <v>0</v>
      </c>
      <c r="V101" s="441">
        <f t="shared" si="1321"/>
        <v>0</v>
      </c>
      <c r="W101" s="442">
        <f t="shared" si="1322"/>
        <v>0</v>
      </c>
      <c r="X101" s="442">
        <f t="shared" si="1323"/>
        <v>0</v>
      </c>
      <c r="Y101" s="443">
        <f t="shared" si="1324"/>
        <v>0</v>
      </c>
      <c r="Z101" s="440">
        <f t="shared" si="1216"/>
        <v>0</v>
      </c>
      <c r="AA101" s="441">
        <f t="shared" si="1325"/>
        <v>0</v>
      </c>
      <c r="AB101" s="442">
        <f t="shared" si="1326"/>
        <v>0</v>
      </c>
      <c r="AC101" s="442">
        <f t="shared" si="1327"/>
        <v>0</v>
      </c>
      <c r="AD101" s="443">
        <f t="shared" si="1328"/>
        <v>0</v>
      </c>
      <c r="AE101" s="440">
        <f t="shared" si="1221"/>
        <v>0</v>
      </c>
      <c r="AF101" s="441">
        <f t="shared" si="1329"/>
        <v>0</v>
      </c>
      <c r="AG101" s="442">
        <f t="shared" si="1330"/>
        <v>0</v>
      </c>
      <c r="AH101" s="442">
        <f t="shared" si="1331"/>
        <v>0</v>
      </c>
      <c r="AI101" s="443">
        <f t="shared" si="1332"/>
        <v>0</v>
      </c>
      <c r="AJ101" s="440">
        <f t="shared" si="1226"/>
        <v>0</v>
      </c>
      <c r="AK101" s="441">
        <f t="shared" si="1333"/>
        <v>0</v>
      </c>
      <c r="AL101" s="442">
        <f t="shared" si="1334"/>
        <v>0</v>
      </c>
      <c r="AM101" s="442">
        <f t="shared" si="1335"/>
        <v>0</v>
      </c>
      <c r="AN101" s="443">
        <f t="shared" si="1336"/>
        <v>0</v>
      </c>
      <c r="AO101" s="440">
        <f t="shared" si="1231"/>
        <v>0</v>
      </c>
      <c r="AP101" s="441">
        <f t="shared" si="1337"/>
        <v>0</v>
      </c>
      <c r="AQ101" s="442">
        <f t="shared" si="1338"/>
        <v>-0.102604</v>
      </c>
      <c r="AR101" s="442">
        <f t="shared" si="1339"/>
        <v>0</v>
      </c>
      <c r="AS101" s="443">
        <f t="shared" si="1340"/>
        <v>0</v>
      </c>
      <c r="AT101" s="440">
        <f t="shared" si="1236"/>
        <v>-0.102604</v>
      </c>
      <c r="AU101" s="441">
        <f t="shared" si="1341"/>
        <v>0</v>
      </c>
      <c r="AV101" s="442">
        <f t="shared" si="1342"/>
        <v>0</v>
      </c>
      <c r="AW101" s="442">
        <f t="shared" si="1343"/>
        <v>0</v>
      </c>
      <c r="AX101" s="443">
        <f t="shared" si="1344"/>
        <v>0</v>
      </c>
      <c r="AY101" s="440">
        <f t="shared" si="1241"/>
        <v>0</v>
      </c>
      <c r="AZ101" s="441">
        <f t="shared" si="1345"/>
        <v>0</v>
      </c>
      <c r="BA101" s="442">
        <f t="shared" si="1346"/>
        <v>0</v>
      </c>
      <c r="BB101" s="442">
        <f t="shared" si="1347"/>
        <v>0</v>
      </c>
      <c r="BC101" s="443">
        <f t="shared" si="1348"/>
        <v>0</v>
      </c>
      <c r="BD101" s="440">
        <f t="shared" si="1246"/>
        <v>0</v>
      </c>
      <c r="BE101" s="441">
        <f t="shared" si="1349"/>
        <v>0</v>
      </c>
      <c r="BF101" s="442">
        <f t="shared" si="1350"/>
        <v>0</v>
      </c>
      <c r="BG101" s="442">
        <f t="shared" si="1351"/>
        <v>0</v>
      </c>
      <c r="BH101" s="443">
        <f t="shared" si="1352"/>
        <v>0</v>
      </c>
      <c r="BI101" s="440">
        <f t="shared" si="1251"/>
        <v>0</v>
      </c>
      <c r="BJ101" s="441">
        <f t="shared" si="1353"/>
        <v>0</v>
      </c>
      <c r="BK101" s="442">
        <f t="shared" si="1354"/>
        <v>0</v>
      </c>
      <c r="BL101" s="442">
        <f t="shared" si="1355"/>
        <v>0</v>
      </c>
      <c r="BM101" s="443">
        <f t="shared" si="1356"/>
        <v>0</v>
      </c>
      <c r="BN101" s="440">
        <f t="shared" si="1256"/>
        <v>0</v>
      </c>
      <c r="BO101" s="470"/>
      <c r="BP101" s="441">
        <f t="shared" si="1357"/>
        <v>0</v>
      </c>
      <c r="BQ101" s="442">
        <f t="shared" si="1358"/>
        <v>0</v>
      </c>
      <c r="BR101" s="442">
        <f t="shared" si="1359"/>
        <v>0</v>
      </c>
      <c r="BS101" s="443">
        <f t="shared" si="1360"/>
        <v>0</v>
      </c>
      <c r="BT101" s="440">
        <f t="shared" si="1361"/>
        <v>0</v>
      </c>
      <c r="BU101" s="441">
        <f t="shared" si="1362"/>
        <v>0</v>
      </c>
      <c r="BV101" s="442">
        <f t="shared" si="1363"/>
        <v>0</v>
      </c>
      <c r="BW101" s="442">
        <f t="shared" si="1364"/>
        <v>0</v>
      </c>
      <c r="BX101" s="443">
        <f t="shared" si="1365"/>
        <v>0</v>
      </c>
      <c r="BY101" s="440">
        <f t="shared" si="1366"/>
        <v>0</v>
      </c>
      <c r="BZ101" s="441">
        <f t="shared" si="1367"/>
        <v>0</v>
      </c>
      <c r="CA101" s="442">
        <f t="shared" si="1368"/>
        <v>0</v>
      </c>
      <c r="CB101" s="442">
        <f t="shared" si="1369"/>
        <v>0</v>
      </c>
      <c r="CC101" s="443">
        <f t="shared" si="1370"/>
        <v>0</v>
      </c>
      <c r="CD101" s="440">
        <f t="shared" si="1371"/>
        <v>0</v>
      </c>
      <c r="CE101" s="441">
        <f t="shared" si="1372"/>
        <v>0</v>
      </c>
      <c r="CF101" s="442">
        <f t="shared" si="1373"/>
        <v>0</v>
      </c>
      <c r="CG101" s="442">
        <f t="shared" si="1374"/>
        <v>0</v>
      </c>
      <c r="CH101" s="443">
        <f t="shared" si="1375"/>
        <v>0</v>
      </c>
      <c r="CI101" s="440">
        <f t="shared" si="1376"/>
        <v>0</v>
      </c>
      <c r="CJ101" s="441">
        <f t="shared" si="1377"/>
        <v>0</v>
      </c>
      <c r="CK101" s="442">
        <f t="shared" si="1378"/>
        <v>0</v>
      </c>
      <c r="CL101" s="442">
        <f t="shared" si="1379"/>
        <v>0</v>
      </c>
      <c r="CM101" s="443">
        <f t="shared" si="1380"/>
        <v>0</v>
      </c>
      <c r="CN101" s="440">
        <f t="shared" si="1381"/>
        <v>0</v>
      </c>
      <c r="CO101" s="441">
        <f t="shared" si="1382"/>
        <v>0</v>
      </c>
      <c r="CP101" s="442">
        <f t="shared" si="1383"/>
        <v>0</v>
      </c>
      <c r="CQ101" s="442">
        <f t="shared" si="1384"/>
        <v>0</v>
      </c>
      <c r="CR101" s="443">
        <f t="shared" si="1385"/>
        <v>0</v>
      </c>
      <c r="CS101" s="440">
        <f t="shared" si="1386"/>
        <v>0</v>
      </c>
      <c r="CT101" s="441">
        <f t="shared" si="1387"/>
        <v>0</v>
      </c>
      <c r="CU101" s="442">
        <f t="shared" si="1388"/>
        <v>-1.02604E-3</v>
      </c>
      <c r="CV101" s="442">
        <f t="shared" si="1389"/>
        <v>-3.0781200000000002E-3</v>
      </c>
      <c r="CW101" s="443">
        <f t="shared" si="1390"/>
        <v>-3.0781200000000002E-3</v>
      </c>
      <c r="CX101" s="440">
        <f t="shared" si="1391"/>
        <v>-7.1822799999999992E-3</v>
      </c>
      <c r="CY101" s="441">
        <f t="shared" si="1392"/>
        <v>-3.0781200000000002E-3</v>
      </c>
      <c r="CZ101" s="442">
        <f t="shared" si="1393"/>
        <v>-2.05208E-3</v>
      </c>
      <c r="DA101" s="442">
        <f t="shared" si="1394"/>
        <v>0</v>
      </c>
      <c r="DB101" s="443">
        <f t="shared" si="1395"/>
        <v>0</v>
      </c>
      <c r="DC101" s="440">
        <f t="shared" si="1396"/>
        <v>-5.1301999999999997E-3</v>
      </c>
      <c r="DD101" s="441">
        <f t="shared" si="1397"/>
        <v>0</v>
      </c>
      <c r="DE101" s="442">
        <f t="shared" si="1398"/>
        <v>0</v>
      </c>
      <c r="DF101" s="442">
        <f t="shared" si="1399"/>
        <v>0</v>
      </c>
      <c r="DG101" s="443">
        <f t="shared" si="1400"/>
        <v>0</v>
      </c>
      <c r="DH101" s="440">
        <f t="shared" si="1401"/>
        <v>0</v>
      </c>
      <c r="DI101" s="441">
        <f t="shared" si="1402"/>
        <v>0</v>
      </c>
      <c r="DJ101" s="442">
        <f t="shared" si="1403"/>
        <v>0</v>
      </c>
      <c r="DK101" s="442">
        <f t="shared" si="1404"/>
        <v>0</v>
      </c>
      <c r="DL101" s="443">
        <f t="shared" si="1405"/>
        <v>0</v>
      </c>
      <c r="DM101" s="440">
        <f t="shared" si="1406"/>
        <v>0</v>
      </c>
      <c r="DN101" s="441">
        <f t="shared" si="1407"/>
        <v>0</v>
      </c>
      <c r="DO101" s="442">
        <f t="shared" si="1408"/>
        <v>0</v>
      </c>
      <c r="DP101" s="442">
        <f t="shared" si="1409"/>
        <v>0</v>
      </c>
      <c r="DQ101" s="443">
        <f t="shared" si="1410"/>
        <v>0</v>
      </c>
      <c r="DR101" s="440">
        <f t="shared" si="1411"/>
        <v>0</v>
      </c>
    </row>
    <row r="102" spans="1:122" ht="12.75" customHeight="1">
      <c r="C102" s="1123" t="s">
        <v>80</v>
      </c>
      <c r="D102" s="395"/>
      <c r="E102" s="188">
        <f t="shared" si="1312"/>
        <v>3.476</v>
      </c>
      <c r="F102" s="1945">
        <v>0</v>
      </c>
      <c r="G102" s="1945">
        <f>1.232+2.244</f>
        <v>3.476</v>
      </c>
      <c r="H102" s="1308">
        <v>2017</v>
      </c>
      <c r="I102" s="1948">
        <v>8.8900000000000007E-2</v>
      </c>
      <c r="J102" s="1357">
        <v>6</v>
      </c>
      <c r="K102" s="549"/>
      <c r="L102" s="441">
        <f t="shared" si="1313"/>
        <v>0</v>
      </c>
      <c r="M102" s="442">
        <f t="shared" si="1314"/>
        <v>0</v>
      </c>
      <c r="N102" s="442">
        <f t="shared" si="1315"/>
        <v>0</v>
      </c>
      <c r="O102" s="443">
        <f t="shared" si="1316"/>
        <v>0</v>
      </c>
      <c r="P102" s="440">
        <f t="shared" si="1206"/>
        <v>0</v>
      </c>
      <c r="Q102" s="441">
        <f t="shared" si="1317"/>
        <v>0</v>
      </c>
      <c r="R102" s="442">
        <f t="shared" si="1318"/>
        <v>0</v>
      </c>
      <c r="S102" s="442">
        <f t="shared" si="1319"/>
        <v>0</v>
      </c>
      <c r="T102" s="443">
        <f t="shared" si="1320"/>
        <v>0</v>
      </c>
      <c r="U102" s="440">
        <f t="shared" si="1211"/>
        <v>0</v>
      </c>
      <c r="V102" s="441">
        <f t="shared" si="1321"/>
        <v>0</v>
      </c>
      <c r="W102" s="442">
        <f t="shared" si="1322"/>
        <v>0</v>
      </c>
      <c r="X102" s="442">
        <f t="shared" si="1323"/>
        <v>0</v>
      </c>
      <c r="Y102" s="443">
        <f t="shared" si="1324"/>
        <v>0</v>
      </c>
      <c r="Z102" s="440">
        <f t="shared" si="1216"/>
        <v>0</v>
      </c>
      <c r="AA102" s="441">
        <f t="shared" si="1325"/>
        <v>0</v>
      </c>
      <c r="AB102" s="442">
        <f t="shared" si="1326"/>
        <v>0</v>
      </c>
      <c r="AC102" s="442">
        <f t="shared" si="1327"/>
        <v>0</v>
      </c>
      <c r="AD102" s="443">
        <f t="shared" si="1328"/>
        <v>0</v>
      </c>
      <c r="AE102" s="440">
        <f t="shared" si="1221"/>
        <v>0</v>
      </c>
      <c r="AF102" s="441">
        <f t="shared" si="1329"/>
        <v>0</v>
      </c>
      <c r="AG102" s="442">
        <f t="shared" si="1330"/>
        <v>0</v>
      </c>
      <c r="AH102" s="442">
        <f t="shared" si="1331"/>
        <v>0</v>
      </c>
      <c r="AI102" s="443">
        <f t="shared" si="1332"/>
        <v>0</v>
      </c>
      <c r="AJ102" s="440">
        <f t="shared" si="1226"/>
        <v>0</v>
      </c>
      <c r="AK102" s="441">
        <f t="shared" si="1333"/>
        <v>0</v>
      </c>
      <c r="AL102" s="442">
        <f t="shared" si="1334"/>
        <v>0</v>
      </c>
      <c r="AM102" s="442">
        <f t="shared" si="1335"/>
        <v>0</v>
      </c>
      <c r="AN102" s="443">
        <f t="shared" si="1336"/>
        <v>0</v>
      </c>
      <c r="AO102" s="440">
        <f t="shared" si="1231"/>
        <v>0</v>
      </c>
      <c r="AP102" s="441">
        <f t="shared" si="1337"/>
        <v>0</v>
      </c>
      <c r="AQ102" s="442">
        <f t="shared" si="1338"/>
        <v>-3.476</v>
      </c>
      <c r="AR102" s="442">
        <f t="shared" si="1339"/>
        <v>0</v>
      </c>
      <c r="AS102" s="443">
        <f t="shared" si="1340"/>
        <v>0</v>
      </c>
      <c r="AT102" s="440">
        <f t="shared" si="1236"/>
        <v>-3.476</v>
      </c>
      <c r="AU102" s="441">
        <f t="shared" si="1341"/>
        <v>0</v>
      </c>
      <c r="AV102" s="442">
        <f t="shared" si="1342"/>
        <v>0</v>
      </c>
      <c r="AW102" s="442">
        <f t="shared" si="1343"/>
        <v>0</v>
      </c>
      <c r="AX102" s="443">
        <f t="shared" si="1344"/>
        <v>0</v>
      </c>
      <c r="AY102" s="440">
        <f t="shared" si="1241"/>
        <v>0</v>
      </c>
      <c r="AZ102" s="441">
        <f t="shared" si="1345"/>
        <v>0</v>
      </c>
      <c r="BA102" s="442">
        <f t="shared" si="1346"/>
        <v>0</v>
      </c>
      <c r="BB102" s="442">
        <f t="shared" si="1347"/>
        <v>0</v>
      </c>
      <c r="BC102" s="443">
        <f t="shared" si="1348"/>
        <v>0</v>
      </c>
      <c r="BD102" s="440">
        <f t="shared" si="1246"/>
        <v>0</v>
      </c>
      <c r="BE102" s="441">
        <f t="shared" si="1349"/>
        <v>0</v>
      </c>
      <c r="BF102" s="442">
        <f t="shared" si="1350"/>
        <v>0</v>
      </c>
      <c r="BG102" s="442">
        <f t="shared" si="1351"/>
        <v>0</v>
      </c>
      <c r="BH102" s="443">
        <f t="shared" si="1352"/>
        <v>0</v>
      </c>
      <c r="BI102" s="440">
        <f t="shared" si="1251"/>
        <v>0</v>
      </c>
      <c r="BJ102" s="441">
        <f t="shared" si="1353"/>
        <v>0</v>
      </c>
      <c r="BK102" s="442">
        <f t="shared" si="1354"/>
        <v>0</v>
      </c>
      <c r="BL102" s="442">
        <f t="shared" si="1355"/>
        <v>0</v>
      </c>
      <c r="BM102" s="443">
        <f t="shared" si="1356"/>
        <v>0</v>
      </c>
      <c r="BN102" s="440">
        <f t="shared" si="1256"/>
        <v>0</v>
      </c>
      <c r="BO102" s="470"/>
      <c r="BP102" s="441">
        <f t="shared" si="1357"/>
        <v>0</v>
      </c>
      <c r="BQ102" s="442">
        <f t="shared" si="1358"/>
        <v>0</v>
      </c>
      <c r="BR102" s="442">
        <f t="shared" si="1359"/>
        <v>0</v>
      </c>
      <c r="BS102" s="443">
        <f t="shared" si="1360"/>
        <v>0</v>
      </c>
      <c r="BT102" s="440">
        <f t="shared" si="1361"/>
        <v>0</v>
      </c>
      <c r="BU102" s="441">
        <f t="shared" si="1362"/>
        <v>0</v>
      </c>
      <c r="BV102" s="442">
        <f t="shared" si="1363"/>
        <v>0</v>
      </c>
      <c r="BW102" s="442">
        <f t="shared" si="1364"/>
        <v>0</v>
      </c>
      <c r="BX102" s="443">
        <f t="shared" si="1365"/>
        <v>0</v>
      </c>
      <c r="BY102" s="440">
        <f t="shared" si="1366"/>
        <v>0</v>
      </c>
      <c r="BZ102" s="441">
        <f t="shared" si="1367"/>
        <v>0</v>
      </c>
      <c r="CA102" s="442">
        <f t="shared" si="1368"/>
        <v>0</v>
      </c>
      <c r="CB102" s="442">
        <f t="shared" si="1369"/>
        <v>0</v>
      </c>
      <c r="CC102" s="443">
        <f t="shared" si="1370"/>
        <v>0</v>
      </c>
      <c r="CD102" s="440">
        <f t="shared" si="1371"/>
        <v>0</v>
      </c>
      <c r="CE102" s="441">
        <f t="shared" si="1372"/>
        <v>0</v>
      </c>
      <c r="CF102" s="442">
        <f t="shared" si="1373"/>
        <v>0</v>
      </c>
      <c r="CG102" s="442">
        <f t="shared" si="1374"/>
        <v>0</v>
      </c>
      <c r="CH102" s="443">
        <f t="shared" si="1375"/>
        <v>0</v>
      </c>
      <c r="CI102" s="440">
        <f t="shared" si="1376"/>
        <v>0</v>
      </c>
      <c r="CJ102" s="441">
        <f t="shared" si="1377"/>
        <v>0</v>
      </c>
      <c r="CK102" s="442">
        <f t="shared" si="1378"/>
        <v>0</v>
      </c>
      <c r="CL102" s="442">
        <f t="shared" si="1379"/>
        <v>0</v>
      </c>
      <c r="CM102" s="443">
        <f t="shared" si="1380"/>
        <v>0</v>
      </c>
      <c r="CN102" s="440">
        <f t="shared" si="1381"/>
        <v>0</v>
      </c>
      <c r="CO102" s="441">
        <f t="shared" si="1382"/>
        <v>0</v>
      </c>
      <c r="CP102" s="442">
        <f t="shared" si="1383"/>
        <v>0</v>
      </c>
      <c r="CQ102" s="442">
        <f t="shared" si="1384"/>
        <v>0</v>
      </c>
      <c r="CR102" s="443">
        <f t="shared" si="1385"/>
        <v>0</v>
      </c>
      <c r="CS102" s="440">
        <f t="shared" si="1386"/>
        <v>0</v>
      </c>
      <c r="CT102" s="441">
        <f t="shared" si="1387"/>
        <v>0</v>
      </c>
      <c r="CU102" s="442">
        <f t="shared" si="1388"/>
        <v>-2.5751366666666668E-2</v>
      </c>
      <c r="CV102" s="442">
        <f t="shared" si="1389"/>
        <v>-7.7254100000000006E-2</v>
      </c>
      <c r="CW102" s="443">
        <f t="shared" si="1390"/>
        <v>-7.7254100000000006E-2</v>
      </c>
      <c r="CX102" s="440">
        <f t="shared" si="1391"/>
        <v>-0.18025956666666668</v>
      </c>
      <c r="CY102" s="441">
        <f t="shared" si="1392"/>
        <v>-7.7254100000000006E-2</v>
      </c>
      <c r="CZ102" s="442">
        <f t="shared" si="1393"/>
        <v>-5.1502733333333335E-2</v>
      </c>
      <c r="DA102" s="442">
        <f t="shared" si="1394"/>
        <v>0</v>
      </c>
      <c r="DB102" s="443">
        <f t="shared" si="1395"/>
        <v>0</v>
      </c>
      <c r="DC102" s="440">
        <f t="shared" si="1396"/>
        <v>-0.12875683333333335</v>
      </c>
      <c r="DD102" s="441">
        <f t="shared" si="1397"/>
        <v>0</v>
      </c>
      <c r="DE102" s="442">
        <f t="shared" si="1398"/>
        <v>0</v>
      </c>
      <c r="DF102" s="442">
        <f t="shared" si="1399"/>
        <v>0</v>
      </c>
      <c r="DG102" s="443">
        <f t="shared" si="1400"/>
        <v>0</v>
      </c>
      <c r="DH102" s="440">
        <f t="shared" si="1401"/>
        <v>0</v>
      </c>
      <c r="DI102" s="441">
        <f t="shared" si="1402"/>
        <v>0</v>
      </c>
      <c r="DJ102" s="442">
        <f t="shared" si="1403"/>
        <v>0</v>
      </c>
      <c r="DK102" s="442">
        <f t="shared" si="1404"/>
        <v>0</v>
      </c>
      <c r="DL102" s="443">
        <f t="shared" si="1405"/>
        <v>0</v>
      </c>
      <c r="DM102" s="440">
        <f t="shared" si="1406"/>
        <v>0</v>
      </c>
      <c r="DN102" s="441">
        <f t="shared" si="1407"/>
        <v>0</v>
      </c>
      <c r="DO102" s="442">
        <f t="shared" si="1408"/>
        <v>0</v>
      </c>
      <c r="DP102" s="442">
        <f t="shared" si="1409"/>
        <v>0</v>
      </c>
      <c r="DQ102" s="443">
        <f t="shared" si="1410"/>
        <v>0</v>
      </c>
      <c r="DR102" s="440">
        <f t="shared" si="1411"/>
        <v>0</v>
      </c>
    </row>
    <row r="103" spans="1:122" ht="12.75" customHeight="1">
      <c r="C103" s="1123"/>
      <c r="D103" s="395"/>
      <c r="E103" s="188"/>
      <c r="F103" s="1596"/>
      <c r="G103" s="1596"/>
      <c r="H103" s="1308"/>
      <c r="I103" s="1356"/>
      <c r="J103" s="1357"/>
      <c r="K103" s="549"/>
      <c r="L103" s="441"/>
      <c r="M103" s="442"/>
      <c r="N103" s="442"/>
      <c r="O103" s="443"/>
      <c r="P103" s="440"/>
      <c r="Q103" s="441"/>
      <c r="R103" s="442"/>
      <c r="S103" s="442"/>
      <c r="T103" s="443"/>
      <c r="U103" s="440"/>
      <c r="V103" s="441"/>
      <c r="W103" s="442"/>
      <c r="X103" s="442"/>
      <c r="Y103" s="443"/>
      <c r="Z103" s="440"/>
      <c r="AA103" s="441"/>
      <c r="AB103" s="442"/>
      <c r="AC103" s="442"/>
      <c r="AD103" s="443"/>
      <c r="AE103" s="440"/>
      <c r="AF103" s="441"/>
      <c r="AG103" s="442"/>
      <c r="AH103" s="442"/>
      <c r="AI103" s="443"/>
      <c r="AJ103" s="440"/>
      <c r="AK103" s="441"/>
      <c r="AL103" s="442"/>
      <c r="AM103" s="442"/>
      <c r="AN103" s="443"/>
      <c r="AO103" s="440"/>
      <c r="AP103" s="441"/>
      <c r="AQ103" s="442"/>
      <c r="AR103" s="442"/>
      <c r="AS103" s="443"/>
      <c r="AT103" s="440"/>
      <c r="AU103" s="441"/>
      <c r="AV103" s="442"/>
      <c r="AW103" s="442"/>
      <c r="AX103" s="443"/>
      <c r="AY103" s="440"/>
      <c r="AZ103" s="441"/>
      <c r="BA103" s="442"/>
      <c r="BB103" s="442"/>
      <c r="BC103" s="443"/>
      <c r="BD103" s="440"/>
      <c r="BE103" s="441"/>
      <c r="BF103" s="442"/>
      <c r="BG103" s="442"/>
      <c r="BH103" s="443"/>
      <c r="BI103" s="440"/>
      <c r="BJ103" s="441"/>
      <c r="BK103" s="442"/>
      <c r="BL103" s="442"/>
      <c r="BM103" s="443"/>
      <c r="BN103" s="440"/>
      <c r="BO103" s="470"/>
      <c r="BP103" s="441"/>
      <c r="BQ103" s="442"/>
      <c r="BR103" s="442"/>
      <c r="BS103" s="443"/>
      <c r="BT103" s="440"/>
      <c r="BU103" s="441"/>
      <c r="BV103" s="442"/>
      <c r="BW103" s="442"/>
      <c r="BX103" s="443"/>
      <c r="BY103" s="440"/>
      <c r="BZ103" s="441"/>
      <c r="CA103" s="442"/>
      <c r="CB103" s="442"/>
      <c r="CC103" s="443"/>
      <c r="CD103" s="440"/>
      <c r="CE103" s="441"/>
      <c r="CF103" s="442"/>
      <c r="CG103" s="442"/>
      <c r="CH103" s="443"/>
      <c r="CI103" s="440"/>
      <c r="CJ103" s="441"/>
      <c r="CK103" s="442"/>
      <c r="CL103" s="442"/>
      <c r="CM103" s="443"/>
      <c r="CN103" s="440"/>
      <c r="CO103" s="441"/>
      <c r="CP103" s="442"/>
      <c r="CQ103" s="442"/>
      <c r="CR103" s="443"/>
      <c r="CS103" s="440"/>
      <c r="CT103" s="441"/>
      <c r="CU103" s="442"/>
      <c r="CV103" s="442"/>
      <c r="CW103" s="443"/>
      <c r="CX103" s="440"/>
      <c r="CY103" s="441"/>
      <c r="CZ103" s="442"/>
      <c r="DA103" s="442"/>
      <c r="DB103" s="443"/>
      <c r="DC103" s="440"/>
      <c r="DD103" s="441"/>
      <c r="DE103" s="442"/>
      <c r="DF103" s="442"/>
      <c r="DG103" s="443"/>
      <c r="DH103" s="440"/>
      <c r="DI103" s="441"/>
      <c r="DJ103" s="442"/>
      <c r="DK103" s="442"/>
      <c r="DL103" s="443"/>
      <c r="DM103" s="440"/>
      <c r="DN103" s="441"/>
      <c r="DO103" s="442"/>
      <c r="DP103" s="442"/>
      <c r="DQ103" s="443"/>
      <c r="DR103" s="440"/>
    </row>
    <row r="104" spans="1:122" ht="12.75" customHeight="1">
      <c r="C104" s="1363" t="s">
        <v>319</v>
      </c>
      <c r="D104" s="395"/>
      <c r="E104" s="1950"/>
      <c r="F104" s="1951"/>
      <c r="G104" s="1951"/>
      <c r="H104" s="1359"/>
      <c r="I104" s="1952"/>
      <c r="J104" s="1361"/>
      <c r="K104" s="549"/>
      <c r="L104" s="321"/>
      <c r="M104" s="322"/>
      <c r="N104" s="322"/>
      <c r="O104" s="323"/>
      <c r="P104" s="466"/>
      <c r="Q104" s="321"/>
      <c r="R104" s="322"/>
      <c r="S104" s="322"/>
      <c r="T104" s="323"/>
      <c r="U104" s="472"/>
      <c r="V104" s="321"/>
      <c r="W104" s="322"/>
      <c r="X104" s="322"/>
      <c r="Y104" s="323"/>
      <c r="Z104" s="472"/>
      <c r="AA104" s="321"/>
      <c r="AB104" s="322"/>
      <c r="AC104" s="322"/>
      <c r="AD104" s="323"/>
      <c r="AE104" s="472"/>
      <c r="AF104" s="321"/>
      <c r="AG104" s="322"/>
      <c r="AH104" s="322"/>
      <c r="AI104" s="323"/>
      <c r="AJ104" s="472"/>
      <c r="AK104" s="321"/>
      <c r="AL104" s="322"/>
      <c r="AM104" s="322"/>
      <c r="AN104" s="323"/>
      <c r="AO104" s="472"/>
      <c r="AP104" s="321"/>
      <c r="AQ104" s="322"/>
      <c r="AR104" s="322"/>
      <c r="AS104" s="323"/>
      <c r="AT104" s="472"/>
      <c r="AU104" s="321"/>
      <c r="AV104" s="322"/>
      <c r="AW104" s="322"/>
      <c r="AX104" s="323"/>
      <c r="AY104" s="472"/>
      <c r="AZ104" s="321"/>
      <c r="BA104" s="322"/>
      <c r="BB104" s="322"/>
      <c r="BC104" s="323"/>
      <c r="BD104" s="472"/>
      <c r="BE104" s="321"/>
      <c r="BF104" s="322"/>
      <c r="BG104" s="322"/>
      <c r="BH104" s="323"/>
      <c r="BI104" s="472"/>
      <c r="BJ104" s="321"/>
      <c r="BK104" s="322"/>
      <c r="BL104" s="322"/>
      <c r="BM104" s="323"/>
      <c r="BN104" s="472"/>
      <c r="BO104" s="473"/>
      <c r="BP104" s="321"/>
      <c r="BQ104" s="322"/>
      <c r="BR104" s="322"/>
      <c r="BS104" s="323"/>
      <c r="BT104" s="472"/>
      <c r="BU104" s="321"/>
      <c r="BV104" s="322"/>
      <c r="BW104" s="322"/>
      <c r="BX104" s="323"/>
      <c r="BY104" s="472"/>
      <c r="BZ104" s="321"/>
      <c r="CA104" s="322"/>
      <c r="CB104" s="322"/>
      <c r="CC104" s="323"/>
      <c r="CD104" s="472"/>
      <c r="CE104" s="321"/>
      <c r="CF104" s="322"/>
      <c r="CG104" s="322"/>
      <c r="CH104" s="323"/>
      <c r="CI104" s="472"/>
      <c r="CJ104" s="321"/>
      <c r="CK104" s="322"/>
      <c r="CL104" s="322"/>
      <c r="CM104" s="323"/>
      <c r="CN104" s="472"/>
      <c r="CO104" s="321"/>
      <c r="CP104" s="322"/>
      <c r="CQ104" s="322"/>
      <c r="CR104" s="323"/>
      <c r="CS104" s="472"/>
      <c r="CT104" s="321"/>
      <c r="CU104" s="322"/>
      <c r="CV104" s="322"/>
      <c r="CW104" s="323"/>
      <c r="CX104" s="472"/>
      <c r="CY104" s="321"/>
      <c r="CZ104" s="322"/>
      <c r="DA104" s="322"/>
      <c r="DB104" s="323"/>
      <c r="DC104" s="472"/>
      <c r="DD104" s="321"/>
      <c r="DE104" s="322"/>
      <c r="DF104" s="322"/>
      <c r="DG104" s="323"/>
      <c r="DH104" s="472"/>
      <c r="DI104" s="321"/>
      <c r="DJ104" s="322"/>
      <c r="DK104" s="322"/>
      <c r="DL104" s="323"/>
      <c r="DM104" s="472"/>
      <c r="DN104" s="321"/>
      <c r="DO104" s="322"/>
      <c r="DP104" s="322"/>
      <c r="DQ104" s="323"/>
      <c r="DR104" s="472"/>
    </row>
    <row r="105" spans="1:122" ht="12.75" customHeight="1">
      <c r="C105" s="1123" t="s">
        <v>706</v>
      </c>
      <c r="D105" s="395"/>
      <c r="E105" s="188">
        <f>IF(F105=0,G105,F105)</f>
        <v>332.30500000000001</v>
      </c>
      <c r="F105" s="1945">
        <v>332.30500000000001</v>
      </c>
      <c r="G105" s="1945">
        <v>332.30500000000001</v>
      </c>
      <c r="H105" s="1308">
        <v>2021</v>
      </c>
      <c r="I105" s="1948">
        <v>6.0499999999999998E-2</v>
      </c>
      <c r="J105" s="1357">
        <v>8</v>
      </c>
      <c r="K105" s="549"/>
      <c r="L105" s="441">
        <f>IF(P105=0,0,IF(P105&lt;0,IF($J105=3,P105,IF($J105=2,P105,IF($J105=1,P105,0)))))</f>
        <v>0</v>
      </c>
      <c r="M105" s="442">
        <f>IF(P105=0,0,IF(P105&lt;0,IF($J105=6,P105,IF($J105=5,P105,IF($J105=4,P105,0)))))</f>
        <v>0</v>
      </c>
      <c r="N105" s="442">
        <f>IF(P105=0,0,IF(P105&lt;0,IF($J105=9,P105,IF($J105=8,P105,IF($J105=7,P105,0)))))</f>
        <v>0</v>
      </c>
      <c r="O105" s="443">
        <f>IF(P105=0,0,IF(P105&lt;0,IF($J105=12,P105,IF($J105=11,P105,IF($J105=10,P105,0)))))</f>
        <v>0</v>
      </c>
      <c r="P105" s="440">
        <f>IF(P$5=$H105,-$E105,0)</f>
        <v>0</v>
      </c>
      <c r="Q105" s="441">
        <f>IF(U105=0,0,IF(U105&lt;0,IF($J105=3,U105,IF($J105=2,U105,IF($J105=1,U105,0)))))</f>
        <v>0</v>
      </c>
      <c r="R105" s="442">
        <f>IF(U105=0,0,IF(U105&lt;0,IF($J105=6,U105,IF($J105=5,U105,IF($J105=4,U105,0)))))</f>
        <v>0</v>
      </c>
      <c r="S105" s="442">
        <f>IF(U105=0,0,IF(U105&lt;0,IF($J105=9,U105,IF($J105=8,U105,IF($J105=7,U105,0)))))</f>
        <v>0</v>
      </c>
      <c r="T105" s="443">
        <f>IF(U105=0,0,IF(U105&lt;0,IF($J105=12,U105,IF($J105=11,U105,IF($J105=10,U105,0)))))</f>
        <v>0</v>
      </c>
      <c r="U105" s="440">
        <f>IF(U$5=$H105,-$E105,0)</f>
        <v>0</v>
      </c>
      <c r="V105" s="441">
        <f>IF(Z105=0,0,IF(Z105&lt;0,IF($J105=3,Z105,IF($J105=2,Z105,IF($J105=1,Z105,0)))))</f>
        <v>0</v>
      </c>
      <c r="W105" s="442">
        <f>IF(Z105=0,0,IF(Z105&lt;0,IF($J105=6,Z105,IF($J105=5,Z105,IF($J105=4,Z105,0)))))</f>
        <v>0</v>
      </c>
      <c r="X105" s="442">
        <f>IF(Z105=0,0,IF(Z105&lt;0,IF($J105=9,Z105,IF($J105=8,Z105,IF($J105=7,Z105,0)))))</f>
        <v>0</v>
      </c>
      <c r="Y105" s="443">
        <f>IF(Z105=0,0,IF(Z105&lt;0,IF($J105=12,Z105,IF($J105=11,Z105,IF($J105=10,Z105,0)))))</f>
        <v>0</v>
      </c>
      <c r="Z105" s="440">
        <f>IF(Z$5=$H105,-$E105,0)</f>
        <v>0</v>
      </c>
      <c r="AA105" s="441">
        <f>IF(AE105=0,0,IF(AE105&lt;0,IF($J105=3,AE105,IF($J105=2,AE105,IF($J105=1,AE105,0)))))</f>
        <v>0</v>
      </c>
      <c r="AB105" s="442">
        <f>IF(AE105=0,0,IF(AE105&lt;0,IF($J105=6,AE105,IF($J105=5,AE105,IF($J105=4,AE105,0)))))</f>
        <v>0</v>
      </c>
      <c r="AC105" s="442">
        <f>IF(AE105=0,0,IF(AE105&lt;0,IF($J105=9,AE105,IF($J105=8,AE105,IF($J105=7,AE105,0)))))</f>
        <v>0</v>
      </c>
      <c r="AD105" s="443">
        <f>IF(AE105=0,0,IF(AE105&lt;0,IF($J105=12,AE105,IF($J105=11,AE105,IF($J105=10,AE105,0)))))</f>
        <v>0</v>
      </c>
      <c r="AE105" s="440">
        <f>IF(AE$5=$H105,-$E105,0)</f>
        <v>0</v>
      </c>
      <c r="AF105" s="441">
        <f>IF(AJ105=0,0,IF(AJ105&lt;0,IF($J105=3,AJ105,IF($J105=2,AJ105,IF($J105=1,AJ105,0)))))</f>
        <v>0</v>
      </c>
      <c r="AG105" s="442">
        <f>IF(AJ105=0,0,IF(AJ105&lt;0,IF($J105=6,AJ105,IF($J105=5,AJ105,IF($J105=4,AJ105,0)))))</f>
        <v>0</v>
      </c>
      <c r="AH105" s="442">
        <f>IF(AJ105=0,0,IF(AJ105&lt;0,IF($J105=9,AJ105,IF($J105=8,AJ105,IF($J105=7,AJ105,0)))))</f>
        <v>0</v>
      </c>
      <c r="AI105" s="443">
        <f>IF(AJ105=0,0,IF(AJ105&lt;0,IF($J105=12,AJ105,IF($J105=11,AJ105,IF($J105=10,AJ105,0)))))</f>
        <v>0</v>
      </c>
      <c r="AJ105" s="440">
        <f>IF(AJ$5=$H105,-$E105,0)</f>
        <v>0</v>
      </c>
      <c r="AK105" s="441">
        <f>IF(AO105=0,0,IF(AO105&lt;0,IF($J105=3,AO105,IF($J105=2,AO105,IF($J105=1,AO105,0)))))</f>
        <v>0</v>
      </c>
      <c r="AL105" s="442">
        <f>IF(AO105=0,0,IF(AO105&lt;0,IF($J105=6,AO105,IF($J105=5,AO105,IF($J105=4,AO105,0)))))</f>
        <v>0</v>
      </c>
      <c r="AM105" s="442">
        <f>IF(AO105=0,0,IF(AO105&lt;0,IF($J105=9,AO105,IF($J105=8,AO105,IF($J105=7,AO105,0)))))</f>
        <v>0</v>
      </c>
      <c r="AN105" s="443">
        <f>IF(AO105=0,0,IF(AO105&lt;0,IF($J105=12,AO105,IF($J105=11,AO105,IF($J105=10,AO105,0)))))</f>
        <v>0</v>
      </c>
      <c r="AO105" s="440">
        <f>IF(AO$5=$H105,-$E105,0)</f>
        <v>0</v>
      </c>
      <c r="AP105" s="441">
        <f>IF(AT105=0,0,IF(AT105&lt;0,IF($J105=3,AT105,IF($J105=2,AT105,IF($J105=1,AT105,0)))))</f>
        <v>0</v>
      </c>
      <c r="AQ105" s="442">
        <f>IF(AT105=0,0,IF(AT105&lt;0,IF($J105=6,AT105,IF($J105=5,AT105,IF($J105=4,AT105,0)))))</f>
        <v>0</v>
      </c>
      <c r="AR105" s="442">
        <f>IF(AT105=0,0,IF(AT105&lt;0,IF($J105=9,AT105,IF($J105=8,AT105,IF($J105=7,AT105,0)))))</f>
        <v>0</v>
      </c>
      <c r="AS105" s="443">
        <f>IF(AT105=0,0,IF(AT105&lt;0,IF($J105=12,AT105,IF($J105=11,AT105,IF($J105=10,AT105,0)))))</f>
        <v>0</v>
      </c>
      <c r="AT105" s="440">
        <f>IF(AT$5=$H105,-$E105,0)</f>
        <v>0</v>
      </c>
      <c r="AU105" s="441">
        <f>IF(AY105=0,0,IF(AY105&lt;0,IF($J105=3,AY105,IF($J105=2,AY105,IF($J105=1,AY105,0)))))</f>
        <v>0</v>
      </c>
      <c r="AV105" s="442">
        <f>IF(AY105=0,0,IF(AY105&lt;0,IF($J105=6,AY105,IF($J105=5,AY105,IF($J105=4,AY105,0)))))</f>
        <v>0</v>
      </c>
      <c r="AW105" s="442">
        <f>IF(AY105=0,0,IF(AY105&lt;0,IF($J105=9,AY105,IF($J105=8,AY105,IF($J105=7,AY105,0)))))</f>
        <v>0</v>
      </c>
      <c r="AX105" s="443">
        <f>IF(AY105=0,0,IF(AY105&lt;0,IF($J105=12,AY105,IF($J105=11,AY105,IF($J105=10,AY105,0)))))</f>
        <v>0</v>
      </c>
      <c r="AY105" s="440">
        <f>IF(AY$5=$H105,-$E105,0)</f>
        <v>0</v>
      </c>
      <c r="AZ105" s="441">
        <f>IF(BD105=0,0,IF(BD105&lt;0,IF($J105=3,BD105,IF($J105=2,BD105,IF($J105=1,BD105,0)))))</f>
        <v>0</v>
      </c>
      <c r="BA105" s="442">
        <f>IF(BD105=0,0,IF(BD105&lt;0,IF($J105=6,BD105,IF($J105=5,BD105,IF($J105=4,BD105,0)))))</f>
        <v>0</v>
      </c>
      <c r="BB105" s="442">
        <f>IF(BD105=0,0,IF(BD105&lt;0,IF($J105=9,BD105,IF($J105=8,BD105,IF($J105=7,BD105,0)))))</f>
        <v>0</v>
      </c>
      <c r="BC105" s="443">
        <f>IF(BD105=0,0,IF(BD105&lt;0,IF($J105=12,BD105,IF($J105=11,BD105,IF($J105=10,BD105,0)))))</f>
        <v>0</v>
      </c>
      <c r="BD105" s="440">
        <f>IF(BD$5=$H105,-$E105,0)</f>
        <v>0</v>
      </c>
      <c r="BE105" s="441">
        <f>IF(BI105=0,0,IF(BI105&lt;0,IF($J105=3,BI105,IF($J105=2,BI105,IF($J105=1,BI105,0)))))</f>
        <v>0</v>
      </c>
      <c r="BF105" s="442">
        <f>IF(BI105=0,0,IF(BI105&lt;0,IF($J105=6,BI105,IF($J105=5,BI105,IF($J105=4,BI105,0)))))</f>
        <v>0</v>
      </c>
      <c r="BG105" s="442">
        <f>IF(BI105=0,0,IF(BI105&lt;0,IF($J105=9,BI105,IF($J105=8,BI105,IF($J105=7,BI105,0)))))</f>
        <v>0</v>
      </c>
      <c r="BH105" s="443">
        <f>IF(BI105=0,0,IF(BI105&lt;0,IF($J105=12,BI105,IF($J105=11,BI105,IF($J105=10,BI105,0)))))</f>
        <v>0</v>
      </c>
      <c r="BI105" s="440">
        <f>IF(BI$5=$H105,-$E105,0)</f>
        <v>0</v>
      </c>
      <c r="BJ105" s="441">
        <f>IF(BN105=0,0,IF(BN105&lt;0,IF($J105=3,BN105,IF($J105=2,BN105,IF($J105=1,BN105,0)))))</f>
        <v>0</v>
      </c>
      <c r="BK105" s="442">
        <f>IF(BN105=0,0,IF(BN105&lt;0,IF($J105=6,BN105,IF($J105=5,BN105,IF($J105=4,BN105,0)))))</f>
        <v>0</v>
      </c>
      <c r="BL105" s="442">
        <f>IF(BN105=0,0,IF(BN105&lt;0,IF($J105=9,BN105,IF($J105=8,BN105,IF($J105=7,BN105,0)))))</f>
        <v>-332.30500000000001</v>
      </c>
      <c r="BM105" s="443">
        <f>IF(BN105=0,0,IF(BN105&lt;0,IF($J105=12,BN105,IF($J105=11,BN105,IF($J105=10,BN105,0)))))</f>
        <v>0</v>
      </c>
      <c r="BN105" s="440">
        <f>IF(BN$5=$H105,-$E105,0)</f>
        <v>-332.30500000000001</v>
      </c>
      <c r="BO105" s="470"/>
      <c r="BP105" s="441">
        <f>IF($H105&lt;&gt;BT$5,0,IF(BT105&lt;0,IF($J105=1,-$E105*$I105/12*3,IF($J105=2,-$E105*$I105/12*2,IF($J105=3,-$E105*$I105/12*1,0)))))+IF(BO$5&lt;&gt;$H105,0,IF(BO105&lt;0,IF($J105=1,-$E105*$I105/12*0,IF($J105=2,-$E105*$I105/12*1,IF($J105=3,-$E105*$I105/12*2,IF($J105&gt;=4,-$E105*$I105/12*3,0))))))</f>
        <v>0</v>
      </c>
      <c r="BQ105" s="442">
        <f>IF($H105&lt;&gt;BT$5,0,IF(BT105&lt;0,IF(OR($J105=1,$J105=2,$J105=3,$J105=4),-$E105*$I105/12*3,IF($J105=5,-$E105*$I105/12*2,IF($J105=6,-$E105*$I105/12*1,0)))))+IF(BO$5&lt;&gt;$H105,0,IF(BO105&lt;0,IF($J105=4,-$E105*$I105/12*0,IF($J105=5,-$E105*$I105/12*1,IF($J105=6,-$E105*$I105/12*2,IF($J105&gt;=7,-$E105*$I105/12*3,0))))))</f>
        <v>0</v>
      </c>
      <c r="BR105" s="442">
        <f>IF($H105&lt;&gt;BT$5,0,IF(BT105&lt;0,IF(OR($J105=1,$J105=2,$J105=3,$J105=4,$J105=5,$J105=6,$J105=7),-$E105*$I105/12*3,IF($J105=8,-$E105*$I105/12*2,IF($J105=9,-$E105*$I105/12*1,0)))))+IF(BO$5&lt;&gt;$H105,0,IF(BO105&lt;0,IF($J105=7,-$E105*$I105/12*0,IF($J105=8,-$E105*$I105/12*1,IF($J105=9,-$E105*$I105/12*2,IF($J105&gt;=10,-$E105*$I105/12*3,0))))))</f>
        <v>0</v>
      </c>
      <c r="BS105" s="443">
        <f>IF($H105&lt;&gt;BT$5,0,IF(BT105&lt;0,IF(OR($J105=1,$J105=2,$J105=3,$J105=4,$J105=5,$J105=6,$J105=7,$J105=8,$J105=9,$J105=10),-$E105*$I105/12*3,IF($J105=11,-$E105*$I105/12*2,IF($J105=12,-$E105*$I105/12*1,0)))))+IF(BO$5&lt;&gt;$H105,0,IF(BO105&lt;0,IF($J105=10,-$E105*$I105/12*0,IF($J105=11,-$E105*$I105/12*1,IF($J105=12,-$E105*$I105/12*2,0)))))</f>
        <v>0</v>
      </c>
      <c r="BT105" s="440">
        <f>IF(AND(BO105&lt;&gt;0,BO$5=$H105),-$I105*$E105-BO105,IF(BT$5=$H105,-$I105*$E105*(12-$J105+1)/12,0))</f>
        <v>0</v>
      </c>
      <c r="BU105" s="441">
        <f>IF($H105&lt;&gt;BY$5,0,IF(BY105&lt;0,IF($J105=1,-$E105*$I105/12*3,IF($J105=2,-$E105*$I105/12*2,IF($J105=3,-$E105*$I105/12*1,0)))))+IF(BT$5&lt;&gt;$H105,0,IF(BT105&lt;0,IF($J105=1,-$E105*$I105/12*0,IF($J105=2,-$E105*$I105/12*1,IF($J105=3,-$E105*$I105/12*2,IF($J105&gt;=4,-$E105*$I105/12*3,0))))))</f>
        <v>0</v>
      </c>
      <c r="BV105" s="442">
        <f>IF($H105&lt;&gt;BY$5,0,IF(BY105&lt;0,IF(OR($J105=1,$J105=2,$J105=3,$J105=4),-$E105*$I105/12*3,IF($J105=5,-$E105*$I105/12*2,IF($J105=6,-$E105*$I105/12*1,0)))))+IF(BT$5&lt;&gt;$H105,0,IF(BT105&lt;0,IF($J105=4,-$E105*$I105/12*0,IF($J105=5,-$E105*$I105/12*1,IF($J105=6,-$E105*$I105/12*2,IF($J105&gt;=7,-$E105*$I105/12*3,0))))))</f>
        <v>0</v>
      </c>
      <c r="BW105" s="442">
        <f>IF($H105&lt;&gt;BY$5,0,IF(BY105&lt;0,IF(OR($J105=1,$J105=2,$J105=3,$J105=4,$J105=5,$J105=6,$J105=7),-$E105*$I105/12*3,IF($J105=8,-$E105*$I105/12*2,IF($J105=9,-$E105*$I105/12*1,0)))))+IF(BT$5&lt;&gt;$H105,0,IF(BT105&lt;0,IF($J105=7,-$E105*$I105/12*0,IF($J105=8,-$E105*$I105/12*1,IF($J105=9,-$E105*$I105/12*2,IF($J105&gt;=10,-$E105*$I105/12*3,0))))))</f>
        <v>0</v>
      </c>
      <c r="BX105" s="443">
        <f>IF($H105&lt;&gt;BY$5,0,IF(BY105&lt;0,IF(OR($J105=1,$J105=2,$J105=3,$J105=4,$J105=5,$J105=6,$J105=7,$J105=8,$J105=9,$J105=10),-$E105*$I105/12*3,IF($J105=11,-$E105*$I105/12*2,IF($J105=12,-$E105*$I105/12*1,0)))))+IF(BT$5&lt;&gt;$H105,0,IF(BT105&lt;0,IF($J105=10,-$E105*$I105/12*0,IF($J105=11,-$E105*$I105/12*1,IF($J105=12,-$E105*$I105/12*2,0)))))</f>
        <v>0</v>
      </c>
      <c r="BY105" s="440">
        <f>IF(AND(BT105&lt;&gt;0,BT$5=$H105),-$I105*$E105-BT105,IF(BY$5=$H105,-$I105*$E105*(12-$J105+1)/12,0))</f>
        <v>0</v>
      </c>
      <c r="BZ105" s="441">
        <f>IF($H105&lt;&gt;CD$5,0,IF(CD105&lt;0,IF($J105=1,-$E105*$I105/12*3,IF($J105=2,-$E105*$I105/12*2,IF($J105=3,-$E105*$I105/12*1,0)))))+IF(BY$5&lt;&gt;$H105,0,IF(BY105&lt;0,IF($J105=1,-$E105*$I105/12*0,IF($J105=2,-$E105*$I105/12*1,IF($J105=3,-$E105*$I105/12*2,IF($J105&gt;=4,-$E105*$I105/12*3,0))))))</f>
        <v>0</v>
      </c>
      <c r="CA105" s="442">
        <f>IF($H105&lt;&gt;CD$5,0,IF(CD105&lt;0,IF(OR($J105=1,$J105=2,$J105=3,$J105=4),-$E105*$I105/12*3,IF($J105=5,-$E105*$I105/12*2,IF($J105=6,-$E105*$I105/12*1,0)))))+IF(BY$5&lt;&gt;$H105,0,IF(BY105&lt;0,IF($J105=4,-$E105*$I105/12*0,IF($J105=5,-$E105*$I105/12*1,IF($J105=6,-$E105*$I105/12*2,IF($J105&gt;=7,-$E105*$I105/12*3,0))))))</f>
        <v>0</v>
      </c>
      <c r="CB105" s="442">
        <f>IF($H105&lt;&gt;CD$5,0,IF(CD105&lt;0,IF(OR($J105=1,$J105=2,$J105=3,$J105=4,$J105=5,$J105=6,$J105=7),-$E105*$I105/12*3,IF($J105=8,-$E105*$I105/12*2,IF($J105=9,-$E105*$I105/12*1,0)))))+IF(BY$5&lt;&gt;$H105,0,IF(BY105&lt;0,IF($J105=7,-$E105*$I105/12*0,IF($J105=8,-$E105*$I105/12*1,IF($J105=9,-$E105*$I105/12*2,IF($J105&gt;=10,-$E105*$I105/12*3,0))))))</f>
        <v>0</v>
      </c>
      <c r="CC105" s="443">
        <f>IF($H105&lt;&gt;CD$5,0,IF(CD105&lt;0,IF(OR($J105=1,$J105=2,$J105=3,$J105=4,$J105=5,$J105=6,$J105=7,$J105=8,$J105=9,$J105=10),-$E105*$I105/12*3,IF($J105=11,-$E105*$I105/12*2,IF($J105=12,-$E105*$I105/12*1,0)))))+IF(BY$5&lt;&gt;$H105,0,IF(BY105&lt;0,IF($J105=10,-$E105*$I105/12*0,IF($J105=11,-$E105*$I105/12*1,IF($J105=12,-$E105*$I105/12*2,0)))))</f>
        <v>0</v>
      </c>
      <c r="CD105" s="440">
        <f>IF(AND(BY105&lt;&gt;0,BY$5=$H105),-$I105*$E105-BY105,IF(CD$5=$H105,-$I105*$E105*(12-$J105+1)/12,0))</f>
        <v>0</v>
      </c>
      <c r="CE105" s="441">
        <f>IF($H105&lt;&gt;CI$5,0,IF(CI105&lt;0,IF($J105=1,-$E105*$I105/12*3,IF($J105=2,-$E105*$I105/12*2,IF($J105=3,-$E105*$I105/12*1,0)))))+IF(CD$5&lt;&gt;$H105,0,IF(CD105&lt;0,IF($J105=1,-$E105*$I105/12*0,IF($J105=2,-$E105*$I105/12*1,IF($J105=3,-$E105*$I105/12*2,IF($J105&gt;=4,-$E105*$I105/12*3,0))))))</f>
        <v>0</v>
      </c>
      <c r="CF105" s="442">
        <f>IF($H105&lt;&gt;CI$5,0,IF(CI105&lt;0,IF(OR($J105=1,$J105=2,$J105=3,$J105=4),-$E105*$I105/12*3,IF($J105=5,-$E105*$I105/12*2,IF($J105=6,-$E105*$I105/12*1,0)))))+IF(CD$5&lt;&gt;$H105,0,IF(CD105&lt;0,IF($J105=4,-$E105*$I105/12*0,IF($J105=5,-$E105*$I105/12*1,IF($J105=6,-$E105*$I105/12*2,IF($J105&gt;=7,-$E105*$I105/12*3,0))))))</f>
        <v>0</v>
      </c>
      <c r="CG105" s="442">
        <f>IF($H105&lt;&gt;CI$5,0,IF(CI105&lt;0,IF(OR($J105=1,$J105=2,$J105=3,$J105=4,$J105=5,$J105=6,$J105=7),-$E105*$I105/12*3,IF($J105=8,-$E105*$I105/12*2,IF($J105=9,-$E105*$I105/12*1,0)))))+IF(CD$5&lt;&gt;$H105,0,IF(CD105&lt;0,IF($J105=7,-$E105*$I105/12*0,IF($J105=8,-$E105*$I105/12*1,IF($J105=9,-$E105*$I105/12*2,IF($J105&gt;=10,-$E105*$I105/12*3,0))))))</f>
        <v>0</v>
      </c>
      <c r="CH105" s="443">
        <f>IF($H105&lt;&gt;CI$5,0,IF(CI105&lt;0,IF(OR($J105=1,$J105=2,$J105=3,$J105=4,$J105=5,$J105=6,$J105=7,$J105=8,$J105=9,$J105=10),-$E105*$I105/12*3,IF($J105=11,-$E105*$I105/12*2,IF($J105=12,-$E105*$I105/12*1,0)))))+IF(CD$5&lt;&gt;$H105,0,IF(CD105&lt;0,IF($J105=10,-$E105*$I105/12*0,IF($J105=11,-$E105*$I105/12*1,IF($J105=12,-$E105*$I105/12*2,0)))))</f>
        <v>0</v>
      </c>
      <c r="CI105" s="440">
        <f>IF(AND(CD105&lt;&gt;0,CD$5=$H105),-$I105*$E105-CD105,IF(CI$5=$H105,-$I105*$E105*(12-$J105+1)/12,0))</f>
        <v>0</v>
      </c>
      <c r="CJ105" s="441">
        <f>IF($H105&lt;&gt;CN$5,0,IF(CN105&lt;0,IF($J105=1,-$E105*$I105/12*3,IF($J105=2,-$E105*$I105/12*2,IF($J105=3,-$E105*$I105/12*1,0)))))+IF(CI$5&lt;&gt;$H105,0,IF(CI105&lt;0,IF($J105=1,-$E105*$I105/12*0,IF($J105=2,-$E105*$I105/12*1,IF($J105=3,-$E105*$I105/12*2,IF($J105&gt;=4,-$E105*$I105/12*3,0))))))</f>
        <v>0</v>
      </c>
      <c r="CK105" s="442">
        <f>IF($H105&lt;&gt;CN$5,0,IF(CN105&lt;0,IF(OR($J105=1,$J105=2,$J105=3,$J105=4),-$E105*$I105/12*3,IF($J105=5,-$E105*$I105/12*2,IF($J105=6,-$E105*$I105/12*1,0)))))+IF(CI$5&lt;&gt;$H105,0,IF(CI105&lt;0,IF($J105=4,-$E105*$I105/12*0,IF($J105=5,-$E105*$I105/12*1,IF($J105=6,-$E105*$I105/12*2,IF($J105&gt;=7,-$E105*$I105/12*3,0))))))</f>
        <v>0</v>
      </c>
      <c r="CL105" s="442">
        <f>IF($H105&lt;&gt;CN$5,0,IF(CN105&lt;0,IF(OR($J105=1,$J105=2,$J105=3,$J105=4,$J105=5,$J105=6,$J105=7),-$E105*$I105/12*3,IF($J105=8,-$E105*$I105/12*2,IF($J105=9,-$E105*$I105/12*1,0)))))+IF(CI$5&lt;&gt;$H105,0,IF(CI105&lt;0,IF($J105=7,-$E105*$I105/12*0,IF($J105=8,-$E105*$I105/12*1,IF($J105=9,-$E105*$I105/12*2,IF($J105&gt;=10,-$E105*$I105/12*3,0))))))</f>
        <v>0</v>
      </c>
      <c r="CM105" s="443">
        <f>IF($H105&lt;&gt;CN$5,0,IF(CN105&lt;0,IF(OR($J105=1,$J105=2,$J105=3,$J105=4,$J105=5,$J105=6,$J105=7,$J105=8,$J105=9,$J105=10),-$E105*$I105/12*3,IF($J105=11,-$E105*$I105/12*2,IF($J105=12,-$E105*$I105/12*1,0)))))+IF(CI$5&lt;&gt;$H105,0,IF(CI105&lt;0,IF($J105=10,-$E105*$I105/12*0,IF($J105=11,-$E105*$I105/12*1,IF($J105=12,-$E105*$I105/12*2,0)))))</f>
        <v>0</v>
      </c>
      <c r="CN105" s="440">
        <f>IF(AND(CI105&lt;&gt;0,CI$5=$H105),-$I105*$E105-CI105,IF(CN$5=$H105,-$I105*$E105*(12-$J105+1)/12,0))</f>
        <v>0</v>
      </c>
      <c r="CO105" s="441">
        <f>IF($H105&lt;&gt;CS$5,0,IF(CS105&lt;0,IF($J105=1,-$E105*$I105/12*3,IF($J105=2,-$E105*$I105/12*2,IF($J105=3,-$E105*$I105/12*1,0)))))+IF(CN$5&lt;&gt;$H105,0,IF(CN105&lt;0,IF($J105=1,-$E105*$I105/12*0,IF($J105=2,-$E105*$I105/12*1,IF($J105=3,-$E105*$I105/12*2,IF($J105&gt;=4,-$E105*$I105/12*3,0))))))</f>
        <v>0</v>
      </c>
      <c r="CP105" s="442">
        <f>IF($H105&lt;&gt;CS$5,0,IF(CS105&lt;0,IF(OR($J105=1,$J105=2,$J105=3,$J105=4),-$E105*$I105/12*3,IF($J105=5,-$E105*$I105/12*2,IF($J105=6,-$E105*$I105/12*1,0)))))+IF(CN$5&lt;&gt;$H105,0,IF(CN105&lt;0,IF($J105=4,-$E105*$I105/12*0,IF($J105=5,-$E105*$I105/12*1,IF($J105=6,-$E105*$I105/12*2,IF($J105&gt;=7,-$E105*$I105/12*3,0))))))</f>
        <v>0</v>
      </c>
      <c r="CQ105" s="442">
        <f>IF($H105&lt;&gt;CS$5,0,IF(CS105&lt;0,IF(OR($J105=1,$J105=2,$J105=3,$J105=4,$J105=5,$J105=6,$J105=7),-$E105*$I105/12*3,IF($J105=8,-$E105*$I105/12*2,IF($J105=9,-$E105*$I105/12*1,0)))))+IF(CN$5&lt;&gt;$H105,0,IF(CN105&lt;0,IF($J105=7,-$E105*$I105/12*0,IF($J105=8,-$E105*$I105/12*1,IF($J105=9,-$E105*$I105/12*2,IF($J105&gt;=10,-$E105*$I105/12*3,0))))))</f>
        <v>0</v>
      </c>
      <c r="CR105" s="443">
        <f>IF($H105&lt;&gt;CS$5,0,IF(CS105&lt;0,IF(OR($J105=1,$J105=2,$J105=3,$J105=4,$J105=5,$J105=6,$J105=7,$J105=8,$J105=9,$J105=10),-$E105*$I105/12*3,IF($J105=11,-$E105*$I105/12*2,IF($J105=12,-$E105*$I105/12*1,0)))))+IF(CN$5&lt;&gt;$H105,0,IF(CN105&lt;0,IF($J105=10,-$E105*$I105/12*0,IF($J105=11,-$E105*$I105/12*1,IF($J105=12,-$E105*$I105/12*2,0)))))</f>
        <v>0</v>
      </c>
      <c r="CS105" s="440">
        <f>IF(AND(CN105&lt;&gt;0,CN$5=$H105),-$I105*$E105-CN105,IF(CS$5=$H105,-$I105*$E105*(12-$J105+1)/12,0))</f>
        <v>0</v>
      </c>
      <c r="CT105" s="441">
        <f>IF($H105&lt;&gt;CX$5,0,IF(CX105&lt;0,IF($J105=1,-$E105*$I105/12*3,IF($J105=2,-$E105*$I105/12*2,IF($J105=3,-$E105*$I105/12*1,0)))))+IF(CS$5&lt;&gt;$H105,0,IF(CS105&lt;0,IF($J105=1,-$E105*$I105/12*0,IF($J105=2,-$E105*$I105/12*1,IF($J105=3,-$E105*$I105/12*2,IF($J105&gt;=4,-$E105*$I105/12*3,0))))))</f>
        <v>0</v>
      </c>
      <c r="CU105" s="442">
        <f>IF($H105&lt;&gt;CX$5,0,IF(CX105&lt;0,IF(OR($J105=1,$J105=2,$J105=3,$J105=4),-$E105*$I105/12*3,IF($J105=5,-$E105*$I105/12*2,IF($J105=6,-$E105*$I105/12*1,0)))))+IF(CS$5&lt;&gt;$H105,0,IF(CS105&lt;0,IF($J105=4,-$E105*$I105/12*0,IF($J105=5,-$E105*$I105/12*1,IF($J105=6,-$E105*$I105/12*2,IF($J105&gt;=7,-$E105*$I105/12*3,0))))))</f>
        <v>0</v>
      </c>
      <c r="CV105" s="442">
        <f>IF($H105&lt;&gt;CX$5,0,IF(CX105&lt;0,IF(OR($J105=1,$J105=2,$J105=3,$J105=4,$J105=5,$J105=6,$J105=7),-$E105*$I105/12*3,IF($J105=8,-$E105*$I105/12*2,IF($J105=9,-$E105*$I105/12*1,0)))))+IF(CS$5&lt;&gt;$H105,0,IF(CS105&lt;0,IF($J105=7,-$E105*$I105/12*0,IF($J105=8,-$E105*$I105/12*1,IF($J105=9,-$E105*$I105/12*2,IF($J105&gt;=10,-$E105*$I105/12*3,0))))))</f>
        <v>0</v>
      </c>
      <c r="CW105" s="443">
        <f>IF($H105&lt;&gt;CX$5,0,IF(CX105&lt;0,IF(OR($J105=1,$J105=2,$J105=3,$J105=4,$J105=5,$J105=6,$J105=7,$J105=8,$J105=9,$J105=10),-$E105*$I105/12*3,IF($J105=11,-$E105*$I105/12*2,IF($J105=12,-$E105*$I105/12*1,0)))))+IF(CS$5&lt;&gt;$H105,0,IF(CS105&lt;0,IF($J105=10,-$E105*$I105/12*0,IF($J105=11,-$E105*$I105/12*1,IF($J105=12,-$E105*$I105/12*2,0)))))</f>
        <v>0</v>
      </c>
      <c r="CX105" s="440">
        <f>IF(AND(CS105&lt;&gt;0,CS$5=$H105),-$I105*$E105-CS105,IF(CX$5=$H105,-$I105*$E105*(12-$J105+1)/12,0))</f>
        <v>0</v>
      </c>
      <c r="CY105" s="441">
        <f>IF($H105&lt;&gt;DC$5,0,IF(DC105&lt;0,IF($J105=1,-$E105*$I105/12*3,IF($J105=2,-$E105*$I105/12*2,IF($J105=3,-$E105*$I105/12*1,0)))))+IF(CX$5&lt;&gt;$H105,0,IF(CX105&lt;0,IF($J105=1,-$E105*$I105/12*0,IF($J105=2,-$E105*$I105/12*1,IF($J105=3,-$E105*$I105/12*2,IF($J105&gt;=4,-$E105*$I105/12*3,0))))))</f>
        <v>0</v>
      </c>
      <c r="CZ105" s="442">
        <f>IF($H105&lt;&gt;DC$5,0,IF(DC105&lt;0,IF(OR($J105=1,$J105=2,$J105=3,$J105=4),-$E105*$I105/12*3,IF($J105=5,-$E105*$I105/12*2,IF($J105=6,-$E105*$I105/12*1,0)))))+IF(CX$5&lt;&gt;$H105,0,IF(CX105&lt;0,IF($J105=4,-$E105*$I105/12*0,IF($J105=5,-$E105*$I105/12*1,IF($J105=6,-$E105*$I105/12*2,IF($J105&gt;=7,-$E105*$I105/12*3,0))))))</f>
        <v>0</v>
      </c>
      <c r="DA105" s="442">
        <f>IF($H105&lt;&gt;DC$5,0,IF(DC105&lt;0,IF(OR($J105=1,$J105=2,$J105=3,$J105=4,$J105=5,$J105=6,$J105=7),-$E105*$I105/12*3,IF($J105=8,-$E105*$I105/12*2,IF($J105=9,-$E105*$I105/12*1,0)))))+IF(CX$5&lt;&gt;$H105,0,IF(CX105&lt;0,IF($J105=7,-$E105*$I105/12*0,IF($J105=8,-$E105*$I105/12*1,IF($J105=9,-$E105*$I105/12*2,IF($J105&gt;=10,-$E105*$I105/12*3,0))))))</f>
        <v>0</v>
      </c>
      <c r="DB105" s="443">
        <f>IF($H105&lt;&gt;DC$5,0,IF(DC105&lt;0,IF(OR($J105=1,$J105=2,$J105=3,$J105=4,$J105=5,$J105=6,$J105=7,$J105=8,$J105=9,$J105=10),-$E105*$I105/12*3,IF($J105=11,-$E105*$I105/12*2,IF($J105=12,-$E105*$I105/12*1,0)))))+IF(CX$5&lt;&gt;$H105,0,IF(CX105&lt;0,IF($J105=10,-$E105*$I105/12*0,IF($J105=11,-$E105*$I105/12*1,IF($J105=12,-$E105*$I105/12*2,0)))))</f>
        <v>0</v>
      </c>
      <c r="DC105" s="440">
        <f>IF(AND(CX105&lt;&gt;0,CX$5=$H105),-$I105*$E105-CX105,IF(DC$5=$H105,-$I105*$E105*(12-$J105+1)/12,0))</f>
        <v>0</v>
      </c>
      <c r="DD105" s="441">
        <f>IF($H105&lt;&gt;DH$5,0,IF(DH105&lt;0,IF($J105=1,-$E105*$I105/12*3,IF($J105=2,-$E105*$I105/12*2,IF($J105=3,-$E105*$I105/12*1,0)))))+IF(DC$5&lt;&gt;$H105,0,IF(DC105&lt;0,IF($J105=1,-$E105*$I105/12*0,IF($J105=2,-$E105*$I105/12*1,IF($J105=3,-$E105*$I105/12*2,IF($J105&gt;=4,-$E105*$I105/12*3,0))))))</f>
        <v>0</v>
      </c>
      <c r="DE105" s="442">
        <f>IF($H105&lt;&gt;DH$5,0,IF(DH105&lt;0,IF(OR($J105=1,$J105=2,$J105=3,$J105=4),-$E105*$I105/12*3,IF($J105=5,-$E105*$I105/12*2,IF($J105=6,-$E105*$I105/12*1,0)))))+IF(DC$5&lt;&gt;$H105,0,IF(DC105&lt;0,IF($J105=4,-$E105*$I105/12*0,IF($J105=5,-$E105*$I105/12*1,IF($J105=6,-$E105*$I105/12*2,IF($J105&gt;=7,-$E105*$I105/12*3,0))))))</f>
        <v>0</v>
      </c>
      <c r="DF105" s="442">
        <f>IF($H105&lt;&gt;DH$5,0,IF(DH105&lt;0,IF(OR($J105=1,$J105=2,$J105=3,$J105=4,$J105=5,$J105=6,$J105=7),-$E105*$I105/12*3,IF($J105=8,-$E105*$I105/12*2,IF($J105=9,-$E105*$I105/12*1,0)))))+IF(DC$5&lt;&gt;$H105,0,IF(DC105&lt;0,IF($J105=7,-$E105*$I105/12*0,IF($J105=8,-$E105*$I105/12*1,IF($J105=9,-$E105*$I105/12*2,IF($J105&gt;=10,-$E105*$I105/12*3,0))))))</f>
        <v>0</v>
      </c>
      <c r="DG105" s="443">
        <f>IF($H105&lt;&gt;DH$5,0,IF(DH105&lt;0,IF(OR($J105=1,$J105=2,$J105=3,$J105=4,$J105=5,$J105=6,$J105=7,$J105=8,$J105=9,$J105=10),-$E105*$I105/12*3,IF($J105=11,-$E105*$I105/12*2,IF($J105=12,-$E105*$I105/12*1,0)))))+IF(DC$5&lt;&gt;$H105,0,IF(DC105&lt;0,IF($J105=10,-$E105*$I105/12*0,IF($J105=11,-$E105*$I105/12*1,IF($J105=12,-$E105*$I105/12*2,0)))))</f>
        <v>0</v>
      </c>
      <c r="DH105" s="440">
        <f>IF(AND(DC105&lt;&gt;0,DC$5=$H105),-$I105*$E105-DC105,IF(DH$5=$H105,-$I105*$E105*(12-$J105+1)/12,0))</f>
        <v>0</v>
      </c>
      <c r="DI105" s="441">
        <f>IF($H105&lt;&gt;DM$5,0,IF(DM105&lt;0,IF($J105=1,-$E105*$I105/12*3,IF($J105=2,-$E105*$I105/12*2,IF($J105=3,-$E105*$I105/12*1,0)))))+IF(DH$5&lt;&gt;$H105,0,IF(DH105&lt;0,IF($J105=1,-$E105*$I105/12*0,IF($J105=2,-$E105*$I105/12*1,IF($J105=3,-$E105*$I105/12*2,IF($J105&gt;=4,-$E105*$I105/12*3,0))))))</f>
        <v>0</v>
      </c>
      <c r="DJ105" s="442">
        <f>IF($H105&lt;&gt;DM$5,0,IF(DM105&lt;0,IF(OR($J105=1,$J105=2,$J105=3,$J105=4),-$E105*$I105/12*3,IF($J105=5,-$E105*$I105/12*2,IF($J105=6,-$E105*$I105/12*1,0)))))+IF(DH$5&lt;&gt;$H105,0,IF(DH105&lt;0,IF($J105=4,-$E105*$I105/12*0,IF($J105=5,-$E105*$I105/12*1,IF($J105=6,-$E105*$I105/12*2,IF($J105&gt;=7,-$E105*$I105/12*3,0))))))</f>
        <v>0</v>
      </c>
      <c r="DK105" s="442">
        <f>IF($H105&lt;&gt;DM$5,0,IF(DM105&lt;0,IF(OR($J105=1,$J105=2,$J105=3,$J105=4,$J105=5,$J105=6,$J105=7),-$E105*$I105/12*3,IF($J105=8,-$E105*$I105/12*2,IF($J105=9,-$E105*$I105/12*1,0)))))+IF(DH$5&lt;&gt;$H105,0,IF(DH105&lt;0,IF($J105=7,-$E105*$I105/12*0,IF($J105=8,-$E105*$I105/12*1,IF($J105=9,-$E105*$I105/12*2,IF($J105&gt;=10,-$E105*$I105/12*3,0))))))</f>
        <v>0</v>
      </c>
      <c r="DL105" s="443">
        <f>IF($H105&lt;&gt;DM$5,0,IF(DM105&lt;0,IF(OR($J105=1,$J105=2,$J105=3,$J105=4,$J105=5,$J105=6,$J105=7,$J105=8,$J105=9,$J105=10),-$E105*$I105/12*3,IF($J105=11,-$E105*$I105/12*2,IF($J105=12,-$E105*$I105/12*1,0)))))+IF(DH$5&lt;&gt;$H105,0,IF(DH105&lt;0,IF($J105=10,-$E105*$I105/12*0,IF($J105=11,-$E105*$I105/12*1,IF($J105=12,-$E105*$I105/12*2,0)))))</f>
        <v>0</v>
      </c>
      <c r="DM105" s="440">
        <f>IF(AND(DH105&lt;&gt;0,DH$5=$H105),-$I105*$E105-DH105,IF(DM$5=$H105,-$I105*$E105*(12-$J105+1)/12,0))</f>
        <v>0</v>
      </c>
      <c r="DN105" s="441">
        <f>IF($H105&lt;&gt;DR$5,0,IF(DR105&lt;0,IF($J105=1,-$E105*$I105/12*3,IF($J105=2,-$E105*$I105/12*2,IF($J105=3,-$E105*$I105/12*1,0)))))+IF(DM$5&lt;&gt;$H105,0,IF(DM105&lt;0,IF($J105=1,-$E105*$I105/12*0,IF($J105=2,-$E105*$I105/12*1,IF($J105=3,-$E105*$I105/12*2,IF($J105&gt;=4,-$E105*$I105/12*3,0))))))</f>
        <v>0</v>
      </c>
      <c r="DO105" s="442">
        <f>IF($H105&lt;&gt;DR$5,0,IF(DR105&lt;0,IF(OR($J105=1,$J105=2,$J105=3,$J105=4),-$E105*$I105/12*3,IF($J105=5,-$E105*$I105/12*2,IF($J105=6,-$E105*$I105/12*1,0)))))+IF(DM$5&lt;&gt;$H105,0,IF(DM105&lt;0,IF($J105=4,-$E105*$I105/12*0,IF($J105=5,-$E105*$I105/12*1,IF($J105=6,-$E105*$I105/12*2,IF($J105&gt;=7,-$E105*$I105/12*3,0))))))</f>
        <v>0</v>
      </c>
      <c r="DP105" s="442">
        <f>IF($H105&lt;&gt;DR$5,0,IF(DR105&lt;0,IF(OR($J105=1,$J105=2,$J105=3,$J105=4,$J105=5,$J105=6,$J105=7),-$E105*$I105/12*3,IF($J105=8,-$E105*$I105/12*2,IF($J105=9,-$E105*$I105/12*1,0)))))+IF(DM$5&lt;&gt;$H105,0,IF(DM105&lt;0,IF($J105=7,-$E105*$I105/12*0,IF($J105=8,-$E105*$I105/12*1,IF($J105=9,-$E105*$I105/12*2,IF($J105&gt;=10,-$E105*$I105/12*3,0))))))</f>
        <v>-3.3507420833333335</v>
      </c>
      <c r="DQ105" s="443">
        <f>IF($H105&lt;&gt;DR$5,0,IF(DR105&lt;0,IF(OR($J105=1,$J105=2,$J105=3,$J105=4,$J105=5,$J105=6,$J105=7,$J105=8,$J105=9,$J105=10),-$E105*$I105/12*3,IF($J105=11,-$E105*$I105/12*2,IF($J105=12,-$E105*$I105/12*1,0)))))+IF(DM$5&lt;&gt;$H105,0,IF(DM105&lt;0,IF($J105=10,-$E105*$I105/12*0,IF($J105=11,-$E105*$I105/12*1,IF($J105=12,-$E105*$I105/12*2,0)))))</f>
        <v>-5.0261131250000002</v>
      </c>
      <c r="DR105" s="440">
        <f>IF(AND(DM105&lt;&gt;0,DM$5=$H105),-$I105*$E105-DM105,IF(DR$5=$H105,-$I105*$E105*(12-$J105+1)/12,0))</f>
        <v>-8.3768552083333336</v>
      </c>
    </row>
    <row r="106" spans="1:122" ht="12.75" customHeight="1">
      <c r="C106" s="1123" t="s">
        <v>81</v>
      </c>
      <c r="D106" s="395"/>
      <c r="E106" s="188">
        <f>IF(F106=0,G106,F106)</f>
        <v>363.28100000000001</v>
      </c>
      <c r="F106" s="1945">
        <v>363.28100000000001</v>
      </c>
      <c r="G106" s="1945">
        <v>363.28100000000001</v>
      </c>
      <c r="H106" s="1308">
        <v>2039</v>
      </c>
      <c r="I106" s="1948">
        <v>6.8000000000000005E-2</v>
      </c>
      <c r="J106" s="1357">
        <v>8</v>
      </c>
      <c r="K106" s="549"/>
      <c r="L106" s="441">
        <f>IF(P106=0,0,IF(P106&lt;0,IF($J106=3,P106,IF($J106=2,P106,IF($J106=1,P106,0)))))</f>
        <v>0</v>
      </c>
      <c r="M106" s="442">
        <f>IF(P106=0,0,IF(P106&lt;0,IF($J106=6,P106,IF($J106=5,P106,IF($J106=4,P106,0)))))</f>
        <v>0</v>
      </c>
      <c r="N106" s="442">
        <f>IF(P106=0,0,IF(P106&lt;0,IF($J106=9,P106,IF($J106=8,P106,IF($J106=7,P106,0)))))</f>
        <v>0</v>
      </c>
      <c r="O106" s="443">
        <f>IF(P106=0,0,IF(P106&lt;0,IF($J106=12,P106,IF($J106=11,P106,IF($J106=10,P106,0)))))</f>
        <v>0</v>
      </c>
      <c r="P106" s="440">
        <f>IF(P$5=$H106,-$E106,0)</f>
        <v>0</v>
      </c>
      <c r="Q106" s="441">
        <f>IF(U106=0,0,IF(U106&lt;0,IF($J106=3,U106,IF($J106=2,U106,IF($J106=1,U106,0)))))</f>
        <v>0</v>
      </c>
      <c r="R106" s="442">
        <f>IF(U106=0,0,IF(U106&lt;0,IF($J106=6,U106,IF($J106=5,U106,IF($J106=4,U106,0)))))</f>
        <v>0</v>
      </c>
      <c r="S106" s="442">
        <f>IF(U106=0,0,IF(U106&lt;0,IF($J106=9,U106,IF($J106=8,U106,IF($J106=7,U106,0)))))</f>
        <v>0</v>
      </c>
      <c r="T106" s="443">
        <f>IF(U106=0,0,IF(U106&lt;0,IF($J106=12,U106,IF($J106=11,U106,IF($J106=10,U106,0)))))</f>
        <v>0</v>
      </c>
      <c r="U106" s="440">
        <f>IF(U$5=$H106,-$E106,0)</f>
        <v>0</v>
      </c>
      <c r="V106" s="441">
        <f>IF(Z106=0,0,IF(Z106&lt;0,IF($J106=3,Z106,IF($J106=2,Z106,IF($J106=1,Z106,0)))))</f>
        <v>0</v>
      </c>
      <c r="W106" s="442">
        <f>IF(Z106=0,0,IF(Z106&lt;0,IF($J106=6,Z106,IF($J106=5,Z106,IF($J106=4,Z106,0)))))</f>
        <v>0</v>
      </c>
      <c r="X106" s="442">
        <f>IF(Z106=0,0,IF(Z106&lt;0,IF($J106=9,Z106,IF($J106=8,Z106,IF($J106=7,Z106,0)))))</f>
        <v>0</v>
      </c>
      <c r="Y106" s="443">
        <f>IF(Z106=0,0,IF(Z106&lt;0,IF($J106=12,Z106,IF($J106=11,Z106,IF($J106=10,Z106,0)))))</f>
        <v>0</v>
      </c>
      <c r="Z106" s="440">
        <f>IF(Z$5=$H106,-$E106,0)</f>
        <v>0</v>
      </c>
      <c r="AA106" s="441">
        <f>IF(AE106=0,0,IF(AE106&lt;0,IF($J106=3,AE106,IF($J106=2,AE106,IF($J106=1,AE106,0)))))</f>
        <v>0</v>
      </c>
      <c r="AB106" s="442">
        <f>IF(AE106=0,0,IF(AE106&lt;0,IF($J106=6,AE106,IF($J106=5,AE106,IF($J106=4,AE106,0)))))</f>
        <v>0</v>
      </c>
      <c r="AC106" s="442">
        <f>IF(AE106=0,0,IF(AE106&lt;0,IF($J106=9,AE106,IF($J106=8,AE106,IF($J106=7,AE106,0)))))</f>
        <v>0</v>
      </c>
      <c r="AD106" s="443">
        <f>IF(AE106=0,0,IF(AE106&lt;0,IF($J106=12,AE106,IF($J106=11,AE106,IF($J106=10,AE106,0)))))</f>
        <v>0</v>
      </c>
      <c r="AE106" s="440">
        <f>IF(AE$5=$H106,-$E106,0)</f>
        <v>0</v>
      </c>
      <c r="AF106" s="441">
        <f>IF(AJ106=0,0,IF(AJ106&lt;0,IF($J106=3,AJ106,IF($J106=2,AJ106,IF($J106=1,AJ106,0)))))</f>
        <v>0</v>
      </c>
      <c r="AG106" s="442">
        <f>IF(AJ106=0,0,IF(AJ106&lt;0,IF($J106=6,AJ106,IF($J106=5,AJ106,IF($J106=4,AJ106,0)))))</f>
        <v>0</v>
      </c>
      <c r="AH106" s="442">
        <f>IF(AJ106=0,0,IF(AJ106&lt;0,IF($J106=9,AJ106,IF($J106=8,AJ106,IF($J106=7,AJ106,0)))))</f>
        <v>0</v>
      </c>
      <c r="AI106" s="443">
        <f>IF(AJ106=0,0,IF(AJ106&lt;0,IF($J106=12,AJ106,IF($J106=11,AJ106,IF($J106=10,AJ106,0)))))</f>
        <v>0</v>
      </c>
      <c r="AJ106" s="440">
        <f>IF(AJ$5=$H106,-$E106,0)</f>
        <v>0</v>
      </c>
      <c r="AK106" s="441">
        <f>IF(AO106=0,0,IF(AO106&lt;0,IF($J106=3,AO106,IF($J106=2,AO106,IF($J106=1,AO106,0)))))</f>
        <v>0</v>
      </c>
      <c r="AL106" s="442">
        <f>IF(AO106=0,0,IF(AO106&lt;0,IF($J106=6,AO106,IF($J106=5,AO106,IF($J106=4,AO106,0)))))</f>
        <v>0</v>
      </c>
      <c r="AM106" s="442">
        <f>IF(AO106=0,0,IF(AO106&lt;0,IF($J106=9,AO106,IF($J106=8,AO106,IF($J106=7,AO106,0)))))</f>
        <v>0</v>
      </c>
      <c r="AN106" s="443">
        <f>IF(AO106=0,0,IF(AO106&lt;0,IF($J106=12,AO106,IF($J106=11,AO106,IF($J106=10,AO106,0)))))</f>
        <v>0</v>
      </c>
      <c r="AO106" s="440">
        <f>IF(AO$5=$H106,-$E106,0)</f>
        <v>0</v>
      </c>
      <c r="AP106" s="441">
        <f>IF(AT106=0,0,IF(AT106&lt;0,IF($J106=3,AT106,IF($J106=2,AT106,IF($J106=1,AT106,0)))))</f>
        <v>0</v>
      </c>
      <c r="AQ106" s="442">
        <f>IF(AT106=0,0,IF(AT106&lt;0,IF($J106=6,AT106,IF($J106=5,AT106,IF($J106=4,AT106,0)))))</f>
        <v>0</v>
      </c>
      <c r="AR106" s="442">
        <f>IF(AT106=0,0,IF(AT106&lt;0,IF($J106=9,AT106,IF($J106=8,AT106,IF($J106=7,AT106,0)))))</f>
        <v>0</v>
      </c>
      <c r="AS106" s="443">
        <f>IF(AT106=0,0,IF(AT106&lt;0,IF($J106=12,AT106,IF($J106=11,AT106,IF($J106=10,AT106,0)))))</f>
        <v>0</v>
      </c>
      <c r="AT106" s="440">
        <f>IF(AT$5=$H106,-$E106,0)</f>
        <v>0</v>
      </c>
      <c r="AU106" s="441">
        <f>IF(AY106=0,0,IF(AY106&lt;0,IF($J106=3,AY106,IF($J106=2,AY106,IF($J106=1,AY106,0)))))</f>
        <v>0</v>
      </c>
      <c r="AV106" s="442">
        <f>IF(AY106=0,0,IF(AY106&lt;0,IF($J106=6,AY106,IF($J106=5,AY106,IF($J106=4,AY106,0)))))</f>
        <v>0</v>
      </c>
      <c r="AW106" s="442">
        <f>IF(AY106=0,0,IF(AY106&lt;0,IF($J106=9,AY106,IF($J106=8,AY106,IF($J106=7,AY106,0)))))</f>
        <v>0</v>
      </c>
      <c r="AX106" s="443">
        <f>IF(AY106=0,0,IF(AY106&lt;0,IF($J106=12,AY106,IF($J106=11,AY106,IF($J106=10,AY106,0)))))</f>
        <v>0</v>
      </c>
      <c r="AY106" s="440">
        <f>IF(AY$5=$H106,-$E106,0)</f>
        <v>0</v>
      </c>
      <c r="AZ106" s="441">
        <f>IF(BD106=0,0,IF(BD106&lt;0,IF($J106=3,BD106,IF($J106=2,BD106,IF($J106=1,BD106,0)))))</f>
        <v>0</v>
      </c>
      <c r="BA106" s="442">
        <f>IF(BD106=0,0,IF(BD106&lt;0,IF($J106=6,BD106,IF($J106=5,BD106,IF($J106=4,BD106,0)))))</f>
        <v>0</v>
      </c>
      <c r="BB106" s="442">
        <f>IF(BD106=0,0,IF(BD106&lt;0,IF($J106=9,BD106,IF($J106=8,BD106,IF($J106=7,BD106,0)))))</f>
        <v>0</v>
      </c>
      <c r="BC106" s="443">
        <f>IF(BD106=0,0,IF(BD106&lt;0,IF($J106=12,BD106,IF($J106=11,BD106,IF($J106=10,BD106,0)))))</f>
        <v>0</v>
      </c>
      <c r="BD106" s="440">
        <f>IF(BD$5=$H106,-$E106,0)</f>
        <v>0</v>
      </c>
      <c r="BE106" s="441">
        <f>IF(BI106=0,0,IF(BI106&lt;0,IF($J106=3,BI106,IF($J106=2,BI106,IF($J106=1,BI106,0)))))</f>
        <v>0</v>
      </c>
      <c r="BF106" s="442">
        <f>IF(BI106=0,0,IF(BI106&lt;0,IF($J106=6,BI106,IF($J106=5,BI106,IF($J106=4,BI106,0)))))</f>
        <v>0</v>
      </c>
      <c r="BG106" s="442">
        <f>IF(BI106=0,0,IF(BI106&lt;0,IF($J106=9,BI106,IF($J106=8,BI106,IF($J106=7,BI106,0)))))</f>
        <v>0</v>
      </c>
      <c r="BH106" s="443">
        <f>IF(BI106=0,0,IF(BI106&lt;0,IF($J106=12,BI106,IF($J106=11,BI106,IF($J106=10,BI106,0)))))</f>
        <v>0</v>
      </c>
      <c r="BI106" s="440">
        <f>IF(BI$5=$H106,-$E106,0)</f>
        <v>0</v>
      </c>
      <c r="BJ106" s="441">
        <f>IF(BN106=0,0,IF(BN106&lt;0,IF($J106=3,BN106,IF($J106=2,BN106,IF($J106=1,BN106,0)))))</f>
        <v>0</v>
      </c>
      <c r="BK106" s="442">
        <f>IF(BN106=0,0,IF(BN106&lt;0,IF($J106=6,BN106,IF($J106=5,BN106,IF($J106=4,BN106,0)))))</f>
        <v>0</v>
      </c>
      <c r="BL106" s="442">
        <f>IF(BN106=0,0,IF(BN106&lt;0,IF($J106=9,BN106,IF($J106=8,BN106,IF($J106=7,BN106,0)))))</f>
        <v>0</v>
      </c>
      <c r="BM106" s="443">
        <f>IF(BN106=0,0,IF(BN106&lt;0,IF($J106=12,BN106,IF($J106=11,BN106,IF($J106=10,BN106,0)))))</f>
        <v>0</v>
      </c>
      <c r="BN106" s="440">
        <f>IF(BN$5=$H106,-$E106,0)</f>
        <v>0</v>
      </c>
      <c r="BO106" s="470"/>
      <c r="BP106" s="441">
        <f>IF($H106&lt;&gt;BT$5,0,IF(BT106&lt;0,IF($J106=1,-$E106*$I106/12*3,IF($J106=2,-$E106*$I106/12*2,IF($J106=3,-$E106*$I106/12*1,0)))))+IF(BO$5&lt;&gt;$H106,0,IF(BO106&lt;0,IF($J106=1,-$E106*$I106/12*0,IF($J106=2,-$E106*$I106/12*1,IF($J106=3,-$E106*$I106/12*2,IF($J106&gt;=4,-$E106*$I106/12*3,0))))))</f>
        <v>0</v>
      </c>
      <c r="BQ106" s="442">
        <f>IF($H106&lt;&gt;BT$5,0,IF(BT106&lt;0,IF(OR($J106=1,$J106=2,$J106=3,$J106=4),-$E106*$I106/12*3,IF($J106=5,-$E106*$I106/12*2,IF($J106=6,-$E106*$I106/12*1,0)))))+IF(BO$5&lt;&gt;$H106,0,IF(BO106&lt;0,IF($J106=4,-$E106*$I106/12*0,IF($J106=5,-$E106*$I106/12*1,IF($J106=6,-$E106*$I106/12*2,IF($J106&gt;=7,-$E106*$I106/12*3,0))))))</f>
        <v>0</v>
      </c>
      <c r="BR106" s="442">
        <f>IF($H106&lt;&gt;BT$5,0,IF(BT106&lt;0,IF(OR($J106=1,$J106=2,$J106=3,$J106=4,$J106=5,$J106=6,$J106=7),-$E106*$I106/12*3,IF($J106=8,-$E106*$I106/12*2,IF($J106=9,-$E106*$I106/12*1,0)))))+IF(BO$5&lt;&gt;$H106,0,IF(BO106&lt;0,IF($J106=7,-$E106*$I106/12*0,IF($J106=8,-$E106*$I106/12*1,IF($J106=9,-$E106*$I106/12*2,IF($J106&gt;=10,-$E106*$I106/12*3,0))))))</f>
        <v>0</v>
      </c>
      <c r="BS106" s="443">
        <f>IF($H106&lt;&gt;BT$5,0,IF(BT106&lt;0,IF(OR($J106=1,$J106=2,$J106=3,$J106=4,$J106=5,$J106=6,$J106=7,$J106=8,$J106=9,$J106=10),-$E106*$I106/12*3,IF($J106=11,-$E106*$I106/12*2,IF($J106=12,-$E106*$I106/12*1,0)))))+IF(BO$5&lt;&gt;$H106,0,IF(BO106&lt;0,IF($J106=10,-$E106*$I106/12*0,IF($J106=11,-$E106*$I106/12*1,IF($J106=12,-$E106*$I106/12*2,0)))))</f>
        <v>0</v>
      </c>
      <c r="BT106" s="440">
        <f>IF(AND(BO106&lt;&gt;0,BO$5=$H106),-$I106*$E106-BO106,IF(BT$5=$H106,-$I106*$E106*(12-$J106+1)/12,0))</f>
        <v>0</v>
      </c>
      <c r="BU106" s="441">
        <f>IF($H106&lt;&gt;BY$5,0,IF(BY106&lt;0,IF($J106=1,-$E106*$I106/12*3,IF($J106=2,-$E106*$I106/12*2,IF($J106=3,-$E106*$I106/12*1,0)))))+IF(BT$5&lt;&gt;$H106,0,IF(BT106&lt;0,IF($J106=1,-$E106*$I106/12*0,IF($J106=2,-$E106*$I106/12*1,IF($J106=3,-$E106*$I106/12*2,IF($J106&gt;=4,-$E106*$I106/12*3,0))))))</f>
        <v>0</v>
      </c>
      <c r="BV106" s="442">
        <f>IF($H106&lt;&gt;BY$5,0,IF(BY106&lt;0,IF(OR($J106=1,$J106=2,$J106=3,$J106=4),-$E106*$I106/12*3,IF($J106=5,-$E106*$I106/12*2,IF($J106=6,-$E106*$I106/12*1,0)))))+IF(BT$5&lt;&gt;$H106,0,IF(BT106&lt;0,IF($J106=4,-$E106*$I106/12*0,IF($J106=5,-$E106*$I106/12*1,IF($J106=6,-$E106*$I106/12*2,IF($J106&gt;=7,-$E106*$I106/12*3,0))))))</f>
        <v>0</v>
      </c>
      <c r="BW106" s="442">
        <f>IF($H106&lt;&gt;BY$5,0,IF(BY106&lt;0,IF(OR($J106=1,$J106=2,$J106=3,$J106=4,$J106=5,$J106=6,$J106=7),-$E106*$I106/12*3,IF($J106=8,-$E106*$I106/12*2,IF($J106=9,-$E106*$I106/12*1,0)))))+IF(BT$5&lt;&gt;$H106,0,IF(BT106&lt;0,IF($J106=7,-$E106*$I106/12*0,IF($J106=8,-$E106*$I106/12*1,IF($J106=9,-$E106*$I106/12*2,IF($J106&gt;=10,-$E106*$I106/12*3,0))))))</f>
        <v>0</v>
      </c>
      <c r="BX106" s="443">
        <f>IF($H106&lt;&gt;BY$5,0,IF(BY106&lt;0,IF(OR($J106=1,$J106=2,$J106=3,$J106=4,$J106=5,$J106=6,$J106=7,$J106=8,$J106=9,$J106=10),-$E106*$I106/12*3,IF($J106=11,-$E106*$I106/12*2,IF($J106=12,-$E106*$I106/12*1,0)))))+IF(BT$5&lt;&gt;$H106,0,IF(BT106&lt;0,IF($J106=10,-$E106*$I106/12*0,IF($J106=11,-$E106*$I106/12*1,IF($J106=12,-$E106*$I106/12*2,0)))))</f>
        <v>0</v>
      </c>
      <c r="BY106" s="440">
        <f>IF(AND(BT106&lt;&gt;0,BT$5=$H106),-$I106*$E106-BT106,IF(BY$5=$H106,-$I106*$E106*(12-$J106+1)/12,0))</f>
        <v>0</v>
      </c>
      <c r="BZ106" s="441">
        <f>IF($H106&lt;&gt;CD$5,0,IF(CD106&lt;0,IF($J106=1,-$E106*$I106/12*3,IF($J106=2,-$E106*$I106/12*2,IF($J106=3,-$E106*$I106/12*1,0)))))+IF(BY$5&lt;&gt;$H106,0,IF(BY106&lt;0,IF($J106=1,-$E106*$I106/12*0,IF($J106=2,-$E106*$I106/12*1,IF($J106=3,-$E106*$I106/12*2,IF($J106&gt;=4,-$E106*$I106/12*3,0))))))</f>
        <v>0</v>
      </c>
      <c r="CA106" s="442">
        <f>IF($H106&lt;&gt;CD$5,0,IF(CD106&lt;0,IF(OR($J106=1,$J106=2,$J106=3,$J106=4),-$E106*$I106/12*3,IF($J106=5,-$E106*$I106/12*2,IF($J106=6,-$E106*$I106/12*1,0)))))+IF(BY$5&lt;&gt;$H106,0,IF(BY106&lt;0,IF($J106=4,-$E106*$I106/12*0,IF($J106=5,-$E106*$I106/12*1,IF($J106=6,-$E106*$I106/12*2,IF($J106&gt;=7,-$E106*$I106/12*3,0))))))</f>
        <v>0</v>
      </c>
      <c r="CB106" s="442">
        <f>IF($H106&lt;&gt;CD$5,0,IF(CD106&lt;0,IF(OR($J106=1,$J106=2,$J106=3,$J106=4,$J106=5,$J106=6,$J106=7),-$E106*$I106/12*3,IF($J106=8,-$E106*$I106/12*2,IF($J106=9,-$E106*$I106/12*1,0)))))+IF(BY$5&lt;&gt;$H106,0,IF(BY106&lt;0,IF($J106=7,-$E106*$I106/12*0,IF($J106=8,-$E106*$I106/12*1,IF($J106=9,-$E106*$I106/12*2,IF($J106&gt;=10,-$E106*$I106/12*3,0))))))</f>
        <v>0</v>
      </c>
      <c r="CC106" s="443">
        <f>IF($H106&lt;&gt;CD$5,0,IF(CD106&lt;0,IF(OR($J106=1,$J106=2,$J106=3,$J106=4,$J106=5,$J106=6,$J106=7,$J106=8,$J106=9,$J106=10),-$E106*$I106/12*3,IF($J106=11,-$E106*$I106/12*2,IF($J106=12,-$E106*$I106/12*1,0)))))+IF(BY$5&lt;&gt;$H106,0,IF(BY106&lt;0,IF($J106=10,-$E106*$I106/12*0,IF($J106=11,-$E106*$I106/12*1,IF($J106=12,-$E106*$I106/12*2,0)))))</f>
        <v>0</v>
      </c>
      <c r="CD106" s="440">
        <f>IF(AND(BY106&lt;&gt;0,BY$5=$H106),-$I106*$E106-BY106,IF(CD$5=$H106,-$I106*$E106*(12-$J106+1)/12,0))</f>
        <v>0</v>
      </c>
      <c r="CE106" s="441">
        <f>IF($H106&lt;&gt;CI$5,0,IF(CI106&lt;0,IF($J106=1,-$E106*$I106/12*3,IF($J106=2,-$E106*$I106/12*2,IF($J106=3,-$E106*$I106/12*1,0)))))+IF(CD$5&lt;&gt;$H106,0,IF(CD106&lt;0,IF($J106=1,-$E106*$I106/12*0,IF($J106=2,-$E106*$I106/12*1,IF($J106=3,-$E106*$I106/12*2,IF($J106&gt;=4,-$E106*$I106/12*3,0))))))</f>
        <v>0</v>
      </c>
      <c r="CF106" s="442">
        <f>IF($H106&lt;&gt;CI$5,0,IF(CI106&lt;0,IF(OR($J106=1,$J106=2,$J106=3,$J106=4),-$E106*$I106/12*3,IF($J106=5,-$E106*$I106/12*2,IF($J106=6,-$E106*$I106/12*1,0)))))+IF(CD$5&lt;&gt;$H106,0,IF(CD106&lt;0,IF($J106=4,-$E106*$I106/12*0,IF($J106=5,-$E106*$I106/12*1,IF($J106=6,-$E106*$I106/12*2,IF($J106&gt;=7,-$E106*$I106/12*3,0))))))</f>
        <v>0</v>
      </c>
      <c r="CG106" s="442">
        <f>IF($H106&lt;&gt;CI$5,0,IF(CI106&lt;0,IF(OR($J106=1,$J106=2,$J106=3,$J106=4,$J106=5,$J106=6,$J106=7),-$E106*$I106/12*3,IF($J106=8,-$E106*$I106/12*2,IF($J106=9,-$E106*$I106/12*1,0)))))+IF(CD$5&lt;&gt;$H106,0,IF(CD106&lt;0,IF($J106=7,-$E106*$I106/12*0,IF($J106=8,-$E106*$I106/12*1,IF($J106=9,-$E106*$I106/12*2,IF($J106&gt;=10,-$E106*$I106/12*3,0))))))</f>
        <v>0</v>
      </c>
      <c r="CH106" s="443">
        <f>IF($H106&lt;&gt;CI$5,0,IF(CI106&lt;0,IF(OR($J106=1,$J106=2,$J106=3,$J106=4,$J106=5,$J106=6,$J106=7,$J106=8,$J106=9,$J106=10),-$E106*$I106/12*3,IF($J106=11,-$E106*$I106/12*2,IF($J106=12,-$E106*$I106/12*1,0)))))+IF(CD$5&lt;&gt;$H106,0,IF(CD106&lt;0,IF($J106=10,-$E106*$I106/12*0,IF($J106=11,-$E106*$I106/12*1,IF($J106=12,-$E106*$I106/12*2,0)))))</f>
        <v>0</v>
      </c>
      <c r="CI106" s="440">
        <f>IF(AND(CD106&lt;&gt;0,CD$5=$H106),-$I106*$E106-CD106,IF(CI$5=$H106,-$I106*$E106*(12-$J106+1)/12,0))</f>
        <v>0</v>
      </c>
      <c r="CJ106" s="441">
        <f>IF($H106&lt;&gt;CN$5,0,IF(CN106&lt;0,IF($J106=1,-$E106*$I106/12*3,IF($J106=2,-$E106*$I106/12*2,IF($J106=3,-$E106*$I106/12*1,0)))))+IF(CI$5&lt;&gt;$H106,0,IF(CI106&lt;0,IF($J106=1,-$E106*$I106/12*0,IF($J106=2,-$E106*$I106/12*1,IF($J106=3,-$E106*$I106/12*2,IF($J106&gt;=4,-$E106*$I106/12*3,0))))))</f>
        <v>0</v>
      </c>
      <c r="CK106" s="442">
        <f>IF($H106&lt;&gt;CN$5,0,IF(CN106&lt;0,IF(OR($J106=1,$J106=2,$J106=3,$J106=4),-$E106*$I106/12*3,IF($J106=5,-$E106*$I106/12*2,IF($J106=6,-$E106*$I106/12*1,0)))))+IF(CI$5&lt;&gt;$H106,0,IF(CI106&lt;0,IF($J106=4,-$E106*$I106/12*0,IF($J106=5,-$E106*$I106/12*1,IF($J106=6,-$E106*$I106/12*2,IF($J106&gt;=7,-$E106*$I106/12*3,0))))))</f>
        <v>0</v>
      </c>
      <c r="CL106" s="442">
        <f>IF($H106&lt;&gt;CN$5,0,IF(CN106&lt;0,IF(OR($J106=1,$J106=2,$J106=3,$J106=4,$J106=5,$J106=6,$J106=7),-$E106*$I106/12*3,IF($J106=8,-$E106*$I106/12*2,IF($J106=9,-$E106*$I106/12*1,0)))))+IF(CI$5&lt;&gt;$H106,0,IF(CI106&lt;0,IF($J106=7,-$E106*$I106/12*0,IF($J106=8,-$E106*$I106/12*1,IF($J106=9,-$E106*$I106/12*2,IF($J106&gt;=10,-$E106*$I106/12*3,0))))))</f>
        <v>0</v>
      </c>
      <c r="CM106" s="443">
        <f>IF($H106&lt;&gt;CN$5,0,IF(CN106&lt;0,IF(OR($J106=1,$J106=2,$J106=3,$J106=4,$J106=5,$J106=6,$J106=7,$J106=8,$J106=9,$J106=10),-$E106*$I106/12*3,IF($J106=11,-$E106*$I106/12*2,IF($J106=12,-$E106*$I106/12*1,0)))))+IF(CI$5&lt;&gt;$H106,0,IF(CI106&lt;0,IF($J106=10,-$E106*$I106/12*0,IF($J106=11,-$E106*$I106/12*1,IF($J106=12,-$E106*$I106/12*2,0)))))</f>
        <v>0</v>
      </c>
      <c r="CN106" s="440">
        <f>IF(AND(CI106&lt;&gt;0,CI$5=$H106),-$I106*$E106-CI106,IF(CN$5=$H106,-$I106*$E106*(12-$J106+1)/12,0))</f>
        <v>0</v>
      </c>
      <c r="CO106" s="441">
        <f>IF($H106&lt;&gt;CS$5,0,IF(CS106&lt;0,IF($J106=1,-$E106*$I106/12*3,IF($J106=2,-$E106*$I106/12*2,IF($J106=3,-$E106*$I106/12*1,0)))))+IF(CN$5&lt;&gt;$H106,0,IF(CN106&lt;0,IF($J106=1,-$E106*$I106/12*0,IF($J106=2,-$E106*$I106/12*1,IF($J106=3,-$E106*$I106/12*2,IF($J106&gt;=4,-$E106*$I106/12*3,0))))))</f>
        <v>0</v>
      </c>
      <c r="CP106" s="442">
        <f>IF($H106&lt;&gt;CS$5,0,IF(CS106&lt;0,IF(OR($J106=1,$J106=2,$J106=3,$J106=4),-$E106*$I106/12*3,IF($J106=5,-$E106*$I106/12*2,IF($J106=6,-$E106*$I106/12*1,0)))))+IF(CN$5&lt;&gt;$H106,0,IF(CN106&lt;0,IF($J106=4,-$E106*$I106/12*0,IF($J106=5,-$E106*$I106/12*1,IF($J106=6,-$E106*$I106/12*2,IF($J106&gt;=7,-$E106*$I106/12*3,0))))))</f>
        <v>0</v>
      </c>
      <c r="CQ106" s="442">
        <f>IF($H106&lt;&gt;CS$5,0,IF(CS106&lt;0,IF(OR($J106=1,$J106=2,$J106=3,$J106=4,$J106=5,$J106=6,$J106=7),-$E106*$I106/12*3,IF($J106=8,-$E106*$I106/12*2,IF($J106=9,-$E106*$I106/12*1,0)))))+IF(CN$5&lt;&gt;$H106,0,IF(CN106&lt;0,IF($J106=7,-$E106*$I106/12*0,IF($J106=8,-$E106*$I106/12*1,IF($J106=9,-$E106*$I106/12*2,IF($J106&gt;=10,-$E106*$I106/12*3,0))))))</f>
        <v>0</v>
      </c>
      <c r="CR106" s="443">
        <f>IF($H106&lt;&gt;CS$5,0,IF(CS106&lt;0,IF(OR($J106=1,$J106=2,$J106=3,$J106=4,$J106=5,$J106=6,$J106=7,$J106=8,$J106=9,$J106=10),-$E106*$I106/12*3,IF($J106=11,-$E106*$I106/12*2,IF($J106=12,-$E106*$I106/12*1,0)))))+IF(CN$5&lt;&gt;$H106,0,IF(CN106&lt;0,IF($J106=10,-$E106*$I106/12*0,IF($J106=11,-$E106*$I106/12*1,IF($J106=12,-$E106*$I106/12*2,0)))))</f>
        <v>0</v>
      </c>
      <c r="CS106" s="440">
        <f>IF(AND(CN106&lt;&gt;0,CN$5=$H106),-$I106*$E106-CN106,IF(CS$5=$H106,-$I106*$E106*(12-$J106+1)/12,0))</f>
        <v>0</v>
      </c>
      <c r="CT106" s="441">
        <f>IF($H106&lt;&gt;CX$5,0,IF(CX106&lt;0,IF($J106=1,-$E106*$I106/12*3,IF($J106=2,-$E106*$I106/12*2,IF($J106=3,-$E106*$I106/12*1,0)))))+IF(CS$5&lt;&gt;$H106,0,IF(CS106&lt;0,IF($J106=1,-$E106*$I106/12*0,IF($J106=2,-$E106*$I106/12*1,IF($J106=3,-$E106*$I106/12*2,IF($J106&gt;=4,-$E106*$I106/12*3,0))))))</f>
        <v>0</v>
      </c>
      <c r="CU106" s="442">
        <f>IF($H106&lt;&gt;CX$5,0,IF(CX106&lt;0,IF(OR($J106=1,$J106=2,$J106=3,$J106=4),-$E106*$I106/12*3,IF($J106=5,-$E106*$I106/12*2,IF($J106=6,-$E106*$I106/12*1,0)))))+IF(CS$5&lt;&gt;$H106,0,IF(CS106&lt;0,IF($J106=4,-$E106*$I106/12*0,IF($J106=5,-$E106*$I106/12*1,IF($J106=6,-$E106*$I106/12*2,IF($J106&gt;=7,-$E106*$I106/12*3,0))))))</f>
        <v>0</v>
      </c>
      <c r="CV106" s="442">
        <f>IF($H106&lt;&gt;CX$5,0,IF(CX106&lt;0,IF(OR($J106=1,$J106=2,$J106=3,$J106=4,$J106=5,$J106=6,$J106=7),-$E106*$I106/12*3,IF($J106=8,-$E106*$I106/12*2,IF($J106=9,-$E106*$I106/12*1,0)))))+IF(CS$5&lt;&gt;$H106,0,IF(CS106&lt;0,IF($J106=7,-$E106*$I106/12*0,IF($J106=8,-$E106*$I106/12*1,IF($J106=9,-$E106*$I106/12*2,IF($J106&gt;=10,-$E106*$I106/12*3,0))))))</f>
        <v>0</v>
      </c>
      <c r="CW106" s="443">
        <f>IF($H106&lt;&gt;CX$5,0,IF(CX106&lt;0,IF(OR($J106=1,$J106=2,$J106=3,$J106=4,$J106=5,$J106=6,$J106=7,$J106=8,$J106=9,$J106=10),-$E106*$I106/12*3,IF($J106=11,-$E106*$I106/12*2,IF($J106=12,-$E106*$I106/12*1,0)))))+IF(CS$5&lt;&gt;$H106,0,IF(CS106&lt;0,IF($J106=10,-$E106*$I106/12*0,IF($J106=11,-$E106*$I106/12*1,IF($J106=12,-$E106*$I106/12*2,0)))))</f>
        <v>0</v>
      </c>
      <c r="CX106" s="440">
        <f>IF(AND(CS106&lt;&gt;0,CS$5=$H106),-$I106*$E106-CS106,IF(CX$5=$H106,-$I106*$E106*(12-$J106+1)/12,0))</f>
        <v>0</v>
      </c>
      <c r="CY106" s="441">
        <f>IF($H106&lt;&gt;DC$5,0,IF(DC106&lt;0,IF($J106=1,-$E106*$I106/12*3,IF($J106=2,-$E106*$I106/12*2,IF($J106=3,-$E106*$I106/12*1,0)))))+IF(CX$5&lt;&gt;$H106,0,IF(CX106&lt;0,IF($J106=1,-$E106*$I106/12*0,IF($J106=2,-$E106*$I106/12*1,IF($J106=3,-$E106*$I106/12*2,IF($J106&gt;=4,-$E106*$I106/12*3,0))))))</f>
        <v>0</v>
      </c>
      <c r="CZ106" s="442">
        <f>IF($H106&lt;&gt;DC$5,0,IF(DC106&lt;0,IF(OR($J106=1,$J106=2,$J106=3,$J106=4),-$E106*$I106/12*3,IF($J106=5,-$E106*$I106/12*2,IF($J106=6,-$E106*$I106/12*1,0)))))+IF(CX$5&lt;&gt;$H106,0,IF(CX106&lt;0,IF($J106=4,-$E106*$I106/12*0,IF($J106=5,-$E106*$I106/12*1,IF($J106=6,-$E106*$I106/12*2,IF($J106&gt;=7,-$E106*$I106/12*3,0))))))</f>
        <v>0</v>
      </c>
      <c r="DA106" s="442">
        <f>IF($H106&lt;&gt;DC$5,0,IF(DC106&lt;0,IF(OR($J106=1,$J106=2,$J106=3,$J106=4,$J106=5,$J106=6,$J106=7),-$E106*$I106/12*3,IF($J106=8,-$E106*$I106/12*2,IF($J106=9,-$E106*$I106/12*1,0)))))+IF(CX$5&lt;&gt;$H106,0,IF(CX106&lt;0,IF($J106=7,-$E106*$I106/12*0,IF($J106=8,-$E106*$I106/12*1,IF($J106=9,-$E106*$I106/12*2,IF($J106&gt;=10,-$E106*$I106/12*3,0))))))</f>
        <v>0</v>
      </c>
      <c r="DB106" s="443">
        <f>IF($H106&lt;&gt;DC$5,0,IF(DC106&lt;0,IF(OR($J106=1,$J106=2,$J106=3,$J106=4,$J106=5,$J106=6,$J106=7,$J106=8,$J106=9,$J106=10),-$E106*$I106/12*3,IF($J106=11,-$E106*$I106/12*2,IF($J106=12,-$E106*$I106/12*1,0)))))+IF(CX$5&lt;&gt;$H106,0,IF(CX106&lt;0,IF($J106=10,-$E106*$I106/12*0,IF($J106=11,-$E106*$I106/12*1,IF($J106=12,-$E106*$I106/12*2,0)))))</f>
        <v>0</v>
      </c>
      <c r="DC106" s="440">
        <f>IF(AND(CX106&lt;&gt;0,CX$5=$H106),-$I106*$E106-CX106,IF(DC$5=$H106,-$I106*$E106*(12-$J106+1)/12,0))</f>
        <v>0</v>
      </c>
      <c r="DD106" s="441">
        <f>IF($H106&lt;&gt;DH$5,0,IF(DH106&lt;0,IF($J106=1,-$E106*$I106/12*3,IF($J106=2,-$E106*$I106/12*2,IF($J106=3,-$E106*$I106/12*1,0)))))+IF(DC$5&lt;&gt;$H106,0,IF(DC106&lt;0,IF($J106=1,-$E106*$I106/12*0,IF($J106=2,-$E106*$I106/12*1,IF($J106=3,-$E106*$I106/12*2,IF($J106&gt;=4,-$E106*$I106/12*3,0))))))</f>
        <v>0</v>
      </c>
      <c r="DE106" s="442">
        <f>IF($H106&lt;&gt;DH$5,0,IF(DH106&lt;0,IF(OR($J106=1,$J106=2,$J106=3,$J106=4),-$E106*$I106/12*3,IF($J106=5,-$E106*$I106/12*2,IF($J106=6,-$E106*$I106/12*1,0)))))+IF(DC$5&lt;&gt;$H106,0,IF(DC106&lt;0,IF($J106=4,-$E106*$I106/12*0,IF($J106=5,-$E106*$I106/12*1,IF($J106=6,-$E106*$I106/12*2,IF($J106&gt;=7,-$E106*$I106/12*3,0))))))</f>
        <v>0</v>
      </c>
      <c r="DF106" s="442">
        <f>IF($H106&lt;&gt;DH$5,0,IF(DH106&lt;0,IF(OR($J106=1,$J106=2,$J106=3,$J106=4,$J106=5,$J106=6,$J106=7),-$E106*$I106/12*3,IF($J106=8,-$E106*$I106/12*2,IF($J106=9,-$E106*$I106/12*1,0)))))+IF(DC$5&lt;&gt;$H106,0,IF(DC106&lt;0,IF($J106=7,-$E106*$I106/12*0,IF($J106=8,-$E106*$I106/12*1,IF($J106=9,-$E106*$I106/12*2,IF($J106&gt;=10,-$E106*$I106/12*3,0))))))</f>
        <v>0</v>
      </c>
      <c r="DG106" s="443">
        <f>IF($H106&lt;&gt;DH$5,0,IF(DH106&lt;0,IF(OR($J106=1,$J106=2,$J106=3,$J106=4,$J106=5,$J106=6,$J106=7,$J106=8,$J106=9,$J106=10),-$E106*$I106/12*3,IF($J106=11,-$E106*$I106/12*2,IF($J106=12,-$E106*$I106/12*1,0)))))+IF(DC$5&lt;&gt;$H106,0,IF(DC106&lt;0,IF($J106=10,-$E106*$I106/12*0,IF($J106=11,-$E106*$I106/12*1,IF($J106=12,-$E106*$I106/12*2,0)))))</f>
        <v>0</v>
      </c>
      <c r="DH106" s="440">
        <f>IF(AND(DC106&lt;&gt;0,DC$5=$H106),-$I106*$E106-DC106,IF(DH$5=$H106,-$I106*$E106*(12-$J106+1)/12,0))</f>
        <v>0</v>
      </c>
      <c r="DI106" s="441">
        <f>IF($H106&lt;&gt;DM$5,0,IF(DM106&lt;0,IF($J106=1,-$E106*$I106/12*3,IF($J106=2,-$E106*$I106/12*2,IF($J106=3,-$E106*$I106/12*1,0)))))+IF(DH$5&lt;&gt;$H106,0,IF(DH106&lt;0,IF($J106=1,-$E106*$I106/12*0,IF($J106=2,-$E106*$I106/12*1,IF($J106=3,-$E106*$I106/12*2,IF($J106&gt;=4,-$E106*$I106/12*3,0))))))</f>
        <v>0</v>
      </c>
      <c r="DJ106" s="442">
        <f>IF($H106&lt;&gt;DM$5,0,IF(DM106&lt;0,IF(OR($J106=1,$J106=2,$J106=3,$J106=4),-$E106*$I106/12*3,IF($J106=5,-$E106*$I106/12*2,IF($J106=6,-$E106*$I106/12*1,0)))))+IF(DH$5&lt;&gt;$H106,0,IF(DH106&lt;0,IF($J106=4,-$E106*$I106/12*0,IF($J106=5,-$E106*$I106/12*1,IF($J106=6,-$E106*$I106/12*2,IF($J106&gt;=7,-$E106*$I106/12*3,0))))))</f>
        <v>0</v>
      </c>
      <c r="DK106" s="442">
        <f>IF($H106&lt;&gt;DM$5,0,IF(DM106&lt;0,IF(OR($J106=1,$J106=2,$J106=3,$J106=4,$J106=5,$J106=6,$J106=7),-$E106*$I106/12*3,IF($J106=8,-$E106*$I106/12*2,IF($J106=9,-$E106*$I106/12*1,0)))))+IF(DH$5&lt;&gt;$H106,0,IF(DH106&lt;0,IF($J106=7,-$E106*$I106/12*0,IF($J106=8,-$E106*$I106/12*1,IF($J106=9,-$E106*$I106/12*2,IF($J106&gt;=10,-$E106*$I106/12*3,0))))))</f>
        <v>0</v>
      </c>
      <c r="DL106" s="443">
        <f>IF($H106&lt;&gt;DM$5,0,IF(DM106&lt;0,IF(OR($J106=1,$J106=2,$J106=3,$J106=4,$J106=5,$J106=6,$J106=7,$J106=8,$J106=9,$J106=10),-$E106*$I106/12*3,IF($J106=11,-$E106*$I106/12*2,IF($J106=12,-$E106*$I106/12*1,0)))))+IF(DH$5&lt;&gt;$H106,0,IF(DH106&lt;0,IF($J106=10,-$E106*$I106/12*0,IF($J106=11,-$E106*$I106/12*1,IF($J106=12,-$E106*$I106/12*2,0)))))</f>
        <v>0</v>
      </c>
      <c r="DM106" s="440">
        <f>IF(AND(DH106&lt;&gt;0,DH$5=$H106),-$I106*$E106-DH106,IF(DM$5=$H106,-$I106*$E106*(12-$J106+1)/12,0))</f>
        <v>0</v>
      </c>
      <c r="DN106" s="441">
        <f>IF($H106&lt;&gt;DR$5,0,IF(DR106&lt;0,IF($J106=1,-$E106*$I106/12*3,IF($J106=2,-$E106*$I106/12*2,IF($J106=3,-$E106*$I106/12*1,0)))))+IF(DM$5&lt;&gt;$H106,0,IF(DM106&lt;0,IF($J106=1,-$E106*$I106/12*0,IF($J106=2,-$E106*$I106/12*1,IF($J106=3,-$E106*$I106/12*2,IF($J106&gt;=4,-$E106*$I106/12*3,0))))))</f>
        <v>0</v>
      </c>
      <c r="DO106" s="442">
        <f>IF($H106&lt;&gt;DR$5,0,IF(DR106&lt;0,IF(OR($J106=1,$J106=2,$J106=3,$J106=4),-$E106*$I106/12*3,IF($J106=5,-$E106*$I106/12*2,IF($J106=6,-$E106*$I106/12*1,0)))))+IF(DM$5&lt;&gt;$H106,0,IF(DM106&lt;0,IF($J106=4,-$E106*$I106/12*0,IF($J106=5,-$E106*$I106/12*1,IF($J106=6,-$E106*$I106/12*2,IF($J106&gt;=7,-$E106*$I106/12*3,0))))))</f>
        <v>0</v>
      </c>
      <c r="DP106" s="442">
        <f>IF($H106&lt;&gt;DR$5,0,IF(DR106&lt;0,IF(OR($J106=1,$J106=2,$J106=3,$J106=4,$J106=5,$J106=6,$J106=7),-$E106*$I106/12*3,IF($J106=8,-$E106*$I106/12*2,IF($J106=9,-$E106*$I106/12*1,0)))))+IF(DM$5&lt;&gt;$H106,0,IF(DM106&lt;0,IF($J106=7,-$E106*$I106/12*0,IF($J106=8,-$E106*$I106/12*1,IF($J106=9,-$E106*$I106/12*2,IF($J106&gt;=10,-$E106*$I106/12*3,0))))))</f>
        <v>0</v>
      </c>
      <c r="DQ106" s="443">
        <f>IF($H106&lt;&gt;DR$5,0,IF(DR106&lt;0,IF(OR($J106=1,$J106=2,$J106=3,$J106=4,$J106=5,$J106=6,$J106=7,$J106=8,$J106=9,$J106=10),-$E106*$I106/12*3,IF($J106=11,-$E106*$I106/12*2,IF($J106=12,-$E106*$I106/12*1,0)))))+IF(DM$5&lt;&gt;$H106,0,IF(DM106&lt;0,IF($J106=10,-$E106*$I106/12*0,IF($J106=11,-$E106*$I106/12*1,IF($J106=12,-$E106*$I106/12*2,0)))))</f>
        <v>0</v>
      </c>
      <c r="DR106" s="440">
        <f>IF(AND(DM106&lt;&gt;0,DM$5=$H106),-$I106*$E106-DM106,IF(DR$5=$H106,-$I106*$E106*(12-$J106+1)/12,0))</f>
        <v>0</v>
      </c>
    </row>
    <row r="107" spans="1:122" ht="12.75" customHeight="1">
      <c r="C107" s="407"/>
      <c r="D107" s="395"/>
      <c r="E107" s="47"/>
      <c r="F107" s="1599"/>
      <c r="G107" s="1599"/>
      <c r="H107" s="595"/>
      <c r="I107" s="611"/>
      <c r="J107" s="594"/>
      <c r="K107" s="549"/>
      <c r="L107" s="441"/>
      <c r="M107" s="442"/>
      <c r="N107" s="442"/>
      <c r="O107" s="443"/>
      <c r="P107" s="440"/>
      <c r="Q107" s="441"/>
      <c r="R107" s="442"/>
      <c r="S107" s="442"/>
      <c r="T107" s="443"/>
      <c r="U107" s="440"/>
      <c r="V107" s="441"/>
      <c r="W107" s="442"/>
      <c r="X107" s="442"/>
      <c r="Y107" s="443"/>
      <c r="Z107" s="440"/>
      <c r="AA107" s="441"/>
      <c r="AB107" s="442"/>
      <c r="AC107" s="442"/>
      <c r="AD107" s="443"/>
      <c r="AE107" s="440"/>
      <c r="AF107" s="441"/>
      <c r="AG107" s="442"/>
      <c r="AH107" s="442"/>
      <c r="AI107" s="443"/>
      <c r="AJ107" s="440"/>
      <c r="AK107" s="441"/>
      <c r="AL107" s="442"/>
      <c r="AM107" s="442"/>
      <c r="AN107" s="443"/>
      <c r="AO107" s="440"/>
      <c r="AP107" s="441"/>
      <c r="AQ107" s="442"/>
      <c r="AR107" s="442"/>
      <c r="AS107" s="443"/>
      <c r="AT107" s="440"/>
      <c r="AU107" s="441"/>
      <c r="AV107" s="442"/>
      <c r="AW107" s="442"/>
      <c r="AX107" s="443"/>
      <c r="AY107" s="440"/>
      <c r="AZ107" s="441"/>
      <c r="BA107" s="442"/>
      <c r="BB107" s="442"/>
      <c r="BC107" s="443"/>
      <c r="BD107" s="440"/>
      <c r="BE107" s="441"/>
      <c r="BF107" s="442"/>
      <c r="BG107" s="442"/>
      <c r="BH107" s="443"/>
      <c r="BI107" s="440"/>
      <c r="BJ107" s="441"/>
      <c r="BK107" s="442"/>
      <c r="BL107" s="442"/>
      <c r="BM107" s="443"/>
      <c r="BN107" s="440"/>
      <c r="BO107" s="470"/>
      <c r="BP107" s="441"/>
      <c r="BQ107" s="442"/>
      <c r="BR107" s="442"/>
      <c r="BS107" s="443"/>
      <c r="BT107" s="440"/>
      <c r="BU107" s="441"/>
      <c r="BV107" s="442"/>
      <c r="BW107" s="442"/>
      <c r="BX107" s="443"/>
      <c r="BY107" s="440"/>
      <c r="BZ107" s="441"/>
      <c r="CA107" s="442"/>
      <c r="CB107" s="442"/>
      <c r="CC107" s="443"/>
      <c r="CD107" s="440"/>
      <c r="CE107" s="441"/>
      <c r="CF107" s="442"/>
      <c r="CG107" s="442"/>
      <c r="CH107" s="443"/>
      <c r="CI107" s="440"/>
      <c r="CJ107" s="441"/>
      <c r="CK107" s="442"/>
      <c r="CL107" s="442"/>
      <c r="CM107" s="443"/>
      <c r="CN107" s="440"/>
      <c r="CO107" s="441"/>
      <c r="CP107" s="442"/>
      <c r="CQ107" s="442"/>
      <c r="CR107" s="443"/>
      <c r="CS107" s="440"/>
      <c r="CT107" s="441"/>
      <c r="CU107" s="442"/>
      <c r="CV107" s="442"/>
      <c r="CW107" s="443"/>
      <c r="CX107" s="440"/>
      <c r="CY107" s="441"/>
      <c r="CZ107" s="442"/>
      <c r="DA107" s="442"/>
      <c r="DB107" s="443"/>
      <c r="DC107" s="440"/>
      <c r="DD107" s="441"/>
      <c r="DE107" s="442"/>
      <c r="DF107" s="442"/>
      <c r="DG107" s="443"/>
      <c r="DH107" s="440"/>
      <c r="DI107" s="441"/>
      <c r="DJ107" s="442"/>
      <c r="DK107" s="442"/>
      <c r="DL107" s="443"/>
      <c r="DM107" s="440"/>
      <c r="DN107" s="441"/>
      <c r="DO107" s="442"/>
      <c r="DP107" s="442"/>
      <c r="DQ107" s="443"/>
      <c r="DR107" s="440"/>
    </row>
    <row r="108" spans="1:122" s="13" customFormat="1" ht="12.75" customHeight="1">
      <c r="C108" s="639" t="s">
        <v>215</v>
      </c>
      <c r="D108" s="640"/>
      <c r="E108" s="388">
        <f>SUM(E53:E106)</f>
        <v>3622.4903589999999</v>
      </c>
      <c r="F108" s="388">
        <f>SUM(F53:F106)</f>
        <v>3459.259755</v>
      </c>
      <c r="G108" s="388">
        <f>SUM(G53:G106)</f>
        <v>3629.0677049999999</v>
      </c>
      <c r="H108" s="663"/>
      <c r="I108" s="664"/>
      <c r="J108" s="641"/>
      <c r="K108" s="644"/>
      <c r="L108" s="658">
        <f t="shared" ref="L108:AQ108" si="1412">SUM(L53:L106)</f>
        <v>0</v>
      </c>
      <c r="M108" s="659">
        <f t="shared" si="1412"/>
        <v>0</v>
      </c>
      <c r="N108" s="659">
        <f t="shared" si="1412"/>
        <v>0</v>
      </c>
      <c r="O108" s="660">
        <f t="shared" si="1412"/>
        <v>0</v>
      </c>
      <c r="P108" s="388">
        <f t="shared" si="1412"/>
        <v>0</v>
      </c>
      <c r="Q108" s="658">
        <f t="shared" si="1412"/>
        <v>0</v>
      </c>
      <c r="R108" s="659">
        <f t="shared" si="1412"/>
        <v>0</v>
      </c>
      <c r="S108" s="659">
        <f t="shared" si="1412"/>
        <v>0</v>
      </c>
      <c r="T108" s="660">
        <f t="shared" si="1412"/>
        <v>0</v>
      </c>
      <c r="U108" s="388">
        <f t="shared" si="1412"/>
        <v>0</v>
      </c>
      <c r="V108" s="658">
        <f t="shared" si="1412"/>
        <v>0</v>
      </c>
      <c r="W108" s="659">
        <f t="shared" si="1412"/>
        <v>0</v>
      </c>
      <c r="X108" s="659">
        <f t="shared" si="1412"/>
        <v>0</v>
      </c>
      <c r="Y108" s="660">
        <f t="shared" si="1412"/>
        <v>0</v>
      </c>
      <c r="Z108" s="388">
        <f t="shared" si="1412"/>
        <v>0</v>
      </c>
      <c r="AA108" s="658">
        <f t="shared" si="1412"/>
        <v>0</v>
      </c>
      <c r="AB108" s="659">
        <f t="shared" si="1412"/>
        <v>0</v>
      </c>
      <c r="AC108" s="659">
        <f t="shared" si="1412"/>
        <v>0</v>
      </c>
      <c r="AD108" s="660">
        <f t="shared" si="1412"/>
        <v>0</v>
      </c>
      <c r="AE108" s="388">
        <f t="shared" si="1412"/>
        <v>0</v>
      </c>
      <c r="AF108" s="658">
        <f t="shared" si="1412"/>
        <v>0</v>
      </c>
      <c r="AG108" s="659">
        <f t="shared" si="1412"/>
        <v>0</v>
      </c>
      <c r="AH108" s="659">
        <f t="shared" si="1412"/>
        <v>0</v>
      </c>
      <c r="AI108" s="660">
        <f t="shared" si="1412"/>
        <v>0</v>
      </c>
      <c r="AJ108" s="388">
        <f t="shared" si="1412"/>
        <v>0</v>
      </c>
      <c r="AK108" s="658">
        <f t="shared" si="1412"/>
        <v>0</v>
      </c>
      <c r="AL108" s="659">
        <f t="shared" si="1412"/>
        <v>0</v>
      </c>
      <c r="AM108" s="659">
        <f t="shared" si="1412"/>
        <v>0</v>
      </c>
      <c r="AN108" s="660">
        <f t="shared" si="1412"/>
        <v>0</v>
      </c>
      <c r="AO108" s="388">
        <f t="shared" si="1412"/>
        <v>0</v>
      </c>
      <c r="AP108" s="658">
        <f t="shared" si="1412"/>
        <v>-28.524999999999999</v>
      </c>
      <c r="AQ108" s="659">
        <f t="shared" si="1412"/>
        <v>-5.0956039999999998</v>
      </c>
      <c r="AR108" s="659">
        <f t="shared" ref="AR108:BN108" si="1413">SUM(AR53:AR106)</f>
        <v>-129.61000000000001</v>
      </c>
      <c r="AS108" s="660">
        <f t="shared" si="1413"/>
        <v>0</v>
      </c>
      <c r="AT108" s="388">
        <f t="shared" si="1413"/>
        <v>-163.23060400000003</v>
      </c>
      <c r="AU108" s="658">
        <f t="shared" si="1413"/>
        <v>0</v>
      </c>
      <c r="AV108" s="659">
        <f t="shared" si="1413"/>
        <v>-141.26</v>
      </c>
      <c r="AW108" s="659">
        <f t="shared" si="1413"/>
        <v>-43</v>
      </c>
      <c r="AX108" s="660">
        <f t="shared" si="1413"/>
        <v>0</v>
      </c>
      <c r="AY108" s="388">
        <f t="shared" si="1413"/>
        <v>-184.26</v>
      </c>
      <c r="AZ108" s="658">
        <f t="shared" si="1413"/>
        <v>0</v>
      </c>
      <c r="BA108" s="659">
        <f t="shared" si="1413"/>
        <v>-90.14</v>
      </c>
      <c r="BB108" s="659">
        <f t="shared" si="1413"/>
        <v>0</v>
      </c>
      <c r="BC108" s="660">
        <f t="shared" si="1413"/>
        <v>-155.53200000000001</v>
      </c>
      <c r="BD108" s="388">
        <f t="shared" si="1413"/>
        <v>-245.67200000000003</v>
      </c>
      <c r="BE108" s="658">
        <f t="shared" si="1413"/>
        <v>0</v>
      </c>
      <c r="BF108" s="659">
        <f t="shared" si="1413"/>
        <v>0</v>
      </c>
      <c r="BG108" s="659">
        <f t="shared" si="1413"/>
        <v>-177</v>
      </c>
      <c r="BH108" s="660">
        <f t="shared" si="1413"/>
        <v>0</v>
      </c>
      <c r="BI108" s="388">
        <f t="shared" si="1413"/>
        <v>-177</v>
      </c>
      <c r="BJ108" s="658">
        <f t="shared" si="1413"/>
        <v>0</v>
      </c>
      <c r="BK108" s="659">
        <f t="shared" si="1413"/>
        <v>0</v>
      </c>
      <c r="BL108" s="659">
        <f t="shared" si="1413"/>
        <v>-332.30500000000001</v>
      </c>
      <c r="BM108" s="660">
        <f t="shared" si="1413"/>
        <v>0</v>
      </c>
      <c r="BN108" s="388">
        <f t="shared" si="1413"/>
        <v>-332.30500000000001</v>
      </c>
      <c r="BO108" s="661"/>
      <c r="BP108" s="658">
        <f t="shared" ref="BP108:CU108" si="1414">SUM(BP53:BP106)</f>
        <v>0</v>
      </c>
      <c r="BQ108" s="659">
        <f t="shared" si="1414"/>
        <v>0</v>
      </c>
      <c r="BR108" s="659">
        <f t="shared" si="1414"/>
        <v>0</v>
      </c>
      <c r="BS108" s="660">
        <f t="shared" si="1414"/>
        <v>0</v>
      </c>
      <c r="BT108" s="388">
        <f t="shared" si="1414"/>
        <v>0</v>
      </c>
      <c r="BU108" s="658">
        <f t="shared" si="1414"/>
        <v>0</v>
      </c>
      <c r="BV108" s="659">
        <f t="shared" si="1414"/>
        <v>0</v>
      </c>
      <c r="BW108" s="659">
        <f t="shared" si="1414"/>
        <v>0</v>
      </c>
      <c r="BX108" s="660">
        <f t="shared" si="1414"/>
        <v>0</v>
      </c>
      <c r="BY108" s="388">
        <f t="shared" si="1414"/>
        <v>0</v>
      </c>
      <c r="BZ108" s="658">
        <f t="shared" si="1414"/>
        <v>0</v>
      </c>
      <c r="CA108" s="659">
        <f t="shared" si="1414"/>
        <v>0</v>
      </c>
      <c r="CB108" s="659">
        <f t="shared" si="1414"/>
        <v>0</v>
      </c>
      <c r="CC108" s="660">
        <f t="shared" si="1414"/>
        <v>0</v>
      </c>
      <c r="CD108" s="388">
        <f t="shared" si="1414"/>
        <v>0</v>
      </c>
      <c r="CE108" s="658">
        <f t="shared" si="1414"/>
        <v>0</v>
      </c>
      <c r="CF108" s="659">
        <f t="shared" si="1414"/>
        <v>0</v>
      </c>
      <c r="CG108" s="659">
        <f t="shared" si="1414"/>
        <v>0</v>
      </c>
      <c r="CH108" s="660">
        <f t="shared" si="1414"/>
        <v>0</v>
      </c>
      <c r="CI108" s="388">
        <f t="shared" si="1414"/>
        <v>0</v>
      </c>
      <c r="CJ108" s="658">
        <f t="shared" si="1414"/>
        <v>0</v>
      </c>
      <c r="CK108" s="659">
        <f t="shared" si="1414"/>
        <v>0</v>
      </c>
      <c r="CL108" s="659">
        <f t="shared" si="1414"/>
        <v>0</v>
      </c>
      <c r="CM108" s="660">
        <f t="shared" si="1414"/>
        <v>0</v>
      </c>
      <c r="CN108" s="388">
        <f t="shared" si="1414"/>
        <v>0</v>
      </c>
      <c r="CO108" s="658">
        <f t="shared" si="1414"/>
        <v>0</v>
      </c>
      <c r="CP108" s="659">
        <f t="shared" si="1414"/>
        <v>0</v>
      </c>
      <c r="CQ108" s="659">
        <f t="shared" si="1414"/>
        <v>0</v>
      </c>
      <c r="CR108" s="660">
        <f t="shared" si="1414"/>
        <v>0</v>
      </c>
      <c r="CS108" s="388">
        <f t="shared" si="1414"/>
        <v>0</v>
      </c>
      <c r="CT108" s="658">
        <f t="shared" si="1414"/>
        <v>-5.1107291666666659E-2</v>
      </c>
      <c r="CU108" s="659">
        <f t="shared" si="1414"/>
        <v>-0.19147678166666665</v>
      </c>
      <c r="CV108" s="659">
        <f t="shared" ref="CV108:DR108" si="1415">SUM(CV53:CV106)</f>
        <v>-0.53780742833333339</v>
      </c>
      <c r="CW108" s="660">
        <f t="shared" si="1415"/>
        <v>-1.0778490950000001</v>
      </c>
      <c r="CX108" s="388">
        <f t="shared" si="1415"/>
        <v>-1.8582405966666669</v>
      </c>
      <c r="CY108" s="658">
        <f t="shared" si="1415"/>
        <v>-1.0267418033333335</v>
      </c>
      <c r="CZ108" s="659">
        <f t="shared" si="1415"/>
        <v>-1.5491171466666667</v>
      </c>
      <c r="DA108" s="659">
        <f t="shared" si="1415"/>
        <v>-2.8642136666666662</v>
      </c>
      <c r="DB108" s="660">
        <f t="shared" si="1415"/>
        <v>-2.3241719999999999</v>
      </c>
      <c r="DC108" s="388">
        <f t="shared" si="1415"/>
        <v>-7.7642446166666668</v>
      </c>
      <c r="DD108" s="658">
        <f t="shared" si="1415"/>
        <v>-2.3241719999999999</v>
      </c>
      <c r="DE108" s="659">
        <f t="shared" si="1415"/>
        <v>-2.1121271666666663</v>
      </c>
      <c r="DF108" s="659">
        <f t="shared" si="1415"/>
        <v>-0.67604999999999993</v>
      </c>
      <c r="DG108" s="660">
        <f t="shared" si="1415"/>
        <v>-2.9118225000000004</v>
      </c>
      <c r="DH108" s="388">
        <f t="shared" si="1415"/>
        <v>-8.0241716666666658</v>
      </c>
      <c r="DI108" s="658">
        <f t="shared" si="1415"/>
        <v>-2.9118225000000004</v>
      </c>
      <c r="DJ108" s="659">
        <f t="shared" si="1415"/>
        <v>-2.4611225000000005</v>
      </c>
      <c r="DK108" s="659">
        <f t="shared" si="1415"/>
        <v>-3.9172725000000002</v>
      </c>
      <c r="DL108" s="660">
        <f t="shared" si="1415"/>
        <v>-2.5222500000000001</v>
      </c>
      <c r="DM108" s="388">
        <f t="shared" si="1415"/>
        <v>-11.8124675</v>
      </c>
      <c r="DN108" s="658">
        <f t="shared" si="1415"/>
        <v>-2.5222500000000001</v>
      </c>
      <c r="DO108" s="659">
        <f t="shared" si="1415"/>
        <v>-2.5222500000000001</v>
      </c>
      <c r="DP108" s="659">
        <f t="shared" si="1415"/>
        <v>-5.4564920833333339</v>
      </c>
      <c r="DQ108" s="660">
        <f t="shared" si="1415"/>
        <v>-6.2911131249999999</v>
      </c>
      <c r="DR108" s="388">
        <f t="shared" si="1415"/>
        <v>-16.792105208333332</v>
      </c>
    </row>
    <row r="109" spans="1:122" s="12" customFormat="1" ht="12.75" customHeight="1">
      <c r="C109" s="1146"/>
      <c r="D109" s="1147"/>
      <c r="E109" s="1148"/>
      <c r="F109" s="1149"/>
      <c r="G109" s="1149"/>
      <c r="H109" s="1150"/>
      <c r="I109" s="1151"/>
      <c r="J109" s="1148"/>
      <c r="K109" s="1152"/>
      <c r="L109" s="309"/>
      <c r="M109" s="310"/>
      <c r="N109" s="310"/>
      <c r="O109" s="311"/>
      <c r="P109" s="1149"/>
      <c r="Q109" s="309"/>
      <c r="R109" s="310"/>
      <c r="S109" s="310"/>
      <c r="T109" s="311"/>
      <c r="U109" s="173"/>
      <c r="V109" s="309"/>
      <c r="W109" s="310"/>
      <c r="X109" s="310"/>
      <c r="Y109" s="311"/>
      <c r="Z109" s="173"/>
      <c r="AA109" s="309"/>
      <c r="AB109" s="310"/>
      <c r="AC109" s="310"/>
      <c r="AD109" s="311"/>
      <c r="AE109" s="173"/>
      <c r="AF109" s="309"/>
      <c r="AG109" s="310"/>
      <c r="AH109" s="310"/>
      <c r="AI109" s="311"/>
      <c r="AJ109" s="173"/>
      <c r="AK109" s="309"/>
      <c r="AL109" s="310"/>
      <c r="AM109" s="310"/>
      <c r="AN109" s="311"/>
      <c r="AO109" s="173"/>
      <c r="AP109" s="309"/>
      <c r="AQ109" s="310"/>
      <c r="AR109" s="310"/>
      <c r="AS109" s="311"/>
      <c r="AT109" s="173"/>
      <c r="AU109" s="309"/>
      <c r="AV109" s="310"/>
      <c r="AW109" s="310"/>
      <c r="AX109" s="311"/>
      <c r="AY109" s="173"/>
      <c r="AZ109" s="309"/>
      <c r="BA109" s="310"/>
      <c r="BB109" s="310"/>
      <c r="BC109" s="311"/>
      <c r="BD109" s="173"/>
      <c r="BE109" s="309"/>
      <c r="BF109" s="310"/>
      <c r="BG109" s="310"/>
      <c r="BH109" s="311"/>
      <c r="BI109" s="173"/>
      <c r="BJ109" s="309"/>
      <c r="BK109" s="310"/>
      <c r="BL109" s="310"/>
      <c r="BM109" s="311"/>
      <c r="BN109" s="173"/>
      <c r="BO109" s="1153"/>
      <c r="BP109" s="309"/>
      <c r="BQ109" s="310"/>
      <c r="BR109" s="310"/>
      <c r="BS109" s="311"/>
      <c r="BT109" s="173"/>
      <c r="BU109" s="309"/>
      <c r="BV109" s="310"/>
      <c r="BW109" s="310"/>
      <c r="BX109" s="311"/>
      <c r="BY109" s="173"/>
      <c r="BZ109" s="309"/>
      <c r="CA109" s="310"/>
      <c r="CB109" s="310"/>
      <c r="CC109" s="311"/>
      <c r="CD109" s="173"/>
      <c r="CE109" s="309"/>
      <c r="CF109" s="310"/>
      <c r="CG109" s="310"/>
      <c r="CH109" s="311"/>
      <c r="CI109" s="173"/>
      <c r="CJ109" s="309"/>
      <c r="CK109" s="310"/>
      <c r="CL109" s="310"/>
      <c r="CM109" s="311"/>
      <c r="CN109" s="173"/>
      <c r="CO109" s="309"/>
      <c r="CP109" s="310"/>
      <c r="CQ109" s="310"/>
      <c r="CR109" s="311"/>
      <c r="CS109" s="173"/>
      <c r="CT109" s="309"/>
      <c r="CU109" s="310"/>
      <c r="CV109" s="310"/>
      <c r="CW109" s="311"/>
      <c r="CX109" s="173"/>
      <c r="CY109" s="309"/>
      <c r="CZ109" s="310"/>
      <c r="DA109" s="310"/>
      <c r="DB109" s="311"/>
      <c r="DC109" s="173"/>
      <c r="DD109" s="309"/>
      <c r="DE109" s="310"/>
      <c r="DF109" s="310"/>
      <c r="DG109" s="311"/>
      <c r="DH109" s="173"/>
      <c r="DI109" s="309"/>
      <c r="DJ109" s="310"/>
      <c r="DK109" s="310"/>
      <c r="DL109" s="311"/>
      <c r="DM109" s="173"/>
      <c r="DN109" s="309"/>
      <c r="DO109" s="310"/>
      <c r="DP109" s="310"/>
      <c r="DQ109" s="311"/>
      <c r="DR109" s="173"/>
    </row>
    <row r="110" spans="1:122" ht="12.75" customHeight="1">
      <c r="A110" s="92"/>
      <c r="B110" s="92"/>
      <c r="C110" s="408" t="s">
        <v>306</v>
      </c>
      <c r="D110" s="408"/>
      <c r="E110" s="553"/>
      <c r="F110" s="554"/>
      <c r="G110" s="554"/>
      <c r="H110" s="583"/>
      <c r="I110" s="608"/>
      <c r="J110" s="622"/>
      <c r="K110" s="555"/>
      <c r="L110" s="427"/>
      <c r="M110" s="428"/>
      <c r="N110" s="428"/>
      <c r="O110" s="429"/>
      <c r="P110" s="426"/>
      <c r="Q110" s="427"/>
      <c r="R110" s="428"/>
      <c r="S110" s="428"/>
      <c r="T110" s="429"/>
      <c r="U110" s="426"/>
      <c r="V110" s="427"/>
      <c r="W110" s="428"/>
      <c r="X110" s="428"/>
      <c r="Y110" s="429"/>
      <c r="Z110" s="426"/>
      <c r="AA110" s="427"/>
      <c r="AB110" s="428"/>
      <c r="AC110" s="428"/>
      <c r="AD110" s="429"/>
      <c r="AE110" s="426"/>
      <c r="AF110" s="427"/>
      <c r="AG110" s="428"/>
      <c r="AH110" s="428"/>
      <c r="AI110" s="429"/>
      <c r="AJ110" s="426"/>
      <c r="AK110" s="427"/>
      <c r="AL110" s="428"/>
      <c r="AM110" s="428"/>
      <c r="AN110" s="429"/>
      <c r="AO110" s="426"/>
      <c r="AP110" s="427"/>
      <c r="AQ110" s="428"/>
      <c r="AR110" s="428"/>
      <c r="AS110" s="429"/>
      <c r="AT110" s="426"/>
      <c r="AU110" s="427"/>
      <c r="AV110" s="428"/>
      <c r="AW110" s="428"/>
      <c r="AX110" s="429"/>
      <c r="AY110" s="426"/>
      <c r="AZ110" s="427"/>
      <c r="BA110" s="428"/>
      <c r="BB110" s="428"/>
      <c r="BC110" s="429"/>
      <c r="BD110" s="426"/>
      <c r="BE110" s="427"/>
      <c r="BF110" s="428"/>
      <c r="BG110" s="428"/>
      <c r="BH110" s="429"/>
      <c r="BI110" s="426"/>
      <c r="BJ110" s="427"/>
      <c r="BK110" s="428"/>
      <c r="BL110" s="428"/>
      <c r="BM110" s="429"/>
      <c r="BN110" s="426"/>
      <c r="BO110" s="598"/>
      <c r="BP110" s="427"/>
      <c r="BQ110" s="428"/>
      <c r="BR110" s="428"/>
      <c r="BS110" s="429"/>
      <c r="BT110" s="426"/>
      <c r="BU110" s="427"/>
      <c r="BV110" s="428"/>
      <c r="BW110" s="428"/>
      <c r="BX110" s="429"/>
      <c r="BY110" s="426"/>
      <c r="BZ110" s="427"/>
      <c r="CA110" s="428"/>
      <c r="CB110" s="428"/>
      <c r="CC110" s="429"/>
      <c r="CD110" s="426"/>
      <c r="CE110" s="427"/>
      <c r="CF110" s="428"/>
      <c r="CG110" s="428"/>
      <c r="CH110" s="429"/>
      <c r="CI110" s="426"/>
      <c r="CJ110" s="427"/>
      <c r="CK110" s="428"/>
      <c r="CL110" s="428"/>
      <c r="CM110" s="429"/>
      <c r="CN110" s="426"/>
      <c r="CO110" s="427"/>
      <c r="CP110" s="428"/>
      <c r="CQ110" s="428"/>
      <c r="CR110" s="429"/>
      <c r="CS110" s="426"/>
      <c r="CT110" s="427"/>
      <c r="CU110" s="428"/>
      <c r="CV110" s="428"/>
      <c r="CW110" s="429"/>
      <c r="CX110" s="426"/>
      <c r="CY110" s="427"/>
      <c r="CZ110" s="428"/>
      <c r="DA110" s="428"/>
      <c r="DB110" s="429"/>
      <c r="DC110" s="426"/>
      <c r="DD110" s="427"/>
      <c r="DE110" s="428"/>
      <c r="DF110" s="428"/>
      <c r="DG110" s="429"/>
      <c r="DH110" s="426"/>
      <c r="DI110" s="427"/>
      <c r="DJ110" s="428"/>
      <c r="DK110" s="428"/>
      <c r="DL110" s="429"/>
      <c r="DM110" s="426"/>
      <c r="DN110" s="427"/>
      <c r="DO110" s="428"/>
      <c r="DP110" s="428"/>
      <c r="DQ110" s="429"/>
      <c r="DR110" s="426"/>
    </row>
    <row r="111" spans="1:122" ht="12.75" customHeight="1">
      <c r="A111" s="92"/>
      <c r="B111" s="92"/>
      <c r="C111" s="25" t="s">
        <v>139</v>
      </c>
      <c r="D111" s="560"/>
      <c r="E111" s="781">
        <f>Competitive!BB580</f>
        <v>0</v>
      </c>
      <c r="F111" s="558"/>
      <c r="G111" s="558"/>
      <c r="H111" s="662">
        <v>2018</v>
      </c>
      <c r="I111" s="652">
        <v>5.5E-2</v>
      </c>
      <c r="J111" s="655">
        <v>7</v>
      </c>
      <c r="K111" s="528"/>
      <c r="L111" s="441">
        <f t="shared" ref="L111:L113" si="1416">IF(P111=0,0,IF(P111&gt;0,IF($J111=3,P111,IF($J111=2,P111,IF($J111=1,P111,0)))))</f>
        <v>0</v>
      </c>
      <c r="M111" s="442">
        <f t="shared" ref="M111:M113" si="1417">IF(P111=0,0,IF(P111&gt;0,IF($J111=6,P111,IF($J111=5,P111,IF($J111=4,P111,0)))))</f>
        <v>0</v>
      </c>
      <c r="N111" s="442">
        <f t="shared" ref="N111:N113" si="1418">IF(P111=0,0,IF(P111&gt;0,IF($J111=9,P111,IF($J111=8,P111,IF($J111=7,P111,0)))))</f>
        <v>0</v>
      </c>
      <c r="O111" s="443">
        <f t="shared" ref="O111:O113" si="1419">IF(P111=0,0,IF(P111&gt;0,IF($J111=12,P111,IF($J111=11,P111,IF($J111=10,P111,0)))))</f>
        <v>0</v>
      </c>
      <c r="P111" s="440">
        <f t="shared" ref="P111:P114" si="1420">IF(P$5=$H111,$E111,0)</f>
        <v>0</v>
      </c>
      <c r="Q111" s="441">
        <f t="shared" ref="Q111:Q113" si="1421">IF(U111=0,0,IF(U111&gt;0,IF($J111=3,U111,IF($J111=2,U111,IF($J111=1,U111,0)))))</f>
        <v>0</v>
      </c>
      <c r="R111" s="442">
        <f t="shared" ref="R111:R113" si="1422">IF(U111=0,0,IF(U111&gt;0,IF($J111=6,U111,IF($J111=5,U111,IF($J111=4,U111,0)))))</f>
        <v>0</v>
      </c>
      <c r="S111" s="442">
        <f t="shared" ref="S111:S113" si="1423">IF(U111=0,0,IF(U111&gt;0,IF($J111=9,U111,IF($J111=8,U111,IF($J111=7,U111,0)))))</f>
        <v>0</v>
      </c>
      <c r="T111" s="443">
        <f t="shared" ref="T111:T113" si="1424">IF(U111=0,0,IF(U111&gt;0,IF($J111=12,U111,IF($J111=11,U111,IF($J111=10,U111,0)))))</f>
        <v>0</v>
      </c>
      <c r="U111" s="440">
        <f t="shared" ref="U111:U114" si="1425">IF(U$5=$H111,$E111,0)</f>
        <v>0</v>
      </c>
      <c r="V111" s="441">
        <f t="shared" ref="V111:V113" si="1426">IF(Z111=0,0,IF(Z111&gt;0,IF($J111=3,Z111,IF($J111=2,Z111,IF($J111=1,Z111,0)))))</f>
        <v>0</v>
      </c>
      <c r="W111" s="442">
        <f t="shared" ref="W111:W113" si="1427">IF(Z111=0,0,IF(Z111&gt;0,IF($J111=6,Z111,IF($J111=5,Z111,IF($J111=4,Z111,0)))))</f>
        <v>0</v>
      </c>
      <c r="X111" s="442">
        <f t="shared" ref="X111:X113" si="1428">IF(Z111=0,0,IF(Z111&gt;0,IF($J111=9,Z111,IF($J111=8,Z111,IF($J111=7,Z111,0)))))</f>
        <v>0</v>
      </c>
      <c r="Y111" s="443">
        <f t="shared" ref="Y111:Y113" si="1429">IF(Z111=0,0,IF(Z111&gt;0,IF($J111=12,Z111,IF($J111=11,Z111,IF($J111=10,Z111,0)))))</f>
        <v>0</v>
      </c>
      <c r="Z111" s="440">
        <f t="shared" ref="Z111:Z114" si="1430">IF(Z$5=$H111,$E111,0)</f>
        <v>0</v>
      </c>
      <c r="AA111" s="441">
        <f t="shared" ref="AA111:AA113" si="1431">IF(AE111=0,0,IF(AE111&gt;0,IF($J111=3,AE111,IF($J111=2,AE111,IF($J111=1,AE111,0)))))</f>
        <v>0</v>
      </c>
      <c r="AB111" s="442">
        <f t="shared" ref="AB111:AB113" si="1432">IF(AE111=0,0,IF(AE111&gt;0,IF($J111=6,AE111,IF($J111=5,AE111,IF($J111=4,AE111,0)))))</f>
        <v>0</v>
      </c>
      <c r="AC111" s="442">
        <f t="shared" ref="AC111:AC113" si="1433">IF(AE111=0,0,IF(AE111&gt;0,IF($J111=9,AE111,IF($J111=8,AE111,IF($J111=7,AE111,0)))))</f>
        <v>0</v>
      </c>
      <c r="AD111" s="443">
        <f t="shared" ref="AD111:AD113" si="1434">IF(AE111=0,0,IF(AE111&gt;0,IF($J111=12,AE111,IF($J111=11,AE111,IF($J111=10,AE111,0)))))</f>
        <v>0</v>
      </c>
      <c r="AE111" s="440">
        <f t="shared" ref="AE111:AE114" si="1435">IF(AE$5=$H111,$E111,0)</f>
        <v>0</v>
      </c>
      <c r="AF111" s="441">
        <f t="shared" ref="AF111:AF113" si="1436">IF(AJ111=0,0,IF(AJ111&gt;0,IF($J111=3,AJ111,IF($J111=2,AJ111,IF($J111=1,AJ111,0)))))</f>
        <v>0</v>
      </c>
      <c r="AG111" s="442">
        <f t="shared" ref="AG111:AG113" si="1437">IF(AJ111=0,0,IF(AJ111&gt;0,IF($J111=6,AJ111,IF($J111=5,AJ111,IF($J111=4,AJ111,0)))))</f>
        <v>0</v>
      </c>
      <c r="AH111" s="442">
        <f t="shared" ref="AH111:AH113" si="1438">IF(AJ111=0,0,IF(AJ111&gt;0,IF($J111=9,AJ111,IF($J111=8,AJ111,IF($J111=7,AJ111,0)))))</f>
        <v>0</v>
      </c>
      <c r="AI111" s="443">
        <f t="shared" ref="AI111:AI113" si="1439">IF(AJ111=0,0,IF(AJ111&gt;0,IF($J111=12,AJ111,IF($J111=11,AJ111,IF($J111=10,AJ111,0)))))</f>
        <v>0</v>
      </c>
      <c r="AJ111" s="440">
        <f t="shared" ref="AJ111:AJ114" si="1440">IF(AJ$5=$H111,$E111,0)</f>
        <v>0</v>
      </c>
      <c r="AK111" s="441">
        <f t="shared" ref="AK111:AK113" si="1441">IF(AO111=0,0,IF(AO111&gt;0,IF($J111=3,AO111,IF($J111=2,AO111,IF($J111=1,AO111,0)))))</f>
        <v>0</v>
      </c>
      <c r="AL111" s="442">
        <f t="shared" ref="AL111:AL113" si="1442">IF(AO111=0,0,IF(AO111&gt;0,IF($J111=6,AO111,IF($J111=5,AO111,IF($J111=4,AO111,0)))))</f>
        <v>0</v>
      </c>
      <c r="AM111" s="442">
        <f t="shared" ref="AM111:AM113" si="1443">IF(AO111=0,0,IF(AO111&gt;0,IF($J111=9,AO111,IF($J111=8,AO111,IF($J111=7,AO111,0)))))</f>
        <v>0</v>
      </c>
      <c r="AN111" s="443">
        <f t="shared" ref="AN111:AN113" si="1444">IF(AO111=0,0,IF(AO111&gt;0,IF($J111=12,AO111,IF($J111=11,AO111,IF($J111=10,AO111,0)))))</f>
        <v>0</v>
      </c>
      <c r="AO111" s="440">
        <f t="shared" ref="AO111:AO114" si="1445">IF(AO$5=$H111,$E111,0)</f>
        <v>0</v>
      </c>
      <c r="AP111" s="441">
        <f t="shared" ref="AP111:AP113" si="1446">IF(AT111=0,0,IF(AT111&gt;0,IF($J111=3,AT111,IF($J111=2,AT111,IF($J111=1,AT111,0)))))</f>
        <v>0</v>
      </c>
      <c r="AQ111" s="442">
        <f t="shared" ref="AQ111:AQ113" si="1447">IF(AT111=0,0,IF(AT111&gt;0,IF($J111=6,AT111,IF($J111=5,AT111,IF($J111=4,AT111,0)))))</f>
        <v>0</v>
      </c>
      <c r="AR111" s="442">
        <f t="shared" ref="AR111:AR113" si="1448">IF(AT111=0,0,IF(AT111&gt;0,IF($J111=9,AT111,IF($J111=8,AT111,IF($J111=7,AT111,0)))))</f>
        <v>0</v>
      </c>
      <c r="AS111" s="443">
        <f t="shared" ref="AS111:AS113" si="1449">IF(AT111=0,0,IF(AT111&gt;0,IF($J111=12,AT111,IF($J111=11,AT111,IF($J111=10,AT111,0)))))</f>
        <v>0</v>
      </c>
      <c r="AT111" s="440">
        <f t="shared" ref="AT111:AT114" si="1450">IF(AT$5=$H111,$E111,0)</f>
        <v>0</v>
      </c>
      <c r="AU111" s="441">
        <f t="shared" ref="AU111:AU113" si="1451">IF(AY111=0,0,IF(AY111&gt;0,IF($J111=3,AY111,IF($J111=2,AY111,IF($J111=1,AY111,0)))))</f>
        <v>0</v>
      </c>
      <c r="AV111" s="442">
        <f t="shared" ref="AV111:AV113" si="1452">IF(AY111=0,0,IF(AY111&gt;0,IF($J111=6,AY111,IF($J111=5,AY111,IF($J111=4,AY111,0)))))</f>
        <v>0</v>
      </c>
      <c r="AW111" s="442">
        <f t="shared" ref="AW111:AW113" si="1453">IF(AY111=0,0,IF(AY111&gt;0,IF($J111=9,AY111,IF($J111=8,AY111,IF($J111=7,AY111,0)))))</f>
        <v>0</v>
      </c>
      <c r="AX111" s="443">
        <f t="shared" ref="AX111:AX113" si="1454">IF(AY111=0,0,IF(AY111&gt;0,IF($J111=12,AY111,IF($J111=11,AY111,IF($J111=10,AY111,0)))))</f>
        <v>0</v>
      </c>
      <c r="AY111" s="440">
        <f t="shared" ref="AY111:AY114" si="1455">IF(AY$5=$H111,$E111,0)</f>
        <v>0</v>
      </c>
      <c r="AZ111" s="441">
        <f t="shared" ref="AZ111:AZ113" si="1456">IF(BD111=0,0,IF(BD111&gt;0,IF($J111=3,BD111,IF($J111=2,BD111,IF($J111=1,BD111,0)))))</f>
        <v>0</v>
      </c>
      <c r="BA111" s="442">
        <f t="shared" ref="BA111:BA113" si="1457">IF(BD111=0,0,IF(BD111&gt;0,IF($J111=6,BD111,IF($J111=5,BD111,IF($J111=4,BD111,0)))))</f>
        <v>0</v>
      </c>
      <c r="BB111" s="442">
        <f t="shared" ref="BB111:BB113" si="1458">IF(BD111=0,0,IF(BD111&gt;0,IF($J111=9,BD111,IF($J111=8,BD111,IF($J111=7,BD111,0)))))</f>
        <v>0</v>
      </c>
      <c r="BC111" s="443">
        <f t="shared" ref="BC111:BC113" si="1459">IF(BD111=0,0,IF(BD111&gt;0,IF($J111=12,BD111,IF($J111=11,BD111,IF($J111=10,BD111,0)))))</f>
        <v>0</v>
      </c>
      <c r="BD111" s="440">
        <f t="shared" ref="BD111:BD114" si="1460">IF(BD$5=$H111,$E111,0)</f>
        <v>0</v>
      </c>
      <c r="BE111" s="441">
        <f t="shared" ref="BE111:BE113" si="1461">IF(BI111=0,0,IF(BI111&gt;0,IF($J111=3,BI111,IF($J111=2,BI111,IF($J111=1,BI111,0)))))</f>
        <v>0</v>
      </c>
      <c r="BF111" s="442">
        <f t="shared" ref="BF111:BF113" si="1462">IF(BI111=0,0,IF(BI111&gt;0,IF($J111=6,BI111,IF($J111=5,BI111,IF($J111=4,BI111,0)))))</f>
        <v>0</v>
      </c>
      <c r="BG111" s="442">
        <f t="shared" ref="BG111:BG113" si="1463">IF(BI111=0,0,IF(BI111&gt;0,IF($J111=9,BI111,IF($J111=8,BI111,IF($J111=7,BI111,0)))))</f>
        <v>0</v>
      </c>
      <c r="BH111" s="443">
        <f t="shared" ref="BH111:BH113" si="1464">IF(BI111=0,0,IF(BI111&gt;0,IF($J111=12,BI111,IF($J111=11,BI111,IF($J111=10,BI111,0)))))</f>
        <v>0</v>
      </c>
      <c r="BI111" s="440">
        <f t="shared" ref="BI111:BI114" si="1465">IF(BI$5=$H111,$E111,0)</f>
        <v>0</v>
      </c>
      <c r="BJ111" s="441">
        <f t="shared" ref="BJ111:BJ113" si="1466">IF(BN111=0,0,IF(BN111&gt;0,IF($J111=3,BN111,IF($J111=2,BN111,IF($J111=1,BN111,0)))))</f>
        <v>0</v>
      </c>
      <c r="BK111" s="442">
        <f t="shared" ref="BK111:BK113" si="1467">IF(BN111=0,0,IF(BN111&gt;0,IF($J111=6,BN111,IF($J111=5,BN111,IF($J111=4,BN111,0)))))</f>
        <v>0</v>
      </c>
      <c r="BL111" s="442">
        <f t="shared" ref="BL111:BL113" si="1468">IF(BN111=0,0,IF(BN111&gt;0,IF($J111=9,BN111,IF($J111=8,BN111,IF($J111=7,BN111,0)))))</f>
        <v>0</v>
      </c>
      <c r="BM111" s="443">
        <f t="shared" ref="BM111:BM113" si="1469">IF(BN111=0,0,IF(BN111&gt;0,IF($J111=12,BN111,IF($J111=11,BN111,IF($J111=10,BN111,0)))))</f>
        <v>0</v>
      </c>
      <c r="BN111" s="440">
        <f t="shared" ref="BN111:BN114" si="1470">IF(BN$5=$H111,$E111,0)</f>
        <v>0</v>
      </c>
      <c r="BO111" s="463"/>
      <c r="BP111" s="441">
        <f t="shared" ref="BP111:BP113" si="1471">IF($H111&lt;&gt;BT$5,0,IF(BT111&gt;0,IF($J111=1,$E111*$I111/12*3,IF($J111=2,$E111*$I111/12*2,IF($J111=3,$E111*$I111/12*1,0)))))+IF(BO$5&lt;&gt;$H111,0,IF(BO111&gt;0,IF($J111=1,$E111*$I111/12*0,IF($J111=2,$E111*$I111/12*1,IF($J111=3,$E111*$I111/12*2,IF($J111&gt;=4,$E111*$I111/12*3,0))))))</f>
        <v>0</v>
      </c>
      <c r="BQ111" s="442">
        <f t="shared" ref="BQ111:BQ113" si="1472">IF($H111&lt;&gt;BT$5,0,IF(BT111&gt;0,IF(OR($J111=1,$J111=2,$J111=3,$J111=4),$E111*$I111/12*3,IF($J111=5,$E111*$I111/12*2,IF($J111=6,$E111*$I111/12*1,0)))))+IF(BO$5&lt;&gt;$H111,0,IF(BO111&gt;0,IF($J111=4,$E111*$I111/12*0,IF($J111=5,$E111*$I111/12*1,IF($J111=6,$E111*$I111/12*2,IF($J111&gt;=7,$E111*$I111/12*3,0))))))</f>
        <v>0</v>
      </c>
      <c r="BR111" s="442">
        <f t="shared" ref="BR111:BR113" si="1473">IF($H111&lt;&gt;BT$5,0,IF(BT111&gt;0,IF(OR($J111=1,$J111=2,$J111=3,$J111=4,$J111=5,$J111=6,$J111=7),$E111*$I111/12*3,IF($J111=8,$E111*$I111/12*2,IF($J111=9,$E111*$I111/12*1,0)))))+IF(BO$5&lt;&gt;$H111,0,IF(BO111&gt;0,IF($J111=7,$E111*$I111/12*0,IF($J111=8,$E111*$I111/12*1,IF($J111=9,$E111*$I111/12*2,IF($J111&gt;=10,$E111*$I111/12*3,0))))))</f>
        <v>0</v>
      </c>
      <c r="BS111" s="443">
        <f t="shared" ref="BS111:BS113" si="1474">IF($H111&lt;&gt;BT$5,0,IF(BT111&gt;0,IF(OR($J111=1,$J111=2,$J111=3,$J111=4,$J111=5,$J111=6,$J111=7,$J111=8,$J111=9,$J111=10),$E111*$I111/12*3,IF($J111=11,$E111*$I111/12*2,IF($J111=12,$E111*$I111/12*1,0)))))+IF(BO$5&lt;&gt;$H111,0,IF(BO111&gt;0,IF($J111=10,$E111*$I111/12*0,IF($J111=11,$E111*$I111/12*1,IF($J111=12,$E111*$I111/12*2,0)))))</f>
        <v>0</v>
      </c>
      <c r="BT111" s="440">
        <f t="shared" ref="BT111:BT113" si="1475">IF(AND(BO111&lt;&gt;0,BO$5=$H111),$I111*$E111-BO111,IF(BT$5=$H111,$I111*$E111*(12-$J111+1)/12,0))</f>
        <v>0</v>
      </c>
      <c r="BU111" s="441">
        <f t="shared" ref="BU111:BU113" si="1476">IF($H111&lt;&gt;BY$5,0,IF(BY111&gt;0,IF($J111=1,$E111*$I111/12*3,IF($J111=2,$E111*$I111/12*2,IF($J111=3,$E111*$I111/12*1,0)))))+IF(BT$5&lt;&gt;$H111,0,IF(BT111&gt;0,IF($J111=1,$E111*$I111/12*0,IF($J111=2,$E111*$I111/12*1,IF($J111=3,$E111*$I111/12*2,IF($J111&gt;=4,$E111*$I111/12*3,0))))))</f>
        <v>0</v>
      </c>
      <c r="BV111" s="442">
        <f t="shared" ref="BV111:BV113" si="1477">IF($H111&lt;&gt;BY$5,0,IF(BY111&gt;0,IF(OR($J111=1,$J111=2,$J111=3,$J111=4),$E111*$I111/12*3,IF($J111=5,$E111*$I111/12*2,IF($J111=6,$E111*$I111/12*1,0)))))+IF(BT$5&lt;&gt;$H111,0,IF(BT111&gt;0,IF($J111=4,$E111*$I111/12*0,IF($J111=5,$E111*$I111/12*1,IF($J111=6,$E111*$I111/12*2,IF($J111&gt;=7,$E111*$I111/12*3,0))))))</f>
        <v>0</v>
      </c>
      <c r="BW111" s="442">
        <f t="shared" ref="BW111:BW113" si="1478">IF($H111&lt;&gt;BY$5,0,IF(BY111&gt;0,IF(OR($J111=1,$J111=2,$J111=3,$J111=4,$J111=5,$J111=6,$J111=7),$E111*$I111/12*3,IF($J111=8,$E111*$I111/12*2,IF($J111=9,$E111*$I111/12*1,0)))))+IF(BT$5&lt;&gt;$H111,0,IF(BT111&gt;0,IF($J111=7,$E111*$I111/12*0,IF($J111=8,$E111*$I111/12*1,IF($J111=9,$E111*$I111/12*2,IF($J111&gt;=10,$E111*$I111/12*3,0))))))</f>
        <v>0</v>
      </c>
      <c r="BX111" s="443">
        <f t="shared" ref="BX111:BX113" si="1479">IF($H111&lt;&gt;BY$5,0,IF(BY111&gt;0,IF(OR($J111=1,$J111=2,$J111=3,$J111=4,$J111=5,$J111=6,$J111=7,$J111=8,$J111=9,$J111=10),$E111*$I111/12*3,IF($J111=11,$E111*$I111/12*2,IF($J111=12,$E111*$I111/12*1,0)))))+IF(BT$5&lt;&gt;$H111,0,IF(BT111&gt;0,IF($J111=10,$E111*$I111/12*0,IF($J111=11,$E111*$I111/12*1,IF($J111=12,$E111*$I111/12*2,0)))))</f>
        <v>0</v>
      </c>
      <c r="BY111" s="440">
        <f t="shared" ref="BY111:BY113" si="1480">IF(AND(BT111&lt;&gt;0,BT$5=$H111),$I111*$E111-BT111,IF(BY$5=$H111,$I111*$E111*(12-$J111+1)/12,0))</f>
        <v>0</v>
      </c>
      <c r="BZ111" s="441">
        <f t="shared" ref="BZ111:BZ113" si="1481">IF($H111&lt;&gt;CD$5,0,IF(CD111&gt;0,IF($J111=1,$E111*$I111/12*3,IF($J111=2,$E111*$I111/12*2,IF($J111=3,$E111*$I111/12*1,0)))))+IF(BY$5&lt;&gt;$H111,0,IF(BY111&gt;0,IF($J111=1,$E111*$I111/12*0,IF($J111=2,$E111*$I111/12*1,IF($J111=3,$E111*$I111/12*2,IF($J111&gt;=4,$E111*$I111/12*3,0))))))</f>
        <v>0</v>
      </c>
      <c r="CA111" s="442">
        <f t="shared" ref="CA111:CA113" si="1482">IF($H111&lt;&gt;CD$5,0,IF(CD111&gt;0,IF(OR($J111=1,$J111=2,$J111=3,$J111=4),$E111*$I111/12*3,IF($J111=5,$E111*$I111/12*2,IF($J111=6,$E111*$I111/12*1,0)))))+IF(BY$5&lt;&gt;$H111,0,IF(BY111&gt;0,IF($J111=4,$E111*$I111/12*0,IF($J111=5,$E111*$I111/12*1,IF($J111=6,$E111*$I111/12*2,IF($J111&gt;=7,$E111*$I111/12*3,0))))))</f>
        <v>0</v>
      </c>
      <c r="CB111" s="442">
        <f t="shared" ref="CB111:CB113" si="1483">IF($H111&lt;&gt;CD$5,0,IF(CD111&gt;0,IF(OR($J111=1,$J111=2,$J111=3,$J111=4,$J111=5,$J111=6,$J111=7),$E111*$I111/12*3,IF($J111=8,$E111*$I111/12*2,IF($J111=9,$E111*$I111/12*1,0)))))+IF(BY$5&lt;&gt;$H111,0,IF(BY111&gt;0,IF($J111=7,$E111*$I111/12*0,IF($J111=8,$E111*$I111/12*1,IF($J111=9,$E111*$I111/12*2,IF($J111&gt;=10,$E111*$I111/12*3,0))))))</f>
        <v>0</v>
      </c>
      <c r="CC111" s="443">
        <f t="shared" ref="CC111:CC113" si="1484">IF($H111&lt;&gt;CD$5,0,IF(CD111&gt;0,IF(OR($J111=1,$J111=2,$J111=3,$J111=4,$J111=5,$J111=6,$J111=7,$J111=8,$J111=9,$J111=10),$E111*$I111/12*3,IF($J111=11,$E111*$I111/12*2,IF($J111=12,$E111*$I111/12*1,0)))))+IF(BY$5&lt;&gt;$H111,0,IF(BY111&gt;0,IF($J111=10,$E111*$I111/12*0,IF($J111=11,$E111*$I111/12*1,IF($J111=12,$E111*$I111/12*2,0)))))</f>
        <v>0</v>
      </c>
      <c r="CD111" s="440">
        <f t="shared" ref="CD111:CD113" si="1485">IF(AND(BY111&lt;&gt;0,BY$5=$H111),$I111*$E111-BY111,IF(CD$5=$H111,$I111*$E111*(12-$J111+1)/12,0))</f>
        <v>0</v>
      </c>
      <c r="CE111" s="441">
        <f t="shared" ref="CE111:CE113" si="1486">IF($H111&lt;&gt;CI$5,0,IF(CI111&gt;0,IF($J111=1,$E111*$I111/12*3,IF($J111=2,$E111*$I111/12*2,IF($J111=3,$E111*$I111/12*1,0)))))+IF(CD$5&lt;&gt;$H111,0,IF(CD111&gt;0,IF($J111=1,$E111*$I111/12*0,IF($J111=2,$E111*$I111/12*1,IF($J111=3,$E111*$I111/12*2,IF($J111&gt;=4,$E111*$I111/12*3,0))))))</f>
        <v>0</v>
      </c>
      <c r="CF111" s="442">
        <f t="shared" ref="CF111:CF113" si="1487">IF($H111&lt;&gt;CI$5,0,IF(CI111&gt;0,IF(OR($J111=1,$J111=2,$J111=3,$J111=4),$E111*$I111/12*3,IF($J111=5,$E111*$I111/12*2,IF($J111=6,$E111*$I111/12*1,0)))))+IF(CD$5&lt;&gt;$H111,0,IF(CD111&gt;0,IF($J111=4,$E111*$I111/12*0,IF($J111=5,$E111*$I111/12*1,IF($J111=6,$E111*$I111/12*2,IF($J111&gt;=7,$E111*$I111/12*3,0))))))</f>
        <v>0</v>
      </c>
      <c r="CG111" s="442">
        <f t="shared" ref="CG111:CG113" si="1488">IF($H111&lt;&gt;CI$5,0,IF(CI111&gt;0,IF(OR($J111=1,$J111=2,$J111=3,$J111=4,$J111=5,$J111=6,$J111=7),$E111*$I111/12*3,IF($J111=8,$E111*$I111/12*2,IF($J111=9,$E111*$I111/12*1,0)))))+IF(CD$5&lt;&gt;$H111,0,IF(CD111&gt;0,IF($J111=7,$E111*$I111/12*0,IF($J111=8,$E111*$I111/12*1,IF($J111=9,$E111*$I111/12*2,IF($J111&gt;=10,$E111*$I111/12*3,0))))))</f>
        <v>0</v>
      </c>
      <c r="CH111" s="443">
        <f t="shared" ref="CH111:CH113" si="1489">IF($H111&lt;&gt;CI$5,0,IF(CI111&gt;0,IF(OR($J111=1,$J111=2,$J111=3,$J111=4,$J111=5,$J111=6,$J111=7,$J111=8,$J111=9,$J111=10),$E111*$I111/12*3,IF($J111=11,$E111*$I111/12*2,IF($J111=12,$E111*$I111/12*1,0)))))+IF(CD$5&lt;&gt;$H111,0,IF(CD111&gt;0,IF($J111=10,$E111*$I111/12*0,IF($J111=11,$E111*$I111/12*1,IF($J111=12,$E111*$I111/12*2,0)))))</f>
        <v>0</v>
      </c>
      <c r="CI111" s="440">
        <f t="shared" ref="CI111:CI113" si="1490">IF(AND(CD111&lt;&gt;0,CD$5=$H111),$I111*$E111-CD111,IF(CI$5=$H111,$I111*$E111*(12-$J111+1)/12,0))</f>
        <v>0</v>
      </c>
      <c r="CJ111" s="441">
        <f t="shared" ref="CJ111:CJ113" si="1491">IF($H111&lt;&gt;CN$5,0,IF(CN111&gt;0,IF($J111=1,$E111*$I111/12*3,IF($J111=2,$E111*$I111/12*2,IF($J111=3,$E111*$I111/12*1,0)))))+IF(CI$5&lt;&gt;$H111,0,IF(CI111&gt;0,IF($J111=1,$E111*$I111/12*0,IF($J111=2,$E111*$I111/12*1,IF($J111=3,$E111*$I111/12*2,IF($J111&gt;=4,$E111*$I111/12*3,0))))))</f>
        <v>0</v>
      </c>
      <c r="CK111" s="442">
        <f t="shared" ref="CK111:CK113" si="1492">IF($H111&lt;&gt;CN$5,0,IF(CN111&gt;0,IF(OR($J111=1,$J111=2,$J111=3,$J111=4),$E111*$I111/12*3,IF($J111=5,$E111*$I111/12*2,IF($J111=6,$E111*$I111/12*1,0)))))+IF(CI$5&lt;&gt;$H111,0,IF(CI111&gt;0,IF($J111=4,$E111*$I111/12*0,IF($J111=5,$E111*$I111/12*1,IF($J111=6,$E111*$I111/12*2,IF($J111&gt;=7,$E111*$I111/12*3,0))))))</f>
        <v>0</v>
      </c>
      <c r="CL111" s="442">
        <f t="shared" ref="CL111:CL113" si="1493">IF($H111&lt;&gt;CN$5,0,IF(CN111&gt;0,IF(OR($J111=1,$J111=2,$J111=3,$J111=4,$J111=5,$J111=6,$J111=7),$E111*$I111/12*3,IF($J111=8,$E111*$I111/12*2,IF($J111=9,$E111*$I111/12*1,0)))))+IF(CI$5&lt;&gt;$H111,0,IF(CI111&gt;0,IF($J111=7,$E111*$I111/12*0,IF($J111=8,$E111*$I111/12*1,IF($J111=9,$E111*$I111/12*2,IF($J111&gt;=10,$E111*$I111/12*3,0))))))</f>
        <v>0</v>
      </c>
      <c r="CM111" s="443">
        <f t="shared" ref="CM111:CM113" si="1494">IF($H111&lt;&gt;CN$5,0,IF(CN111&gt;0,IF(OR($J111=1,$J111=2,$J111=3,$J111=4,$J111=5,$J111=6,$J111=7,$J111=8,$J111=9,$J111=10),$E111*$I111/12*3,IF($J111=11,$E111*$I111/12*2,IF($J111=12,$E111*$I111/12*1,0)))))+IF(CI$5&lt;&gt;$H111,0,IF(CI111&gt;0,IF($J111=10,$E111*$I111/12*0,IF($J111=11,$E111*$I111/12*1,IF($J111=12,$E111*$I111/12*2,0)))))</f>
        <v>0</v>
      </c>
      <c r="CN111" s="440">
        <f t="shared" ref="CN111:CN113" si="1495">IF(AND(CI111&lt;&gt;0,CI$5=$H111),$I111*$E111-CI111,IF(CN$5=$H111,$I111*$E111*(12-$J111+1)/12,0))</f>
        <v>0</v>
      </c>
      <c r="CO111" s="441">
        <f t="shared" ref="CO111:CO113" si="1496">IF($H111&lt;&gt;CS$5,0,IF(CS111&gt;0,IF($J111=1,$E111*$I111/12*3,IF($J111=2,$E111*$I111/12*2,IF($J111=3,$E111*$I111/12*1,0)))))+IF(CN$5&lt;&gt;$H111,0,IF(CN111&gt;0,IF($J111=1,$E111*$I111/12*0,IF($J111=2,$E111*$I111/12*1,IF($J111=3,$E111*$I111/12*2,IF($J111&gt;=4,$E111*$I111/12*3,0))))))</f>
        <v>0</v>
      </c>
      <c r="CP111" s="442">
        <f t="shared" ref="CP111:CP113" si="1497">IF($H111&lt;&gt;CS$5,0,IF(CS111&gt;0,IF(OR($J111=1,$J111=2,$J111=3,$J111=4),$E111*$I111/12*3,IF($J111=5,$E111*$I111/12*2,IF($J111=6,$E111*$I111/12*1,0)))))+IF(CN$5&lt;&gt;$H111,0,IF(CN111&gt;0,IF($J111=4,$E111*$I111/12*0,IF($J111=5,$E111*$I111/12*1,IF($J111=6,$E111*$I111/12*2,IF($J111&gt;=7,$E111*$I111/12*3,0))))))</f>
        <v>0</v>
      </c>
      <c r="CQ111" s="442">
        <f t="shared" ref="CQ111:CQ113" si="1498">IF($H111&lt;&gt;CS$5,0,IF(CS111&gt;0,IF(OR($J111=1,$J111=2,$J111=3,$J111=4,$J111=5,$J111=6,$J111=7),$E111*$I111/12*3,IF($J111=8,$E111*$I111/12*2,IF($J111=9,$E111*$I111/12*1,0)))))+IF(CN$5&lt;&gt;$H111,0,IF(CN111&gt;0,IF($J111=7,$E111*$I111/12*0,IF($J111=8,$E111*$I111/12*1,IF($J111=9,$E111*$I111/12*2,IF($J111&gt;=10,$E111*$I111/12*3,0))))))</f>
        <v>0</v>
      </c>
      <c r="CR111" s="443">
        <f t="shared" ref="CR111:CR113" si="1499">IF($H111&lt;&gt;CS$5,0,IF(CS111&gt;0,IF(OR($J111=1,$J111=2,$J111=3,$J111=4,$J111=5,$J111=6,$J111=7,$J111=8,$J111=9,$J111=10),$E111*$I111/12*3,IF($J111=11,$E111*$I111/12*2,IF($J111=12,$E111*$I111/12*1,0)))))+IF(CN$5&lt;&gt;$H111,0,IF(CN111&gt;0,IF($J111=10,$E111*$I111/12*0,IF($J111=11,$E111*$I111/12*1,IF($J111=12,$E111*$I111/12*2,0)))))</f>
        <v>0</v>
      </c>
      <c r="CS111" s="440">
        <f t="shared" ref="CS111:CS113" si="1500">IF(AND(CN111&lt;&gt;0,CN$5=$H111),$I111*$E111-CN111,IF(CS$5=$H111,$I111*$E111*(12-$J111+1)/12,0))</f>
        <v>0</v>
      </c>
      <c r="CT111" s="441">
        <f t="shared" ref="CT111:CT113" si="1501">IF($H111&lt;&gt;CX$5,0,IF(CX111&gt;0,IF($J111=1,$E111*$I111/12*3,IF($J111=2,$E111*$I111/12*2,IF($J111=3,$E111*$I111/12*1,0)))))+IF(CS$5&lt;&gt;$H111,0,IF(CS111&gt;0,IF($J111=1,$E111*$I111/12*0,IF($J111=2,$E111*$I111/12*1,IF($J111=3,$E111*$I111/12*2,IF($J111&gt;=4,$E111*$I111/12*3,0))))))</f>
        <v>0</v>
      </c>
      <c r="CU111" s="442">
        <f t="shared" ref="CU111:CU113" si="1502">IF($H111&lt;&gt;CX$5,0,IF(CX111&gt;0,IF(OR($J111=1,$J111=2,$J111=3,$J111=4),$E111*$I111/12*3,IF($J111=5,$E111*$I111/12*2,IF($J111=6,$E111*$I111/12*1,0)))))+IF(CS$5&lt;&gt;$H111,0,IF(CS111&gt;0,IF($J111=4,$E111*$I111/12*0,IF($J111=5,$E111*$I111/12*1,IF($J111=6,$E111*$I111/12*2,IF($J111&gt;=7,$E111*$I111/12*3,0))))))</f>
        <v>0</v>
      </c>
      <c r="CV111" s="442">
        <f t="shared" ref="CV111:CV113" si="1503">IF($H111&lt;&gt;CX$5,0,IF(CX111&gt;0,IF(OR($J111=1,$J111=2,$J111=3,$J111=4,$J111=5,$J111=6,$J111=7),$E111*$I111/12*3,IF($J111=8,$E111*$I111/12*2,IF($J111=9,$E111*$I111/12*1,0)))))+IF(CS$5&lt;&gt;$H111,0,IF(CS111&gt;0,IF($J111=7,$E111*$I111/12*0,IF($J111=8,$E111*$I111/12*1,IF($J111=9,$E111*$I111/12*2,IF($J111&gt;=10,$E111*$I111/12*3,0))))))</f>
        <v>0</v>
      </c>
      <c r="CW111" s="443">
        <f t="shared" ref="CW111:CW113" si="1504">IF($H111&lt;&gt;CX$5,0,IF(CX111&gt;0,IF(OR($J111=1,$J111=2,$J111=3,$J111=4,$J111=5,$J111=6,$J111=7,$J111=8,$J111=9,$J111=10),$E111*$I111/12*3,IF($J111=11,$E111*$I111/12*2,IF($J111=12,$E111*$I111/12*1,0)))))+IF(CS$5&lt;&gt;$H111,0,IF(CS111&gt;0,IF($J111=10,$E111*$I111/12*0,IF($J111=11,$E111*$I111/12*1,IF($J111=12,$E111*$I111/12*2,0)))))</f>
        <v>0</v>
      </c>
      <c r="CX111" s="440">
        <f t="shared" ref="CX111:CX113" si="1505">IF(AND(CS111&lt;&gt;0,CS$5=$H111),$I111*$E111-CS111,IF(CX$5=$H111,$I111*$E111*(12-$J111+1)/12,0))</f>
        <v>0</v>
      </c>
      <c r="CY111" s="441">
        <f t="shared" ref="CY111:CY113" si="1506">IF($H111&lt;&gt;DC$5,0,IF(DC111&gt;0,IF($J111=1,$E111*$I111/12*3,IF($J111=2,$E111*$I111/12*2,IF($J111=3,$E111*$I111/12*1,0)))))+IF(CX$5&lt;&gt;$H111,0,IF(CX111&gt;0,IF($J111=1,$E111*$I111/12*0,IF($J111=2,$E111*$I111/12*1,IF($J111=3,$E111*$I111/12*2,IF($J111&gt;=4,$E111*$I111/12*3,0))))))</f>
        <v>0</v>
      </c>
      <c r="CZ111" s="442">
        <f t="shared" ref="CZ111:CZ113" si="1507">IF($H111&lt;&gt;DC$5,0,IF(DC111&gt;0,IF(OR($J111=1,$J111=2,$J111=3,$J111=4),$E111*$I111/12*3,IF($J111=5,$E111*$I111/12*2,IF($J111=6,$E111*$I111/12*1,0)))))+IF(CX$5&lt;&gt;$H111,0,IF(CX111&gt;0,IF($J111=4,$E111*$I111/12*0,IF($J111=5,$E111*$I111/12*1,IF($J111=6,$E111*$I111/12*2,IF($J111&gt;=7,$E111*$I111/12*3,0))))))</f>
        <v>0</v>
      </c>
      <c r="DA111" s="442">
        <f t="shared" ref="DA111:DA113" si="1508">IF($H111&lt;&gt;DC$5,0,IF(DC111&gt;0,IF(OR($J111=1,$J111=2,$J111=3,$J111=4,$J111=5,$J111=6,$J111=7),$E111*$I111/12*3,IF($J111=8,$E111*$I111/12*2,IF($J111=9,$E111*$I111/12*1,0)))))+IF(CX$5&lt;&gt;$H111,0,IF(CX111&gt;0,IF($J111=7,$E111*$I111/12*0,IF($J111=8,$E111*$I111/12*1,IF($J111=9,$E111*$I111/12*2,IF($J111&gt;=10,$E111*$I111/12*3,0))))))</f>
        <v>0</v>
      </c>
      <c r="DB111" s="443">
        <f t="shared" ref="DB111:DB113" si="1509">IF($H111&lt;&gt;DC$5,0,IF(DC111&gt;0,IF(OR($J111=1,$J111=2,$J111=3,$J111=4,$J111=5,$J111=6,$J111=7,$J111=8,$J111=9,$J111=10),$E111*$I111/12*3,IF($J111=11,$E111*$I111/12*2,IF($J111=12,$E111*$I111/12*1,0)))))+IF(CX$5&lt;&gt;$H111,0,IF(CX111&gt;0,IF($J111=10,$E111*$I111/12*0,IF($J111=11,$E111*$I111/12*1,IF($J111=12,$E111*$I111/12*2,0)))))</f>
        <v>0</v>
      </c>
      <c r="DC111" s="440">
        <f t="shared" ref="DC111:DC113" si="1510">IF(AND(CX111&lt;&gt;0,CX$5=$H111),$I111*$E111-CX111,IF(DC$5=$H111,$I111*$E111*(12-$J111+1)/12,0))</f>
        <v>0</v>
      </c>
      <c r="DD111" s="441">
        <f t="shared" ref="DD111:DD113" si="1511">IF($H111&lt;&gt;DH$5,0,IF(DH111&gt;0,IF($J111=1,$E111*$I111/12*3,IF($J111=2,$E111*$I111/12*2,IF($J111=3,$E111*$I111/12*1,0)))))+IF(DC$5&lt;&gt;$H111,0,IF(DC111&gt;0,IF($J111=1,$E111*$I111/12*0,IF($J111=2,$E111*$I111/12*1,IF($J111=3,$E111*$I111/12*2,IF($J111&gt;=4,$E111*$I111/12*3,0))))))</f>
        <v>0</v>
      </c>
      <c r="DE111" s="442">
        <f t="shared" ref="DE111:DE113" si="1512">IF($H111&lt;&gt;DH$5,0,IF(DH111&gt;0,IF(OR($J111=1,$J111=2,$J111=3,$J111=4),$E111*$I111/12*3,IF($J111=5,$E111*$I111/12*2,IF($J111=6,$E111*$I111/12*1,0)))))+IF(DC$5&lt;&gt;$H111,0,IF(DC111&gt;0,IF($J111=4,$E111*$I111/12*0,IF($J111=5,$E111*$I111/12*1,IF($J111=6,$E111*$I111/12*2,IF($J111&gt;=7,$E111*$I111/12*3,0))))))</f>
        <v>0</v>
      </c>
      <c r="DF111" s="442">
        <f t="shared" ref="DF111:DF113" si="1513">IF($H111&lt;&gt;DH$5,0,IF(DH111&gt;0,IF(OR($J111=1,$J111=2,$J111=3,$J111=4,$J111=5,$J111=6,$J111=7),$E111*$I111/12*3,IF($J111=8,$E111*$I111/12*2,IF($J111=9,$E111*$I111/12*1,0)))))+IF(DC$5&lt;&gt;$H111,0,IF(DC111&gt;0,IF($J111=7,$E111*$I111/12*0,IF($J111=8,$E111*$I111/12*1,IF($J111=9,$E111*$I111/12*2,IF($J111&gt;=10,$E111*$I111/12*3,0))))))</f>
        <v>0</v>
      </c>
      <c r="DG111" s="443">
        <f t="shared" ref="DG111:DG113" si="1514">IF($H111&lt;&gt;DH$5,0,IF(DH111&gt;0,IF(OR($J111=1,$J111=2,$J111=3,$J111=4,$J111=5,$J111=6,$J111=7,$J111=8,$J111=9,$J111=10),$E111*$I111/12*3,IF($J111=11,$E111*$I111/12*2,IF($J111=12,$E111*$I111/12*1,0)))))+IF(DC$5&lt;&gt;$H111,0,IF(DC111&gt;0,IF($J111=10,$E111*$I111/12*0,IF($J111=11,$E111*$I111/12*1,IF($J111=12,$E111*$I111/12*2,0)))))</f>
        <v>0</v>
      </c>
      <c r="DH111" s="440">
        <f t="shared" ref="DH111:DH113" si="1515">IF(AND(DC111&lt;&gt;0,DC$5=$H111),$I111*$E111-DC111,IF(DH$5=$H111,$I111*$E111*(12-$J111+1)/12,0))</f>
        <v>0</v>
      </c>
      <c r="DI111" s="441">
        <f t="shared" ref="DI111:DI113" si="1516">IF($H111&lt;&gt;DM$5,0,IF(DM111&gt;0,IF($J111=1,$E111*$I111/12*3,IF($J111=2,$E111*$I111/12*2,IF($J111=3,$E111*$I111/12*1,0)))))+IF(DH$5&lt;&gt;$H111,0,IF(DH111&gt;0,IF($J111=1,$E111*$I111/12*0,IF($J111=2,$E111*$I111/12*1,IF($J111=3,$E111*$I111/12*2,IF($J111&gt;=4,$E111*$I111/12*3,0))))))</f>
        <v>0</v>
      </c>
      <c r="DJ111" s="442">
        <f t="shared" ref="DJ111:DJ113" si="1517">IF($H111&lt;&gt;DM$5,0,IF(DM111&gt;0,IF(OR($J111=1,$J111=2,$J111=3,$J111=4),$E111*$I111/12*3,IF($J111=5,$E111*$I111/12*2,IF($J111=6,$E111*$I111/12*1,0)))))+IF(DH$5&lt;&gt;$H111,0,IF(DH111&gt;0,IF($J111=4,$E111*$I111/12*0,IF($J111=5,$E111*$I111/12*1,IF($J111=6,$E111*$I111/12*2,IF($J111&gt;=7,$E111*$I111/12*3,0))))))</f>
        <v>0</v>
      </c>
      <c r="DK111" s="442">
        <f t="shared" ref="DK111:DK113" si="1518">IF($H111&lt;&gt;DM$5,0,IF(DM111&gt;0,IF(OR($J111=1,$J111=2,$J111=3,$J111=4,$J111=5,$J111=6,$J111=7),$E111*$I111/12*3,IF($J111=8,$E111*$I111/12*2,IF($J111=9,$E111*$I111/12*1,0)))))+IF(DH$5&lt;&gt;$H111,0,IF(DH111&gt;0,IF($J111=7,$E111*$I111/12*0,IF($J111=8,$E111*$I111/12*1,IF($J111=9,$E111*$I111/12*2,IF($J111&gt;=10,$E111*$I111/12*3,0))))))</f>
        <v>0</v>
      </c>
      <c r="DL111" s="443">
        <f t="shared" ref="DL111:DL113" si="1519">IF($H111&lt;&gt;DM$5,0,IF(DM111&gt;0,IF(OR($J111=1,$J111=2,$J111=3,$J111=4,$J111=5,$J111=6,$J111=7,$J111=8,$J111=9,$J111=10),$E111*$I111/12*3,IF($J111=11,$E111*$I111/12*2,IF($J111=12,$E111*$I111/12*1,0)))))+IF(DH$5&lt;&gt;$H111,0,IF(DH111&gt;0,IF($J111=10,$E111*$I111/12*0,IF($J111=11,$E111*$I111/12*1,IF($J111=12,$E111*$I111/12*2,0)))))</f>
        <v>0</v>
      </c>
      <c r="DM111" s="440">
        <f t="shared" ref="DM111:DM113" si="1520">IF(AND(DH111&lt;&gt;0,DH$5=$H111),$I111*$E111-DH111,IF(DM$5=$H111,$I111*$E111*(12-$J111+1)/12,0))</f>
        <v>0</v>
      </c>
      <c r="DN111" s="441">
        <f t="shared" ref="DN111:DN113" si="1521">IF($H111&lt;&gt;DR$5,0,IF(DR111&gt;0,IF($J111=1,$E111*$I111/12*3,IF($J111=2,$E111*$I111/12*2,IF($J111=3,$E111*$I111/12*1,0)))))+IF(DM$5&lt;&gt;$H111,0,IF(DM111&gt;0,IF($J111=1,$E111*$I111/12*0,IF($J111=2,$E111*$I111/12*1,IF($J111=3,$E111*$I111/12*2,IF($J111&gt;=4,$E111*$I111/12*3,0))))))</f>
        <v>0</v>
      </c>
      <c r="DO111" s="442">
        <f t="shared" ref="DO111:DO113" si="1522">IF($H111&lt;&gt;DR$5,0,IF(DR111&gt;0,IF(OR($J111=1,$J111=2,$J111=3,$J111=4),$E111*$I111/12*3,IF($J111=5,$E111*$I111/12*2,IF($J111=6,$E111*$I111/12*1,0)))))+IF(DM$5&lt;&gt;$H111,0,IF(DM111&gt;0,IF($J111=4,$E111*$I111/12*0,IF($J111=5,$E111*$I111/12*1,IF($J111=6,$E111*$I111/12*2,IF($J111&gt;=7,$E111*$I111/12*3,0))))))</f>
        <v>0</v>
      </c>
      <c r="DP111" s="442">
        <f t="shared" ref="DP111:DP113" si="1523">IF($H111&lt;&gt;DR$5,0,IF(DR111&gt;0,IF(OR($J111=1,$J111=2,$J111=3,$J111=4,$J111=5,$J111=6,$J111=7),$E111*$I111/12*3,IF($J111=8,$E111*$I111/12*2,IF($J111=9,$E111*$I111/12*1,0)))))+IF(DM$5&lt;&gt;$H111,0,IF(DM111&gt;0,IF($J111=7,$E111*$I111/12*0,IF($J111=8,$E111*$I111/12*1,IF($J111=9,$E111*$I111/12*2,IF($J111&gt;=10,$E111*$I111/12*3,0))))))</f>
        <v>0</v>
      </c>
      <c r="DQ111" s="443">
        <f t="shared" ref="DQ111:DQ113" si="1524">IF($H111&lt;&gt;DR$5,0,IF(DR111&gt;0,IF(OR($J111=1,$J111=2,$J111=3,$J111=4,$J111=5,$J111=6,$J111=7,$J111=8,$J111=9,$J111=10),$E111*$I111/12*3,IF($J111=11,$E111*$I111/12*2,IF($J111=12,$E111*$I111/12*1,0)))))+IF(DM$5&lt;&gt;$H111,0,IF(DM111&gt;0,IF($J111=10,$E111*$I111/12*0,IF($J111=11,$E111*$I111/12*1,IF($J111=12,$E111*$I111/12*2,0)))))</f>
        <v>0</v>
      </c>
      <c r="DR111" s="440">
        <f t="shared" ref="DR111:DR113" si="1525">IF(AND(DM111&lt;&gt;0,DM$5=$H111),$I111*$E111-DM111,IF(DR$5=$H111,$I111*$E111*(12-$J111+1)/12,0))</f>
        <v>0</v>
      </c>
    </row>
    <row r="112" spans="1:122" ht="12.75" customHeight="1">
      <c r="A112" s="92"/>
      <c r="B112" s="92"/>
      <c r="C112" s="27" t="s">
        <v>987</v>
      </c>
      <c r="D112" s="560"/>
      <c r="E112" s="781">
        <f>Competitive!$BG$580</f>
        <v>0</v>
      </c>
      <c r="F112" s="558"/>
      <c r="G112" s="558"/>
      <c r="H112" s="662">
        <v>2019</v>
      </c>
      <c r="I112" s="652">
        <v>0.05</v>
      </c>
      <c r="J112" s="655">
        <v>7</v>
      </c>
      <c r="K112" s="528"/>
      <c r="L112" s="441">
        <f t="shared" si="1416"/>
        <v>0</v>
      </c>
      <c r="M112" s="442">
        <f t="shared" si="1417"/>
        <v>0</v>
      </c>
      <c r="N112" s="442">
        <f t="shared" si="1418"/>
        <v>0</v>
      </c>
      <c r="O112" s="443">
        <f t="shared" si="1419"/>
        <v>0</v>
      </c>
      <c r="P112" s="440">
        <f t="shared" si="1420"/>
        <v>0</v>
      </c>
      <c r="Q112" s="441">
        <f t="shared" si="1421"/>
        <v>0</v>
      </c>
      <c r="R112" s="442">
        <f t="shared" si="1422"/>
        <v>0</v>
      </c>
      <c r="S112" s="442">
        <f t="shared" si="1423"/>
        <v>0</v>
      </c>
      <c r="T112" s="443">
        <f t="shared" si="1424"/>
        <v>0</v>
      </c>
      <c r="U112" s="440">
        <f t="shared" si="1425"/>
        <v>0</v>
      </c>
      <c r="V112" s="441">
        <f t="shared" si="1426"/>
        <v>0</v>
      </c>
      <c r="W112" s="442">
        <f t="shared" si="1427"/>
        <v>0</v>
      </c>
      <c r="X112" s="442">
        <f t="shared" si="1428"/>
        <v>0</v>
      </c>
      <c r="Y112" s="443">
        <f t="shared" si="1429"/>
        <v>0</v>
      </c>
      <c r="Z112" s="440">
        <f t="shared" si="1430"/>
        <v>0</v>
      </c>
      <c r="AA112" s="441">
        <f t="shared" si="1431"/>
        <v>0</v>
      </c>
      <c r="AB112" s="442">
        <f t="shared" si="1432"/>
        <v>0</v>
      </c>
      <c r="AC112" s="442">
        <f t="shared" si="1433"/>
        <v>0</v>
      </c>
      <c r="AD112" s="443">
        <f t="shared" si="1434"/>
        <v>0</v>
      </c>
      <c r="AE112" s="440">
        <f t="shared" si="1435"/>
        <v>0</v>
      </c>
      <c r="AF112" s="441">
        <f t="shared" si="1436"/>
        <v>0</v>
      </c>
      <c r="AG112" s="442">
        <f t="shared" si="1437"/>
        <v>0</v>
      </c>
      <c r="AH112" s="442">
        <f t="shared" si="1438"/>
        <v>0</v>
      </c>
      <c r="AI112" s="443">
        <f t="shared" si="1439"/>
        <v>0</v>
      </c>
      <c r="AJ112" s="440">
        <f t="shared" si="1440"/>
        <v>0</v>
      </c>
      <c r="AK112" s="441">
        <f t="shared" si="1441"/>
        <v>0</v>
      </c>
      <c r="AL112" s="442">
        <f t="shared" si="1442"/>
        <v>0</v>
      </c>
      <c r="AM112" s="442">
        <f t="shared" si="1443"/>
        <v>0</v>
      </c>
      <c r="AN112" s="443">
        <f t="shared" si="1444"/>
        <v>0</v>
      </c>
      <c r="AO112" s="440">
        <f t="shared" si="1445"/>
        <v>0</v>
      </c>
      <c r="AP112" s="441">
        <f t="shared" si="1446"/>
        <v>0</v>
      </c>
      <c r="AQ112" s="442">
        <f t="shared" si="1447"/>
        <v>0</v>
      </c>
      <c r="AR112" s="442">
        <f t="shared" si="1448"/>
        <v>0</v>
      </c>
      <c r="AS112" s="443">
        <f t="shared" si="1449"/>
        <v>0</v>
      </c>
      <c r="AT112" s="440">
        <f t="shared" si="1450"/>
        <v>0</v>
      </c>
      <c r="AU112" s="441">
        <f t="shared" si="1451"/>
        <v>0</v>
      </c>
      <c r="AV112" s="442">
        <f t="shared" si="1452"/>
        <v>0</v>
      </c>
      <c r="AW112" s="442">
        <f t="shared" si="1453"/>
        <v>0</v>
      </c>
      <c r="AX112" s="443">
        <f t="shared" si="1454"/>
        <v>0</v>
      </c>
      <c r="AY112" s="440">
        <f t="shared" si="1455"/>
        <v>0</v>
      </c>
      <c r="AZ112" s="441">
        <f t="shared" si="1456"/>
        <v>0</v>
      </c>
      <c r="BA112" s="442">
        <f t="shared" si="1457"/>
        <v>0</v>
      </c>
      <c r="BB112" s="442">
        <f t="shared" si="1458"/>
        <v>0</v>
      </c>
      <c r="BC112" s="443">
        <f t="shared" si="1459"/>
        <v>0</v>
      </c>
      <c r="BD112" s="440">
        <f t="shared" si="1460"/>
        <v>0</v>
      </c>
      <c r="BE112" s="441">
        <f t="shared" si="1461"/>
        <v>0</v>
      </c>
      <c r="BF112" s="442">
        <f t="shared" si="1462"/>
        <v>0</v>
      </c>
      <c r="BG112" s="442">
        <f t="shared" si="1463"/>
        <v>0</v>
      </c>
      <c r="BH112" s="443">
        <f t="shared" si="1464"/>
        <v>0</v>
      </c>
      <c r="BI112" s="440">
        <f t="shared" si="1465"/>
        <v>0</v>
      </c>
      <c r="BJ112" s="441">
        <f t="shared" si="1466"/>
        <v>0</v>
      </c>
      <c r="BK112" s="442">
        <f t="shared" si="1467"/>
        <v>0</v>
      </c>
      <c r="BL112" s="442">
        <f t="shared" si="1468"/>
        <v>0</v>
      </c>
      <c r="BM112" s="443">
        <f t="shared" si="1469"/>
        <v>0</v>
      </c>
      <c r="BN112" s="440">
        <f t="shared" si="1470"/>
        <v>0</v>
      </c>
      <c r="BO112" s="463"/>
      <c r="BP112" s="441">
        <f t="shared" si="1471"/>
        <v>0</v>
      </c>
      <c r="BQ112" s="442">
        <f t="shared" si="1472"/>
        <v>0</v>
      </c>
      <c r="BR112" s="442">
        <f t="shared" si="1473"/>
        <v>0</v>
      </c>
      <c r="BS112" s="443">
        <f t="shared" si="1474"/>
        <v>0</v>
      </c>
      <c r="BT112" s="440">
        <f t="shared" si="1475"/>
        <v>0</v>
      </c>
      <c r="BU112" s="441">
        <f t="shared" si="1476"/>
        <v>0</v>
      </c>
      <c r="BV112" s="442">
        <f t="shared" si="1477"/>
        <v>0</v>
      </c>
      <c r="BW112" s="442">
        <f t="shared" si="1478"/>
        <v>0</v>
      </c>
      <c r="BX112" s="443">
        <f t="shared" si="1479"/>
        <v>0</v>
      </c>
      <c r="BY112" s="440">
        <f t="shared" si="1480"/>
        <v>0</v>
      </c>
      <c r="BZ112" s="441">
        <f t="shared" si="1481"/>
        <v>0</v>
      </c>
      <c r="CA112" s="442">
        <f t="shared" si="1482"/>
        <v>0</v>
      </c>
      <c r="CB112" s="442">
        <f t="shared" si="1483"/>
        <v>0</v>
      </c>
      <c r="CC112" s="443">
        <f t="shared" si="1484"/>
        <v>0</v>
      </c>
      <c r="CD112" s="440">
        <f t="shared" si="1485"/>
        <v>0</v>
      </c>
      <c r="CE112" s="441">
        <f t="shared" si="1486"/>
        <v>0</v>
      </c>
      <c r="CF112" s="442">
        <f t="shared" si="1487"/>
        <v>0</v>
      </c>
      <c r="CG112" s="442">
        <f t="shared" si="1488"/>
        <v>0</v>
      </c>
      <c r="CH112" s="443">
        <f t="shared" si="1489"/>
        <v>0</v>
      </c>
      <c r="CI112" s="440">
        <f t="shared" si="1490"/>
        <v>0</v>
      </c>
      <c r="CJ112" s="441">
        <f t="shared" si="1491"/>
        <v>0</v>
      </c>
      <c r="CK112" s="442">
        <f t="shared" si="1492"/>
        <v>0</v>
      </c>
      <c r="CL112" s="442">
        <f t="shared" si="1493"/>
        <v>0</v>
      </c>
      <c r="CM112" s="443">
        <f t="shared" si="1494"/>
        <v>0</v>
      </c>
      <c r="CN112" s="440">
        <f t="shared" si="1495"/>
        <v>0</v>
      </c>
      <c r="CO112" s="441">
        <f t="shared" si="1496"/>
        <v>0</v>
      </c>
      <c r="CP112" s="442">
        <f t="shared" si="1497"/>
        <v>0</v>
      </c>
      <c r="CQ112" s="442">
        <f t="shared" si="1498"/>
        <v>0</v>
      </c>
      <c r="CR112" s="443">
        <f t="shared" si="1499"/>
        <v>0</v>
      </c>
      <c r="CS112" s="440">
        <f t="shared" si="1500"/>
        <v>0</v>
      </c>
      <c r="CT112" s="441">
        <f t="shared" si="1501"/>
        <v>0</v>
      </c>
      <c r="CU112" s="442">
        <f t="shared" si="1502"/>
        <v>0</v>
      </c>
      <c r="CV112" s="442">
        <f t="shared" si="1503"/>
        <v>0</v>
      </c>
      <c r="CW112" s="443">
        <f t="shared" si="1504"/>
        <v>0</v>
      </c>
      <c r="CX112" s="440">
        <f t="shared" si="1505"/>
        <v>0</v>
      </c>
      <c r="CY112" s="441">
        <f t="shared" si="1506"/>
        <v>0</v>
      </c>
      <c r="CZ112" s="442">
        <f t="shared" si="1507"/>
        <v>0</v>
      </c>
      <c r="DA112" s="442">
        <f t="shared" si="1508"/>
        <v>0</v>
      </c>
      <c r="DB112" s="443">
        <f t="shared" si="1509"/>
        <v>0</v>
      </c>
      <c r="DC112" s="440">
        <f t="shared" si="1510"/>
        <v>0</v>
      </c>
      <c r="DD112" s="441">
        <f t="shared" si="1511"/>
        <v>0</v>
      </c>
      <c r="DE112" s="442">
        <f t="shared" si="1512"/>
        <v>0</v>
      </c>
      <c r="DF112" s="442">
        <f t="shared" si="1513"/>
        <v>0</v>
      </c>
      <c r="DG112" s="443">
        <f t="shared" si="1514"/>
        <v>0</v>
      </c>
      <c r="DH112" s="440">
        <f t="shared" si="1515"/>
        <v>0</v>
      </c>
      <c r="DI112" s="441">
        <f t="shared" si="1516"/>
        <v>0</v>
      </c>
      <c r="DJ112" s="442">
        <f t="shared" si="1517"/>
        <v>0</v>
      </c>
      <c r="DK112" s="442">
        <f t="shared" si="1518"/>
        <v>0</v>
      </c>
      <c r="DL112" s="443">
        <f t="shared" si="1519"/>
        <v>0</v>
      </c>
      <c r="DM112" s="440">
        <f t="shared" si="1520"/>
        <v>0</v>
      </c>
      <c r="DN112" s="441">
        <f t="shared" si="1521"/>
        <v>0</v>
      </c>
      <c r="DO112" s="442">
        <f t="shared" si="1522"/>
        <v>0</v>
      </c>
      <c r="DP112" s="442">
        <f t="shared" si="1523"/>
        <v>0</v>
      </c>
      <c r="DQ112" s="443">
        <f t="shared" si="1524"/>
        <v>0</v>
      </c>
      <c r="DR112" s="440">
        <f t="shared" si="1525"/>
        <v>0</v>
      </c>
    </row>
    <row r="113" spans="1:122" ht="12.75" customHeight="1">
      <c r="A113" s="92"/>
      <c r="B113" s="92"/>
      <c r="C113" s="27" t="s">
        <v>988</v>
      </c>
      <c r="D113" s="560"/>
      <c r="E113" s="781">
        <f>Competitive!$BL$580</f>
        <v>250</v>
      </c>
      <c r="F113" s="558"/>
      <c r="G113" s="558"/>
      <c r="H113" s="662">
        <v>2020</v>
      </c>
      <c r="I113" s="652">
        <v>0.05</v>
      </c>
      <c r="J113" s="655">
        <v>7</v>
      </c>
      <c r="K113" s="528"/>
      <c r="L113" s="441">
        <f t="shared" si="1416"/>
        <v>0</v>
      </c>
      <c r="M113" s="442">
        <f t="shared" si="1417"/>
        <v>0</v>
      </c>
      <c r="N113" s="442">
        <f t="shared" si="1418"/>
        <v>0</v>
      </c>
      <c r="O113" s="443">
        <f t="shared" si="1419"/>
        <v>0</v>
      </c>
      <c r="P113" s="440">
        <f t="shared" si="1420"/>
        <v>0</v>
      </c>
      <c r="Q113" s="441">
        <f t="shared" si="1421"/>
        <v>0</v>
      </c>
      <c r="R113" s="442">
        <f t="shared" si="1422"/>
        <v>0</v>
      </c>
      <c r="S113" s="442">
        <f t="shared" si="1423"/>
        <v>0</v>
      </c>
      <c r="T113" s="443">
        <f t="shared" si="1424"/>
        <v>0</v>
      </c>
      <c r="U113" s="440">
        <f t="shared" si="1425"/>
        <v>0</v>
      </c>
      <c r="V113" s="441">
        <f t="shared" si="1426"/>
        <v>0</v>
      </c>
      <c r="W113" s="442">
        <f t="shared" si="1427"/>
        <v>0</v>
      </c>
      <c r="X113" s="442">
        <f t="shared" si="1428"/>
        <v>0</v>
      </c>
      <c r="Y113" s="443">
        <f t="shared" si="1429"/>
        <v>0</v>
      </c>
      <c r="Z113" s="440">
        <f t="shared" si="1430"/>
        <v>0</v>
      </c>
      <c r="AA113" s="441">
        <f t="shared" si="1431"/>
        <v>0</v>
      </c>
      <c r="AB113" s="442">
        <f t="shared" si="1432"/>
        <v>0</v>
      </c>
      <c r="AC113" s="442">
        <f t="shared" si="1433"/>
        <v>0</v>
      </c>
      <c r="AD113" s="443">
        <f t="shared" si="1434"/>
        <v>0</v>
      </c>
      <c r="AE113" s="440">
        <f t="shared" si="1435"/>
        <v>0</v>
      </c>
      <c r="AF113" s="441">
        <f t="shared" si="1436"/>
        <v>0</v>
      </c>
      <c r="AG113" s="442">
        <f t="shared" si="1437"/>
        <v>0</v>
      </c>
      <c r="AH113" s="442">
        <f t="shared" si="1438"/>
        <v>0</v>
      </c>
      <c r="AI113" s="443">
        <f t="shared" si="1439"/>
        <v>0</v>
      </c>
      <c r="AJ113" s="440">
        <f t="shared" si="1440"/>
        <v>0</v>
      </c>
      <c r="AK113" s="441">
        <f t="shared" si="1441"/>
        <v>0</v>
      </c>
      <c r="AL113" s="442">
        <f t="shared" si="1442"/>
        <v>0</v>
      </c>
      <c r="AM113" s="442">
        <f t="shared" si="1443"/>
        <v>0</v>
      </c>
      <c r="AN113" s="443">
        <f t="shared" si="1444"/>
        <v>0</v>
      </c>
      <c r="AO113" s="440">
        <f t="shared" si="1445"/>
        <v>0</v>
      </c>
      <c r="AP113" s="441">
        <f t="shared" si="1446"/>
        <v>0</v>
      </c>
      <c r="AQ113" s="442">
        <f t="shared" si="1447"/>
        <v>0</v>
      </c>
      <c r="AR113" s="442">
        <f t="shared" si="1448"/>
        <v>0</v>
      </c>
      <c r="AS113" s="443">
        <f t="shared" si="1449"/>
        <v>0</v>
      </c>
      <c r="AT113" s="440">
        <f t="shared" si="1450"/>
        <v>0</v>
      </c>
      <c r="AU113" s="441">
        <f t="shared" si="1451"/>
        <v>0</v>
      </c>
      <c r="AV113" s="442">
        <f t="shared" si="1452"/>
        <v>0</v>
      </c>
      <c r="AW113" s="442">
        <f t="shared" si="1453"/>
        <v>0</v>
      </c>
      <c r="AX113" s="443">
        <f t="shared" si="1454"/>
        <v>0</v>
      </c>
      <c r="AY113" s="440">
        <f t="shared" si="1455"/>
        <v>0</v>
      </c>
      <c r="AZ113" s="441">
        <f t="shared" si="1456"/>
        <v>0</v>
      </c>
      <c r="BA113" s="442">
        <f t="shared" si="1457"/>
        <v>0</v>
      </c>
      <c r="BB113" s="442">
        <f t="shared" si="1458"/>
        <v>0</v>
      </c>
      <c r="BC113" s="443">
        <f t="shared" si="1459"/>
        <v>0</v>
      </c>
      <c r="BD113" s="440">
        <f t="shared" si="1460"/>
        <v>0</v>
      </c>
      <c r="BE113" s="441">
        <f t="shared" si="1461"/>
        <v>0</v>
      </c>
      <c r="BF113" s="442">
        <f t="shared" si="1462"/>
        <v>0</v>
      </c>
      <c r="BG113" s="442">
        <f t="shared" si="1463"/>
        <v>250</v>
      </c>
      <c r="BH113" s="443">
        <f t="shared" si="1464"/>
        <v>0</v>
      </c>
      <c r="BI113" s="440">
        <f t="shared" si="1465"/>
        <v>250</v>
      </c>
      <c r="BJ113" s="441">
        <f t="shared" si="1466"/>
        <v>0</v>
      </c>
      <c r="BK113" s="442">
        <f t="shared" si="1467"/>
        <v>0</v>
      </c>
      <c r="BL113" s="442">
        <f t="shared" si="1468"/>
        <v>0</v>
      </c>
      <c r="BM113" s="443">
        <f t="shared" si="1469"/>
        <v>0</v>
      </c>
      <c r="BN113" s="440">
        <f t="shared" si="1470"/>
        <v>0</v>
      </c>
      <c r="BO113" s="463"/>
      <c r="BP113" s="441">
        <f t="shared" si="1471"/>
        <v>0</v>
      </c>
      <c r="BQ113" s="442">
        <f t="shared" si="1472"/>
        <v>0</v>
      </c>
      <c r="BR113" s="442">
        <f t="shared" si="1473"/>
        <v>0</v>
      </c>
      <c r="BS113" s="443">
        <f t="shared" si="1474"/>
        <v>0</v>
      </c>
      <c r="BT113" s="440">
        <f t="shared" si="1475"/>
        <v>0</v>
      </c>
      <c r="BU113" s="441">
        <f t="shared" si="1476"/>
        <v>0</v>
      </c>
      <c r="BV113" s="442">
        <f t="shared" si="1477"/>
        <v>0</v>
      </c>
      <c r="BW113" s="442">
        <f t="shared" si="1478"/>
        <v>0</v>
      </c>
      <c r="BX113" s="443">
        <f t="shared" si="1479"/>
        <v>0</v>
      </c>
      <c r="BY113" s="440">
        <f t="shared" si="1480"/>
        <v>0</v>
      </c>
      <c r="BZ113" s="441">
        <f t="shared" si="1481"/>
        <v>0</v>
      </c>
      <c r="CA113" s="442">
        <f t="shared" si="1482"/>
        <v>0</v>
      </c>
      <c r="CB113" s="442">
        <f t="shared" si="1483"/>
        <v>0</v>
      </c>
      <c r="CC113" s="443">
        <f t="shared" si="1484"/>
        <v>0</v>
      </c>
      <c r="CD113" s="440">
        <f t="shared" si="1485"/>
        <v>0</v>
      </c>
      <c r="CE113" s="441">
        <f t="shared" si="1486"/>
        <v>0</v>
      </c>
      <c r="CF113" s="442">
        <f t="shared" si="1487"/>
        <v>0</v>
      </c>
      <c r="CG113" s="442">
        <f t="shared" si="1488"/>
        <v>0</v>
      </c>
      <c r="CH113" s="443">
        <f t="shared" si="1489"/>
        <v>0</v>
      </c>
      <c r="CI113" s="440">
        <f t="shared" si="1490"/>
        <v>0</v>
      </c>
      <c r="CJ113" s="441">
        <f t="shared" si="1491"/>
        <v>0</v>
      </c>
      <c r="CK113" s="442">
        <f t="shared" si="1492"/>
        <v>0</v>
      </c>
      <c r="CL113" s="442">
        <f t="shared" si="1493"/>
        <v>0</v>
      </c>
      <c r="CM113" s="443">
        <f t="shared" si="1494"/>
        <v>0</v>
      </c>
      <c r="CN113" s="440">
        <f t="shared" si="1495"/>
        <v>0</v>
      </c>
      <c r="CO113" s="441">
        <f t="shared" si="1496"/>
        <v>0</v>
      </c>
      <c r="CP113" s="442">
        <f t="shared" si="1497"/>
        <v>0</v>
      </c>
      <c r="CQ113" s="442">
        <f t="shared" si="1498"/>
        <v>0</v>
      </c>
      <c r="CR113" s="443">
        <f t="shared" si="1499"/>
        <v>0</v>
      </c>
      <c r="CS113" s="440">
        <f t="shared" si="1500"/>
        <v>0</v>
      </c>
      <c r="CT113" s="441">
        <f t="shared" si="1501"/>
        <v>0</v>
      </c>
      <c r="CU113" s="442">
        <f t="shared" si="1502"/>
        <v>0</v>
      </c>
      <c r="CV113" s="442">
        <f t="shared" si="1503"/>
        <v>0</v>
      </c>
      <c r="CW113" s="443">
        <f t="shared" si="1504"/>
        <v>0</v>
      </c>
      <c r="CX113" s="440">
        <f t="shared" si="1505"/>
        <v>0</v>
      </c>
      <c r="CY113" s="441">
        <f t="shared" si="1506"/>
        <v>0</v>
      </c>
      <c r="CZ113" s="442">
        <f t="shared" si="1507"/>
        <v>0</v>
      </c>
      <c r="DA113" s="442">
        <f t="shared" si="1508"/>
        <v>0</v>
      </c>
      <c r="DB113" s="443">
        <f t="shared" si="1509"/>
        <v>0</v>
      </c>
      <c r="DC113" s="440">
        <f t="shared" si="1510"/>
        <v>0</v>
      </c>
      <c r="DD113" s="441">
        <f t="shared" si="1511"/>
        <v>0</v>
      </c>
      <c r="DE113" s="442">
        <f t="shared" si="1512"/>
        <v>0</v>
      </c>
      <c r="DF113" s="442">
        <f t="shared" si="1513"/>
        <v>0</v>
      </c>
      <c r="DG113" s="443">
        <f t="shared" si="1514"/>
        <v>0</v>
      </c>
      <c r="DH113" s="440">
        <f t="shared" si="1515"/>
        <v>0</v>
      </c>
      <c r="DI113" s="441">
        <f t="shared" si="1516"/>
        <v>0</v>
      </c>
      <c r="DJ113" s="442">
        <f t="shared" si="1517"/>
        <v>0</v>
      </c>
      <c r="DK113" s="442">
        <f t="shared" si="1518"/>
        <v>3.125</v>
      </c>
      <c r="DL113" s="443">
        <f t="shared" si="1519"/>
        <v>3.125</v>
      </c>
      <c r="DM113" s="440">
        <f t="shared" si="1520"/>
        <v>6.25</v>
      </c>
      <c r="DN113" s="441">
        <f t="shared" si="1521"/>
        <v>3.125</v>
      </c>
      <c r="DO113" s="442">
        <f t="shared" si="1522"/>
        <v>3.125</v>
      </c>
      <c r="DP113" s="442">
        <f t="shared" si="1523"/>
        <v>0</v>
      </c>
      <c r="DQ113" s="443">
        <f t="shared" si="1524"/>
        <v>0</v>
      </c>
      <c r="DR113" s="440">
        <f t="shared" si="1525"/>
        <v>6.25</v>
      </c>
    </row>
    <row r="114" spans="1:122" ht="12.75" customHeight="1">
      <c r="A114" s="92"/>
      <c r="B114" s="92"/>
      <c r="C114" s="27" t="s">
        <v>1145</v>
      </c>
      <c r="D114" s="560"/>
      <c r="E114" s="781">
        <f>Competitive!$BQ$580</f>
        <v>500</v>
      </c>
      <c r="F114" s="558"/>
      <c r="G114" s="558"/>
      <c r="H114" s="662">
        <v>2021</v>
      </c>
      <c r="I114" s="652">
        <v>0.05</v>
      </c>
      <c r="J114" s="655">
        <v>7</v>
      </c>
      <c r="K114" s="528"/>
      <c r="L114" s="441">
        <f t="shared" ref="L114" si="1526">IF(P114=0,0,IF(P114&gt;0,IF($J114=3,P114,IF($J114=2,P114,IF($J114=1,P114,0)))))</f>
        <v>0</v>
      </c>
      <c r="M114" s="442">
        <f t="shared" ref="M114" si="1527">IF(P114=0,0,IF(P114&gt;0,IF($J114=6,P114,IF($J114=5,P114,IF($J114=4,P114,0)))))</f>
        <v>0</v>
      </c>
      <c r="N114" s="442">
        <f t="shared" ref="N114" si="1528">IF(P114=0,0,IF(P114&gt;0,IF($J114=9,P114,IF($J114=8,P114,IF($J114=7,P114,0)))))</f>
        <v>0</v>
      </c>
      <c r="O114" s="443">
        <f t="shared" ref="O114" si="1529">IF(P114=0,0,IF(P114&gt;0,IF($J114=12,P114,IF($J114=11,P114,IF($J114=10,P114,0)))))</f>
        <v>0</v>
      </c>
      <c r="P114" s="440">
        <f t="shared" si="1420"/>
        <v>0</v>
      </c>
      <c r="Q114" s="441">
        <f t="shared" ref="Q114" si="1530">IF(U114=0,0,IF(U114&gt;0,IF($J114=3,U114,IF($J114=2,U114,IF($J114=1,U114,0)))))</f>
        <v>0</v>
      </c>
      <c r="R114" s="442">
        <f t="shared" ref="R114" si="1531">IF(U114=0,0,IF(U114&gt;0,IF($J114=6,U114,IF($J114=5,U114,IF($J114=4,U114,0)))))</f>
        <v>0</v>
      </c>
      <c r="S114" s="442">
        <f t="shared" ref="S114" si="1532">IF(U114=0,0,IF(U114&gt;0,IF($J114=9,U114,IF($J114=8,U114,IF($J114=7,U114,0)))))</f>
        <v>0</v>
      </c>
      <c r="T114" s="443">
        <f t="shared" ref="T114" si="1533">IF(U114=0,0,IF(U114&gt;0,IF($J114=12,U114,IF($J114=11,U114,IF($J114=10,U114,0)))))</f>
        <v>0</v>
      </c>
      <c r="U114" s="440">
        <f t="shared" si="1425"/>
        <v>0</v>
      </c>
      <c r="V114" s="441">
        <f t="shared" ref="V114" si="1534">IF(Z114=0,0,IF(Z114&gt;0,IF($J114=3,Z114,IF($J114=2,Z114,IF($J114=1,Z114,0)))))</f>
        <v>0</v>
      </c>
      <c r="W114" s="442">
        <f t="shared" ref="W114" si="1535">IF(Z114=0,0,IF(Z114&gt;0,IF($J114=6,Z114,IF($J114=5,Z114,IF($J114=4,Z114,0)))))</f>
        <v>0</v>
      </c>
      <c r="X114" s="442">
        <f t="shared" ref="X114" si="1536">IF(Z114=0,0,IF(Z114&gt;0,IF($J114=9,Z114,IF($J114=8,Z114,IF($J114=7,Z114,0)))))</f>
        <v>0</v>
      </c>
      <c r="Y114" s="443">
        <f t="shared" ref="Y114" si="1537">IF(Z114=0,0,IF(Z114&gt;0,IF($J114=12,Z114,IF($J114=11,Z114,IF($J114=10,Z114,0)))))</f>
        <v>0</v>
      </c>
      <c r="Z114" s="440">
        <f t="shared" si="1430"/>
        <v>0</v>
      </c>
      <c r="AA114" s="441">
        <f t="shared" ref="AA114" si="1538">IF(AE114=0,0,IF(AE114&gt;0,IF($J114=3,AE114,IF($J114=2,AE114,IF($J114=1,AE114,0)))))</f>
        <v>0</v>
      </c>
      <c r="AB114" s="442">
        <f t="shared" ref="AB114" si="1539">IF(AE114=0,0,IF(AE114&gt;0,IF($J114=6,AE114,IF($J114=5,AE114,IF($J114=4,AE114,0)))))</f>
        <v>0</v>
      </c>
      <c r="AC114" s="442">
        <f t="shared" ref="AC114" si="1540">IF(AE114=0,0,IF(AE114&gt;0,IF($J114=9,AE114,IF($J114=8,AE114,IF($J114=7,AE114,0)))))</f>
        <v>0</v>
      </c>
      <c r="AD114" s="443">
        <f t="shared" ref="AD114" si="1541">IF(AE114=0,0,IF(AE114&gt;0,IF($J114=12,AE114,IF($J114=11,AE114,IF($J114=10,AE114,0)))))</f>
        <v>0</v>
      </c>
      <c r="AE114" s="440">
        <f t="shared" si="1435"/>
        <v>0</v>
      </c>
      <c r="AF114" s="441">
        <f t="shared" ref="AF114" si="1542">IF(AJ114=0,0,IF(AJ114&gt;0,IF($J114=3,AJ114,IF($J114=2,AJ114,IF($J114=1,AJ114,0)))))</f>
        <v>0</v>
      </c>
      <c r="AG114" s="442">
        <f t="shared" ref="AG114" si="1543">IF(AJ114=0,0,IF(AJ114&gt;0,IF($J114=6,AJ114,IF($J114=5,AJ114,IF($J114=4,AJ114,0)))))</f>
        <v>0</v>
      </c>
      <c r="AH114" s="442">
        <f t="shared" ref="AH114" si="1544">IF(AJ114=0,0,IF(AJ114&gt;0,IF($J114=9,AJ114,IF($J114=8,AJ114,IF($J114=7,AJ114,0)))))</f>
        <v>0</v>
      </c>
      <c r="AI114" s="443">
        <f t="shared" ref="AI114" si="1545">IF(AJ114=0,0,IF(AJ114&gt;0,IF($J114=12,AJ114,IF($J114=11,AJ114,IF($J114=10,AJ114,0)))))</f>
        <v>0</v>
      </c>
      <c r="AJ114" s="440">
        <f t="shared" si="1440"/>
        <v>0</v>
      </c>
      <c r="AK114" s="441">
        <f t="shared" ref="AK114" si="1546">IF(AO114=0,0,IF(AO114&gt;0,IF($J114=3,AO114,IF($J114=2,AO114,IF($J114=1,AO114,0)))))</f>
        <v>0</v>
      </c>
      <c r="AL114" s="442">
        <f t="shared" ref="AL114" si="1547">IF(AO114=0,0,IF(AO114&gt;0,IF($J114=6,AO114,IF($J114=5,AO114,IF($J114=4,AO114,0)))))</f>
        <v>0</v>
      </c>
      <c r="AM114" s="442">
        <f t="shared" ref="AM114" si="1548">IF(AO114=0,0,IF(AO114&gt;0,IF($J114=9,AO114,IF($J114=8,AO114,IF($J114=7,AO114,0)))))</f>
        <v>0</v>
      </c>
      <c r="AN114" s="443">
        <f t="shared" ref="AN114" si="1549">IF(AO114=0,0,IF(AO114&gt;0,IF($J114=12,AO114,IF($J114=11,AO114,IF($J114=10,AO114,0)))))</f>
        <v>0</v>
      </c>
      <c r="AO114" s="440">
        <f t="shared" si="1445"/>
        <v>0</v>
      </c>
      <c r="AP114" s="441">
        <f t="shared" ref="AP114" si="1550">IF(AT114=0,0,IF(AT114&gt;0,IF($J114=3,AT114,IF($J114=2,AT114,IF($J114=1,AT114,0)))))</f>
        <v>0</v>
      </c>
      <c r="AQ114" s="442">
        <f t="shared" ref="AQ114" si="1551">IF(AT114=0,0,IF(AT114&gt;0,IF($J114=6,AT114,IF($J114=5,AT114,IF($J114=4,AT114,0)))))</f>
        <v>0</v>
      </c>
      <c r="AR114" s="442">
        <f t="shared" ref="AR114" si="1552">IF(AT114=0,0,IF(AT114&gt;0,IF($J114=9,AT114,IF($J114=8,AT114,IF($J114=7,AT114,0)))))</f>
        <v>0</v>
      </c>
      <c r="AS114" s="443">
        <f t="shared" ref="AS114" si="1553">IF(AT114=0,0,IF(AT114&gt;0,IF($J114=12,AT114,IF($J114=11,AT114,IF($J114=10,AT114,0)))))</f>
        <v>0</v>
      </c>
      <c r="AT114" s="440">
        <f t="shared" si="1450"/>
        <v>0</v>
      </c>
      <c r="AU114" s="441">
        <f t="shared" ref="AU114" si="1554">IF(AY114=0,0,IF(AY114&gt;0,IF($J114=3,AY114,IF($J114=2,AY114,IF($J114=1,AY114,0)))))</f>
        <v>0</v>
      </c>
      <c r="AV114" s="442">
        <f t="shared" ref="AV114" si="1555">IF(AY114=0,0,IF(AY114&gt;0,IF($J114=6,AY114,IF($J114=5,AY114,IF($J114=4,AY114,0)))))</f>
        <v>0</v>
      </c>
      <c r="AW114" s="442">
        <f t="shared" ref="AW114" si="1556">IF(AY114=0,0,IF(AY114&gt;0,IF($J114=9,AY114,IF($J114=8,AY114,IF($J114=7,AY114,0)))))</f>
        <v>0</v>
      </c>
      <c r="AX114" s="443">
        <f t="shared" ref="AX114" si="1557">IF(AY114=0,0,IF(AY114&gt;0,IF($J114=12,AY114,IF($J114=11,AY114,IF($J114=10,AY114,0)))))</f>
        <v>0</v>
      </c>
      <c r="AY114" s="440">
        <f t="shared" si="1455"/>
        <v>0</v>
      </c>
      <c r="AZ114" s="441">
        <f t="shared" ref="AZ114" si="1558">IF(BD114=0,0,IF(BD114&gt;0,IF($J114=3,BD114,IF($J114=2,BD114,IF($J114=1,BD114,0)))))</f>
        <v>0</v>
      </c>
      <c r="BA114" s="442">
        <f t="shared" ref="BA114" si="1559">IF(BD114=0,0,IF(BD114&gt;0,IF($J114=6,BD114,IF($J114=5,BD114,IF($J114=4,BD114,0)))))</f>
        <v>0</v>
      </c>
      <c r="BB114" s="442">
        <f t="shared" ref="BB114" si="1560">IF(BD114=0,0,IF(BD114&gt;0,IF($J114=9,BD114,IF($J114=8,BD114,IF($J114=7,BD114,0)))))</f>
        <v>0</v>
      </c>
      <c r="BC114" s="443">
        <f t="shared" ref="BC114" si="1561">IF(BD114=0,0,IF(BD114&gt;0,IF($J114=12,BD114,IF($J114=11,BD114,IF($J114=10,BD114,0)))))</f>
        <v>0</v>
      </c>
      <c r="BD114" s="440">
        <f t="shared" si="1460"/>
        <v>0</v>
      </c>
      <c r="BE114" s="441">
        <f t="shared" ref="BE114" si="1562">IF(BI114=0,0,IF(BI114&gt;0,IF($J114=3,BI114,IF($J114=2,BI114,IF($J114=1,BI114,0)))))</f>
        <v>0</v>
      </c>
      <c r="BF114" s="442">
        <f t="shared" ref="BF114" si="1563">IF(BI114=0,0,IF(BI114&gt;0,IF($J114=6,BI114,IF($J114=5,BI114,IF($J114=4,BI114,0)))))</f>
        <v>0</v>
      </c>
      <c r="BG114" s="442">
        <f t="shared" ref="BG114" si="1564">IF(BI114=0,0,IF(BI114&gt;0,IF($J114=9,BI114,IF($J114=8,BI114,IF($J114=7,BI114,0)))))</f>
        <v>0</v>
      </c>
      <c r="BH114" s="443">
        <f t="shared" ref="BH114" si="1565">IF(BI114=0,0,IF(BI114&gt;0,IF($J114=12,BI114,IF($J114=11,BI114,IF($J114=10,BI114,0)))))</f>
        <v>0</v>
      </c>
      <c r="BI114" s="440">
        <f t="shared" si="1465"/>
        <v>0</v>
      </c>
      <c r="BJ114" s="441">
        <f t="shared" ref="BJ114" si="1566">IF(BN114=0,0,IF(BN114&gt;0,IF($J114=3,BN114,IF($J114=2,BN114,IF($J114=1,BN114,0)))))</f>
        <v>0</v>
      </c>
      <c r="BK114" s="442">
        <f t="shared" ref="BK114" si="1567">IF(BN114=0,0,IF(BN114&gt;0,IF($J114=6,BN114,IF($J114=5,BN114,IF($J114=4,BN114,0)))))</f>
        <v>0</v>
      </c>
      <c r="BL114" s="442">
        <f t="shared" ref="BL114" si="1568">IF(BN114=0,0,IF(BN114&gt;0,IF($J114=9,BN114,IF($J114=8,BN114,IF($J114=7,BN114,0)))))</f>
        <v>500</v>
      </c>
      <c r="BM114" s="443">
        <f t="shared" ref="BM114" si="1569">IF(BN114=0,0,IF(BN114&gt;0,IF($J114=12,BN114,IF($J114=11,BN114,IF($J114=10,BN114,0)))))</f>
        <v>0</v>
      </c>
      <c r="BN114" s="440">
        <f t="shared" si="1470"/>
        <v>500</v>
      </c>
      <c r="BO114" s="463"/>
      <c r="BP114" s="441">
        <f t="shared" ref="BP114" si="1570">IF($H114&lt;&gt;BT$5,0,IF(BT114&gt;0,IF($J114=1,$E114*$I114/12*3,IF($J114=2,$E114*$I114/12*2,IF($J114=3,$E114*$I114/12*1,0)))))+IF(BO$5&lt;&gt;$H114,0,IF(BO114&gt;0,IF($J114=1,$E114*$I114/12*0,IF($J114=2,$E114*$I114/12*1,IF($J114=3,$E114*$I114/12*2,IF($J114&gt;=4,$E114*$I114/12*3,0))))))</f>
        <v>0</v>
      </c>
      <c r="BQ114" s="442">
        <f t="shared" ref="BQ114" si="1571">IF($H114&lt;&gt;BT$5,0,IF(BT114&gt;0,IF(OR($J114=1,$J114=2,$J114=3,$J114=4),$E114*$I114/12*3,IF($J114=5,$E114*$I114/12*2,IF($J114=6,$E114*$I114/12*1,0)))))+IF(BO$5&lt;&gt;$H114,0,IF(BO114&gt;0,IF($J114=4,$E114*$I114/12*0,IF($J114=5,$E114*$I114/12*1,IF($J114=6,$E114*$I114/12*2,IF($J114&gt;=7,$E114*$I114/12*3,0))))))</f>
        <v>0</v>
      </c>
      <c r="BR114" s="442">
        <f t="shared" ref="BR114" si="1572">IF($H114&lt;&gt;BT$5,0,IF(BT114&gt;0,IF(OR($J114=1,$J114=2,$J114=3,$J114=4,$J114=5,$J114=6,$J114=7),$E114*$I114/12*3,IF($J114=8,$E114*$I114/12*2,IF($J114=9,$E114*$I114/12*1,0)))))+IF(BO$5&lt;&gt;$H114,0,IF(BO114&gt;0,IF($J114=7,$E114*$I114/12*0,IF($J114=8,$E114*$I114/12*1,IF($J114=9,$E114*$I114/12*2,IF($J114&gt;=10,$E114*$I114/12*3,0))))))</f>
        <v>0</v>
      </c>
      <c r="BS114" s="443">
        <f t="shared" ref="BS114" si="1573">IF($H114&lt;&gt;BT$5,0,IF(BT114&gt;0,IF(OR($J114=1,$J114=2,$J114=3,$J114=4,$J114=5,$J114=6,$J114=7,$J114=8,$J114=9,$J114=10),$E114*$I114/12*3,IF($J114=11,$E114*$I114/12*2,IF($J114=12,$E114*$I114/12*1,0)))))+IF(BO$5&lt;&gt;$H114,0,IF(BO114&gt;0,IF($J114=10,$E114*$I114/12*0,IF($J114=11,$E114*$I114/12*1,IF($J114=12,$E114*$I114/12*2,0)))))</f>
        <v>0</v>
      </c>
      <c r="BT114" s="440">
        <f t="shared" ref="BT114" si="1574">IF(AND(BO114&lt;&gt;0,BO$5=$H114),$I114*$E114-BO114,IF(BT$5=$H114,$I114*$E114*(12-$J114+1)/12,0))</f>
        <v>0</v>
      </c>
      <c r="BU114" s="441">
        <f t="shared" ref="BU114" si="1575">IF($H114&lt;&gt;BY$5,0,IF(BY114&gt;0,IF($J114=1,$E114*$I114/12*3,IF($J114=2,$E114*$I114/12*2,IF($J114=3,$E114*$I114/12*1,0)))))+IF(BT$5&lt;&gt;$H114,0,IF(BT114&gt;0,IF($J114=1,$E114*$I114/12*0,IF($J114=2,$E114*$I114/12*1,IF($J114=3,$E114*$I114/12*2,IF($J114&gt;=4,$E114*$I114/12*3,0))))))</f>
        <v>0</v>
      </c>
      <c r="BV114" s="442">
        <f t="shared" ref="BV114" si="1576">IF($H114&lt;&gt;BY$5,0,IF(BY114&gt;0,IF(OR($J114=1,$J114=2,$J114=3,$J114=4),$E114*$I114/12*3,IF($J114=5,$E114*$I114/12*2,IF($J114=6,$E114*$I114/12*1,0)))))+IF(BT$5&lt;&gt;$H114,0,IF(BT114&gt;0,IF($J114=4,$E114*$I114/12*0,IF($J114=5,$E114*$I114/12*1,IF($J114=6,$E114*$I114/12*2,IF($J114&gt;=7,$E114*$I114/12*3,0))))))</f>
        <v>0</v>
      </c>
      <c r="BW114" s="442">
        <f t="shared" ref="BW114" si="1577">IF($H114&lt;&gt;BY$5,0,IF(BY114&gt;0,IF(OR($J114=1,$J114=2,$J114=3,$J114=4,$J114=5,$J114=6,$J114=7),$E114*$I114/12*3,IF($J114=8,$E114*$I114/12*2,IF($J114=9,$E114*$I114/12*1,0)))))+IF(BT$5&lt;&gt;$H114,0,IF(BT114&gt;0,IF($J114=7,$E114*$I114/12*0,IF($J114=8,$E114*$I114/12*1,IF($J114=9,$E114*$I114/12*2,IF($J114&gt;=10,$E114*$I114/12*3,0))))))</f>
        <v>0</v>
      </c>
      <c r="BX114" s="443">
        <f t="shared" ref="BX114" si="1578">IF($H114&lt;&gt;BY$5,0,IF(BY114&gt;0,IF(OR($J114=1,$J114=2,$J114=3,$J114=4,$J114=5,$J114=6,$J114=7,$J114=8,$J114=9,$J114=10),$E114*$I114/12*3,IF($J114=11,$E114*$I114/12*2,IF($J114=12,$E114*$I114/12*1,0)))))+IF(BT$5&lt;&gt;$H114,0,IF(BT114&gt;0,IF($J114=10,$E114*$I114/12*0,IF($J114=11,$E114*$I114/12*1,IF($J114=12,$E114*$I114/12*2,0)))))</f>
        <v>0</v>
      </c>
      <c r="BY114" s="440">
        <f t="shared" ref="BY114" si="1579">IF(AND(BT114&lt;&gt;0,BT$5=$H114),$I114*$E114-BT114,IF(BY$5=$H114,$I114*$E114*(12-$J114+1)/12,0))</f>
        <v>0</v>
      </c>
      <c r="BZ114" s="441">
        <f t="shared" ref="BZ114" si="1580">IF($H114&lt;&gt;CD$5,0,IF(CD114&gt;0,IF($J114=1,$E114*$I114/12*3,IF($J114=2,$E114*$I114/12*2,IF($J114=3,$E114*$I114/12*1,0)))))+IF(BY$5&lt;&gt;$H114,0,IF(BY114&gt;0,IF($J114=1,$E114*$I114/12*0,IF($J114=2,$E114*$I114/12*1,IF($J114=3,$E114*$I114/12*2,IF($J114&gt;=4,$E114*$I114/12*3,0))))))</f>
        <v>0</v>
      </c>
      <c r="CA114" s="442">
        <f t="shared" ref="CA114" si="1581">IF($H114&lt;&gt;CD$5,0,IF(CD114&gt;0,IF(OR($J114=1,$J114=2,$J114=3,$J114=4),$E114*$I114/12*3,IF($J114=5,$E114*$I114/12*2,IF($J114=6,$E114*$I114/12*1,0)))))+IF(BY$5&lt;&gt;$H114,0,IF(BY114&gt;0,IF($J114=4,$E114*$I114/12*0,IF($J114=5,$E114*$I114/12*1,IF($J114=6,$E114*$I114/12*2,IF($J114&gt;=7,$E114*$I114/12*3,0))))))</f>
        <v>0</v>
      </c>
      <c r="CB114" s="442">
        <f t="shared" ref="CB114" si="1582">IF($H114&lt;&gt;CD$5,0,IF(CD114&gt;0,IF(OR($J114=1,$J114=2,$J114=3,$J114=4,$J114=5,$J114=6,$J114=7),$E114*$I114/12*3,IF($J114=8,$E114*$I114/12*2,IF($J114=9,$E114*$I114/12*1,0)))))+IF(BY$5&lt;&gt;$H114,0,IF(BY114&gt;0,IF($J114=7,$E114*$I114/12*0,IF($J114=8,$E114*$I114/12*1,IF($J114=9,$E114*$I114/12*2,IF($J114&gt;=10,$E114*$I114/12*3,0))))))</f>
        <v>0</v>
      </c>
      <c r="CC114" s="443">
        <f t="shared" ref="CC114" si="1583">IF($H114&lt;&gt;CD$5,0,IF(CD114&gt;0,IF(OR($J114=1,$J114=2,$J114=3,$J114=4,$J114=5,$J114=6,$J114=7,$J114=8,$J114=9,$J114=10),$E114*$I114/12*3,IF($J114=11,$E114*$I114/12*2,IF($J114=12,$E114*$I114/12*1,0)))))+IF(BY$5&lt;&gt;$H114,0,IF(BY114&gt;0,IF($J114=10,$E114*$I114/12*0,IF($J114=11,$E114*$I114/12*1,IF($J114=12,$E114*$I114/12*2,0)))))</f>
        <v>0</v>
      </c>
      <c r="CD114" s="440">
        <f t="shared" ref="CD114" si="1584">IF(AND(BY114&lt;&gt;0,BY$5=$H114),$I114*$E114-BY114,IF(CD$5=$H114,$I114*$E114*(12-$J114+1)/12,0))</f>
        <v>0</v>
      </c>
      <c r="CE114" s="441">
        <f t="shared" ref="CE114" si="1585">IF($H114&lt;&gt;CI$5,0,IF(CI114&gt;0,IF($J114=1,$E114*$I114/12*3,IF($J114=2,$E114*$I114/12*2,IF($J114=3,$E114*$I114/12*1,0)))))+IF(CD$5&lt;&gt;$H114,0,IF(CD114&gt;0,IF($J114=1,$E114*$I114/12*0,IF($J114=2,$E114*$I114/12*1,IF($J114=3,$E114*$I114/12*2,IF($J114&gt;=4,$E114*$I114/12*3,0))))))</f>
        <v>0</v>
      </c>
      <c r="CF114" s="442">
        <f t="shared" ref="CF114" si="1586">IF($H114&lt;&gt;CI$5,0,IF(CI114&gt;0,IF(OR($J114=1,$J114=2,$J114=3,$J114=4),$E114*$I114/12*3,IF($J114=5,$E114*$I114/12*2,IF($J114=6,$E114*$I114/12*1,0)))))+IF(CD$5&lt;&gt;$H114,0,IF(CD114&gt;0,IF($J114=4,$E114*$I114/12*0,IF($J114=5,$E114*$I114/12*1,IF($J114=6,$E114*$I114/12*2,IF($J114&gt;=7,$E114*$I114/12*3,0))))))</f>
        <v>0</v>
      </c>
      <c r="CG114" s="442">
        <f t="shared" ref="CG114" si="1587">IF($H114&lt;&gt;CI$5,0,IF(CI114&gt;0,IF(OR($J114=1,$J114=2,$J114=3,$J114=4,$J114=5,$J114=6,$J114=7),$E114*$I114/12*3,IF($J114=8,$E114*$I114/12*2,IF($J114=9,$E114*$I114/12*1,0)))))+IF(CD$5&lt;&gt;$H114,0,IF(CD114&gt;0,IF($J114=7,$E114*$I114/12*0,IF($J114=8,$E114*$I114/12*1,IF($J114=9,$E114*$I114/12*2,IF($J114&gt;=10,$E114*$I114/12*3,0))))))</f>
        <v>0</v>
      </c>
      <c r="CH114" s="443">
        <f t="shared" ref="CH114" si="1588">IF($H114&lt;&gt;CI$5,0,IF(CI114&gt;0,IF(OR($J114=1,$J114=2,$J114=3,$J114=4,$J114=5,$J114=6,$J114=7,$J114=8,$J114=9,$J114=10),$E114*$I114/12*3,IF($J114=11,$E114*$I114/12*2,IF($J114=12,$E114*$I114/12*1,0)))))+IF(CD$5&lt;&gt;$H114,0,IF(CD114&gt;0,IF($J114=10,$E114*$I114/12*0,IF($J114=11,$E114*$I114/12*1,IF($J114=12,$E114*$I114/12*2,0)))))</f>
        <v>0</v>
      </c>
      <c r="CI114" s="440">
        <f t="shared" ref="CI114" si="1589">IF(AND(CD114&lt;&gt;0,CD$5=$H114),$I114*$E114-CD114,IF(CI$5=$H114,$I114*$E114*(12-$J114+1)/12,0))</f>
        <v>0</v>
      </c>
      <c r="CJ114" s="441">
        <f t="shared" ref="CJ114" si="1590">IF($H114&lt;&gt;CN$5,0,IF(CN114&gt;0,IF($J114=1,$E114*$I114/12*3,IF($J114=2,$E114*$I114/12*2,IF($J114=3,$E114*$I114/12*1,0)))))+IF(CI$5&lt;&gt;$H114,0,IF(CI114&gt;0,IF($J114=1,$E114*$I114/12*0,IF($J114=2,$E114*$I114/12*1,IF($J114=3,$E114*$I114/12*2,IF($J114&gt;=4,$E114*$I114/12*3,0))))))</f>
        <v>0</v>
      </c>
      <c r="CK114" s="442">
        <f t="shared" ref="CK114" si="1591">IF($H114&lt;&gt;CN$5,0,IF(CN114&gt;0,IF(OR($J114=1,$J114=2,$J114=3,$J114=4),$E114*$I114/12*3,IF($J114=5,$E114*$I114/12*2,IF($J114=6,$E114*$I114/12*1,0)))))+IF(CI$5&lt;&gt;$H114,0,IF(CI114&gt;0,IF($J114=4,$E114*$I114/12*0,IF($J114=5,$E114*$I114/12*1,IF($J114=6,$E114*$I114/12*2,IF($J114&gt;=7,$E114*$I114/12*3,0))))))</f>
        <v>0</v>
      </c>
      <c r="CL114" s="442">
        <f t="shared" ref="CL114" si="1592">IF($H114&lt;&gt;CN$5,0,IF(CN114&gt;0,IF(OR($J114=1,$J114=2,$J114=3,$J114=4,$J114=5,$J114=6,$J114=7),$E114*$I114/12*3,IF($J114=8,$E114*$I114/12*2,IF($J114=9,$E114*$I114/12*1,0)))))+IF(CI$5&lt;&gt;$H114,0,IF(CI114&gt;0,IF($J114=7,$E114*$I114/12*0,IF($J114=8,$E114*$I114/12*1,IF($J114=9,$E114*$I114/12*2,IF($J114&gt;=10,$E114*$I114/12*3,0))))))</f>
        <v>0</v>
      </c>
      <c r="CM114" s="443">
        <f t="shared" ref="CM114" si="1593">IF($H114&lt;&gt;CN$5,0,IF(CN114&gt;0,IF(OR($J114=1,$J114=2,$J114=3,$J114=4,$J114=5,$J114=6,$J114=7,$J114=8,$J114=9,$J114=10),$E114*$I114/12*3,IF($J114=11,$E114*$I114/12*2,IF($J114=12,$E114*$I114/12*1,0)))))+IF(CI$5&lt;&gt;$H114,0,IF(CI114&gt;0,IF($J114=10,$E114*$I114/12*0,IF($J114=11,$E114*$I114/12*1,IF($J114=12,$E114*$I114/12*2,0)))))</f>
        <v>0</v>
      </c>
      <c r="CN114" s="440">
        <f t="shared" ref="CN114" si="1594">IF(AND(CI114&lt;&gt;0,CI$5=$H114),$I114*$E114-CI114,IF(CN$5=$H114,$I114*$E114*(12-$J114+1)/12,0))</f>
        <v>0</v>
      </c>
      <c r="CO114" s="441">
        <f t="shared" ref="CO114" si="1595">IF($H114&lt;&gt;CS$5,0,IF(CS114&gt;0,IF($J114=1,$E114*$I114/12*3,IF($J114=2,$E114*$I114/12*2,IF($J114=3,$E114*$I114/12*1,0)))))+IF(CN$5&lt;&gt;$H114,0,IF(CN114&gt;0,IF($J114=1,$E114*$I114/12*0,IF($J114=2,$E114*$I114/12*1,IF($J114=3,$E114*$I114/12*2,IF($J114&gt;=4,$E114*$I114/12*3,0))))))</f>
        <v>0</v>
      </c>
      <c r="CP114" s="442">
        <f t="shared" ref="CP114" si="1596">IF($H114&lt;&gt;CS$5,0,IF(CS114&gt;0,IF(OR($J114=1,$J114=2,$J114=3,$J114=4),$E114*$I114/12*3,IF($J114=5,$E114*$I114/12*2,IF($J114=6,$E114*$I114/12*1,0)))))+IF(CN$5&lt;&gt;$H114,0,IF(CN114&gt;0,IF($J114=4,$E114*$I114/12*0,IF($J114=5,$E114*$I114/12*1,IF($J114=6,$E114*$I114/12*2,IF($J114&gt;=7,$E114*$I114/12*3,0))))))</f>
        <v>0</v>
      </c>
      <c r="CQ114" s="442">
        <f t="shared" ref="CQ114" si="1597">IF($H114&lt;&gt;CS$5,0,IF(CS114&gt;0,IF(OR($J114=1,$J114=2,$J114=3,$J114=4,$J114=5,$J114=6,$J114=7),$E114*$I114/12*3,IF($J114=8,$E114*$I114/12*2,IF($J114=9,$E114*$I114/12*1,0)))))+IF(CN$5&lt;&gt;$H114,0,IF(CN114&gt;0,IF($J114=7,$E114*$I114/12*0,IF($J114=8,$E114*$I114/12*1,IF($J114=9,$E114*$I114/12*2,IF($J114&gt;=10,$E114*$I114/12*3,0))))))</f>
        <v>0</v>
      </c>
      <c r="CR114" s="443">
        <f t="shared" ref="CR114" si="1598">IF($H114&lt;&gt;CS$5,0,IF(CS114&gt;0,IF(OR($J114=1,$J114=2,$J114=3,$J114=4,$J114=5,$J114=6,$J114=7,$J114=8,$J114=9,$J114=10),$E114*$I114/12*3,IF($J114=11,$E114*$I114/12*2,IF($J114=12,$E114*$I114/12*1,0)))))+IF(CN$5&lt;&gt;$H114,0,IF(CN114&gt;0,IF($J114=10,$E114*$I114/12*0,IF($J114=11,$E114*$I114/12*1,IF($J114=12,$E114*$I114/12*2,0)))))</f>
        <v>0</v>
      </c>
      <c r="CS114" s="440">
        <f t="shared" ref="CS114" si="1599">IF(AND(CN114&lt;&gt;0,CN$5=$H114),$I114*$E114-CN114,IF(CS$5=$H114,$I114*$E114*(12-$J114+1)/12,0))</f>
        <v>0</v>
      </c>
      <c r="CT114" s="441">
        <f t="shared" ref="CT114" si="1600">IF($H114&lt;&gt;CX$5,0,IF(CX114&gt;0,IF($J114=1,$E114*$I114/12*3,IF($J114=2,$E114*$I114/12*2,IF($J114=3,$E114*$I114/12*1,0)))))+IF(CS$5&lt;&gt;$H114,0,IF(CS114&gt;0,IF($J114=1,$E114*$I114/12*0,IF($J114=2,$E114*$I114/12*1,IF($J114=3,$E114*$I114/12*2,IF($J114&gt;=4,$E114*$I114/12*3,0))))))</f>
        <v>0</v>
      </c>
      <c r="CU114" s="442">
        <f t="shared" ref="CU114" si="1601">IF($H114&lt;&gt;CX$5,0,IF(CX114&gt;0,IF(OR($J114=1,$J114=2,$J114=3,$J114=4),$E114*$I114/12*3,IF($J114=5,$E114*$I114/12*2,IF($J114=6,$E114*$I114/12*1,0)))))+IF(CS$5&lt;&gt;$H114,0,IF(CS114&gt;0,IF($J114=4,$E114*$I114/12*0,IF($J114=5,$E114*$I114/12*1,IF($J114=6,$E114*$I114/12*2,IF($J114&gt;=7,$E114*$I114/12*3,0))))))</f>
        <v>0</v>
      </c>
      <c r="CV114" s="442">
        <f t="shared" ref="CV114" si="1602">IF($H114&lt;&gt;CX$5,0,IF(CX114&gt;0,IF(OR($J114=1,$J114=2,$J114=3,$J114=4,$J114=5,$J114=6,$J114=7),$E114*$I114/12*3,IF($J114=8,$E114*$I114/12*2,IF($J114=9,$E114*$I114/12*1,0)))))+IF(CS$5&lt;&gt;$H114,0,IF(CS114&gt;0,IF($J114=7,$E114*$I114/12*0,IF($J114=8,$E114*$I114/12*1,IF($J114=9,$E114*$I114/12*2,IF($J114&gt;=10,$E114*$I114/12*3,0))))))</f>
        <v>0</v>
      </c>
      <c r="CW114" s="443">
        <f t="shared" ref="CW114" si="1603">IF($H114&lt;&gt;CX$5,0,IF(CX114&gt;0,IF(OR($J114=1,$J114=2,$J114=3,$J114=4,$J114=5,$J114=6,$J114=7,$J114=8,$J114=9,$J114=10),$E114*$I114/12*3,IF($J114=11,$E114*$I114/12*2,IF($J114=12,$E114*$I114/12*1,0)))))+IF(CS$5&lt;&gt;$H114,0,IF(CS114&gt;0,IF($J114=10,$E114*$I114/12*0,IF($J114=11,$E114*$I114/12*1,IF($J114=12,$E114*$I114/12*2,0)))))</f>
        <v>0</v>
      </c>
      <c r="CX114" s="440">
        <f t="shared" ref="CX114" si="1604">IF(AND(CS114&lt;&gt;0,CS$5=$H114),$I114*$E114-CS114,IF(CX$5=$H114,$I114*$E114*(12-$J114+1)/12,0))</f>
        <v>0</v>
      </c>
      <c r="CY114" s="441">
        <f t="shared" ref="CY114" si="1605">IF($H114&lt;&gt;DC$5,0,IF(DC114&gt;0,IF($J114=1,$E114*$I114/12*3,IF($J114=2,$E114*$I114/12*2,IF($J114=3,$E114*$I114/12*1,0)))))+IF(CX$5&lt;&gt;$H114,0,IF(CX114&gt;0,IF($J114=1,$E114*$I114/12*0,IF($J114=2,$E114*$I114/12*1,IF($J114=3,$E114*$I114/12*2,IF($J114&gt;=4,$E114*$I114/12*3,0))))))</f>
        <v>0</v>
      </c>
      <c r="CZ114" s="442">
        <f t="shared" ref="CZ114" si="1606">IF($H114&lt;&gt;DC$5,0,IF(DC114&gt;0,IF(OR($J114=1,$J114=2,$J114=3,$J114=4),$E114*$I114/12*3,IF($J114=5,$E114*$I114/12*2,IF($J114=6,$E114*$I114/12*1,0)))))+IF(CX$5&lt;&gt;$H114,0,IF(CX114&gt;0,IF($J114=4,$E114*$I114/12*0,IF($J114=5,$E114*$I114/12*1,IF($J114=6,$E114*$I114/12*2,IF($J114&gt;=7,$E114*$I114/12*3,0))))))</f>
        <v>0</v>
      </c>
      <c r="DA114" s="442">
        <f t="shared" ref="DA114" si="1607">IF($H114&lt;&gt;DC$5,0,IF(DC114&gt;0,IF(OR($J114=1,$J114=2,$J114=3,$J114=4,$J114=5,$J114=6,$J114=7),$E114*$I114/12*3,IF($J114=8,$E114*$I114/12*2,IF($J114=9,$E114*$I114/12*1,0)))))+IF(CX$5&lt;&gt;$H114,0,IF(CX114&gt;0,IF($J114=7,$E114*$I114/12*0,IF($J114=8,$E114*$I114/12*1,IF($J114=9,$E114*$I114/12*2,IF($J114&gt;=10,$E114*$I114/12*3,0))))))</f>
        <v>0</v>
      </c>
      <c r="DB114" s="443">
        <f t="shared" ref="DB114" si="1608">IF($H114&lt;&gt;DC$5,0,IF(DC114&gt;0,IF(OR($J114=1,$J114=2,$J114=3,$J114=4,$J114=5,$J114=6,$J114=7,$J114=8,$J114=9,$J114=10),$E114*$I114/12*3,IF($J114=11,$E114*$I114/12*2,IF($J114=12,$E114*$I114/12*1,0)))))+IF(CX$5&lt;&gt;$H114,0,IF(CX114&gt;0,IF($J114=10,$E114*$I114/12*0,IF($J114=11,$E114*$I114/12*1,IF($J114=12,$E114*$I114/12*2,0)))))</f>
        <v>0</v>
      </c>
      <c r="DC114" s="440">
        <f t="shared" ref="DC114" si="1609">IF(AND(CX114&lt;&gt;0,CX$5=$H114),$I114*$E114-CX114,IF(DC$5=$H114,$I114*$E114*(12-$J114+1)/12,0))</f>
        <v>0</v>
      </c>
      <c r="DD114" s="441">
        <f t="shared" ref="DD114" si="1610">IF($H114&lt;&gt;DH$5,0,IF(DH114&gt;0,IF($J114=1,$E114*$I114/12*3,IF($J114=2,$E114*$I114/12*2,IF($J114=3,$E114*$I114/12*1,0)))))+IF(DC$5&lt;&gt;$H114,0,IF(DC114&gt;0,IF($J114=1,$E114*$I114/12*0,IF($J114=2,$E114*$I114/12*1,IF($J114=3,$E114*$I114/12*2,IF($J114&gt;=4,$E114*$I114/12*3,0))))))</f>
        <v>0</v>
      </c>
      <c r="DE114" s="442">
        <f t="shared" ref="DE114" si="1611">IF($H114&lt;&gt;DH$5,0,IF(DH114&gt;0,IF(OR($J114=1,$J114=2,$J114=3,$J114=4),$E114*$I114/12*3,IF($J114=5,$E114*$I114/12*2,IF($J114=6,$E114*$I114/12*1,0)))))+IF(DC$5&lt;&gt;$H114,0,IF(DC114&gt;0,IF($J114=4,$E114*$I114/12*0,IF($J114=5,$E114*$I114/12*1,IF($J114=6,$E114*$I114/12*2,IF($J114&gt;=7,$E114*$I114/12*3,0))))))</f>
        <v>0</v>
      </c>
      <c r="DF114" s="442">
        <f t="shared" ref="DF114" si="1612">IF($H114&lt;&gt;DH$5,0,IF(DH114&gt;0,IF(OR($J114=1,$J114=2,$J114=3,$J114=4,$J114=5,$J114=6,$J114=7),$E114*$I114/12*3,IF($J114=8,$E114*$I114/12*2,IF($J114=9,$E114*$I114/12*1,0)))))+IF(DC$5&lt;&gt;$H114,0,IF(DC114&gt;0,IF($J114=7,$E114*$I114/12*0,IF($J114=8,$E114*$I114/12*1,IF($J114=9,$E114*$I114/12*2,IF($J114&gt;=10,$E114*$I114/12*3,0))))))</f>
        <v>0</v>
      </c>
      <c r="DG114" s="443">
        <f t="shared" ref="DG114" si="1613">IF($H114&lt;&gt;DH$5,0,IF(DH114&gt;0,IF(OR($J114=1,$J114=2,$J114=3,$J114=4,$J114=5,$J114=6,$J114=7,$J114=8,$J114=9,$J114=10),$E114*$I114/12*3,IF($J114=11,$E114*$I114/12*2,IF($J114=12,$E114*$I114/12*1,0)))))+IF(DC$5&lt;&gt;$H114,0,IF(DC114&gt;0,IF($J114=10,$E114*$I114/12*0,IF($J114=11,$E114*$I114/12*1,IF($J114=12,$E114*$I114/12*2,0)))))</f>
        <v>0</v>
      </c>
      <c r="DH114" s="440">
        <f t="shared" ref="DH114" si="1614">IF(AND(DC114&lt;&gt;0,DC$5=$H114),$I114*$E114-DC114,IF(DH$5=$H114,$I114*$E114*(12-$J114+1)/12,0))</f>
        <v>0</v>
      </c>
      <c r="DI114" s="441">
        <f t="shared" ref="DI114" si="1615">IF($H114&lt;&gt;DM$5,0,IF(DM114&gt;0,IF($J114=1,$E114*$I114/12*3,IF($J114=2,$E114*$I114/12*2,IF($J114=3,$E114*$I114/12*1,0)))))+IF(DH$5&lt;&gt;$H114,0,IF(DH114&gt;0,IF($J114=1,$E114*$I114/12*0,IF($J114=2,$E114*$I114/12*1,IF($J114=3,$E114*$I114/12*2,IF($J114&gt;=4,$E114*$I114/12*3,0))))))</f>
        <v>0</v>
      </c>
      <c r="DJ114" s="442">
        <f t="shared" ref="DJ114" si="1616">IF($H114&lt;&gt;DM$5,0,IF(DM114&gt;0,IF(OR($J114=1,$J114=2,$J114=3,$J114=4),$E114*$I114/12*3,IF($J114=5,$E114*$I114/12*2,IF($J114=6,$E114*$I114/12*1,0)))))+IF(DH$5&lt;&gt;$H114,0,IF(DH114&gt;0,IF($J114=4,$E114*$I114/12*0,IF($J114=5,$E114*$I114/12*1,IF($J114=6,$E114*$I114/12*2,IF($J114&gt;=7,$E114*$I114/12*3,0))))))</f>
        <v>0</v>
      </c>
      <c r="DK114" s="442">
        <f t="shared" ref="DK114" si="1617">IF($H114&lt;&gt;DM$5,0,IF(DM114&gt;0,IF(OR($J114=1,$J114=2,$J114=3,$J114=4,$J114=5,$J114=6,$J114=7),$E114*$I114/12*3,IF($J114=8,$E114*$I114/12*2,IF($J114=9,$E114*$I114/12*1,0)))))+IF(DH$5&lt;&gt;$H114,0,IF(DH114&gt;0,IF($J114=7,$E114*$I114/12*0,IF($J114=8,$E114*$I114/12*1,IF($J114=9,$E114*$I114/12*2,IF($J114&gt;=10,$E114*$I114/12*3,0))))))</f>
        <v>0</v>
      </c>
      <c r="DL114" s="443">
        <f t="shared" ref="DL114" si="1618">IF($H114&lt;&gt;DM$5,0,IF(DM114&gt;0,IF(OR($J114=1,$J114=2,$J114=3,$J114=4,$J114=5,$J114=6,$J114=7,$J114=8,$J114=9,$J114=10),$E114*$I114/12*3,IF($J114=11,$E114*$I114/12*2,IF($J114=12,$E114*$I114/12*1,0)))))+IF(DH$5&lt;&gt;$H114,0,IF(DH114&gt;0,IF($J114=10,$E114*$I114/12*0,IF($J114=11,$E114*$I114/12*1,IF($J114=12,$E114*$I114/12*2,0)))))</f>
        <v>0</v>
      </c>
      <c r="DM114" s="440">
        <f t="shared" ref="DM114" si="1619">IF(AND(DH114&lt;&gt;0,DH$5=$H114),$I114*$E114-DH114,IF(DM$5=$H114,$I114*$E114*(12-$J114+1)/12,0))</f>
        <v>0</v>
      </c>
      <c r="DN114" s="441">
        <f t="shared" ref="DN114" si="1620">IF($H114&lt;&gt;DR$5,0,IF(DR114&gt;0,IF($J114=1,$E114*$I114/12*3,IF($J114=2,$E114*$I114/12*2,IF($J114=3,$E114*$I114/12*1,0)))))+IF(DM$5&lt;&gt;$H114,0,IF(DM114&gt;0,IF($J114=1,$E114*$I114/12*0,IF($J114=2,$E114*$I114/12*1,IF($J114=3,$E114*$I114/12*2,IF($J114&gt;=4,$E114*$I114/12*3,0))))))</f>
        <v>0</v>
      </c>
      <c r="DO114" s="442">
        <f t="shared" ref="DO114" si="1621">IF($H114&lt;&gt;DR$5,0,IF(DR114&gt;0,IF(OR($J114=1,$J114=2,$J114=3,$J114=4),$E114*$I114/12*3,IF($J114=5,$E114*$I114/12*2,IF($J114=6,$E114*$I114/12*1,0)))))+IF(DM$5&lt;&gt;$H114,0,IF(DM114&gt;0,IF($J114=4,$E114*$I114/12*0,IF($J114=5,$E114*$I114/12*1,IF($J114=6,$E114*$I114/12*2,IF($J114&gt;=7,$E114*$I114/12*3,0))))))</f>
        <v>0</v>
      </c>
      <c r="DP114" s="442">
        <f t="shared" ref="DP114" si="1622">IF($H114&lt;&gt;DR$5,0,IF(DR114&gt;0,IF(OR($J114=1,$J114=2,$J114=3,$J114=4,$J114=5,$J114=6,$J114=7),$E114*$I114/12*3,IF($J114=8,$E114*$I114/12*2,IF($J114=9,$E114*$I114/12*1,0)))))+IF(DM$5&lt;&gt;$H114,0,IF(DM114&gt;0,IF($J114=7,$E114*$I114/12*0,IF($J114=8,$E114*$I114/12*1,IF($J114=9,$E114*$I114/12*2,IF($J114&gt;=10,$E114*$I114/12*3,0))))))</f>
        <v>6.25</v>
      </c>
      <c r="DQ114" s="443">
        <f t="shared" ref="DQ114" si="1623">IF($H114&lt;&gt;DR$5,0,IF(DR114&gt;0,IF(OR($J114=1,$J114=2,$J114=3,$J114=4,$J114=5,$J114=6,$J114=7,$J114=8,$J114=9,$J114=10),$E114*$I114/12*3,IF($J114=11,$E114*$I114/12*2,IF($J114=12,$E114*$I114/12*1,0)))))+IF(DM$5&lt;&gt;$H114,0,IF(DM114&gt;0,IF($J114=10,$E114*$I114/12*0,IF($J114=11,$E114*$I114/12*1,IF($J114=12,$E114*$I114/12*2,0)))))</f>
        <v>6.25</v>
      </c>
      <c r="DR114" s="440">
        <f t="shared" ref="DR114" si="1624">IF(AND(DM114&lt;&gt;0,DM$5=$H114),$I114*$E114-DM114,IF(DR$5=$H114,$I114*$E114*(12-$J114+1)/12,0))</f>
        <v>12.5</v>
      </c>
    </row>
    <row r="115" spans="1:122" ht="12.75" customHeight="1">
      <c r="A115" s="92"/>
      <c r="B115" s="92"/>
      <c r="C115" s="561"/>
      <c r="D115" s="562"/>
      <c r="E115" s="564"/>
      <c r="F115" s="564"/>
      <c r="G115" s="564"/>
      <c r="H115" s="584"/>
      <c r="I115" s="609"/>
      <c r="J115" s="623"/>
      <c r="K115" s="565"/>
      <c r="L115" s="447"/>
      <c r="M115" s="448"/>
      <c r="N115" s="448"/>
      <c r="O115" s="449"/>
      <c r="P115" s="446"/>
      <c r="Q115" s="447"/>
      <c r="R115" s="448"/>
      <c r="S115" s="448"/>
      <c r="T115" s="449"/>
      <c r="U115" s="446"/>
      <c r="V115" s="447"/>
      <c r="W115" s="448"/>
      <c r="X115" s="448"/>
      <c r="Y115" s="449"/>
      <c r="Z115" s="446"/>
      <c r="AA115" s="447"/>
      <c r="AB115" s="448"/>
      <c r="AC115" s="448"/>
      <c r="AD115" s="449"/>
      <c r="AE115" s="446"/>
      <c r="AF115" s="447"/>
      <c r="AG115" s="448"/>
      <c r="AH115" s="448"/>
      <c r="AI115" s="449"/>
      <c r="AJ115" s="446"/>
      <c r="AK115" s="447"/>
      <c r="AL115" s="448"/>
      <c r="AM115" s="448"/>
      <c r="AN115" s="449"/>
      <c r="AO115" s="446"/>
      <c r="AP115" s="447"/>
      <c r="AQ115" s="448"/>
      <c r="AR115" s="448"/>
      <c r="AS115" s="449"/>
      <c r="AT115" s="446"/>
      <c r="AU115" s="447"/>
      <c r="AV115" s="448"/>
      <c r="AW115" s="448"/>
      <c r="AX115" s="449"/>
      <c r="AY115" s="446"/>
      <c r="AZ115" s="447"/>
      <c r="BA115" s="448"/>
      <c r="BB115" s="448"/>
      <c r="BC115" s="449"/>
      <c r="BD115" s="446"/>
      <c r="BE115" s="447"/>
      <c r="BF115" s="448"/>
      <c r="BG115" s="448"/>
      <c r="BH115" s="449"/>
      <c r="BI115" s="446"/>
      <c r="BJ115" s="447"/>
      <c r="BK115" s="448"/>
      <c r="BL115" s="448"/>
      <c r="BM115" s="449"/>
      <c r="BN115" s="446"/>
      <c r="BO115" s="468"/>
      <c r="BP115" s="454"/>
      <c r="BQ115" s="455"/>
      <c r="BR115" s="455"/>
      <c r="BS115" s="456"/>
      <c r="BT115" s="453"/>
      <c r="BU115" s="454"/>
      <c r="BV115" s="455"/>
      <c r="BW115" s="455"/>
      <c r="BX115" s="456"/>
      <c r="BY115" s="453"/>
      <c r="BZ115" s="454"/>
      <c r="CA115" s="455"/>
      <c r="CB115" s="455"/>
      <c r="CC115" s="456"/>
      <c r="CD115" s="453"/>
      <c r="CE115" s="454"/>
      <c r="CF115" s="455"/>
      <c r="CG115" s="455"/>
      <c r="CH115" s="456"/>
      <c r="CI115" s="453"/>
      <c r="CJ115" s="454"/>
      <c r="CK115" s="455"/>
      <c r="CL115" s="455"/>
      <c r="CM115" s="456"/>
      <c r="CN115" s="453"/>
      <c r="CO115" s="454"/>
      <c r="CP115" s="455"/>
      <c r="CQ115" s="455"/>
      <c r="CR115" s="456"/>
      <c r="CS115" s="453"/>
      <c r="CT115" s="454"/>
      <c r="CU115" s="455"/>
      <c r="CV115" s="455"/>
      <c r="CW115" s="456"/>
      <c r="CX115" s="453"/>
      <c r="CY115" s="454"/>
      <c r="CZ115" s="455"/>
      <c r="DA115" s="455"/>
      <c r="DB115" s="456"/>
      <c r="DC115" s="453"/>
      <c r="DD115" s="454"/>
      <c r="DE115" s="455"/>
      <c r="DF115" s="455"/>
      <c r="DG115" s="456"/>
      <c r="DH115" s="453"/>
      <c r="DI115" s="454"/>
      <c r="DJ115" s="455"/>
      <c r="DK115" s="455"/>
      <c r="DL115" s="456"/>
      <c r="DM115" s="453"/>
      <c r="DN115" s="454"/>
      <c r="DO115" s="455"/>
      <c r="DP115" s="455"/>
      <c r="DQ115" s="456"/>
      <c r="DR115" s="453"/>
    </row>
    <row r="116" spans="1:122" ht="12.75" customHeight="1">
      <c r="A116" s="136"/>
      <c r="B116" s="136"/>
      <c r="C116" s="409" t="s">
        <v>215</v>
      </c>
      <c r="D116" s="412"/>
      <c r="E116" s="571">
        <f>SUM(E111:E115)</f>
        <v>750</v>
      </c>
      <c r="F116" s="571"/>
      <c r="G116" s="571"/>
      <c r="H116" s="580"/>
      <c r="I116" s="602"/>
      <c r="J116" s="617"/>
      <c r="K116" s="537"/>
      <c r="L116" s="431">
        <f t="shared" ref="L116:AQ116" si="1625">SUM(L111:L115)</f>
        <v>0</v>
      </c>
      <c r="M116" s="432">
        <f t="shared" si="1625"/>
        <v>0</v>
      </c>
      <c r="N116" s="432">
        <f t="shared" si="1625"/>
        <v>0</v>
      </c>
      <c r="O116" s="433">
        <f t="shared" si="1625"/>
        <v>0</v>
      </c>
      <c r="P116" s="430">
        <f t="shared" si="1625"/>
        <v>0</v>
      </c>
      <c r="Q116" s="431">
        <f t="shared" si="1625"/>
        <v>0</v>
      </c>
      <c r="R116" s="432">
        <f t="shared" si="1625"/>
        <v>0</v>
      </c>
      <c r="S116" s="432">
        <f t="shared" si="1625"/>
        <v>0</v>
      </c>
      <c r="T116" s="433">
        <f t="shared" si="1625"/>
        <v>0</v>
      </c>
      <c r="U116" s="430">
        <f t="shared" si="1625"/>
        <v>0</v>
      </c>
      <c r="V116" s="431">
        <f t="shared" si="1625"/>
        <v>0</v>
      </c>
      <c r="W116" s="432">
        <f t="shared" si="1625"/>
        <v>0</v>
      </c>
      <c r="X116" s="432">
        <f t="shared" si="1625"/>
        <v>0</v>
      </c>
      <c r="Y116" s="433">
        <f t="shared" si="1625"/>
        <v>0</v>
      </c>
      <c r="Z116" s="430">
        <f t="shared" si="1625"/>
        <v>0</v>
      </c>
      <c r="AA116" s="431">
        <f t="shared" si="1625"/>
        <v>0</v>
      </c>
      <c r="AB116" s="432">
        <f t="shared" si="1625"/>
        <v>0</v>
      </c>
      <c r="AC116" s="432">
        <f t="shared" si="1625"/>
        <v>0</v>
      </c>
      <c r="AD116" s="433">
        <f t="shared" si="1625"/>
        <v>0</v>
      </c>
      <c r="AE116" s="430">
        <f t="shared" si="1625"/>
        <v>0</v>
      </c>
      <c r="AF116" s="431">
        <f t="shared" si="1625"/>
        <v>0</v>
      </c>
      <c r="AG116" s="432">
        <f t="shared" si="1625"/>
        <v>0</v>
      </c>
      <c r="AH116" s="432">
        <f t="shared" si="1625"/>
        <v>0</v>
      </c>
      <c r="AI116" s="433">
        <f t="shared" si="1625"/>
        <v>0</v>
      </c>
      <c r="AJ116" s="430">
        <f t="shared" si="1625"/>
        <v>0</v>
      </c>
      <c r="AK116" s="431">
        <f t="shared" si="1625"/>
        <v>0</v>
      </c>
      <c r="AL116" s="432">
        <f t="shared" si="1625"/>
        <v>0</v>
      </c>
      <c r="AM116" s="432">
        <f t="shared" si="1625"/>
        <v>0</v>
      </c>
      <c r="AN116" s="433">
        <f t="shared" si="1625"/>
        <v>0</v>
      </c>
      <c r="AO116" s="430">
        <f t="shared" si="1625"/>
        <v>0</v>
      </c>
      <c r="AP116" s="431">
        <f t="shared" si="1625"/>
        <v>0</v>
      </c>
      <c r="AQ116" s="432">
        <f t="shared" si="1625"/>
        <v>0</v>
      </c>
      <c r="AR116" s="432">
        <f t="shared" ref="AR116:BN116" si="1626">SUM(AR111:AR115)</f>
        <v>0</v>
      </c>
      <c r="AS116" s="433">
        <f t="shared" si="1626"/>
        <v>0</v>
      </c>
      <c r="AT116" s="430">
        <f t="shared" si="1626"/>
        <v>0</v>
      </c>
      <c r="AU116" s="431">
        <f t="shared" si="1626"/>
        <v>0</v>
      </c>
      <c r="AV116" s="432">
        <f t="shared" si="1626"/>
        <v>0</v>
      </c>
      <c r="AW116" s="432">
        <f t="shared" si="1626"/>
        <v>0</v>
      </c>
      <c r="AX116" s="433">
        <f t="shared" si="1626"/>
        <v>0</v>
      </c>
      <c r="AY116" s="430">
        <f t="shared" si="1626"/>
        <v>0</v>
      </c>
      <c r="AZ116" s="431">
        <f t="shared" si="1626"/>
        <v>0</v>
      </c>
      <c r="BA116" s="432">
        <f t="shared" si="1626"/>
        <v>0</v>
      </c>
      <c r="BB116" s="432">
        <f t="shared" si="1626"/>
        <v>0</v>
      </c>
      <c r="BC116" s="433">
        <f t="shared" si="1626"/>
        <v>0</v>
      </c>
      <c r="BD116" s="430">
        <f t="shared" si="1626"/>
        <v>0</v>
      </c>
      <c r="BE116" s="431">
        <f t="shared" si="1626"/>
        <v>0</v>
      </c>
      <c r="BF116" s="432">
        <f t="shared" si="1626"/>
        <v>0</v>
      </c>
      <c r="BG116" s="432">
        <f t="shared" si="1626"/>
        <v>250</v>
      </c>
      <c r="BH116" s="433">
        <f t="shared" si="1626"/>
        <v>0</v>
      </c>
      <c r="BI116" s="430">
        <f t="shared" si="1626"/>
        <v>250</v>
      </c>
      <c r="BJ116" s="431">
        <f t="shared" si="1626"/>
        <v>0</v>
      </c>
      <c r="BK116" s="432">
        <f t="shared" si="1626"/>
        <v>0</v>
      </c>
      <c r="BL116" s="432">
        <f t="shared" si="1626"/>
        <v>500</v>
      </c>
      <c r="BM116" s="433">
        <f t="shared" si="1626"/>
        <v>0</v>
      </c>
      <c r="BN116" s="430">
        <f t="shared" si="1626"/>
        <v>500</v>
      </c>
      <c r="BO116" s="469"/>
      <c r="BP116" s="431">
        <f t="shared" ref="BP116:CU116" si="1627">SUM(BP111:BP115)</f>
        <v>0</v>
      </c>
      <c r="BQ116" s="432">
        <f t="shared" si="1627"/>
        <v>0</v>
      </c>
      <c r="BR116" s="432">
        <f t="shared" si="1627"/>
        <v>0</v>
      </c>
      <c r="BS116" s="433">
        <f t="shared" si="1627"/>
        <v>0</v>
      </c>
      <c r="BT116" s="430">
        <f t="shared" si="1627"/>
        <v>0</v>
      </c>
      <c r="BU116" s="431">
        <f t="shared" si="1627"/>
        <v>0</v>
      </c>
      <c r="BV116" s="432">
        <f t="shared" si="1627"/>
        <v>0</v>
      </c>
      <c r="BW116" s="432">
        <f t="shared" si="1627"/>
        <v>0</v>
      </c>
      <c r="BX116" s="433">
        <f t="shared" si="1627"/>
        <v>0</v>
      </c>
      <c r="BY116" s="430">
        <f t="shared" si="1627"/>
        <v>0</v>
      </c>
      <c r="BZ116" s="431">
        <f t="shared" si="1627"/>
        <v>0</v>
      </c>
      <c r="CA116" s="432">
        <f t="shared" si="1627"/>
        <v>0</v>
      </c>
      <c r="CB116" s="432">
        <f t="shared" si="1627"/>
        <v>0</v>
      </c>
      <c r="CC116" s="433">
        <f t="shared" si="1627"/>
        <v>0</v>
      </c>
      <c r="CD116" s="430">
        <f t="shared" si="1627"/>
        <v>0</v>
      </c>
      <c r="CE116" s="431">
        <f t="shared" si="1627"/>
        <v>0</v>
      </c>
      <c r="CF116" s="432">
        <f t="shared" si="1627"/>
        <v>0</v>
      </c>
      <c r="CG116" s="432">
        <f t="shared" si="1627"/>
        <v>0</v>
      </c>
      <c r="CH116" s="433">
        <f t="shared" si="1627"/>
        <v>0</v>
      </c>
      <c r="CI116" s="430">
        <f t="shared" si="1627"/>
        <v>0</v>
      </c>
      <c r="CJ116" s="431">
        <f t="shared" si="1627"/>
        <v>0</v>
      </c>
      <c r="CK116" s="432">
        <f t="shared" si="1627"/>
        <v>0</v>
      </c>
      <c r="CL116" s="432">
        <f t="shared" si="1627"/>
        <v>0</v>
      </c>
      <c r="CM116" s="433">
        <f t="shared" si="1627"/>
        <v>0</v>
      </c>
      <c r="CN116" s="430">
        <f t="shared" si="1627"/>
        <v>0</v>
      </c>
      <c r="CO116" s="431">
        <f t="shared" si="1627"/>
        <v>0</v>
      </c>
      <c r="CP116" s="432">
        <f t="shared" si="1627"/>
        <v>0</v>
      </c>
      <c r="CQ116" s="432">
        <f t="shared" si="1627"/>
        <v>0</v>
      </c>
      <c r="CR116" s="433">
        <f t="shared" si="1627"/>
        <v>0</v>
      </c>
      <c r="CS116" s="430">
        <f t="shared" si="1627"/>
        <v>0</v>
      </c>
      <c r="CT116" s="431">
        <f t="shared" si="1627"/>
        <v>0</v>
      </c>
      <c r="CU116" s="432">
        <f t="shared" si="1627"/>
        <v>0</v>
      </c>
      <c r="CV116" s="432">
        <f t="shared" ref="CV116:DR116" si="1628">SUM(CV111:CV115)</f>
        <v>0</v>
      </c>
      <c r="CW116" s="433">
        <f t="shared" si="1628"/>
        <v>0</v>
      </c>
      <c r="CX116" s="430">
        <f t="shared" si="1628"/>
        <v>0</v>
      </c>
      <c r="CY116" s="431">
        <f t="shared" si="1628"/>
        <v>0</v>
      </c>
      <c r="CZ116" s="432">
        <f t="shared" si="1628"/>
        <v>0</v>
      </c>
      <c r="DA116" s="432">
        <f t="shared" si="1628"/>
        <v>0</v>
      </c>
      <c r="DB116" s="433">
        <f t="shared" si="1628"/>
        <v>0</v>
      </c>
      <c r="DC116" s="430">
        <f t="shared" si="1628"/>
        <v>0</v>
      </c>
      <c r="DD116" s="431">
        <f t="shared" si="1628"/>
        <v>0</v>
      </c>
      <c r="DE116" s="432">
        <f t="shared" si="1628"/>
        <v>0</v>
      </c>
      <c r="DF116" s="432">
        <f t="shared" si="1628"/>
        <v>0</v>
      </c>
      <c r="DG116" s="433">
        <f t="shared" si="1628"/>
        <v>0</v>
      </c>
      <c r="DH116" s="430">
        <f t="shared" si="1628"/>
        <v>0</v>
      </c>
      <c r="DI116" s="431">
        <f t="shared" si="1628"/>
        <v>0</v>
      </c>
      <c r="DJ116" s="432">
        <f t="shared" si="1628"/>
        <v>0</v>
      </c>
      <c r="DK116" s="432">
        <f t="shared" si="1628"/>
        <v>3.125</v>
      </c>
      <c r="DL116" s="433">
        <f t="shared" si="1628"/>
        <v>3.125</v>
      </c>
      <c r="DM116" s="430">
        <f t="shared" si="1628"/>
        <v>6.25</v>
      </c>
      <c r="DN116" s="431">
        <f t="shared" si="1628"/>
        <v>3.125</v>
      </c>
      <c r="DO116" s="432">
        <f t="shared" si="1628"/>
        <v>3.125</v>
      </c>
      <c r="DP116" s="432">
        <f t="shared" si="1628"/>
        <v>6.25</v>
      </c>
      <c r="DQ116" s="433">
        <f t="shared" si="1628"/>
        <v>6.25</v>
      </c>
      <c r="DR116" s="430">
        <f t="shared" si="1628"/>
        <v>18.75</v>
      </c>
    </row>
    <row r="117" spans="1:122" ht="12.75" customHeight="1">
      <c r="A117" s="92"/>
      <c r="B117" s="92"/>
      <c r="C117" s="410"/>
      <c r="D117" s="410"/>
      <c r="E117" s="538"/>
      <c r="F117" s="535"/>
      <c r="G117" s="535"/>
      <c r="H117" s="578"/>
      <c r="I117" s="600"/>
      <c r="J117" s="459"/>
      <c r="K117" s="528"/>
      <c r="L117" s="441"/>
      <c r="M117" s="442"/>
      <c r="N117" s="442"/>
      <c r="O117" s="443"/>
      <c r="P117" s="440"/>
      <c r="Q117" s="441"/>
      <c r="R117" s="442"/>
      <c r="S117" s="442"/>
      <c r="T117" s="443"/>
      <c r="U117" s="440"/>
      <c r="V117" s="441"/>
      <c r="W117" s="442"/>
      <c r="X117" s="442"/>
      <c r="Y117" s="443"/>
      <c r="Z117" s="440"/>
      <c r="AA117" s="441"/>
      <c r="AB117" s="442"/>
      <c r="AC117" s="442"/>
      <c r="AD117" s="443"/>
      <c r="AE117" s="440"/>
      <c r="AF117" s="441"/>
      <c r="AG117" s="442"/>
      <c r="AH117" s="442"/>
      <c r="AI117" s="443"/>
      <c r="AJ117" s="440"/>
      <c r="AK117" s="441"/>
      <c r="AL117" s="442"/>
      <c r="AM117" s="442"/>
      <c r="AN117" s="443"/>
      <c r="AO117" s="440"/>
      <c r="AP117" s="441"/>
      <c r="AQ117" s="442"/>
      <c r="AR117" s="442"/>
      <c r="AS117" s="443"/>
      <c r="AT117" s="440"/>
      <c r="AU117" s="441"/>
      <c r="AV117" s="442"/>
      <c r="AW117" s="442"/>
      <c r="AX117" s="443"/>
      <c r="AY117" s="440"/>
      <c r="AZ117" s="441"/>
      <c r="BA117" s="442"/>
      <c r="BB117" s="442"/>
      <c r="BC117" s="443"/>
      <c r="BD117" s="440"/>
      <c r="BE117" s="441"/>
      <c r="BF117" s="442"/>
      <c r="BG117" s="442"/>
      <c r="BH117" s="443"/>
      <c r="BI117" s="440"/>
      <c r="BJ117" s="441"/>
      <c r="BK117" s="442"/>
      <c r="BL117" s="442"/>
      <c r="BM117" s="443"/>
      <c r="BN117" s="440"/>
      <c r="BO117" s="463"/>
      <c r="BP117" s="441"/>
      <c r="BQ117" s="442"/>
      <c r="BR117" s="442"/>
      <c r="BS117" s="443"/>
      <c r="BT117" s="440"/>
      <c r="BU117" s="441"/>
      <c r="BV117" s="442"/>
      <c r="BW117" s="442"/>
      <c r="BX117" s="443"/>
      <c r="BY117" s="440"/>
      <c r="BZ117" s="441"/>
      <c r="CA117" s="442"/>
      <c r="CB117" s="442"/>
      <c r="CC117" s="443"/>
      <c r="CD117" s="440"/>
      <c r="CE117" s="441"/>
      <c r="CF117" s="442"/>
      <c r="CG117" s="442"/>
      <c r="CH117" s="443"/>
      <c r="CI117" s="440"/>
      <c r="CJ117" s="441"/>
      <c r="CK117" s="442"/>
      <c r="CL117" s="442"/>
      <c r="CM117" s="443"/>
      <c r="CN117" s="440"/>
      <c r="CO117" s="441"/>
      <c r="CP117" s="442"/>
      <c r="CQ117" s="442"/>
      <c r="CR117" s="443"/>
      <c r="CS117" s="440"/>
      <c r="CT117" s="441"/>
      <c r="CU117" s="442"/>
      <c r="CV117" s="442"/>
      <c r="CW117" s="443"/>
      <c r="CX117" s="440"/>
      <c r="CY117" s="441"/>
      <c r="CZ117" s="442"/>
      <c r="DA117" s="442"/>
      <c r="DB117" s="443"/>
      <c r="DC117" s="440"/>
      <c r="DD117" s="441"/>
      <c r="DE117" s="442"/>
      <c r="DF117" s="442"/>
      <c r="DG117" s="443"/>
      <c r="DH117" s="440"/>
      <c r="DI117" s="441"/>
      <c r="DJ117" s="442"/>
      <c r="DK117" s="442"/>
      <c r="DL117" s="443"/>
      <c r="DM117" s="440"/>
      <c r="DN117" s="441"/>
      <c r="DO117" s="442"/>
      <c r="DP117" s="442"/>
      <c r="DQ117" s="443"/>
      <c r="DR117" s="440"/>
    </row>
    <row r="118" spans="1:122" ht="12.75" customHeight="1">
      <c r="A118" s="92"/>
      <c r="B118" s="92"/>
      <c r="C118" s="400" t="s">
        <v>310</v>
      </c>
      <c r="D118" s="400"/>
      <c r="E118" s="538"/>
      <c r="F118" s="535"/>
      <c r="G118" s="535"/>
      <c r="H118" s="580"/>
      <c r="I118" s="602"/>
      <c r="J118" s="617"/>
      <c r="K118" s="537"/>
      <c r="L118" s="431">
        <f t="shared" ref="L118:AQ118" si="1629">+SUM(L116,L108)</f>
        <v>0</v>
      </c>
      <c r="M118" s="432">
        <f t="shared" si="1629"/>
        <v>0</v>
      </c>
      <c r="N118" s="432">
        <f t="shared" si="1629"/>
        <v>0</v>
      </c>
      <c r="O118" s="433">
        <f t="shared" si="1629"/>
        <v>0</v>
      </c>
      <c r="P118" s="430">
        <f t="shared" si="1629"/>
        <v>0</v>
      </c>
      <c r="Q118" s="431">
        <f t="shared" si="1629"/>
        <v>0</v>
      </c>
      <c r="R118" s="432">
        <f t="shared" si="1629"/>
        <v>0</v>
      </c>
      <c r="S118" s="432">
        <f t="shared" si="1629"/>
        <v>0</v>
      </c>
      <c r="T118" s="433">
        <f t="shared" si="1629"/>
        <v>0</v>
      </c>
      <c r="U118" s="430">
        <f t="shared" si="1629"/>
        <v>0</v>
      </c>
      <c r="V118" s="431">
        <f t="shared" si="1629"/>
        <v>0</v>
      </c>
      <c r="W118" s="432">
        <f t="shared" si="1629"/>
        <v>0</v>
      </c>
      <c r="X118" s="432">
        <f t="shared" si="1629"/>
        <v>0</v>
      </c>
      <c r="Y118" s="433">
        <f t="shared" si="1629"/>
        <v>0</v>
      </c>
      <c r="Z118" s="430">
        <f t="shared" si="1629"/>
        <v>0</v>
      </c>
      <c r="AA118" s="431">
        <f t="shared" si="1629"/>
        <v>0</v>
      </c>
      <c r="AB118" s="432">
        <f t="shared" si="1629"/>
        <v>0</v>
      </c>
      <c r="AC118" s="432">
        <f t="shared" si="1629"/>
        <v>0</v>
      </c>
      <c r="AD118" s="433">
        <f t="shared" si="1629"/>
        <v>0</v>
      </c>
      <c r="AE118" s="430">
        <f t="shared" si="1629"/>
        <v>0</v>
      </c>
      <c r="AF118" s="431">
        <f t="shared" si="1629"/>
        <v>0</v>
      </c>
      <c r="AG118" s="432">
        <f t="shared" si="1629"/>
        <v>0</v>
      </c>
      <c r="AH118" s="432">
        <f t="shared" si="1629"/>
        <v>0</v>
      </c>
      <c r="AI118" s="433">
        <f t="shared" si="1629"/>
        <v>0</v>
      </c>
      <c r="AJ118" s="430">
        <f t="shared" si="1629"/>
        <v>0</v>
      </c>
      <c r="AK118" s="431">
        <f t="shared" si="1629"/>
        <v>0</v>
      </c>
      <c r="AL118" s="432">
        <f t="shared" si="1629"/>
        <v>0</v>
      </c>
      <c r="AM118" s="432">
        <f t="shared" si="1629"/>
        <v>0</v>
      </c>
      <c r="AN118" s="433">
        <f t="shared" si="1629"/>
        <v>0</v>
      </c>
      <c r="AO118" s="430">
        <f t="shared" si="1629"/>
        <v>0</v>
      </c>
      <c r="AP118" s="431">
        <f t="shared" si="1629"/>
        <v>-28.524999999999999</v>
      </c>
      <c r="AQ118" s="432">
        <f t="shared" si="1629"/>
        <v>-5.0956039999999998</v>
      </c>
      <c r="AR118" s="432">
        <f t="shared" ref="AR118:BN118" si="1630">+SUM(AR116,AR108)</f>
        <v>-129.61000000000001</v>
      </c>
      <c r="AS118" s="433">
        <f t="shared" si="1630"/>
        <v>0</v>
      </c>
      <c r="AT118" s="430">
        <f t="shared" si="1630"/>
        <v>-163.23060400000003</v>
      </c>
      <c r="AU118" s="431">
        <f t="shared" si="1630"/>
        <v>0</v>
      </c>
      <c r="AV118" s="432">
        <f t="shared" si="1630"/>
        <v>-141.26</v>
      </c>
      <c r="AW118" s="432">
        <f t="shared" si="1630"/>
        <v>-43</v>
      </c>
      <c r="AX118" s="433">
        <f t="shared" si="1630"/>
        <v>0</v>
      </c>
      <c r="AY118" s="430">
        <f t="shared" si="1630"/>
        <v>-184.26</v>
      </c>
      <c r="AZ118" s="431">
        <f t="shared" si="1630"/>
        <v>0</v>
      </c>
      <c r="BA118" s="432">
        <f t="shared" si="1630"/>
        <v>-90.14</v>
      </c>
      <c r="BB118" s="432">
        <f t="shared" si="1630"/>
        <v>0</v>
      </c>
      <c r="BC118" s="433">
        <f t="shared" si="1630"/>
        <v>-155.53200000000001</v>
      </c>
      <c r="BD118" s="430">
        <f t="shared" si="1630"/>
        <v>-245.67200000000003</v>
      </c>
      <c r="BE118" s="431">
        <f t="shared" si="1630"/>
        <v>0</v>
      </c>
      <c r="BF118" s="432">
        <f t="shared" si="1630"/>
        <v>0</v>
      </c>
      <c r="BG118" s="432">
        <f t="shared" si="1630"/>
        <v>73</v>
      </c>
      <c r="BH118" s="433">
        <f t="shared" si="1630"/>
        <v>0</v>
      </c>
      <c r="BI118" s="430">
        <f t="shared" si="1630"/>
        <v>73</v>
      </c>
      <c r="BJ118" s="431">
        <f t="shared" si="1630"/>
        <v>0</v>
      </c>
      <c r="BK118" s="432">
        <f t="shared" si="1630"/>
        <v>0</v>
      </c>
      <c r="BL118" s="432">
        <f t="shared" si="1630"/>
        <v>167.69499999999999</v>
      </c>
      <c r="BM118" s="433">
        <f t="shared" si="1630"/>
        <v>0</v>
      </c>
      <c r="BN118" s="430">
        <f t="shared" si="1630"/>
        <v>167.69499999999999</v>
      </c>
      <c r="BO118" s="469"/>
      <c r="BP118" s="431">
        <f t="shared" ref="BP118:CU118" si="1631">+SUM(BP116,BP108)</f>
        <v>0</v>
      </c>
      <c r="BQ118" s="432">
        <f t="shared" si="1631"/>
        <v>0</v>
      </c>
      <c r="BR118" s="432">
        <f t="shared" si="1631"/>
        <v>0</v>
      </c>
      <c r="BS118" s="433">
        <f t="shared" si="1631"/>
        <v>0</v>
      </c>
      <c r="BT118" s="430">
        <f t="shared" si="1631"/>
        <v>0</v>
      </c>
      <c r="BU118" s="431">
        <f t="shared" si="1631"/>
        <v>0</v>
      </c>
      <c r="BV118" s="432">
        <f t="shared" si="1631"/>
        <v>0</v>
      </c>
      <c r="BW118" s="432">
        <f t="shared" si="1631"/>
        <v>0</v>
      </c>
      <c r="BX118" s="433">
        <f t="shared" si="1631"/>
        <v>0</v>
      </c>
      <c r="BY118" s="430">
        <f t="shared" si="1631"/>
        <v>0</v>
      </c>
      <c r="BZ118" s="431">
        <f t="shared" si="1631"/>
        <v>0</v>
      </c>
      <c r="CA118" s="432">
        <f t="shared" si="1631"/>
        <v>0</v>
      </c>
      <c r="CB118" s="432">
        <f t="shared" si="1631"/>
        <v>0</v>
      </c>
      <c r="CC118" s="433">
        <f t="shared" si="1631"/>
        <v>0</v>
      </c>
      <c r="CD118" s="430">
        <f t="shared" si="1631"/>
        <v>0</v>
      </c>
      <c r="CE118" s="431">
        <f t="shared" si="1631"/>
        <v>0</v>
      </c>
      <c r="CF118" s="432">
        <f t="shared" si="1631"/>
        <v>0</v>
      </c>
      <c r="CG118" s="432">
        <f t="shared" si="1631"/>
        <v>0</v>
      </c>
      <c r="CH118" s="433">
        <f t="shared" si="1631"/>
        <v>0</v>
      </c>
      <c r="CI118" s="430">
        <f t="shared" si="1631"/>
        <v>0</v>
      </c>
      <c r="CJ118" s="431">
        <f t="shared" si="1631"/>
        <v>0</v>
      </c>
      <c r="CK118" s="432">
        <f t="shared" si="1631"/>
        <v>0</v>
      </c>
      <c r="CL118" s="432">
        <f t="shared" si="1631"/>
        <v>0</v>
      </c>
      <c r="CM118" s="433">
        <f t="shared" si="1631"/>
        <v>0</v>
      </c>
      <c r="CN118" s="430">
        <f t="shared" si="1631"/>
        <v>0</v>
      </c>
      <c r="CO118" s="431">
        <f t="shared" si="1631"/>
        <v>0</v>
      </c>
      <c r="CP118" s="432">
        <f t="shared" si="1631"/>
        <v>0</v>
      </c>
      <c r="CQ118" s="432">
        <f t="shared" si="1631"/>
        <v>0</v>
      </c>
      <c r="CR118" s="433">
        <f t="shared" si="1631"/>
        <v>0</v>
      </c>
      <c r="CS118" s="430">
        <f t="shared" si="1631"/>
        <v>0</v>
      </c>
      <c r="CT118" s="431">
        <f t="shared" si="1631"/>
        <v>-5.1107291666666659E-2</v>
      </c>
      <c r="CU118" s="432">
        <f t="shared" si="1631"/>
        <v>-0.19147678166666665</v>
      </c>
      <c r="CV118" s="432">
        <f t="shared" ref="CV118:DR118" si="1632">+SUM(CV116,CV108)</f>
        <v>-0.53780742833333339</v>
      </c>
      <c r="CW118" s="433">
        <f t="shared" si="1632"/>
        <v>-1.0778490950000001</v>
      </c>
      <c r="CX118" s="430">
        <f t="shared" si="1632"/>
        <v>-1.8582405966666669</v>
      </c>
      <c r="CY118" s="431">
        <f t="shared" si="1632"/>
        <v>-1.0267418033333335</v>
      </c>
      <c r="CZ118" s="432">
        <f t="shared" si="1632"/>
        <v>-1.5491171466666667</v>
      </c>
      <c r="DA118" s="432">
        <f t="shared" si="1632"/>
        <v>-2.8642136666666662</v>
      </c>
      <c r="DB118" s="433">
        <f t="shared" si="1632"/>
        <v>-2.3241719999999999</v>
      </c>
      <c r="DC118" s="430">
        <f t="shared" si="1632"/>
        <v>-7.7642446166666668</v>
      </c>
      <c r="DD118" s="431">
        <f t="shared" si="1632"/>
        <v>-2.3241719999999999</v>
      </c>
      <c r="DE118" s="432">
        <f t="shared" si="1632"/>
        <v>-2.1121271666666663</v>
      </c>
      <c r="DF118" s="432">
        <f t="shared" si="1632"/>
        <v>-0.67604999999999993</v>
      </c>
      <c r="DG118" s="433">
        <f t="shared" si="1632"/>
        <v>-2.9118225000000004</v>
      </c>
      <c r="DH118" s="430">
        <f t="shared" si="1632"/>
        <v>-8.0241716666666658</v>
      </c>
      <c r="DI118" s="431">
        <f t="shared" si="1632"/>
        <v>-2.9118225000000004</v>
      </c>
      <c r="DJ118" s="432">
        <f t="shared" si="1632"/>
        <v>-2.4611225000000005</v>
      </c>
      <c r="DK118" s="432">
        <f t="shared" si="1632"/>
        <v>-0.79227250000000016</v>
      </c>
      <c r="DL118" s="433">
        <f t="shared" si="1632"/>
        <v>0.6027499999999999</v>
      </c>
      <c r="DM118" s="430">
        <f t="shared" si="1632"/>
        <v>-5.5624675000000003</v>
      </c>
      <c r="DN118" s="431">
        <f t="shared" si="1632"/>
        <v>0.6027499999999999</v>
      </c>
      <c r="DO118" s="432">
        <f t="shared" si="1632"/>
        <v>0.6027499999999999</v>
      </c>
      <c r="DP118" s="432">
        <f t="shared" si="1632"/>
        <v>0.79350791666666609</v>
      </c>
      <c r="DQ118" s="433">
        <f t="shared" si="1632"/>
        <v>-4.1113124999999862E-2</v>
      </c>
      <c r="DR118" s="430">
        <f t="shared" si="1632"/>
        <v>1.9578947916666678</v>
      </c>
    </row>
    <row r="119" spans="1:122" ht="12.75" customHeight="1" thickBot="1">
      <c r="A119" s="92"/>
      <c r="B119" s="385"/>
      <c r="C119" s="411"/>
      <c r="D119" s="411"/>
      <c r="E119" s="539"/>
      <c r="F119" s="540"/>
      <c r="G119" s="540"/>
      <c r="H119" s="581"/>
      <c r="I119" s="603"/>
      <c r="J119" s="618"/>
      <c r="K119" s="572"/>
      <c r="L119" s="450"/>
      <c r="M119" s="451"/>
      <c r="N119" s="451"/>
      <c r="O119" s="452"/>
      <c r="P119" s="457"/>
      <c r="Q119" s="450"/>
      <c r="R119" s="451"/>
      <c r="S119" s="451"/>
      <c r="T119" s="452"/>
      <c r="U119" s="457"/>
      <c r="V119" s="450"/>
      <c r="W119" s="451"/>
      <c r="X119" s="451"/>
      <c r="Y119" s="452"/>
      <c r="Z119" s="457"/>
      <c r="AA119" s="450"/>
      <c r="AB119" s="451"/>
      <c r="AC119" s="451"/>
      <c r="AD119" s="452"/>
      <c r="AE119" s="457"/>
      <c r="AF119" s="450"/>
      <c r="AG119" s="451"/>
      <c r="AH119" s="451"/>
      <c r="AI119" s="452"/>
      <c r="AJ119" s="457"/>
      <c r="AK119" s="450"/>
      <c r="AL119" s="451"/>
      <c r="AM119" s="451"/>
      <c r="AN119" s="452"/>
      <c r="AO119" s="457"/>
      <c r="AP119" s="450"/>
      <c r="AQ119" s="451"/>
      <c r="AR119" s="451"/>
      <c r="AS119" s="452"/>
      <c r="AT119" s="457"/>
      <c r="AU119" s="450"/>
      <c r="AV119" s="451"/>
      <c r="AW119" s="451"/>
      <c r="AX119" s="452"/>
      <c r="AY119" s="457"/>
      <c r="AZ119" s="450"/>
      <c r="BA119" s="451"/>
      <c r="BB119" s="451"/>
      <c r="BC119" s="452"/>
      <c r="BD119" s="457"/>
      <c r="BE119" s="450"/>
      <c r="BF119" s="451"/>
      <c r="BG119" s="451"/>
      <c r="BH119" s="452"/>
      <c r="BI119" s="457"/>
      <c r="BJ119" s="450"/>
      <c r="BK119" s="451"/>
      <c r="BL119" s="451"/>
      <c r="BM119" s="452"/>
      <c r="BN119" s="457"/>
      <c r="BO119" s="471"/>
      <c r="BP119" s="450"/>
      <c r="BQ119" s="451"/>
      <c r="BR119" s="451"/>
      <c r="BS119" s="452"/>
      <c r="BT119" s="457"/>
      <c r="BU119" s="450"/>
      <c r="BV119" s="451"/>
      <c r="BW119" s="451"/>
      <c r="BX119" s="452"/>
      <c r="BY119" s="457"/>
      <c r="BZ119" s="450"/>
      <c r="CA119" s="451"/>
      <c r="CB119" s="451"/>
      <c r="CC119" s="452"/>
      <c r="CD119" s="457"/>
      <c r="CE119" s="450"/>
      <c r="CF119" s="451"/>
      <c r="CG119" s="451"/>
      <c r="CH119" s="452"/>
      <c r="CI119" s="457"/>
      <c r="CJ119" s="450"/>
      <c r="CK119" s="451"/>
      <c r="CL119" s="451"/>
      <c r="CM119" s="452"/>
      <c r="CN119" s="457"/>
      <c r="CO119" s="450"/>
      <c r="CP119" s="451"/>
      <c r="CQ119" s="451"/>
      <c r="CR119" s="452"/>
      <c r="CS119" s="457"/>
      <c r="CT119" s="450"/>
      <c r="CU119" s="451"/>
      <c r="CV119" s="451"/>
      <c r="CW119" s="452"/>
      <c r="CX119" s="457"/>
      <c r="CY119" s="450"/>
      <c r="CZ119" s="451"/>
      <c r="DA119" s="451"/>
      <c r="DB119" s="452"/>
      <c r="DC119" s="457"/>
      <c r="DD119" s="450"/>
      <c r="DE119" s="451"/>
      <c r="DF119" s="451"/>
      <c r="DG119" s="452"/>
      <c r="DH119" s="457"/>
      <c r="DI119" s="450"/>
      <c r="DJ119" s="451"/>
      <c r="DK119" s="451"/>
      <c r="DL119" s="452"/>
      <c r="DM119" s="457"/>
      <c r="DN119" s="450"/>
      <c r="DO119" s="451"/>
      <c r="DP119" s="451"/>
      <c r="DQ119" s="452"/>
      <c r="DR119" s="457"/>
    </row>
    <row r="120" spans="1:122" ht="12.75" customHeight="1">
      <c r="A120" s="92"/>
      <c r="B120" s="386"/>
      <c r="C120" s="400"/>
      <c r="D120" s="400"/>
      <c r="E120" s="538"/>
      <c r="F120" s="535"/>
      <c r="G120" s="535"/>
      <c r="H120" s="578"/>
      <c r="I120" s="600"/>
      <c r="J120" s="459"/>
      <c r="K120" s="528"/>
      <c r="L120" s="441"/>
      <c r="M120" s="442"/>
      <c r="N120" s="442"/>
      <c r="O120" s="443"/>
      <c r="P120" s="440"/>
      <c r="Q120" s="441"/>
      <c r="R120" s="442"/>
      <c r="S120" s="442"/>
      <c r="T120" s="443"/>
      <c r="U120" s="440"/>
      <c r="V120" s="441"/>
      <c r="W120" s="442"/>
      <c r="X120" s="442"/>
      <c r="Y120" s="443"/>
      <c r="Z120" s="440"/>
      <c r="AA120" s="441"/>
      <c r="AB120" s="442"/>
      <c r="AC120" s="442"/>
      <c r="AD120" s="443"/>
      <c r="AE120" s="440"/>
      <c r="AF120" s="441"/>
      <c r="AG120" s="442"/>
      <c r="AH120" s="442"/>
      <c r="AI120" s="443"/>
      <c r="AJ120" s="440"/>
      <c r="AK120" s="441"/>
      <c r="AL120" s="442"/>
      <c r="AM120" s="442"/>
      <c r="AN120" s="443"/>
      <c r="AO120" s="440"/>
      <c r="AP120" s="441"/>
      <c r="AQ120" s="442"/>
      <c r="AR120" s="442"/>
      <c r="AS120" s="443"/>
      <c r="AT120" s="440"/>
      <c r="AU120" s="441"/>
      <c r="AV120" s="442"/>
      <c r="AW120" s="442"/>
      <c r="AX120" s="443"/>
      <c r="AY120" s="440"/>
      <c r="AZ120" s="441"/>
      <c r="BA120" s="442"/>
      <c r="BB120" s="442"/>
      <c r="BC120" s="443"/>
      <c r="BD120" s="440"/>
      <c r="BE120" s="441"/>
      <c r="BF120" s="442"/>
      <c r="BG120" s="442"/>
      <c r="BH120" s="443"/>
      <c r="BI120" s="440"/>
      <c r="BJ120" s="441"/>
      <c r="BK120" s="442"/>
      <c r="BL120" s="442"/>
      <c r="BM120" s="443"/>
      <c r="BN120" s="440"/>
      <c r="BO120" s="463"/>
      <c r="BP120" s="441"/>
      <c r="BQ120" s="442"/>
      <c r="BR120" s="442"/>
      <c r="BS120" s="443"/>
      <c r="BT120" s="440"/>
      <c r="BU120" s="441"/>
      <c r="BV120" s="442"/>
      <c r="BW120" s="442"/>
      <c r="BX120" s="443"/>
      <c r="BY120" s="440"/>
      <c r="BZ120" s="441"/>
      <c r="CA120" s="442"/>
      <c r="CB120" s="442"/>
      <c r="CC120" s="443"/>
      <c r="CD120" s="440"/>
      <c r="CE120" s="441"/>
      <c r="CF120" s="442"/>
      <c r="CG120" s="442"/>
      <c r="CH120" s="443"/>
      <c r="CI120" s="440"/>
      <c r="CJ120" s="441"/>
      <c r="CK120" s="442"/>
      <c r="CL120" s="442"/>
      <c r="CM120" s="443"/>
      <c r="CN120" s="440"/>
      <c r="CO120" s="441"/>
      <c r="CP120" s="442"/>
      <c r="CQ120" s="442"/>
      <c r="CR120" s="443"/>
      <c r="CS120" s="440"/>
      <c r="CT120" s="441"/>
      <c r="CU120" s="442"/>
      <c r="CV120" s="442"/>
      <c r="CW120" s="443"/>
      <c r="CX120" s="440"/>
      <c r="CY120" s="441"/>
      <c r="CZ120" s="442"/>
      <c r="DA120" s="442"/>
      <c r="DB120" s="443"/>
      <c r="DC120" s="440"/>
      <c r="DD120" s="441"/>
      <c r="DE120" s="442"/>
      <c r="DF120" s="442"/>
      <c r="DG120" s="443"/>
      <c r="DH120" s="440"/>
      <c r="DI120" s="441"/>
      <c r="DJ120" s="442"/>
      <c r="DK120" s="442"/>
      <c r="DL120" s="443"/>
      <c r="DM120" s="440"/>
      <c r="DN120" s="441"/>
      <c r="DO120" s="442"/>
      <c r="DP120" s="442"/>
      <c r="DQ120" s="443"/>
      <c r="DR120" s="440"/>
    </row>
    <row r="121" spans="1:122" ht="12.75" customHeight="1">
      <c r="A121" s="92"/>
      <c r="B121" s="126" t="s">
        <v>123</v>
      </c>
      <c r="C121" s="193"/>
      <c r="D121" s="525"/>
      <c r="E121" s="538"/>
      <c r="F121" s="535"/>
      <c r="G121" s="535"/>
      <c r="H121" s="588"/>
      <c r="I121" s="604"/>
      <c r="J121" s="619"/>
      <c r="K121" s="528"/>
      <c r="L121" s="441"/>
      <c r="M121" s="442"/>
      <c r="N121" s="442"/>
      <c r="O121" s="443"/>
      <c r="P121" s="440"/>
      <c r="Q121" s="441"/>
      <c r="R121" s="442"/>
      <c r="S121" s="442"/>
      <c r="T121" s="443"/>
      <c r="U121" s="440"/>
      <c r="V121" s="441"/>
      <c r="W121" s="442"/>
      <c r="X121" s="442"/>
      <c r="Y121" s="443"/>
      <c r="Z121" s="440"/>
      <c r="AA121" s="441"/>
      <c r="AB121" s="442"/>
      <c r="AC121" s="442"/>
      <c r="AD121" s="443"/>
      <c r="AE121" s="440"/>
      <c r="AF121" s="441"/>
      <c r="AG121" s="442"/>
      <c r="AH121" s="442"/>
      <c r="AI121" s="443"/>
      <c r="AJ121" s="440"/>
      <c r="AK121" s="441"/>
      <c r="AL121" s="442"/>
      <c r="AM121" s="442"/>
      <c r="AN121" s="443"/>
      <c r="AO121" s="440"/>
      <c r="AP121" s="441"/>
      <c r="AQ121" s="442"/>
      <c r="AR121" s="442"/>
      <c r="AS121" s="443"/>
      <c r="AT121" s="440"/>
      <c r="AU121" s="441"/>
      <c r="AV121" s="442"/>
      <c r="AW121" s="442"/>
      <c r="AX121" s="443"/>
      <c r="AY121" s="440"/>
      <c r="AZ121" s="441"/>
      <c r="BA121" s="442"/>
      <c r="BB121" s="442"/>
      <c r="BC121" s="443"/>
      <c r="BD121" s="440"/>
      <c r="BE121" s="441"/>
      <c r="BF121" s="442"/>
      <c r="BG121" s="442"/>
      <c r="BH121" s="443"/>
      <c r="BI121" s="440"/>
      <c r="BJ121" s="441"/>
      <c r="BK121" s="442"/>
      <c r="BL121" s="442"/>
      <c r="BM121" s="443"/>
      <c r="BN121" s="440"/>
      <c r="BO121" s="463"/>
      <c r="BP121" s="441"/>
      <c r="BQ121" s="442"/>
      <c r="BR121" s="442"/>
      <c r="BS121" s="443"/>
      <c r="BT121" s="440"/>
      <c r="BU121" s="441"/>
      <c r="BV121" s="442"/>
      <c r="BW121" s="442"/>
      <c r="BX121" s="443"/>
      <c r="BY121" s="440"/>
      <c r="BZ121" s="441"/>
      <c r="CA121" s="442"/>
      <c r="CB121" s="442"/>
      <c r="CC121" s="443"/>
      <c r="CD121" s="440"/>
      <c r="CE121" s="441"/>
      <c r="CF121" s="442"/>
      <c r="CG121" s="442"/>
      <c r="CH121" s="443"/>
      <c r="CI121" s="440"/>
      <c r="CJ121" s="441"/>
      <c r="CK121" s="442"/>
      <c r="CL121" s="442"/>
      <c r="CM121" s="443"/>
      <c r="CN121" s="440"/>
      <c r="CO121" s="441"/>
      <c r="CP121" s="442"/>
      <c r="CQ121" s="442"/>
      <c r="CR121" s="443"/>
      <c r="CS121" s="440"/>
      <c r="CT121" s="441"/>
      <c r="CU121" s="442"/>
      <c r="CV121" s="442"/>
      <c r="CW121" s="443"/>
      <c r="CX121" s="440"/>
      <c r="CY121" s="441"/>
      <c r="CZ121" s="442"/>
      <c r="DA121" s="442"/>
      <c r="DB121" s="443"/>
      <c r="DC121" s="440"/>
      <c r="DD121" s="441"/>
      <c r="DE121" s="442"/>
      <c r="DF121" s="442"/>
      <c r="DG121" s="443"/>
      <c r="DH121" s="440"/>
      <c r="DI121" s="441"/>
      <c r="DJ121" s="442"/>
      <c r="DK121" s="442"/>
      <c r="DL121" s="443"/>
      <c r="DM121" s="440"/>
      <c r="DN121" s="441"/>
      <c r="DO121" s="442"/>
      <c r="DP121" s="442"/>
      <c r="DQ121" s="443"/>
      <c r="DR121" s="440"/>
    </row>
    <row r="122" spans="1:122" ht="12.75" customHeight="1">
      <c r="A122" s="92"/>
      <c r="B122" s="92"/>
      <c r="C122" s="404"/>
      <c r="D122" s="404"/>
      <c r="E122" s="573"/>
      <c r="F122" s="573"/>
      <c r="G122" s="573"/>
      <c r="H122" s="589"/>
      <c r="I122" s="608"/>
      <c r="J122" s="622"/>
      <c r="K122" s="567"/>
      <c r="L122" s="441"/>
      <c r="M122" s="442"/>
      <c r="N122" s="442"/>
      <c r="O122" s="443"/>
      <c r="P122" s="440"/>
      <c r="Q122" s="441"/>
      <c r="R122" s="442"/>
      <c r="S122" s="442"/>
      <c r="T122" s="443"/>
      <c r="U122" s="440"/>
      <c r="V122" s="441"/>
      <c r="W122" s="442"/>
      <c r="X122" s="442"/>
      <c r="Y122" s="443"/>
      <c r="Z122" s="440"/>
      <c r="AA122" s="441"/>
      <c r="AB122" s="442"/>
      <c r="AC122" s="442"/>
      <c r="AD122" s="443"/>
      <c r="AE122" s="440"/>
      <c r="AF122" s="441"/>
      <c r="AG122" s="442"/>
      <c r="AH122" s="442"/>
      <c r="AI122" s="443"/>
      <c r="AJ122" s="440"/>
      <c r="AK122" s="441"/>
      <c r="AL122" s="442"/>
      <c r="AM122" s="442"/>
      <c r="AN122" s="443"/>
      <c r="AO122" s="440"/>
      <c r="AP122" s="441"/>
      <c r="AQ122" s="442"/>
      <c r="AR122" s="442"/>
      <c r="AS122" s="443"/>
      <c r="AT122" s="440"/>
      <c r="AU122" s="441"/>
      <c r="AV122" s="442"/>
      <c r="AW122" s="442"/>
      <c r="AX122" s="443"/>
      <c r="AY122" s="440"/>
      <c r="AZ122" s="441"/>
      <c r="BA122" s="442"/>
      <c r="BB122" s="442"/>
      <c r="BC122" s="443"/>
      <c r="BD122" s="440"/>
      <c r="BE122" s="441"/>
      <c r="BF122" s="442"/>
      <c r="BG122" s="442"/>
      <c r="BH122" s="443"/>
      <c r="BI122" s="440"/>
      <c r="BJ122" s="441"/>
      <c r="BK122" s="442"/>
      <c r="BL122" s="442"/>
      <c r="BM122" s="443"/>
      <c r="BN122" s="440"/>
      <c r="BO122" s="463"/>
      <c r="BP122" s="441"/>
      <c r="BQ122" s="442"/>
      <c r="BR122" s="442"/>
      <c r="BS122" s="443"/>
      <c r="BT122" s="440"/>
      <c r="BU122" s="441"/>
      <c r="BV122" s="442"/>
      <c r="BW122" s="442"/>
      <c r="BX122" s="443"/>
      <c r="BY122" s="440"/>
      <c r="BZ122" s="441"/>
      <c r="CA122" s="442"/>
      <c r="CB122" s="442"/>
      <c r="CC122" s="443"/>
      <c r="CD122" s="440"/>
      <c r="CE122" s="441"/>
      <c r="CF122" s="442"/>
      <c r="CG122" s="442"/>
      <c r="CH122" s="443"/>
      <c r="CI122" s="440"/>
      <c r="CJ122" s="441"/>
      <c r="CK122" s="442"/>
      <c r="CL122" s="442"/>
      <c r="CM122" s="443"/>
      <c r="CN122" s="440"/>
      <c r="CO122" s="441"/>
      <c r="CP122" s="442"/>
      <c r="CQ122" s="442"/>
      <c r="CR122" s="443"/>
      <c r="CS122" s="440"/>
      <c r="CT122" s="441"/>
      <c r="CU122" s="442"/>
      <c r="CV122" s="442"/>
      <c r="CW122" s="443"/>
      <c r="CX122" s="440"/>
      <c r="CY122" s="441"/>
      <c r="CZ122" s="442"/>
      <c r="DA122" s="442"/>
      <c r="DB122" s="443"/>
      <c r="DC122" s="440"/>
      <c r="DD122" s="441"/>
      <c r="DE122" s="442"/>
      <c r="DF122" s="442"/>
      <c r="DG122" s="443"/>
      <c r="DH122" s="440"/>
      <c r="DI122" s="441"/>
      <c r="DJ122" s="442"/>
      <c r="DK122" s="442"/>
      <c r="DL122" s="443"/>
      <c r="DM122" s="440"/>
      <c r="DN122" s="441"/>
      <c r="DO122" s="442"/>
      <c r="DP122" s="442"/>
      <c r="DQ122" s="443"/>
      <c r="DR122" s="440"/>
    </row>
    <row r="123" spans="1:122" ht="12.75" customHeight="1">
      <c r="A123" s="92"/>
      <c r="B123" s="92"/>
      <c r="C123" s="404" t="s">
        <v>309</v>
      </c>
      <c r="D123" s="566"/>
      <c r="E123" s="557"/>
      <c r="F123" s="570"/>
      <c r="G123" s="570"/>
      <c r="H123" s="590"/>
      <c r="I123" s="612"/>
      <c r="J123" s="624"/>
      <c r="K123" s="555"/>
      <c r="L123" s="427"/>
      <c r="M123" s="428"/>
      <c r="N123" s="428"/>
      <c r="O123" s="429"/>
      <c r="P123" s="426"/>
      <c r="Q123" s="427"/>
      <c r="R123" s="428"/>
      <c r="S123" s="428"/>
      <c r="T123" s="429"/>
      <c r="U123" s="426"/>
      <c r="V123" s="427"/>
      <c r="W123" s="428"/>
      <c r="X123" s="428"/>
      <c r="Y123" s="429"/>
      <c r="Z123" s="426"/>
      <c r="AA123" s="427"/>
      <c r="AB123" s="428"/>
      <c r="AC123" s="428"/>
      <c r="AD123" s="429"/>
      <c r="AE123" s="426"/>
      <c r="AF123" s="427"/>
      <c r="AG123" s="428"/>
      <c r="AH123" s="428"/>
      <c r="AI123" s="429"/>
      <c r="AJ123" s="426"/>
      <c r="AK123" s="427"/>
      <c r="AL123" s="428"/>
      <c r="AM123" s="428"/>
      <c r="AN123" s="429"/>
      <c r="AO123" s="426"/>
      <c r="AP123" s="427"/>
      <c r="AQ123" s="428"/>
      <c r="AR123" s="428"/>
      <c r="AS123" s="429"/>
      <c r="AT123" s="426"/>
      <c r="AU123" s="427"/>
      <c r="AV123" s="428"/>
      <c r="AW123" s="428"/>
      <c r="AX123" s="429"/>
      <c r="AY123" s="426"/>
      <c r="AZ123" s="427"/>
      <c r="BA123" s="428"/>
      <c r="BB123" s="428"/>
      <c r="BC123" s="429"/>
      <c r="BD123" s="426"/>
      <c r="BE123" s="427"/>
      <c r="BF123" s="428"/>
      <c r="BG123" s="428"/>
      <c r="BH123" s="429"/>
      <c r="BI123" s="426"/>
      <c r="BJ123" s="427"/>
      <c r="BK123" s="428"/>
      <c r="BL123" s="428"/>
      <c r="BM123" s="429"/>
      <c r="BN123" s="426"/>
      <c r="BO123" s="599"/>
      <c r="BP123" s="427"/>
      <c r="BQ123" s="428"/>
      <c r="BR123" s="428"/>
      <c r="BS123" s="429"/>
      <c r="BT123" s="426"/>
      <c r="BU123" s="427"/>
      <c r="BV123" s="428"/>
      <c r="BW123" s="428"/>
      <c r="BX123" s="429"/>
      <c r="BY123" s="426"/>
      <c r="BZ123" s="427"/>
      <c r="CA123" s="428"/>
      <c r="CB123" s="428"/>
      <c r="CC123" s="429"/>
      <c r="CD123" s="426"/>
      <c r="CE123" s="427"/>
      <c r="CF123" s="428"/>
      <c r="CG123" s="428"/>
      <c r="CH123" s="429"/>
      <c r="CI123" s="426"/>
      <c r="CJ123" s="427"/>
      <c r="CK123" s="428"/>
      <c r="CL123" s="428"/>
      <c r="CM123" s="429"/>
      <c r="CN123" s="426"/>
      <c r="CO123" s="427"/>
      <c r="CP123" s="428"/>
      <c r="CQ123" s="428"/>
      <c r="CR123" s="429"/>
      <c r="CS123" s="426"/>
      <c r="CT123" s="427"/>
      <c r="CU123" s="428"/>
      <c r="CV123" s="428"/>
      <c r="CW123" s="429"/>
      <c r="CX123" s="426"/>
      <c r="CY123" s="427"/>
      <c r="CZ123" s="428"/>
      <c r="DA123" s="428"/>
      <c r="DB123" s="429"/>
      <c r="DC123" s="426"/>
      <c r="DD123" s="427"/>
      <c r="DE123" s="428"/>
      <c r="DF123" s="428"/>
      <c r="DG123" s="429"/>
      <c r="DH123" s="426"/>
      <c r="DI123" s="427"/>
      <c r="DJ123" s="428"/>
      <c r="DK123" s="428"/>
      <c r="DL123" s="429"/>
      <c r="DM123" s="426"/>
      <c r="DN123" s="427"/>
      <c r="DO123" s="428"/>
      <c r="DP123" s="428"/>
      <c r="DQ123" s="429"/>
      <c r="DR123" s="426"/>
    </row>
    <row r="124" spans="1:122" ht="12.75" customHeight="1">
      <c r="A124" s="92"/>
      <c r="B124" s="92"/>
      <c r="C124" s="405"/>
      <c r="D124" s="566"/>
      <c r="E124" s="557"/>
      <c r="F124" s="570"/>
      <c r="G124" s="570"/>
      <c r="H124" s="590"/>
      <c r="I124" s="612"/>
      <c r="J124" s="624"/>
      <c r="K124" s="555"/>
      <c r="L124" s="427"/>
      <c r="M124" s="428"/>
      <c r="N124" s="428"/>
      <c r="O124" s="429"/>
      <c r="P124" s="426"/>
      <c r="Q124" s="427"/>
      <c r="R124" s="428"/>
      <c r="S124" s="428"/>
      <c r="T124" s="429"/>
      <c r="U124" s="426"/>
      <c r="V124" s="427"/>
      <c r="W124" s="428"/>
      <c r="X124" s="428"/>
      <c r="Y124" s="429"/>
      <c r="Z124" s="426"/>
      <c r="AA124" s="427"/>
      <c r="AB124" s="428"/>
      <c r="AC124" s="428"/>
      <c r="AD124" s="429"/>
      <c r="AE124" s="426"/>
      <c r="AF124" s="427"/>
      <c r="AG124" s="428"/>
      <c r="AH124" s="428"/>
      <c r="AI124" s="429"/>
      <c r="AJ124" s="426"/>
      <c r="AK124" s="427"/>
      <c r="AL124" s="428"/>
      <c r="AM124" s="428"/>
      <c r="AN124" s="429"/>
      <c r="AO124" s="426"/>
      <c r="AP124" s="427"/>
      <c r="AQ124" s="428"/>
      <c r="AR124" s="428"/>
      <c r="AS124" s="429"/>
      <c r="AT124" s="426"/>
      <c r="AU124" s="427"/>
      <c r="AV124" s="428"/>
      <c r="AW124" s="428"/>
      <c r="AX124" s="429"/>
      <c r="AY124" s="426"/>
      <c r="AZ124" s="427"/>
      <c r="BA124" s="428"/>
      <c r="BB124" s="428"/>
      <c r="BC124" s="429"/>
      <c r="BD124" s="426"/>
      <c r="BE124" s="427"/>
      <c r="BF124" s="428"/>
      <c r="BG124" s="428"/>
      <c r="BH124" s="429"/>
      <c r="BI124" s="426"/>
      <c r="BJ124" s="427"/>
      <c r="BK124" s="428"/>
      <c r="BL124" s="428"/>
      <c r="BM124" s="429"/>
      <c r="BN124" s="426"/>
      <c r="BO124" s="599"/>
      <c r="BP124" s="427"/>
      <c r="BQ124" s="428"/>
      <c r="BR124" s="428"/>
      <c r="BS124" s="429"/>
      <c r="BT124" s="426"/>
      <c r="BU124" s="427"/>
      <c r="BV124" s="428"/>
      <c r="BW124" s="428"/>
      <c r="BX124" s="429"/>
      <c r="BY124" s="426"/>
      <c r="BZ124" s="427"/>
      <c r="CA124" s="428"/>
      <c r="CB124" s="428"/>
      <c r="CC124" s="429"/>
      <c r="CD124" s="426"/>
      <c r="CE124" s="427"/>
      <c r="CF124" s="428"/>
      <c r="CG124" s="428"/>
      <c r="CH124" s="429"/>
      <c r="CI124" s="426"/>
      <c r="CJ124" s="427"/>
      <c r="CK124" s="428"/>
      <c r="CL124" s="428"/>
      <c r="CM124" s="429"/>
      <c r="CN124" s="426"/>
      <c r="CO124" s="427"/>
      <c r="CP124" s="428"/>
      <c r="CQ124" s="428"/>
      <c r="CR124" s="429"/>
      <c r="CS124" s="426"/>
      <c r="CT124" s="427"/>
      <c r="CU124" s="428"/>
      <c r="CV124" s="428"/>
      <c r="CW124" s="429"/>
      <c r="CX124" s="426"/>
      <c r="CY124" s="427"/>
      <c r="CZ124" s="428"/>
      <c r="DA124" s="428"/>
      <c r="DB124" s="429"/>
      <c r="DC124" s="426"/>
      <c r="DD124" s="427"/>
      <c r="DE124" s="428"/>
      <c r="DF124" s="428"/>
      <c r="DG124" s="429"/>
      <c r="DH124" s="426"/>
      <c r="DI124" s="427"/>
      <c r="DJ124" s="428"/>
      <c r="DK124" s="428"/>
      <c r="DL124" s="429"/>
      <c r="DM124" s="426"/>
      <c r="DN124" s="427"/>
      <c r="DO124" s="428"/>
      <c r="DP124" s="428"/>
      <c r="DQ124" s="429"/>
      <c r="DR124" s="426"/>
    </row>
    <row r="125" spans="1:122" ht="12.75" customHeight="1">
      <c r="C125" s="1363" t="s">
        <v>324</v>
      </c>
      <c r="D125" s="395"/>
      <c r="E125" s="325"/>
      <c r="F125" s="1358"/>
      <c r="G125" s="1358"/>
      <c r="H125" s="1364"/>
      <c r="I125" s="1365"/>
      <c r="J125" s="1361"/>
      <c r="K125" s="549"/>
      <c r="L125" s="321"/>
      <c r="M125" s="322"/>
      <c r="N125" s="322"/>
      <c r="O125" s="323"/>
      <c r="P125" s="466"/>
      <c r="Q125" s="321"/>
      <c r="R125" s="322"/>
      <c r="S125" s="322"/>
      <c r="T125" s="323"/>
      <c r="U125" s="472"/>
      <c r="V125" s="321"/>
      <c r="W125" s="322"/>
      <c r="X125" s="322"/>
      <c r="Y125" s="323"/>
      <c r="Z125" s="472"/>
      <c r="AA125" s="321"/>
      <c r="AB125" s="322"/>
      <c r="AC125" s="322"/>
      <c r="AD125" s="323"/>
      <c r="AE125" s="472"/>
      <c r="AF125" s="321"/>
      <c r="AG125" s="322"/>
      <c r="AH125" s="322"/>
      <c r="AI125" s="323"/>
      <c r="AJ125" s="472"/>
      <c r="AK125" s="321"/>
      <c r="AL125" s="322"/>
      <c r="AM125" s="322"/>
      <c r="AN125" s="323"/>
      <c r="AO125" s="472"/>
      <c r="AP125" s="321"/>
      <c r="AQ125" s="322"/>
      <c r="AR125" s="322"/>
      <c r="AS125" s="323"/>
      <c r="AT125" s="472"/>
      <c r="AU125" s="321"/>
      <c r="AV125" s="322"/>
      <c r="AW125" s="322"/>
      <c r="AX125" s="323"/>
      <c r="AY125" s="472"/>
      <c r="AZ125" s="321"/>
      <c r="BA125" s="322"/>
      <c r="BB125" s="322"/>
      <c r="BC125" s="323"/>
      <c r="BD125" s="472"/>
      <c r="BE125" s="321"/>
      <c r="BF125" s="322"/>
      <c r="BG125" s="322"/>
      <c r="BH125" s="323"/>
      <c r="BI125" s="472"/>
      <c r="BJ125" s="321"/>
      <c r="BK125" s="322"/>
      <c r="BL125" s="322"/>
      <c r="BM125" s="323"/>
      <c r="BN125" s="472"/>
      <c r="BO125" s="473"/>
      <c r="BP125" s="321"/>
      <c r="BQ125" s="322"/>
      <c r="BR125" s="322"/>
      <c r="BS125" s="323"/>
      <c r="BT125" s="472"/>
      <c r="BU125" s="321"/>
      <c r="BV125" s="322"/>
      <c r="BW125" s="322"/>
      <c r="BX125" s="323"/>
      <c r="BY125" s="472"/>
      <c r="BZ125" s="321"/>
      <c r="CA125" s="322"/>
      <c r="CB125" s="322"/>
      <c r="CC125" s="323"/>
      <c r="CD125" s="472"/>
      <c r="CE125" s="321"/>
      <c r="CF125" s="322"/>
      <c r="CG125" s="322"/>
      <c r="CH125" s="323"/>
      <c r="CI125" s="472"/>
      <c r="CJ125" s="321"/>
      <c r="CK125" s="322"/>
      <c r="CL125" s="322"/>
      <c r="CM125" s="323"/>
      <c r="CN125" s="472"/>
      <c r="CO125" s="321"/>
      <c r="CP125" s="322"/>
      <c r="CQ125" s="322"/>
      <c r="CR125" s="323"/>
      <c r="CS125" s="472"/>
      <c r="CT125" s="321"/>
      <c r="CU125" s="322"/>
      <c r="CV125" s="322"/>
      <c r="CW125" s="323"/>
      <c r="CX125" s="472"/>
      <c r="CY125" s="321"/>
      <c r="CZ125" s="322"/>
      <c r="DA125" s="322"/>
      <c r="DB125" s="323"/>
      <c r="DC125" s="472"/>
      <c r="DD125" s="321"/>
      <c r="DE125" s="322"/>
      <c r="DF125" s="322"/>
      <c r="DG125" s="323"/>
      <c r="DH125" s="472"/>
      <c r="DI125" s="321"/>
      <c r="DJ125" s="322"/>
      <c r="DK125" s="322"/>
      <c r="DL125" s="323"/>
      <c r="DM125" s="472"/>
      <c r="DN125" s="321"/>
      <c r="DO125" s="322"/>
      <c r="DP125" s="322"/>
      <c r="DQ125" s="323"/>
      <c r="DR125" s="472"/>
    </row>
    <row r="126" spans="1:122" ht="12.75" customHeight="1">
      <c r="C126" s="1123" t="s">
        <v>736</v>
      </c>
      <c r="D126" s="395"/>
      <c r="E126" s="188">
        <f>IF(F126=0,G126,F126)</f>
        <v>25</v>
      </c>
      <c r="F126" s="1945">
        <v>25</v>
      </c>
      <c r="G126" s="1945">
        <v>25</v>
      </c>
      <c r="H126" s="1366">
        <v>2018</v>
      </c>
      <c r="I126" s="1367">
        <v>8.2500000000000004E-2</v>
      </c>
      <c r="J126" s="1357">
        <v>10</v>
      </c>
      <c r="K126" s="549"/>
      <c r="L126" s="441">
        <f>IF(P126=0,0,IF(P126&lt;0,IF($J126=3,P126,IF($J126=2,P126,IF($J126=1,P126,0)))))</f>
        <v>0</v>
      </c>
      <c r="M126" s="442">
        <f>IF(P126=0,0,IF(P126&lt;0,IF($J126=6,P126,IF($J126=5,P126,IF($J126=4,P126,0)))))</f>
        <v>0</v>
      </c>
      <c r="N126" s="442">
        <f>IF(P126=0,0,IF(P126&lt;0,IF($J126=9,P126,IF($J126=8,P126,IF($J126=7,P126,0)))))</f>
        <v>0</v>
      </c>
      <c r="O126" s="443">
        <f>IF(P126=0,0,IF(P126&lt;0,IF($J126=12,P126,IF($J126=11,P126,IF($J126=10,P126,0)))))</f>
        <v>0</v>
      </c>
      <c r="P126" s="440">
        <f>IF(P$5=$H126,-$E126,0)</f>
        <v>0</v>
      </c>
      <c r="Q126" s="441">
        <f>IF(U126=0,0,IF(U126&lt;0,IF($J126=3,U126,IF($J126=2,U126,IF($J126=1,U126,0)))))</f>
        <v>0</v>
      </c>
      <c r="R126" s="442">
        <f>IF(U126=0,0,IF(U126&lt;0,IF($J126=6,U126,IF($J126=5,U126,IF($J126=4,U126,0)))))</f>
        <v>0</v>
      </c>
      <c r="S126" s="442">
        <f>IF(U126=0,0,IF(U126&lt;0,IF($J126=9,U126,IF($J126=8,U126,IF($J126=7,U126,0)))))</f>
        <v>0</v>
      </c>
      <c r="T126" s="443">
        <f>IF(U126=0,0,IF(U126&lt;0,IF($J126=12,U126,IF($J126=11,U126,IF($J126=10,U126,0)))))</f>
        <v>0</v>
      </c>
      <c r="U126" s="440">
        <f>IF(U$5=$H126,-$E126,0)</f>
        <v>0</v>
      </c>
      <c r="V126" s="441">
        <f>IF(Z126=0,0,IF(Z126&lt;0,IF($J126=3,Z126,IF($J126=2,Z126,IF($J126=1,Z126,0)))))</f>
        <v>0</v>
      </c>
      <c r="W126" s="442">
        <f>IF(Z126=0,0,IF(Z126&lt;0,IF($J126=6,Z126,IF($J126=5,Z126,IF($J126=4,Z126,0)))))</f>
        <v>0</v>
      </c>
      <c r="X126" s="442">
        <f>IF(Z126=0,0,IF(Z126&lt;0,IF($J126=9,Z126,IF($J126=8,Z126,IF($J126=7,Z126,0)))))</f>
        <v>0</v>
      </c>
      <c r="Y126" s="443">
        <f>IF(Z126=0,0,IF(Z126&lt;0,IF($J126=12,Z126,IF($J126=11,Z126,IF($J126=10,Z126,0)))))</f>
        <v>0</v>
      </c>
      <c r="Z126" s="440">
        <f>IF(Z$5=$H126,-$E126,0)</f>
        <v>0</v>
      </c>
      <c r="AA126" s="441">
        <f>IF(AE126=0,0,IF(AE126&lt;0,IF($J126=3,AE126,IF($J126=2,AE126,IF($J126=1,AE126,0)))))</f>
        <v>0</v>
      </c>
      <c r="AB126" s="442">
        <f>IF(AE126=0,0,IF(AE126&lt;0,IF($J126=6,AE126,IF($J126=5,AE126,IF($J126=4,AE126,0)))))</f>
        <v>0</v>
      </c>
      <c r="AC126" s="442">
        <f>IF(AE126=0,0,IF(AE126&lt;0,IF($J126=9,AE126,IF($J126=8,AE126,IF($J126=7,AE126,0)))))</f>
        <v>0</v>
      </c>
      <c r="AD126" s="443">
        <f>IF(AE126=0,0,IF(AE126&lt;0,IF($J126=12,AE126,IF($J126=11,AE126,IF($J126=10,AE126,0)))))</f>
        <v>0</v>
      </c>
      <c r="AE126" s="440">
        <f>IF(AE$5=$H126,-$E126,0)</f>
        <v>0</v>
      </c>
      <c r="AF126" s="441">
        <f>IF(AJ126=0,0,IF(AJ126&lt;0,IF($J126=3,AJ126,IF($J126=2,AJ126,IF($J126=1,AJ126,0)))))</f>
        <v>0</v>
      </c>
      <c r="AG126" s="442">
        <f>IF(AJ126=0,0,IF(AJ126&lt;0,IF($J126=6,AJ126,IF($J126=5,AJ126,IF($J126=4,AJ126,0)))))</f>
        <v>0</v>
      </c>
      <c r="AH126" s="442">
        <f>IF(AJ126=0,0,IF(AJ126&lt;0,IF($J126=9,AJ126,IF($J126=8,AJ126,IF($J126=7,AJ126,0)))))</f>
        <v>0</v>
      </c>
      <c r="AI126" s="443">
        <f>IF(AJ126=0,0,IF(AJ126&lt;0,IF($J126=12,AJ126,IF($J126=11,AJ126,IF($J126=10,AJ126,0)))))</f>
        <v>0</v>
      </c>
      <c r="AJ126" s="440">
        <f>IF(AJ$5=$H126,-$E126,0)</f>
        <v>0</v>
      </c>
      <c r="AK126" s="441">
        <f>IF(AO126=0,0,IF(AO126&lt;0,IF($J126=3,AO126,IF($J126=2,AO126,IF($J126=1,AO126,0)))))</f>
        <v>0</v>
      </c>
      <c r="AL126" s="442">
        <f>IF(AO126=0,0,IF(AO126&lt;0,IF($J126=6,AO126,IF($J126=5,AO126,IF($J126=4,AO126,0)))))</f>
        <v>0</v>
      </c>
      <c r="AM126" s="442">
        <f>IF(AO126=0,0,IF(AO126&lt;0,IF($J126=9,AO126,IF($J126=8,AO126,IF($J126=7,AO126,0)))))</f>
        <v>0</v>
      </c>
      <c r="AN126" s="443">
        <f>IF(AO126=0,0,IF(AO126&lt;0,IF($J126=12,AO126,IF($J126=11,AO126,IF($J126=10,AO126,0)))))</f>
        <v>0</v>
      </c>
      <c r="AO126" s="440">
        <f>IF(AO$5=$H126,-$E126,0)</f>
        <v>0</v>
      </c>
      <c r="AP126" s="441">
        <f>IF(AT126=0,0,IF(AT126&lt;0,IF($J126=3,AT126,IF($J126=2,AT126,IF($J126=1,AT126,0)))))</f>
        <v>0</v>
      </c>
      <c r="AQ126" s="442">
        <f>IF(AT126=0,0,IF(AT126&lt;0,IF($J126=6,AT126,IF($J126=5,AT126,IF($J126=4,AT126,0)))))</f>
        <v>0</v>
      </c>
      <c r="AR126" s="442">
        <f>IF(AT126=0,0,IF(AT126&lt;0,IF($J126=9,AT126,IF($J126=8,AT126,IF($J126=7,AT126,0)))))</f>
        <v>0</v>
      </c>
      <c r="AS126" s="443">
        <f>IF(AT126=0,0,IF(AT126&lt;0,IF($J126=12,AT126,IF($J126=11,AT126,IF($J126=10,AT126,0)))))</f>
        <v>0</v>
      </c>
      <c r="AT126" s="440">
        <f>IF(AT$5=$H126,-$E126,0)</f>
        <v>0</v>
      </c>
      <c r="AU126" s="441">
        <f>IF(AY126=0,0,IF(AY126&lt;0,IF($J126=3,AY126,IF($J126=2,AY126,IF($J126=1,AY126,0)))))</f>
        <v>0</v>
      </c>
      <c r="AV126" s="442">
        <f>IF(AY126=0,0,IF(AY126&lt;0,IF($J126=6,AY126,IF($J126=5,AY126,IF($J126=4,AY126,0)))))</f>
        <v>0</v>
      </c>
      <c r="AW126" s="442">
        <f>IF(AY126=0,0,IF(AY126&lt;0,IF($J126=9,AY126,IF($J126=8,AY126,IF($J126=7,AY126,0)))))</f>
        <v>0</v>
      </c>
      <c r="AX126" s="443">
        <f>IF(AY126=0,0,IF(AY126&lt;0,IF($J126=12,AY126,IF($J126=11,AY126,IF($J126=10,AY126,0)))))</f>
        <v>-25</v>
      </c>
      <c r="AY126" s="440">
        <f>IF(AY$5=$H126,-$E126,0)</f>
        <v>-25</v>
      </c>
      <c r="AZ126" s="441">
        <f>IF(BD126=0,0,IF(BD126&lt;0,IF($J126=3,BD126,IF($J126=2,BD126,IF($J126=1,BD126,0)))))</f>
        <v>0</v>
      </c>
      <c r="BA126" s="442">
        <f>IF(BD126=0,0,IF(BD126&lt;0,IF($J126=6,BD126,IF($J126=5,BD126,IF($J126=4,BD126,0)))))</f>
        <v>0</v>
      </c>
      <c r="BB126" s="442">
        <f>IF(BD126=0,0,IF(BD126&lt;0,IF($J126=9,BD126,IF($J126=8,BD126,IF($J126=7,BD126,0)))))</f>
        <v>0</v>
      </c>
      <c r="BC126" s="443">
        <f>IF(BD126=0,0,IF(BD126&lt;0,IF($J126=12,BD126,IF($J126=11,BD126,IF($J126=10,BD126,0)))))</f>
        <v>0</v>
      </c>
      <c r="BD126" s="440">
        <f>IF(BD$5=$H126,-$E126,0)</f>
        <v>0</v>
      </c>
      <c r="BE126" s="441">
        <f>IF(BI126=0,0,IF(BI126&lt;0,IF($J126=3,BI126,IF($J126=2,BI126,IF($J126=1,BI126,0)))))</f>
        <v>0</v>
      </c>
      <c r="BF126" s="442">
        <f>IF(BI126=0,0,IF(BI126&lt;0,IF($J126=6,BI126,IF($J126=5,BI126,IF($J126=4,BI126,0)))))</f>
        <v>0</v>
      </c>
      <c r="BG126" s="442">
        <f>IF(BI126=0,0,IF(BI126&lt;0,IF($J126=9,BI126,IF($J126=8,BI126,IF($J126=7,BI126,0)))))</f>
        <v>0</v>
      </c>
      <c r="BH126" s="443">
        <f>IF(BI126=0,0,IF(BI126&lt;0,IF($J126=12,BI126,IF($J126=11,BI126,IF($J126=10,BI126,0)))))</f>
        <v>0</v>
      </c>
      <c r="BI126" s="440">
        <f>IF(BI$5=$H126,-$E126,0)</f>
        <v>0</v>
      </c>
      <c r="BJ126" s="441">
        <f>IF(BN126=0,0,IF(BN126&lt;0,IF($J126=3,BN126,IF($J126=2,BN126,IF($J126=1,BN126,0)))))</f>
        <v>0</v>
      </c>
      <c r="BK126" s="442">
        <f>IF(BN126=0,0,IF(BN126&lt;0,IF($J126=6,BN126,IF($J126=5,BN126,IF($J126=4,BN126,0)))))</f>
        <v>0</v>
      </c>
      <c r="BL126" s="442">
        <f>IF(BN126=0,0,IF(BN126&lt;0,IF($J126=9,BN126,IF($J126=8,BN126,IF($J126=7,BN126,0)))))</f>
        <v>0</v>
      </c>
      <c r="BM126" s="443">
        <f>IF(BN126=0,0,IF(BN126&lt;0,IF($J126=12,BN126,IF($J126=11,BN126,IF($J126=10,BN126,0)))))</f>
        <v>0</v>
      </c>
      <c r="BN126" s="440">
        <f>IF(BN$5=$H126,-$E126,0)</f>
        <v>0</v>
      </c>
      <c r="BO126" s="470"/>
      <c r="BP126" s="441">
        <f>IF($H126&lt;&gt;BT$5,0,IF(BT126&lt;0,IF($J126=1,-$E126*$I126/12*3,IF($J126=2,-$E126*$I126/12*2,IF($J126=3,-$E126*$I126/12*1,0)))))+IF(BO$5&lt;&gt;$H126,0,IF(BO126&lt;0,IF($J126=1,-$E126*$I126/12*0,IF($J126=2,-$E126*$I126/12*1,IF($J126=3,-$E126*$I126/12*2,IF($J126&gt;=4,-$E126*$I126/12*3,0))))))</f>
        <v>0</v>
      </c>
      <c r="BQ126" s="442">
        <f>IF($H126&lt;&gt;BT$5,0,IF(BT126&lt;0,IF(OR($J126=1,$J126=2,$J126=3,$J126=4),-$E126*$I126/12*3,IF($J126=5,-$E126*$I126/12*2,IF($J126=6,-$E126*$I126/12*1,0)))))+IF(BO$5&lt;&gt;$H126,0,IF(BO126&lt;0,IF($J126=4,-$E126*$I126/12*0,IF($J126=5,-$E126*$I126/12*1,IF($J126=6,-$E126*$I126/12*2,IF($J126&gt;=7,-$E126*$I126/12*3,0))))))</f>
        <v>0</v>
      </c>
      <c r="BR126" s="442">
        <f>IF($H126&lt;&gt;BT$5,0,IF(BT126&lt;0,IF(OR($J126=1,$J126=2,$J126=3,$J126=4,$J126=5,$J126=6,$J126=7),-$E126*$I126/12*3,IF($J126=8,-$E126*$I126/12*2,IF($J126=9,-$E126*$I126/12*1,0)))))+IF(BO$5&lt;&gt;$H126,0,IF(BO126&lt;0,IF($J126=7,-$E126*$I126/12*0,IF($J126=8,-$E126*$I126/12*1,IF($J126=9,-$E126*$I126/12*2,IF($J126&gt;=10,-$E126*$I126/12*3,0))))))</f>
        <v>0</v>
      </c>
      <c r="BS126" s="443">
        <f>IF($H126&lt;&gt;BT$5,0,IF(BT126&lt;0,IF(OR($J126=1,$J126=2,$J126=3,$J126=4,$J126=5,$J126=6,$J126=7,$J126=8,$J126=9,$J126=10),-$E126*$I126/12*3,IF($J126=11,-$E126*$I126/12*2,IF($J126=12,-$E126*$I126/12*1,0)))))+IF(BO$5&lt;&gt;$H126,0,IF(BO126&lt;0,IF($J126=10,-$E126*$I126/12*0,IF($J126=11,-$E126*$I126/12*1,IF($J126=12,-$E126*$I126/12*2,0)))))</f>
        <v>0</v>
      </c>
      <c r="BT126" s="440">
        <f>IF(AND(BO126&lt;&gt;0,BO$5=$H126),-$I126*$E126-BO126,IF(BT$5=$H126,-$I126*$E126*(12-$J126+1)/12,0))</f>
        <v>0</v>
      </c>
      <c r="BU126" s="441">
        <f>IF($H126&lt;&gt;BY$5,0,IF(BY126&lt;0,IF($J126=1,-$E126*$I126/12*3,IF($J126=2,-$E126*$I126/12*2,IF($J126=3,-$E126*$I126/12*1,0)))))+IF(BT$5&lt;&gt;$H126,0,IF(BT126&lt;0,IF($J126=1,-$E126*$I126/12*0,IF($J126=2,-$E126*$I126/12*1,IF($J126=3,-$E126*$I126/12*2,IF($J126&gt;=4,-$E126*$I126/12*3,0))))))</f>
        <v>0</v>
      </c>
      <c r="BV126" s="442">
        <f>IF($H126&lt;&gt;BY$5,0,IF(BY126&lt;0,IF(OR($J126=1,$J126=2,$J126=3,$J126=4),-$E126*$I126/12*3,IF($J126=5,-$E126*$I126/12*2,IF($J126=6,-$E126*$I126/12*1,0)))))+IF(BT$5&lt;&gt;$H126,0,IF(BT126&lt;0,IF($J126=4,-$E126*$I126/12*0,IF($J126=5,-$E126*$I126/12*1,IF($J126=6,-$E126*$I126/12*2,IF($J126&gt;=7,-$E126*$I126/12*3,0))))))</f>
        <v>0</v>
      </c>
      <c r="BW126" s="442">
        <f>IF($H126&lt;&gt;BY$5,0,IF(BY126&lt;0,IF(OR($J126=1,$J126=2,$J126=3,$J126=4,$J126=5,$J126=6,$J126=7),-$E126*$I126/12*3,IF($J126=8,-$E126*$I126/12*2,IF($J126=9,-$E126*$I126/12*1,0)))))+IF(BT$5&lt;&gt;$H126,0,IF(BT126&lt;0,IF($J126=7,-$E126*$I126/12*0,IF($J126=8,-$E126*$I126/12*1,IF($J126=9,-$E126*$I126/12*2,IF($J126&gt;=10,-$E126*$I126/12*3,0))))))</f>
        <v>0</v>
      </c>
      <c r="BX126" s="443">
        <f>IF($H126&lt;&gt;BY$5,0,IF(BY126&lt;0,IF(OR($J126=1,$J126=2,$J126=3,$J126=4,$J126=5,$J126=6,$J126=7,$J126=8,$J126=9,$J126=10),-$E126*$I126/12*3,IF($J126=11,-$E126*$I126/12*2,IF($J126=12,-$E126*$I126/12*1,0)))))+IF(BT$5&lt;&gt;$H126,0,IF(BT126&lt;0,IF($J126=10,-$E126*$I126/12*0,IF($J126=11,-$E126*$I126/12*1,IF($J126=12,-$E126*$I126/12*2,0)))))</f>
        <v>0</v>
      </c>
      <c r="BY126" s="440">
        <f>IF(AND(BT126&lt;&gt;0,BT$5=$H126),-$I126*$E126-BT126,IF(BY$5=$H126,-$I126*$E126*(12-$J126+1)/12,0))</f>
        <v>0</v>
      </c>
      <c r="BZ126" s="441">
        <f>IF($H126&lt;&gt;CD$5,0,IF(CD126&lt;0,IF($J126=1,-$E126*$I126/12*3,IF($J126=2,-$E126*$I126/12*2,IF($J126=3,-$E126*$I126/12*1,0)))))+IF(BY$5&lt;&gt;$H126,0,IF(BY126&lt;0,IF($J126=1,-$E126*$I126/12*0,IF($J126=2,-$E126*$I126/12*1,IF($J126=3,-$E126*$I126/12*2,IF($J126&gt;=4,-$E126*$I126/12*3,0))))))</f>
        <v>0</v>
      </c>
      <c r="CA126" s="442">
        <f>IF($H126&lt;&gt;CD$5,0,IF(CD126&lt;0,IF(OR($J126=1,$J126=2,$J126=3,$J126=4),-$E126*$I126/12*3,IF($J126=5,-$E126*$I126/12*2,IF($J126=6,-$E126*$I126/12*1,0)))))+IF(BY$5&lt;&gt;$H126,0,IF(BY126&lt;0,IF($J126=4,-$E126*$I126/12*0,IF($J126=5,-$E126*$I126/12*1,IF($J126=6,-$E126*$I126/12*2,IF($J126&gt;=7,-$E126*$I126/12*3,0))))))</f>
        <v>0</v>
      </c>
      <c r="CB126" s="442">
        <f>IF($H126&lt;&gt;CD$5,0,IF(CD126&lt;0,IF(OR($J126=1,$J126=2,$J126=3,$J126=4,$J126=5,$J126=6,$J126=7),-$E126*$I126/12*3,IF($J126=8,-$E126*$I126/12*2,IF($J126=9,-$E126*$I126/12*1,0)))))+IF(BY$5&lt;&gt;$H126,0,IF(BY126&lt;0,IF($J126=7,-$E126*$I126/12*0,IF($J126=8,-$E126*$I126/12*1,IF($J126=9,-$E126*$I126/12*2,IF($J126&gt;=10,-$E126*$I126/12*3,0))))))</f>
        <v>0</v>
      </c>
      <c r="CC126" s="443">
        <f>IF($H126&lt;&gt;CD$5,0,IF(CD126&lt;0,IF(OR($J126=1,$J126=2,$J126=3,$J126=4,$J126=5,$J126=6,$J126=7,$J126=8,$J126=9,$J126=10),-$E126*$I126/12*3,IF($J126=11,-$E126*$I126/12*2,IF($J126=12,-$E126*$I126/12*1,0)))))+IF(BY$5&lt;&gt;$H126,0,IF(BY126&lt;0,IF($J126=10,-$E126*$I126/12*0,IF($J126=11,-$E126*$I126/12*1,IF($J126=12,-$E126*$I126/12*2,0)))))</f>
        <v>0</v>
      </c>
      <c r="CD126" s="440">
        <f>IF(AND(BY126&lt;&gt;0,BY$5=$H126),-$I126*$E126-BY126,IF(CD$5=$H126,-$I126*$E126*(12-$J126+1)/12,0))</f>
        <v>0</v>
      </c>
      <c r="CE126" s="441">
        <f>IF($H126&lt;&gt;CI$5,0,IF(CI126&lt;0,IF($J126=1,-$E126*$I126/12*3,IF($J126=2,-$E126*$I126/12*2,IF($J126=3,-$E126*$I126/12*1,0)))))+IF(CD$5&lt;&gt;$H126,0,IF(CD126&lt;0,IF($J126=1,-$E126*$I126/12*0,IF($J126=2,-$E126*$I126/12*1,IF($J126=3,-$E126*$I126/12*2,IF($J126&gt;=4,-$E126*$I126/12*3,0))))))</f>
        <v>0</v>
      </c>
      <c r="CF126" s="442">
        <f>IF($H126&lt;&gt;CI$5,0,IF(CI126&lt;0,IF(OR($J126=1,$J126=2,$J126=3,$J126=4),-$E126*$I126/12*3,IF($J126=5,-$E126*$I126/12*2,IF($J126=6,-$E126*$I126/12*1,0)))))+IF(CD$5&lt;&gt;$H126,0,IF(CD126&lt;0,IF($J126=4,-$E126*$I126/12*0,IF($J126=5,-$E126*$I126/12*1,IF($J126=6,-$E126*$I126/12*2,IF($J126&gt;=7,-$E126*$I126/12*3,0))))))</f>
        <v>0</v>
      </c>
      <c r="CG126" s="442">
        <f>IF($H126&lt;&gt;CI$5,0,IF(CI126&lt;0,IF(OR($J126=1,$J126=2,$J126=3,$J126=4,$J126=5,$J126=6,$J126=7),-$E126*$I126/12*3,IF($J126=8,-$E126*$I126/12*2,IF($J126=9,-$E126*$I126/12*1,0)))))+IF(CD$5&lt;&gt;$H126,0,IF(CD126&lt;0,IF($J126=7,-$E126*$I126/12*0,IF($J126=8,-$E126*$I126/12*1,IF($J126=9,-$E126*$I126/12*2,IF($J126&gt;=10,-$E126*$I126/12*3,0))))))</f>
        <v>0</v>
      </c>
      <c r="CH126" s="443">
        <f>IF($H126&lt;&gt;CI$5,0,IF(CI126&lt;0,IF(OR($J126=1,$J126=2,$J126=3,$J126=4,$J126=5,$J126=6,$J126=7,$J126=8,$J126=9,$J126=10),-$E126*$I126/12*3,IF($J126=11,-$E126*$I126/12*2,IF($J126=12,-$E126*$I126/12*1,0)))))+IF(CD$5&lt;&gt;$H126,0,IF(CD126&lt;0,IF($J126=10,-$E126*$I126/12*0,IF($J126=11,-$E126*$I126/12*1,IF($J126=12,-$E126*$I126/12*2,0)))))</f>
        <v>0</v>
      </c>
      <c r="CI126" s="440">
        <f>IF(AND(CD126&lt;&gt;0,CD$5=$H126),-$I126*$E126-CD126,IF(CI$5=$H126,-$I126*$E126*(12-$J126+1)/12,0))</f>
        <v>0</v>
      </c>
      <c r="CJ126" s="441">
        <f>IF($H126&lt;&gt;CN$5,0,IF(CN126&lt;0,IF($J126=1,-$E126*$I126/12*3,IF($J126=2,-$E126*$I126/12*2,IF($J126=3,-$E126*$I126/12*1,0)))))+IF(CI$5&lt;&gt;$H126,0,IF(CI126&lt;0,IF($J126=1,-$E126*$I126/12*0,IF($J126=2,-$E126*$I126/12*1,IF($J126=3,-$E126*$I126/12*2,IF($J126&gt;=4,-$E126*$I126/12*3,0))))))</f>
        <v>0</v>
      </c>
      <c r="CK126" s="442">
        <f>IF($H126&lt;&gt;CN$5,0,IF(CN126&lt;0,IF(OR($J126=1,$J126=2,$J126=3,$J126=4),-$E126*$I126/12*3,IF($J126=5,-$E126*$I126/12*2,IF($J126=6,-$E126*$I126/12*1,0)))))+IF(CI$5&lt;&gt;$H126,0,IF(CI126&lt;0,IF($J126=4,-$E126*$I126/12*0,IF($J126=5,-$E126*$I126/12*1,IF($J126=6,-$E126*$I126/12*2,IF($J126&gt;=7,-$E126*$I126/12*3,0))))))</f>
        <v>0</v>
      </c>
      <c r="CL126" s="442">
        <f>IF($H126&lt;&gt;CN$5,0,IF(CN126&lt;0,IF(OR($J126=1,$J126=2,$J126=3,$J126=4,$J126=5,$J126=6,$J126=7),-$E126*$I126/12*3,IF($J126=8,-$E126*$I126/12*2,IF($J126=9,-$E126*$I126/12*1,0)))))+IF(CI$5&lt;&gt;$H126,0,IF(CI126&lt;0,IF($J126=7,-$E126*$I126/12*0,IF($J126=8,-$E126*$I126/12*1,IF($J126=9,-$E126*$I126/12*2,IF($J126&gt;=10,-$E126*$I126/12*3,0))))))</f>
        <v>0</v>
      </c>
      <c r="CM126" s="443">
        <f>IF($H126&lt;&gt;CN$5,0,IF(CN126&lt;0,IF(OR($J126=1,$J126=2,$J126=3,$J126=4,$J126=5,$J126=6,$J126=7,$J126=8,$J126=9,$J126=10),-$E126*$I126/12*3,IF($J126=11,-$E126*$I126/12*2,IF($J126=12,-$E126*$I126/12*1,0)))))+IF(CI$5&lt;&gt;$H126,0,IF(CI126&lt;0,IF($J126=10,-$E126*$I126/12*0,IF($J126=11,-$E126*$I126/12*1,IF($J126=12,-$E126*$I126/12*2,0)))))</f>
        <v>0</v>
      </c>
      <c r="CN126" s="440">
        <f>IF(AND(CI126&lt;&gt;0,CI$5=$H126),-$I126*$E126-CI126,IF(CN$5=$H126,-$I126*$E126*(12-$J126+1)/12,0))</f>
        <v>0</v>
      </c>
      <c r="CO126" s="441">
        <f>IF($H126&lt;&gt;CS$5,0,IF(CS126&lt;0,IF($J126=1,-$E126*$I126/12*3,IF($J126=2,-$E126*$I126/12*2,IF($J126=3,-$E126*$I126/12*1,0)))))+IF(CN$5&lt;&gt;$H126,0,IF(CN126&lt;0,IF($J126=1,-$E126*$I126/12*0,IF($J126=2,-$E126*$I126/12*1,IF($J126=3,-$E126*$I126/12*2,IF($J126&gt;=4,-$E126*$I126/12*3,0))))))</f>
        <v>0</v>
      </c>
      <c r="CP126" s="442">
        <f>IF($H126&lt;&gt;CS$5,0,IF(CS126&lt;0,IF(OR($J126=1,$J126=2,$J126=3,$J126=4),-$E126*$I126/12*3,IF($J126=5,-$E126*$I126/12*2,IF($J126=6,-$E126*$I126/12*1,0)))))+IF(CN$5&lt;&gt;$H126,0,IF(CN126&lt;0,IF($J126=4,-$E126*$I126/12*0,IF($J126=5,-$E126*$I126/12*1,IF($J126=6,-$E126*$I126/12*2,IF($J126&gt;=7,-$E126*$I126/12*3,0))))))</f>
        <v>0</v>
      </c>
      <c r="CQ126" s="442">
        <f>IF($H126&lt;&gt;CS$5,0,IF(CS126&lt;0,IF(OR($J126=1,$J126=2,$J126=3,$J126=4,$J126=5,$J126=6,$J126=7),-$E126*$I126/12*3,IF($J126=8,-$E126*$I126/12*2,IF($J126=9,-$E126*$I126/12*1,0)))))+IF(CN$5&lt;&gt;$H126,0,IF(CN126&lt;0,IF($J126=7,-$E126*$I126/12*0,IF($J126=8,-$E126*$I126/12*1,IF($J126=9,-$E126*$I126/12*2,IF($J126&gt;=10,-$E126*$I126/12*3,0))))))</f>
        <v>0</v>
      </c>
      <c r="CR126" s="443">
        <f>IF($H126&lt;&gt;CS$5,0,IF(CS126&lt;0,IF(OR($J126=1,$J126=2,$J126=3,$J126=4,$J126=5,$J126=6,$J126=7,$J126=8,$J126=9,$J126=10),-$E126*$I126/12*3,IF($J126=11,-$E126*$I126/12*2,IF($J126=12,-$E126*$I126/12*1,0)))))+IF(CN$5&lt;&gt;$H126,0,IF(CN126&lt;0,IF($J126=10,-$E126*$I126/12*0,IF($J126=11,-$E126*$I126/12*1,IF($J126=12,-$E126*$I126/12*2,0)))))</f>
        <v>0</v>
      </c>
      <c r="CS126" s="440">
        <f>IF(AND(CN126&lt;&gt;0,CN$5=$H126),-$I126*$E126-CN126,IF(CS$5=$H126,-$I126*$E126*(12-$J126+1)/12,0))</f>
        <v>0</v>
      </c>
      <c r="CT126" s="441">
        <f>IF($H126&lt;&gt;CX$5,0,IF(CX126&lt;0,IF($J126=1,-$E126*$I126/12*3,IF($J126=2,-$E126*$I126/12*2,IF($J126=3,-$E126*$I126/12*1,0)))))+IF(CS$5&lt;&gt;$H126,0,IF(CS126&lt;0,IF($J126=1,-$E126*$I126/12*0,IF($J126=2,-$E126*$I126/12*1,IF($J126=3,-$E126*$I126/12*2,IF($J126&gt;=4,-$E126*$I126/12*3,0))))))</f>
        <v>0</v>
      </c>
      <c r="CU126" s="442">
        <f>IF($H126&lt;&gt;CX$5,0,IF(CX126&lt;0,IF(OR($J126=1,$J126=2,$J126=3,$J126=4),-$E126*$I126/12*3,IF($J126=5,-$E126*$I126/12*2,IF($J126=6,-$E126*$I126/12*1,0)))))+IF(CS$5&lt;&gt;$H126,0,IF(CS126&lt;0,IF($J126=4,-$E126*$I126/12*0,IF($J126=5,-$E126*$I126/12*1,IF($J126=6,-$E126*$I126/12*2,IF($J126&gt;=7,-$E126*$I126/12*3,0))))))</f>
        <v>0</v>
      </c>
      <c r="CV126" s="442">
        <f>IF($H126&lt;&gt;CX$5,0,IF(CX126&lt;0,IF(OR($J126=1,$J126=2,$J126=3,$J126=4,$J126=5,$J126=6,$J126=7),-$E126*$I126/12*3,IF($J126=8,-$E126*$I126/12*2,IF($J126=9,-$E126*$I126/12*1,0)))))+IF(CS$5&lt;&gt;$H126,0,IF(CS126&lt;0,IF($J126=7,-$E126*$I126/12*0,IF($J126=8,-$E126*$I126/12*1,IF($J126=9,-$E126*$I126/12*2,IF($J126&gt;=10,-$E126*$I126/12*3,0))))))</f>
        <v>0</v>
      </c>
      <c r="CW126" s="443">
        <f>IF($H126&lt;&gt;CX$5,0,IF(CX126&lt;0,IF(OR($J126=1,$J126=2,$J126=3,$J126=4,$J126=5,$J126=6,$J126=7,$J126=8,$J126=9,$J126=10),-$E126*$I126/12*3,IF($J126=11,-$E126*$I126/12*2,IF($J126=12,-$E126*$I126/12*1,0)))))+IF(CS$5&lt;&gt;$H126,0,IF(CS126&lt;0,IF($J126=10,-$E126*$I126/12*0,IF($J126=11,-$E126*$I126/12*1,IF($J126=12,-$E126*$I126/12*2,0)))))</f>
        <v>0</v>
      </c>
      <c r="CX126" s="440">
        <f>IF(AND(CS126&lt;&gt;0,CS$5=$H126),-$I126*$E126-CS126,IF(CX$5=$H126,-$I126*$E126*(12-$J126+1)/12,0))</f>
        <v>0</v>
      </c>
      <c r="CY126" s="441">
        <f>IF($H126&lt;&gt;DC$5,0,IF(DC126&lt;0,IF($J126=1,-$E126*$I126/12*3,IF($J126=2,-$E126*$I126/12*2,IF($J126=3,-$E126*$I126/12*1,0)))))+IF(CX$5&lt;&gt;$H126,0,IF(CX126&lt;0,IF($J126=1,-$E126*$I126/12*0,IF($J126=2,-$E126*$I126/12*1,IF($J126=3,-$E126*$I126/12*2,IF($J126&gt;=4,-$E126*$I126/12*3,0))))))</f>
        <v>0</v>
      </c>
      <c r="CZ126" s="442">
        <f>IF($H126&lt;&gt;DC$5,0,IF(DC126&lt;0,IF(OR($J126=1,$J126=2,$J126=3,$J126=4),-$E126*$I126/12*3,IF($J126=5,-$E126*$I126/12*2,IF($J126=6,-$E126*$I126/12*1,0)))))+IF(CX$5&lt;&gt;$H126,0,IF(CX126&lt;0,IF($J126=4,-$E126*$I126/12*0,IF($J126=5,-$E126*$I126/12*1,IF($J126=6,-$E126*$I126/12*2,IF($J126&gt;=7,-$E126*$I126/12*3,0))))))</f>
        <v>0</v>
      </c>
      <c r="DA126" s="442">
        <f>IF($H126&lt;&gt;DC$5,0,IF(DC126&lt;0,IF(OR($J126=1,$J126=2,$J126=3,$J126=4,$J126=5,$J126=6,$J126=7),-$E126*$I126/12*3,IF($J126=8,-$E126*$I126/12*2,IF($J126=9,-$E126*$I126/12*1,0)))))+IF(CX$5&lt;&gt;$H126,0,IF(CX126&lt;0,IF($J126=7,-$E126*$I126/12*0,IF($J126=8,-$E126*$I126/12*1,IF($J126=9,-$E126*$I126/12*2,IF($J126&gt;=10,-$E126*$I126/12*3,0))))))</f>
        <v>0</v>
      </c>
      <c r="DB126" s="443">
        <f>IF($H126&lt;&gt;DC$5,0,IF(DC126&lt;0,IF(OR($J126=1,$J126=2,$J126=3,$J126=4,$J126=5,$J126=6,$J126=7,$J126=8,$J126=9,$J126=10),-$E126*$I126/12*3,IF($J126=11,-$E126*$I126/12*2,IF($J126=12,-$E126*$I126/12*1,0)))))+IF(CX$5&lt;&gt;$H126,0,IF(CX126&lt;0,IF($J126=10,-$E126*$I126/12*0,IF($J126=11,-$E126*$I126/12*1,IF($J126=12,-$E126*$I126/12*2,0)))))</f>
        <v>-0.515625</v>
      </c>
      <c r="DC126" s="440">
        <f>IF(AND(CX126&lt;&gt;0,CX$5=$H126),-$I126*$E126-CX126,IF(DC$5=$H126,-$I126*$E126*(12-$J126+1)/12,0))</f>
        <v>-0.515625</v>
      </c>
      <c r="DD126" s="441">
        <f>IF($H126&lt;&gt;DH$5,0,IF(DH126&lt;0,IF($J126=1,-$E126*$I126/12*3,IF($J126=2,-$E126*$I126/12*2,IF($J126=3,-$E126*$I126/12*1,0)))))+IF(DC$5&lt;&gt;$H126,0,IF(DC126&lt;0,IF($J126=1,-$E126*$I126/12*0,IF($J126=2,-$E126*$I126/12*1,IF($J126=3,-$E126*$I126/12*2,IF($J126&gt;=4,-$E126*$I126/12*3,0))))))</f>
        <v>-0.515625</v>
      </c>
      <c r="DE126" s="442">
        <f>IF($H126&lt;&gt;DH$5,0,IF(DH126&lt;0,IF(OR($J126=1,$J126=2,$J126=3,$J126=4),-$E126*$I126/12*3,IF($J126=5,-$E126*$I126/12*2,IF($J126=6,-$E126*$I126/12*1,0)))))+IF(DC$5&lt;&gt;$H126,0,IF(DC126&lt;0,IF($J126=4,-$E126*$I126/12*0,IF($J126=5,-$E126*$I126/12*1,IF($J126=6,-$E126*$I126/12*2,IF($J126&gt;=7,-$E126*$I126/12*3,0))))))</f>
        <v>-0.515625</v>
      </c>
      <c r="DF126" s="442">
        <f>IF($H126&lt;&gt;DH$5,0,IF(DH126&lt;0,IF(OR($J126=1,$J126=2,$J126=3,$J126=4,$J126=5,$J126=6,$J126=7),-$E126*$I126/12*3,IF($J126=8,-$E126*$I126/12*2,IF($J126=9,-$E126*$I126/12*1,0)))))+IF(DC$5&lt;&gt;$H126,0,IF(DC126&lt;0,IF($J126=7,-$E126*$I126/12*0,IF($J126=8,-$E126*$I126/12*1,IF($J126=9,-$E126*$I126/12*2,IF($J126&gt;=10,-$E126*$I126/12*3,0))))))</f>
        <v>-0.515625</v>
      </c>
      <c r="DG126" s="443">
        <f>IF($H126&lt;&gt;DH$5,0,IF(DH126&lt;0,IF(OR($J126=1,$J126=2,$J126=3,$J126=4,$J126=5,$J126=6,$J126=7,$J126=8,$J126=9,$J126=10),-$E126*$I126/12*3,IF($J126=11,-$E126*$I126/12*2,IF($J126=12,-$E126*$I126/12*1,0)))))+IF(DC$5&lt;&gt;$H126,0,IF(DC126&lt;0,IF($J126=10,-$E126*$I126/12*0,IF($J126=11,-$E126*$I126/12*1,IF($J126=12,-$E126*$I126/12*2,0)))))</f>
        <v>0</v>
      </c>
      <c r="DH126" s="440">
        <f>IF(AND(DC126&lt;&gt;0,DC$5=$H126),-$I126*$E126-DC126,IF(DH$5=$H126,-$I126*$E126*(12-$J126+1)/12,0))</f>
        <v>-1.546875</v>
      </c>
      <c r="DI126" s="441">
        <f>IF($H126&lt;&gt;DM$5,0,IF(DM126&lt;0,IF($J126=1,-$E126*$I126/12*3,IF($J126=2,-$E126*$I126/12*2,IF($J126=3,-$E126*$I126/12*1,0)))))+IF(DH$5&lt;&gt;$H126,0,IF(DH126&lt;0,IF($J126=1,-$E126*$I126/12*0,IF($J126=2,-$E126*$I126/12*1,IF($J126=3,-$E126*$I126/12*2,IF($J126&gt;=4,-$E126*$I126/12*3,0))))))</f>
        <v>0</v>
      </c>
      <c r="DJ126" s="442">
        <f>IF($H126&lt;&gt;DM$5,0,IF(DM126&lt;0,IF(OR($J126=1,$J126=2,$J126=3,$J126=4),-$E126*$I126/12*3,IF($J126=5,-$E126*$I126/12*2,IF($J126=6,-$E126*$I126/12*1,0)))))+IF(DH$5&lt;&gt;$H126,0,IF(DH126&lt;0,IF($J126=4,-$E126*$I126/12*0,IF($J126=5,-$E126*$I126/12*1,IF($J126=6,-$E126*$I126/12*2,IF($J126&gt;=7,-$E126*$I126/12*3,0))))))</f>
        <v>0</v>
      </c>
      <c r="DK126" s="442">
        <f>IF($H126&lt;&gt;DM$5,0,IF(DM126&lt;0,IF(OR($J126=1,$J126=2,$J126=3,$J126=4,$J126=5,$J126=6,$J126=7),-$E126*$I126/12*3,IF($J126=8,-$E126*$I126/12*2,IF($J126=9,-$E126*$I126/12*1,0)))))+IF(DH$5&lt;&gt;$H126,0,IF(DH126&lt;0,IF($J126=7,-$E126*$I126/12*0,IF($J126=8,-$E126*$I126/12*1,IF($J126=9,-$E126*$I126/12*2,IF($J126&gt;=10,-$E126*$I126/12*3,0))))))</f>
        <v>0</v>
      </c>
      <c r="DL126" s="443">
        <f>IF($H126&lt;&gt;DM$5,0,IF(DM126&lt;0,IF(OR($J126=1,$J126=2,$J126=3,$J126=4,$J126=5,$J126=6,$J126=7,$J126=8,$J126=9,$J126=10),-$E126*$I126/12*3,IF($J126=11,-$E126*$I126/12*2,IF($J126=12,-$E126*$I126/12*1,0)))))+IF(DH$5&lt;&gt;$H126,0,IF(DH126&lt;0,IF($J126=10,-$E126*$I126/12*0,IF($J126=11,-$E126*$I126/12*1,IF($J126=12,-$E126*$I126/12*2,0)))))</f>
        <v>0</v>
      </c>
      <c r="DM126" s="440">
        <f>IF(AND(DH126&lt;&gt;0,DH$5=$H126),-$I126*$E126-DH126,IF(DM$5=$H126,-$I126*$E126*(12-$J126+1)/12,0))</f>
        <v>0</v>
      </c>
      <c r="DN126" s="441">
        <f>IF($H126&lt;&gt;DR$5,0,IF(DR126&lt;0,IF($J126=1,-$E126*$I126/12*3,IF($J126=2,-$E126*$I126/12*2,IF($J126=3,-$E126*$I126/12*1,0)))))+IF(DM$5&lt;&gt;$H126,0,IF(DM126&lt;0,IF($J126=1,-$E126*$I126/12*0,IF($J126=2,-$E126*$I126/12*1,IF($J126=3,-$E126*$I126/12*2,IF($J126&gt;=4,-$E126*$I126/12*3,0))))))</f>
        <v>0</v>
      </c>
      <c r="DO126" s="442">
        <f>IF($H126&lt;&gt;DR$5,0,IF(DR126&lt;0,IF(OR($J126=1,$J126=2,$J126=3,$J126=4),-$E126*$I126/12*3,IF($J126=5,-$E126*$I126/12*2,IF($J126=6,-$E126*$I126/12*1,0)))))+IF(DM$5&lt;&gt;$H126,0,IF(DM126&lt;0,IF($J126=4,-$E126*$I126/12*0,IF($J126=5,-$E126*$I126/12*1,IF($J126=6,-$E126*$I126/12*2,IF($J126&gt;=7,-$E126*$I126/12*3,0))))))</f>
        <v>0</v>
      </c>
      <c r="DP126" s="442">
        <f>IF($H126&lt;&gt;DR$5,0,IF(DR126&lt;0,IF(OR($J126=1,$J126=2,$J126=3,$J126=4,$J126=5,$J126=6,$J126=7),-$E126*$I126/12*3,IF($J126=8,-$E126*$I126/12*2,IF($J126=9,-$E126*$I126/12*1,0)))))+IF(DM$5&lt;&gt;$H126,0,IF(DM126&lt;0,IF($J126=7,-$E126*$I126/12*0,IF($J126=8,-$E126*$I126/12*1,IF($J126=9,-$E126*$I126/12*2,IF($J126&gt;=10,-$E126*$I126/12*3,0))))))</f>
        <v>0</v>
      </c>
      <c r="DQ126" s="443">
        <f>IF($H126&lt;&gt;DR$5,0,IF(DR126&lt;0,IF(OR($J126=1,$J126=2,$J126=3,$J126=4,$J126=5,$J126=6,$J126=7,$J126=8,$J126=9,$J126=10),-$E126*$I126/12*3,IF($J126=11,-$E126*$I126/12*2,IF($J126=12,-$E126*$I126/12*1,0)))))+IF(DM$5&lt;&gt;$H126,0,IF(DM126&lt;0,IF($J126=10,-$E126*$I126/12*0,IF($J126=11,-$E126*$I126/12*1,IF($J126=12,-$E126*$I126/12*2,0)))))</f>
        <v>0</v>
      </c>
      <c r="DR126" s="440">
        <f>IF(AND(DM126&lt;&gt;0,DM$5=$H126),-$I126*$E126-DM126,IF(DR$5=$H126,-$I126*$E126*(12-$J126+1)/12,0))</f>
        <v>0</v>
      </c>
    </row>
    <row r="127" spans="1:122" ht="12.75" customHeight="1">
      <c r="C127" s="1123" t="s">
        <v>735</v>
      </c>
      <c r="D127" s="395"/>
      <c r="E127" s="188">
        <f>IF(F127=0,G127,F127)</f>
        <v>275</v>
      </c>
      <c r="F127" s="1945">
        <v>275</v>
      </c>
      <c r="G127" s="1945">
        <v>275</v>
      </c>
      <c r="H127" s="1366">
        <v>2038</v>
      </c>
      <c r="I127" s="1367">
        <v>8.2500000000000004E-2</v>
      </c>
      <c r="J127" s="1357">
        <v>10</v>
      </c>
      <c r="K127" s="549"/>
      <c r="L127" s="441">
        <f>IF(P127=0,0,IF(P127&lt;0,IF($J127=3,P127,IF($J127=2,P127,IF($J127=1,P127,0)))))</f>
        <v>0</v>
      </c>
      <c r="M127" s="442">
        <f>IF(P127=0,0,IF(P127&lt;0,IF($J127=6,P127,IF($J127=5,P127,IF($J127=4,P127,0)))))</f>
        <v>0</v>
      </c>
      <c r="N127" s="442">
        <f>IF(P127=0,0,IF(P127&lt;0,IF($J127=9,P127,IF($J127=8,P127,IF($J127=7,P127,0)))))</f>
        <v>0</v>
      </c>
      <c r="O127" s="443">
        <f>IF(P127=0,0,IF(P127&lt;0,IF($J127=12,P127,IF($J127=11,P127,IF($J127=10,P127,0)))))</f>
        <v>0</v>
      </c>
      <c r="P127" s="440">
        <f>IF(P$5=$H127,-$E127,0)</f>
        <v>0</v>
      </c>
      <c r="Q127" s="441">
        <f>IF(U127=0,0,IF(U127&lt;0,IF($J127=3,U127,IF($J127=2,U127,IF($J127=1,U127,0)))))</f>
        <v>0</v>
      </c>
      <c r="R127" s="442">
        <f>IF(U127=0,0,IF(U127&lt;0,IF($J127=6,U127,IF($J127=5,U127,IF($J127=4,U127,0)))))</f>
        <v>0</v>
      </c>
      <c r="S127" s="442">
        <f>IF(U127=0,0,IF(U127&lt;0,IF($J127=9,U127,IF($J127=8,U127,IF($J127=7,U127,0)))))</f>
        <v>0</v>
      </c>
      <c r="T127" s="443">
        <f>IF(U127=0,0,IF(U127&lt;0,IF($J127=12,U127,IF($J127=11,U127,IF($J127=10,U127,0)))))</f>
        <v>0</v>
      </c>
      <c r="U127" s="440">
        <f>IF(U$5=$H127,-$E127,0)</f>
        <v>0</v>
      </c>
      <c r="V127" s="441">
        <f>IF(Z127=0,0,IF(Z127&lt;0,IF($J127=3,Z127,IF($J127=2,Z127,IF($J127=1,Z127,0)))))</f>
        <v>0</v>
      </c>
      <c r="W127" s="442">
        <f>IF(Z127=0,0,IF(Z127&lt;0,IF($J127=6,Z127,IF($J127=5,Z127,IF($J127=4,Z127,0)))))</f>
        <v>0</v>
      </c>
      <c r="X127" s="442">
        <f>IF(Z127=0,0,IF(Z127&lt;0,IF($J127=9,Z127,IF($J127=8,Z127,IF($J127=7,Z127,0)))))</f>
        <v>0</v>
      </c>
      <c r="Y127" s="443">
        <f>IF(Z127=0,0,IF(Z127&lt;0,IF($J127=12,Z127,IF($J127=11,Z127,IF($J127=10,Z127,0)))))</f>
        <v>0</v>
      </c>
      <c r="Z127" s="440">
        <f>IF(Z$5=$H127,-$E127,0)</f>
        <v>0</v>
      </c>
      <c r="AA127" s="441">
        <f>IF(AE127=0,0,IF(AE127&lt;0,IF($J127=3,AE127,IF($J127=2,AE127,IF($J127=1,AE127,0)))))</f>
        <v>0</v>
      </c>
      <c r="AB127" s="442">
        <f>IF(AE127=0,0,IF(AE127&lt;0,IF($J127=6,AE127,IF($J127=5,AE127,IF($J127=4,AE127,0)))))</f>
        <v>0</v>
      </c>
      <c r="AC127" s="442">
        <f>IF(AE127=0,0,IF(AE127&lt;0,IF($J127=9,AE127,IF($J127=8,AE127,IF($J127=7,AE127,0)))))</f>
        <v>0</v>
      </c>
      <c r="AD127" s="443">
        <f>IF(AE127=0,0,IF(AE127&lt;0,IF($J127=12,AE127,IF($J127=11,AE127,IF($J127=10,AE127,0)))))</f>
        <v>0</v>
      </c>
      <c r="AE127" s="440">
        <f>IF(AE$5=$H127,-$E127,0)</f>
        <v>0</v>
      </c>
      <c r="AF127" s="441">
        <f>IF(AJ127=0,0,IF(AJ127&lt;0,IF($J127=3,AJ127,IF($J127=2,AJ127,IF($J127=1,AJ127,0)))))</f>
        <v>0</v>
      </c>
      <c r="AG127" s="442">
        <f>IF(AJ127=0,0,IF(AJ127&lt;0,IF($J127=6,AJ127,IF($J127=5,AJ127,IF($J127=4,AJ127,0)))))</f>
        <v>0</v>
      </c>
      <c r="AH127" s="442">
        <f>IF(AJ127=0,0,IF(AJ127&lt;0,IF($J127=9,AJ127,IF($J127=8,AJ127,IF($J127=7,AJ127,0)))))</f>
        <v>0</v>
      </c>
      <c r="AI127" s="443">
        <f>IF(AJ127=0,0,IF(AJ127&lt;0,IF($J127=12,AJ127,IF($J127=11,AJ127,IF($J127=10,AJ127,0)))))</f>
        <v>0</v>
      </c>
      <c r="AJ127" s="440">
        <f>IF(AJ$5=$H127,-$E127,0)</f>
        <v>0</v>
      </c>
      <c r="AK127" s="441">
        <f>IF(AO127=0,0,IF(AO127&lt;0,IF($J127=3,AO127,IF($J127=2,AO127,IF($J127=1,AO127,0)))))</f>
        <v>0</v>
      </c>
      <c r="AL127" s="442">
        <f>IF(AO127=0,0,IF(AO127&lt;0,IF($J127=6,AO127,IF($J127=5,AO127,IF($J127=4,AO127,0)))))</f>
        <v>0</v>
      </c>
      <c r="AM127" s="442">
        <f>IF(AO127=0,0,IF(AO127&lt;0,IF($J127=9,AO127,IF($J127=8,AO127,IF($J127=7,AO127,0)))))</f>
        <v>0</v>
      </c>
      <c r="AN127" s="443">
        <f>IF(AO127=0,0,IF(AO127&lt;0,IF($J127=12,AO127,IF($J127=11,AO127,IF($J127=10,AO127,0)))))</f>
        <v>0</v>
      </c>
      <c r="AO127" s="440">
        <f>IF(AO$5=$H127,-$E127,0)</f>
        <v>0</v>
      </c>
      <c r="AP127" s="441">
        <f>IF(AT127=0,0,IF(AT127&lt;0,IF($J127=3,AT127,IF($J127=2,AT127,IF($J127=1,AT127,0)))))</f>
        <v>0</v>
      </c>
      <c r="AQ127" s="442">
        <f>IF(AT127=0,0,IF(AT127&lt;0,IF($J127=6,AT127,IF($J127=5,AT127,IF($J127=4,AT127,0)))))</f>
        <v>0</v>
      </c>
      <c r="AR127" s="442">
        <f>IF(AT127=0,0,IF(AT127&lt;0,IF($J127=9,AT127,IF($J127=8,AT127,IF($J127=7,AT127,0)))))</f>
        <v>0</v>
      </c>
      <c r="AS127" s="443">
        <f>IF(AT127=0,0,IF(AT127&lt;0,IF($J127=12,AT127,IF($J127=11,AT127,IF($J127=10,AT127,0)))))</f>
        <v>0</v>
      </c>
      <c r="AT127" s="440">
        <f>IF(AT$5=$H127,-$E127,0)</f>
        <v>0</v>
      </c>
      <c r="AU127" s="441">
        <f>IF(AY127=0,0,IF(AY127&lt;0,IF($J127=3,AY127,IF($J127=2,AY127,IF($J127=1,AY127,0)))))</f>
        <v>0</v>
      </c>
      <c r="AV127" s="442">
        <f>IF(AY127=0,0,IF(AY127&lt;0,IF($J127=6,AY127,IF($J127=5,AY127,IF($J127=4,AY127,0)))))</f>
        <v>0</v>
      </c>
      <c r="AW127" s="442">
        <f>IF(AY127=0,0,IF(AY127&lt;0,IF($J127=9,AY127,IF($J127=8,AY127,IF($J127=7,AY127,0)))))</f>
        <v>0</v>
      </c>
      <c r="AX127" s="443">
        <f>IF(AY127=0,0,IF(AY127&lt;0,IF($J127=12,AY127,IF($J127=11,AY127,IF($J127=10,AY127,0)))))</f>
        <v>0</v>
      </c>
      <c r="AY127" s="440">
        <f>IF(AY$5=$H127,-$E127,0)</f>
        <v>0</v>
      </c>
      <c r="AZ127" s="441">
        <f>IF(BD127=0,0,IF(BD127&lt;0,IF($J127=3,BD127,IF($J127=2,BD127,IF($J127=1,BD127,0)))))</f>
        <v>0</v>
      </c>
      <c r="BA127" s="442">
        <f>IF(BD127=0,0,IF(BD127&lt;0,IF($J127=6,BD127,IF($J127=5,BD127,IF($J127=4,BD127,0)))))</f>
        <v>0</v>
      </c>
      <c r="BB127" s="442">
        <f>IF(BD127=0,0,IF(BD127&lt;0,IF($J127=9,BD127,IF($J127=8,BD127,IF($J127=7,BD127,0)))))</f>
        <v>0</v>
      </c>
      <c r="BC127" s="443">
        <f>IF(BD127=0,0,IF(BD127&lt;0,IF($J127=12,BD127,IF($J127=11,BD127,IF($J127=10,BD127,0)))))</f>
        <v>0</v>
      </c>
      <c r="BD127" s="440">
        <f>IF(BD$5=$H127,-$E127,0)</f>
        <v>0</v>
      </c>
      <c r="BE127" s="441">
        <f>IF(BI127=0,0,IF(BI127&lt;0,IF($J127=3,BI127,IF($J127=2,BI127,IF($J127=1,BI127,0)))))</f>
        <v>0</v>
      </c>
      <c r="BF127" s="442">
        <f>IF(BI127=0,0,IF(BI127&lt;0,IF($J127=6,BI127,IF($J127=5,BI127,IF($J127=4,BI127,0)))))</f>
        <v>0</v>
      </c>
      <c r="BG127" s="442">
        <f>IF(BI127=0,0,IF(BI127&lt;0,IF($J127=9,BI127,IF($J127=8,BI127,IF($J127=7,BI127,0)))))</f>
        <v>0</v>
      </c>
      <c r="BH127" s="443">
        <f>IF(BI127=0,0,IF(BI127&lt;0,IF($J127=12,BI127,IF($J127=11,BI127,IF($J127=10,BI127,0)))))</f>
        <v>0</v>
      </c>
      <c r="BI127" s="440">
        <f>IF(BI$5=$H127,-$E127,0)</f>
        <v>0</v>
      </c>
      <c r="BJ127" s="441">
        <f>IF(BN127=0,0,IF(BN127&lt;0,IF($J127=3,BN127,IF($J127=2,BN127,IF($J127=1,BN127,0)))))</f>
        <v>0</v>
      </c>
      <c r="BK127" s="442">
        <f>IF(BN127=0,0,IF(BN127&lt;0,IF($J127=6,BN127,IF($J127=5,BN127,IF($J127=4,BN127,0)))))</f>
        <v>0</v>
      </c>
      <c r="BL127" s="442">
        <f>IF(BN127=0,0,IF(BN127&lt;0,IF($J127=9,BN127,IF($J127=8,BN127,IF($J127=7,BN127,0)))))</f>
        <v>0</v>
      </c>
      <c r="BM127" s="443">
        <f>IF(BN127=0,0,IF(BN127&lt;0,IF($J127=12,BN127,IF($J127=11,BN127,IF($J127=10,BN127,0)))))</f>
        <v>0</v>
      </c>
      <c r="BN127" s="440">
        <f>IF(BN$5=$H127,-$E127,0)</f>
        <v>0</v>
      </c>
      <c r="BO127" s="470"/>
      <c r="BP127" s="441">
        <f>IF($H127&lt;&gt;BT$5,0,IF(BT127&lt;0,IF($J127=1,-$E127*$I127/12*3,IF($J127=2,-$E127*$I127/12*2,IF($J127=3,-$E127*$I127/12*1,0)))))+IF(BO$5&lt;&gt;$H127,0,IF(BO127&lt;0,IF($J127=1,-$E127*$I127/12*0,IF($J127=2,-$E127*$I127/12*1,IF($J127=3,-$E127*$I127/12*2,IF($J127&gt;=4,-$E127*$I127/12*3,0))))))</f>
        <v>0</v>
      </c>
      <c r="BQ127" s="442">
        <f>IF($H127&lt;&gt;BT$5,0,IF(BT127&lt;0,IF(OR($J127=1,$J127=2,$J127=3,$J127=4),-$E127*$I127/12*3,IF($J127=5,-$E127*$I127/12*2,IF($J127=6,-$E127*$I127/12*1,0)))))+IF(BO$5&lt;&gt;$H127,0,IF(BO127&lt;0,IF($J127=4,-$E127*$I127/12*0,IF($J127=5,-$E127*$I127/12*1,IF($J127=6,-$E127*$I127/12*2,IF($J127&gt;=7,-$E127*$I127/12*3,0))))))</f>
        <v>0</v>
      </c>
      <c r="BR127" s="442">
        <f>IF($H127&lt;&gt;BT$5,0,IF(BT127&lt;0,IF(OR($J127=1,$J127=2,$J127=3,$J127=4,$J127=5,$J127=6,$J127=7),-$E127*$I127/12*3,IF($J127=8,-$E127*$I127/12*2,IF($J127=9,-$E127*$I127/12*1,0)))))+IF(BO$5&lt;&gt;$H127,0,IF(BO127&lt;0,IF($J127=7,-$E127*$I127/12*0,IF($J127=8,-$E127*$I127/12*1,IF($J127=9,-$E127*$I127/12*2,IF($J127&gt;=10,-$E127*$I127/12*3,0))))))</f>
        <v>0</v>
      </c>
      <c r="BS127" s="443">
        <f>IF($H127&lt;&gt;BT$5,0,IF(BT127&lt;0,IF(OR($J127=1,$J127=2,$J127=3,$J127=4,$J127=5,$J127=6,$J127=7,$J127=8,$J127=9,$J127=10),-$E127*$I127/12*3,IF($J127=11,-$E127*$I127/12*2,IF($J127=12,-$E127*$I127/12*1,0)))))+IF(BO$5&lt;&gt;$H127,0,IF(BO127&lt;0,IF($J127=10,-$E127*$I127/12*0,IF($J127=11,-$E127*$I127/12*1,IF($J127=12,-$E127*$I127/12*2,0)))))</f>
        <v>0</v>
      </c>
      <c r="BT127" s="440">
        <f>IF(AND(BO127&lt;&gt;0,BO$5=$H127),-$I127*$E127-BO127,IF(BT$5=$H127,-$I127*$E127*(12-$J127+1)/12,0))</f>
        <v>0</v>
      </c>
      <c r="BU127" s="441">
        <f>IF($H127&lt;&gt;BY$5,0,IF(BY127&lt;0,IF($J127=1,-$E127*$I127/12*3,IF($J127=2,-$E127*$I127/12*2,IF($J127=3,-$E127*$I127/12*1,0)))))+IF(BT$5&lt;&gt;$H127,0,IF(BT127&lt;0,IF($J127=1,-$E127*$I127/12*0,IF($J127=2,-$E127*$I127/12*1,IF($J127=3,-$E127*$I127/12*2,IF($J127&gt;=4,-$E127*$I127/12*3,0))))))</f>
        <v>0</v>
      </c>
      <c r="BV127" s="442">
        <f>IF($H127&lt;&gt;BY$5,0,IF(BY127&lt;0,IF(OR($J127=1,$J127=2,$J127=3,$J127=4),-$E127*$I127/12*3,IF($J127=5,-$E127*$I127/12*2,IF($J127=6,-$E127*$I127/12*1,0)))))+IF(BT$5&lt;&gt;$H127,0,IF(BT127&lt;0,IF($J127=4,-$E127*$I127/12*0,IF($J127=5,-$E127*$I127/12*1,IF($J127=6,-$E127*$I127/12*2,IF($J127&gt;=7,-$E127*$I127/12*3,0))))))</f>
        <v>0</v>
      </c>
      <c r="BW127" s="442">
        <f>IF($H127&lt;&gt;BY$5,0,IF(BY127&lt;0,IF(OR($J127=1,$J127=2,$J127=3,$J127=4,$J127=5,$J127=6,$J127=7),-$E127*$I127/12*3,IF($J127=8,-$E127*$I127/12*2,IF($J127=9,-$E127*$I127/12*1,0)))))+IF(BT$5&lt;&gt;$H127,0,IF(BT127&lt;0,IF($J127=7,-$E127*$I127/12*0,IF($J127=8,-$E127*$I127/12*1,IF($J127=9,-$E127*$I127/12*2,IF($J127&gt;=10,-$E127*$I127/12*3,0))))))</f>
        <v>0</v>
      </c>
      <c r="BX127" s="443">
        <f>IF($H127&lt;&gt;BY$5,0,IF(BY127&lt;0,IF(OR($J127=1,$J127=2,$J127=3,$J127=4,$J127=5,$J127=6,$J127=7,$J127=8,$J127=9,$J127=10),-$E127*$I127/12*3,IF($J127=11,-$E127*$I127/12*2,IF($J127=12,-$E127*$I127/12*1,0)))))+IF(BT$5&lt;&gt;$H127,0,IF(BT127&lt;0,IF($J127=10,-$E127*$I127/12*0,IF($J127=11,-$E127*$I127/12*1,IF($J127=12,-$E127*$I127/12*2,0)))))</f>
        <v>0</v>
      </c>
      <c r="BY127" s="440">
        <f>IF(AND(BT127&lt;&gt;0,BT$5=$H127),-$I127*$E127-BT127,IF(BY$5=$H127,-$I127*$E127*(12-$J127+1)/12,0))</f>
        <v>0</v>
      </c>
      <c r="BZ127" s="441">
        <f>IF($H127&lt;&gt;CD$5,0,IF(CD127&lt;0,IF($J127=1,-$E127*$I127/12*3,IF($J127=2,-$E127*$I127/12*2,IF($J127=3,-$E127*$I127/12*1,0)))))+IF(BY$5&lt;&gt;$H127,0,IF(BY127&lt;0,IF($J127=1,-$E127*$I127/12*0,IF($J127=2,-$E127*$I127/12*1,IF($J127=3,-$E127*$I127/12*2,IF($J127&gt;=4,-$E127*$I127/12*3,0))))))</f>
        <v>0</v>
      </c>
      <c r="CA127" s="442">
        <f>IF($H127&lt;&gt;CD$5,0,IF(CD127&lt;0,IF(OR($J127=1,$J127=2,$J127=3,$J127=4),-$E127*$I127/12*3,IF($J127=5,-$E127*$I127/12*2,IF($J127=6,-$E127*$I127/12*1,0)))))+IF(BY$5&lt;&gt;$H127,0,IF(BY127&lt;0,IF($J127=4,-$E127*$I127/12*0,IF($J127=5,-$E127*$I127/12*1,IF($J127=6,-$E127*$I127/12*2,IF($J127&gt;=7,-$E127*$I127/12*3,0))))))</f>
        <v>0</v>
      </c>
      <c r="CB127" s="442">
        <f>IF($H127&lt;&gt;CD$5,0,IF(CD127&lt;0,IF(OR($J127=1,$J127=2,$J127=3,$J127=4,$J127=5,$J127=6,$J127=7),-$E127*$I127/12*3,IF($J127=8,-$E127*$I127/12*2,IF($J127=9,-$E127*$I127/12*1,0)))))+IF(BY$5&lt;&gt;$H127,0,IF(BY127&lt;0,IF($J127=7,-$E127*$I127/12*0,IF($J127=8,-$E127*$I127/12*1,IF($J127=9,-$E127*$I127/12*2,IF($J127&gt;=10,-$E127*$I127/12*3,0))))))</f>
        <v>0</v>
      </c>
      <c r="CC127" s="443">
        <f>IF($H127&lt;&gt;CD$5,0,IF(CD127&lt;0,IF(OR($J127=1,$J127=2,$J127=3,$J127=4,$J127=5,$J127=6,$J127=7,$J127=8,$J127=9,$J127=10),-$E127*$I127/12*3,IF($J127=11,-$E127*$I127/12*2,IF($J127=12,-$E127*$I127/12*1,0)))))+IF(BY$5&lt;&gt;$H127,0,IF(BY127&lt;0,IF($J127=10,-$E127*$I127/12*0,IF($J127=11,-$E127*$I127/12*1,IF($J127=12,-$E127*$I127/12*2,0)))))</f>
        <v>0</v>
      </c>
      <c r="CD127" s="440">
        <f>IF(AND(BY127&lt;&gt;0,BY$5=$H127),-$I127*$E127-BY127,IF(CD$5=$H127,-$I127*$E127*(12-$J127+1)/12,0))</f>
        <v>0</v>
      </c>
      <c r="CE127" s="441">
        <f>IF($H127&lt;&gt;CI$5,0,IF(CI127&lt;0,IF($J127=1,-$E127*$I127/12*3,IF($J127=2,-$E127*$I127/12*2,IF($J127=3,-$E127*$I127/12*1,0)))))+IF(CD$5&lt;&gt;$H127,0,IF(CD127&lt;0,IF($J127=1,-$E127*$I127/12*0,IF($J127=2,-$E127*$I127/12*1,IF($J127=3,-$E127*$I127/12*2,IF($J127&gt;=4,-$E127*$I127/12*3,0))))))</f>
        <v>0</v>
      </c>
      <c r="CF127" s="442">
        <f>IF($H127&lt;&gt;CI$5,0,IF(CI127&lt;0,IF(OR($J127=1,$J127=2,$J127=3,$J127=4),-$E127*$I127/12*3,IF($J127=5,-$E127*$I127/12*2,IF($J127=6,-$E127*$I127/12*1,0)))))+IF(CD$5&lt;&gt;$H127,0,IF(CD127&lt;0,IF($J127=4,-$E127*$I127/12*0,IF($J127=5,-$E127*$I127/12*1,IF($J127=6,-$E127*$I127/12*2,IF($J127&gt;=7,-$E127*$I127/12*3,0))))))</f>
        <v>0</v>
      </c>
      <c r="CG127" s="442">
        <f>IF($H127&lt;&gt;CI$5,0,IF(CI127&lt;0,IF(OR($J127=1,$J127=2,$J127=3,$J127=4,$J127=5,$J127=6,$J127=7),-$E127*$I127/12*3,IF($J127=8,-$E127*$I127/12*2,IF($J127=9,-$E127*$I127/12*1,0)))))+IF(CD$5&lt;&gt;$H127,0,IF(CD127&lt;0,IF($J127=7,-$E127*$I127/12*0,IF($J127=8,-$E127*$I127/12*1,IF($J127=9,-$E127*$I127/12*2,IF($J127&gt;=10,-$E127*$I127/12*3,0))))))</f>
        <v>0</v>
      </c>
      <c r="CH127" s="443">
        <f>IF($H127&lt;&gt;CI$5,0,IF(CI127&lt;0,IF(OR($J127=1,$J127=2,$J127=3,$J127=4,$J127=5,$J127=6,$J127=7,$J127=8,$J127=9,$J127=10),-$E127*$I127/12*3,IF($J127=11,-$E127*$I127/12*2,IF($J127=12,-$E127*$I127/12*1,0)))))+IF(CD$5&lt;&gt;$H127,0,IF(CD127&lt;0,IF($J127=10,-$E127*$I127/12*0,IF($J127=11,-$E127*$I127/12*1,IF($J127=12,-$E127*$I127/12*2,0)))))</f>
        <v>0</v>
      </c>
      <c r="CI127" s="440">
        <f>IF(AND(CD127&lt;&gt;0,CD$5=$H127),-$I127*$E127-CD127,IF(CI$5=$H127,-$I127*$E127*(12-$J127+1)/12,0))</f>
        <v>0</v>
      </c>
      <c r="CJ127" s="441">
        <f>IF($H127&lt;&gt;CN$5,0,IF(CN127&lt;0,IF($J127=1,-$E127*$I127/12*3,IF($J127=2,-$E127*$I127/12*2,IF($J127=3,-$E127*$I127/12*1,0)))))+IF(CI$5&lt;&gt;$H127,0,IF(CI127&lt;0,IF($J127=1,-$E127*$I127/12*0,IF($J127=2,-$E127*$I127/12*1,IF($J127=3,-$E127*$I127/12*2,IF($J127&gt;=4,-$E127*$I127/12*3,0))))))</f>
        <v>0</v>
      </c>
      <c r="CK127" s="442">
        <f>IF($H127&lt;&gt;CN$5,0,IF(CN127&lt;0,IF(OR($J127=1,$J127=2,$J127=3,$J127=4),-$E127*$I127/12*3,IF($J127=5,-$E127*$I127/12*2,IF($J127=6,-$E127*$I127/12*1,0)))))+IF(CI$5&lt;&gt;$H127,0,IF(CI127&lt;0,IF($J127=4,-$E127*$I127/12*0,IF($J127=5,-$E127*$I127/12*1,IF($J127=6,-$E127*$I127/12*2,IF($J127&gt;=7,-$E127*$I127/12*3,0))))))</f>
        <v>0</v>
      </c>
      <c r="CL127" s="442">
        <f>IF($H127&lt;&gt;CN$5,0,IF(CN127&lt;0,IF(OR($J127=1,$J127=2,$J127=3,$J127=4,$J127=5,$J127=6,$J127=7),-$E127*$I127/12*3,IF($J127=8,-$E127*$I127/12*2,IF($J127=9,-$E127*$I127/12*1,0)))))+IF(CI$5&lt;&gt;$H127,0,IF(CI127&lt;0,IF($J127=7,-$E127*$I127/12*0,IF($J127=8,-$E127*$I127/12*1,IF($J127=9,-$E127*$I127/12*2,IF($J127&gt;=10,-$E127*$I127/12*3,0))))))</f>
        <v>0</v>
      </c>
      <c r="CM127" s="443">
        <f>IF($H127&lt;&gt;CN$5,0,IF(CN127&lt;0,IF(OR($J127=1,$J127=2,$J127=3,$J127=4,$J127=5,$J127=6,$J127=7,$J127=8,$J127=9,$J127=10),-$E127*$I127/12*3,IF($J127=11,-$E127*$I127/12*2,IF($J127=12,-$E127*$I127/12*1,0)))))+IF(CI$5&lt;&gt;$H127,0,IF(CI127&lt;0,IF($J127=10,-$E127*$I127/12*0,IF($J127=11,-$E127*$I127/12*1,IF($J127=12,-$E127*$I127/12*2,0)))))</f>
        <v>0</v>
      </c>
      <c r="CN127" s="440">
        <f>IF(AND(CI127&lt;&gt;0,CI$5=$H127),-$I127*$E127-CI127,IF(CN$5=$H127,-$I127*$E127*(12-$J127+1)/12,0))</f>
        <v>0</v>
      </c>
      <c r="CO127" s="441">
        <f>IF($H127&lt;&gt;CS$5,0,IF(CS127&lt;0,IF($J127=1,-$E127*$I127/12*3,IF($J127=2,-$E127*$I127/12*2,IF($J127=3,-$E127*$I127/12*1,0)))))+IF(CN$5&lt;&gt;$H127,0,IF(CN127&lt;0,IF($J127=1,-$E127*$I127/12*0,IF($J127=2,-$E127*$I127/12*1,IF($J127=3,-$E127*$I127/12*2,IF($J127&gt;=4,-$E127*$I127/12*3,0))))))</f>
        <v>0</v>
      </c>
      <c r="CP127" s="442">
        <f>IF($H127&lt;&gt;CS$5,0,IF(CS127&lt;0,IF(OR($J127=1,$J127=2,$J127=3,$J127=4),-$E127*$I127/12*3,IF($J127=5,-$E127*$I127/12*2,IF($J127=6,-$E127*$I127/12*1,0)))))+IF(CN$5&lt;&gt;$H127,0,IF(CN127&lt;0,IF($J127=4,-$E127*$I127/12*0,IF($J127=5,-$E127*$I127/12*1,IF($J127=6,-$E127*$I127/12*2,IF($J127&gt;=7,-$E127*$I127/12*3,0))))))</f>
        <v>0</v>
      </c>
      <c r="CQ127" s="442">
        <f>IF($H127&lt;&gt;CS$5,0,IF(CS127&lt;0,IF(OR($J127=1,$J127=2,$J127=3,$J127=4,$J127=5,$J127=6,$J127=7),-$E127*$I127/12*3,IF($J127=8,-$E127*$I127/12*2,IF($J127=9,-$E127*$I127/12*1,0)))))+IF(CN$5&lt;&gt;$H127,0,IF(CN127&lt;0,IF($J127=7,-$E127*$I127/12*0,IF($J127=8,-$E127*$I127/12*1,IF($J127=9,-$E127*$I127/12*2,IF($J127&gt;=10,-$E127*$I127/12*3,0))))))</f>
        <v>0</v>
      </c>
      <c r="CR127" s="443">
        <f>IF($H127&lt;&gt;CS$5,0,IF(CS127&lt;0,IF(OR($J127=1,$J127=2,$J127=3,$J127=4,$J127=5,$J127=6,$J127=7,$J127=8,$J127=9,$J127=10),-$E127*$I127/12*3,IF($J127=11,-$E127*$I127/12*2,IF($J127=12,-$E127*$I127/12*1,0)))))+IF(CN$5&lt;&gt;$H127,0,IF(CN127&lt;0,IF($J127=10,-$E127*$I127/12*0,IF($J127=11,-$E127*$I127/12*1,IF($J127=12,-$E127*$I127/12*2,0)))))</f>
        <v>0</v>
      </c>
      <c r="CS127" s="440">
        <f>IF(AND(CN127&lt;&gt;0,CN$5=$H127),-$I127*$E127-CN127,IF(CS$5=$H127,-$I127*$E127*(12-$J127+1)/12,0))</f>
        <v>0</v>
      </c>
      <c r="CT127" s="441">
        <f>IF($H127&lt;&gt;CX$5,0,IF(CX127&lt;0,IF($J127=1,-$E127*$I127/12*3,IF($J127=2,-$E127*$I127/12*2,IF($J127=3,-$E127*$I127/12*1,0)))))+IF(CS$5&lt;&gt;$H127,0,IF(CS127&lt;0,IF($J127=1,-$E127*$I127/12*0,IF($J127=2,-$E127*$I127/12*1,IF($J127=3,-$E127*$I127/12*2,IF($J127&gt;=4,-$E127*$I127/12*3,0))))))</f>
        <v>0</v>
      </c>
      <c r="CU127" s="442">
        <f>IF($H127&lt;&gt;CX$5,0,IF(CX127&lt;0,IF(OR($J127=1,$J127=2,$J127=3,$J127=4),-$E127*$I127/12*3,IF($J127=5,-$E127*$I127/12*2,IF($J127=6,-$E127*$I127/12*1,0)))))+IF(CS$5&lt;&gt;$H127,0,IF(CS127&lt;0,IF($J127=4,-$E127*$I127/12*0,IF($J127=5,-$E127*$I127/12*1,IF($J127=6,-$E127*$I127/12*2,IF($J127&gt;=7,-$E127*$I127/12*3,0))))))</f>
        <v>0</v>
      </c>
      <c r="CV127" s="442">
        <f>IF($H127&lt;&gt;CX$5,0,IF(CX127&lt;0,IF(OR($J127=1,$J127=2,$J127=3,$J127=4,$J127=5,$J127=6,$J127=7),-$E127*$I127/12*3,IF($J127=8,-$E127*$I127/12*2,IF($J127=9,-$E127*$I127/12*1,0)))))+IF(CS$5&lt;&gt;$H127,0,IF(CS127&lt;0,IF($J127=7,-$E127*$I127/12*0,IF($J127=8,-$E127*$I127/12*1,IF($J127=9,-$E127*$I127/12*2,IF($J127&gt;=10,-$E127*$I127/12*3,0))))))</f>
        <v>0</v>
      </c>
      <c r="CW127" s="443">
        <f>IF($H127&lt;&gt;CX$5,0,IF(CX127&lt;0,IF(OR($J127=1,$J127=2,$J127=3,$J127=4,$J127=5,$J127=6,$J127=7,$J127=8,$J127=9,$J127=10),-$E127*$I127/12*3,IF($J127=11,-$E127*$I127/12*2,IF($J127=12,-$E127*$I127/12*1,0)))))+IF(CS$5&lt;&gt;$H127,0,IF(CS127&lt;0,IF($J127=10,-$E127*$I127/12*0,IF($J127=11,-$E127*$I127/12*1,IF($J127=12,-$E127*$I127/12*2,0)))))</f>
        <v>0</v>
      </c>
      <c r="CX127" s="440">
        <f>IF(AND(CS127&lt;&gt;0,CS$5=$H127),-$I127*$E127-CS127,IF(CX$5=$H127,-$I127*$E127*(12-$J127+1)/12,0))</f>
        <v>0</v>
      </c>
      <c r="CY127" s="441">
        <f>IF($H127&lt;&gt;DC$5,0,IF(DC127&lt;0,IF($J127=1,-$E127*$I127/12*3,IF($J127=2,-$E127*$I127/12*2,IF($J127=3,-$E127*$I127/12*1,0)))))+IF(CX$5&lt;&gt;$H127,0,IF(CX127&lt;0,IF($J127=1,-$E127*$I127/12*0,IF($J127=2,-$E127*$I127/12*1,IF($J127=3,-$E127*$I127/12*2,IF($J127&gt;=4,-$E127*$I127/12*3,0))))))</f>
        <v>0</v>
      </c>
      <c r="CZ127" s="442">
        <f>IF($H127&lt;&gt;DC$5,0,IF(DC127&lt;0,IF(OR($J127=1,$J127=2,$J127=3,$J127=4),-$E127*$I127/12*3,IF($J127=5,-$E127*$I127/12*2,IF($J127=6,-$E127*$I127/12*1,0)))))+IF(CX$5&lt;&gt;$H127,0,IF(CX127&lt;0,IF($J127=4,-$E127*$I127/12*0,IF($J127=5,-$E127*$I127/12*1,IF($J127=6,-$E127*$I127/12*2,IF($J127&gt;=7,-$E127*$I127/12*3,0))))))</f>
        <v>0</v>
      </c>
      <c r="DA127" s="442">
        <f>IF($H127&lt;&gt;DC$5,0,IF(DC127&lt;0,IF(OR($J127=1,$J127=2,$J127=3,$J127=4,$J127=5,$J127=6,$J127=7),-$E127*$I127/12*3,IF($J127=8,-$E127*$I127/12*2,IF($J127=9,-$E127*$I127/12*1,0)))))+IF(CX$5&lt;&gt;$H127,0,IF(CX127&lt;0,IF($J127=7,-$E127*$I127/12*0,IF($J127=8,-$E127*$I127/12*1,IF($J127=9,-$E127*$I127/12*2,IF($J127&gt;=10,-$E127*$I127/12*3,0))))))</f>
        <v>0</v>
      </c>
      <c r="DB127" s="443">
        <f>IF($H127&lt;&gt;DC$5,0,IF(DC127&lt;0,IF(OR($J127=1,$J127=2,$J127=3,$J127=4,$J127=5,$J127=6,$J127=7,$J127=8,$J127=9,$J127=10),-$E127*$I127/12*3,IF($J127=11,-$E127*$I127/12*2,IF($J127=12,-$E127*$I127/12*1,0)))))+IF(CX$5&lt;&gt;$H127,0,IF(CX127&lt;0,IF($J127=10,-$E127*$I127/12*0,IF($J127=11,-$E127*$I127/12*1,IF($J127=12,-$E127*$I127/12*2,0)))))</f>
        <v>0</v>
      </c>
      <c r="DC127" s="440">
        <f>IF(AND(CX127&lt;&gt;0,CX$5=$H127),-$I127*$E127-CX127,IF(DC$5=$H127,-$I127*$E127*(12-$J127+1)/12,0))</f>
        <v>0</v>
      </c>
      <c r="DD127" s="441">
        <f>IF($H127&lt;&gt;DH$5,0,IF(DH127&lt;0,IF($J127=1,-$E127*$I127/12*3,IF($J127=2,-$E127*$I127/12*2,IF($J127=3,-$E127*$I127/12*1,0)))))+IF(DC$5&lt;&gt;$H127,0,IF(DC127&lt;0,IF($J127=1,-$E127*$I127/12*0,IF($J127=2,-$E127*$I127/12*1,IF($J127=3,-$E127*$I127/12*2,IF($J127&gt;=4,-$E127*$I127/12*3,0))))))</f>
        <v>0</v>
      </c>
      <c r="DE127" s="442">
        <f>IF($H127&lt;&gt;DH$5,0,IF(DH127&lt;0,IF(OR($J127=1,$J127=2,$J127=3,$J127=4),-$E127*$I127/12*3,IF($J127=5,-$E127*$I127/12*2,IF($J127=6,-$E127*$I127/12*1,0)))))+IF(DC$5&lt;&gt;$H127,0,IF(DC127&lt;0,IF($J127=4,-$E127*$I127/12*0,IF($J127=5,-$E127*$I127/12*1,IF($J127=6,-$E127*$I127/12*2,IF($J127&gt;=7,-$E127*$I127/12*3,0))))))</f>
        <v>0</v>
      </c>
      <c r="DF127" s="442">
        <f>IF($H127&lt;&gt;DH$5,0,IF(DH127&lt;0,IF(OR($J127=1,$J127=2,$J127=3,$J127=4,$J127=5,$J127=6,$J127=7),-$E127*$I127/12*3,IF($J127=8,-$E127*$I127/12*2,IF($J127=9,-$E127*$I127/12*1,0)))))+IF(DC$5&lt;&gt;$H127,0,IF(DC127&lt;0,IF($J127=7,-$E127*$I127/12*0,IF($J127=8,-$E127*$I127/12*1,IF($J127=9,-$E127*$I127/12*2,IF($J127&gt;=10,-$E127*$I127/12*3,0))))))</f>
        <v>0</v>
      </c>
      <c r="DG127" s="443">
        <f>IF($H127&lt;&gt;DH$5,0,IF(DH127&lt;0,IF(OR($J127=1,$J127=2,$J127=3,$J127=4,$J127=5,$J127=6,$J127=7,$J127=8,$J127=9,$J127=10),-$E127*$I127/12*3,IF($J127=11,-$E127*$I127/12*2,IF($J127=12,-$E127*$I127/12*1,0)))))+IF(DC$5&lt;&gt;$H127,0,IF(DC127&lt;0,IF($J127=10,-$E127*$I127/12*0,IF($J127=11,-$E127*$I127/12*1,IF($J127=12,-$E127*$I127/12*2,0)))))</f>
        <v>0</v>
      </c>
      <c r="DH127" s="440">
        <f>IF(AND(DC127&lt;&gt;0,DC$5=$H127),-$I127*$E127-DC127,IF(DH$5=$H127,-$I127*$E127*(12-$J127+1)/12,0))</f>
        <v>0</v>
      </c>
      <c r="DI127" s="441">
        <f>IF($H127&lt;&gt;DM$5,0,IF(DM127&lt;0,IF($J127=1,-$E127*$I127/12*3,IF($J127=2,-$E127*$I127/12*2,IF($J127=3,-$E127*$I127/12*1,0)))))+IF(DH$5&lt;&gt;$H127,0,IF(DH127&lt;0,IF($J127=1,-$E127*$I127/12*0,IF($J127=2,-$E127*$I127/12*1,IF($J127=3,-$E127*$I127/12*2,IF($J127&gt;=4,-$E127*$I127/12*3,0))))))</f>
        <v>0</v>
      </c>
      <c r="DJ127" s="442">
        <f>IF($H127&lt;&gt;DM$5,0,IF(DM127&lt;0,IF(OR($J127=1,$J127=2,$J127=3,$J127=4),-$E127*$I127/12*3,IF($J127=5,-$E127*$I127/12*2,IF($J127=6,-$E127*$I127/12*1,0)))))+IF(DH$5&lt;&gt;$H127,0,IF(DH127&lt;0,IF($J127=4,-$E127*$I127/12*0,IF($J127=5,-$E127*$I127/12*1,IF($J127=6,-$E127*$I127/12*2,IF($J127&gt;=7,-$E127*$I127/12*3,0))))))</f>
        <v>0</v>
      </c>
      <c r="DK127" s="442">
        <f>IF($H127&lt;&gt;DM$5,0,IF(DM127&lt;0,IF(OR($J127=1,$J127=2,$J127=3,$J127=4,$J127=5,$J127=6,$J127=7),-$E127*$I127/12*3,IF($J127=8,-$E127*$I127/12*2,IF($J127=9,-$E127*$I127/12*1,0)))))+IF(DH$5&lt;&gt;$H127,0,IF(DH127&lt;0,IF($J127=7,-$E127*$I127/12*0,IF($J127=8,-$E127*$I127/12*1,IF($J127=9,-$E127*$I127/12*2,IF($J127&gt;=10,-$E127*$I127/12*3,0))))))</f>
        <v>0</v>
      </c>
      <c r="DL127" s="443">
        <f>IF($H127&lt;&gt;DM$5,0,IF(DM127&lt;0,IF(OR($J127=1,$J127=2,$J127=3,$J127=4,$J127=5,$J127=6,$J127=7,$J127=8,$J127=9,$J127=10),-$E127*$I127/12*3,IF($J127=11,-$E127*$I127/12*2,IF($J127=12,-$E127*$I127/12*1,0)))))+IF(DH$5&lt;&gt;$H127,0,IF(DH127&lt;0,IF($J127=10,-$E127*$I127/12*0,IF($J127=11,-$E127*$I127/12*1,IF($J127=12,-$E127*$I127/12*2,0)))))</f>
        <v>0</v>
      </c>
      <c r="DM127" s="440">
        <f>IF(AND(DH127&lt;&gt;0,DH$5=$H127),-$I127*$E127-DH127,IF(DM$5=$H127,-$I127*$E127*(12-$J127+1)/12,0))</f>
        <v>0</v>
      </c>
      <c r="DN127" s="441">
        <f>IF($H127&lt;&gt;DR$5,0,IF(DR127&lt;0,IF($J127=1,-$E127*$I127/12*3,IF($J127=2,-$E127*$I127/12*2,IF($J127=3,-$E127*$I127/12*1,0)))))+IF(DM$5&lt;&gt;$H127,0,IF(DM127&lt;0,IF($J127=1,-$E127*$I127/12*0,IF($J127=2,-$E127*$I127/12*1,IF($J127=3,-$E127*$I127/12*2,IF($J127&gt;=4,-$E127*$I127/12*3,0))))))</f>
        <v>0</v>
      </c>
      <c r="DO127" s="442">
        <f>IF($H127&lt;&gt;DR$5,0,IF(DR127&lt;0,IF(OR($J127=1,$J127=2,$J127=3,$J127=4),-$E127*$I127/12*3,IF($J127=5,-$E127*$I127/12*2,IF($J127=6,-$E127*$I127/12*1,0)))))+IF(DM$5&lt;&gt;$H127,0,IF(DM127&lt;0,IF($J127=4,-$E127*$I127/12*0,IF($J127=5,-$E127*$I127/12*1,IF($J127=6,-$E127*$I127/12*2,IF($J127&gt;=7,-$E127*$I127/12*3,0))))))</f>
        <v>0</v>
      </c>
      <c r="DP127" s="442">
        <f>IF($H127&lt;&gt;DR$5,0,IF(DR127&lt;0,IF(OR($J127=1,$J127=2,$J127=3,$J127=4,$J127=5,$J127=6,$J127=7),-$E127*$I127/12*3,IF($J127=8,-$E127*$I127/12*2,IF($J127=9,-$E127*$I127/12*1,0)))))+IF(DM$5&lt;&gt;$H127,0,IF(DM127&lt;0,IF($J127=7,-$E127*$I127/12*0,IF($J127=8,-$E127*$I127/12*1,IF($J127=9,-$E127*$I127/12*2,IF($J127&gt;=10,-$E127*$I127/12*3,0))))))</f>
        <v>0</v>
      </c>
      <c r="DQ127" s="443">
        <f>IF($H127&lt;&gt;DR$5,0,IF(DR127&lt;0,IF(OR($J127=1,$J127=2,$J127=3,$J127=4,$J127=5,$J127=6,$J127=7,$J127=8,$J127=9,$J127=10),-$E127*$I127/12*3,IF($J127=11,-$E127*$I127/12*2,IF($J127=12,-$E127*$I127/12*1,0)))))+IF(DM$5&lt;&gt;$H127,0,IF(DM127&lt;0,IF($J127=10,-$E127*$I127/12*0,IF($J127=11,-$E127*$I127/12*1,IF($J127=12,-$E127*$I127/12*2,0)))))</f>
        <v>0</v>
      </c>
      <c r="DR127" s="440">
        <f>IF(AND(DM127&lt;&gt;0,DM$5=$H127),-$I127*$E127-DM127,IF(DR$5=$H127,-$I127*$E127*(12-$J127+1)/12,0))</f>
        <v>0</v>
      </c>
    </row>
    <row r="128" spans="1:122" ht="12.75" customHeight="1">
      <c r="C128" s="1123" t="s">
        <v>737</v>
      </c>
      <c r="D128" s="395"/>
      <c r="E128" s="188">
        <f>IF(F128=0,G128,F128)</f>
        <v>350</v>
      </c>
      <c r="F128" s="1945">
        <f>350</f>
        <v>350</v>
      </c>
      <c r="G128" s="1945">
        <f>350</f>
        <v>350</v>
      </c>
      <c r="H128" s="1366">
        <v>2036</v>
      </c>
      <c r="I128" s="1367">
        <v>6.8750000000000006E-2</v>
      </c>
      <c r="J128" s="1357">
        <v>7</v>
      </c>
      <c r="K128" s="549"/>
      <c r="L128" s="441">
        <f>IF(P128=0,0,IF(P128&lt;0,IF($J128=3,P128,IF($J128=2,P128,IF($J128=1,P128,0)))))</f>
        <v>0</v>
      </c>
      <c r="M128" s="442">
        <f>IF(P128=0,0,IF(P128&lt;0,IF($J128=6,P128,IF($J128=5,P128,IF($J128=4,P128,0)))))</f>
        <v>0</v>
      </c>
      <c r="N128" s="442">
        <f>IF(P128=0,0,IF(P128&lt;0,IF($J128=9,P128,IF($J128=8,P128,IF($J128=7,P128,0)))))</f>
        <v>0</v>
      </c>
      <c r="O128" s="443">
        <f>IF(P128=0,0,IF(P128&lt;0,IF($J128=12,P128,IF($J128=11,P128,IF($J128=10,P128,0)))))</f>
        <v>0</v>
      </c>
      <c r="P128" s="440">
        <f>IF(P$5=$H128,-$E128,0)</f>
        <v>0</v>
      </c>
      <c r="Q128" s="441">
        <f>IF(U128=0,0,IF(U128&lt;0,IF($J128=3,U128,IF($J128=2,U128,IF($J128=1,U128,0)))))</f>
        <v>0</v>
      </c>
      <c r="R128" s="442">
        <f>IF(U128=0,0,IF(U128&lt;0,IF($J128=6,U128,IF($J128=5,U128,IF($J128=4,U128,0)))))</f>
        <v>0</v>
      </c>
      <c r="S128" s="442">
        <f>IF(U128=0,0,IF(U128&lt;0,IF($J128=9,U128,IF($J128=8,U128,IF($J128=7,U128,0)))))</f>
        <v>0</v>
      </c>
      <c r="T128" s="443">
        <f>IF(U128=0,0,IF(U128&lt;0,IF($J128=12,U128,IF($J128=11,U128,IF($J128=10,U128,0)))))</f>
        <v>0</v>
      </c>
      <c r="U128" s="440">
        <f>IF(U$5=$H128,-$E128,0)</f>
        <v>0</v>
      </c>
      <c r="V128" s="441">
        <f>IF(Z128=0,0,IF(Z128&lt;0,IF($J128=3,Z128,IF($J128=2,Z128,IF($J128=1,Z128,0)))))</f>
        <v>0</v>
      </c>
      <c r="W128" s="442">
        <f>IF(Z128=0,0,IF(Z128&lt;0,IF($J128=6,Z128,IF($J128=5,Z128,IF($J128=4,Z128,0)))))</f>
        <v>0</v>
      </c>
      <c r="X128" s="442">
        <f>IF(Z128=0,0,IF(Z128&lt;0,IF($J128=9,Z128,IF($J128=8,Z128,IF($J128=7,Z128,0)))))</f>
        <v>0</v>
      </c>
      <c r="Y128" s="443">
        <f>IF(Z128=0,0,IF(Z128&lt;0,IF($J128=12,Z128,IF($J128=11,Z128,IF($J128=10,Z128,0)))))</f>
        <v>0</v>
      </c>
      <c r="Z128" s="440">
        <f>IF(Z$5=$H128,-$E128,0)</f>
        <v>0</v>
      </c>
      <c r="AA128" s="441">
        <f>IF(AE128=0,0,IF(AE128&lt;0,IF($J128=3,AE128,IF($J128=2,AE128,IF($J128=1,AE128,0)))))</f>
        <v>0</v>
      </c>
      <c r="AB128" s="442">
        <f>IF(AE128=0,0,IF(AE128&lt;0,IF($J128=6,AE128,IF($J128=5,AE128,IF($J128=4,AE128,0)))))</f>
        <v>0</v>
      </c>
      <c r="AC128" s="442">
        <f>IF(AE128=0,0,IF(AE128&lt;0,IF($J128=9,AE128,IF($J128=8,AE128,IF($J128=7,AE128,0)))))</f>
        <v>0</v>
      </c>
      <c r="AD128" s="443">
        <f>IF(AE128=0,0,IF(AE128&lt;0,IF($J128=12,AE128,IF($J128=11,AE128,IF($J128=10,AE128,0)))))</f>
        <v>0</v>
      </c>
      <c r="AE128" s="440">
        <f>IF(AE$5=$H128,-$E128,0)</f>
        <v>0</v>
      </c>
      <c r="AF128" s="441">
        <f>IF(AJ128=0,0,IF(AJ128&lt;0,IF($J128=3,AJ128,IF($J128=2,AJ128,IF($J128=1,AJ128,0)))))</f>
        <v>0</v>
      </c>
      <c r="AG128" s="442">
        <f>IF(AJ128=0,0,IF(AJ128&lt;0,IF($J128=6,AJ128,IF($J128=5,AJ128,IF($J128=4,AJ128,0)))))</f>
        <v>0</v>
      </c>
      <c r="AH128" s="442">
        <f>IF(AJ128=0,0,IF(AJ128&lt;0,IF($J128=9,AJ128,IF($J128=8,AJ128,IF($J128=7,AJ128,0)))))</f>
        <v>0</v>
      </c>
      <c r="AI128" s="443">
        <f>IF(AJ128=0,0,IF(AJ128&lt;0,IF($J128=12,AJ128,IF($J128=11,AJ128,IF($J128=10,AJ128,0)))))</f>
        <v>0</v>
      </c>
      <c r="AJ128" s="440">
        <f>IF(AJ$5=$H128,-$E128,0)</f>
        <v>0</v>
      </c>
      <c r="AK128" s="441">
        <f>IF(AO128=0,0,IF(AO128&lt;0,IF($J128=3,AO128,IF($J128=2,AO128,IF($J128=1,AO128,0)))))</f>
        <v>0</v>
      </c>
      <c r="AL128" s="442">
        <f>IF(AO128=0,0,IF(AO128&lt;0,IF($J128=6,AO128,IF($J128=5,AO128,IF($J128=4,AO128,0)))))</f>
        <v>0</v>
      </c>
      <c r="AM128" s="442">
        <f>IF(AO128=0,0,IF(AO128&lt;0,IF($J128=9,AO128,IF($J128=8,AO128,IF($J128=7,AO128,0)))))</f>
        <v>0</v>
      </c>
      <c r="AN128" s="443">
        <f>IF(AO128=0,0,IF(AO128&lt;0,IF($J128=12,AO128,IF($J128=11,AO128,IF($J128=10,AO128,0)))))</f>
        <v>0</v>
      </c>
      <c r="AO128" s="440">
        <f>IF(AO$5=$H128,-$E128,0)</f>
        <v>0</v>
      </c>
      <c r="AP128" s="441">
        <f>IF(AT128=0,0,IF(AT128&lt;0,IF($J128=3,AT128,IF($J128=2,AT128,IF($J128=1,AT128,0)))))</f>
        <v>0</v>
      </c>
      <c r="AQ128" s="442">
        <f>IF(AT128=0,0,IF(AT128&lt;0,IF($J128=6,AT128,IF($J128=5,AT128,IF($J128=4,AT128,0)))))</f>
        <v>0</v>
      </c>
      <c r="AR128" s="442">
        <f>IF(AT128=0,0,IF(AT128&lt;0,IF($J128=9,AT128,IF($J128=8,AT128,IF($J128=7,AT128,0)))))</f>
        <v>0</v>
      </c>
      <c r="AS128" s="443">
        <f>IF(AT128=0,0,IF(AT128&lt;0,IF($J128=12,AT128,IF($J128=11,AT128,IF($J128=10,AT128,0)))))</f>
        <v>0</v>
      </c>
      <c r="AT128" s="440">
        <f>IF(AT$5=$H128,-$E128,0)</f>
        <v>0</v>
      </c>
      <c r="AU128" s="441">
        <f>IF(AY128=0,0,IF(AY128&lt;0,IF($J128=3,AY128,IF($J128=2,AY128,IF($J128=1,AY128,0)))))</f>
        <v>0</v>
      </c>
      <c r="AV128" s="442">
        <f>IF(AY128=0,0,IF(AY128&lt;0,IF($J128=6,AY128,IF($J128=5,AY128,IF($J128=4,AY128,0)))))</f>
        <v>0</v>
      </c>
      <c r="AW128" s="442">
        <f>IF(AY128=0,0,IF(AY128&lt;0,IF($J128=9,AY128,IF($J128=8,AY128,IF($J128=7,AY128,0)))))</f>
        <v>0</v>
      </c>
      <c r="AX128" s="443">
        <f>IF(AY128=0,0,IF(AY128&lt;0,IF($J128=12,AY128,IF($J128=11,AY128,IF($J128=10,AY128,0)))))</f>
        <v>0</v>
      </c>
      <c r="AY128" s="440">
        <f>IF(AY$5=$H128,-$E128,0)</f>
        <v>0</v>
      </c>
      <c r="AZ128" s="441">
        <f>IF(BD128=0,0,IF(BD128&lt;0,IF($J128=3,BD128,IF($J128=2,BD128,IF($J128=1,BD128,0)))))</f>
        <v>0</v>
      </c>
      <c r="BA128" s="442">
        <f>IF(BD128=0,0,IF(BD128&lt;0,IF($J128=6,BD128,IF($J128=5,BD128,IF($J128=4,BD128,0)))))</f>
        <v>0</v>
      </c>
      <c r="BB128" s="442">
        <f>IF(BD128=0,0,IF(BD128&lt;0,IF($J128=9,BD128,IF($J128=8,BD128,IF($J128=7,BD128,0)))))</f>
        <v>0</v>
      </c>
      <c r="BC128" s="443">
        <f>IF(BD128=0,0,IF(BD128&lt;0,IF($J128=12,BD128,IF($J128=11,BD128,IF($J128=10,BD128,0)))))</f>
        <v>0</v>
      </c>
      <c r="BD128" s="440">
        <f>IF(BD$5=$H128,-$E128,0)</f>
        <v>0</v>
      </c>
      <c r="BE128" s="441">
        <f>IF(BI128=0,0,IF(BI128&lt;0,IF($J128=3,BI128,IF($J128=2,BI128,IF($J128=1,BI128,0)))))</f>
        <v>0</v>
      </c>
      <c r="BF128" s="442">
        <f>IF(BI128=0,0,IF(BI128&lt;0,IF($J128=6,BI128,IF($J128=5,BI128,IF($J128=4,BI128,0)))))</f>
        <v>0</v>
      </c>
      <c r="BG128" s="442">
        <f>IF(BI128=0,0,IF(BI128&lt;0,IF($J128=9,BI128,IF($J128=8,BI128,IF($J128=7,BI128,0)))))</f>
        <v>0</v>
      </c>
      <c r="BH128" s="443">
        <f>IF(BI128=0,0,IF(BI128&lt;0,IF($J128=12,BI128,IF($J128=11,BI128,IF($J128=10,BI128,0)))))</f>
        <v>0</v>
      </c>
      <c r="BI128" s="440">
        <f>IF(BI$5=$H128,-$E128,0)</f>
        <v>0</v>
      </c>
      <c r="BJ128" s="441">
        <f>IF(BN128=0,0,IF(BN128&lt;0,IF($J128=3,BN128,IF($J128=2,BN128,IF($J128=1,BN128,0)))))</f>
        <v>0</v>
      </c>
      <c r="BK128" s="442">
        <f>IF(BN128=0,0,IF(BN128&lt;0,IF($J128=6,BN128,IF($J128=5,BN128,IF($J128=4,BN128,0)))))</f>
        <v>0</v>
      </c>
      <c r="BL128" s="442">
        <f>IF(BN128=0,0,IF(BN128&lt;0,IF($J128=9,BN128,IF($J128=8,BN128,IF($J128=7,BN128,0)))))</f>
        <v>0</v>
      </c>
      <c r="BM128" s="443">
        <f>IF(BN128=0,0,IF(BN128&lt;0,IF($J128=12,BN128,IF($J128=11,BN128,IF($J128=10,BN128,0)))))</f>
        <v>0</v>
      </c>
      <c r="BN128" s="440">
        <f>IF(BN$5=$H128,-$E128,0)</f>
        <v>0</v>
      </c>
      <c r="BO128" s="470"/>
      <c r="BP128" s="441">
        <f>IF($H128&lt;&gt;BT$5,0,IF(BT128&lt;0,IF($J128=1,-$E128*$I128/12*3,IF($J128=2,-$E128*$I128/12*2,IF($J128=3,-$E128*$I128/12*1,0)))))+IF(BO$5&lt;&gt;$H128,0,IF(BO128&lt;0,IF($J128=1,-$E128*$I128/12*0,IF($J128=2,-$E128*$I128/12*1,IF($J128=3,-$E128*$I128/12*2,IF($J128&gt;=4,-$E128*$I128/12*3,0))))))</f>
        <v>0</v>
      </c>
      <c r="BQ128" s="442">
        <f>IF($H128&lt;&gt;BT$5,0,IF(BT128&lt;0,IF(OR($J128=1,$J128=2,$J128=3,$J128=4),-$E128*$I128/12*3,IF($J128=5,-$E128*$I128/12*2,IF($J128=6,-$E128*$I128/12*1,0)))))+IF(BO$5&lt;&gt;$H128,0,IF(BO128&lt;0,IF($J128=4,-$E128*$I128/12*0,IF($J128=5,-$E128*$I128/12*1,IF($J128=6,-$E128*$I128/12*2,IF($J128&gt;=7,-$E128*$I128/12*3,0))))))</f>
        <v>0</v>
      </c>
      <c r="BR128" s="442">
        <f>IF($H128&lt;&gt;BT$5,0,IF(BT128&lt;0,IF(OR($J128=1,$J128=2,$J128=3,$J128=4,$J128=5,$J128=6,$J128=7),-$E128*$I128/12*3,IF($J128=8,-$E128*$I128/12*2,IF($J128=9,-$E128*$I128/12*1,0)))))+IF(BO$5&lt;&gt;$H128,0,IF(BO128&lt;0,IF($J128=7,-$E128*$I128/12*0,IF($J128=8,-$E128*$I128/12*1,IF($J128=9,-$E128*$I128/12*2,IF($J128&gt;=10,-$E128*$I128/12*3,0))))))</f>
        <v>0</v>
      </c>
      <c r="BS128" s="443">
        <f>IF($H128&lt;&gt;BT$5,0,IF(BT128&lt;0,IF(OR($J128=1,$J128=2,$J128=3,$J128=4,$J128=5,$J128=6,$J128=7,$J128=8,$J128=9,$J128=10),-$E128*$I128/12*3,IF($J128=11,-$E128*$I128/12*2,IF($J128=12,-$E128*$I128/12*1,0)))))+IF(BO$5&lt;&gt;$H128,0,IF(BO128&lt;0,IF($J128=10,-$E128*$I128/12*0,IF($J128=11,-$E128*$I128/12*1,IF($J128=12,-$E128*$I128/12*2,0)))))</f>
        <v>0</v>
      </c>
      <c r="BT128" s="440">
        <f>IF(AND(BO128&lt;&gt;0,BO$5=$H128),-$I128*$E128-BO128,IF(BT$5=$H128,-$I128*$E128*(12-$J128+1)/12,0))</f>
        <v>0</v>
      </c>
      <c r="BU128" s="441">
        <f>IF($H128&lt;&gt;BY$5,0,IF(BY128&lt;0,IF($J128=1,-$E128*$I128/12*3,IF($J128=2,-$E128*$I128/12*2,IF($J128=3,-$E128*$I128/12*1,0)))))+IF(BT$5&lt;&gt;$H128,0,IF(BT128&lt;0,IF($J128=1,-$E128*$I128/12*0,IF($J128=2,-$E128*$I128/12*1,IF($J128=3,-$E128*$I128/12*2,IF($J128&gt;=4,-$E128*$I128/12*3,0))))))</f>
        <v>0</v>
      </c>
      <c r="BV128" s="442">
        <f>IF($H128&lt;&gt;BY$5,0,IF(BY128&lt;0,IF(OR($J128=1,$J128=2,$J128=3,$J128=4),-$E128*$I128/12*3,IF($J128=5,-$E128*$I128/12*2,IF($J128=6,-$E128*$I128/12*1,0)))))+IF(BT$5&lt;&gt;$H128,0,IF(BT128&lt;0,IF($J128=4,-$E128*$I128/12*0,IF($J128=5,-$E128*$I128/12*1,IF($J128=6,-$E128*$I128/12*2,IF($J128&gt;=7,-$E128*$I128/12*3,0))))))</f>
        <v>0</v>
      </c>
      <c r="BW128" s="442">
        <f>IF($H128&lt;&gt;BY$5,0,IF(BY128&lt;0,IF(OR($J128=1,$J128=2,$J128=3,$J128=4,$J128=5,$J128=6,$J128=7),-$E128*$I128/12*3,IF($J128=8,-$E128*$I128/12*2,IF($J128=9,-$E128*$I128/12*1,0)))))+IF(BT$5&lt;&gt;$H128,0,IF(BT128&lt;0,IF($J128=7,-$E128*$I128/12*0,IF($J128=8,-$E128*$I128/12*1,IF($J128=9,-$E128*$I128/12*2,IF($J128&gt;=10,-$E128*$I128/12*3,0))))))</f>
        <v>0</v>
      </c>
      <c r="BX128" s="443">
        <f>IF($H128&lt;&gt;BY$5,0,IF(BY128&lt;0,IF(OR($J128=1,$J128=2,$J128=3,$J128=4,$J128=5,$J128=6,$J128=7,$J128=8,$J128=9,$J128=10),-$E128*$I128/12*3,IF($J128=11,-$E128*$I128/12*2,IF($J128=12,-$E128*$I128/12*1,0)))))+IF(BT$5&lt;&gt;$H128,0,IF(BT128&lt;0,IF($J128=10,-$E128*$I128/12*0,IF($J128=11,-$E128*$I128/12*1,IF($J128=12,-$E128*$I128/12*2,0)))))</f>
        <v>0</v>
      </c>
      <c r="BY128" s="440">
        <f>IF(AND(BT128&lt;&gt;0,BT$5=$H128),-$I128*$E128-BT128,IF(BY$5=$H128,-$I128*$E128*(12-$J128+1)/12,0))</f>
        <v>0</v>
      </c>
      <c r="BZ128" s="441">
        <f>IF($H128&lt;&gt;CD$5,0,IF(CD128&lt;0,IF($J128=1,-$E128*$I128/12*3,IF($J128=2,-$E128*$I128/12*2,IF($J128=3,-$E128*$I128/12*1,0)))))+IF(BY$5&lt;&gt;$H128,0,IF(BY128&lt;0,IF($J128=1,-$E128*$I128/12*0,IF($J128=2,-$E128*$I128/12*1,IF($J128=3,-$E128*$I128/12*2,IF($J128&gt;=4,-$E128*$I128/12*3,0))))))</f>
        <v>0</v>
      </c>
      <c r="CA128" s="442">
        <f>IF($H128&lt;&gt;CD$5,0,IF(CD128&lt;0,IF(OR($J128=1,$J128=2,$J128=3,$J128=4),-$E128*$I128/12*3,IF($J128=5,-$E128*$I128/12*2,IF($J128=6,-$E128*$I128/12*1,0)))))+IF(BY$5&lt;&gt;$H128,0,IF(BY128&lt;0,IF($J128=4,-$E128*$I128/12*0,IF($J128=5,-$E128*$I128/12*1,IF($J128=6,-$E128*$I128/12*2,IF($J128&gt;=7,-$E128*$I128/12*3,0))))))</f>
        <v>0</v>
      </c>
      <c r="CB128" s="442">
        <f>IF($H128&lt;&gt;CD$5,0,IF(CD128&lt;0,IF(OR($J128=1,$J128=2,$J128=3,$J128=4,$J128=5,$J128=6,$J128=7),-$E128*$I128/12*3,IF($J128=8,-$E128*$I128/12*2,IF($J128=9,-$E128*$I128/12*1,0)))))+IF(BY$5&lt;&gt;$H128,0,IF(BY128&lt;0,IF($J128=7,-$E128*$I128/12*0,IF($J128=8,-$E128*$I128/12*1,IF($J128=9,-$E128*$I128/12*2,IF($J128&gt;=10,-$E128*$I128/12*3,0))))))</f>
        <v>0</v>
      </c>
      <c r="CC128" s="443">
        <f>IF($H128&lt;&gt;CD$5,0,IF(CD128&lt;0,IF(OR($J128=1,$J128=2,$J128=3,$J128=4,$J128=5,$J128=6,$J128=7,$J128=8,$J128=9,$J128=10),-$E128*$I128/12*3,IF($J128=11,-$E128*$I128/12*2,IF($J128=12,-$E128*$I128/12*1,0)))))+IF(BY$5&lt;&gt;$H128,0,IF(BY128&lt;0,IF($J128=10,-$E128*$I128/12*0,IF($J128=11,-$E128*$I128/12*1,IF($J128=12,-$E128*$I128/12*2,0)))))</f>
        <v>0</v>
      </c>
      <c r="CD128" s="440">
        <f>IF(AND(BY128&lt;&gt;0,BY$5=$H128),-$I128*$E128-BY128,IF(CD$5=$H128,-$I128*$E128*(12-$J128+1)/12,0))</f>
        <v>0</v>
      </c>
      <c r="CE128" s="441">
        <f>IF($H128&lt;&gt;CI$5,0,IF(CI128&lt;0,IF($J128=1,-$E128*$I128/12*3,IF($J128=2,-$E128*$I128/12*2,IF($J128=3,-$E128*$I128/12*1,0)))))+IF(CD$5&lt;&gt;$H128,0,IF(CD128&lt;0,IF($J128=1,-$E128*$I128/12*0,IF($J128=2,-$E128*$I128/12*1,IF($J128=3,-$E128*$I128/12*2,IF($J128&gt;=4,-$E128*$I128/12*3,0))))))</f>
        <v>0</v>
      </c>
      <c r="CF128" s="442">
        <f>IF($H128&lt;&gt;CI$5,0,IF(CI128&lt;0,IF(OR($J128=1,$J128=2,$J128=3,$J128=4),-$E128*$I128/12*3,IF($J128=5,-$E128*$I128/12*2,IF($J128=6,-$E128*$I128/12*1,0)))))+IF(CD$5&lt;&gt;$H128,0,IF(CD128&lt;0,IF($J128=4,-$E128*$I128/12*0,IF($J128=5,-$E128*$I128/12*1,IF($J128=6,-$E128*$I128/12*2,IF($J128&gt;=7,-$E128*$I128/12*3,0))))))</f>
        <v>0</v>
      </c>
      <c r="CG128" s="442">
        <f>IF($H128&lt;&gt;CI$5,0,IF(CI128&lt;0,IF(OR($J128=1,$J128=2,$J128=3,$J128=4,$J128=5,$J128=6,$J128=7),-$E128*$I128/12*3,IF($J128=8,-$E128*$I128/12*2,IF($J128=9,-$E128*$I128/12*1,0)))))+IF(CD$5&lt;&gt;$H128,0,IF(CD128&lt;0,IF($J128=7,-$E128*$I128/12*0,IF($J128=8,-$E128*$I128/12*1,IF($J128=9,-$E128*$I128/12*2,IF($J128&gt;=10,-$E128*$I128/12*3,0))))))</f>
        <v>0</v>
      </c>
      <c r="CH128" s="443">
        <f>IF($H128&lt;&gt;CI$5,0,IF(CI128&lt;0,IF(OR($J128=1,$J128=2,$J128=3,$J128=4,$J128=5,$J128=6,$J128=7,$J128=8,$J128=9,$J128=10),-$E128*$I128/12*3,IF($J128=11,-$E128*$I128/12*2,IF($J128=12,-$E128*$I128/12*1,0)))))+IF(CD$5&lt;&gt;$H128,0,IF(CD128&lt;0,IF($J128=10,-$E128*$I128/12*0,IF($J128=11,-$E128*$I128/12*1,IF($J128=12,-$E128*$I128/12*2,0)))))</f>
        <v>0</v>
      </c>
      <c r="CI128" s="440">
        <f>IF(AND(CD128&lt;&gt;0,CD$5=$H128),-$I128*$E128-CD128,IF(CI$5=$H128,-$I128*$E128*(12-$J128+1)/12,0))</f>
        <v>0</v>
      </c>
      <c r="CJ128" s="441">
        <f>IF($H128&lt;&gt;CN$5,0,IF(CN128&lt;0,IF($J128=1,-$E128*$I128/12*3,IF($J128=2,-$E128*$I128/12*2,IF($J128=3,-$E128*$I128/12*1,0)))))+IF(CI$5&lt;&gt;$H128,0,IF(CI128&lt;0,IF($J128=1,-$E128*$I128/12*0,IF($J128=2,-$E128*$I128/12*1,IF($J128=3,-$E128*$I128/12*2,IF($J128&gt;=4,-$E128*$I128/12*3,0))))))</f>
        <v>0</v>
      </c>
      <c r="CK128" s="442">
        <f>IF($H128&lt;&gt;CN$5,0,IF(CN128&lt;0,IF(OR($J128=1,$J128=2,$J128=3,$J128=4),-$E128*$I128/12*3,IF($J128=5,-$E128*$I128/12*2,IF($J128=6,-$E128*$I128/12*1,0)))))+IF(CI$5&lt;&gt;$H128,0,IF(CI128&lt;0,IF($J128=4,-$E128*$I128/12*0,IF($J128=5,-$E128*$I128/12*1,IF($J128=6,-$E128*$I128/12*2,IF($J128&gt;=7,-$E128*$I128/12*3,0))))))</f>
        <v>0</v>
      </c>
      <c r="CL128" s="442">
        <f>IF($H128&lt;&gt;CN$5,0,IF(CN128&lt;0,IF(OR($J128=1,$J128=2,$J128=3,$J128=4,$J128=5,$J128=6,$J128=7),-$E128*$I128/12*3,IF($J128=8,-$E128*$I128/12*2,IF($J128=9,-$E128*$I128/12*1,0)))))+IF(CI$5&lt;&gt;$H128,0,IF(CI128&lt;0,IF($J128=7,-$E128*$I128/12*0,IF($J128=8,-$E128*$I128/12*1,IF($J128=9,-$E128*$I128/12*2,IF($J128&gt;=10,-$E128*$I128/12*3,0))))))</f>
        <v>0</v>
      </c>
      <c r="CM128" s="443">
        <f>IF($H128&lt;&gt;CN$5,0,IF(CN128&lt;0,IF(OR($J128=1,$J128=2,$J128=3,$J128=4,$J128=5,$J128=6,$J128=7,$J128=8,$J128=9,$J128=10),-$E128*$I128/12*3,IF($J128=11,-$E128*$I128/12*2,IF($J128=12,-$E128*$I128/12*1,0)))))+IF(CI$5&lt;&gt;$H128,0,IF(CI128&lt;0,IF($J128=10,-$E128*$I128/12*0,IF($J128=11,-$E128*$I128/12*1,IF($J128=12,-$E128*$I128/12*2,0)))))</f>
        <v>0</v>
      </c>
      <c r="CN128" s="440">
        <f>IF(AND(CI128&lt;&gt;0,CI$5=$H128),-$I128*$E128-CI128,IF(CN$5=$H128,-$I128*$E128*(12-$J128+1)/12,0))</f>
        <v>0</v>
      </c>
      <c r="CO128" s="441">
        <f>IF($H128&lt;&gt;CS$5,0,IF(CS128&lt;0,IF($J128=1,-$E128*$I128/12*3,IF($J128=2,-$E128*$I128/12*2,IF($J128=3,-$E128*$I128/12*1,0)))))+IF(CN$5&lt;&gt;$H128,0,IF(CN128&lt;0,IF($J128=1,-$E128*$I128/12*0,IF($J128=2,-$E128*$I128/12*1,IF($J128=3,-$E128*$I128/12*2,IF($J128&gt;=4,-$E128*$I128/12*3,0))))))</f>
        <v>0</v>
      </c>
      <c r="CP128" s="442">
        <f>IF($H128&lt;&gt;CS$5,0,IF(CS128&lt;0,IF(OR($J128=1,$J128=2,$J128=3,$J128=4),-$E128*$I128/12*3,IF($J128=5,-$E128*$I128/12*2,IF($J128=6,-$E128*$I128/12*1,0)))))+IF(CN$5&lt;&gt;$H128,0,IF(CN128&lt;0,IF($J128=4,-$E128*$I128/12*0,IF($J128=5,-$E128*$I128/12*1,IF($J128=6,-$E128*$I128/12*2,IF($J128&gt;=7,-$E128*$I128/12*3,0))))))</f>
        <v>0</v>
      </c>
      <c r="CQ128" s="442">
        <f>IF($H128&lt;&gt;CS$5,0,IF(CS128&lt;0,IF(OR($J128=1,$J128=2,$J128=3,$J128=4,$J128=5,$J128=6,$J128=7),-$E128*$I128/12*3,IF($J128=8,-$E128*$I128/12*2,IF($J128=9,-$E128*$I128/12*1,0)))))+IF(CN$5&lt;&gt;$H128,0,IF(CN128&lt;0,IF($J128=7,-$E128*$I128/12*0,IF($J128=8,-$E128*$I128/12*1,IF($J128=9,-$E128*$I128/12*2,IF($J128&gt;=10,-$E128*$I128/12*3,0))))))</f>
        <v>0</v>
      </c>
      <c r="CR128" s="443">
        <f>IF($H128&lt;&gt;CS$5,0,IF(CS128&lt;0,IF(OR($J128=1,$J128=2,$J128=3,$J128=4,$J128=5,$J128=6,$J128=7,$J128=8,$J128=9,$J128=10),-$E128*$I128/12*3,IF($J128=11,-$E128*$I128/12*2,IF($J128=12,-$E128*$I128/12*1,0)))))+IF(CN$5&lt;&gt;$H128,0,IF(CN128&lt;0,IF($J128=10,-$E128*$I128/12*0,IF($J128=11,-$E128*$I128/12*1,IF($J128=12,-$E128*$I128/12*2,0)))))</f>
        <v>0</v>
      </c>
      <c r="CS128" s="440">
        <f>IF(AND(CN128&lt;&gt;0,CN$5=$H128),-$I128*$E128-CN128,IF(CS$5=$H128,-$I128*$E128*(12-$J128+1)/12,0))</f>
        <v>0</v>
      </c>
      <c r="CT128" s="441">
        <f>IF($H128&lt;&gt;CX$5,0,IF(CX128&lt;0,IF($J128=1,-$E128*$I128/12*3,IF($J128=2,-$E128*$I128/12*2,IF($J128=3,-$E128*$I128/12*1,0)))))+IF(CS$5&lt;&gt;$H128,0,IF(CS128&lt;0,IF($J128=1,-$E128*$I128/12*0,IF($J128=2,-$E128*$I128/12*1,IF($J128=3,-$E128*$I128/12*2,IF($J128&gt;=4,-$E128*$I128/12*3,0))))))</f>
        <v>0</v>
      </c>
      <c r="CU128" s="442">
        <f>IF($H128&lt;&gt;CX$5,0,IF(CX128&lt;0,IF(OR($J128=1,$J128=2,$J128=3,$J128=4),-$E128*$I128/12*3,IF($J128=5,-$E128*$I128/12*2,IF($J128=6,-$E128*$I128/12*1,0)))))+IF(CS$5&lt;&gt;$H128,0,IF(CS128&lt;0,IF($J128=4,-$E128*$I128/12*0,IF($J128=5,-$E128*$I128/12*1,IF($J128=6,-$E128*$I128/12*2,IF($J128&gt;=7,-$E128*$I128/12*3,0))))))</f>
        <v>0</v>
      </c>
      <c r="CV128" s="442">
        <f>IF($H128&lt;&gt;CX$5,0,IF(CX128&lt;0,IF(OR($J128=1,$J128=2,$J128=3,$J128=4,$J128=5,$J128=6,$J128=7),-$E128*$I128/12*3,IF($J128=8,-$E128*$I128/12*2,IF($J128=9,-$E128*$I128/12*1,0)))))+IF(CS$5&lt;&gt;$H128,0,IF(CS128&lt;0,IF($J128=7,-$E128*$I128/12*0,IF($J128=8,-$E128*$I128/12*1,IF($J128=9,-$E128*$I128/12*2,IF($J128&gt;=10,-$E128*$I128/12*3,0))))))</f>
        <v>0</v>
      </c>
      <c r="CW128" s="443">
        <f>IF($H128&lt;&gt;CX$5,0,IF(CX128&lt;0,IF(OR($J128=1,$J128=2,$J128=3,$J128=4,$J128=5,$J128=6,$J128=7,$J128=8,$J128=9,$J128=10),-$E128*$I128/12*3,IF($J128=11,-$E128*$I128/12*2,IF($J128=12,-$E128*$I128/12*1,0)))))+IF(CS$5&lt;&gt;$H128,0,IF(CS128&lt;0,IF($J128=10,-$E128*$I128/12*0,IF($J128=11,-$E128*$I128/12*1,IF($J128=12,-$E128*$I128/12*2,0)))))</f>
        <v>0</v>
      </c>
      <c r="CX128" s="440">
        <f>IF(AND(CS128&lt;&gt;0,CS$5=$H128),-$I128*$E128-CS128,IF(CX$5=$H128,-$I128*$E128*(12-$J128+1)/12,0))</f>
        <v>0</v>
      </c>
      <c r="CY128" s="441">
        <f>IF($H128&lt;&gt;DC$5,0,IF(DC128&lt;0,IF($J128=1,-$E128*$I128/12*3,IF($J128=2,-$E128*$I128/12*2,IF($J128=3,-$E128*$I128/12*1,0)))))+IF(CX$5&lt;&gt;$H128,0,IF(CX128&lt;0,IF($J128=1,-$E128*$I128/12*0,IF($J128=2,-$E128*$I128/12*1,IF($J128=3,-$E128*$I128/12*2,IF($J128&gt;=4,-$E128*$I128/12*3,0))))))</f>
        <v>0</v>
      </c>
      <c r="CZ128" s="442">
        <f>IF($H128&lt;&gt;DC$5,0,IF(DC128&lt;0,IF(OR($J128=1,$J128=2,$J128=3,$J128=4),-$E128*$I128/12*3,IF($J128=5,-$E128*$I128/12*2,IF($J128=6,-$E128*$I128/12*1,0)))))+IF(CX$5&lt;&gt;$H128,0,IF(CX128&lt;0,IF($J128=4,-$E128*$I128/12*0,IF($J128=5,-$E128*$I128/12*1,IF($J128=6,-$E128*$I128/12*2,IF($J128&gt;=7,-$E128*$I128/12*3,0))))))</f>
        <v>0</v>
      </c>
      <c r="DA128" s="442">
        <f>IF($H128&lt;&gt;DC$5,0,IF(DC128&lt;0,IF(OR($J128=1,$J128=2,$J128=3,$J128=4,$J128=5,$J128=6,$J128=7),-$E128*$I128/12*3,IF($J128=8,-$E128*$I128/12*2,IF($J128=9,-$E128*$I128/12*1,0)))))+IF(CX$5&lt;&gt;$H128,0,IF(CX128&lt;0,IF($J128=7,-$E128*$I128/12*0,IF($J128=8,-$E128*$I128/12*1,IF($J128=9,-$E128*$I128/12*2,IF($J128&gt;=10,-$E128*$I128/12*3,0))))))</f>
        <v>0</v>
      </c>
      <c r="DB128" s="443">
        <f>IF($H128&lt;&gt;DC$5,0,IF(DC128&lt;0,IF(OR($J128=1,$J128=2,$J128=3,$J128=4,$J128=5,$J128=6,$J128=7,$J128=8,$J128=9,$J128=10),-$E128*$I128/12*3,IF($J128=11,-$E128*$I128/12*2,IF($J128=12,-$E128*$I128/12*1,0)))))+IF(CX$5&lt;&gt;$H128,0,IF(CX128&lt;0,IF($J128=10,-$E128*$I128/12*0,IF($J128=11,-$E128*$I128/12*1,IF($J128=12,-$E128*$I128/12*2,0)))))</f>
        <v>0</v>
      </c>
      <c r="DC128" s="440">
        <f>IF(AND(CX128&lt;&gt;0,CX$5=$H128),-$I128*$E128-CX128,IF(DC$5=$H128,-$I128*$E128*(12-$J128+1)/12,0))</f>
        <v>0</v>
      </c>
      <c r="DD128" s="441">
        <f>IF($H128&lt;&gt;DH$5,0,IF(DH128&lt;0,IF($J128=1,-$E128*$I128/12*3,IF($J128=2,-$E128*$I128/12*2,IF($J128=3,-$E128*$I128/12*1,0)))))+IF(DC$5&lt;&gt;$H128,0,IF(DC128&lt;0,IF($J128=1,-$E128*$I128/12*0,IF($J128=2,-$E128*$I128/12*1,IF($J128=3,-$E128*$I128/12*2,IF($J128&gt;=4,-$E128*$I128/12*3,0))))))</f>
        <v>0</v>
      </c>
      <c r="DE128" s="442">
        <f>IF($H128&lt;&gt;DH$5,0,IF(DH128&lt;0,IF(OR($J128=1,$J128=2,$J128=3,$J128=4),-$E128*$I128/12*3,IF($J128=5,-$E128*$I128/12*2,IF($J128=6,-$E128*$I128/12*1,0)))))+IF(DC$5&lt;&gt;$H128,0,IF(DC128&lt;0,IF($J128=4,-$E128*$I128/12*0,IF($J128=5,-$E128*$I128/12*1,IF($J128=6,-$E128*$I128/12*2,IF($J128&gt;=7,-$E128*$I128/12*3,0))))))</f>
        <v>0</v>
      </c>
      <c r="DF128" s="442">
        <f>IF($H128&lt;&gt;DH$5,0,IF(DH128&lt;0,IF(OR($J128=1,$J128=2,$J128=3,$J128=4,$J128=5,$J128=6,$J128=7),-$E128*$I128/12*3,IF($J128=8,-$E128*$I128/12*2,IF($J128=9,-$E128*$I128/12*1,0)))))+IF(DC$5&lt;&gt;$H128,0,IF(DC128&lt;0,IF($J128=7,-$E128*$I128/12*0,IF($J128=8,-$E128*$I128/12*1,IF($J128=9,-$E128*$I128/12*2,IF($J128&gt;=10,-$E128*$I128/12*3,0))))))</f>
        <v>0</v>
      </c>
      <c r="DG128" s="443">
        <f>IF($H128&lt;&gt;DH$5,0,IF(DH128&lt;0,IF(OR($J128=1,$J128=2,$J128=3,$J128=4,$J128=5,$J128=6,$J128=7,$J128=8,$J128=9,$J128=10),-$E128*$I128/12*3,IF($J128=11,-$E128*$I128/12*2,IF($J128=12,-$E128*$I128/12*1,0)))))+IF(DC$5&lt;&gt;$H128,0,IF(DC128&lt;0,IF($J128=10,-$E128*$I128/12*0,IF($J128=11,-$E128*$I128/12*1,IF($J128=12,-$E128*$I128/12*2,0)))))</f>
        <v>0</v>
      </c>
      <c r="DH128" s="440">
        <f>IF(AND(DC128&lt;&gt;0,DC$5=$H128),-$I128*$E128-DC128,IF(DH$5=$H128,-$I128*$E128*(12-$J128+1)/12,0))</f>
        <v>0</v>
      </c>
      <c r="DI128" s="441">
        <f>IF($H128&lt;&gt;DM$5,0,IF(DM128&lt;0,IF($J128=1,-$E128*$I128/12*3,IF($J128=2,-$E128*$I128/12*2,IF($J128=3,-$E128*$I128/12*1,0)))))+IF(DH$5&lt;&gt;$H128,0,IF(DH128&lt;0,IF($J128=1,-$E128*$I128/12*0,IF($J128=2,-$E128*$I128/12*1,IF($J128=3,-$E128*$I128/12*2,IF($J128&gt;=4,-$E128*$I128/12*3,0))))))</f>
        <v>0</v>
      </c>
      <c r="DJ128" s="442">
        <f>IF($H128&lt;&gt;DM$5,0,IF(DM128&lt;0,IF(OR($J128=1,$J128=2,$J128=3,$J128=4),-$E128*$I128/12*3,IF($J128=5,-$E128*$I128/12*2,IF($J128=6,-$E128*$I128/12*1,0)))))+IF(DH$5&lt;&gt;$H128,0,IF(DH128&lt;0,IF($J128=4,-$E128*$I128/12*0,IF($J128=5,-$E128*$I128/12*1,IF($J128=6,-$E128*$I128/12*2,IF($J128&gt;=7,-$E128*$I128/12*3,0))))))</f>
        <v>0</v>
      </c>
      <c r="DK128" s="442">
        <f>IF($H128&lt;&gt;DM$5,0,IF(DM128&lt;0,IF(OR($J128=1,$J128=2,$J128=3,$J128=4,$J128=5,$J128=6,$J128=7),-$E128*$I128/12*3,IF($J128=8,-$E128*$I128/12*2,IF($J128=9,-$E128*$I128/12*1,0)))))+IF(DH$5&lt;&gt;$H128,0,IF(DH128&lt;0,IF($J128=7,-$E128*$I128/12*0,IF($J128=8,-$E128*$I128/12*1,IF($J128=9,-$E128*$I128/12*2,IF($J128&gt;=10,-$E128*$I128/12*3,0))))))</f>
        <v>0</v>
      </c>
      <c r="DL128" s="443">
        <f>IF($H128&lt;&gt;DM$5,0,IF(DM128&lt;0,IF(OR($J128=1,$J128=2,$J128=3,$J128=4,$J128=5,$J128=6,$J128=7,$J128=8,$J128=9,$J128=10),-$E128*$I128/12*3,IF($J128=11,-$E128*$I128/12*2,IF($J128=12,-$E128*$I128/12*1,0)))))+IF(DH$5&lt;&gt;$H128,0,IF(DH128&lt;0,IF($J128=10,-$E128*$I128/12*0,IF($J128=11,-$E128*$I128/12*1,IF($J128=12,-$E128*$I128/12*2,0)))))</f>
        <v>0</v>
      </c>
      <c r="DM128" s="440">
        <f>IF(AND(DH128&lt;&gt;0,DH$5=$H128),-$I128*$E128-DH128,IF(DM$5=$H128,-$I128*$E128*(12-$J128+1)/12,0))</f>
        <v>0</v>
      </c>
      <c r="DN128" s="441">
        <f>IF($H128&lt;&gt;DR$5,0,IF(DR128&lt;0,IF($J128=1,-$E128*$I128/12*3,IF($J128=2,-$E128*$I128/12*2,IF($J128=3,-$E128*$I128/12*1,0)))))+IF(DM$5&lt;&gt;$H128,0,IF(DM128&lt;0,IF($J128=1,-$E128*$I128/12*0,IF($J128=2,-$E128*$I128/12*1,IF($J128=3,-$E128*$I128/12*2,IF($J128&gt;=4,-$E128*$I128/12*3,0))))))</f>
        <v>0</v>
      </c>
      <c r="DO128" s="442">
        <f>IF($H128&lt;&gt;DR$5,0,IF(DR128&lt;0,IF(OR($J128=1,$J128=2,$J128=3,$J128=4),-$E128*$I128/12*3,IF($J128=5,-$E128*$I128/12*2,IF($J128=6,-$E128*$I128/12*1,0)))))+IF(DM$5&lt;&gt;$H128,0,IF(DM128&lt;0,IF($J128=4,-$E128*$I128/12*0,IF($J128=5,-$E128*$I128/12*1,IF($J128=6,-$E128*$I128/12*2,IF($J128&gt;=7,-$E128*$I128/12*3,0))))))</f>
        <v>0</v>
      </c>
      <c r="DP128" s="442">
        <f>IF($H128&lt;&gt;DR$5,0,IF(DR128&lt;0,IF(OR($J128=1,$J128=2,$J128=3,$J128=4,$J128=5,$J128=6,$J128=7),-$E128*$I128/12*3,IF($J128=8,-$E128*$I128/12*2,IF($J128=9,-$E128*$I128/12*1,0)))))+IF(DM$5&lt;&gt;$H128,0,IF(DM128&lt;0,IF($J128=7,-$E128*$I128/12*0,IF($J128=8,-$E128*$I128/12*1,IF($J128=9,-$E128*$I128/12*2,IF($J128&gt;=10,-$E128*$I128/12*3,0))))))</f>
        <v>0</v>
      </c>
      <c r="DQ128" s="443">
        <f>IF($H128&lt;&gt;DR$5,0,IF(DR128&lt;0,IF(OR($J128=1,$J128=2,$J128=3,$J128=4,$J128=5,$J128=6,$J128=7,$J128=8,$J128=9,$J128=10),-$E128*$I128/12*3,IF($J128=11,-$E128*$I128/12*2,IF($J128=12,-$E128*$I128/12*1,0)))))+IF(DM$5&lt;&gt;$H128,0,IF(DM128&lt;0,IF($J128=10,-$E128*$I128/12*0,IF($J128=11,-$E128*$I128/12*1,IF($J128=12,-$E128*$I128/12*2,0)))))</f>
        <v>0</v>
      </c>
      <c r="DR128" s="440">
        <f>IF(AND(DM128&lt;&gt;0,DM$5=$H128),-$I128*$E128-DM128,IF(DR$5=$H128,-$I128*$E128*(12-$J128+1)/12,0))</f>
        <v>0</v>
      </c>
    </row>
    <row r="129" spans="1:122">
      <c r="C129" s="1123" t="s">
        <v>333</v>
      </c>
      <c r="D129" s="395"/>
      <c r="E129" s="188">
        <f>IF(F129=0,G129,F129)</f>
        <v>14.503446</v>
      </c>
      <c r="F129" s="1949">
        <v>14.503446</v>
      </c>
      <c r="G129" s="1949">
        <v>17.863948000000001</v>
      </c>
      <c r="H129" s="414">
        <v>2039</v>
      </c>
      <c r="I129" s="1947">
        <v>0.05</v>
      </c>
      <c r="J129" s="656">
        <v>12</v>
      </c>
      <c r="K129" s="549"/>
      <c r="L129" s="441">
        <f t="shared" ref="L129" si="1633">IF(P129=0,0,IF(P129&lt;0,IF($J129=3,P129,IF($J129=2,P129,IF($J129=1,P129,0)))))</f>
        <v>0</v>
      </c>
      <c r="M129" s="442">
        <f t="shared" ref="M129" si="1634">IF(P129=0,0,IF(P129&lt;0,IF($J129=6,P129,IF($J129=5,P129,IF($J129=4,P129,0)))))</f>
        <v>0</v>
      </c>
      <c r="N129" s="442">
        <f t="shared" ref="N129" si="1635">IF(P129=0,0,IF(P129&lt;0,IF($J129=9,P129,IF($J129=8,P129,IF($J129=7,P129,0)))))</f>
        <v>0</v>
      </c>
      <c r="O129" s="443">
        <f t="shared" ref="O129" si="1636">IF(P129=0,0,IF(P129&lt;0,IF($J129=12,P129,IF($J129=11,P129,IF($J129=10,P129,0)))))</f>
        <v>0</v>
      </c>
      <c r="P129" s="440">
        <f t="shared" ref="P129" si="1637">IF(P$5=$H129,-$E129,0)</f>
        <v>0</v>
      </c>
      <c r="Q129" s="441">
        <f t="shared" ref="Q129" si="1638">IF(U129=0,0,IF(U129&lt;0,IF($J129=3,U129,IF($J129=2,U129,IF($J129=1,U129,0)))))</f>
        <v>0</v>
      </c>
      <c r="R129" s="442">
        <f t="shared" ref="R129" si="1639">IF(U129=0,0,IF(U129&lt;0,IF($J129=6,U129,IF($J129=5,U129,IF($J129=4,U129,0)))))</f>
        <v>0</v>
      </c>
      <c r="S129" s="442">
        <f t="shared" ref="S129" si="1640">IF(U129=0,0,IF(U129&lt;0,IF($J129=9,U129,IF($J129=8,U129,IF($J129=7,U129,0)))))</f>
        <v>0</v>
      </c>
      <c r="T129" s="443">
        <f t="shared" ref="T129" si="1641">IF(U129=0,0,IF(U129&lt;0,IF($J129=12,U129,IF($J129=11,U129,IF($J129=10,U129,0)))))</f>
        <v>0</v>
      </c>
      <c r="U129" s="440">
        <f t="shared" ref="U129" si="1642">IF(U$5=$H129,-$E129,0)</f>
        <v>0</v>
      </c>
      <c r="V129" s="441">
        <f t="shared" ref="V129" si="1643">IF(Z129=0,0,IF(Z129&lt;0,IF($J129=3,Z129,IF($J129=2,Z129,IF($J129=1,Z129,0)))))</f>
        <v>0</v>
      </c>
      <c r="W129" s="442">
        <f t="shared" ref="W129" si="1644">IF(Z129=0,0,IF(Z129&lt;0,IF($J129=6,Z129,IF($J129=5,Z129,IF($J129=4,Z129,0)))))</f>
        <v>0</v>
      </c>
      <c r="X129" s="442">
        <f t="shared" ref="X129" si="1645">IF(Z129=0,0,IF(Z129&lt;0,IF($J129=9,Z129,IF($J129=8,Z129,IF($J129=7,Z129,0)))))</f>
        <v>0</v>
      </c>
      <c r="Y129" s="443">
        <f t="shared" ref="Y129" si="1646">IF(Z129=0,0,IF(Z129&lt;0,IF($J129=12,Z129,IF($J129=11,Z129,IF($J129=10,Z129,0)))))</f>
        <v>0</v>
      </c>
      <c r="Z129" s="440">
        <f t="shared" ref="Z129" si="1647">IF(Z$5=$H129,-$E129,0)</f>
        <v>0</v>
      </c>
      <c r="AA129" s="441">
        <f t="shared" ref="AA129" si="1648">IF(AE129=0,0,IF(AE129&lt;0,IF($J129=3,AE129,IF($J129=2,AE129,IF($J129=1,AE129,0)))))</f>
        <v>0</v>
      </c>
      <c r="AB129" s="442">
        <f t="shared" ref="AB129" si="1649">IF(AE129=0,0,IF(AE129&lt;0,IF($J129=6,AE129,IF($J129=5,AE129,IF($J129=4,AE129,0)))))</f>
        <v>0</v>
      </c>
      <c r="AC129" s="442">
        <f t="shared" ref="AC129" si="1650">IF(AE129=0,0,IF(AE129&lt;0,IF($J129=9,AE129,IF($J129=8,AE129,IF($J129=7,AE129,0)))))</f>
        <v>0</v>
      </c>
      <c r="AD129" s="443">
        <f t="shared" ref="AD129" si="1651">IF(AE129=0,0,IF(AE129&lt;0,IF($J129=12,AE129,IF($J129=11,AE129,IF($J129=10,AE129,0)))))</f>
        <v>0</v>
      </c>
      <c r="AE129" s="440">
        <f t="shared" ref="AE129" si="1652">IF(AE$5=$H129,-$E129,0)</f>
        <v>0</v>
      </c>
      <c r="AF129" s="441">
        <f t="shared" ref="AF129" si="1653">IF(AJ129=0,0,IF(AJ129&lt;0,IF($J129=3,AJ129,IF($J129=2,AJ129,IF($J129=1,AJ129,0)))))</f>
        <v>0</v>
      </c>
      <c r="AG129" s="442">
        <f t="shared" ref="AG129" si="1654">IF(AJ129=0,0,IF(AJ129&lt;0,IF($J129=6,AJ129,IF($J129=5,AJ129,IF($J129=4,AJ129,0)))))</f>
        <v>0</v>
      </c>
      <c r="AH129" s="442">
        <f t="shared" ref="AH129" si="1655">IF(AJ129=0,0,IF(AJ129&lt;0,IF($J129=9,AJ129,IF($J129=8,AJ129,IF($J129=7,AJ129,0)))))</f>
        <v>0</v>
      </c>
      <c r="AI129" s="443">
        <f t="shared" ref="AI129" si="1656">IF(AJ129=0,0,IF(AJ129&lt;0,IF($J129=12,AJ129,IF($J129=11,AJ129,IF($J129=10,AJ129,0)))))</f>
        <v>0</v>
      </c>
      <c r="AJ129" s="440">
        <f t="shared" ref="AJ129" si="1657">IF(AJ$5=$H129,-$E129,0)</f>
        <v>0</v>
      </c>
      <c r="AK129" s="441">
        <f t="shared" ref="AK129" si="1658">IF(AO129=0,0,IF(AO129&lt;0,IF($J129=3,AO129,IF($J129=2,AO129,IF($J129=1,AO129,0)))))</f>
        <v>0</v>
      </c>
      <c r="AL129" s="442">
        <f t="shared" ref="AL129" si="1659">IF(AO129=0,0,IF(AO129&lt;0,IF($J129=6,AO129,IF($J129=5,AO129,IF($J129=4,AO129,0)))))</f>
        <v>0</v>
      </c>
      <c r="AM129" s="442">
        <f t="shared" ref="AM129" si="1660">IF(AO129=0,0,IF(AO129&lt;0,IF($J129=9,AO129,IF($J129=8,AO129,IF($J129=7,AO129,0)))))</f>
        <v>0</v>
      </c>
      <c r="AN129" s="443">
        <f t="shared" ref="AN129" si="1661">IF(AO129=0,0,IF(AO129&lt;0,IF($J129=12,AO129,IF($J129=11,AO129,IF($J129=10,AO129,0)))))</f>
        <v>0</v>
      </c>
      <c r="AO129" s="440">
        <f t="shared" ref="AO129" si="1662">IF(AO$5=$H129,-$E129,0)</f>
        <v>0</v>
      </c>
      <c r="AP129" s="441">
        <f t="shared" ref="AP129" si="1663">IF(AT129=0,0,IF(AT129&lt;0,IF($J129=3,AT129,IF($J129=2,AT129,IF($J129=1,AT129,0)))))</f>
        <v>0</v>
      </c>
      <c r="AQ129" s="442">
        <f t="shared" ref="AQ129" si="1664">IF(AT129=0,0,IF(AT129&lt;0,IF($J129=6,AT129,IF($J129=5,AT129,IF($J129=4,AT129,0)))))</f>
        <v>0</v>
      </c>
      <c r="AR129" s="442">
        <f t="shared" ref="AR129" si="1665">IF(AT129=0,0,IF(AT129&lt;0,IF($J129=9,AT129,IF($J129=8,AT129,IF($J129=7,AT129,0)))))</f>
        <v>0</v>
      </c>
      <c r="AS129" s="443">
        <f t="shared" ref="AS129" si="1666">IF(AT129=0,0,IF(AT129&lt;0,IF($J129=12,AT129,IF($J129=11,AT129,IF($J129=10,AT129,0)))))</f>
        <v>0</v>
      </c>
      <c r="AT129" s="440">
        <f t="shared" ref="AT129" si="1667">IF(AT$5=$H129,-$E129,0)</f>
        <v>0</v>
      </c>
      <c r="AU129" s="441">
        <f t="shared" ref="AU129" si="1668">IF(AY129=0,0,IF(AY129&lt;0,IF($J129=3,AY129,IF($J129=2,AY129,IF($J129=1,AY129,0)))))</f>
        <v>0</v>
      </c>
      <c r="AV129" s="442">
        <f t="shared" ref="AV129" si="1669">IF(AY129=0,0,IF(AY129&lt;0,IF($J129=6,AY129,IF($J129=5,AY129,IF($J129=4,AY129,0)))))</f>
        <v>0</v>
      </c>
      <c r="AW129" s="442">
        <f t="shared" ref="AW129" si="1670">IF(AY129=0,0,IF(AY129&lt;0,IF($J129=9,AY129,IF($J129=8,AY129,IF($J129=7,AY129,0)))))</f>
        <v>0</v>
      </c>
      <c r="AX129" s="443">
        <f t="shared" ref="AX129" si="1671">IF(AY129=0,0,IF(AY129&lt;0,IF($J129=12,AY129,IF($J129=11,AY129,IF($J129=10,AY129,0)))))</f>
        <v>0</v>
      </c>
      <c r="AY129" s="440">
        <f t="shared" ref="AY129" si="1672">IF(AY$5=$H129,-$E129,0)</f>
        <v>0</v>
      </c>
      <c r="AZ129" s="441">
        <f t="shared" ref="AZ129" si="1673">IF(BD129=0,0,IF(BD129&lt;0,IF($J129=3,BD129,IF($J129=2,BD129,IF($J129=1,BD129,0)))))</f>
        <v>0</v>
      </c>
      <c r="BA129" s="442">
        <f t="shared" ref="BA129" si="1674">IF(BD129=0,0,IF(BD129&lt;0,IF($J129=6,BD129,IF($J129=5,BD129,IF($J129=4,BD129,0)))))</f>
        <v>0</v>
      </c>
      <c r="BB129" s="442">
        <f t="shared" ref="BB129" si="1675">IF(BD129=0,0,IF(BD129&lt;0,IF($J129=9,BD129,IF($J129=8,BD129,IF($J129=7,BD129,0)))))</f>
        <v>0</v>
      </c>
      <c r="BC129" s="443">
        <f t="shared" ref="BC129" si="1676">IF(BD129=0,0,IF(BD129&lt;0,IF($J129=12,BD129,IF($J129=11,BD129,IF($J129=10,BD129,0)))))</f>
        <v>0</v>
      </c>
      <c r="BD129" s="440">
        <f t="shared" ref="BD129" si="1677">IF(BD$5=$H129,-$E129,0)</f>
        <v>0</v>
      </c>
      <c r="BE129" s="441">
        <f t="shared" ref="BE129" si="1678">IF(BI129=0,0,IF(BI129&lt;0,IF($J129=3,BI129,IF($J129=2,BI129,IF($J129=1,BI129,0)))))</f>
        <v>0</v>
      </c>
      <c r="BF129" s="442">
        <f t="shared" ref="BF129" si="1679">IF(BI129=0,0,IF(BI129&lt;0,IF($J129=6,BI129,IF($J129=5,BI129,IF($J129=4,BI129,0)))))</f>
        <v>0</v>
      </c>
      <c r="BG129" s="442">
        <f t="shared" ref="BG129" si="1680">IF(BI129=0,0,IF(BI129&lt;0,IF($J129=9,BI129,IF($J129=8,BI129,IF($J129=7,BI129,0)))))</f>
        <v>0</v>
      </c>
      <c r="BH129" s="443">
        <f t="shared" ref="BH129" si="1681">IF(BI129=0,0,IF(BI129&lt;0,IF($J129=12,BI129,IF($J129=11,BI129,IF($J129=10,BI129,0)))))</f>
        <v>0</v>
      </c>
      <c r="BI129" s="440">
        <f t="shared" ref="BI129" si="1682">IF(BI$5=$H129,-$E129,0)</f>
        <v>0</v>
      </c>
      <c r="BJ129" s="441">
        <f t="shared" ref="BJ129" si="1683">IF(BN129=0,0,IF(BN129&lt;0,IF($J129=3,BN129,IF($J129=2,BN129,IF($J129=1,BN129,0)))))</f>
        <v>0</v>
      </c>
      <c r="BK129" s="442">
        <f t="shared" ref="BK129" si="1684">IF(BN129=0,0,IF(BN129&lt;0,IF($J129=6,BN129,IF($J129=5,BN129,IF($J129=4,BN129,0)))))</f>
        <v>0</v>
      </c>
      <c r="BL129" s="442">
        <f t="shared" ref="BL129" si="1685">IF(BN129=0,0,IF(BN129&lt;0,IF($J129=9,BN129,IF($J129=8,BN129,IF($J129=7,BN129,0)))))</f>
        <v>0</v>
      </c>
      <c r="BM129" s="443">
        <f t="shared" ref="BM129" si="1686">IF(BN129=0,0,IF(BN129&lt;0,IF($J129=12,BN129,IF($J129=11,BN129,IF($J129=10,BN129,0)))))</f>
        <v>0</v>
      </c>
      <c r="BN129" s="440">
        <f t="shared" ref="BN129" si="1687">IF(BN$5=$H129,-$E129,0)</f>
        <v>0</v>
      </c>
      <c r="BO129" s="470"/>
      <c r="BP129" s="441">
        <f>IF($H129&lt;&gt;BT$5,0,IF(BT129&lt;0,IF($J129=1,-$E129*$I129/12*3,IF($J129=2,-$E129*$I129/12*2,IF($J129=3,-$E129*$I129/12*1,0)))))+IF(BO$5&lt;&gt;$H129,0,IF(BO129&lt;0,IF($J129=1,-$E129*$I129/12*0,IF($J129=2,-$E129*$I129/12*1,IF($J129=3,-$E129*$I129/12*2,IF($J129&gt;=4,-$E129*$I129/12*3,0))))))</f>
        <v>0</v>
      </c>
      <c r="BQ129" s="442">
        <f>IF($H129&lt;&gt;BT$5,0,IF(BT129&lt;0,IF(OR($J129=1,$J129=2,$J129=3,$J129=4),-$E129*$I129/12*3,IF($J129=5,-$E129*$I129/12*2,IF($J129=6,-$E129*$I129/12*1,0)))))+IF(BO$5&lt;&gt;$H129,0,IF(BO129&lt;0,IF($J129=4,-$E129*$I129/12*0,IF($J129=5,-$E129*$I129/12*1,IF($J129=6,-$E129*$I129/12*2,IF($J129&gt;=7,-$E129*$I129/12*3,0))))))</f>
        <v>0</v>
      </c>
      <c r="BR129" s="442">
        <f>IF($H129&lt;&gt;BT$5,0,IF(BT129&lt;0,IF(OR($J129=1,$J129=2,$J129=3,$J129=4,$J129=5,$J129=6,$J129=7),-$E129*$I129/12*3,IF($J129=8,-$E129*$I129/12*2,IF($J129=9,-$E129*$I129/12*1,0)))))+IF(BO$5&lt;&gt;$H129,0,IF(BO129&lt;0,IF($J129=7,-$E129*$I129/12*0,IF($J129=8,-$E129*$I129/12*1,IF($J129=9,-$E129*$I129/12*2,IF($J129&gt;=10,-$E129*$I129/12*3,0))))))</f>
        <v>0</v>
      </c>
      <c r="BS129" s="443">
        <f>IF($H129&lt;&gt;BT$5,0,IF(BT129&lt;0,IF(OR($J129=1,$J129=2,$J129=3,$J129=4,$J129=5,$J129=6,$J129=7,$J129=8,$J129=9,$J129=10),-$E129*$I129/12*3,IF($J129=11,-$E129*$I129/12*2,IF($J129=12,-$E129*$I129/12*1,0)))))+IF(BO$5&lt;&gt;$H129,0,IF(BO129&lt;0,IF($J129=10,-$E129*$I129/12*0,IF($J129=11,-$E129*$I129/12*1,IF($J129=12,-$E129*$I129/12*2,0)))))</f>
        <v>0</v>
      </c>
      <c r="BT129" s="440">
        <f>IF(AND(BO129&lt;&gt;0,BO$5=$H129),-$I129*$E129-BO129,IF(BT$5=$H129,-$I129*$E129*(12-$J129+1)/12,0))</f>
        <v>0</v>
      </c>
      <c r="BU129" s="441">
        <f>IF($H129&lt;&gt;BY$5,0,IF(BY129&lt;0,IF($J129=1,-$E129*$I129/12*3,IF($J129=2,-$E129*$I129/12*2,IF($J129=3,-$E129*$I129/12*1,0)))))+IF(BT$5&lt;&gt;$H129,0,IF(BT129&lt;0,IF($J129=1,-$E129*$I129/12*0,IF($J129=2,-$E129*$I129/12*1,IF($J129=3,-$E129*$I129/12*2,IF($J129&gt;=4,-$E129*$I129/12*3,0))))))</f>
        <v>0</v>
      </c>
      <c r="BV129" s="442">
        <f>IF($H129&lt;&gt;BY$5,0,IF(BY129&lt;0,IF(OR($J129=1,$J129=2,$J129=3,$J129=4),-$E129*$I129/12*3,IF($J129=5,-$E129*$I129/12*2,IF($J129=6,-$E129*$I129/12*1,0)))))+IF(BT$5&lt;&gt;$H129,0,IF(BT129&lt;0,IF($J129=4,-$E129*$I129/12*0,IF($J129=5,-$E129*$I129/12*1,IF($J129=6,-$E129*$I129/12*2,IF($J129&gt;=7,-$E129*$I129/12*3,0))))))</f>
        <v>0</v>
      </c>
      <c r="BW129" s="442">
        <f>IF($H129&lt;&gt;BY$5,0,IF(BY129&lt;0,IF(OR($J129=1,$J129=2,$J129=3,$J129=4,$J129=5,$J129=6,$J129=7),-$E129*$I129/12*3,IF($J129=8,-$E129*$I129/12*2,IF($J129=9,-$E129*$I129/12*1,0)))))+IF(BT$5&lt;&gt;$H129,0,IF(BT129&lt;0,IF($J129=7,-$E129*$I129/12*0,IF($J129=8,-$E129*$I129/12*1,IF($J129=9,-$E129*$I129/12*2,IF($J129&gt;=10,-$E129*$I129/12*3,0))))))</f>
        <v>0</v>
      </c>
      <c r="BX129" s="443">
        <f>IF($H129&lt;&gt;BY$5,0,IF(BY129&lt;0,IF(OR($J129=1,$J129=2,$J129=3,$J129=4,$J129=5,$J129=6,$J129=7,$J129=8,$J129=9,$J129=10),-$E129*$I129/12*3,IF($J129=11,-$E129*$I129/12*2,IF($J129=12,-$E129*$I129/12*1,0)))))+IF(BT$5&lt;&gt;$H129,0,IF(BT129&lt;0,IF($J129=10,-$E129*$I129/12*0,IF($J129=11,-$E129*$I129/12*1,IF($J129=12,-$E129*$I129/12*2,0)))))</f>
        <v>0</v>
      </c>
      <c r="BY129" s="440">
        <f>IF(AND(BT129&lt;&gt;0,BT$5=$H129),-$I129*$E129-BT129,IF(BY$5=$H129,-$I129*$E129*(12-$J129+1)/12,0))</f>
        <v>0</v>
      </c>
      <c r="BZ129" s="441">
        <f>IF($H129&lt;&gt;CD$5,0,IF(CD129&lt;0,IF($J129=1,-$E129*$I129/12*3,IF($J129=2,-$E129*$I129/12*2,IF($J129=3,-$E129*$I129/12*1,0)))))+IF(BY$5&lt;&gt;$H129,0,IF(BY129&lt;0,IF($J129=1,-$E129*$I129/12*0,IF($J129=2,-$E129*$I129/12*1,IF($J129=3,-$E129*$I129/12*2,IF($J129&gt;=4,-$E129*$I129/12*3,0))))))</f>
        <v>0</v>
      </c>
      <c r="CA129" s="442">
        <f>IF($H129&lt;&gt;CD$5,0,IF(CD129&lt;0,IF(OR($J129=1,$J129=2,$J129=3,$J129=4),-$E129*$I129/12*3,IF($J129=5,-$E129*$I129/12*2,IF($J129=6,-$E129*$I129/12*1,0)))))+IF(BY$5&lt;&gt;$H129,0,IF(BY129&lt;0,IF($J129=4,-$E129*$I129/12*0,IF($J129=5,-$E129*$I129/12*1,IF($J129=6,-$E129*$I129/12*2,IF($J129&gt;=7,-$E129*$I129/12*3,0))))))</f>
        <v>0</v>
      </c>
      <c r="CB129" s="442">
        <f>IF($H129&lt;&gt;CD$5,0,IF(CD129&lt;0,IF(OR($J129=1,$J129=2,$J129=3,$J129=4,$J129=5,$J129=6,$J129=7),-$E129*$I129/12*3,IF($J129=8,-$E129*$I129/12*2,IF($J129=9,-$E129*$I129/12*1,0)))))+IF(BY$5&lt;&gt;$H129,0,IF(BY129&lt;0,IF($J129=7,-$E129*$I129/12*0,IF($J129=8,-$E129*$I129/12*1,IF($J129=9,-$E129*$I129/12*2,IF($J129&gt;=10,-$E129*$I129/12*3,0))))))</f>
        <v>0</v>
      </c>
      <c r="CC129" s="443">
        <f>IF($H129&lt;&gt;CD$5,0,IF(CD129&lt;0,IF(OR($J129=1,$J129=2,$J129=3,$J129=4,$J129=5,$J129=6,$J129=7,$J129=8,$J129=9,$J129=10),-$E129*$I129/12*3,IF($J129=11,-$E129*$I129/12*2,IF($J129=12,-$E129*$I129/12*1,0)))))+IF(BY$5&lt;&gt;$H129,0,IF(BY129&lt;0,IF($J129=10,-$E129*$I129/12*0,IF($J129=11,-$E129*$I129/12*1,IF($J129=12,-$E129*$I129/12*2,0)))))</f>
        <v>0</v>
      </c>
      <c r="CD129" s="440">
        <f>IF(AND(BY129&lt;&gt;0,BY$5=$H129),-$I129*$E129-BY129,IF(CD$5=$H129,-$I129*$E129*(12-$J129+1)/12,0))</f>
        <v>0</v>
      </c>
      <c r="CE129" s="441">
        <f>IF($H129&lt;&gt;CI$5,0,IF(CI129&lt;0,IF($J129=1,-$E129*$I129/12*3,IF($J129=2,-$E129*$I129/12*2,IF($J129=3,-$E129*$I129/12*1,0)))))+IF(CD$5&lt;&gt;$H129,0,IF(CD129&lt;0,IF($J129=1,-$E129*$I129/12*0,IF($J129=2,-$E129*$I129/12*1,IF($J129=3,-$E129*$I129/12*2,IF($J129&gt;=4,-$E129*$I129/12*3,0))))))</f>
        <v>0</v>
      </c>
      <c r="CF129" s="442">
        <f>IF($H129&lt;&gt;CI$5,0,IF(CI129&lt;0,IF(OR($J129=1,$J129=2,$J129=3,$J129=4),-$E129*$I129/12*3,IF($J129=5,-$E129*$I129/12*2,IF($J129=6,-$E129*$I129/12*1,0)))))+IF(CD$5&lt;&gt;$H129,0,IF(CD129&lt;0,IF($J129=4,-$E129*$I129/12*0,IF($J129=5,-$E129*$I129/12*1,IF($J129=6,-$E129*$I129/12*2,IF($J129&gt;=7,-$E129*$I129/12*3,0))))))</f>
        <v>0</v>
      </c>
      <c r="CG129" s="442">
        <f>IF($H129&lt;&gt;CI$5,0,IF(CI129&lt;0,IF(OR($J129=1,$J129=2,$J129=3,$J129=4,$J129=5,$J129=6,$J129=7),-$E129*$I129/12*3,IF($J129=8,-$E129*$I129/12*2,IF($J129=9,-$E129*$I129/12*1,0)))))+IF(CD$5&lt;&gt;$H129,0,IF(CD129&lt;0,IF($J129=7,-$E129*$I129/12*0,IF($J129=8,-$E129*$I129/12*1,IF($J129=9,-$E129*$I129/12*2,IF($J129&gt;=10,-$E129*$I129/12*3,0))))))</f>
        <v>0</v>
      </c>
      <c r="CH129" s="443">
        <f>IF($H129&lt;&gt;CI$5,0,IF(CI129&lt;0,IF(OR($J129=1,$J129=2,$J129=3,$J129=4,$J129=5,$J129=6,$J129=7,$J129=8,$J129=9,$J129=10),-$E129*$I129/12*3,IF($J129=11,-$E129*$I129/12*2,IF($J129=12,-$E129*$I129/12*1,0)))))+IF(CD$5&lt;&gt;$H129,0,IF(CD129&lt;0,IF($J129=10,-$E129*$I129/12*0,IF($J129=11,-$E129*$I129/12*1,IF($J129=12,-$E129*$I129/12*2,0)))))</f>
        <v>0</v>
      </c>
      <c r="CI129" s="440">
        <f>IF(AND(CD129&lt;&gt;0,CD$5=$H129),-$I129*$E129-CD129,IF(CI$5=$H129,-$I129*$E129*(12-$J129+1)/12,0))</f>
        <v>0</v>
      </c>
      <c r="CJ129" s="441">
        <f>IF($H129&lt;&gt;CN$5,0,IF(CN129&lt;0,IF($J129=1,-$E129*$I129/12*3,IF($J129=2,-$E129*$I129/12*2,IF($J129=3,-$E129*$I129/12*1,0)))))+IF(CI$5&lt;&gt;$H129,0,IF(CI129&lt;0,IF($J129=1,-$E129*$I129/12*0,IF($J129=2,-$E129*$I129/12*1,IF($J129=3,-$E129*$I129/12*2,IF($J129&gt;=4,-$E129*$I129/12*3,0))))))</f>
        <v>0</v>
      </c>
      <c r="CK129" s="442">
        <f>IF($H129&lt;&gt;CN$5,0,IF(CN129&lt;0,IF(OR($J129=1,$J129=2,$J129=3,$J129=4),-$E129*$I129/12*3,IF($J129=5,-$E129*$I129/12*2,IF($J129=6,-$E129*$I129/12*1,0)))))+IF(CI$5&lt;&gt;$H129,0,IF(CI129&lt;0,IF($J129=4,-$E129*$I129/12*0,IF($J129=5,-$E129*$I129/12*1,IF($J129=6,-$E129*$I129/12*2,IF($J129&gt;=7,-$E129*$I129/12*3,0))))))</f>
        <v>0</v>
      </c>
      <c r="CL129" s="442">
        <f>IF($H129&lt;&gt;CN$5,0,IF(CN129&lt;0,IF(OR($J129=1,$J129=2,$J129=3,$J129=4,$J129=5,$J129=6,$J129=7),-$E129*$I129/12*3,IF($J129=8,-$E129*$I129/12*2,IF($J129=9,-$E129*$I129/12*1,0)))))+IF(CI$5&lt;&gt;$H129,0,IF(CI129&lt;0,IF($J129=7,-$E129*$I129/12*0,IF($J129=8,-$E129*$I129/12*1,IF($J129=9,-$E129*$I129/12*2,IF($J129&gt;=10,-$E129*$I129/12*3,0))))))</f>
        <v>0</v>
      </c>
      <c r="CM129" s="443">
        <f>IF($H129&lt;&gt;CN$5,0,IF(CN129&lt;0,IF(OR($J129=1,$J129=2,$J129=3,$J129=4,$J129=5,$J129=6,$J129=7,$J129=8,$J129=9,$J129=10),-$E129*$I129/12*3,IF($J129=11,-$E129*$I129/12*2,IF($J129=12,-$E129*$I129/12*1,0)))))+IF(CI$5&lt;&gt;$H129,0,IF(CI129&lt;0,IF($J129=10,-$E129*$I129/12*0,IF($J129=11,-$E129*$I129/12*1,IF($J129=12,-$E129*$I129/12*2,0)))))</f>
        <v>0</v>
      </c>
      <c r="CN129" s="440">
        <f>IF(AND(CI129&lt;&gt;0,CI$5=$H129),-$I129*$E129-CI129,IF(CN$5=$H129,-$I129*$E129*(12-$J129+1)/12,0))</f>
        <v>0</v>
      </c>
      <c r="CO129" s="441">
        <f>IF($H129&lt;&gt;CS$5,0,IF(CS129&lt;0,IF($J129=1,-$E129*$I129/12*3,IF($J129=2,-$E129*$I129/12*2,IF($J129=3,-$E129*$I129/12*1,0)))))+IF(CN$5&lt;&gt;$H129,0,IF(CN129&lt;0,IF($J129=1,-$E129*$I129/12*0,IF($J129=2,-$E129*$I129/12*1,IF($J129=3,-$E129*$I129/12*2,IF($J129&gt;=4,-$E129*$I129/12*3,0))))))</f>
        <v>0</v>
      </c>
      <c r="CP129" s="442">
        <f>IF($H129&lt;&gt;CS$5,0,IF(CS129&lt;0,IF(OR($J129=1,$J129=2,$J129=3,$J129=4),-$E129*$I129/12*3,IF($J129=5,-$E129*$I129/12*2,IF($J129=6,-$E129*$I129/12*1,0)))))+IF(CN$5&lt;&gt;$H129,0,IF(CN129&lt;0,IF($J129=4,-$E129*$I129/12*0,IF($J129=5,-$E129*$I129/12*1,IF($J129=6,-$E129*$I129/12*2,IF($J129&gt;=7,-$E129*$I129/12*3,0))))))</f>
        <v>0</v>
      </c>
      <c r="CQ129" s="442">
        <f>IF($H129&lt;&gt;CS$5,0,IF(CS129&lt;0,IF(OR($J129=1,$J129=2,$J129=3,$J129=4,$J129=5,$J129=6,$J129=7),-$E129*$I129/12*3,IF($J129=8,-$E129*$I129/12*2,IF($J129=9,-$E129*$I129/12*1,0)))))+IF(CN$5&lt;&gt;$H129,0,IF(CN129&lt;0,IF($J129=7,-$E129*$I129/12*0,IF($J129=8,-$E129*$I129/12*1,IF($J129=9,-$E129*$I129/12*2,IF($J129&gt;=10,-$E129*$I129/12*3,0))))))</f>
        <v>0</v>
      </c>
      <c r="CR129" s="443">
        <f>IF($H129&lt;&gt;CS$5,0,IF(CS129&lt;0,IF(OR($J129=1,$J129=2,$J129=3,$J129=4,$J129=5,$J129=6,$J129=7,$J129=8,$J129=9,$J129=10),-$E129*$I129/12*3,IF($J129=11,-$E129*$I129/12*2,IF($J129=12,-$E129*$I129/12*1,0)))))+IF(CN$5&lt;&gt;$H129,0,IF(CN129&lt;0,IF($J129=10,-$E129*$I129/12*0,IF($J129=11,-$E129*$I129/12*1,IF($J129=12,-$E129*$I129/12*2,0)))))</f>
        <v>0</v>
      </c>
      <c r="CS129" s="440">
        <f>IF(AND(CN129&lt;&gt;0,CN$5=$H129),-$I129*$E129-CN129,IF(CS$5=$H129,-$I129*$E129*(12-$J129+1)/12,0))</f>
        <v>0</v>
      </c>
      <c r="CT129" s="441">
        <f>IF($H129&lt;&gt;CX$5,0,IF(CX129&lt;0,IF($J129=1,-$E129*$I129/12*3,IF($J129=2,-$E129*$I129/12*2,IF($J129=3,-$E129*$I129/12*1,0)))))+IF(CS$5&lt;&gt;$H129,0,IF(CS129&lt;0,IF($J129=1,-$E129*$I129/12*0,IF($J129=2,-$E129*$I129/12*1,IF($J129=3,-$E129*$I129/12*2,IF($J129&gt;=4,-$E129*$I129/12*3,0))))))</f>
        <v>0</v>
      </c>
      <c r="CU129" s="442">
        <f>IF($H129&lt;&gt;CX$5,0,IF(CX129&lt;0,IF(OR($J129=1,$J129=2,$J129=3,$J129=4),-$E129*$I129/12*3,IF($J129=5,-$E129*$I129/12*2,IF($J129=6,-$E129*$I129/12*1,0)))))+IF(CS$5&lt;&gt;$H129,0,IF(CS129&lt;0,IF($J129=4,-$E129*$I129/12*0,IF($J129=5,-$E129*$I129/12*1,IF($J129=6,-$E129*$I129/12*2,IF($J129&gt;=7,-$E129*$I129/12*3,0))))))</f>
        <v>0</v>
      </c>
      <c r="CV129" s="442">
        <f>IF($H129&lt;&gt;CX$5,0,IF(CX129&lt;0,IF(OR($J129=1,$J129=2,$J129=3,$J129=4,$J129=5,$J129=6,$J129=7),-$E129*$I129/12*3,IF($J129=8,-$E129*$I129/12*2,IF($J129=9,-$E129*$I129/12*1,0)))))+IF(CS$5&lt;&gt;$H129,0,IF(CS129&lt;0,IF($J129=7,-$E129*$I129/12*0,IF($J129=8,-$E129*$I129/12*1,IF($J129=9,-$E129*$I129/12*2,IF($J129&gt;=10,-$E129*$I129/12*3,0))))))</f>
        <v>0</v>
      </c>
      <c r="CW129" s="443">
        <f>IF($H129&lt;&gt;CX$5,0,IF(CX129&lt;0,IF(OR($J129=1,$J129=2,$J129=3,$J129=4,$J129=5,$J129=6,$J129=7,$J129=8,$J129=9,$J129=10),-$E129*$I129/12*3,IF($J129=11,-$E129*$I129/12*2,IF($J129=12,-$E129*$I129/12*1,0)))))+IF(CS$5&lt;&gt;$H129,0,IF(CS129&lt;0,IF($J129=10,-$E129*$I129/12*0,IF($J129=11,-$E129*$I129/12*1,IF($J129=12,-$E129*$I129/12*2,0)))))</f>
        <v>0</v>
      </c>
      <c r="CX129" s="440">
        <f>IF(AND(CS129&lt;&gt;0,CS$5=$H129),-$I129*$E129-CS129,IF(CX$5=$H129,-$I129*$E129*(12-$J129+1)/12,0))</f>
        <v>0</v>
      </c>
      <c r="CY129" s="441">
        <f>IF($H129&lt;&gt;DC$5,0,IF(DC129&lt;0,IF($J129=1,-$E129*$I129/12*3,IF($J129=2,-$E129*$I129/12*2,IF($J129=3,-$E129*$I129/12*1,0)))))+IF(CX$5&lt;&gt;$H129,0,IF(CX129&lt;0,IF($J129=1,-$E129*$I129/12*0,IF($J129=2,-$E129*$I129/12*1,IF($J129=3,-$E129*$I129/12*2,IF($J129&gt;=4,-$E129*$I129/12*3,0))))))</f>
        <v>0</v>
      </c>
      <c r="CZ129" s="442">
        <f>IF($H129&lt;&gt;DC$5,0,IF(DC129&lt;0,IF(OR($J129=1,$J129=2,$J129=3,$J129=4),-$E129*$I129/12*3,IF($J129=5,-$E129*$I129/12*2,IF($J129=6,-$E129*$I129/12*1,0)))))+IF(CX$5&lt;&gt;$H129,0,IF(CX129&lt;0,IF($J129=4,-$E129*$I129/12*0,IF($J129=5,-$E129*$I129/12*1,IF($J129=6,-$E129*$I129/12*2,IF($J129&gt;=7,-$E129*$I129/12*3,0))))))</f>
        <v>0</v>
      </c>
      <c r="DA129" s="442">
        <f>IF($H129&lt;&gt;DC$5,0,IF(DC129&lt;0,IF(OR($J129=1,$J129=2,$J129=3,$J129=4,$J129=5,$J129=6,$J129=7),-$E129*$I129/12*3,IF($J129=8,-$E129*$I129/12*2,IF($J129=9,-$E129*$I129/12*1,0)))))+IF(CX$5&lt;&gt;$H129,0,IF(CX129&lt;0,IF($J129=7,-$E129*$I129/12*0,IF($J129=8,-$E129*$I129/12*1,IF($J129=9,-$E129*$I129/12*2,IF($J129&gt;=10,-$E129*$I129/12*3,0))))))</f>
        <v>0</v>
      </c>
      <c r="DB129" s="443">
        <f>IF($H129&lt;&gt;DC$5,0,IF(DC129&lt;0,IF(OR($J129=1,$J129=2,$J129=3,$J129=4,$J129=5,$J129=6,$J129=7,$J129=8,$J129=9,$J129=10),-$E129*$I129/12*3,IF($J129=11,-$E129*$I129/12*2,IF($J129=12,-$E129*$I129/12*1,0)))))+IF(CX$5&lt;&gt;$H129,0,IF(CX129&lt;0,IF($J129=10,-$E129*$I129/12*0,IF($J129=11,-$E129*$I129/12*1,IF($J129=12,-$E129*$I129/12*2,0)))))</f>
        <v>0</v>
      </c>
      <c r="DC129" s="440">
        <f>IF(AND(CX129&lt;&gt;0,CX$5=$H129),-$I129*$E129-CX129,IF(DC$5=$H129,-$I129*$E129*(12-$J129+1)/12,0))</f>
        <v>0</v>
      </c>
      <c r="DD129" s="441">
        <f>IF($H129&lt;&gt;DH$5,0,IF(DH129&lt;0,IF($J129=1,-$E129*$I129/12*3,IF($J129=2,-$E129*$I129/12*2,IF($J129=3,-$E129*$I129/12*1,0)))))+IF(DC$5&lt;&gt;$H129,0,IF(DC129&lt;0,IF($J129=1,-$E129*$I129/12*0,IF($J129=2,-$E129*$I129/12*1,IF($J129=3,-$E129*$I129/12*2,IF($J129&gt;=4,-$E129*$I129/12*3,0))))))</f>
        <v>0</v>
      </c>
      <c r="DE129" s="442">
        <f>IF($H129&lt;&gt;DH$5,0,IF(DH129&lt;0,IF(OR($J129=1,$J129=2,$J129=3,$J129=4),-$E129*$I129/12*3,IF($J129=5,-$E129*$I129/12*2,IF($J129=6,-$E129*$I129/12*1,0)))))+IF(DC$5&lt;&gt;$H129,0,IF(DC129&lt;0,IF($J129=4,-$E129*$I129/12*0,IF($J129=5,-$E129*$I129/12*1,IF($J129=6,-$E129*$I129/12*2,IF($J129&gt;=7,-$E129*$I129/12*3,0))))))</f>
        <v>0</v>
      </c>
      <c r="DF129" s="442">
        <f>IF($H129&lt;&gt;DH$5,0,IF(DH129&lt;0,IF(OR($J129=1,$J129=2,$J129=3,$J129=4,$J129=5,$J129=6,$J129=7),-$E129*$I129/12*3,IF($J129=8,-$E129*$I129/12*2,IF($J129=9,-$E129*$I129/12*1,0)))))+IF(DC$5&lt;&gt;$H129,0,IF(DC129&lt;0,IF($J129=7,-$E129*$I129/12*0,IF($J129=8,-$E129*$I129/12*1,IF($J129=9,-$E129*$I129/12*2,IF($J129&gt;=10,-$E129*$I129/12*3,0))))))</f>
        <v>0</v>
      </c>
      <c r="DG129" s="443">
        <f>IF($H129&lt;&gt;DH$5,0,IF(DH129&lt;0,IF(OR($J129=1,$J129=2,$J129=3,$J129=4,$J129=5,$J129=6,$J129=7,$J129=8,$J129=9,$J129=10),-$E129*$I129/12*3,IF($J129=11,-$E129*$I129/12*2,IF($J129=12,-$E129*$I129/12*1,0)))))+IF(DC$5&lt;&gt;$H129,0,IF(DC129&lt;0,IF($J129=10,-$E129*$I129/12*0,IF($J129=11,-$E129*$I129/12*1,IF($J129=12,-$E129*$I129/12*2,0)))))</f>
        <v>0</v>
      </c>
      <c r="DH129" s="440">
        <f>IF(AND(DC129&lt;&gt;0,DC$5=$H129),-$I129*$E129-DC129,IF(DH$5=$H129,-$I129*$E129*(12-$J129+1)/12,0))</f>
        <v>0</v>
      </c>
      <c r="DI129" s="441">
        <f>IF($H129&lt;&gt;DM$5,0,IF(DM129&lt;0,IF($J129=1,-$E129*$I129/12*3,IF($J129=2,-$E129*$I129/12*2,IF($J129=3,-$E129*$I129/12*1,0)))))+IF(DH$5&lt;&gt;$H129,0,IF(DH129&lt;0,IF($J129=1,-$E129*$I129/12*0,IF($J129=2,-$E129*$I129/12*1,IF($J129=3,-$E129*$I129/12*2,IF($J129&gt;=4,-$E129*$I129/12*3,0))))))</f>
        <v>0</v>
      </c>
      <c r="DJ129" s="442">
        <f>IF($H129&lt;&gt;DM$5,0,IF(DM129&lt;0,IF(OR($J129=1,$J129=2,$J129=3,$J129=4),-$E129*$I129/12*3,IF($J129=5,-$E129*$I129/12*2,IF($J129=6,-$E129*$I129/12*1,0)))))+IF(DH$5&lt;&gt;$H129,0,IF(DH129&lt;0,IF($J129=4,-$E129*$I129/12*0,IF($J129=5,-$E129*$I129/12*1,IF($J129=6,-$E129*$I129/12*2,IF($J129&gt;=7,-$E129*$I129/12*3,0))))))</f>
        <v>0</v>
      </c>
      <c r="DK129" s="442">
        <f>IF($H129&lt;&gt;DM$5,0,IF(DM129&lt;0,IF(OR($J129=1,$J129=2,$J129=3,$J129=4,$J129=5,$J129=6,$J129=7),-$E129*$I129/12*3,IF($J129=8,-$E129*$I129/12*2,IF($J129=9,-$E129*$I129/12*1,0)))))+IF(DH$5&lt;&gt;$H129,0,IF(DH129&lt;0,IF($J129=7,-$E129*$I129/12*0,IF($J129=8,-$E129*$I129/12*1,IF($J129=9,-$E129*$I129/12*2,IF($J129&gt;=10,-$E129*$I129/12*3,0))))))</f>
        <v>0</v>
      </c>
      <c r="DL129" s="443">
        <f>IF($H129&lt;&gt;DM$5,0,IF(DM129&lt;0,IF(OR($J129=1,$J129=2,$J129=3,$J129=4,$J129=5,$J129=6,$J129=7,$J129=8,$J129=9,$J129=10),-$E129*$I129/12*3,IF($J129=11,-$E129*$I129/12*2,IF($J129=12,-$E129*$I129/12*1,0)))))+IF(DH$5&lt;&gt;$H129,0,IF(DH129&lt;0,IF($J129=10,-$E129*$I129/12*0,IF($J129=11,-$E129*$I129/12*1,IF($J129=12,-$E129*$I129/12*2,0)))))</f>
        <v>0</v>
      </c>
      <c r="DM129" s="440">
        <f>IF(AND(DH129&lt;&gt;0,DH$5=$H129),-$I129*$E129-DH129,IF(DM$5=$H129,-$I129*$E129*(12-$J129+1)/12,0))</f>
        <v>0</v>
      </c>
      <c r="DN129" s="441">
        <f>IF($H129&lt;&gt;DR$5,0,IF(DR129&lt;0,IF($J129=1,-$E129*$I129/12*3,IF($J129=2,-$E129*$I129/12*2,IF($J129=3,-$E129*$I129/12*1,0)))))+IF(DM$5&lt;&gt;$H129,0,IF(DM129&lt;0,IF($J129=1,-$E129*$I129/12*0,IF($J129=2,-$E129*$I129/12*1,IF($J129=3,-$E129*$I129/12*2,IF($J129&gt;=4,-$E129*$I129/12*3,0))))))</f>
        <v>0</v>
      </c>
      <c r="DO129" s="442">
        <f>IF($H129&lt;&gt;DR$5,0,IF(DR129&lt;0,IF(OR($J129=1,$J129=2,$J129=3,$J129=4),-$E129*$I129/12*3,IF($J129=5,-$E129*$I129/12*2,IF($J129=6,-$E129*$I129/12*1,0)))))+IF(DM$5&lt;&gt;$H129,0,IF(DM129&lt;0,IF($J129=4,-$E129*$I129/12*0,IF($J129=5,-$E129*$I129/12*1,IF($J129=6,-$E129*$I129/12*2,IF($J129&gt;=7,-$E129*$I129/12*3,0))))))</f>
        <v>0</v>
      </c>
      <c r="DP129" s="442">
        <f>IF($H129&lt;&gt;DR$5,0,IF(DR129&lt;0,IF(OR($J129=1,$J129=2,$J129=3,$J129=4,$J129=5,$J129=6,$J129=7),-$E129*$I129/12*3,IF($J129=8,-$E129*$I129/12*2,IF($J129=9,-$E129*$I129/12*1,0)))))+IF(DM$5&lt;&gt;$H129,0,IF(DM129&lt;0,IF($J129=7,-$E129*$I129/12*0,IF($J129=8,-$E129*$I129/12*1,IF($J129=9,-$E129*$I129/12*2,IF($J129&gt;=10,-$E129*$I129/12*3,0))))))</f>
        <v>0</v>
      </c>
      <c r="DQ129" s="443">
        <f>IF($H129&lt;&gt;DR$5,0,IF(DR129&lt;0,IF(OR($J129=1,$J129=2,$J129=3,$J129=4,$J129=5,$J129=6,$J129=7,$J129=8,$J129=9,$J129=10),-$E129*$I129/12*3,IF($J129=11,-$E129*$I129/12*2,IF($J129=12,-$E129*$I129/12*1,0)))))+IF(DM$5&lt;&gt;$H129,0,IF(DM129&lt;0,IF($J129=10,-$E129*$I129/12*0,IF($J129=11,-$E129*$I129/12*1,IF($J129=12,-$E129*$I129/12*2,0)))))</f>
        <v>0</v>
      </c>
      <c r="DR129" s="440">
        <f>IF(AND(DM129&lt;&gt;0,DM$5=$H129),-$I129*$E129-DM129,IF(DR$5=$H129,-$I129*$E129*(12-$J129+1)/12,0))</f>
        <v>0</v>
      </c>
    </row>
    <row r="130" spans="1:122">
      <c r="C130" s="1123"/>
      <c r="D130" s="395"/>
      <c r="E130" s="188"/>
      <c r="F130" s="651"/>
      <c r="G130" s="651"/>
      <c r="H130" s="651"/>
      <c r="I130" s="650"/>
      <c r="J130" s="656"/>
      <c r="K130" s="549"/>
      <c r="L130" s="441"/>
      <c r="M130" s="442"/>
      <c r="N130" s="442"/>
      <c r="O130" s="443"/>
      <c r="P130" s="440"/>
      <c r="Q130" s="441"/>
      <c r="R130" s="442"/>
      <c r="S130" s="442"/>
      <c r="T130" s="443"/>
      <c r="U130" s="440"/>
      <c r="V130" s="441"/>
      <c r="W130" s="442"/>
      <c r="X130" s="442"/>
      <c r="Y130" s="443"/>
      <c r="Z130" s="440"/>
      <c r="AA130" s="441"/>
      <c r="AB130" s="442"/>
      <c r="AC130" s="442"/>
      <c r="AD130" s="443"/>
      <c r="AE130" s="440"/>
      <c r="AF130" s="441"/>
      <c r="AG130" s="442"/>
      <c r="AH130" s="442"/>
      <c r="AI130" s="443"/>
      <c r="AJ130" s="440"/>
      <c r="AK130" s="441"/>
      <c r="AL130" s="442"/>
      <c r="AM130" s="442"/>
      <c r="AN130" s="443"/>
      <c r="AO130" s="440"/>
      <c r="AP130" s="441"/>
      <c r="AQ130" s="442"/>
      <c r="AR130" s="442"/>
      <c r="AS130" s="443"/>
      <c r="AT130" s="440"/>
      <c r="AU130" s="441"/>
      <c r="AV130" s="442"/>
      <c r="AW130" s="442"/>
      <c r="AX130" s="443"/>
      <c r="AY130" s="440"/>
      <c r="AZ130" s="441"/>
      <c r="BA130" s="442"/>
      <c r="BB130" s="442"/>
      <c r="BC130" s="443"/>
      <c r="BD130" s="440"/>
      <c r="BE130" s="441"/>
      <c r="BF130" s="442"/>
      <c r="BG130" s="442"/>
      <c r="BH130" s="443"/>
      <c r="BI130" s="440"/>
      <c r="BJ130" s="441"/>
      <c r="BK130" s="442"/>
      <c r="BL130" s="442"/>
      <c r="BM130" s="443"/>
      <c r="BN130" s="440"/>
      <c r="BO130" s="470"/>
      <c r="BP130" s="441"/>
      <c r="BQ130" s="442"/>
      <c r="BR130" s="442"/>
      <c r="BS130" s="443"/>
      <c r="BT130" s="440"/>
      <c r="BU130" s="441"/>
      <c r="BV130" s="442"/>
      <c r="BW130" s="442"/>
      <c r="BX130" s="443"/>
      <c r="BY130" s="440"/>
      <c r="BZ130" s="441"/>
      <c r="CA130" s="442"/>
      <c r="CB130" s="442"/>
      <c r="CC130" s="443"/>
      <c r="CD130" s="440"/>
      <c r="CE130" s="441"/>
      <c r="CF130" s="442"/>
      <c r="CG130" s="442"/>
      <c r="CH130" s="443"/>
      <c r="CI130" s="440"/>
      <c r="CJ130" s="441"/>
      <c r="CK130" s="442"/>
      <c r="CL130" s="442"/>
      <c r="CM130" s="443"/>
      <c r="CN130" s="440"/>
      <c r="CO130" s="441"/>
      <c r="CP130" s="442"/>
      <c r="CQ130" s="442"/>
      <c r="CR130" s="443"/>
      <c r="CS130" s="440"/>
      <c r="CT130" s="441"/>
      <c r="CU130" s="442"/>
      <c r="CV130" s="442"/>
      <c r="CW130" s="443"/>
      <c r="CX130" s="440"/>
      <c r="CY130" s="441"/>
      <c r="CZ130" s="442"/>
      <c r="DA130" s="442"/>
      <c r="DB130" s="443"/>
      <c r="DC130" s="440"/>
      <c r="DD130" s="441"/>
      <c r="DE130" s="442"/>
      <c r="DF130" s="442"/>
      <c r="DG130" s="443"/>
      <c r="DH130" s="440"/>
      <c r="DI130" s="441"/>
      <c r="DJ130" s="442"/>
      <c r="DK130" s="442"/>
      <c r="DL130" s="443"/>
      <c r="DM130" s="440"/>
      <c r="DN130" s="441"/>
      <c r="DO130" s="442"/>
      <c r="DP130" s="442"/>
      <c r="DQ130" s="443"/>
      <c r="DR130" s="440"/>
    </row>
    <row r="131" spans="1:122">
      <c r="C131" s="1363" t="s">
        <v>993</v>
      </c>
      <c r="D131" s="395"/>
      <c r="E131" s="188"/>
      <c r="F131" s="651"/>
      <c r="G131" s="651"/>
      <c r="H131" s="414"/>
      <c r="I131" s="650"/>
      <c r="J131" s="656"/>
      <c r="K131" s="549"/>
      <c r="L131" s="441"/>
      <c r="M131" s="442"/>
      <c r="N131" s="442"/>
      <c r="O131" s="443"/>
      <c r="P131" s="440"/>
      <c r="Q131" s="441"/>
      <c r="R131" s="442"/>
      <c r="S131" s="442"/>
      <c r="T131" s="443"/>
      <c r="U131" s="440"/>
      <c r="V131" s="441"/>
      <c r="W131" s="442"/>
      <c r="X131" s="442"/>
      <c r="Y131" s="443"/>
      <c r="Z131" s="440"/>
      <c r="AA131" s="441"/>
      <c r="AB131" s="442"/>
      <c r="AC131" s="442"/>
      <c r="AD131" s="443"/>
      <c r="AE131" s="440"/>
      <c r="AF131" s="441"/>
      <c r="AG131" s="442"/>
      <c r="AH131" s="442"/>
      <c r="AI131" s="443"/>
      <c r="AJ131" s="440"/>
      <c r="AK131" s="441"/>
      <c r="AL131" s="442"/>
      <c r="AM131" s="442"/>
      <c r="AN131" s="443"/>
      <c r="AO131" s="440"/>
      <c r="AP131" s="441"/>
      <c r="AQ131" s="442"/>
      <c r="AR131" s="442"/>
      <c r="AS131" s="443"/>
      <c r="AT131" s="440"/>
      <c r="AU131" s="441"/>
      <c r="AV131" s="442"/>
      <c r="AW131" s="442"/>
      <c r="AX131" s="443"/>
      <c r="AY131" s="440"/>
      <c r="AZ131" s="441"/>
      <c r="BA131" s="442"/>
      <c r="BB131" s="442"/>
      <c r="BC131" s="443"/>
      <c r="BD131" s="440"/>
      <c r="BE131" s="441"/>
      <c r="BF131" s="442"/>
      <c r="BG131" s="442"/>
      <c r="BH131" s="443"/>
      <c r="BI131" s="440"/>
      <c r="BJ131" s="441"/>
      <c r="BK131" s="442"/>
      <c r="BL131" s="442"/>
      <c r="BM131" s="443"/>
      <c r="BN131" s="440"/>
      <c r="BO131" s="470"/>
      <c r="BP131" s="441"/>
      <c r="BQ131" s="442"/>
      <c r="BR131" s="442"/>
      <c r="BS131" s="443"/>
      <c r="BT131" s="440"/>
      <c r="BU131" s="441"/>
      <c r="BV131" s="442"/>
      <c r="BW131" s="442"/>
      <c r="BX131" s="443"/>
      <c r="BY131" s="440"/>
      <c r="BZ131" s="441"/>
      <c r="CA131" s="442"/>
      <c r="CB131" s="442"/>
      <c r="CC131" s="443"/>
      <c r="CD131" s="440"/>
      <c r="CE131" s="441"/>
      <c r="CF131" s="442"/>
      <c r="CG131" s="442"/>
      <c r="CH131" s="443"/>
      <c r="CI131" s="440"/>
      <c r="CJ131" s="441"/>
      <c r="CK131" s="442"/>
      <c r="CL131" s="442"/>
      <c r="CM131" s="443"/>
      <c r="CN131" s="440"/>
      <c r="CO131" s="441"/>
      <c r="CP131" s="442"/>
      <c r="CQ131" s="442"/>
      <c r="CR131" s="443"/>
      <c r="CS131" s="440"/>
      <c r="CT131" s="441"/>
      <c r="CU131" s="442"/>
      <c r="CV131" s="442"/>
      <c r="CW131" s="443"/>
      <c r="CX131" s="440"/>
      <c r="CY131" s="441"/>
      <c r="CZ131" s="442"/>
      <c r="DA131" s="442"/>
      <c r="DB131" s="443"/>
      <c r="DC131" s="440"/>
      <c r="DD131" s="441"/>
      <c r="DE131" s="442"/>
      <c r="DF131" s="442"/>
      <c r="DG131" s="443"/>
      <c r="DH131" s="440"/>
      <c r="DI131" s="441"/>
      <c r="DJ131" s="442"/>
      <c r="DK131" s="442"/>
      <c r="DL131" s="443"/>
      <c r="DM131" s="440"/>
      <c r="DN131" s="441"/>
      <c r="DO131" s="442"/>
      <c r="DP131" s="442"/>
      <c r="DQ131" s="443"/>
      <c r="DR131" s="440"/>
    </row>
    <row r="132" spans="1:122" ht="12.75" customHeight="1">
      <c r="C132" s="1590" t="s">
        <v>990</v>
      </c>
      <c r="D132" s="395"/>
      <c r="E132" s="188">
        <f>IF(F132=0,G132,F132)</f>
        <v>0.85510600000000003</v>
      </c>
      <c r="F132" s="1945">
        <v>0</v>
      </c>
      <c r="G132" s="1945">
        <v>0.85510600000000003</v>
      </c>
      <c r="H132" s="1366">
        <v>2017</v>
      </c>
      <c r="I132" s="1367">
        <v>6.79E-3</v>
      </c>
      <c r="J132" s="1357">
        <v>1</v>
      </c>
      <c r="K132" s="549"/>
      <c r="L132" s="441">
        <f t="shared" ref="L132:L134" si="1688">IF(P132=0,0,IF(P132&lt;0,IF($J132=3,P132,IF($J132=2,P132,IF($J132=1,P132,0)))))</f>
        <v>0</v>
      </c>
      <c r="M132" s="442">
        <f t="shared" ref="M132:M134" si="1689">IF(P132=0,0,IF(P132&lt;0,IF($J132=6,P132,IF($J132=5,P132,IF($J132=4,P132,0)))))</f>
        <v>0</v>
      </c>
      <c r="N132" s="442">
        <f t="shared" ref="N132:N134" si="1690">IF(P132=0,0,IF(P132&lt;0,IF($J132=9,P132,IF($J132=8,P132,IF($J132=7,P132,0)))))</f>
        <v>0</v>
      </c>
      <c r="O132" s="443">
        <f t="shared" ref="O132:O134" si="1691">IF(P132=0,0,IF(P132&lt;0,IF($J132=12,P132,IF($J132=11,P132,IF($J132=10,P132,0)))))</f>
        <v>0</v>
      </c>
      <c r="P132" s="440">
        <f t="shared" ref="P132:P134" si="1692">IF(P$5=$H132,-$E132,0)</f>
        <v>0</v>
      </c>
      <c r="Q132" s="441">
        <f t="shared" ref="Q132:Q134" si="1693">IF(U132=0,0,IF(U132&lt;0,IF($J132=3,U132,IF($J132=2,U132,IF($J132=1,U132,0)))))</f>
        <v>0</v>
      </c>
      <c r="R132" s="442">
        <f t="shared" ref="R132:R134" si="1694">IF(U132=0,0,IF(U132&lt;0,IF($J132=6,U132,IF($J132=5,U132,IF($J132=4,U132,0)))))</f>
        <v>0</v>
      </c>
      <c r="S132" s="442">
        <f t="shared" ref="S132:S134" si="1695">IF(U132=0,0,IF(U132&lt;0,IF($J132=9,U132,IF($J132=8,U132,IF($J132=7,U132,0)))))</f>
        <v>0</v>
      </c>
      <c r="T132" s="443">
        <f t="shared" ref="T132:T134" si="1696">IF(U132=0,0,IF(U132&lt;0,IF($J132=12,U132,IF($J132=11,U132,IF($J132=10,U132,0)))))</f>
        <v>0</v>
      </c>
      <c r="U132" s="440">
        <f t="shared" ref="U132:U134" si="1697">IF(U$5=$H132,-$E132,0)</f>
        <v>0</v>
      </c>
      <c r="V132" s="441">
        <f t="shared" ref="V132:V134" si="1698">IF(Z132=0,0,IF(Z132&lt;0,IF($J132=3,Z132,IF($J132=2,Z132,IF($J132=1,Z132,0)))))</f>
        <v>0</v>
      </c>
      <c r="W132" s="442">
        <f t="shared" ref="W132:W134" si="1699">IF(Z132=0,0,IF(Z132&lt;0,IF($J132=6,Z132,IF($J132=5,Z132,IF($J132=4,Z132,0)))))</f>
        <v>0</v>
      </c>
      <c r="X132" s="442">
        <f t="shared" ref="X132:X134" si="1700">IF(Z132=0,0,IF(Z132&lt;0,IF($J132=9,Z132,IF($J132=8,Z132,IF($J132=7,Z132,0)))))</f>
        <v>0</v>
      </c>
      <c r="Y132" s="443">
        <f t="shared" ref="Y132:Y134" si="1701">IF(Z132=0,0,IF(Z132&lt;0,IF($J132=12,Z132,IF($J132=11,Z132,IF($J132=10,Z132,0)))))</f>
        <v>0</v>
      </c>
      <c r="Z132" s="440">
        <f t="shared" ref="Z132:Z134" si="1702">IF(Z$5=$H132,-$E132,0)</f>
        <v>0</v>
      </c>
      <c r="AA132" s="441">
        <f t="shared" ref="AA132:AA134" si="1703">IF(AE132=0,0,IF(AE132&lt;0,IF($J132=3,AE132,IF($J132=2,AE132,IF($J132=1,AE132,0)))))</f>
        <v>0</v>
      </c>
      <c r="AB132" s="442">
        <f t="shared" ref="AB132:AB134" si="1704">IF(AE132=0,0,IF(AE132&lt;0,IF($J132=6,AE132,IF($J132=5,AE132,IF($J132=4,AE132,0)))))</f>
        <v>0</v>
      </c>
      <c r="AC132" s="442">
        <f t="shared" ref="AC132:AC134" si="1705">IF(AE132=0,0,IF(AE132&lt;0,IF($J132=9,AE132,IF($J132=8,AE132,IF($J132=7,AE132,0)))))</f>
        <v>0</v>
      </c>
      <c r="AD132" s="443">
        <f t="shared" ref="AD132:AD134" si="1706">IF(AE132=0,0,IF(AE132&lt;0,IF($J132=12,AE132,IF($J132=11,AE132,IF($J132=10,AE132,0)))))</f>
        <v>0</v>
      </c>
      <c r="AE132" s="440">
        <f t="shared" ref="AE132:AE134" si="1707">IF(AE$5=$H132,-$E132,0)</f>
        <v>0</v>
      </c>
      <c r="AF132" s="441">
        <f t="shared" ref="AF132:AF134" si="1708">IF(AJ132=0,0,IF(AJ132&lt;0,IF($J132=3,AJ132,IF($J132=2,AJ132,IF($J132=1,AJ132,0)))))</f>
        <v>0</v>
      </c>
      <c r="AG132" s="442">
        <f t="shared" ref="AG132:AG134" si="1709">IF(AJ132=0,0,IF(AJ132&lt;0,IF($J132=6,AJ132,IF($J132=5,AJ132,IF($J132=4,AJ132,0)))))</f>
        <v>0</v>
      </c>
      <c r="AH132" s="442">
        <f t="shared" ref="AH132:AH134" si="1710">IF(AJ132=0,0,IF(AJ132&lt;0,IF($J132=9,AJ132,IF($J132=8,AJ132,IF($J132=7,AJ132,0)))))</f>
        <v>0</v>
      </c>
      <c r="AI132" s="443">
        <f t="shared" ref="AI132:AI134" si="1711">IF(AJ132=0,0,IF(AJ132&lt;0,IF($J132=12,AJ132,IF($J132=11,AJ132,IF($J132=10,AJ132,0)))))</f>
        <v>0</v>
      </c>
      <c r="AJ132" s="440">
        <f t="shared" ref="AJ132:AJ134" si="1712">IF(AJ$5=$H132,-$E132,0)</f>
        <v>0</v>
      </c>
      <c r="AK132" s="441">
        <f t="shared" ref="AK132:AK134" si="1713">IF(AO132=0,0,IF(AO132&lt;0,IF($J132=3,AO132,IF($J132=2,AO132,IF($J132=1,AO132,0)))))</f>
        <v>0</v>
      </c>
      <c r="AL132" s="442">
        <f t="shared" ref="AL132:AL134" si="1714">IF(AO132=0,0,IF(AO132&lt;0,IF($J132=6,AO132,IF($J132=5,AO132,IF($J132=4,AO132,0)))))</f>
        <v>0</v>
      </c>
      <c r="AM132" s="442">
        <f t="shared" ref="AM132:AM134" si="1715">IF(AO132=0,0,IF(AO132&lt;0,IF($J132=9,AO132,IF($J132=8,AO132,IF($J132=7,AO132,0)))))</f>
        <v>0</v>
      </c>
      <c r="AN132" s="443">
        <f t="shared" ref="AN132:AN134" si="1716">IF(AO132=0,0,IF(AO132&lt;0,IF($J132=12,AO132,IF($J132=11,AO132,IF($J132=10,AO132,0)))))</f>
        <v>0</v>
      </c>
      <c r="AO132" s="440">
        <f t="shared" ref="AO132:AO134" si="1717">IF(AO$5=$H132,-$E132,0)</f>
        <v>0</v>
      </c>
      <c r="AP132" s="441">
        <f t="shared" ref="AP132:AP134" si="1718">IF(AT132=0,0,IF(AT132&lt;0,IF($J132=3,AT132,IF($J132=2,AT132,IF($J132=1,AT132,0)))))</f>
        <v>-0.85510600000000003</v>
      </c>
      <c r="AQ132" s="442">
        <f t="shared" ref="AQ132:AQ134" si="1719">IF(AT132=0,0,IF(AT132&lt;0,IF($J132=6,AT132,IF($J132=5,AT132,IF($J132=4,AT132,0)))))</f>
        <v>0</v>
      </c>
      <c r="AR132" s="442">
        <f t="shared" ref="AR132:AR134" si="1720">IF(AT132=0,0,IF(AT132&lt;0,IF($J132=9,AT132,IF($J132=8,AT132,IF($J132=7,AT132,0)))))</f>
        <v>0</v>
      </c>
      <c r="AS132" s="443">
        <f t="shared" ref="AS132:AS134" si="1721">IF(AT132=0,0,IF(AT132&lt;0,IF($J132=12,AT132,IF($J132=11,AT132,IF($J132=10,AT132,0)))))</f>
        <v>0</v>
      </c>
      <c r="AT132" s="440">
        <f t="shared" ref="AT132:AT134" si="1722">IF(AT$5=$H132,-$E132,0)</f>
        <v>-0.85510600000000003</v>
      </c>
      <c r="AU132" s="441">
        <f t="shared" ref="AU132:AU134" si="1723">IF(AY132=0,0,IF(AY132&lt;0,IF($J132=3,AY132,IF($J132=2,AY132,IF($J132=1,AY132,0)))))</f>
        <v>0</v>
      </c>
      <c r="AV132" s="442">
        <f t="shared" ref="AV132:AV134" si="1724">IF(AY132=0,0,IF(AY132&lt;0,IF($J132=6,AY132,IF($J132=5,AY132,IF($J132=4,AY132,0)))))</f>
        <v>0</v>
      </c>
      <c r="AW132" s="442">
        <f t="shared" ref="AW132:AW134" si="1725">IF(AY132=0,0,IF(AY132&lt;0,IF($J132=9,AY132,IF($J132=8,AY132,IF($J132=7,AY132,0)))))</f>
        <v>0</v>
      </c>
      <c r="AX132" s="443">
        <f t="shared" ref="AX132:AX134" si="1726">IF(AY132=0,0,IF(AY132&lt;0,IF($J132=12,AY132,IF($J132=11,AY132,IF($J132=10,AY132,0)))))</f>
        <v>0</v>
      </c>
      <c r="AY132" s="440">
        <f t="shared" ref="AY132:AY134" si="1727">IF(AY$5=$H132,-$E132,0)</f>
        <v>0</v>
      </c>
      <c r="AZ132" s="441">
        <f t="shared" ref="AZ132:AZ134" si="1728">IF(BD132=0,0,IF(BD132&lt;0,IF($J132=3,BD132,IF($J132=2,BD132,IF($J132=1,BD132,0)))))</f>
        <v>0</v>
      </c>
      <c r="BA132" s="442">
        <f t="shared" ref="BA132:BA134" si="1729">IF(BD132=0,0,IF(BD132&lt;0,IF($J132=6,BD132,IF($J132=5,BD132,IF($J132=4,BD132,0)))))</f>
        <v>0</v>
      </c>
      <c r="BB132" s="442">
        <f t="shared" ref="BB132:BB134" si="1730">IF(BD132=0,0,IF(BD132&lt;0,IF($J132=9,BD132,IF($J132=8,BD132,IF($J132=7,BD132,0)))))</f>
        <v>0</v>
      </c>
      <c r="BC132" s="443">
        <f t="shared" ref="BC132:BC134" si="1731">IF(BD132=0,0,IF(BD132&lt;0,IF($J132=12,BD132,IF($J132=11,BD132,IF($J132=10,BD132,0)))))</f>
        <v>0</v>
      </c>
      <c r="BD132" s="440">
        <f t="shared" ref="BD132:BD134" si="1732">IF(BD$5=$H132,-$E132,0)</f>
        <v>0</v>
      </c>
      <c r="BE132" s="441">
        <f t="shared" ref="BE132:BE134" si="1733">IF(BI132=0,0,IF(BI132&lt;0,IF($J132=3,BI132,IF($J132=2,BI132,IF($J132=1,BI132,0)))))</f>
        <v>0</v>
      </c>
      <c r="BF132" s="442">
        <f t="shared" ref="BF132:BF134" si="1734">IF(BI132=0,0,IF(BI132&lt;0,IF($J132=6,BI132,IF($J132=5,BI132,IF($J132=4,BI132,0)))))</f>
        <v>0</v>
      </c>
      <c r="BG132" s="442">
        <f t="shared" ref="BG132:BG134" si="1735">IF(BI132=0,0,IF(BI132&lt;0,IF($J132=9,BI132,IF($J132=8,BI132,IF($J132=7,BI132,0)))))</f>
        <v>0</v>
      </c>
      <c r="BH132" s="443">
        <f t="shared" ref="BH132:BH134" si="1736">IF(BI132=0,0,IF(BI132&lt;0,IF($J132=12,BI132,IF($J132=11,BI132,IF($J132=10,BI132,0)))))</f>
        <v>0</v>
      </c>
      <c r="BI132" s="440">
        <f t="shared" ref="BI132:BI134" si="1737">IF(BI$5=$H132,-$E132,0)</f>
        <v>0</v>
      </c>
      <c r="BJ132" s="441">
        <f t="shared" ref="BJ132:BJ134" si="1738">IF(BN132=0,0,IF(BN132&lt;0,IF($J132=3,BN132,IF($J132=2,BN132,IF($J132=1,BN132,0)))))</f>
        <v>0</v>
      </c>
      <c r="BK132" s="442">
        <f t="shared" ref="BK132:BK134" si="1739">IF(BN132=0,0,IF(BN132&lt;0,IF($J132=6,BN132,IF($J132=5,BN132,IF($J132=4,BN132,0)))))</f>
        <v>0</v>
      </c>
      <c r="BL132" s="442">
        <f t="shared" ref="BL132:BL134" si="1740">IF(BN132=0,0,IF(BN132&lt;0,IF($J132=9,BN132,IF($J132=8,BN132,IF($J132=7,BN132,0)))))</f>
        <v>0</v>
      </c>
      <c r="BM132" s="443">
        <f t="shared" ref="BM132:BM134" si="1741">IF(BN132=0,0,IF(BN132&lt;0,IF($J132=12,BN132,IF($J132=11,BN132,IF($J132=10,BN132,0)))))</f>
        <v>0</v>
      </c>
      <c r="BN132" s="440">
        <f t="shared" ref="BN132:BN134" si="1742">IF(BN$5=$H132,-$E132,0)</f>
        <v>0</v>
      </c>
      <c r="BO132" s="470"/>
      <c r="BP132" s="441">
        <f>IF($H132&lt;&gt;BT$5,0,IF(BT132&lt;0,IF($J132=1,-$E132*$I132/12*3,IF($J132=2,-$E132*$I132/12*2,IF($J132=3,-$E132*$I132/12*1,0)))))+IF(BO$5&lt;&gt;$H132,0,IF(BO132&lt;0,IF($J132=1,-$E132*$I132/12*0,IF($J132=2,-$E132*$I132/12*1,IF($J132=3,-$E132*$I132/12*2,IF($J132&gt;=4,-$E132*$I132/12*3,0))))))</f>
        <v>0</v>
      </c>
      <c r="BQ132" s="442">
        <f>IF($H132&lt;&gt;BT$5,0,IF(BT132&lt;0,IF(OR($J132=1,$J132=2,$J132=3,$J132=4),-$E132*$I132/12*3,IF($J132=5,-$E132*$I132/12*2,IF($J132=6,-$E132*$I132/12*1,0)))))+IF(BO$5&lt;&gt;$H132,0,IF(BO132&lt;0,IF($J132=4,-$E132*$I132/12*0,IF($J132=5,-$E132*$I132/12*1,IF($J132=6,-$E132*$I132/12*2,IF($J132&gt;=7,-$E132*$I132/12*3,0))))))</f>
        <v>0</v>
      </c>
      <c r="BR132" s="442">
        <f>IF($H132&lt;&gt;BT$5,0,IF(BT132&lt;0,IF(OR($J132=1,$J132=2,$J132=3,$J132=4,$J132=5,$J132=6,$J132=7),-$E132*$I132/12*3,IF($J132=8,-$E132*$I132/12*2,IF($J132=9,-$E132*$I132/12*1,0)))))+IF(BO$5&lt;&gt;$H132,0,IF(BO132&lt;0,IF($J132=7,-$E132*$I132/12*0,IF($J132=8,-$E132*$I132/12*1,IF($J132=9,-$E132*$I132/12*2,IF($J132&gt;=10,-$E132*$I132/12*3,0))))))</f>
        <v>0</v>
      </c>
      <c r="BS132" s="443">
        <f>IF($H132&lt;&gt;BT$5,0,IF(BT132&lt;0,IF(OR($J132=1,$J132=2,$J132=3,$J132=4,$J132=5,$J132=6,$J132=7,$J132=8,$J132=9,$J132=10),-$E132*$I132/12*3,IF($J132=11,-$E132*$I132/12*2,IF($J132=12,-$E132*$I132/12*1,0)))))+IF(BO$5&lt;&gt;$H132,0,IF(BO132&lt;0,IF($J132=10,-$E132*$I132/12*0,IF($J132=11,-$E132*$I132/12*1,IF($J132=12,-$E132*$I132/12*2,0)))))</f>
        <v>0</v>
      </c>
      <c r="BT132" s="440">
        <f>IF(AND(BO132&lt;&gt;0,BO$5=$H132),-$I132*$E132-BO132,IF(BT$5=$H132,-$I132*$E132*(12-$J132+1)/12,0))</f>
        <v>0</v>
      </c>
      <c r="BU132" s="441">
        <f>IF($H132&lt;&gt;BY$5,0,IF(BY132&lt;0,IF($J132=1,-$E132*$I132/12*3,IF($J132=2,-$E132*$I132/12*2,IF($J132=3,-$E132*$I132/12*1,0)))))+IF(BT$5&lt;&gt;$H132,0,IF(BT132&lt;0,IF($J132=1,-$E132*$I132/12*0,IF($J132=2,-$E132*$I132/12*1,IF($J132=3,-$E132*$I132/12*2,IF($J132&gt;=4,-$E132*$I132/12*3,0))))))</f>
        <v>0</v>
      </c>
      <c r="BV132" s="442">
        <f>IF($H132&lt;&gt;BY$5,0,IF(BY132&lt;0,IF(OR($J132=1,$J132=2,$J132=3,$J132=4),-$E132*$I132/12*3,IF($J132=5,-$E132*$I132/12*2,IF($J132=6,-$E132*$I132/12*1,0)))))+IF(BT$5&lt;&gt;$H132,0,IF(BT132&lt;0,IF($J132=4,-$E132*$I132/12*0,IF($J132=5,-$E132*$I132/12*1,IF($J132=6,-$E132*$I132/12*2,IF($J132&gt;=7,-$E132*$I132/12*3,0))))))</f>
        <v>0</v>
      </c>
      <c r="BW132" s="442">
        <f>IF($H132&lt;&gt;BY$5,0,IF(BY132&lt;0,IF(OR($J132=1,$J132=2,$J132=3,$J132=4,$J132=5,$J132=6,$J132=7),-$E132*$I132/12*3,IF($J132=8,-$E132*$I132/12*2,IF($J132=9,-$E132*$I132/12*1,0)))))+IF(BT$5&lt;&gt;$H132,0,IF(BT132&lt;0,IF($J132=7,-$E132*$I132/12*0,IF($J132=8,-$E132*$I132/12*1,IF($J132=9,-$E132*$I132/12*2,IF($J132&gt;=10,-$E132*$I132/12*3,0))))))</f>
        <v>0</v>
      </c>
      <c r="BX132" s="443">
        <f>IF($H132&lt;&gt;BY$5,0,IF(BY132&lt;0,IF(OR($J132=1,$J132=2,$J132=3,$J132=4,$J132=5,$J132=6,$J132=7,$J132=8,$J132=9,$J132=10),-$E132*$I132/12*3,IF($J132=11,-$E132*$I132/12*2,IF($J132=12,-$E132*$I132/12*1,0)))))+IF(BT$5&lt;&gt;$H132,0,IF(BT132&lt;0,IF($J132=10,-$E132*$I132/12*0,IF($J132=11,-$E132*$I132/12*1,IF($J132=12,-$E132*$I132/12*2,0)))))</f>
        <v>0</v>
      </c>
      <c r="BY132" s="440">
        <f>IF(AND(BT132&lt;&gt;0,BT$5=$H132),-$I132*$E132-BT132,IF(BY$5=$H132,-$I132*$E132*(12-$J132+1)/12,0))</f>
        <v>0</v>
      </c>
      <c r="BZ132" s="441">
        <f>IF($H132&lt;&gt;CD$5,0,IF(CD132&lt;0,IF($J132=1,-$E132*$I132/12*3,IF($J132=2,-$E132*$I132/12*2,IF($J132=3,-$E132*$I132/12*1,0)))))+IF(BY$5&lt;&gt;$H132,0,IF(BY132&lt;0,IF($J132=1,-$E132*$I132/12*0,IF($J132=2,-$E132*$I132/12*1,IF($J132=3,-$E132*$I132/12*2,IF($J132&gt;=4,-$E132*$I132/12*3,0))))))</f>
        <v>0</v>
      </c>
      <c r="CA132" s="442">
        <f>IF($H132&lt;&gt;CD$5,0,IF(CD132&lt;0,IF(OR($J132=1,$J132=2,$J132=3,$J132=4),-$E132*$I132/12*3,IF($J132=5,-$E132*$I132/12*2,IF($J132=6,-$E132*$I132/12*1,0)))))+IF(BY$5&lt;&gt;$H132,0,IF(BY132&lt;0,IF($J132=4,-$E132*$I132/12*0,IF($J132=5,-$E132*$I132/12*1,IF($J132=6,-$E132*$I132/12*2,IF($J132&gt;=7,-$E132*$I132/12*3,0))))))</f>
        <v>0</v>
      </c>
      <c r="CB132" s="442">
        <f>IF($H132&lt;&gt;CD$5,0,IF(CD132&lt;0,IF(OR($J132=1,$J132=2,$J132=3,$J132=4,$J132=5,$J132=6,$J132=7),-$E132*$I132/12*3,IF($J132=8,-$E132*$I132/12*2,IF($J132=9,-$E132*$I132/12*1,0)))))+IF(BY$5&lt;&gt;$H132,0,IF(BY132&lt;0,IF($J132=7,-$E132*$I132/12*0,IF($J132=8,-$E132*$I132/12*1,IF($J132=9,-$E132*$I132/12*2,IF($J132&gt;=10,-$E132*$I132/12*3,0))))))</f>
        <v>0</v>
      </c>
      <c r="CC132" s="443">
        <f>IF($H132&lt;&gt;CD$5,0,IF(CD132&lt;0,IF(OR($J132=1,$J132=2,$J132=3,$J132=4,$J132=5,$J132=6,$J132=7,$J132=8,$J132=9,$J132=10),-$E132*$I132/12*3,IF($J132=11,-$E132*$I132/12*2,IF($J132=12,-$E132*$I132/12*1,0)))))+IF(BY$5&lt;&gt;$H132,0,IF(BY132&lt;0,IF($J132=10,-$E132*$I132/12*0,IF($J132=11,-$E132*$I132/12*1,IF($J132=12,-$E132*$I132/12*2,0)))))</f>
        <v>0</v>
      </c>
      <c r="CD132" s="440">
        <f>IF(AND(BY132&lt;&gt;0,BY$5=$H132),-$I132*$E132-BY132,IF(CD$5=$H132,-$I132*$E132*(12-$J132+1)/12,0))</f>
        <v>0</v>
      </c>
      <c r="CE132" s="441">
        <f>IF($H132&lt;&gt;CI$5,0,IF(CI132&lt;0,IF($J132=1,-$E132*$I132/12*3,IF($J132=2,-$E132*$I132/12*2,IF($J132=3,-$E132*$I132/12*1,0)))))+IF(CD$5&lt;&gt;$H132,0,IF(CD132&lt;0,IF($J132=1,-$E132*$I132/12*0,IF($J132=2,-$E132*$I132/12*1,IF($J132=3,-$E132*$I132/12*2,IF($J132&gt;=4,-$E132*$I132/12*3,0))))))</f>
        <v>0</v>
      </c>
      <c r="CF132" s="442">
        <f>IF($H132&lt;&gt;CI$5,0,IF(CI132&lt;0,IF(OR($J132=1,$J132=2,$J132=3,$J132=4),-$E132*$I132/12*3,IF($J132=5,-$E132*$I132/12*2,IF($J132=6,-$E132*$I132/12*1,0)))))+IF(CD$5&lt;&gt;$H132,0,IF(CD132&lt;0,IF($J132=4,-$E132*$I132/12*0,IF($J132=5,-$E132*$I132/12*1,IF($J132=6,-$E132*$I132/12*2,IF($J132&gt;=7,-$E132*$I132/12*3,0))))))</f>
        <v>0</v>
      </c>
      <c r="CG132" s="442">
        <f>IF($H132&lt;&gt;CI$5,0,IF(CI132&lt;0,IF(OR($J132=1,$J132=2,$J132=3,$J132=4,$J132=5,$J132=6,$J132=7),-$E132*$I132/12*3,IF($J132=8,-$E132*$I132/12*2,IF($J132=9,-$E132*$I132/12*1,0)))))+IF(CD$5&lt;&gt;$H132,0,IF(CD132&lt;0,IF($J132=7,-$E132*$I132/12*0,IF($J132=8,-$E132*$I132/12*1,IF($J132=9,-$E132*$I132/12*2,IF($J132&gt;=10,-$E132*$I132/12*3,0))))))</f>
        <v>0</v>
      </c>
      <c r="CH132" s="443">
        <f>IF($H132&lt;&gt;CI$5,0,IF(CI132&lt;0,IF(OR($J132=1,$J132=2,$J132=3,$J132=4,$J132=5,$J132=6,$J132=7,$J132=8,$J132=9,$J132=10),-$E132*$I132/12*3,IF($J132=11,-$E132*$I132/12*2,IF($J132=12,-$E132*$I132/12*1,0)))))+IF(CD$5&lt;&gt;$H132,0,IF(CD132&lt;0,IF($J132=10,-$E132*$I132/12*0,IF($J132=11,-$E132*$I132/12*1,IF($J132=12,-$E132*$I132/12*2,0)))))</f>
        <v>0</v>
      </c>
      <c r="CI132" s="440">
        <f>IF(AND(CD132&lt;&gt;0,CD$5=$H132),-$I132*$E132-CD132,IF(CI$5=$H132,-$I132*$E132*(12-$J132+1)/12,0))</f>
        <v>0</v>
      </c>
      <c r="CJ132" s="441">
        <f>IF($H132&lt;&gt;CN$5,0,IF(CN132&lt;0,IF($J132=1,-$E132*$I132/12*3,IF($J132=2,-$E132*$I132/12*2,IF($J132=3,-$E132*$I132/12*1,0)))))+IF(CI$5&lt;&gt;$H132,0,IF(CI132&lt;0,IF($J132=1,-$E132*$I132/12*0,IF($J132=2,-$E132*$I132/12*1,IF($J132=3,-$E132*$I132/12*2,IF($J132&gt;=4,-$E132*$I132/12*3,0))))))</f>
        <v>0</v>
      </c>
      <c r="CK132" s="442">
        <f>IF($H132&lt;&gt;CN$5,0,IF(CN132&lt;0,IF(OR($J132=1,$J132=2,$J132=3,$J132=4),-$E132*$I132/12*3,IF($J132=5,-$E132*$I132/12*2,IF($J132=6,-$E132*$I132/12*1,0)))))+IF(CI$5&lt;&gt;$H132,0,IF(CI132&lt;0,IF($J132=4,-$E132*$I132/12*0,IF($J132=5,-$E132*$I132/12*1,IF($J132=6,-$E132*$I132/12*2,IF($J132&gt;=7,-$E132*$I132/12*3,0))))))</f>
        <v>0</v>
      </c>
      <c r="CL132" s="442">
        <f>IF($H132&lt;&gt;CN$5,0,IF(CN132&lt;0,IF(OR($J132=1,$J132=2,$J132=3,$J132=4,$J132=5,$J132=6,$J132=7),-$E132*$I132/12*3,IF($J132=8,-$E132*$I132/12*2,IF($J132=9,-$E132*$I132/12*1,0)))))+IF(CI$5&lt;&gt;$H132,0,IF(CI132&lt;0,IF($J132=7,-$E132*$I132/12*0,IF($J132=8,-$E132*$I132/12*1,IF($J132=9,-$E132*$I132/12*2,IF($J132&gt;=10,-$E132*$I132/12*3,0))))))</f>
        <v>0</v>
      </c>
      <c r="CM132" s="443">
        <f>IF($H132&lt;&gt;CN$5,0,IF(CN132&lt;0,IF(OR($J132=1,$J132=2,$J132=3,$J132=4,$J132=5,$J132=6,$J132=7,$J132=8,$J132=9,$J132=10),-$E132*$I132/12*3,IF($J132=11,-$E132*$I132/12*2,IF($J132=12,-$E132*$I132/12*1,0)))))+IF(CI$5&lt;&gt;$H132,0,IF(CI132&lt;0,IF($J132=10,-$E132*$I132/12*0,IF($J132=11,-$E132*$I132/12*1,IF($J132=12,-$E132*$I132/12*2,0)))))</f>
        <v>0</v>
      </c>
      <c r="CN132" s="440">
        <f>IF(AND(CI132&lt;&gt;0,CI$5=$H132),-$I132*$E132-CI132,IF(CN$5=$H132,-$I132*$E132*(12-$J132+1)/12,0))</f>
        <v>0</v>
      </c>
      <c r="CO132" s="441">
        <f>IF($H132&lt;&gt;CS$5,0,IF(CS132&lt;0,IF($J132=1,-$E132*$I132/12*3,IF($J132=2,-$E132*$I132/12*2,IF($J132=3,-$E132*$I132/12*1,0)))))+IF(CN$5&lt;&gt;$H132,0,IF(CN132&lt;0,IF($J132=1,-$E132*$I132/12*0,IF($J132=2,-$E132*$I132/12*1,IF($J132=3,-$E132*$I132/12*2,IF($J132&gt;=4,-$E132*$I132/12*3,0))))))</f>
        <v>0</v>
      </c>
      <c r="CP132" s="442">
        <f>IF($H132&lt;&gt;CS$5,0,IF(CS132&lt;0,IF(OR($J132=1,$J132=2,$J132=3,$J132=4),-$E132*$I132/12*3,IF($J132=5,-$E132*$I132/12*2,IF($J132=6,-$E132*$I132/12*1,0)))))+IF(CN$5&lt;&gt;$H132,0,IF(CN132&lt;0,IF($J132=4,-$E132*$I132/12*0,IF($J132=5,-$E132*$I132/12*1,IF($J132=6,-$E132*$I132/12*2,IF($J132&gt;=7,-$E132*$I132/12*3,0))))))</f>
        <v>0</v>
      </c>
      <c r="CQ132" s="442">
        <f>IF($H132&lt;&gt;CS$5,0,IF(CS132&lt;0,IF(OR($J132=1,$J132=2,$J132=3,$J132=4,$J132=5,$J132=6,$J132=7),-$E132*$I132/12*3,IF($J132=8,-$E132*$I132/12*2,IF($J132=9,-$E132*$I132/12*1,0)))))+IF(CN$5&lt;&gt;$H132,0,IF(CN132&lt;0,IF($J132=7,-$E132*$I132/12*0,IF($J132=8,-$E132*$I132/12*1,IF($J132=9,-$E132*$I132/12*2,IF($J132&gt;=10,-$E132*$I132/12*3,0))))))</f>
        <v>0</v>
      </c>
      <c r="CR132" s="443">
        <f>IF($H132&lt;&gt;CS$5,0,IF(CS132&lt;0,IF(OR($J132=1,$J132=2,$J132=3,$J132=4,$J132=5,$J132=6,$J132=7,$J132=8,$J132=9,$J132=10),-$E132*$I132/12*3,IF($J132=11,-$E132*$I132/12*2,IF($J132=12,-$E132*$I132/12*1,0)))))+IF(CN$5&lt;&gt;$H132,0,IF(CN132&lt;0,IF($J132=10,-$E132*$I132/12*0,IF($J132=11,-$E132*$I132/12*1,IF($J132=12,-$E132*$I132/12*2,0)))))</f>
        <v>0</v>
      </c>
      <c r="CS132" s="440">
        <f>IF(AND(CN132&lt;&gt;0,CN$5=$H132),-$I132*$E132-CN132,IF(CS$5=$H132,-$I132*$E132*(12-$J132+1)/12,0))</f>
        <v>0</v>
      </c>
      <c r="CT132" s="441">
        <f>IF($H132&lt;&gt;CX$5,0,IF(CX132&lt;0,IF($J132=1,-$E132*$I132/12*3,IF($J132=2,-$E132*$I132/12*2,IF($J132=3,-$E132*$I132/12*1,0)))))+IF(CS$5&lt;&gt;$H132,0,IF(CS132&lt;0,IF($J132=1,-$E132*$I132/12*0,IF($J132=2,-$E132*$I132/12*1,IF($J132=3,-$E132*$I132/12*2,IF($J132&gt;=4,-$E132*$I132/12*3,0))))))</f>
        <v>-1.4515424350000001E-3</v>
      </c>
      <c r="CU132" s="442">
        <f>IF($H132&lt;&gt;CX$5,0,IF(CX132&lt;0,IF(OR($J132=1,$J132=2,$J132=3,$J132=4),-$E132*$I132/12*3,IF($J132=5,-$E132*$I132/12*2,IF($J132=6,-$E132*$I132/12*1,0)))))+IF(CS$5&lt;&gt;$H132,0,IF(CS132&lt;0,IF($J132=4,-$E132*$I132/12*0,IF($J132=5,-$E132*$I132/12*1,IF($J132=6,-$E132*$I132/12*2,IF($J132&gt;=7,-$E132*$I132/12*3,0))))))</f>
        <v>-1.4515424350000001E-3</v>
      </c>
      <c r="CV132" s="442">
        <f>IF($H132&lt;&gt;CX$5,0,IF(CX132&lt;0,IF(OR($J132=1,$J132=2,$J132=3,$J132=4,$J132=5,$J132=6,$J132=7),-$E132*$I132/12*3,IF($J132=8,-$E132*$I132/12*2,IF($J132=9,-$E132*$I132/12*1,0)))))+IF(CS$5&lt;&gt;$H132,0,IF(CS132&lt;0,IF($J132=7,-$E132*$I132/12*0,IF($J132=8,-$E132*$I132/12*1,IF($J132=9,-$E132*$I132/12*2,IF($J132&gt;=10,-$E132*$I132/12*3,0))))))</f>
        <v>-1.4515424350000001E-3</v>
      </c>
      <c r="CW132" s="443">
        <f>IF($H132&lt;&gt;CX$5,0,IF(CX132&lt;0,IF(OR($J132=1,$J132=2,$J132=3,$J132=4,$J132=5,$J132=6,$J132=7,$J132=8,$J132=9,$J132=10),-$E132*$I132/12*3,IF($J132=11,-$E132*$I132/12*2,IF($J132=12,-$E132*$I132/12*1,0)))))+IF(CS$5&lt;&gt;$H132,0,IF(CS132&lt;0,IF($J132=10,-$E132*$I132/12*0,IF($J132=11,-$E132*$I132/12*1,IF($J132=12,-$E132*$I132/12*2,0)))))</f>
        <v>-1.4515424350000001E-3</v>
      </c>
      <c r="CX132" s="440">
        <f>IF(AND(CS132&lt;&gt;0,CS$5=$H132),-$I132*$E132-CS132,IF(CX$5=$H132,-$I132*$E132*(12-$J132+1)/12,0))</f>
        <v>-5.8061697400000013E-3</v>
      </c>
      <c r="CY132" s="441">
        <f>IF($H132&lt;&gt;DC$5,0,IF(DC132&lt;0,IF($J132=1,-$E132*$I132/12*3,IF($J132=2,-$E132*$I132/12*2,IF($J132=3,-$E132*$I132/12*1,0)))))+IF(CX$5&lt;&gt;$H132,0,IF(CX132&lt;0,IF($J132=1,-$E132*$I132/12*0,IF($J132=2,-$E132*$I132/12*1,IF($J132=3,-$E132*$I132/12*2,IF($J132&gt;=4,-$E132*$I132/12*3,0))))))</f>
        <v>0</v>
      </c>
      <c r="CZ132" s="442">
        <f>IF($H132&lt;&gt;DC$5,0,IF(DC132&lt;0,IF(OR($J132=1,$J132=2,$J132=3,$J132=4),-$E132*$I132/12*3,IF($J132=5,-$E132*$I132/12*2,IF($J132=6,-$E132*$I132/12*1,0)))))+IF(CX$5&lt;&gt;$H132,0,IF(CX132&lt;0,IF($J132=4,-$E132*$I132/12*0,IF($J132=5,-$E132*$I132/12*1,IF($J132=6,-$E132*$I132/12*2,IF($J132&gt;=7,-$E132*$I132/12*3,0))))))</f>
        <v>0</v>
      </c>
      <c r="DA132" s="442">
        <f>IF($H132&lt;&gt;DC$5,0,IF(DC132&lt;0,IF(OR($J132=1,$J132=2,$J132=3,$J132=4,$J132=5,$J132=6,$J132=7),-$E132*$I132/12*3,IF($J132=8,-$E132*$I132/12*2,IF($J132=9,-$E132*$I132/12*1,0)))))+IF(CX$5&lt;&gt;$H132,0,IF(CX132&lt;0,IF($J132=7,-$E132*$I132/12*0,IF($J132=8,-$E132*$I132/12*1,IF($J132=9,-$E132*$I132/12*2,IF($J132&gt;=10,-$E132*$I132/12*3,0))))))</f>
        <v>0</v>
      </c>
      <c r="DB132" s="443">
        <f>IF($H132&lt;&gt;DC$5,0,IF(DC132&lt;0,IF(OR($J132=1,$J132=2,$J132=3,$J132=4,$J132=5,$J132=6,$J132=7,$J132=8,$J132=9,$J132=10),-$E132*$I132/12*3,IF($J132=11,-$E132*$I132/12*2,IF($J132=12,-$E132*$I132/12*1,0)))))+IF(CX$5&lt;&gt;$H132,0,IF(CX132&lt;0,IF($J132=10,-$E132*$I132/12*0,IF($J132=11,-$E132*$I132/12*1,IF($J132=12,-$E132*$I132/12*2,0)))))</f>
        <v>0</v>
      </c>
      <c r="DC132" s="440">
        <f>IF(AND(CX132&lt;&gt;0,CX$5=$H132),-$I132*$E132-CX132,IF(DC$5=$H132,-$I132*$E132*(12-$J132+1)/12,0))</f>
        <v>8.6736173798840355E-19</v>
      </c>
      <c r="DD132" s="441">
        <f>IF($H132&lt;&gt;DH$5,0,IF(DH132&lt;0,IF($J132=1,-$E132*$I132/12*3,IF($J132=2,-$E132*$I132/12*2,IF($J132=3,-$E132*$I132/12*1,0)))))+IF(DC$5&lt;&gt;$H132,0,IF(DC132&lt;0,IF($J132=1,-$E132*$I132/12*0,IF($J132=2,-$E132*$I132/12*1,IF($J132=3,-$E132*$I132/12*2,IF($J132&gt;=4,-$E132*$I132/12*3,0))))))</f>
        <v>0</v>
      </c>
      <c r="DE132" s="442">
        <f>IF($H132&lt;&gt;DH$5,0,IF(DH132&lt;0,IF(OR($J132=1,$J132=2,$J132=3,$J132=4),-$E132*$I132/12*3,IF($J132=5,-$E132*$I132/12*2,IF($J132=6,-$E132*$I132/12*1,0)))))+IF(DC$5&lt;&gt;$H132,0,IF(DC132&lt;0,IF($J132=4,-$E132*$I132/12*0,IF($J132=5,-$E132*$I132/12*1,IF($J132=6,-$E132*$I132/12*2,IF($J132&gt;=7,-$E132*$I132/12*3,0))))))</f>
        <v>0</v>
      </c>
      <c r="DF132" s="442">
        <f>IF($H132&lt;&gt;DH$5,0,IF(DH132&lt;0,IF(OR($J132=1,$J132=2,$J132=3,$J132=4,$J132=5,$J132=6,$J132=7),-$E132*$I132/12*3,IF($J132=8,-$E132*$I132/12*2,IF($J132=9,-$E132*$I132/12*1,0)))))+IF(DC$5&lt;&gt;$H132,0,IF(DC132&lt;0,IF($J132=7,-$E132*$I132/12*0,IF($J132=8,-$E132*$I132/12*1,IF($J132=9,-$E132*$I132/12*2,IF($J132&gt;=10,-$E132*$I132/12*3,0))))))</f>
        <v>0</v>
      </c>
      <c r="DG132" s="443">
        <f>IF($H132&lt;&gt;DH$5,0,IF(DH132&lt;0,IF(OR($J132=1,$J132=2,$J132=3,$J132=4,$J132=5,$J132=6,$J132=7,$J132=8,$J132=9,$J132=10),-$E132*$I132/12*3,IF($J132=11,-$E132*$I132/12*2,IF($J132=12,-$E132*$I132/12*1,0)))))+IF(DC$5&lt;&gt;$H132,0,IF(DC132&lt;0,IF($J132=10,-$E132*$I132/12*0,IF($J132=11,-$E132*$I132/12*1,IF($J132=12,-$E132*$I132/12*2,0)))))</f>
        <v>0</v>
      </c>
      <c r="DH132" s="440">
        <f>IF(AND(DC132&lt;&gt;0,DC$5=$H132),-$I132*$E132-DC132,IF(DH$5=$H132,-$I132*$E132*(12-$J132+1)/12,0))</f>
        <v>0</v>
      </c>
      <c r="DI132" s="441">
        <f>IF($H132&lt;&gt;DM$5,0,IF(DM132&lt;0,IF($J132=1,-$E132*$I132/12*3,IF($J132=2,-$E132*$I132/12*2,IF($J132=3,-$E132*$I132/12*1,0)))))+IF(DH$5&lt;&gt;$H132,0,IF(DH132&lt;0,IF($J132=1,-$E132*$I132/12*0,IF($J132=2,-$E132*$I132/12*1,IF($J132=3,-$E132*$I132/12*2,IF($J132&gt;=4,-$E132*$I132/12*3,0))))))</f>
        <v>0</v>
      </c>
      <c r="DJ132" s="442">
        <f>IF($H132&lt;&gt;DM$5,0,IF(DM132&lt;0,IF(OR($J132=1,$J132=2,$J132=3,$J132=4),-$E132*$I132/12*3,IF($J132=5,-$E132*$I132/12*2,IF($J132=6,-$E132*$I132/12*1,0)))))+IF(DH$5&lt;&gt;$H132,0,IF(DH132&lt;0,IF($J132=4,-$E132*$I132/12*0,IF($J132=5,-$E132*$I132/12*1,IF($J132=6,-$E132*$I132/12*2,IF($J132&gt;=7,-$E132*$I132/12*3,0))))))</f>
        <v>0</v>
      </c>
      <c r="DK132" s="442">
        <f>IF($H132&lt;&gt;DM$5,0,IF(DM132&lt;0,IF(OR($J132=1,$J132=2,$J132=3,$J132=4,$J132=5,$J132=6,$J132=7),-$E132*$I132/12*3,IF($J132=8,-$E132*$I132/12*2,IF($J132=9,-$E132*$I132/12*1,0)))))+IF(DH$5&lt;&gt;$H132,0,IF(DH132&lt;0,IF($J132=7,-$E132*$I132/12*0,IF($J132=8,-$E132*$I132/12*1,IF($J132=9,-$E132*$I132/12*2,IF($J132&gt;=10,-$E132*$I132/12*3,0))))))</f>
        <v>0</v>
      </c>
      <c r="DL132" s="443">
        <f>IF($H132&lt;&gt;DM$5,0,IF(DM132&lt;0,IF(OR($J132=1,$J132=2,$J132=3,$J132=4,$J132=5,$J132=6,$J132=7,$J132=8,$J132=9,$J132=10),-$E132*$I132/12*3,IF($J132=11,-$E132*$I132/12*2,IF($J132=12,-$E132*$I132/12*1,0)))))+IF(DH$5&lt;&gt;$H132,0,IF(DH132&lt;0,IF($J132=10,-$E132*$I132/12*0,IF($J132=11,-$E132*$I132/12*1,IF($J132=12,-$E132*$I132/12*2,0)))))</f>
        <v>0</v>
      </c>
      <c r="DM132" s="440">
        <f>IF(AND(DH132&lt;&gt;0,DH$5=$H132),-$I132*$E132-DH132,IF(DM$5=$H132,-$I132*$E132*(12-$J132+1)/12,0))</f>
        <v>0</v>
      </c>
      <c r="DN132" s="441">
        <f>IF($H132&lt;&gt;DR$5,0,IF(DR132&lt;0,IF($J132=1,-$E132*$I132/12*3,IF($J132=2,-$E132*$I132/12*2,IF($J132=3,-$E132*$I132/12*1,0)))))+IF(DM$5&lt;&gt;$H132,0,IF(DM132&lt;0,IF($J132=1,-$E132*$I132/12*0,IF($J132=2,-$E132*$I132/12*1,IF($J132=3,-$E132*$I132/12*2,IF($J132&gt;=4,-$E132*$I132/12*3,0))))))</f>
        <v>0</v>
      </c>
      <c r="DO132" s="442">
        <f>IF($H132&lt;&gt;DR$5,0,IF(DR132&lt;0,IF(OR($J132=1,$J132=2,$J132=3,$J132=4),-$E132*$I132/12*3,IF($J132=5,-$E132*$I132/12*2,IF($J132=6,-$E132*$I132/12*1,0)))))+IF(DM$5&lt;&gt;$H132,0,IF(DM132&lt;0,IF($J132=4,-$E132*$I132/12*0,IF($J132=5,-$E132*$I132/12*1,IF($J132=6,-$E132*$I132/12*2,IF($J132&gt;=7,-$E132*$I132/12*3,0))))))</f>
        <v>0</v>
      </c>
      <c r="DP132" s="442">
        <f>IF($H132&lt;&gt;DR$5,0,IF(DR132&lt;0,IF(OR($J132=1,$J132=2,$J132=3,$J132=4,$J132=5,$J132=6,$J132=7),-$E132*$I132/12*3,IF($J132=8,-$E132*$I132/12*2,IF($J132=9,-$E132*$I132/12*1,0)))))+IF(DM$5&lt;&gt;$H132,0,IF(DM132&lt;0,IF($J132=7,-$E132*$I132/12*0,IF($J132=8,-$E132*$I132/12*1,IF($J132=9,-$E132*$I132/12*2,IF($J132&gt;=10,-$E132*$I132/12*3,0))))))</f>
        <v>0</v>
      </c>
      <c r="DQ132" s="443">
        <f>IF($H132&lt;&gt;DR$5,0,IF(DR132&lt;0,IF(OR($J132=1,$J132=2,$J132=3,$J132=4,$J132=5,$J132=6,$J132=7,$J132=8,$J132=9,$J132=10),-$E132*$I132/12*3,IF($J132=11,-$E132*$I132/12*2,IF($J132=12,-$E132*$I132/12*1,0)))))+IF(DM$5&lt;&gt;$H132,0,IF(DM132&lt;0,IF($J132=10,-$E132*$I132/12*0,IF($J132=11,-$E132*$I132/12*1,IF($J132=12,-$E132*$I132/12*2,0)))))</f>
        <v>0</v>
      </c>
      <c r="DR132" s="440">
        <f>IF(AND(DM132&lt;&gt;0,DM$5=$H132),-$I132*$E132-DM132,IF(DR$5=$H132,-$I132*$E132*(12-$J132+1)/12,0))</f>
        <v>0</v>
      </c>
    </row>
    <row r="133" spans="1:122" ht="12.75" customHeight="1">
      <c r="C133" s="1590" t="s">
        <v>992</v>
      </c>
      <c r="D133" s="395"/>
      <c r="E133" s="188">
        <f>IF(F133=0,G133,F133)</f>
        <v>7.6395929999999996</v>
      </c>
      <c r="F133" s="1945">
        <v>7.6395929999999996</v>
      </c>
      <c r="G133" s="1945">
        <v>10.202</v>
      </c>
      <c r="H133" s="1366">
        <v>2020</v>
      </c>
      <c r="I133" s="1367">
        <v>1.7260000000000001E-2</v>
      </c>
      <c r="J133" s="1357">
        <v>1</v>
      </c>
      <c r="K133" s="549"/>
      <c r="L133" s="441">
        <f t="shared" si="1688"/>
        <v>0</v>
      </c>
      <c r="M133" s="442">
        <f t="shared" si="1689"/>
        <v>0</v>
      </c>
      <c r="N133" s="442">
        <f t="shared" si="1690"/>
        <v>0</v>
      </c>
      <c r="O133" s="443">
        <f t="shared" si="1691"/>
        <v>0</v>
      </c>
      <c r="P133" s="440">
        <f t="shared" si="1692"/>
        <v>0</v>
      </c>
      <c r="Q133" s="441">
        <f t="shared" si="1693"/>
        <v>0</v>
      </c>
      <c r="R133" s="442">
        <f t="shared" si="1694"/>
        <v>0</v>
      </c>
      <c r="S133" s="442">
        <f t="shared" si="1695"/>
        <v>0</v>
      </c>
      <c r="T133" s="443">
        <f t="shared" si="1696"/>
        <v>0</v>
      </c>
      <c r="U133" s="440">
        <f t="shared" si="1697"/>
        <v>0</v>
      </c>
      <c r="V133" s="441">
        <f t="shared" si="1698"/>
        <v>0</v>
      </c>
      <c r="W133" s="442">
        <f t="shared" si="1699"/>
        <v>0</v>
      </c>
      <c r="X133" s="442">
        <f t="shared" si="1700"/>
        <v>0</v>
      </c>
      <c r="Y133" s="443">
        <f t="shared" si="1701"/>
        <v>0</v>
      </c>
      <c r="Z133" s="440">
        <f t="shared" si="1702"/>
        <v>0</v>
      </c>
      <c r="AA133" s="441">
        <f t="shared" si="1703"/>
        <v>0</v>
      </c>
      <c r="AB133" s="442">
        <f t="shared" si="1704"/>
        <v>0</v>
      </c>
      <c r="AC133" s="442">
        <f t="shared" si="1705"/>
        <v>0</v>
      </c>
      <c r="AD133" s="443">
        <f t="shared" si="1706"/>
        <v>0</v>
      </c>
      <c r="AE133" s="440">
        <f t="shared" si="1707"/>
        <v>0</v>
      </c>
      <c r="AF133" s="441">
        <f t="shared" si="1708"/>
        <v>0</v>
      </c>
      <c r="AG133" s="442">
        <f t="shared" si="1709"/>
        <v>0</v>
      </c>
      <c r="AH133" s="442">
        <f t="shared" si="1710"/>
        <v>0</v>
      </c>
      <c r="AI133" s="443">
        <f t="shared" si="1711"/>
        <v>0</v>
      </c>
      <c r="AJ133" s="440">
        <f t="shared" si="1712"/>
        <v>0</v>
      </c>
      <c r="AK133" s="441">
        <f t="shared" si="1713"/>
        <v>0</v>
      </c>
      <c r="AL133" s="442">
        <f t="shared" si="1714"/>
        <v>0</v>
      </c>
      <c r="AM133" s="442">
        <f t="shared" si="1715"/>
        <v>0</v>
      </c>
      <c r="AN133" s="443">
        <f t="shared" si="1716"/>
        <v>0</v>
      </c>
      <c r="AO133" s="440">
        <f t="shared" si="1717"/>
        <v>0</v>
      </c>
      <c r="AP133" s="441">
        <f t="shared" si="1718"/>
        <v>0</v>
      </c>
      <c r="AQ133" s="442">
        <f t="shared" si="1719"/>
        <v>0</v>
      </c>
      <c r="AR133" s="442">
        <f t="shared" si="1720"/>
        <v>0</v>
      </c>
      <c r="AS133" s="443">
        <f t="shared" si="1721"/>
        <v>0</v>
      </c>
      <c r="AT133" s="440">
        <f t="shared" si="1722"/>
        <v>0</v>
      </c>
      <c r="AU133" s="441">
        <f t="shared" si="1723"/>
        <v>0</v>
      </c>
      <c r="AV133" s="442">
        <f t="shared" si="1724"/>
        <v>0</v>
      </c>
      <c r="AW133" s="442">
        <f t="shared" si="1725"/>
        <v>0</v>
      </c>
      <c r="AX133" s="443">
        <f t="shared" si="1726"/>
        <v>0</v>
      </c>
      <c r="AY133" s="440">
        <f t="shared" si="1727"/>
        <v>0</v>
      </c>
      <c r="AZ133" s="441">
        <f t="shared" si="1728"/>
        <v>0</v>
      </c>
      <c r="BA133" s="442">
        <f t="shared" si="1729"/>
        <v>0</v>
      </c>
      <c r="BB133" s="442">
        <f t="shared" si="1730"/>
        <v>0</v>
      </c>
      <c r="BC133" s="443">
        <f t="shared" si="1731"/>
        <v>0</v>
      </c>
      <c r="BD133" s="440">
        <f t="shared" si="1732"/>
        <v>0</v>
      </c>
      <c r="BE133" s="441">
        <f t="shared" si="1733"/>
        <v>-7.6395929999999996</v>
      </c>
      <c r="BF133" s="442">
        <f t="shared" si="1734"/>
        <v>0</v>
      </c>
      <c r="BG133" s="442">
        <f t="shared" si="1735"/>
        <v>0</v>
      </c>
      <c r="BH133" s="443">
        <f t="shared" si="1736"/>
        <v>0</v>
      </c>
      <c r="BI133" s="440">
        <f t="shared" si="1737"/>
        <v>-7.6395929999999996</v>
      </c>
      <c r="BJ133" s="441">
        <f t="shared" si="1738"/>
        <v>0</v>
      </c>
      <c r="BK133" s="442">
        <f t="shared" si="1739"/>
        <v>0</v>
      </c>
      <c r="BL133" s="442">
        <f t="shared" si="1740"/>
        <v>0</v>
      </c>
      <c r="BM133" s="443">
        <f t="shared" si="1741"/>
        <v>0</v>
      </c>
      <c r="BN133" s="440">
        <f t="shared" si="1742"/>
        <v>0</v>
      </c>
      <c r="BO133" s="470"/>
      <c r="BP133" s="441">
        <f>IF($H133&lt;&gt;BT$5,0,IF(BT133&lt;0,IF($J133=1,-$E133*$I133/12*3,IF($J133=2,-$E133*$I133/12*2,IF($J133=3,-$E133*$I133/12*1,0)))))+IF(BO$5&lt;&gt;$H133,0,IF(BO133&lt;0,IF($J133=1,-$E133*$I133/12*0,IF($J133=2,-$E133*$I133/12*1,IF($J133=3,-$E133*$I133/12*2,IF($J133&gt;=4,-$E133*$I133/12*3,0))))))</f>
        <v>0</v>
      </c>
      <c r="BQ133" s="442">
        <f>IF($H133&lt;&gt;BT$5,0,IF(BT133&lt;0,IF(OR($J133=1,$J133=2,$J133=3,$J133=4),-$E133*$I133/12*3,IF($J133=5,-$E133*$I133/12*2,IF($J133=6,-$E133*$I133/12*1,0)))))+IF(BO$5&lt;&gt;$H133,0,IF(BO133&lt;0,IF($J133=4,-$E133*$I133/12*0,IF($J133=5,-$E133*$I133/12*1,IF($J133=6,-$E133*$I133/12*2,IF($J133&gt;=7,-$E133*$I133/12*3,0))))))</f>
        <v>0</v>
      </c>
      <c r="BR133" s="442">
        <f>IF($H133&lt;&gt;BT$5,0,IF(BT133&lt;0,IF(OR($J133=1,$J133=2,$J133=3,$J133=4,$J133=5,$J133=6,$J133=7),-$E133*$I133/12*3,IF($J133=8,-$E133*$I133/12*2,IF($J133=9,-$E133*$I133/12*1,0)))))+IF(BO$5&lt;&gt;$H133,0,IF(BO133&lt;0,IF($J133=7,-$E133*$I133/12*0,IF($J133=8,-$E133*$I133/12*1,IF($J133=9,-$E133*$I133/12*2,IF($J133&gt;=10,-$E133*$I133/12*3,0))))))</f>
        <v>0</v>
      </c>
      <c r="BS133" s="443">
        <f>IF($H133&lt;&gt;BT$5,0,IF(BT133&lt;0,IF(OR($J133=1,$J133=2,$J133=3,$J133=4,$J133=5,$J133=6,$J133=7,$J133=8,$J133=9,$J133=10),-$E133*$I133/12*3,IF($J133=11,-$E133*$I133/12*2,IF($J133=12,-$E133*$I133/12*1,0)))))+IF(BO$5&lt;&gt;$H133,0,IF(BO133&lt;0,IF($J133=10,-$E133*$I133/12*0,IF($J133=11,-$E133*$I133/12*1,IF($J133=12,-$E133*$I133/12*2,0)))))</f>
        <v>0</v>
      </c>
      <c r="BT133" s="440">
        <f>IF(AND(BO133&lt;&gt;0,BO$5=$H133),-$I133*$E133-BO133,IF(BT$5=$H133,-$I133*$E133*(12-$J133+1)/12,0))</f>
        <v>0</v>
      </c>
      <c r="BU133" s="441">
        <f>IF($H133&lt;&gt;BY$5,0,IF(BY133&lt;0,IF($J133=1,-$E133*$I133/12*3,IF($J133=2,-$E133*$I133/12*2,IF($J133=3,-$E133*$I133/12*1,0)))))+IF(BT$5&lt;&gt;$H133,0,IF(BT133&lt;0,IF($J133=1,-$E133*$I133/12*0,IF($J133=2,-$E133*$I133/12*1,IF($J133=3,-$E133*$I133/12*2,IF($J133&gt;=4,-$E133*$I133/12*3,0))))))</f>
        <v>0</v>
      </c>
      <c r="BV133" s="442">
        <f>IF($H133&lt;&gt;BY$5,0,IF(BY133&lt;0,IF(OR($J133=1,$J133=2,$J133=3,$J133=4),-$E133*$I133/12*3,IF($J133=5,-$E133*$I133/12*2,IF($J133=6,-$E133*$I133/12*1,0)))))+IF(BT$5&lt;&gt;$H133,0,IF(BT133&lt;0,IF($J133=4,-$E133*$I133/12*0,IF($J133=5,-$E133*$I133/12*1,IF($J133=6,-$E133*$I133/12*2,IF($J133&gt;=7,-$E133*$I133/12*3,0))))))</f>
        <v>0</v>
      </c>
      <c r="BW133" s="442">
        <f>IF($H133&lt;&gt;BY$5,0,IF(BY133&lt;0,IF(OR($J133=1,$J133=2,$J133=3,$J133=4,$J133=5,$J133=6,$J133=7),-$E133*$I133/12*3,IF($J133=8,-$E133*$I133/12*2,IF($J133=9,-$E133*$I133/12*1,0)))))+IF(BT$5&lt;&gt;$H133,0,IF(BT133&lt;0,IF($J133=7,-$E133*$I133/12*0,IF($J133=8,-$E133*$I133/12*1,IF($J133=9,-$E133*$I133/12*2,IF($J133&gt;=10,-$E133*$I133/12*3,0))))))</f>
        <v>0</v>
      </c>
      <c r="BX133" s="443">
        <f>IF($H133&lt;&gt;BY$5,0,IF(BY133&lt;0,IF(OR($J133=1,$J133=2,$J133=3,$J133=4,$J133=5,$J133=6,$J133=7,$J133=8,$J133=9,$J133=10),-$E133*$I133/12*3,IF($J133=11,-$E133*$I133/12*2,IF($J133=12,-$E133*$I133/12*1,0)))))+IF(BT$5&lt;&gt;$H133,0,IF(BT133&lt;0,IF($J133=10,-$E133*$I133/12*0,IF($J133=11,-$E133*$I133/12*1,IF($J133=12,-$E133*$I133/12*2,0)))))</f>
        <v>0</v>
      </c>
      <c r="BY133" s="440">
        <f>IF(AND(BT133&lt;&gt;0,BT$5=$H133),-$I133*$E133-BT133,IF(BY$5=$H133,-$I133*$E133*(12-$J133+1)/12,0))</f>
        <v>0</v>
      </c>
      <c r="BZ133" s="441">
        <f>IF($H133&lt;&gt;CD$5,0,IF(CD133&lt;0,IF($J133=1,-$E133*$I133/12*3,IF($J133=2,-$E133*$I133/12*2,IF($J133=3,-$E133*$I133/12*1,0)))))+IF(BY$5&lt;&gt;$H133,0,IF(BY133&lt;0,IF($J133=1,-$E133*$I133/12*0,IF($J133=2,-$E133*$I133/12*1,IF($J133=3,-$E133*$I133/12*2,IF($J133&gt;=4,-$E133*$I133/12*3,0))))))</f>
        <v>0</v>
      </c>
      <c r="CA133" s="442">
        <f>IF($H133&lt;&gt;CD$5,0,IF(CD133&lt;0,IF(OR($J133=1,$J133=2,$J133=3,$J133=4),-$E133*$I133/12*3,IF($J133=5,-$E133*$I133/12*2,IF($J133=6,-$E133*$I133/12*1,0)))))+IF(BY$5&lt;&gt;$H133,0,IF(BY133&lt;0,IF($J133=4,-$E133*$I133/12*0,IF($J133=5,-$E133*$I133/12*1,IF($J133=6,-$E133*$I133/12*2,IF($J133&gt;=7,-$E133*$I133/12*3,0))))))</f>
        <v>0</v>
      </c>
      <c r="CB133" s="442">
        <f>IF($H133&lt;&gt;CD$5,0,IF(CD133&lt;0,IF(OR($J133=1,$J133=2,$J133=3,$J133=4,$J133=5,$J133=6,$J133=7),-$E133*$I133/12*3,IF($J133=8,-$E133*$I133/12*2,IF($J133=9,-$E133*$I133/12*1,0)))))+IF(BY$5&lt;&gt;$H133,0,IF(BY133&lt;0,IF($J133=7,-$E133*$I133/12*0,IF($J133=8,-$E133*$I133/12*1,IF($J133=9,-$E133*$I133/12*2,IF($J133&gt;=10,-$E133*$I133/12*3,0))))))</f>
        <v>0</v>
      </c>
      <c r="CC133" s="443">
        <f>IF($H133&lt;&gt;CD$5,0,IF(CD133&lt;0,IF(OR($J133=1,$J133=2,$J133=3,$J133=4,$J133=5,$J133=6,$J133=7,$J133=8,$J133=9,$J133=10),-$E133*$I133/12*3,IF($J133=11,-$E133*$I133/12*2,IF($J133=12,-$E133*$I133/12*1,0)))))+IF(BY$5&lt;&gt;$H133,0,IF(BY133&lt;0,IF($J133=10,-$E133*$I133/12*0,IF($J133=11,-$E133*$I133/12*1,IF($J133=12,-$E133*$I133/12*2,0)))))</f>
        <v>0</v>
      </c>
      <c r="CD133" s="440">
        <f>IF(AND(BY133&lt;&gt;0,BY$5=$H133),-$I133*$E133-BY133,IF(CD$5=$H133,-$I133*$E133*(12-$J133+1)/12,0))</f>
        <v>0</v>
      </c>
      <c r="CE133" s="441">
        <f>IF($H133&lt;&gt;CI$5,0,IF(CI133&lt;0,IF($J133=1,-$E133*$I133/12*3,IF($J133=2,-$E133*$I133/12*2,IF($J133=3,-$E133*$I133/12*1,0)))))+IF(CD$5&lt;&gt;$H133,0,IF(CD133&lt;0,IF($J133=1,-$E133*$I133/12*0,IF($J133=2,-$E133*$I133/12*1,IF($J133=3,-$E133*$I133/12*2,IF($J133&gt;=4,-$E133*$I133/12*3,0))))))</f>
        <v>0</v>
      </c>
      <c r="CF133" s="442">
        <f>IF($H133&lt;&gt;CI$5,0,IF(CI133&lt;0,IF(OR($J133=1,$J133=2,$J133=3,$J133=4),-$E133*$I133/12*3,IF($J133=5,-$E133*$I133/12*2,IF($J133=6,-$E133*$I133/12*1,0)))))+IF(CD$5&lt;&gt;$H133,0,IF(CD133&lt;0,IF($J133=4,-$E133*$I133/12*0,IF($J133=5,-$E133*$I133/12*1,IF($J133=6,-$E133*$I133/12*2,IF($J133&gt;=7,-$E133*$I133/12*3,0))))))</f>
        <v>0</v>
      </c>
      <c r="CG133" s="442">
        <f>IF($H133&lt;&gt;CI$5,0,IF(CI133&lt;0,IF(OR($J133=1,$J133=2,$J133=3,$J133=4,$J133=5,$J133=6,$J133=7),-$E133*$I133/12*3,IF($J133=8,-$E133*$I133/12*2,IF($J133=9,-$E133*$I133/12*1,0)))))+IF(CD$5&lt;&gt;$H133,0,IF(CD133&lt;0,IF($J133=7,-$E133*$I133/12*0,IF($J133=8,-$E133*$I133/12*1,IF($J133=9,-$E133*$I133/12*2,IF($J133&gt;=10,-$E133*$I133/12*3,0))))))</f>
        <v>0</v>
      </c>
      <c r="CH133" s="443">
        <f>IF($H133&lt;&gt;CI$5,0,IF(CI133&lt;0,IF(OR($J133=1,$J133=2,$J133=3,$J133=4,$J133=5,$J133=6,$J133=7,$J133=8,$J133=9,$J133=10),-$E133*$I133/12*3,IF($J133=11,-$E133*$I133/12*2,IF($J133=12,-$E133*$I133/12*1,0)))))+IF(CD$5&lt;&gt;$H133,0,IF(CD133&lt;0,IF($J133=10,-$E133*$I133/12*0,IF($J133=11,-$E133*$I133/12*1,IF($J133=12,-$E133*$I133/12*2,0)))))</f>
        <v>0</v>
      </c>
      <c r="CI133" s="440">
        <f>IF(AND(CD133&lt;&gt;0,CD$5=$H133),-$I133*$E133-CD133,IF(CI$5=$H133,-$I133*$E133*(12-$J133+1)/12,0))</f>
        <v>0</v>
      </c>
      <c r="CJ133" s="441">
        <f>IF($H133&lt;&gt;CN$5,0,IF(CN133&lt;0,IF($J133=1,-$E133*$I133/12*3,IF($J133=2,-$E133*$I133/12*2,IF($J133=3,-$E133*$I133/12*1,0)))))+IF(CI$5&lt;&gt;$H133,0,IF(CI133&lt;0,IF($J133=1,-$E133*$I133/12*0,IF($J133=2,-$E133*$I133/12*1,IF($J133=3,-$E133*$I133/12*2,IF($J133&gt;=4,-$E133*$I133/12*3,0))))))</f>
        <v>0</v>
      </c>
      <c r="CK133" s="442">
        <f>IF($H133&lt;&gt;CN$5,0,IF(CN133&lt;0,IF(OR($J133=1,$J133=2,$J133=3,$J133=4),-$E133*$I133/12*3,IF($J133=5,-$E133*$I133/12*2,IF($J133=6,-$E133*$I133/12*1,0)))))+IF(CI$5&lt;&gt;$H133,0,IF(CI133&lt;0,IF($J133=4,-$E133*$I133/12*0,IF($J133=5,-$E133*$I133/12*1,IF($J133=6,-$E133*$I133/12*2,IF($J133&gt;=7,-$E133*$I133/12*3,0))))))</f>
        <v>0</v>
      </c>
      <c r="CL133" s="442">
        <f>IF($H133&lt;&gt;CN$5,0,IF(CN133&lt;0,IF(OR($J133=1,$J133=2,$J133=3,$J133=4,$J133=5,$J133=6,$J133=7),-$E133*$I133/12*3,IF($J133=8,-$E133*$I133/12*2,IF($J133=9,-$E133*$I133/12*1,0)))))+IF(CI$5&lt;&gt;$H133,0,IF(CI133&lt;0,IF($J133=7,-$E133*$I133/12*0,IF($J133=8,-$E133*$I133/12*1,IF($J133=9,-$E133*$I133/12*2,IF($J133&gt;=10,-$E133*$I133/12*3,0))))))</f>
        <v>0</v>
      </c>
      <c r="CM133" s="443">
        <f>IF($H133&lt;&gt;CN$5,0,IF(CN133&lt;0,IF(OR($J133=1,$J133=2,$J133=3,$J133=4,$J133=5,$J133=6,$J133=7,$J133=8,$J133=9,$J133=10),-$E133*$I133/12*3,IF($J133=11,-$E133*$I133/12*2,IF($J133=12,-$E133*$I133/12*1,0)))))+IF(CI$5&lt;&gt;$H133,0,IF(CI133&lt;0,IF($J133=10,-$E133*$I133/12*0,IF($J133=11,-$E133*$I133/12*1,IF($J133=12,-$E133*$I133/12*2,0)))))</f>
        <v>0</v>
      </c>
      <c r="CN133" s="440">
        <f>IF(AND(CI133&lt;&gt;0,CI$5=$H133),-$I133*$E133-CI133,IF(CN$5=$H133,-$I133*$E133*(12-$J133+1)/12,0))</f>
        <v>0</v>
      </c>
      <c r="CO133" s="441">
        <f>IF($H133&lt;&gt;CS$5,0,IF(CS133&lt;0,IF($J133=1,-$E133*$I133/12*3,IF($J133=2,-$E133*$I133/12*2,IF($J133=3,-$E133*$I133/12*1,0)))))+IF(CN$5&lt;&gt;$H133,0,IF(CN133&lt;0,IF($J133=1,-$E133*$I133/12*0,IF($J133=2,-$E133*$I133/12*1,IF($J133=3,-$E133*$I133/12*2,IF($J133&gt;=4,-$E133*$I133/12*3,0))))))</f>
        <v>0</v>
      </c>
      <c r="CP133" s="442">
        <f>IF($H133&lt;&gt;CS$5,0,IF(CS133&lt;0,IF(OR($J133=1,$J133=2,$J133=3,$J133=4),-$E133*$I133/12*3,IF($J133=5,-$E133*$I133/12*2,IF($J133=6,-$E133*$I133/12*1,0)))))+IF(CN$5&lt;&gt;$H133,0,IF(CN133&lt;0,IF($J133=4,-$E133*$I133/12*0,IF($J133=5,-$E133*$I133/12*1,IF($J133=6,-$E133*$I133/12*2,IF($J133&gt;=7,-$E133*$I133/12*3,0))))))</f>
        <v>0</v>
      </c>
      <c r="CQ133" s="442">
        <f>IF($H133&lt;&gt;CS$5,0,IF(CS133&lt;0,IF(OR($J133=1,$J133=2,$J133=3,$J133=4,$J133=5,$J133=6,$J133=7),-$E133*$I133/12*3,IF($J133=8,-$E133*$I133/12*2,IF($J133=9,-$E133*$I133/12*1,0)))))+IF(CN$5&lt;&gt;$H133,0,IF(CN133&lt;0,IF($J133=7,-$E133*$I133/12*0,IF($J133=8,-$E133*$I133/12*1,IF($J133=9,-$E133*$I133/12*2,IF($J133&gt;=10,-$E133*$I133/12*3,0))))))</f>
        <v>0</v>
      </c>
      <c r="CR133" s="443">
        <f>IF($H133&lt;&gt;CS$5,0,IF(CS133&lt;0,IF(OR($J133=1,$J133=2,$J133=3,$J133=4,$J133=5,$J133=6,$J133=7,$J133=8,$J133=9,$J133=10),-$E133*$I133/12*3,IF($J133=11,-$E133*$I133/12*2,IF($J133=12,-$E133*$I133/12*1,0)))))+IF(CN$5&lt;&gt;$H133,0,IF(CN133&lt;0,IF($J133=10,-$E133*$I133/12*0,IF($J133=11,-$E133*$I133/12*1,IF($J133=12,-$E133*$I133/12*2,0)))))</f>
        <v>0</v>
      </c>
      <c r="CS133" s="440">
        <f>IF(AND(CN133&lt;&gt;0,CN$5=$H133),-$I133*$E133-CN133,IF(CS$5=$H133,-$I133*$E133*(12-$J133+1)/12,0))</f>
        <v>0</v>
      </c>
      <c r="CT133" s="441">
        <f>IF($H133&lt;&gt;CX$5,0,IF(CX133&lt;0,IF($J133=1,-$E133*$I133/12*3,IF($J133=2,-$E133*$I133/12*2,IF($J133=3,-$E133*$I133/12*1,0)))))+IF(CS$5&lt;&gt;$H133,0,IF(CS133&lt;0,IF($J133=1,-$E133*$I133/12*0,IF($J133=2,-$E133*$I133/12*1,IF($J133=3,-$E133*$I133/12*2,IF($J133&gt;=4,-$E133*$I133/12*3,0))))))</f>
        <v>0</v>
      </c>
      <c r="CU133" s="442">
        <f>IF($H133&lt;&gt;CX$5,0,IF(CX133&lt;0,IF(OR($J133=1,$J133=2,$J133=3,$J133=4),-$E133*$I133/12*3,IF($J133=5,-$E133*$I133/12*2,IF($J133=6,-$E133*$I133/12*1,0)))))+IF(CS$5&lt;&gt;$H133,0,IF(CS133&lt;0,IF($J133=4,-$E133*$I133/12*0,IF($J133=5,-$E133*$I133/12*1,IF($J133=6,-$E133*$I133/12*2,IF($J133&gt;=7,-$E133*$I133/12*3,0))))))</f>
        <v>0</v>
      </c>
      <c r="CV133" s="442">
        <f>IF($H133&lt;&gt;CX$5,0,IF(CX133&lt;0,IF(OR($J133=1,$J133=2,$J133=3,$J133=4,$J133=5,$J133=6,$J133=7),-$E133*$I133/12*3,IF($J133=8,-$E133*$I133/12*2,IF($J133=9,-$E133*$I133/12*1,0)))))+IF(CS$5&lt;&gt;$H133,0,IF(CS133&lt;0,IF($J133=7,-$E133*$I133/12*0,IF($J133=8,-$E133*$I133/12*1,IF($J133=9,-$E133*$I133/12*2,IF($J133&gt;=10,-$E133*$I133/12*3,0))))))</f>
        <v>0</v>
      </c>
      <c r="CW133" s="443">
        <f>IF($H133&lt;&gt;CX$5,0,IF(CX133&lt;0,IF(OR($J133=1,$J133=2,$J133=3,$J133=4,$J133=5,$J133=6,$J133=7,$J133=8,$J133=9,$J133=10),-$E133*$I133/12*3,IF($J133=11,-$E133*$I133/12*2,IF($J133=12,-$E133*$I133/12*1,0)))))+IF(CS$5&lt;&gt;$H133,0,IF(CS133&lt;0,IF($J133=10,-$E133*$I133/12*0,IF($J133=11,-$E133*$I133/12*1,IF($J133=12,-$E133*$I133/12*2,0)))))</f>
        <v>0</v>
      </c>
      <c r="CX133" s="440">
        <f>IF(AND(CS133&lt;&gt;0,CS$5=$H133),-$I133*$E133-CS133,IF(CX$5=$H133,-$I133*$E133*(12-$J133+1)/12,0))</f>
        <v>0</v>
      </c>
      <c r="CY133" s="441">
        <f>IF($H133&lt;&gt;DC$5,0,IF(DC133&lt;0,IF($J133=1,-$E133*$I133/12*3,IF($J133=2,-$E133*$I133/12*2,IF($J133=3,-$E133*$I133/12*1,0)))))+IF(CX$5&lt;&gt;$H133,0,IF(CX133&lt;0,IF($J133=1,-$E133*$I133/12*0,IF($J133=2,-$E133*$I133/12*1,IF($J133=3,-$E133*$I133/12*2,IF($J133&gt;=4,-$E133*$I133/12*3,0))))))</f>
        <v>0</v>
      </c>
      <c r="CZ133" s="442">
        <f>IF($H133&lt;&gt;DC$5,0,IF(DC133&lt;0,IF(OR($J133=1,$J133=2,$J133=3,$J133=4),-$E133*$I133/12*3,IF($J133=5,-$E133*$I133/12*2,IF($J133=6,-$E133*$I133/12*1,0)))))+IF(CX$5&lt;&gt;$H133,0,IF(CX133&lt;0,IF($J133=4,-$E133*$I133/12*0,IF($J133=5,-$E133*$I133/12*1,IF($J133=6,-$E133*$I133/12*2,IF($J133&gt;=7,-$E133*$I133/12*3,0))))))</f>
        <v>0</v>
      </c>
      <c r="DA133" s="442">
        <f>IF($H133&lt;&gt;DC$5,0,IF(DC133&lt;0,IF(OR($J133=1,$J133=2,$J133=3,$J133=4,$J133=5,$J133=6,$J133=7),-$E133*$I133/12*3,IF($J133=8,-$E133*$I133/12*2,IF($J133=9,-$E133*$I133/12*1,0)))))+IF(CX$5&lt;&gt;$H133,0,IF(CX133&lt;0,IF($J133=7,-$E133*$I133/12*0,IF($J133=8,-$E133*$I133/12*1,IF($J133=9,-$E133*$I133/12*2,IF($J133&gt;=10,-$E133*$I133/12*3,0))))))</f>
        <v>0</v>
      </c>
      <c r="DB133" s="443">
        <f>IF($H133&lt;&gt;DC$5,0,IF(DC133&lt;0,IF(OR($J133=1,$J133=2,$J133=3,$J133=4,$J133=5,$J133=6,$J133=7,$J133=8,$J133=9,$J133=10),-$E133*$I133/12*3,IF($J133=11,-$E133*$I133/12*2,IF($J133=12,-$E133*$I133/12*1,0)))))+IF(CX$5&lt;&gt;$H133,0,IF(CX133&lt;0,IF($J133=10,-$E133*$I133/12*0,IF($J133=11,-$E133*$I133/12*1,IF($J133=12,-$E133*$I133/12*2,0)))))</f>
        <v>0</v>
      </c>
      <c r="DC133" s="440">
        <f>IF(AND(CX133&lt;&gt;0,CX$5=$H133),-$I133*$E133-CX133,IF(DC$5=$H133,-$I133*$E133*(12-$J133+1)/12,0))</f>
        <v>0</v>
      </c>
      <c r="DD133" s="441">
        <f>IF($H133&lt;&gt;DH$5,0,IF(DH133&lt;0,IF($J133=1,-$E133*$I133/12*3,IF($J133=2,-$E133*$I133/12*2,IF($J133=3,-$E133*$I133/12*1,0)))))+IF(DC$5&lt;&gt;$H133,0,IF(DC133&lt;0,IF($J133=1,-$E133*$I133/12*0,IF($J133=2,-$E133*$I133/12*1,IF($J133=3,-$E133*$I133/12*2,IF($J133&gt;=4,-$E133*$I133/12*3,0))))))</f>
        <v>0</v>
      </c>
      <c r="DE133" s="442">
        <f>IF($H133&lt;&gt;DH$5,0,IF(DH133&lt;0,IF(OR($J133=1,$J133=2,$J133=3,$J133=4),-$E133*$I133/12*3,IF($J133=5,-$E133*$I133/12*2,IF($J133=6,-$E133*$I133/12*1,0)))))+IF(DC$5&lt;&gt;$H133,0,IF(DC133&lt;0,IF($J133=4,-$E133*$I133/12*0,IF($J133=5,-$E133*$I133/12*1,IF($J133=6,-$E133*$I133/12*2,IF($J133&gt;=7,-$E133*$I133/12*3,0))))))</f>
        <v>0</v>
      </c>
      <c r="DF133" s="442">
        <f>IF($H133&lt;&gt;DH$5,0,IF(DH133&lt;0,IF(OR($J133=1,$J133=2,$J133=3,$J133=4,$J133=5,$J133=6,$J133=7),-$E133*$I133/12*3,IF($J133=8,-$E133*$I133/12*2,IF($J133=9,-$E133*$I133/12*1,0)))))+IF(DC$5&lt;&gt;$H133,0,IF(DC133&lt;0,IF($J133=7,-$E133*$I133/12*0,IF($J133=8,-$E133*$I133/12*1,IF($J133=9,-$E133*$I133/12*2,IF($J133&gt;=10,-$E133*$I133/12*3,0))))))</f>
        <v>0</v>
      </c>
      <c r="DG133" s="443">
        <f>IF($H133&lt;&gt;DH$5,0,IF(DH133&lt;0,IF(OR($J133=1,$J133=2,$J133=3,$J133=4,$J133=5,$J133=6,$J133=7,$J133=8,$J133=9,$J133=10),-$E133*$I133/12*3,IF($J133=11,-$E133*$I133/12*2,IF($J133=12,-$E133*$I133/12*1,0)))))+IF(DC$5&lt;&gt;$H133,0,IF(DC133&lt;0,IF($J133=10,-$E133*$I133/12*0,IF($J133=11,-$E133*$I133/12*1,IF($J133=12,-$E133*$I133/12*2,0)))))</f>
        <v>0</v>
      </c>
      <c r="DH133" s="440">
        <f>IF(AND(DC133&lt;&gt;0,DC$5=$H133),-$I133*$E133-DC133,IF(DH$5=$H133,-$I133*$E133*(12-$J133+1)/12,0))</f>
        <v>0</v>
      </c>
      <c r="DI133" s="441">
        <f>IF($H133&lt;&gt;DM$5,0,IF(DM133&lt;0,IF($J133=1,-$E133*$I133/12*3,IF($J133=2,-$E133*$I133/12*2,IF($J133=3,-$E133*$I133/12*1,0)))))+IF(DH$5&lt;&gt;$H133,0,IF(DH133&lt;0,IF($J133=1,-$E133*$I133/12*0,IF($J133=2,-$E133*$I133/12*1,IF($J133=3,-$E133*$I133/12*2,IF($J133&gt;=4,-$E133*$I133/12*3,0))))))</f>
        <v>-3.2964843794999997E-2</v>
      </c>
      <c r="DJ133" s="442">
        <f>IF($H133&lt;&gt;DM$5,0,IF(DM133&lt;0,IF(OR($J133=1,$J133=2,$J133=3,$J133=4),-$E133*$I133/12*3,IF($J133=5,-$E133*$I133/12*2,IF($J133=6,-$E133*$I133/12*1,0)))))+IF(DH$5&lt;&gt;$H133,0,IF(DH133&lt;0,IF($J133=4,-$E133*$I133/12*0,IF($J133=5,-$E133*$I133/12*1,IF($J133=6,-$E133*$I133/12*2,IF($J133&gt;=7,-$E133*$I133/12*3,0))))))</f>
        <v>-3.2964843794999997E-2</v>
      </c>
      <c r="DK133" s="442">
        <f>IF($H133&lt;&gt;DM$5,0,IF(DM133&lt;0,IF(OR($J133=1,$J133=2,$J133=3,$J133=4,$J133=5,$J133=6,$J133=7),-$E133*$I133/12*3,IF($J133=8,-$E133*$I133/12*2,IF($J133=9,-$E133*$I133/12*1,0)))))+IF(DH$5&lt;&gt;$H133,0,IF(DH133&lt;0,IF($J133=7,-$E133*$I133/12*0,IF($J133=8,-$E133*$I133/12*1,IF($J133=9,-$E133*$I133/12*2,IF($J133&gt;=10,-$E133*$I133/12*3,0))))))</f>
        <v>-3.2964843794999997E-2</v>
      </c>
      <c r="DL133" s="443">
        <f>IF($H133&lt;&gt;DM$5,0,IF(DM133&lt;0,IF(OR($J133=1,$J133=2,$J133=3,$J133=4,$J133=5,$J133=6,$J133=7,$J133=8,$J133=9,$J133=10),-$E133*$I133/12*3,IF($J133=11,-$E133*$I133/12*2,IF($J133=12,-$E133*$I133/12*1,0)))))+IF(DH$5&lt;&gt;$H133,0,IF(DH133&lt;0,IF($J133=10,-$E133*$I133/12*0,IF($J133=11,-$E133*$I133/12*1,IF($J133=12,-$E133*$I133/12*2,0)))))</f>
        <v>-3.2964843794999997E-2</v>
      </c>
      <c r="DM133" s="440">
        <f>IF(AND(DH133&lt;&gt;0,DH$5=$H133),-$I133*$E133-DH133,IF(DM$5=$H133,-$I133*$E133*(12-$J133+1)/12,0))</f>
        <v>-0.13185937517999999</v>
      </c>
      <c r="DN133" s="441">
        <f>IF($H133&lt;&gt;DR$5,0,IF(DR133&lt;0,IF($J133=1,-$E133*$I133/12*3,IF($J133=2,-$E133*$I133/12*2,IF($J133=3,-$E133*$I133/12*1,0)))))+IF(DM$5&lt;&gt;$H133,0,IF(DM133&lt;0,IF($J133=1,-$E133*$I133/12*0,IF($J133=2,-$E133*$I133/12*1,IF($J133=3,-$E133*$I133/12*2,IF($J133&gt;=4,-$E133*$I133/12*3,0))))))</f>
        <v>0</v>
      </c>
      <c r="DO133" s="442">
        <f>IF($H133&lt;&gt;DR$5,0,IF(DR133&lt;0,IF(OR($J133=1,$J133=2,$J133=3,$J133=4),-$E133*$I133/12*3,IF($J133=5,-$E133*$I133/12*2,IF($J133=6,-$E133*$I133/12*1,0)))))+IF(DM$5&lt;&gt;$H133,0,IF(DM133&lt;0,IF($J133=4,-$E133*$I133/12*0,IF($J133=5,-$E133*$I133/12*1,IF($J133=6,-$E133*$I133/12*2,IF($J133&gt;=7,-$E133*$I133/12*3,0))))))</f>
        <v>0</v>
      </c>
      <c r="DP133" s="442">
        <f>IF($H133&lt;&gt;DR$5,0,IF(DR133&lt;0,IF(OR($J133=1,$J133=2,$J133=3,$J133=4,$J133=5,$J133=6,$J133=7),-$E133*$I133/12*3,IF($J133=8,-$E133*$I133/12*2,IF($J133=9,-$E133*$I133/12*1,0)))))+IF(DM$5&lt;&gt;$H133,0,IF(DM133&lt;0,IF($J133=7,-$E133*$I133/12*0,IF($J133=8,-$E133*$I133/12*1,IF($J133=9,-$E133*$I133/12*2,IF($J133&gt;=10,-$E133*$I133/12*3,0))))))</f>
        <v>0</v>
      </c>
      <c r="DQ133" s="443">
        <f>IF($H133&lt;&gt;DR$5,0,IF(DR133&lt;0,IF(OR($J133=1,$J133=2,$J133=3,$J133=4,$J133=5,$J133=6,$J133=7,$J133=8,$J133=9,$J133=10),-$E133*$I133/12*3,IF($J133=11,-$E133*$I133/12*2,IF($J133=12,-$E133*$I133/12*1,0)))))+IF(DM$5&lt;&gt;$H133,0,IF(DM133&lt;0,IF($J133=10,-$E133*$I133/12*0,IF($J133=11,-$E133*$I133/12*1,IF($J133=12,-$E133*$I133/12*2,0)))))</f>
        <v>0</v>
      </c>
      <c r="DR133" s="440">
        <f>IF(AND(DM133&lt;&gt;0,DM$5=$H133),-$I133*$E133-DM133,IF(DR$5=$H133,-$I133*$E133*(12-$J133+1)/12,0))</f>
        <v>0</v>
      </c>
    </row>
    <row r="134" spans="1:122" ht="12.75" customHeight="1">
      <c r="C134" s="1590" t="s">
        <v>991</v>
      </c>
      <c r="D134" s="395"/>
      <c r="E134" s="188">
        <f>IF(F134=0,G134,F134)</f>
        <v>123.61199999999999</v>
      </c>
      <c r="F134" s="1945">
        <v>123.61199999999999</v>
      </c>
      <c r="G134" s="1945">
        <v>123.61199999999999</v>
      </c>
      <c r="H134" s="1366">
        <v>2034</v>
      </c>
      <c r="I134" s="1367">
        <v>3.4500000000000003E-2</v>
      </c>
      <c r="J134" s="1357">
        <v>1</v>
      </c>
      <c r="K134" s="549"/>
      <c r="L134" s="441">
        <f t="shared" si="1688"/>
        <v>0</v>
      </c>
      <c r="M134" s="442">
        <f t="shared" si="1689"/>
        <v>0</v>
      </c>
      <c r="N134" s="442">
        <f t="shared" si="1690"/>
        <v>0</v>
      </c>
      <c r="O134" s="443">
        <f t="shared" si="1691"/>
        <v>0</v>
      </c>
      <c r="P134" s="440">
        <f t="shared" si="1692"/>
        <v>0</v>
      </c>
      <c r="Q134" s="441">
        <f t="shared" si="1693"/>
        <v>0</v>
      </c>
      <c r="R134" s="442">
        <f t="shared" si="1694"/>
        <v>0</v>
      </c>
      <c r="S134" s="442">
        <f t="shared" si="1695"/>
        <v>0</v>
      </c>
      <c r="T134" s="443">
        <f t="shared" si="1696"/>
        <v>0</v>
      </c>
      <c r="U134" s="440">
        <f t="shared" si="1697"/>
        <v>0</v>
      </c>
      <c r="V134" s="441">
        <f t="shared" si="1698"/>
        <v>0</v>
      </c>
      <c r="W134" s="442">
        <f t="shared" si="1699"/>
        <v>0</v>
      </c>
      <c r="X134" s="442">
        <f t="shared" si="1700"/>
        <v>0</v>
      </c>
      <c r="Y134" s="443">
        <f t="shared" si="1701"/>
        <v>0</v>
      </c>
      <c r="Z134" s="440">
        <f t="shared" si="1702"/>
        <v>0</v>
      </c>
      <c r="AA134" s="441">
        <f t="shared" si="1703"/>
        <v>0</v>
      </c>
      <c r="AB134" s="442">
        <f t="shared" si="1704"/>
        <v>0</v>
      </c>
      <c r="AC134" s="442">
        <f t="shared" si="1705"/>
        <v>0</v>
      </c>
      <c r="AD134" s="443">
        <f t="shared" si="1706"/>
        <v>0</v>
      </c>
      <c r="AE134" s="440">
        <f t="shared" si="1707"/>
        <v>0</v>
      </c>
      <c r="AF134" s="441">
        <f t="shared" si="1708"/>
        <v>0</v>
      </c>
      <c r="AG134" s="442">
        <f t="shared" si="1709"/>
        <v>0</v>
      </c>
      <c r="AH134" s="442">
        <f t="shared" si="1710"/>
        <v>0</v>
      </c>
      <c r="AI134" s="443">
        <f t="shared" si="1711"/>
        <v>0</v>
      </c>
      <c r="AJ134" s="440">
        <f t="shared" si="1712"/>
        <v>0</v>
      </c>
      <c r="AK134" s="441">
        <f t="shared" si="1713"/>
        <v>0</v>
      </c>
      <c r="AL134" s="442">
        <f t="shared" si="1714"/>
        <v>0</v>
      </c>
      <c r="AM134" s="442">
        <f t="shared" si="1715"/>
        <v>0</v>
      </c>
      <c r="AN134" s="443">
        <f t="shared" si="1716"/>
        <v>0</v>
      </c>
      <c r="AO134" s="440">
        <f t="shared" si="1717"/>
        <v>0</v>
      </c>
      <c r="AP134" s="441">
        <f t="shared" si="1718"/>
        <v>0</v>
      </c>
      <c r="AQ134" s="442">
        <f t="shared" si="1719"/>
        <v>0</v>
      </c>
      <c r="AR134" s="442">
        <f t="shared" si="1720"/>
        <v>0</v>
      </c>
      <c r="AS134" s="443">
        <f t="shared" si="1721"/>
        <v>0</v>
      </c>
      <c r="AT134" s="440">
        <f t="shared" si="1722"/>
        <v>0</v>
      </c>
      <c r="AU134" s="441">
        <f t="shared" si="1723"/>
        <v>0</v>
      </c>
      <c r="AV134" s="442">
        <f t="shared" si="1724"/>
        <v>0</v>
      </c>
      <c r="AW134" s="442">
        <f t="shared" si="1725"/>
        <v>0</v>
      </c>
      <c r="AX134" s="443">
        <f t="shared" si="1726"/>
        <v>0</v>
      </c>
      <c r="AY134" s="440">
        <f t="shared" si="1727"/>
        <v>0</v>
      </c>
      <c r="AZ134" s="441">
        <f t="shared" si="1728"/>
        <v>0</v>
      </c>
      <c r="BA134" s="442">
        <f t="shared" si="1729"/>
        <v>0</v>
      </c>
      <c r="BB134" s="442">
        <f t="shared" si="1730"/>
        <v>0</v>
      </c>
      <c r="BC134" s="443">
        <f t="shared" si="1731"/>
        <v>0</v>
      </c>
      <c r="BD134" s="440">
        <f t="shared" si="1732"/>
        <v>0</v>
      </c>
      <c r="BE134" s="441">
        <f t="shared" si="1733"/>
        <v>0</v>
      </c>
      <c r="BF134" s="442">
        <f t="shared" si="1734"/>
        <v>0</v>
      </c>
      <c r="BG134" s="442">
        <f t="shared" si="1735"/>
        <v>0</v>
      </c>
      <c r="BH134" s="443">
        <f t="shared" si="1736"/>
        <v>0</v>
      </c>
      <c r="BI134" s="440">
        <f t="shared" si="1737"/>
        <v>0</v>
      </c>
      <c r="BJ134" s="441">
        <f t="shared" si="1738"/>
        <v>0</v>
      </c>
      <c r="BK134" s="442">
        <f t="shared" si="1739"/>
        <v>0</v>
      </c>
      <c r="BL134" s="442">
        <f t="shared" si="1740"/>
        <v>0</v>
      </c>
      <c r="BM134" s="443">
        <f t="shared" si="1741"/>
        <v>0</v>
      </c>
      <c r="BN134" s="440">
        <f t="shared" si="1742"/>
        <v>0</v>
      </c>
      <c r="BO134" s="470"/>
      <c r="BP134" s="441">
        <f>IF($H134&lt;&gt;BT$5,0,IF(BT134&lt;0,IF($J134=1,-$E134*$I134/12*3,IF($J134=2,-$E134*$I134/12*2,IF($J134=3,-$E134*$I134/12*1,0)))))+IF(BO$5&lt;&gt;$H134,0,IF(BO134&lt;0,IF($J134=1,-$E134*$I134/12*0,IF($J134=2,-$E134*$I134/12*1,IF($J134=3,-$E134*$I134/12*2,IF($J134&gt;=4,-$E134*$I134/12*3,0))))))</f>
        <v>0</v>
      </c>
      <c r="BQ134" s="442">
        <f>IF($H134&lt;&gt;BT$5,0,IF(BT134&lt;0,IF(OR($J134=1,$J134=2,$J134=3,$J134=4),-$E134*$I134/12*3,IF($J134=5,-$E134*$I134/12*2,IF($J134=6,-$E134*$I134/12*1,0)))))+IF(BO$5&lt;&gt;$H134,0,IF(BO134&lt;0,IF($J134=4,-$E134*$I134/12*0,IF($J134=5,-$E134*$I134/12*1,IF($J134=6,-$E134*$I134/12*2,IF($J134&gt;=7,-$E134*$I134/12*3,0))))))</f>
        <v>0</v>
      </c>
      <c r="BR134" s="442">
        <f>IF($H134&lt;&gt;BT$5,0,IF(BT134&lt;0,IF(OR($J134=1,$J134=2,$J134=3,$J134=4,$J134=5,$J134=6,$J134=7),-$E134*$I134/12*3,IF($J134=8,-$E134*$I134/12*2,IF($J134=9,-$E134*$I134/12*1,0)))))+IF(BO$5&lt;&gt;$H134,0,IF(BO134&lt;0,IF($J134=7,-$E134*$I134/12*0,IF($J134=8,-$E134*$I134/12*1,IF($J134=9,-$E134*$I134/12*2,IF($J134&gt;=10,-$E134*$I134/12*3,0))))))</f>
        <v>0</v>
      </c>
      <c r="BS134" s="443">
        <f>IF($H134&lt;&gt;BT$5,0,IF(BT134&lt;0,IF(OR($J134=1,$J134=2,$J134=3,$J134=4,$J134=5,$J134=6,$J134=7,$J134=8,$J134=9,$J134=10),-$E134*$I134/12*3,IF($J134=11,-$E134*$I134/12*2,IF($J134=12,-$E134*$I134/12*1,0)))))+IF(BO$5&lt;&gt;$H134,0,IF(BO134&lt;0,IF($J134=10,-$E134*$I134/12*0,IF($J134=11,-$E134*$I134/12*1,IF($J134=12,-$E134*$I134/12*2,0)))))</f>
        <v>0</v>
      </c>
      <c r="BT134" s="440">
        <f>IF(AND(BO134&lt;&gt;0,BO$5=$H134),-$I134*$E134-BO134,IF(BT$5=$H134,-$I134*$E134*(12-$J134+1)/12,0))</f>
        <v>0</v>
      </c>
      <c r="BU134" s="441">
        <f>IF($H134&lt;&gt;BY$5,0,IF(BY134&lt;0,IF($J134=1,-$E134*$I134/12*3,IF($J134=2,-$E134*$I134/12*2,IF($J134=3,-$E134*$I134/12*1,0)))))+IF(BT$5&lt;&gt;$H134,0,IF(BT134&lt;0,IF($J134=1,-$E134*$I134/12*0,IF($J134=2,-$E134*$I134/12*1,IF($J134=3,-$E134*$I134/12*2,IF($J134&gt;=4,-$E134*$I134/12*3,0))))))</f>
        <v>0</v>
      </c>
      <c r="BV134" s="442">
        <f>IF($H134&lt;&gt;BY$5,0,IF(BY134&lt;0,IF(OR($J134=1,$J134=2,$J134=3,$J134=4),-$E134*$I134/12*3,IF($J134=5,-$E134*$I134/12*2,IF($J134=6,-$E134*$I134/12*1,0)))))+IF(BT$5&lt;&gt;$H134,0,IF(BT134&lt;0,IF($J134=4,-$E134*$I134/12*0,IF($J134=5,-$E134*$I134/12*1,IF($J134=6,-$E134*$I134/12*2,IF($J134&gt;=7,-$E134*$I134/12*3,0))))))</f>
        <v>0</v>
      </c>
      <c r="BW134" s="442">
        <f>IF($H134&lt;&gt;BY$5,0,IF(BY134&lt;0,IF(OR($J134=1,$J134=2,$J134=3,$J134=4,$J134=5,$J134=6,$J134=7),-$E134*$I134/12*3,IF($J134=8,-$E134*$I134/12*2,IF($J134=9,-$E134*$I134/12*1,0)))))+IF(BT$5&lt;&gt;$H134,0,IF(BT134&lt;0,IF($J134=7,-$E134*$I134/12*0,IF($J134=8,-$E134*$I134/12*1,IF($J134=9,-$E134*$I134/12*2,IF($J134&gt;=10,-$E134*$I134/12*3,0))))))</f>
        <v>0</v>
      </c>
      <c r="BX134" s="443">
        <f>IF($H134&lt;&gt;BY$5,0,IF(BY134&lt;0,IF(OR($J134=1,$J134=2,$J134=3,$J134=4,$J134=5,$J134=6,$J134=7,$J134=8,$J134=9,$J134=10),-$E134*$I134/12*3,IF($J134=11,-$E134*$I134/12*2,IF($J134=12,-$E134*$I134/12*1,0)))))+IF(BT$5&lt;&gt;$H134,0,IF(BT134&lt;0,IF($J134=10,-$E134*$I134/12*0,IF($J134=11,-$E134*$I134/12*1,IF($J134=12,-$E134*$I134/12*2,0)))))</f>
        <v>0</v>
      </c>
      <c r="BY134" s="440">
        <f>IF(AND(BT134&lt;&gt;0,BT$5=$H134),-$I134*$E134-BT134,IF(BY$5=$H134,-$I134*$E134*(12-$J134+1)/12,0))</f>
        <v>0</v>
      </c>
      <c r="BZ134" s="441">
        <f>IF($H134&lt;&gt;CD$5,0,IF(CD134&lt;0,IF($J134=1,-$E134*$I134/12*3,IF($J134=2,-$E134*$I134/12*2,IF($J134=3,-$E134*$I134/12*1,0)))))+IF(BY$5&lt;&gt;$H134,0,IF(BY134&lt;0,IF($J134=1,-$E134*$I134/12*0,IF($J134=2,-$E134*$I134/12*1,IF($J134=3,-$E134*$I134/12*2,IF($J134&gt;=4,-$E134*$I134/12*3,0))))))</f>
        <v>0</v>
      </c>
      <c r="CA134" s="442">
        <f>IF($H134&lt;&gt;CD$5,0,IF(CD134&lt;0,IF(OR($J134=1,$J134=2,$J134=3,$J134=4),-$E134*$I134/12*3,IF($J134=5,-$E134*$I134/12*2,IF($J134=6,-$E134*$I134/12*1,0)))))+IF(BY$5&lt;&gt;$H134,0,IF(BY134&lt;0,IF($J134=4,-$E134*$I134/12*0,IF($J134=5,-$E134*$I134/12*1,IF($J134=6,-$E134*$I134/12*2,IF($J134&gt;=7,-$E134*$I134/12*3,0))))))</f>
        <v>0</v>
      </c>
      <c r="CB134" s="442">
        <f>IF($H134&lt;&gt;CD$5,0,IF(CD134&lt;0,IF(OR($J134=1,$J134=2,$J134=3,$J134=4,$J134=5,$J134=6,$J134=7),-$E134*$I134/12*3,IF($J134=8,-$E134*$I134/12*2,IF($J134=9,-$E134*$I134/12*1,0)))))+IF(BY$5&lt;&gt;$H134,0,IF(BY134&lt;0,IF($J134=7,-$E134*$I134/12*0,IF($J134=8,-$E134*$I134/12*1,IF($J134=9,-$E134*$I134/12*2,IF($J134&gt;=10,-$E134*$I134/12*3,0))))))</f>
        <v>0</v>
      </c>
      <c r="CC134" s="443">
        <f>IF($H134&lt;&gt;CD$5,0,IF(CD134&lt;0,IF(OR($J134=1,$J134=2,$J134=3,$J134=4,$J134=5,$J134=6,$J134=7,$J134=8,$J134=9,$J134=10),-$E134*$I134/12*3,IF($J134=11,-$E134*$I134/12*2,IF($J134=12,-$E134*$I134/12*1,0)))))+IF(BY$5&lt;&gt;$H134,0,IF(BY134&lt;0,IF($J134=10,-$E134*$I134/12*0,IF($J134=11,-$E134*$I134/12*1,IF($J134=12,-$E134*$I134/12*2,0)))))</f>
        <v>0</v>
      </c>
      <c r="CD134" s="440">
        <f>IF(AND(BY134&lt;&gt;0,BY$5=$H134),-$I134*$E134-BY134,IF(CD$5=$H134,-$I134*$E134*(12-$J134+1)/12,0))</f>
        <v>0</v>
      </c>
      <c r="CE134" s="441">
        <f>IF($H134&lt;&gt;CI$5,0,IF(CI134&lt;0,IF($J134=1,-$E134*$I134/12*3,IF($J134=2,-$E134*$I134/12*2,IF($J134=3,-$E134*$I134/12*1,0)))))+IF(CD$5&lt;&gt;$H134,0,IF(CD134&lt;0,IF($J134=1,-$E134*$I134/12*0,IF($J134=2,-$E134*$I134/12*1,IF($J134=3,-$E134*$I134/12*2,IF($J134&gt;=4,-$E134*$I134/12*3,0))))))</f>
        <v>0</v>
      </c>
      <c r="CF134" s="442">
        <f>IF($H134&lt;&gt;CI$5,0,IF(CI134&lt;0,IF(OR($J134=1,$J134=2,$J134=3,$J134=4),-$E134*$I134/12*3,IF($J134=5,-$E134*$I134/12*2,IF($J134=6,-$E134*$I134/12*1,0)))))+IF(CD$5&lt;&gt;$H134,0,IF(CD134&lt;0,IF($J134=4,-$E134*$I134/12*0,IF($J134=5,-$E134*$I134/12*1,IF($J134=6,-$E134*$I134/12*2,IF($J134&gt;=7,-$E134*$I134/12*3,0))))))</f>
        <v>0</v>
      </c>
      <c r="CG134" s="442">
        <f>IF($H134&lt;&gt;CI$5,0,IF(CI134&lt;0,IF(OR($J134=1,$J134=2,$J134=3,$J134=4,$J134=5,$J134=6,$J134=7),-$E134*$I134/12*3,IF($J134=8,-$E134*$I134/12*2,IF($J134=9,-$E134*$I134/12*1,0)))))+IF(CD$5&lt;&gt;$H134,0,IF(CD134&lt;0,IF($J134=7,-$E134*$I134/12*0,IF($J134=8,-$E134*$I134/12*1,IF($J134=9,-$E134*$I134/12*2,IF($J134&gt;=10,-$E134*$I134/12*3,0))))))</f>
        <v>0</v>
      </c>
      <c r="CH134" s="443">
        <f>IF($H134&lt;&gt;CI$5,0,IF(CI134&lt;0,IF(OR($J134=1,$J134=2,$J134=3,$J134=4,$J134=5,$J134=6,$J134=7,$J134=8,$J134=9,$J134=10),-$E134*$I134/12*3,IF($J134=11,-$E134*$I134/12*2,IF($J134=12,-$E134*$I134/12*1,0)))))+IF(CD$5&lt;&gt;$H134,0,IF(CD134&lt;0,IF($J134=10,-$E134*$I134/12*0,IF($J134=11,-$E134*$I134/12*1,IF($J134=12,-$E134*$I134/12*2,0)))))</f>
        <v>0</v>
      </c>
      <c r="CI134" s="440">
        <f>IF(AND(CD134&lt;&gt;0,CD$5=$H134),-$I134*$E134-CD134,IF(CI$5=$H134,-$I134*$E134*(12-$J134+1)/12,0))</f>
        <v>0</v>
      </c>
      <c r="CJ134" s="441">
        <f>IF($H134&lt;&gt;CN$5,0,IF(CN134&lt;0,IF($J134=1,-$E134*$I134/12*3,IF($J134=2,-$E134*$I134/12*2,IF($J134=3,-$E134*$I134/12*1,0)))))+IF(CI$5&lt;&gt;$H134,0,IF(CI134&lt;0,IF($J134=1,-$E134*$I134/12*0,IF($J134=2,-$E134*$I134/12*1,IF($J134=3,-$E134*$I134/12*2,IF($J134&gt;=4,-$E134*$I134/12*3,0))))))</f>
        <v>0</v>
      </c>
      <c r="CK134" s="442">
        <f>IF($H134&lt;&gt;CN$5,0,IF(CN134&lt;0,IF(OR($J134=1,$J134=2,$J134=3,$J134=4),-$E134*$I134/12*3,IF($J134=5,-$E134*$I134/12*2,IF($J134=6,-$E134*$I134/12*1,0)))))+IF(CI$5&lt;&gt;$H134,0,IF(CI134&lt;0,IF($J134=4,-$E134*$I134/12*0,IF($J134=5,-$E134*$I134/12*1,IF($J134=6,-$E134*$I134/12*2,IF($J134&gt;=7,-$E134*$I134/12*3,0))))))</f>
        <v>0</v>
      </c>
      <c r="CL134" s="442">
        <f>IF($H134&lt;&gt;CN$5,0,IF(CN134&lt;0,IF(OR($J134=1,$J134=2,$J134=3,$J134=4,$J134=5,$J134=6,$J134=7),-$E134*$I134/12*3,IF($J134=8,-$E134*$I134/12*2,IF($J134=9,-$E134*$I134/12*1,0)))))+IF(CI$5&lt;&gt;$H134,0,IF(CI134&lt;0,IF($J134=7,-$E134*$I134/12*0,IF($J134=8,-$E134*$I134/12*1,IF($J134=9,-$E134*$I134/12*2,IF($J134&gt;=10,-$E134*$I134/12*3,0))))))</f>
        <v>0</v>
      </c>
      <c r="CM134" s="443">
        <f>IF($H134&lt;&gt;CN$5,0,IF(CN134&lt;0,IF(OR($J134=1,$J134=2,$J134=3,$J134=4,$J134=5,$J134=6,$J134=7,$J134=8,$J134=9,$J134=10),-$E134*$I134/12*3,IF($J134=11,-$E134*$I134/12*2,IF($J134=12,-$E134*$I134/12*1,0)))))+IF(CI$5&lt;&gt;$H134,0,IF(CI134&lt;0,IF($J134=10,-$E134*$I134/12*0,IF($J134=11,-$E134*$I134/12*1,IF($J134=12,-$E134*$I134/12*2,0)))))</f>
        <v>0</v>
      </c>
      <c r="CN134" s="440">
        <f>IF(AND(CI134&lt;&gt;0,CI$5=$H134),-$I134*$E134-CI134,IF(CN$5=$H134,-$I134*$E134*(12-$J134+1)/12,0))</f>
        <v>0</v>
      </c>
      <c r="CO134" s="441">
        <f>IF($H134&lt;&gt;CS$5,0,IF(CS134&lt;0,IF($J134=1,-$E134*$I134/12*3,IF($J134=2,-$E134*$I134/12*2,IF($J134=3,-$E134*$I134/12*1,0)))))+IF(CN$5&lt;&gt;$H134,0,IF(CN134&lt;0,IF($J134=1,-$E134*$I134/12*0,IF($J134=2,-$E134*$I134/12*1,IF($J134=3,-$E134*$I134/12*2,IF($J134&gt;=4,-$E134*$I134/12*3,0))))))</f>
        <v>0</v>
      </c>
      <c r="CP134" s="442">
        <f>IF($H134&lt;&gt;CS$5,0,IF(CS134&lt;0,IF(OR($J134=1,$J134=2,$J134=3,$J134=4),-$E134*$I134/12*3,IF($J134=5,-$E134*$I134/12*2,IF($J134=6,-$E134*$I134/12*1,0)))))+IF(CN$5&lt;&gt;$H134,0,IF(CN134&lt;0,IF($J134=4,-$E134*$I134/12*0,IF($J134=5,-$E134*$I134/12*1,IF($J134=6,-$E134*$I134/12*2,IF($J134&gt;=7,-$E134*$I134/12*3,0))))))</f>
        <v>0</v>
      </c>
      <c r="CQ134" s="442">
        <f>IF($H134&lt;&gt;CS$5,0,IF(CS134&lt;0,IF(OR($J134=1,$J134=2,$J134=3,$J134=4,$J134=5,$J134=6,$J134=7),-$E134*$I134/12*3,IF($J134=8,-$E134*$I134/12*2,IF($J134=9,-$E134*$I134/12*1,0)))))+IF(CN$5&lt;&gt;$H134,0,IF(CN134&lt;0,IF($J134=7,-$E134*$I134/12*0,IF($J134=8,-$E134*$I134/12*1,IF($J134=9,-$E134*$I134/12*2,IF($J134&gt;=10,-$E134*$I134/12*3,0))))))</f>
        <v>0</v>
      </c>
      <c r="CR134" s="443">
        <f>IF($H134&lt;&gt;CS$5,0,IF(CS134&lt;0,IF(OR($J134=1,$J134=2,$J134=3,$J134=4,$J134=5,$J134=6,$J134=7,$J134=8,$J134=9,$J134=10),-$E134*$I134/12*3,IF($J134=11,-$E134*$I134/12*2,IF($J134=12,-$E134*$I134/12*1,0)))))+IF(CN$5&lt;&gt;$H134,0,IF(CN134&lt;0,IF($J134=10,-$E134*$I134/12*0,IF($J134=11,-$E134*$I134/12*1,IF($J134=12,-$E134*$I134/12*2,0)))))</f>
        <v>0</v>
      </c>
      <c r="CS134" s="440">
        <f>IF(AND(CN134&lt;&gt;0,CN$5=$H134),-$I134*$E134-CN134,IF(CS$5=$H134,-$I134*$E134*(12-$J134+1)/12,0))</f>
        <v>0</v>
      </c>
      <c r="CT134" s="441">
        <f>IF($H134&lt;&gt;CX$5,0,IF(CX134&lt;0,IF($J134=1,-$E134*$I134/12*3,IF($J134=2,-$E134*$I134/12*2,IF($J134=3,-$E134*$I134/12*1,0)))))+IF(CS$5&lt;&gt;$H134,0,IF(CS134&lt;0,IF($J134=1,-$E134*$I134/12*0,IF($J134=2,-$E134*$I134/12*1,IF($J134=3,-$E134*$I134/12*2,IF($J134&gt;=4,-$E134*$I134/12*3,0))))))</f>
        <v>0</v>
      </c>
      <c r="CU134" s="442">
        <f>IF($H134&lt;&gt;CX$5,0,IF(CX134&lt;0,IF(OR($J134=1,$J134=2,$J134=3,$J134=4),-$E134*$I134/12*3,IF($J134=5,-$E134*$I134/12*2,IF($J134=6,-$E134*$I134/12*1,0)))))+IF(CS$5&lt;&gt;$H134,0,IF(CS134&lt;0,IF($J134=4,-$E134*$I134/12*0,IF($J134=5,-$E134*$I134/12*1,IF($J134=6,-$E134*$I134/12*2,IF($J134&gt;=7,-$E134*$I134/12*3,0))))))</f>
        <v>0</v>
      </c>
      <c r="CV134" s="442">
        <f>IF($H134&lt;&gt;CX$5,0,IF(CX134&lt;0,IF(OR($J134=1,$J134=2,$J134=3,$J134=4,$J134=5,$J134=6,$J134=7),-$E134*$I134/12*3,IF($J134=8,-$E134*$I134/12*2,IF($J134=9,-$E134*$I134/12*1,0)))))+IF(CS$5&lt;&gt;$H134,0,IF(CS134&lt;0,IF($J134=7,-$E134*$I134/12*0,IF($J134=8,-$E134*$I134/12*1,IF($J134=9,-$E134*$I134/12*2,IF($J134&gt;=10,-$E134*$I134/12*3,0))))))</f>
        <v>0</v>
      </c>
      <c r="CW134" s="443">
        <f>IF($H134&lt;&gt;CX$5,0,IF(CX134&lt;0,IF(OR($J134=1,$J134=2,$J134=3,$J134=4,$J134=5,$J134=6,$J134=7,$J134=8,$J134=9,$J134=10),-$E134*$I134/12*3,IF($J134=11,-$E134*$I134/12*2,IF($J134=12,-$E134*$I134/12*1,0)))))+IF(CS$5&lt;&gt;$H134,0,IF(CS134&lt;0,IF($J134=10,-$E134*$I134/12*0,IF($J134=11,-$E134*$I134/12*1,IF($J134=12,-$E134*$I134/12*2,0)))))</f>
        <v>0</v>
      </c>
      <c r="CX134" s="440">
        <f>IF(AND(CS134&lt;&gt;0,CS$5=$H134),-$I134*$E134-CS134,IF(CX$5=$H134,-$I134*$E134*(12-$J134+1)/12,0))</f>
        <v>0</v>
      </c>
      <c r="CY134" s="441">
        <f>IF($H134&lt;&gt;DC$5,0,IF(DC134&lt;0,IF($J134=1,-$E134*$I134/12*3,IF($J134=2,-$E134*$I134/12*2,IF($J134=3,-$E134*$I134/12*1,0)))))+IF(CX$5&lt;&gt;$H134,0,IF(CX134&lt;0,IF($J134=1,-$E134*$I134/12*0,IF($J134=2,-$E134*$I134/12*1,IF($J134=3,-$E134*$I134/12*2,IF($J134&gt;=4,-$E134*$I134/12*3,0))))))</f>
        <v>0</v>
      </c>
      <c r="CZ134" s="442">
        <f>IF($H134&lt;&gt;DC$5,0,IF(DC134&lt;0,IF(OR($J134=1,$J134=2,$J134=3,$J134=4),-$E134*$I134/12*3,IF($J134=5,-$E134*$I134/12*2,IF($J134=6,-$E134*$I134/12*1,0)))))+IF(CX$5&lt;&gt;$H134,0,IF(CX134&lt;0,IF($J134=4,-$E134*$I134/12*0,IF($J134=5,-$E134*$I134/12*1,IF($J134=6,-$E134*$I134/12*2,IF($J134&gt;=7,-$E134*$I134/12*3,0))))))</f>
        <v>0</v>
      </c>
      <c r="DA134" s="442">
        <f>IF($H134&lt;&gt;DC$5,0,IF(DC134&lt;0,IF(OR($J134=1,$J134=2,$J134=3,$J134=4,$J134=5,$J134=6,$J134=7),-$E134*$I134/12*3,IF($J134=8,-$E134*$I134/12*2,IF($J134=9,-$E134*$I134/12*1,0)))))+IF(CX$5&lt;&gt;$H134,0,IF(CX134&lt;0,IF($J134=7,-$E134*$I134/12*0,IF($J134=8,-$E134*$I134/12*1,IF($J134=9,-$E134*$I134/12*2,IF($J134&gt;=10,-$E134*$I134/12*3,0))))))</f>
        <v>0</v>
      </c>
      <c r="DB134" s="443">
        <f>IF($H134&lt;&gt;DC$5,0,IF(DC134&lt;0,IF(OR($J134=1,$J134=2,$J134=3,$J134=4,$J134=5,$J134=6,$J134=7,$J134=8,$J134=9,$J134=10),-$E134*$I134/12*3,IF($J134=11,-$E134*$I134/12*2,IF($J134=12,-$E134*$I134/12*1,0)))))+IF(CX$5&lt;&gt;$H134,0,IF(CX134&lt;0,IF($J134=10,-$E134*$I134/12*0,IF($J134=11,-$E134*$I134/12*1,IF($J134=12,-$E134*$I134/12*2,0)))))</f>
        <v>0</v>
      </c>
      <c r="DC134" s="440">
        <f>IF(AND(CX134&lt;&gt;0,CX$5=$H134),-$I134*$E134-CX134,IF(DC$5=$H134,-$I134*$E134*(12-$J134+1)/12,0))</f>
        <v>0</v>
      </c>
      <c r="DD134" s="441">
        <f>IF($H134&lt;&gt;DH$5,0,IF(DH134&lt;0,IF($J134=1,-$E134*$I134/12*3,IF($J134=2,-$E134*$I134/12*2,IF($J134=3,-$E134*$I134/12*1,0)))))+IF(DC$5&lt;&gt;$H134,0,IF(DC134&lt;0,IF($J134=1,-$E134*$I134/12*0,IF($J134=2,-$E134*$I134/12*1,IF($J134=3,-$E134*$I134/12*2,IF($J134&gt;=4,-$E134*$I134/12*3,0))))))</f>
        <v>0</v>
      </c>
      <c r="DE134" s="442">
        <f>IF($H134&lt;&gt;DH$5,0,IF(DH134&lt;0,IF(OR($J134=1,$J134=2,$J134=3,$J134=4),-$E134*$I134/12*3,IF($J134=5,-$E134*$I134/12*2,IF($J134=6,-$E134*$I134/12*1,0)))))+IF(DC$5&lt;&gt;$H134,0,IF(DC134&lt;0,IF($J134=4,-$E134*$I134/12*0,IF($J134=5,-$E134*$I134/12*1,IF($J134=6,-$E134*$I134/12*2,IF($J134&gt;=7,-$E134*$I134/12*3,0))))))</f>
        <v>0</v>
      </c>
      <c r="DF134" s="442">
        <f>IF($H134&lt;&gt;DH$5,0,IF(DH134&lt;0,IF(OR($J134=1,$J134=2,$J134=3,$J134=4,$J134=5,$J134=6,$J134=7),-$E134*$I134/12*3,IF($J134=8,-$E134*$I134/12*2,IF($J134=9,-$E134*$I134/12*1,0)))))+IF(DC$5&lt;&gt;$H134,0,IF(DC134&lt;0,IF($J134=7,-$E134*$I134/12*0,IF($J134=8,-$E134*$I134/12*1,IF($J134=9,-$E134*$I134/12*2,IF($J134&gt;=10,-$E134*$I134/12*3,0))))))</f>
        <v>0</v>
      </c>
      <c r="DG134" s="443">
        <f>IF($H134&lt;&gt;DH$5,0,IF(DH134&lt;0,IF(OR($J134=1,$J134=2,$J134=3,$J134=4,$J134=5,$J134=6,$J134=7,$J134=8,$J134=9,$J134=10),-$E134*$I134/12*3,IF($J134=11,-$E134*$I134/12*2,IF($J134=12,-$E134*$I134/12*1,0)))))+IF(DC$5&lt;&gt;$H134,0,IF(DC134&lt;0,IF($J134=10,-$E134*$I134/12*0,IF($J134=11,-$E134*$I134/12*1,IF($J134=12,-$E134*$I134/12*2,0)))))</f>
        <v>0</v>
      </c>
      <c r="DH134" s="440">
        <f>IF(AND(DC134&lt;&gt;0,DC$5=$H134),-$I134*$E134-DC134,IF(DH$5=$H134,-$I134*$E134*(12-$J134+1)/12,0))</f>
        <v>0</v>
      </c>
      <c r="DI134" s="441">
        <f>IF($H134&lt;&gt;DM$5,0,IF(DM134&lt;0,IF($J134=1,-$E134*$I134/12*3,IF($J134=2,-$E134*$I134/12*2,IF($J134=3,-$E134*$I134/12*1,0)))))+IF(DH$5&lt;&gt;$H134,0,IF(DH134&lt;0,IF($J134=1,-$E134*$I134/12*0,IF($J134=2,-$E134*$I134/12*1,IF($J134=3,-$E134*$I134/12*2,IF($J134&gt;=4,-$E134*$I134/12*3,0))))))</f>
        <v>0</v>
      </c>
      <c r="DJ134" s="442">
        <f>IF($H134&lt;&gt;DM$5,0,IF(DM134&lt;0,IF(OR($J134=1,$J134=2,$J134=3,$J134=4),-$E134*$I134/12*3,IF($J134=5,-$E134*$I134/12*2,IF($J134=6,-$E134*$I134/12*1,0)))))+IF(DH$5&lt;&gt;$H134,0,IF(DH134&lt;0,IF($J134=4,-$E134*$I134/12*0,IF($J134=5,-$E134*$I134/12*1,IF($J134=6,-$E134*$I134/12*2,IF($J134&gt;=7,-$E134*$I134/12*3,0))))))</f>
        <v>0</v>
      </c>
      <c r="DK134" s="442">
        <f>IF($H134&lt;&gt;DM$5,0,IF(DM134&lt;0,IF(OR($J134=1,$J134=2,$J134=3,$J134=4,$J134=5,$J134=6,$J134=7),-$E134*$I134/12*3,IF($J134=8,-$E134*$I134/12*2,IF($J134=9,-$E134*$I134/12*1,0)))))+IF(DH$5&lt;&gt;$H134,0,IF(DH134&lt;0,IF($J134=7,-$E134*$I134/12*0,IF($J134=8,-$E134*$I134/12*1,IF($J134=9,-$E134*$I134/12*2,IF($J134&gt;=10,-$E134*$I134/12*3,0))))))</f>
        <v>0</v>
      </c>
      <c r="DL134" s="443">
        <f>IF($H134&lt;&gt;DM$5,0,IF(DM134&lt;0,IF(OR($J134=1,$J134=2,$J134=3,$J134=4,$J134=5,$J134=6,$J134=7,$J134=8,$J134=9,$J134=10),-$E134*$I134/12*3,IF($J134=11,-$E134*$I134/12*2,IF($J134=12,-$E134*$I134/12*1,0)))))+IF(DH$5&lt;&gt;$H134,0,IF(DH134&lt;0,IF($J134=10,-$E134*$I134/12*0,IF($J134=11,-$E134*$I134/12*1,IF($J134=12,-$E134*$I134/12*2,0)))))</f>
        <v>0</v>
      </c>
      <c r="DM134" s="440">
        <f>IF(AND(DH134&lt;&gt;0,DH$5=$H134),-$I134*$E134-DH134,IF(DM$5=$H134,-$I134*$E134*(12-$J134+1)/12,0))</f>
        <v>0</v>
      </c>
      <c r="DN134" s="441">
        <f>IF($H134&lt;&gt;DR$5,0,IF(DR134&lt;0,IF($J134=1,-$E134*$I134/12*3,IF($J134=2,-$E134*$I134/12*2,IF($J134=3,-$E134*$I134/12*1,0)))))+IF(DM$5&lt;&gt;$H134,0,IF(DM134&lt;0,IF($J134=1,-$E134*$I134/12*0,IF($J134=2,-$E134*$I134/12*1,IF($J134=3,-$E134*$I134/12*2,IF($J134&gt;=4,-$E134*$I134/12*3,0))))))</f>
        <v>0</v>
      </c>
      <c r="DO134" s="442">
        <f>IF($H134&lt;&gt;DR$5,0,IF(DR134&lt;0,IF(OR($J134=1,$J134=2,$J134=3,$J134=4),-$E134*$I134/12*3,IF($J134=5,-$E134*$I134/12*2,IF($J134=6,-$E134*$I134/12*1,0)))))+IF(DM$5&lt;&gt;$H134,0,IF(DM134&lt;0,IF($J134=4,-$E134*$I134/12*0,IF($J134=5,-$E134*$I134/12*1,IF($J134=6,-$E134*$I134/12*2,IF($J134&gt;=7,-$E134*$I134/12*3,0))))))</f>
        <v>0</v>
      </c>
      <c r="DP134" s="442">
        <f>IF($H134&lt;&gt;DR$5,0,IF(DR134&lt;0,IF(OR($J134=1,$J134=2,$J134=3,$J134=4,$J134=5,$J134=6,$J134=7),-$E134*$I134/12*3,IF($J134=8,-$E134*$I134/12*2,IF($J134=9,-$E134*$I134/12*1,0)))))+IF(DM$5&lt;&gt;$H134,0,IF(DM134&lt;0,IF($J134=7,-$E134*$I134/12*0,IF($J134=8,-$E134*$I134/12*1,IF($J134=9,-$E134*$I134/12*2,IF($J134&gt;=10,-$E134*$I134/12*3,0))))))</f>
        <v>0</v>
      </c>
      <c r="DQ134" s="443">
        <f>IF($H134&lt;&gt;DR$5,0,IF(DR134&lt;0,IF(OR($J134=1,$J134=2,$J134=3,$J134=4,$J134=5,$J134=6,$J134=7,$J134=8,$J134=9,$J134=10),-$E134*$I134/12*3,IF($J134=11,-$E134*$I134/12*2,IF($J134=12,-$E134*$I134/12*1,0)))))+IF(DM$5&lt;&gt;$H134,0,IF(DM134&lt;0,IF($J134=10,-$E134*$I134/12*0,IF($J134=11,-$E134*$I134/12*1,IF($J134=12,-$E134*$I134/12*2,0)))))</f>
        <v>0</v>
      </c>
      <c r="DR134" s="440">
        <f>IF(AND(DM134&lt;&gt;0,DM$5=$H134),-$I134*$E134-DM134,IF(DR$5=$H134,-$I134*$E134*(12-$J134+1)/12,0))</f>
        <v>0</v>
      </c>
    </row>
    <row r="135" spans="1:122">
      <c r="C135" s="1123"/>
      <c r="D135" s="395"/>
      <c r="E135" s="188"/>
      <c r="F135" s="651"/>
      <c r="G135" s="651"/>
      <c r="H135" s="651"/>
      <c r="I135" s="650"/>
      <c r="J135" s="656"/>
      <c r="K135" s="549"/>
      <c r="L135" s="441"/>
      <c r="M135" s="442"/>
      <c r="N135" s="442"/>
      <c r="O135" s="443"/>
      <c r="P135" s="440"/>
      <c r="Q135" s="441"/>
      <c r="R135" s="442"/>
      <c r="S135" s="442"/>
      <c r="T135" s="443"/>
      <c r="U135" s="440"/>
      <c r="V135" s="441"/>
      <c r="W135" s="442"/>
      <c r="X135" s="442"/>
      <c r="Y135" s="443"/>
      <c r="Z135" s="440"/>
      <c r="AA135" s="441"/>
      <c r="AB135" s="442"/>
      <c r="AC135" s="442"/>
      <c r="AD135" s="443"/>
      <c r="AE135" s="440"/>
      <c r="AF135" s="441"/>
      <c r="AG135" s="442"/>
      <c r="AH135" s="442"/>
      <c r="AI135" s="443"/>
      <c r="AJ135" s="440"/>
      <c r="AK135" s="441"/>
      <c r="AL135" s="442"/>
      <c r="AM135" s="442"/>
      <c r="AN135" s="443"/>
      <c r="AO135" s="440"/>
      <c r="AP135" s="441"/>
      <c r="AQ135" s="442"/>
      <c r="AR135" s="442"/>
      <c r="AS135" s="443"/>
      <c r="AT135" s="440"/>
      <c r="AU135" s="441"/>
      <c r="AV135" s="442"/>
      <c r="AW135" s="442"/>
      <c r="AX135" s="443"/>
      <c r="AY135" s="440"/>
      <c r="AZ135" s="441"/>
      <c r="BA135" s="442"/>
      <c r="BB135" s="442"/>
      <c r="BC135" s="443"/>
      <c r="BD135" s="440"/>
      <c r="BE135" s="441"/>
      <c r="BF135" s="442"/>
      <c r="BG135" s="442"/>
      <c r="BH135" s="443"/>
      <c r="BI135" s="440"/>
      <c r="BJ135" s="441"/>
      <c r="BK135" s="442"/>
      <c r="BL135" s="442"/>
      <c r="BM135" s="443"/>
      <c r="BN135" s="440"/>
      <c r="BO135" s="470"/>
      <c r="BP135" s="441"/>
      <c r="BQ135" s="442"/>
      <c r="BR135" s="442"/>
      <c r="BS135" s="443"/>
      <c r="BT135" s="440"/>
      <c r="BU135" s="441"/>
      <c r="BV135" s="442"/>
      <c r="BW135" s="442"/>
      <c r="BX135" s="443"/>
      <c r="BY135" s="440"/>
      <c r="BZ135" s="441"/>
      <c r="CA135" s="442"/>
      <c r="CB135" s="442"/>
      <c r="CC135" s="443"/>
      <c r="CD135" s="440"/>
      <c r="CE135" s="441"/>
      <c r="CF135" s="442"/>
      <c r="CG135" s="442"/>
      <c r="CH135" s="443"/>
      <c r="CI135" s="440"/>
      <c r="CJ135" s="441"/>
      <c r="CK135" s="442"/>
      <c r="CL135" s="442"/>
      <c r="CM135" s="443"/>
      <c r="CN135" s="440"/>
      <c r="CO135" s="441"/>
      <c r="CP135" s="442"/>
      <c r="CQ135" s="442"/>
      <c r="CR135" s="443"/>
      <c r="CS135" s="440"/>
      <c r="CT135" s="441"/>
      <c r="CU135" s="442"/>
      <c r="CV135" s="442"/>
      <c r="CW135" s="443"/>
      <c r="CX135" s="440"/>
      <c r="CY135" s="441"/>
      <c r="CZ135" s="442"/>
      <c r="DA135" s="442"/>
      <c r="DB135" s="443"/>
      <c r="DC135" s="440"/>
      <c r="DD135" s="441"/>
      <c r="DE135" s="442"/>
      <c r="DF135" s="442"/>
      <c r="DG135" s="443"/>
      <c r="DH135" s="440"/>
      <c r="DI135" s="441"/>
      <c r="DJ135" s="442"/>
      <c r="DK135" s="442"/>
      <c r="DL135" s="443"/>
      <c r="DM135" s="440"/>
      <c r="DN135" s="441"/>
      <c r="DO135" s="442"/>
      <c r="DP135" s="442"/>
      <c r="DQ135" s="443"/>
      <c r="DR135" s="440"/>
    </row>
    <row r="136" spans="1:122">
      <c r="C136" s="1363" t="s">
        <v>326</v>
      </c>
      <c r="D136" s="395"/>
      <c r="E136" s="325"/>
      <c r="F136" s="1358"/>
      <c r="G136" s="1358"/>
      <c r="H136" s="1364"/>
      <c r="I136" s="1365"/>
      <c r="J136" s="1361"/>
      <c r="K136" s="549"/>
      <c r="L136" s="441"/>
      <c r="M136" s="442"/>
      <c r="N136" s="442"/>
      <c r="O136" s="443"/>
      <c r="P136" s="440"/>
      <c r="Q136" s="441"/>
      <c r="R136" s="442"/>
      <c r="S136" s="442"/>
      <c r="T136" s="443"/>
      <c r="U136" s="440"/>
      <c r="V136" s="441"/>
      <c r="W136" s="442"/>
      <c r="X136" s="442"/>
      <c r="Y136" s="443"/>
      <c r="Z136" s="440"/>
      <c r="AA136" s="441"/>
      <c r="AB136" s="442"/>
      <c r="AC136" s="442"/>
      <c r="AD136" s="443"/>
      <c r="AE136" s="440"/>
      <c r="AF136" s="441"/>
      <c r="AG136" s="442"/>
      <c r="AH136" s="442"/>
      <c r="AI136" s="443"/>
      <c r="AJ136" s="440"/>
      <c r="AK136" s="441"/>
      <c r="AL136" s="442"/>
      <c r="AM136" s="442"/>
      <c r="AN136" s="443"/>
      <c r="AO136" s="440"/>
      <c r="AP136" s="441"/>
      <c r="AQ136" s="442"/>
      <c r="AR136" s="442"/>
      <c r="AS136" s="443"/>
      <c r="AT136" s="440"/>
      <c r="AU136" s="441"/>
      <c r="AV136" s="442"/>
      <c r="AW136" s="442"/>
      <c r="AX136" s="443"/>
      <c r="AY136" s="440"/>
      <c r="AZ136" s="441"/>
      <c r="BA136" s="442"/>
      <c r="BB136" s="442"/>
      <c r="BC136" s="443"/>
      <c r="BD136" s="440"/>
      <c r="BE136" s="441"/>
      <c r="BF136" s="442"/>
      <c r="BG136" s="442"/>
      <c r="BH136" s="443"/>
      <c r="BI136" s="440"/>
      <c r="BJ136" s="441"/>
      <c r="BK136" s="442"/>
      <c r="BL136" s="442"/>
      <c r="BM136" s="443"/>
      <c r="BN136" s="440"/>
      <c r="BO136" s="470"/>
      <c r="BP136" s="441"/>
      <c r="BQ136" s="442"/>
      <c r="BR136" s="442"/>
      <c r="BS136" s="443"/>
      <c r="BT136" s="440"/>
      <c r="BU136" s="441"/>
      <c r="BV136" s="442"/>
      <c r="BW136" s="442"/>
      <c r="BX136" s="443"/>
      <c r="BY136" s="440"/>
      <c r="BZ136" s="441"/>
      <c r="CA136" s="442"/>
      <c r="CB136" s="442"/>
      <c r="CC136" s="443"/>
      <c r="CD136" s="440"/>
      <c r="CE136" s="441"/>
      <c r="CF136" s="442"/>
      <c r="CG136" s="442"/>
      <c r="CH136" s="443"/>
      <c r="CI136" s="440"/>
      <c r="CJ136" s="441"/>
      <c r="CK136" s="442"/>
      <c r="CL136" s="442"/>
      <c r="CM136" s="443"/>
      <c r="CN136" s="440"/>
      <c r="CO136" s="441"/>
      <c r="CP136" s="442"/>
      <c r="CQ136" s="442"/>
      <c r="CR136" s="443"/>
      <c r="CS136" s="440"/>
      <c r="CT136" s="441"/>
      <c r="CU136" s="442"/>
      <c r="CV136" s="442"/>
      <c r="CW136" s="443"/>
      <c r="CX136" s="440"/>
      <c r="CY136" s="441"/>
      <c r="CZ136" s="442"/>
      <c r="DA136" s="442"/>
      <c r="DB136" s="443"/>
      <c r="DC136" s="440"/>
      <c r="DD136" s="441"/>
      <c r="DE136" s="442"/>
      <c r="DF136" s="442"/>
      <c r="DG136" s="443"/>
      <c r="DH136" s="440"/>
      <c r="DI136" s="441"/>
      <c r="DJ136" s="442"/>
      <c r="DK136" s="442"/>
      <c r="DL136" s="443"/>
      <c r="DM136" s="440"/>
      <c r="DN136" s="441"/>
      <c r="DO136" s="442"/>
      <c r="DP136" s="442"/>
      <c r="DQ136" s="443"/>
      <c r="DR136" s="440"/>
    </row>
    <row r="137" spans="1:122">
      <c r="C137" s="1123" t="s">
        <v>748</v>
      </c>
      <c r="D137" s="395"/>
      <c r="E137" s="188">
        <f>IF(F137=0,G137,F137)</f>
        <v>1.9610000000000001</v>
      </c>
      <c r="F137" s="1368">
        <v>1.9610000000000001</v>
      </c>
      <c r="G137" s="1368">
        <v>2.9550000000000001</v>
      </c>
      <c r="H137" s="1366">
        <v>2019</v>
      </c>
      <c r="I137" s="1367">
        <v>9.74E-2</v>
      </c>
      <c r="J137" s="1357">
        <v>11</v>
      </c>
      <c r="K137" s="549"/>
      <c r="L137" s="441">
        <f>IF(P137=0,0,IF(P137&lt;0,IF($J137=3,P137,IF($J137=2,P137,IF($J137=1,P137,0)))))</f>
        <v>0</v>
      </c>
      <c r="M137" s="442">
        <f>IF(P137=0,0,IF(P137&lt;0,IF($J137=6,P137,IF($J137=5,P137,IF($J137=4,P137,0)))))</f>
        <v>0</v>
      </c>
      <c r="N137" s="442">
        <f>IF(P137=0,0,IF(P137&lt;0,IF($J137=9,P137,IF($J137=8,P137,IF($J137=7,P137,0)))))</f>
        <v>0</v>
      </c>
      <c r="O137" s="443">
        <f>IF(P137=0,0,IF(P137&lt;0,IF($J137=12,P137,IF($J137=11,P137,IF($J137=10,P137,0)))))</f>
        <v>0</v>
      </c>
      <c r="P137" s="440">
        <f>IF(P$5=$H137,-$E137,0)</f>
        <v>0</v>
      </c>
      <c r="Q137" s="441">
        <f>IF(U137=0,0,IF(U137&lt;0,IF($J137=3,U137,IF($J137=2,U137,IF($J137=1,U137,0)))))</f>
        <v>0</v>
      </c>
      <c r="R137" s="442">
        <f>IF(U137=0,0,IF(U137&lt;0,IF($J137=6,U137,IF($J137=5,U137,IF($J137=4,U137,0)))))</f>
        <v>0</v>
      </c>
      <c r="S137" s="442">
        <f>IF(U137=0,0,IF(U137&lt;0,IF($J137=9,U137,IF($J137=8,U137,IF($J137=7,U137,0)))))</f>
        <v>0</v>
      </c>
      <c r="T137" s="443">
        <f>IF(U137=0,0,IF(U137&lt;0,IF($J137=12,U137,IF($J137=11,U137,IF($J137=10,U137,0)))))</f>
        <v>0</v>
      </c>
      <c r="U137" s="440">
        <f>IF(U$5=$H137,-$E137,0)</f>
        <v>0</v>
      </c>
      <c r="V137" s="441">
        <f>IF(Z137=0,0,IF(Z137&lt;0,IF($J137=3,Z137,IF($J137=2,Z137,IF($J137=1,Z137,0)))))</f>
        <v>0</v>
      </c>
      <c r="W137" s="442">
        <f>IF(Z137=0,0,IF(Z137&lt;0,IF($J137=6,Z137,IF($J137=5,Z137,IF($J137=4,Z137,0)))))</f>
        <v>0</v>
      </c>
      <c r="X137" s="442">
        <f>IF(Z137=0,0,IF(Z137&lt;0,IF($J137=9,Z137,IF($J137=8,Z137,IF($J137=7,Z137,0)))))</f>
        <v>0</v>
      </c>
      <c r="Y137" s="443">
        <f>IF(Z137=0,0,IF(Z137&lt;0,IF($J137=12,Z137,IF($J137=11,Z137,IF($J137=10,Z137,0)))))</f>
        <v>0</v>
      </c>
      <c r="Z137" s="440">
        <f>IF(Z$5=$H137,-$E137,0)</f>
        <v>0</v>
      </c>
      <c r="AA137" s="441">
        <f>IF(AE137=0,0,IF(AE137&lt;0,IF($J137=3,AE137,IF($J137=2,AE137,IF($J137=1,AE137,0)))))</f>
        <v>0</v>
      </c>
      <c r="AB137" s="442">
        <f>IF(AE137=0,0,IF(AE137&lt;0,IF($J137=6,AE137,IF($J137=5,AE137,IF($J137=4,AE137,0)))))</f>
        <v>0</v>
      </c>
      <c r="AC137" s="442">
        <f>IF(AE137=0,0,IF(AE137&lt;0,IF($J137=9,AE137,IF($J137=8,AE137,IF($J137=7,AE137,0)))))</f>
        <v>0</v>
      </c>
      <c r="AD137" s="443">
        <f>IF(AE137=0,0,IF(AE137&lt;0,IF($J137=12,AE137,IF($J137=11,AE137,IF($J137=10,AE137,0)))))</f>
        <v>0</v>
      </c>
      <c r="AE137" s="440">
        <f>IF(AE$5=$H137,-$E137,0)</f>
        <v>0</v>
      </c>
      <c r="AF137" s="441">
        <f>IF(AJ137=0,0,IF(AJ137&lt;0,IF($J137=3,AJ137,IF($J137=2,AJ137,IF($J137=1,AJ137,0)))))</f>
        <v>0</v>
      </c>
      <c r="AG137" s="442">
        <f>IF(AJ137=0,0,IF(AJ137&lt;0,IF($J137=6,AJ137,IF($J137=5,AJ137,IF($J137=4,AJ137,0)))))</f>
        <v>0</v>
      </c>
      <c r="AH137" s="442">
        <f>IF(AJ137=0,0,IF(AJ137&lt;0,IF($J137=9,AJ137,IF($J137=8,AJ137,IF($J137=7,AJ137,0)))))</f>
        <v>0</v>
      </c>
      <c r="AI137" s="443">
        <f>IF(AJ137=0,0,IF(AJ137&lt;0,IF($J137=12,AJ137,IF($J137=11,AJ137,IF($J137=10,AJ137,0)))))</f>
        <v>0</v>
      </c>
      <c r="AJ137" s="440">
        <f>IF(AJ$5=$H137,-$E137,0)</f>
        <v>0</v>
      </c>
      <c r="AK137" s="441">
        <f>IF(AO137=0,0,IF(AO137&lt;0,IF($J137=3,AO137,IF($J137=2,AO137,IF($J137=1,AO137,0)))))</f>
        <v>0</v>
      </c>
      <c r="AL137" s="442">
        <f>IF(AO137=0,0,IF(AO137&lt;0,IF($J137=6,AO137,IF($J137=5,AO137,IF($J137=4,AO137,0)))))</f>
        <v>0</v>
      </c>
      <c r="AM137" s="442">
        <f>IF(AO137=0,0,IF(AO137&lt;0,IF($J137=9,AO137,IF($J137=8,AO137,IF($J137=7,AO137,0)))))</f>
        <v>0</v>
      </c>
      <c r="AN137" s="443">
        <f>IF(AO137=0,0,IF(AO137&lt;0,IF($J137=12,AO137,IF($J137=11,AO137,IF($J137=10,AO137,0)))))</f>
        <v>0</v>
      </c>
      <c r="AO137" s="440">
        <f>IF(AO$5=$H137,-$E137,0)</f>
        <v>0</v>
      </c>
      <c r="AP137" s="441">
        <f>IF(AT137=0,0,IF(AT137&lt;0,IF($J137=3,AT137,IF($J137=2,AT137,IF($J137=1,AT137,0)))))</f>
        <v>0</v>
      </c>
      <c r="AQ137" s="442">
        <f>IF(AT137=0,0,IF(AT137&lt;0,IF($J137=6,AT137,IF($J137=5,AT137,IF($J137=4,AT137,0)))))</f>
        <v>0</v>
      </c>
      <c r="AR137" s="442">
        <f>IF(AT137=0,0,IF(AT137&lt;0,IF($J137=9,AT137,IF($J137=8,AT137,IF($J137=7,AT137,0)))))</f>
        <v>0</v>
      </c>
      <c r="AS137" s="443">
        <f>IF(AT137=0,0,IF(AT137&lt;0,IF($J137=12,AT137,IF($J137=11,AT137,IF($J137=10,AT137,0)))))</f>
        <v>0</v>
      </c>
      <c r="AT137" s="440">
        <f>IF(AT$5=$H137,-$E137,0)</f>
        <v>0</v>
      </c>
      <c r="AU137" s="441">
        <f>IF(AY137=0,0,IF(AY137&lt;0,IF($J137=3,AY137,IF($J137=2,AY137,IF($J137=1,AY137,0)))))</f>
        <v>0</v>
      </c>
      <c r="AV137" s="442">
        <f>IF(AY137=0,0,IF(AY137&lt;0,IF($J137=6,AY137,IF($J137=5,AY137,IF($J137=4,AY137,0)))))</f>
        <v>0</v>
      </c>
      <c r="AW137" s="442">
        <f>IF(AY137=0,0,IF(AY137&lt;0,IF($J137=9,AY137,IF($J137=8,AY137,IF($J137=7,AY137,0)))))</f>
        <v>0</v>
      </c>
      <c r="AX137" s="443">
        <f>IF(AY137=0,0,IF(AY137&lt;0,IF($J137=12,AY137,IF($J137=11,AY137,IF($J137=10,AY137,0)))))</f>
        <v>0</v>
      </c>
      <c r="AY137" s="440">
        <f>IF(AY$5=$H137,-$E137,0)</f>
        <v>0</v>
      </c>
      <c r="AZ137" s="441">
        <f>IF(BD137=0,0,IF(BD137&lt;0,IF($J137=3,BD137,IF($J137=2,BD137,IF($J137=1,BD137,0)))))</f>
        <v>0</v>
      </c>
      <c r="BA137" s="442">
        <f>IF(BD137=0,0,IF(BD137&lt;0,IF($J137=6,BD137,IF($J137=5,BD137,IF($J137=4,BD137,0)))))</f>
        <v>0</v>
      </c>
      <c r="BB137" s="442">
        <f>IF(BD137=0,0,IF(BD137&lt;0,IF($J137=9,BD137,IF($J137=8,BD137,IF($J137=7,BD137,0)))))</f>
        <v>0</v>
      </c>
      <c r="BC137" s="443">
        <f>IF(BD137=0,0,IF(BD137&lt;0,IF($J137=12,BD137,IF($J137=11,BD137,IF($J137=10,BD137,0)))))</f>
        <v>-1.9610000000000001</v>
      </c>
      <c r="BD137" s="440">
        <f>IF(BD$5=$H137,-$E137,0)</f>
        <v>-1.9610000000000001</v>
      </c>
      <c r="BE137" s="441">
        <f>IF(BI137=0,0,IF(BI137&lt;0,IF($J137=3,BI137,IF($J137=2,BI137,IF($J137=1,BI137,0)))))</f>
        <v>0</v>
      </c>
      <c r="BF137" s="442">
        <f>IF(BI137=0,0,IF(BI137&lt;0,IF($J137=6,BI137,IF($J137=5,BI137,IF($J137=4,BI137,0)))))</f>
        <v>0</v>
      </c>
      <c r="BG137" s="442">
        <f>IF(BI137=0,0,IF(BI137&lt;0,IF($J137=9,BI137,IF($J137=8,BI137,IF($J137=7,BI137,0)))))</f>
        <v>0</v>
      </c>
      <c r="BH137" s="443">
        <f>IF(BI137=0,0,IF(BI137&lt;0,IF($J137=12,BI137,IF($J137=11,BI137,IF($J137=10,BI137,0)))))</f>
        <v>0</v>
      </c>
      <c r="BI137" s="440">
        <f>IF(BI$5=$H137,-$E137,0)</f>
        <v>0</v>
      </c>
      <c r="BJ137" s="441">
        <f>IF(BN137=0,0,IF(BN137&lt;0,IF($J137=3,BN137,IF($J137=2,BN137,IF($J137=1,BN137,0)))))</f>
        <v>0</v>
      </c>
      <c r="BK137" s="442">
        <f>IF(BN137=0,0,IF(BN137&lt;0,IF($J137=6,BN137,IF($J137=5,BN137,IF($J137=4,BN137,0)))))</f>
        <v>0</v>
      </c>
      <c r="BL137" s="442">
        <f>IF(BN137=0,0,IF(BN137&lt;0,IF($J137=9,BN137,IF($J137=8,BN137,IF($J137=7,BN137,0)))))</f>
        <v>0</v>
      </c>
      <c r="BM137" s="443">
        <f>IF(BN137=0,0,IF(BN137&lt;0,IF($J137=12,BN137,IF($J137=11,BN137,IF($J137=10,BN137,0)))))</f>
        <v>0</v>
      </c>
      <c r="BN137" s="440">
        <f>IF(BN$5=$H137,-$E137,0)</f>
        <v>0</v>
      </c>
      <c r="BO137" s="470"/>
      <c r="BP137" s="441">
        <f>IF($H137&lt;&gt;BT$5,0,IF(BT137&lt;0,IF($J137=1,-$E137*$I137/12*3,IF($J137=2,-$E137*$I137/12*2,IF($J137=3,-$E137*$I137/12*1,0)))))+IF(BO$5&lt;&gt;$H137,0,IF(BO137&lt;0,IF($J137=1,-$E137*$I137/12*0,IF($J137=2,-$E137*$I137/12*1,IF($J137=3,-$E137*$I137/12*2,IF($J137&gt;=4,-$E137*$I137/12*3,0))))))</f>
        <v>0</v>
      </c>
      <c r="BQ137" s="442">
        <f>IF($H137&lt;&gt;BT$5,0,IF(BT137&lt;0,IF(OR($J137=1,$J137=2,$J137=3,$J137=4),-$E137*$I137/12*3,IF($J137=5,-$E137*$I137/12*2,IF($J137=6,-$E137*$I137/12*1,0)))))+IF(BO$5&lt;&gt;$H137,0,IF(BO137&lt;0,IF($J137=4,-$E137*$I137/12*0,IF($J137=5,-$E137*$I137/12*1,IF($J137=6,-$E137*$I137/12*2,IF($J137&gt;=7,-$E137*$I137/12*3,0))))))</f>
        <v>0</v>
      </c>
      <c r="BR137" s="442">
        <f>IF($H137&lt;&gt;BT$5,0,IF(BT137&lt;0,IF(OR($J137=1,$J137=2,$J137=3,$J137=4,$J137=5,$J137=6,$J137=7),-$E137*$I137/12*3,IF($J137=8,-$E137*$I137/12*2,IF($J137=9,-$E137*$I137/12*1,0)))))+IF(BO$5&lt;&gt;$H137,0,IF(BO137&lt;0,IF($J137=7,-$E137*$I137/12*0,IF($J137=8,-$E137*$I137/12*1,IF($J137=9,-$E137*$I137/12*2,IF($J137&gt;=10,-$E137*$I137/12*3,0))))))</f>
        <v>0</v>
      </c>
      <c r="BS137" s="443">
        <f>IF($H137&lt;&gt;BT$5,0,IF(BT137&lt;0,IF(OR($J137=1,$J137=2,$J137=3,$J137=4,$J137=5,$J137=6,$J137=7,$J137=8,$J137=9,$J137=10),-$E137*$I137/12*3,IF($J137=11,-$E137*$I137/12*2,IF($J137=12,-$E137*$I137/12*1,0)))))+IF(BO$5&lt;&gt;$H137,0,IF(BO137&lt;0,IF($J137=10,-$E137*$I137/12*0,IF($J137=11,-$E137*$I137/12*1,IF($J137=12,-$E137*$I137/12*2,0)))))</f>
        <v>0</v>
      </c>
      <c r="BT137" s="440">
        <f>IF(AND(BO137&lt;&gt;0,BO$5=$H137),-$I137*$E137-BO137,IF(BT$5=$H137,-$I137*$E137*(12-$J137+1)/12,0))</f>
        <v>0</v>
      </c>
      <c r="BU137" s="441">
        <f>IF($H137&lt;&gt;BY$5,0,IF(BY137&lt;0,IF($J137=1,-$E137*$I137/12*3,IF($J137=2,-$E137*$I137/12*2,IF($J137=3,-$E137*$I137/12*1,0)))))+IF(BT$5&lt;&gt;$H137,0,IF(BT137&lt;0,IF($J137=1,-$E137*$I137/12*0,IF($J137=2,-$E137*$I137/12*1,IF($J137=3,-$E137*$I137/12*2,IF($J137&gt;=4,-$E137*$I137/12*3,0))))))</f>
        <v>0</v>
      </c>
      <c r="BV137" s="442">
        <f>IF($H137&lt;&gt;BY$5,0,IF(BY137&lt;0,IF(OR($J137=1,$J137=2,$J137=3,$J137=4),-$E137*$I137/12*3,IF($J137=5,-$E137*$I137/12*2,IF($J137=6,-$E137*$I137/12*1,0)))))+IF(BT$5&lt;&gt;$H137,0,IF(BT137&lt;0,IF($J137=4,-$E137*$I137/12*0,IF($J137=5,-$E137*$I137/12*1,IF($J137=6,-$E137*$I137/12*2,IF($J137&gt;=7,-$E137*$I137/12*3,0))))))</f>
        <v>0</v>
      </c>
      <c r="BW137" s="442">
        <f>IF($H137&lt;&gt;BY$5,0,IF(BY137&lt;0,IF(OR($J137=1,$J137=2,$J137=3,$J137=4,$J137=5,$J137=6,$J137=7),-$E137*$I137/12*3,IF($J137=8,-$E137*$I137/12*2,IF($J137=9,-$E137*$I137/12*1,0)))))+IF(BT$5&lt;&gt;$H137,0,IF(BT137&lt;0,IF($J137=7,-$E137*$I137/12*0,IF($J137=8,-$E137*$I137/12*1,IF($J137=9,-$E137*$I137/12*2,IF($J137&gt;=10,-$E137*$I137/12*3,0))))))</f>
        <v>0</v>
      </c>
      <c r="BX137" s="443">
        <f>IF($H137&lt;&gt;BY$5,0,IF(BY137&lt;0,IF(OR($J137=1,$J137=2,$J137=3,$J137=4,$J137=5,$J137=6,$J137=7,$J137=8,$J137=9,$J137=10),-$E137*$I137/12*3,IF($J137=11,-$E137*$I137/12*2,IF($J137=12,-$E137*$I137/12*1,0)))))+IF(BT$5&lt;&gt;$H137,0,IF(BT137&lt;0,IF($J137=10,-$E137*$I137/12*0,IF($J137=11,-$E137*$I137/12*1,IF($J137=12,-$E137*$I137/12*2,0)))))</f>
        <v>0</v>
      </c>
      <c r="BY137" s="440">
        <f>IF(AND(BT137&lt;&gt;0,BT$5=$H137),-$I137*$E137-BT137,IF(BY$5=$H137,-$I137*$E137*(12-$J137+1)/12,0))</f>
        <v>0</v>
      </c>
      <c r="BZ137" s="441">
        <f>IF($H137&lt;&gt;CD$5,0,IF(CD137&lt;0,IF($J137=1,-$E137*$I137/12*3,IF($J137=2,-$E137*$I137/12*2,IF($J137=3,-$E137*$I137/12*1,0)))))+IF(BY$5&lt;&gt;$H137,0,IF(BY137&lt;0,IF($J137=1,-$E137*$I137/12*0,IF($J137=2,-$E137*$I137/12*1,IF($J137=3,-$E137*$I137/12*2,IF($J137&gt;=4,-$E137*$I137/12*3,0))))))</f>
        <v>0</v>
      </c>
      <c r="CA137" s="442">
        <f>IF($H137&lt;&gt;CD$5,0,IF(CD137&lt;0,IF(OR($J137=1,$J137=2,$J137=3,$J137=4),-$E137*$I137/12*3,IF($J137=5,-$E137*$I137/12*2,IF($J137=6,-$E137*$I137/12*1,0)))))+IF(BY$5&lt;&gt;$H137,0,IF(BY137&lt;0,IF($J137=4,-$E137*$I137/12*0,IF($J137=5,-$E137*$I137/12*1,IF($J137=6,-$E137*$I137/12*2,IF($J137&gt;=7,-$E137*$I137/12*3,0))))))</f>
        <v>0</v>
      </c>
      <c r="CB137" s="442">
        <f>IF($H137&lt;&gt;CD$5,0,IF(CD137&lt;0,IF(OR($J137=1,$J137=2,$J137=3,$J137=4,$J137=5,$J137=6,$J137=7),-$E137*$I137/12*3,IF($J137=8,-$E137*$I137/12*2,IF($J137=9,-$E137*$I137/12*1,0)))))+IF(BY$5&lt;&gt;$H137,0,IF(BY137&lt;0,IF($J137=7,-$E137*$I137/12*0,IF($J137=8,-$E137*$I137/12*1,IF($J137=9,-$E137*$I137/12*2,IF($J137&gt;=10,-$E137*$I137/12*3,0))))))</f>
        <v>0</v>
      </c>
      <c r="CC137" s="443">
        <f>IF($H137&lt;&gt;CD$5,0,IF(CD137&lt;0,IF(OR($J137=1,$J137=2,$J137=3,$J137=4,$J137=5,$J137=6,$J137=7,$J137=8,$J137=9,$J137=10),-$E137*$I137/12*3,IF($J137=11,-$E137*$I137/12*2,IF($J137=12,-$E137*$I137/12*1,0)))))+IF(BY$5&lt;&gt;$H137,0,IF(BY137&lt;0,IF($J137=10,-$E137*$I137/12*0,IF($J137=11,-$E137*$I137/12*1,IF($J137=12,-$E137*$I137/12*2,0)))))</f>
        <v>0</v>
      </c>
      <c r="CD137" s="440">
        <f>IF(AND(BY137&lt;&gt;0,BY$5=$H137),-$I137*$E137-BY137,IF(CD$5=$H137,-$I137*$E137*(12-$J137+1)/12,0))</f>
        <v>0</v>
      </c>
      <c r="CE137" s="441">
        <f>IF($H137&lt;&gt;CI$5,0,IF(CI137&lt;0,IF($J137=1,-$E137*$I137/12*3,IF($J137=2,-$E137*$I137/12*2,IF($J137=3,-$E137*$I137/12*1,0)))))+IF(CD$5&lt;&gt;$H137,0,IF(CD137&lt;0,IF($J137=1,-$E137*$I137/12*0,IF($J137=2,-$E137*$I137/12*1,IF($J137=3,-$E137*$I137/12*2,IF($J137&gt;=4,-$E137*$I137/12*3,0))))))</f>
        <v>0</v>
      </c>
      <c r="CF137" s="442">
        <f>IF($H137&lt;&gt;CI$5,0,IF(CI137&lt;0,IF(OR($J137=1,$J137=2,$J137=3,$J137=4),-$E137*$I137/12*3,IF($J137=5,-$E137*$I137/12*2,IF($J137=6,-$E137*$I137/12*1,0)))))+IF(CD$5&lt;&gt;$H137,0,IF(CD137&lt;0,IF($J137=4,-$E137*$I137/12*0,IF($J137=5,-$E137*$I137/12*1,IF($J137=6,-$E137*$I137/12*2,IF($J137&gt;=7,-$E137*$I137/12*3,0))))))</f>
        <v>0</v>
      </c>
      <c r="CG137" s="442">
        <f>IF($H137&lt;&gt;CI$5,0,IF(CI137&lt;0,IF(OR($J137=1,$J137=2,$J137=3,$J137=4,$J137=5,$J137=6,$J137=7),-$E137*$I137/12*3,IF($J137=8,-$E137*$I137/12*2,IF($J137=9,-$E137*$I137/12*1,0)))))+IF(CD$5&lt;&gt;$H137,0,IF(CD137&lt;0,IF($J137=7,-$E137*$I137/12*0,IF($J137=8,-$E137*$I137/12*1,IF($J137=9,-$E137*$I137/12*2,IF($J137&gt;=10,-$E137*$I137/12*3,0))))))</f>
        <v>0</v>
      </c>
      <c r="CH137" s="443">
        <f>IF($H137&lt;&gt;CI$5,0,IF(CI137&lt;0,IF(OR($J137=1,$J137=2,$J137=3,$J137=4,$J137=5,$J137=6,$J137=7,$J137=8,$J137=9,$J137=10),-$E137*$I137/12*3,IF($J137=11,-$E137*$I137/12*2,IF($J137=12,-$E137*$I137/12*1,0)))))+IF(CD$5&lt;&gt;$H137,0,IF(CD137&lt;0,IF($J137=10,-$E137*$I137/12*0,IF($J137=11,-$E137*$I137/12*1,IF($J137=12,-$E137*$I137/12*2,0)))))</f>
        <v>0</v>
      </c>
      <c r="CI137" s="440">
        <f>IF(AND(CD137&lt;&gt;0,CD$5=$H137),-$I137*$E137-CD137,IF(CI$5=$H137,-$I137*$E137*(12-$J137+1)/12,0))</f>
        <v>0</v>
      </c>
      <c r="CJ137" s="441">
        <f>IF($H137&lt;&gt;CN$5,0,IF(CN137&lt;0,IF($J137=1,-$E137*$I137/12*3,IF($J137=2,-$E137*$I137/12*2,IF($J137=3,-$E137*$I137/12*1,0)))))+IF(CI$5&lt;&gt;$H137,0,IF(CI137&lt;0,IF($J137=1,-$E137*$I137/12*0,IF($J137=2,-$E137*$I137/12*1,IF($J137=3,-$E137*$I137/12*2,IF($J137&gt;=4,-$E137*$I137/12*3,0))))))</f>
        <v>0</v>
      </c>
      <c r="CK137" s="442">
        <f>IF($H137&lt;&gt;CN$5,0,IF(CN137&lt;0,IF(OR($J137=1,$J137=2,$J137=3,$J137=4),-$E137*$I137/12*3,IF($J137=5,-$E137*$I137/12*2,IF($J137=6,-$E137*$I137/12*1,0)))))+IF(CI$5&lt;&gt;$H137,0,IF(CI137&lt;0,IF($J137=4,-$E137*$I137/12*0,IF($J137=5,-$E137*$I137/12*1,IF($J137=6,-$E137*$I137/12*2,IF($J137&gt;=7,-$E137*$I137/12*3,0))))))</f>
        <v>0</v>
      </c>
      <c r="CL137" s="442">
        <f>IF($H137&lt;&gt;CN$5,0,IF(CN137&lt;0,IF(OR($J137=1,$J137=2,$J137=3,$J137=4,$J137=5,$J137=6,$J137=7),-$E137*$I137/12*3,IF($J137=8,-$E137*$I137/12*2,IF($J137=9,-$E137*$I137/12*1,0)))))+IF(CI$5&lt;&gt;$H137,0,IF(CI137&lt;0,IF($J137=7,-$E137*$I137/12*0,IF($J137=8,-$E137*$I137/12*1,IF($J137=9,-$E137*$I137/12*2,IF($J137&gt;=10,-$E137*$I137/12*3,0))))))</f>
        <v>0</v>
      </c>
      <c r="CM137" s="443">
        <f>IF($H137&lt;&gt;CN$5,0,IF(CN137&lt;0,IF(OR($J137=1,$J137=2,$J137=3,$J137=4,$J137=5,$J137=6,$J137=7,$J137=8,$J137=9,$J137=10),-$E137*$I137/12*3,IF($J137=11,-$E137*$I137/12*2,IF($J137=12,-$E137*$I137/12*1,0)))))+IF(CI$5&lt;&gt;$H137,0,IF(CI137&lt;0,IF($J137=10,-$E137*$I137/12*0,IF($J137=11,-$E137*$I137/12*1,IF($J137=12,-$E137*$I137/12*2,0)))))</f>
        <v>0</v>
      </c>
      <c r="CN137" s="440">
        <f>IF(AND(CI137&lt;&gt;0,CI$5=$H137),-$I137*$E137-CI137,IF(CN$5=$H137,-$I137*$E137*(12-$J137+1)/12,0))</f>
        <v>0</v>
      </c>
      <c r="CO137" s="441">
        <f>IF($H137&lt;&gt;CS$5,0,IF(CS137&lt;0,IF($J137=1,-$E137*$I137/12*3,IF($J137=2,-$E137*$I137/12*2,IF($J137=3,-$E137*$I137/12*1,0)))))+IF(CN$5&lt;&gt;$H137,0,IF(CN137&lt;0,IF($J137=1,-$E137*$I137/12*0,IF($J137=2,-$E137*$I137/12*1,IF($J137=3,-$E137*$I137/12*2,IF($J137&gt;=4,-$E137*$I137/12*3,0))))))</f>
        <v>0</v>
      </c>
      <c r="CP137" s="442">
        <f>IF($H137&lt;&gt;CS$5,0,IF(CS137&lt;0,IF(OR($J137=1,$J137=2,$J137=3,$J137=4),-$E137*$I137/12*3,IF($J137=5,-$E137*$I137/12*2,IF($J137=6,-$E137*$I137/12*1,0)))))+IF(CN$5&lt;&gt;$H137,0,IF(CN137&lt;0,IF($J137=4,-$E137*$I137/12*0,IF($J137=5,-$E137*$I137/12*1,IF($J137=6,-$E137*$I137/12*2,IF($J137&gt;=7,-$E137*$I137/12*3,0))))))</f>
        <v>0</v>
      </c>
      <c r="CQ137" s="442">
        <f>IF($H137&lt;&gt;CS$5,0,IF(CS137&lt;0,IF(OR($J137=1,$J137=2,$J137=3,$J137=4,$J137=5,$J137=6,$J137=7),-$E137*$I137/12*3,IF($J137=8,-$E137*$I137/12*2,IF($J137=9,-$E137*$I137/12*1,0)))))+IF(CN$5&lt;&gt;$H137,0,IF(CN137&lt;0,IF($J137=7,-$E137*$I137/12*0,IF($J137=8,-$E137*$I137/12*1,IF($J137=9,-$E137*$I137/12*2,IF($J137&gt;=10,-$E137*$I137/12*3,0))))))</f>
        <v>0</v>
      </c>
      <c r="CR137" s="443">
        <f>IF($H137&lt;&gt;CS$5,0,IF(CS137&lt;0,IF(OR($J137=1,$J137=2,$J137=3,$J137=4,$J137=5,$J137=6,$J137=7,$J137=8,$J137=9,$J137=10),-$E137*$I137/12*3,IF($J137=11,-$E137*$I137/12*2,IF($J137=12,-$E137*$I137/12*1,0)))))+IF(CN$5&lt;&gt;$H137,0,IF(CN137&lt;0,IF($J137=10,-$E137*$I137/12*0,IF($J137=11,-$E137*$I137/12*1,IF($J137=12,-$E137*$I137/12*2,0)))))</f>
        <v>0</v>
      </c>
      <c r="CS137" s="440">
        <f>IF(AND(CN137&lt;&gt;0,CN$5=$H137),-$I137*$E137-CN137,IF(CS$5=$H137,-$I137*$E137*(12-$J137+1)/12,0))</f>
        <v>0</v>
      </c>
      <c r="CT137" s="441">
        <f>IF($H137&lt;&gt;CX$5,0,IF(CX137&lt;0,IF($J137=1,-$E137*$I137/12*3,IF($J137=2,-$E137*$I137/12*2,IF($J137=3,-$E137*$I137/12*1,0)))))+IF(CS$5&lt;&gt;$H137,0,IF(CS137&lt;0,IF($J137=1,-$E137*$I137/12*0,IF($J137=2,-$E137*$I137/12*1,IF($J137=3,-$E137*$I137/12*2,IF($J137&gt;=4,-$E137*$I137/12*3,0))))))</f>
        <v>0</v>
      </c>
      <c r="CU137" s="442">
        <f>IF($H137&lt;&gt;CX$5,0,IF(CX137&lt;0,IF(OR($J137=1,$J137=2,$J137=3,$J137=4),-$E137*$I137/12*3,IF($J137=5,-$E137*$I137/12*2,IF($J137=6,-$E137*$I137/12*1,0)))))+IF(CS$5&lt;&gt;$H137,0,IF(CS137&lt;0,IF($J137=4,-$E137*$I137/12*0,IF($J137=5,-$E137*$I137/12*1,IF($J137=6,-$E137*$I137/12*2,IF($J137&gt;=7,-$E137*$I137/12*3,0))))))</f>
        <v>0</v>
      </c>
      <c r="CV137" s="442">
        <f>IF($H137&lt;&gt;CX$5,0,IF(CX137&lt;0,IF(OR($J137=1,$J137=2,$J137=3,$J137=4,$J137=5,$J137=6,$J137=7),-$E137*$I137/12*3,IF($J137=8,-$E137*$I137/12*2,IF($J137=9,-$E137*$I137/12*1,0)))))+IF(CS$5&lt;&gt;$H137,0,IF(CS137&lt;0,IF($J137=7,-$E137*$I137/12*0,IF($J137=8,-$E137*$I137/12*1,IF($J137=9,-$E137*$I137/12*2,IF($J137&gt;=10,-$E137*$I137/12*3,0))))))</f>
        <v>0</v>
      </c>
      <c r="CW137" s="443">
        <f>IF($H137&lt;&gt;CX$5,0,IF(CX137&lt;0,IF(OR($J137=1,$J137=2,$J137=3,$J137=4,$J137=5,$J137=6,$J137=7,$J137=8,$J137=9,$J137=10),-$E137*$I137/12*3,IF($J137=11,-$E137*$I137/12*2,IF($J137=12,-$E137*$I137/12*1,0)))))+IF(CS$5&lt;&gt;$H137,0,IF(CS137&lt;0,IF($J137=10,-$E137*$I137/12*0,IF($J137=11,-$E137*$I137/12*1,IF($J137=12,-$E137*$I137/12*2,0)))))</f>
        <v>0</v>
      </c>
      <c r="CX137" s="440">
        <f>IF(AND(CS137&lt;&gt;0,CS$5=$H137),-$I137*$E137-CS137,IF(CX$5=$H137,-$I137*$E137*(12-$J137+1)/12,0))</f>
        <v>0</v>
      </c>
      <c r="CY137" s="441">
        <f>IF($H137&lt;&gt;DC$5,0,IF(DC137&lt;0,IF($J137=1,-$E137*$I137/12*3,IF($J137=2,-$E137*$I137/12*2,IF($J137=3,-$E137*$I137/12*1,0)))))+IF(CX$5&lt;&gt;$H137,0,IF(CX137&lt;0,IF($J137=1,-$E137*$I137/12*0,IF($J137=2,-$E137*$I137/12*1,IF($J137=3,-$E137*$I137/12*2,IF($J137&gt;=4,-$E137*$I137/12*3,0))))))</f>
        <v>0</v>
      </c>
      <c r="CZ137" s="442">
        <f>IF($H137&lt;&gt;DC$5,0,IF(DC137&lt;0,IF(OR($J137=1,$J137=2,$J137=3,$J137=4),-$E137*$I137/12*3,IF($J137=5,-$E137*$I137/12*2,IF($J137=6,-$E137*$I137/12*1,0)))))+IF(CX$5&lt;&gt;$H137,0,IF(CX137&lt;0,IF($J137=4,-$E137*$I137/12*0,IF($J137=5,-$E137*$I137/12*1,IF($J137=6,-$E137*$I137/12*2,IF($J137&gt;=7,-$E137*$I137/12*3,0))))))</f>
        <v>0</v>
      </c>
      <c r="DA137" s="442">
        <f>IF($H137&lt;&gt;DC$5,0,IF(DC137&lt;0,IF(OR($J137=1,$J137=2,$J137=3,$J137=4,$J137=5,$J137=6,$J137=7),-$E137*$I137/12*3,IF($J137=8,-$E137*$I137/12*2,IF($J137=9,-$E137*$I137/12*1,0)))))+IF(CX$5&lt;&gt;$H137,0,IF(CX137&lt;0,IF($J137=7,-$E137*$I137/12*0,IF($J137=8,-$E137*$I137/12*1,IF($J137=9,-$E137*$I137/12*2,IF($J137&gt;=10,-$E137*$I137/12*3,0))))))</f>
        <v>0</v>
      </c>
      <c r="DB137" s="443">
        <f>IF($H137&lt;&gt;DC$5,0,IF(DC137&lt;0,IF(OR($J137=1,$J137=2,$J137=3,$J137=4,$J137=5,$J137=6,$J137=7,$J137=8,$J137=9,$J137=10),-$E137*$I137/12*3,IF($J137=11,-$E137*$I137/12*2,IF($J137=12,-$E137*$I137/12*1,0)))))+IF(CX$5&lt;&gt;$H137,0,IF(CX137&lt;0,IF($J137=10,-$E137*$I137/12*0,IF($J137=11,-$E137*$I137/12*1,IF($J137=12,-$E137*$I137/12*2,0)))))</f>
        <v>0</v>
      </c>
      <c r="DC137" s="440">
        <f>IF(AND(CX137&lt;&gt;0,CX$5=$H137),-$I137*$E137-CX137,IF(DC$5=$H137,-$I137*$E137*(12-$J137+1)/12,0))</f>
        <v>0</v>
      </c>
      <c r="DD137" s="441">
        <f>IF($H137&lt;&gt;DH$5,0,IF(DH137&lt;0,IF($J137=1,-$E137*$I137/12*3,IF($J137=2,-$E137*$I137/12*2,IF($J137=3,-$E137*$I137/12*1,0)))))+IF(DC$5&lt;&gt;$H137,0,IF(DC137&lt;0,IF($J137=1,-$E137*$I137/12*0,IF($J137=2,-$E137*$I137/12*1,IF($J137=3,-$E137*$I137/12*2,IF($J137&gt;=4,-$E137*$I137/12*3,0))))))</f>
        <v>0</v>
      </c>
      <c r="DE137" s="442">
        <f>IF($H137&lt;&gt;DH$5,0,IF(DH137&lt;0,IF(OR($J137=1,$J137=2,$J137=3,$J137=4),-$E137*$I137/12*3,IF($J137=5,-$E137*$I137/12*2,IF($J137=6,-$E137*$I137/12*1,0)))))+IF(DC$5&lt;&gt;$H137,0,IF(DC137&lt;0,IF($J137=4,-$E137*$I137/12*0,IF($J137=5,-$E137*$I137/12*1,IF($J137=6,-$E137*$I137/12*2,IF($J137&gt;=7,-$E137*$I137/12*3,0))))))</f>
        <v>0</v>
      </c>
      <c r="DF137" s="442">
        <f>IF($H137&lt;&gt;DH$5,0,IF(DH137&lt;0,IF(OR($J137=1,$J137=2,$J137=3,$J137=4,$J137=5,$J137=6,$J137=7),-$E137*$I137/12*3,IF($J137=8,-$E137*$I137/12*2,IF($J137=9,-$E137*$I137/12*1,0)))))+IF(DC$5&lt;&gt;$H137,0,IF(DC137&lt;0,IF($J137=7,-$E137*$I137/12*0,IF($J137=8,-$E137*$I137/12*1,IF($J137=9,-$E137*$I137/12*2,IF($J137&gt;=10,-$E137*$I137/12*3,0))))))</f>
        <v>0</v>
      </c>
      <c r="DG137" s="443">
        <f>IF($H137&lt;&gt;DH$5,0,IF(DH137&lt;0,IF(OR($J137=1,$J137=2,$J137=3,$J137=4,$J137=5,$J137=6,$J137=7,$J137=8,$J137=9,$J137=10),-$E137*$I137/12*3,IF($J137=11,-$E137*$I137/12*2,IF($J137=12,-$E137*$I137/12*1,0)))))+IF(DC$5&lt;&gt;$H137,0,IF(DC137&lt;0,IF($J137=10,-$E137*$I137/12*0,IF($J137=11,-$E137*$I137/12*1,IF($J137=12,-$E137*$I137/12*2,0)))))</f>
        <v>-3.1833566666666667E-2</v>
      </c>
      <c r="DH137" s="440">
        <f>IF(AND(DC137&lt;&gt;0,DC$5=$H137),-$I137*$E137-DC137,IF(DH$5=$H137,-$I137*$E137*(12-$J137+1)/12,0))</f>
        <v>-3.1833566666666667E-2</v>
      </c>
      <c r="DI137" s="441">
        <f>IF($H137&lt;&gt;DM$5,0,IF(DM137&lt;0,IF($J137=1,-$E137*$I137/12*3,IF($J137=2,-$E137*$I137/12*2,IF($J137=3,-$E137*$I137/12*1,0)))))+IF(DH$5&lt;&gt;$H137,0,IF(DH137&lt;0,IF($J137=1,-$E137*$I137/12*0,IF($J137=2,-$E137*$I137/12*1,IF($J137=3,-$E137*$I137/12*2,IF($J137&gt;=4,-$E137*$I137/12*3,0))))))</f>
        <v>-4.7750349999999997E-2</v>
      </c>
      <c r="DJ137" s="442">
        <f>IF($H137&lt;&gt;DM$5,0,IF(DM137&lt;0,IF(OR($J137=1,$J137=2,$J137=3,$J137=4),-$E137*$I137/12*3,IF($J137=5,-$E137*$I137/12*2,IF($J137=6,-$E137*$I137/12*1,0)))))+IF(DH$5&lt;&gt;$H137,0,IF(DH137&lt;0,IF($J137=4,-$E137*$I137/12*0,IF($J137=5,-$E137*$I137/12*1,IF($J137=6,-$E137*$I137/12*2,IF($J137&gt;=7,-$E137*$I137/12*3,0))))))</f>
        <v>-4.7750349999999997E-2</v>
      </c>
      <c r="DK137" s="442">
        <f>IF($H137&lt;&gt;DM$5,0,IF(DM137&lt;0,IF(OR($J137=1,$J137=2,$J137=3,$J137=4,$J137=5,$J137=6,$J137=7),-$E137*$I137/12*3,IF($J137=8,-$E137*$I137/12*2,IF($J137=9,-$E137*$I137/12*1,0)))))+IF(DH$5&lt;&gt;$H137,0,IF(DH137&lt;0,IF($J137=7,-$E137*$I137/12*0,IF($J137=8,-$E137*$I137/12*1,IF($J137=9,-$E137*$I137/12*2,IF($J137&gt;=10,-$E137*$I137/12*3,0))))))</f>
        <v>-4.7750349999999997E-2</v>
      </c>
      <c r="DL137" s="443">
        <f>IF($H137&lt;&gt;DM$5,0,IF(DM137&lt;0,IF(OR($J137=1,$J137=2,$J137=3,$J137=4,$J137=5,$J137=6,$J137=7,$J137=8,$J137=9,$J137=10),-$E137*$I137/12*3,IF($J137=11,-$E137*$I137/12*2,IF($J137=12,-$E137*$I137/12*1,0)))))+IF(DH$5&lt;&gt;$H137,0,IF(DH137&lt;0,IF($J137=10,-$E137*$I137/12*0,IF($J137=11,-$E137*$I137/12*1,IF($J137=12,-$E137*$I137/12*2,0)))))</f>
        <v>-1.5916783333333333E-2</v>
      </c>
      <c r="DM137" s="440">
        <f>IF(AND(DH137&lt;&gt;0,DH$5=$H137),-$I137*$E137-DH137,IF(DM$5=$H137,-$I137*$E137*(12-$J137+1)/12,0))</f>
        <v>-0.15916783333333334</v>
      </c>
      <c r="DN137" s="441">
        <f>IF($H137&lt;&gt;DR$5,0,IF(DR137&lt;0,IF($J137=1,-$E137*$I137/12*3,IF($J137=2,-$E137*$I137/12*2,IF($J137=3,-$E137*$I137/12*1,0)))))+IF(DM$5&lt;&gt;$H137,0,IF(DM137&lt;0,IF($J137=1,-$E137*$I137/12*0,IF($J137=2,-$E137*$I137/12*1,IF($J137=3,-$E137*$I137/12*2,IF($J137&gt;=4,-$E137*$I137/12*3,0))))))</f>
        <v>0</v>
      </c>
      <c r="DO137" s="442">
        <f>IF($H137&lt;&gt;DR$5,0,IF(DR137&lt;0,IF(OR($J137=1,$J137=2,$J137=3,$J137=4),-$E137*$I137/12*3,IF($J137=5,-$E137*$I137/12*2,IF($J137=6,-$E137*$I137/12*1,0)))))+IF(DM$5&lt;&gt;$H137,0,IF(DM137&lt;0,IF($J137=4,-$E137*$I137/12*0,IF($J137=5,-$E137*$I137/12*1,IF($J137=6,-$E137*$I137/12*2,IF($J137&gt;=7,-$E137*$I137/12*3,0))))))</f>
        <v>0</v>
      </c>
      <c r="DP137" s="442">
        <f>IF($H137&lt;&gt;DR$5,0,IF(DR137&lt;0,IF(OR($J137=1,$J137=2,$J137=3,$J137=4,$J137=5,$J137=6,$J137=7),-$E137*$I137/12*3,IF($J137=8,-$E137*$I137/12*2,IF($J137=9,-$E137*$I137/12*1,0)))))+IF(DM$5&lt;&gt;$H137,0,IF(DM137&lt;0,IF($J137=7,-$E137*$I137/12*0,IF($J137=8,-$E137*$I137/12*1,IF($J137=9,-$E137*$I137/12*2,IF($J137&gt;=10,-$E137*$I137/12*3,0))))))</f>
        <v>0</v>
      </c>
      <c r="DQ137" s="443">
        <f>IF($H137&lt;&gt;DR$5,0,IF(DR137&lt;0,IF(OR($J137=1,$J137=2,$J137=3,$J137=4,$J137=5,$J137=6,$J137=7,$J137=8,$J137=9,$J137=10),-$E137*$I137/12*3,IF($J137=11,-$E137*$I137/12*2,IF($J137=12,-$E137*$I137/12*1,0)))))+IF(DM$5&lt;&gt;$H137,0,IF(DM137&lt;0,IF($J137=10,-$E137*$I137/12*0,IF($J137=11,-$E137*$I137/12*1,IF($J137=12,-$E137*$I137/12*2,0)))))</f>
        <v>0</v>
      </c>
      <c r="DR137" s="440">
        <f>IF(AND(DM137&lt;&gt;0,DM$5=$H137),-$I137*$E137-DM137,IF(DR$5=$H137,-$I137*$E137*(12-$J137+1)/12,0))</f>
        <v>0</v>
      </c>
    </row>
    <row r="138" spans="1:122">
      <c r="C138" s="1123" t="s">
        <v>747</v>
      </c>
      <c r="D138" s="395"/>
      <c r="E138" s="188">
        <f>IF(F138=0,G138,F138)</f>
        <v>100</v>
      </c>
      <c r="F138" s="1945">
        <v>100</v>
      </c>
      <c r="G138" s="1945">
        <v>100</v>
      </c>
      <c r="H138" s="1366">
        <v>2022</v>
      </c>
      <c r="I138" s="1367">
        <v>6.0899999999999996E-2</v>
      </c>
      <c r="J138" s="1357">
        <v>6</v>
      </c>
      <c r="K138" s="549"/>
      <c r="L138" s="441">
        <f t="shared" ref="L138:L140" si="1743">IF(P138=0,0,IF(P138&lt;0,IF($J138=3,P138,IF($J138=2,P138,IF($J138=1,P138,0)))))</f>
        <v>0</v>
      </c>
      <c r="M138" s="442">
        <f t="shared" ref="M138:M140" si="1744">IF(P138=0,0,IF(P138&lt;0,IF($J138=6,P138,IF($J138=5,P138,IF($J138=4,P138,0)))))</f>
        <v>0</v>
      </c>
      <c r="N138" s="442">
        <f t="shared" ref="N138:N140" si="1745">IF(P138=0,0,IF(P138&lt;0,IF($J138=9,P138,IF($J138=8,P138,IF($J138=7,P138,0)))))</f>
        <v>0</v>
      </c>
      <c r="O138" s="443">
        <f t="shared" ref="O138:O140" si="1746">IF(P138=0,0,IF(P138&lt;0,IF($J138=12,P138,IF($J138=11,P138,IF($J138=10,P138,0)))))</f>
        <v>0</v>
      </c>
      <c r="P138" s="440">
        <f t="shared" ref="P138:P140" si="1747">IF(P$5=$H138,-$E138,0)</f>
        <v>0</v>
      </c>
      <c r="Q138" s="441">
        <f t="shared" ref="Q138:Q140" si="1748">IF(U138=0,0,IF(U138&lt;0,IF($J138=3,U138,IF($J138=2,U138,IF($J138=1,U138,0)))))</f>
        <v>0</v>
      </c>
      <c r="R138" s="442">
        <f t="shared" ref="R138:R140" si="1749">IF(U138=0,0,IF(U138&lt;0,IF($J138=6,U138,IF($J138=5,U138,IF($J138=4,U138,0)))))</f>
        <v>0</v>
      </c>
      <c r="S138" s="442">
        <f t="shared" ref="S138:S140" si="1750">IF(U138=0,0,IF(U138&lt;0,IF($J138=9,U138,IF($J138=8,U138,IF($J138=7,U138,0)))))</f>
        <v>0</v>
      </c>
      <c r="T138" s="443">
        <f t="shared" ref="T138:T140" si="1751">IF(U138=0,0,IF(U138&lt;0,IF($J138=12,U138,IF($J138=11,U138,IF($J138=10,U138,0)))))</f>
        <v>0</v>
      </c>
      <c r="U138" s="440">
        <f t="shared" ref="U138:U140" si="1752">IF(U$5=$H138,-$E138,0)</f>
        <v>0</v>
      </c>
      <c r="V138" s="441">
        <f t="shared" ref="V138:V140" si="1753">IF(Z138=0,0,IF(Z138&lt;0,IF($J138=3,Z138,IF($J138=2,Z138,IF($J138=1,Z138,0)))))</f>
        <v>0</v>
      </c>
      <c r="W138" s="442">
        <f t="shared" ref="W138:W140" si="1754">IF(Z138=0,0,IF(Z138&lt;0,IF($J138=6,Z138,IF($J138=5,Z138,IF($J138=4,Z138,0)))))</f>
        <v>0</v>
      </c>
      <c r="X138" s="442">
        <f t="shared" ref="X138:X140" si="1755">IF(Z138=0,0,IF(Z138&lt;0,IF($J138=9,Z138,IF($J138=8,Z138,IF($J138=7,Z138,0)))))</f>
        <v>0</v>
      </c>
      <c r="Y138" s="443">
        <f t="shared" ref="Y138:Y140" si="1756">IF(Z138=0,0,IF(Z138&lt;0,IF($J138=12,Z138,IF($J138=11,Z138,IF($J138=10,Z138,0)))))</f>
        <v>0</v>
      </c>
      <c r="Z138" s="440">
        <f t="shared" ref="Z138:Z140" si="1757">IF(Z$5=$H138,-$E138,0)</f>
        <v>0</v>
      </c>
      <c r="AA138" s="441">
        <f t="shared" ref="AA138:AA140" si="1758">IF(AE138=0,0,IF(AE138&lt;0,IF($J138=3,AE138,IF($J138=2,AE138,IF($J138=1,AE138,0)))))</f>
        <v>0</v>
      </c>
      <c r="AB138" s="442">
        <f t="shared" ref="AB138:AB140" si="1759">IF(AE138=0,0,IF(AE138&lt;0,IF($J138=6,AE138,IF($J138=5,AE138,IF($J138=4,AE138,0)))))</f>
        <v>0</v>
      </c>
      <c r="AC138" s="442">
        <f t="shared" ref="AC138:AC140" si="1760">IF(AE138=0,0,IF(AE138&lt;0,IF($J138=9,AE138,IF($J138=8,AE138,IF($J138=7,AE138,0)))))</f>
        <v>0</v>
      </c>
      <c r="AD138" s="443">
        <f t="shared" ref="AD138:AD140" si="1761">IF(AE138=0,0,IF(AE138&lt;0,IF($J138=12,AE138,IF($J138=11,AE138,IF($J138=10,AE138,0)))))</f>
        <v>0</v>
      </c>
      <c r="AE138" s="440">
        <f t="shared" ref="AE138:AE140" si="1762">IF(AE$5=$H138,-$E138,0)</f>
        <v>0</v>
      </c>
      <c r="AF138" s="441">
        <f t="shared" ref="AF138:AF140" si="1763">IF(AJ138=0,0,IF(AJ138&lt;0,IF($J138=3,AJ138,IF($J138=2,AJ138,IF($J138=1,AJ138,0)))))</f>
        <v>0</v>
      </c>
      <c r="AG138" s="442">
        <f t="shared" ref="AG138:AG140" si="1764">IF(AJ138=0,0,IF(AJ138&lt;0,IF($J138=6,AJ138,IF($J138=5,AJ138,IF($J138=4,AJ138,0)))))</f>
        <v>0</v>
      </c>
      <c r="AH138" s="442">
        <f t="shared" ref="AH138:AH140" si="1765">IF(AJ138=0,0,IF(AJ138&lt;0,IF($J138=9,AJ138,IF($J138=8,AJ138,IF($J138=7,AJ138,0)))))</f>
        <v>0</v>
      </c>
      <c r="AI138" s="443">
        <f t="shared" ref="AI138:AI140" si="1766">IF(AJ138=0,0,IF(AJ138&lt;0,IF($J138=12,AJ138,IF($J138=11,AJ138,IF($J138=10,AJ138,0)))))</f>
        <v>0</v>
      </c>
      <c r="AJ138" s="440">
        <f t="shared" ref="AJ138:AJ140" si="1767">IF(AJ$5=$H138,-$E138,0)</f>
        <v>0</v>
      </c>
      <c r="AK138" s="441">
        <f t="shared" ref="AK138:AK140" si="1768">IF(AO138=0,0,IF(AO138&lt;0,IF($J138=3,AO138,IF($J138=2,AO138,IF($J138=1,AO138,0)))))</f>
        <v>0</v>
      </c>
      <c r="AL138" s="442">
        <f t="shared" ref="AL138:AL140" si="1769">IF(AO138=0,0,IF(AO138&lt;0,IF($J138=6,AO138,IF($J138=5,AO138,IF($J138=4,AO138,0)))))</f>
        <v>0</v>
      </c>
      <c r="AM138" s="442">
        <f t="shared" ref="AM138:AM140" si="1770">IF(AO138=0,0,IF(AO138&lt;0,IF($J138=9,AO138,IF($J138=8,AO138,IF($J138=7,AO138,0)))))</f>
        <v>0</v>
      </c>
      <c r="AN138" s="443">
        <f t="shared" ref="AN138:AN140" si="1771">IF(AO138=0,0,IF(AO138&lt;0,IF($J138=12,AO138,IF($J138=11,AO138,IF($J138=10,AO138,0)))))</f>
        <v>0</v>
      </c>
      <c r="AO138" s="440">
        <f t="shared" ref="AO138:AO140" si="1772">IF(AO$5=$H138,-$E138,0)</f>
        <v>0</v>
      </c>
      <c r="AP138" s="441">
        <f t="shared" ref="AP138:AP140" si="1773">IF(AT138=0,0,IF(AT138&lt;0,IF($J138=3,AT138,IF($J138=2,AT138,IF($J138=1,AT138,0)))))</f>
        <v>0</v>
      </c>
      <c r="AQ138" s="442">
        <f t="shared" ref="AQ138:AQ140" si="1774">IF(AT138=0,0,IF(AT138&lt;0,IF($J138=6,AT138,IF($J138=5,AT138,IF($J138=4,AT138,0)))))</f>
        <v>0</v>
      </c>
      <c r="AR138" s="442">
        <f t="shared" ref="AR138:AR140" si="1775">IF(AT138=0,0,IF(AT138&lt;0,IF($J138=9,AT138,IF($J138=8,AT138,IF($J138=7,AT138,0)))))</f>
        <v>0</v>
      </c>
      <c r="AS138" s="443">
        <f t="shared" ref="AS138:AS140" si="1776">IF(AT138=0,0,IF(AT138&lt;0,IF($J138=12,AT138,IF($J138=11,AT138,IF($J138=10,AT138,0)))))</f>
        <v>0</v>
      </c>
      <c r="AT138" s="440">
        <f t="shared" ref="AT138:AT140" si="1777">IF(AT$5=$H138,-$E138,0)</f>
        <v>0</v>
      </c>
      <c r="AU138" s="441">
        <f t="shared" ref="AU138:AU140" si="1778">IF(AY138=0,0,IF(AY138&lt;0,IF($J138=3,AY138,IF($J138=2,AY138,IF($J138=1,AY138,0)))))</f>
        <v>0</v>
      </c>
      <c r="AV138" s="442">
        <f t="shared" ref="AV138:AV140" si="1779">IF(AY138=0,0,IF(AY138&lt;0,IF($J138=6,AY138,IF($J138=5,AY138,IF($J138=4,AY138,0)))))</f>
        <v>0</v>
      </c>
      <c r="AW138" s="442">
        <f t="shared" ref="AW138:AW140" si="1780">IF(AY138=0,0,IF(AY138&lt;0,IF($J138=9,AY138,IF($J138=8,AY138,IF($J138=7,AY138,0)))))</f>
        <v>0</v>
      </c>
      <c r="AX138" s="443">
        <f t="shared" ref="AX138:AX140" si="1781">IF(AY138=0,0,IF(AY138&lt;0,IF($J138=12,AY138,IF($J138=11,AY138,IF($J138=10,AY138,0)))))</f>
        <v>0</v>
      </c>
      <c r="AY138" s="440">
        <f t="shared" ref="AY138:AY140" si="1782">IF(AY$5=$H138,-$E138,0)</f>
        <v>0</v>
      </c>
      <c r="AZ138" s="441">
        <f t="shared" ref="AZ138:AZ140" si="1783">IF(BD138=0,0,IF(BD138&lt;0,IF($J138=3,BD138,IF($J138=2,BD138,IF($J138=1,BD138,0)))))</f>
        <v>0</v>
      </c>
      <c r="BA138" s="442">
        <f t="shared" ref="BA138:BA140" si="1784">IF(BD138=0,0,IF(BD138&lt;0,IF($J138=6,BD138,IF($J138=5,BD138,IF($J138=4,BD138,0)))))</f>
        <v>0</v>
      </c>
      <c r="BB138" s="442">
        <f t="shared" ref="BB138:BB140" si="1785">IF(BD138=0,0,IF(BD138&lt;0,IF($J138=9,BD138,IF($J138=8,BD138,IF($J138=7,BD138,0)))))</f>
        <v>0</v>
      </c>
      <c r="BC138" s="443">
        <f t="shared" ref="BC138:BC140" si="1786">IF(BD138=0,0,IF(BD138&lt;0,IF($J138=12,BD138,IF($J138=11,BD138,IF($J138=10,BD138,0)))))</f>
        <v>0</v>
      </c>
      <c r="BD138" s="440">
        <f t="shared" ref="BD138:BD140" si="1787">IF(BD$5=$H138,-$E138,0)</f>
        <v>0</v>
      </c>
      <c r="BE138" s="441">
        <f t="shared" ref="BE138:BE140" si="1788">IF(BI138=0,0,IF(BI138&lt;0,IF($J138=3,BI138,IF($J138=2,BI138,IF($J138=1,BI138,0)))))</f>
        <v>0</v>
      </c>
      <c r="BF138" s="442">
        <f t="shared" ref="BF138:BF140" si="1789">IF(BI138=0,0,IF(BI138&lt;0,IF($J138=6,BI138,IF($J138=5,BI138,IF($J138=4,BI138,0)))))</f>
        <v>0</v>
      </c>
      <c r="BG138" s="442">
        <f t="shared" ref="BG138:BG140" si="1790">IF(BI138=0,0,IF(BI138&lt;0,IF($J138=9,BI138,IF($J138=8,BI138,IF($J138=7,BI138,0)))))</f>
        <v>0</v>
      </c>
      <c r="BH138" s="443">
        <f t="shared" ref="BH138:BH140" si="1791">IF(BI138=0,0,IF(BI138&lt;0,IF($J138=12,BI138,IF($J138=11,BI138,IF($J138=10,BI138,0)))))</f>
        <v>0</v>
      </c>
      <c r="BI138" s="440">
        <f t="shared" ref="BI138:BI140" si="1792">IF(BI$5=$H138,-$E138,0)</f>
        <v>0</v>
      </c>
      <c r="BJ138" s="441">
        <f t="shared" ref="BJ138:BJ140" si="1793">IF(BN138=0,0,IF(BN138&lt;0,IF($J138=3,BN138,IF($J138=2,BN138,IF($J138=1,BN138,0)))))</f>
        <v>0</v>
      </c>
      <c r="BK138" s="442">
        <f t="shared" ref="BK138:BK140" si="1794">IF(BN138=0,0,IF(BN138&lt;0,IF($J138=6,BN138,IF($J138=5,BN138,IF($J138=4,BN138,0)))))</f>
        <v>0</v>
      </c>
      <c r="BL138" s="442">
        <f t="shared" ref="BL138:BL140" si="1795">IF(BN138=0,0,IF(BN138&lt;0,IF($J138=9,BN138,IF($J138=8,BN138,IF($J138=7,BN138,0)))))</f>
        <v>0</v>
      </c>
      <c r="BM138" s="443">
        <f t="shared" ref="BM138:BM140" si="1796">IF(BN138=0,0,IF(BN138&lt;0,IF($J138=12,BN138,IF($J138=11,BN138,IF($J138=10,BN138,0)))))</f>
        <v>0</v>
      </c>
      <c r="BN138" s="440">
        <f t="shared" ref="BN138:BN140" si="1797">IF(BN$5=$H138,-$E138,0)</f>
        <v>0</v>
      </c>
      <c r="BO138" s="470"/>
      <c r="BP138" s="441">
        <f>IF($H138&lt;&gt;BT$5,0,IF(BT138&lt;0,IF($J138=1,-$E138*$I138/12*3,IF($J138=2,-$E138*$I138/12*2,IF($J138=3,-$E138*$I138/12*1,0)))))+IF(BO$5&lt;&gt;$H138,0,IF(BO138&lt;0,IF($J138=1,-$E138*$I138/12*0,IF($J138=2,-$E138*$I138/12*1,IF($J138=3,-$E138*$I138/12*2,IF($J138&gt;=4,-$E138*$I138/12*3,0))))))</f>
        <v>0</v>
      </c>
      <c r="BQ138" s="442">
        <f>IF($H138&lt;&gt;BT$5,0,IF(BT138&lt;0,IF(OR($J138=1,$J138=2,$J138=3,$J138=4),-$E138*$I138/12*3,IF($J138=5,-$E138*$I138/12*2,IF($J138=6,-$E138*$I138/12*1,0)))))+IF(BO$5&lt;&gt;$H138,0,IF(BO138&lt;0,IF($J138=4,-$E138*$I138/12*0,IF($J138=5,-$E138*$I138/12*1,IF($J138=6,-$E138*$I138/12*2,IF($J138&gt;=7,-$E138*$I138/12*3,0))))))</f>
        <v>0</v>
      </c>
      <c r="BR138" s="442">
        <f>IF($H138&lt;&gt;BT$5,0,IF(BT138&lt;0,IF(OR($J138=1,$J138=2,$J138=3,$J138=4,$J138=5,$J138=6,$J138=7),-$E138*$I138/12*3,IF($J138=8,-$E138*$I138/12*2,IF($J138=9,-$E138*$I138/12*1,0)))))+IF(BO$5&lt;&gt;$H138,0,IF(BO138&lt;0,IF($J138=7,-$E138*$I138/12*0,IF($J138=8,-$E138*$I138/12*1,IF($J138=9,-$E138*$I138/12*2,IF($J138&gt;=10,-$E138*$I138/12*3,0))))))</f>
        <v>0</v>
      </c>
      <c r="BS138" s="443">
        <f>IF($H138&lt;&gt;BT$5,0,IF(BT138&lt;0,IF(OR($J138=1,$J138=2,$J138=3,$J138=4,$J138=5,$J138=6,$J138=7,$J138=8,$J138=9,$J138=10),-$E138*$I138/12*3,IF($J138=11,-$E138*$I138/12*2,IF($J138=12,-$E138*$I138/12*1,0)))))+IF(BO$5&lt;&gt;$H138,0,IF(BO138&lt;0,IF($J138=10,-$E138*$I138/12*0,IF($J138=11,-$E138*$I138/12*1,IF($J138=12,-$E138*$I138/12*2,0)))))</f>
        <v>0</v>
      </c>
      <c r="BT138" s="440">
        <f>IF(AND(BO138&lt;&gt;0,BO$5=$H138),-$I138*$E138-BO138,IF(BT$5=$H138,-$I138*$E138*(12-$J138+1)/12,0))</f>
        <v>0</v>
      </c>
      <c r="BU138" s="441">
        <f>IF($H138&lt;&gt;BY$5,0,IF(BY138&lt;0,IF($J138=1,-$E138*$I138/12*3,IF($J138=2,-$E138*$I138/12*2,IF($J138=3,-$E138*$I138/12*1,0)))))+IF(BT$5&lt;&gt;$H138,0,IF(BT138&lt;0,IF($J138=1,-$E138*$I138/12*0,IF($J138=2,-$E138*$I138/12*1,IF($J138=3,-$E138*$I138/12*2,IF($J138&gt;=4,-$E138*$I138/12*3,0))))))</f>
        <v>0</v>
      </c>
      <c r="BV138" s="442">
        <f>IF($H138&lt;&gt;BY$5,0,IF(BY138&lt;0,IF(OR($J138=1,$J138=2,$J138=3,$J138=4),-$E138*$I138/12*3,IF($J138=5,-$E138*$I138/12*2,IF($J138=6,-$E138*$I138/12*1,0)))))+IF(BT$5&lt;&gt;$H138,0,IF(BT138&lt;0,IF($J138=4,-$E138*$I138/12*0,IF($J138=5,-$E138*$I138/12*1,IF($J138=6,-$E138*$I138/12*2,IF($J138&gt;=7,-$E138*$I138/12*3,0))))))</f>
        <v>0</v>
      </c>
      <c r="BW138" s="442">
        <f>IF($H138&lt;&gt;BY$5,0,IF(BY138&lt;0,IF(OR($J138=1,$J138=2,$J138=3,$J138=4,$J138=5,$J138=6,$J138=7),-$E138*$I138/12*3,IF($J138=8,-$E138*$I138/12*2,IF($J138=9,-$E138*$I138/12*1,0)))))+IF(BT$5&lt;&gt;$H138,0,IF(BT138&lt;0,IF($J138=7,-$E138*$I138/12*0,IF($J138=8,-$E138*$I138/12*1,IF($J138=9,-$E138*$I138/12*2,IF($J138&gt;=10,-$E138*$I138/12*3,0))))))</f>
        <v>0</v>
      </c>
      <c r="BX138" s="443">
        <f>IF($H138&lt;&gt;BY$5,0,IF(BY138&lt;0,IF(OR($J138=1,$J138=2,$J138=3,$J138=4,$J138=5,$J138=6,$J138=7,$J138=8,$J138=9,$J138=10),-$E138*$I138/12*3,IF($J138=11,-$E138*$I138/12*2,IF($J138=12,-$E138*$I138/12*1,0)))))+IF(BT$5&lt;&gt;$H138,0,IF(BT138&lt;0,IF($J138=10,-$E138*$I138/12*0,IF($J138=11,-$E138*$I138/12*1,IF($J138=12,-$E138*$I138/12*2,0)))))</f>
        <v>0</v>
      </c>
      <c r="BY138" s="440">
        <f>IF(AND(BT138&lt;&gt;0,BT$5=$H138),-$I138*$E138-BT138,IF(BY$5=$H138,-$I138*$E138*(12-$J138+1)/12,0))</f>
        <v>0</v>
      </c>
      <c r="BZ138" s="441">
        <f>IF($H138&lt;&gt;CD$5,0,IF(CD138&lt;0,IF($J138=1,-$E138*$I138/12*3,IF($J138=2,-$E138*$I138/12*2,IF($J138=3,-$E138*$I138/12*1,0)))))+IF(BY$5&lt;&gt;$H138,0,IF(BY138&lt;0,IF($J138=1,-$E138*$I138/12*0,IF($J138=2,-$E138*$I138/12*1,IF($J138=3,-$E138*$I138/12*2,IF($J138&gt;=4,-$E138*$I138/12*3,0))))))</f>
        <v>0</v>
      </c>
      <c r="CA138" s="442">
        <f>IF($H138&lt;&gt;CD$5,0,IF(CD138&lt;0,IF(OR($J138=1,$J138=2,$J138=3,$J138=4),-$E138*$I138/12*3,IF($J138=5,-$E138*$I138/12*2,IF($J138=6,-$E138*$I138/12*1,0)))))+IF(BY$5&lt;&gt;$H138,0,IF(BY138&lt;0,IF($J138=4,-$E138*$I138/12*0,IF($J138=5,-$E138*$I138/12*1,IF($J138=6,-$E138*$I138/12*2,IF($J138&gt;=7,-$E138*$I138/12*3,0))))))</f>
        <v>0</v>
      </c>
      <c r="CB138" s="442">
        <f>IF($H138&lt;&gt;CD$5,0,IF(CD138&lt;0,IF(OR($J138=1,$J138=2,$J138=3,$J138=4,$J138=5,$J138=6,$J138=7),-$E138*$I138/12*3,IF($J138=8,-$E138*$I138/12*2,IF($J138=9,-$E138*$I138/12*1,0)))))+IF(BY$5&lt;&gt;$H138,0,IF(BY138&lt;0,IF($J138=7,-$E138*$I138/12*0,IF($J138=8,-$E138*$I138/12*1,IF($J138=9,-$E138*$I138/12*2,IF($J138&gt;=10,-$E138*$I138/12*3,0))))))</f>
        <v>0</v>
      </c>
      <c r="CC138" s="443">
        <f>IF($H138&lt;&gt;CD$5,0,IF(CD138&lt;0,IF(OR($J138=1,$J138=2,$J138=3,$J138=4,$J138=5,$J138=6,$J138=7,$J138=8,$J138=9,$J138=10),-$E138*$I138/12*3,IF($J138=11,-$E138*$I138/12*2,IF($J138=12,-$E138*$I138/12*1,0)))))+IF(BY$5&lt;&gt;$H138,0,IF(BY138&lt;0,IF($J138=10,-$E138*$I138/12*0,IF($J138=11,-$E138*$I138/12*1,IF($J138=12,-$E138*$I138/12*2,0)))))</f>
        <v>0</v>
      </c>
      <c r="CD138" s="440">
        <f>IF(AND(BY138&lt;&gt;0,BY$5=$H138),-$I138*$E138-BY138,IF(CD$5=$H138,-$I138*$E138*(12-$J138+1)/12,0))</f>
        <v>0</v>
      </c>
      <c r="CE138" s="441">
        <f>IF($H138&lt;&gt;CI$5,0,IF(CI138&lt;0,IF($J138=1,-$E138*$I138/12*3,IF($J138=2,-$E138*$I138/12*2,IF($J138=3,-$E138*$I138/12*1,0)))))+IF(CD$5&lt;&gt;$H138,0,IF(CD138&lt;0,IF($J138=1,-$E138*$I138/12*0,IF($J138=2,-$E138*$I138/12*1,IF($J138=3,-$E138*$I138/12*2,IF($J138&gt;=4,-$E138*$I138/12*3,0))))))</f>
        <v>0</v>
      </c>
      <c r="CF138" s="442">
        <f>IF($H138&lt;&gt;CI$5,0,IF(CI138&lt;0,IF(OR($J138=1,$J138=2,$J138=3,$J138=4),-$E138*$I138/12*3,IF($J138=5,-$E138*$I138/12*2,IF($J138=6,-$E138*$I138/12*1,0)))))+IF(CD$5&lt;&gt;$H138,0,IF(CD138&lt;0,IF($J138=4,-$E138*$I138/12*0,IF($J138=5,-$E138*$I138/12*1,IF($J138=6,-$E138*$I138/12*2,IF($J138&gt;=7,-$E138*$I138/12*3,0))))))</f>
        <v>0</v>
      </c>
      <c r="CG138" s="442">
        <f>IF($H138&lt;&gt;CI$5,0,IF(CI138&lt;0,IF(OR($J138=1,$J138=2,$J138=3,$J138=4,$J138=5,$J138=6,$J138=7),-$E138*$I138/12*3,IF($J138=8,-$E138*$I138/12*2,IF($J138=9,-$E138*$I138/12*1,0)))))+IF(CD$5&lt;&gt;$H138,0,IF(CD138&lt;0,IF($J138=7,-$E138*$I138/12*0,IF($J138=8,-$E138*$I138/12*1,IF($J138=9,-$E138*$I138/12*2,IF($J138&gt;=10,-$E138*$I138/12*3,0))))))</f>
        <v>0</v>
      </c>
      <c r="CH138" s="443">
        <f>IF($H138&lt;&gt;CI$5,0,IF(CI138&lt;0,IF(OR($J138=1,$J138=2,$J138=3,$J138=4,$J138=5,$J138=6,$J138=7,$J138=8,$J138=9,$J138=10),-$E138*$I138/12*3,IF($J138=11,-$E138*$I138/12*2,IF($J138=12,-$E138*$I138/12*1,0)))))+IF(CD$5&lt;&gt;$H138,0,IF(CD138&lt;0,IF($J138=10,-$E138*$I138/12*0,IF($J138=11,-$E138*$I138/12*1,IF($J138=12,-$E138*$I138/12*2,0)))))</f>
        <v>0</v>
      </c>
      <c r="CI138" s="440">
        <f>IF(AND(CD138&lt;&gt;0,CD$5=$H138),-$I138*$E138-CD138,IF(CI$5=$H138,-$I138*$E138*(12-$J138+1)/12,0))</f>
        <v>0</v>
      </c>
      <c r="CJ138" s="441">
        <f>IF($H138&lt;&gt;CN$5,0,IF(CN138&lt;0,IF($J138=1,-$E138*$I138/12*3,IF($J138=2,-$E138*$I138/12*2,IF($J138=3,-$E138*$I138/12*1,0)))))+IF(CI$5&lt;&gt;$H138,0,IF(CI138&lt;0,IF($J138=1,-$E138*$I138/12*0,IF($J138=2,-$E138*$I138/12*1,IF($J138=3,-$E138*$I138/12*2,IF($J138&gt;=4,-$E138*$I138/12*3,0))))))</f>
        <v>0</v>
      </c>
      <c r="CK138" s="442">
        <f>IF($H138&lt;&gt;CN$5,0,IF(CN138&lt;0,IF(OR($J138=1,$J138=2,$J138=3,$J138=4),-$E138*$I138/12*3,IF($J138=5,-$E138*$I138/12*2,IF($J138=6,-$E138*$I138/12*1,0)))))+IF(CI$5&lt;&gt;$H138,0,IF(CI138&lt;0,IF($J138=4,-$E138*$I138/12*0,IF($J138=5,-$E138*$I138/12*1,IF($J138=6,-$E138*$I138/12*2,IF($J138&gt;=7,-$E138*$I138/12*3,0))))))</f>
        <v>0</v>
      </c>
      <c r="CL138" s="442">
        <f>IF($H138&lt;&gt;CN$5,0,IF(CN138&lt;0,IF(OR($J138=1,$J138=2,$J138=3,$J138=4,$J138=5,$J138=6,$J138=7),-$E138*$I138/12*3,IF($J138=8,-$E138*$I138/12*2,IF($J138=9,-$E138*$I138/12*1,0)))))+IF(CI$5&lt;&gt;$H138,0,IF(CI138&lt;0,IF($J138=7,-$E138*$I138/12*0,IF($J138=8,-$E138*$I138/12*1,IF($J138=9,-$E138*$I138/12*2,IF($J138&gt;=10,-$E138*$I138/12*3,0))))))</f>
        <v>0</v>
      </c>
      <c r="CM138" s="443">
        <f>IF($H138&lt;&gt;CN$5,0,IF(CN138&lt;0,IF(OR($J138=1,$J138=2,$J138=3,$J138=4,$J138=5,$J138=6,$J138=7,$J138=8,$J138=9,$J138=10),-$E138*$I138/12*3,IF($J138=11,-$E138*$I138/12*2,IF($J138=12,-$E138*$I138/12*1,0)))))+IF(CI$5&lt;&gt;$H138,0,IF(CI138&lt;0,IF($J138=10,-$E138*$I138/12*0,IF($J138=11,-$E138*$I138/12*1,IF($J138=12,-$E138*$I138/12*2,0)))))</f>
        <v>0</v>
      </c>
      <c r="CN138" s="440">
        <f>IF(AND(CI138&lt;&gt;0,CI$5=$H138),-$I138*$E138-CI138,IF(CN$5=$H138,-$I138*$E138*(12-$J138+1)/12,0))</f>
        <v>0</v>
      </c>
      <c r="CO138" s="441">
        <f>IF($H138&lt;&gt;CS$5,0,IF(CS138&lt;0,IF($J138=1,-$E138*$I138/12*3,IF($J138=2,-$E138*$I138/12*2,IF($J138=3,-$E138*$I138/12*1,0)))))+IF(CN$5&lt;&gt;$H138,0,IF(CN138&lt;0,IF($J138=1,-$E138*$I138/12*0,IF($J138=2,-$E138*$I138/12*1,IF($J138=3,-$E138*$I138/12*2,IF($J138&gt;=4,-$E138*$I138/12*3,0))))))</f>
        <v>0</v>
      </c>
      <c r="CP138" s="442">
        <f>IF($H138&lt;&gt;CS$5,0,IF(CS138&lt;0,IF(OR($J138=1,$J138=2,$J138=3,$J138=4),-$E138*$I138/12*3,IF($J138=5,-$E138*$I138/12*2,IF($J138=6,-$E138*$I138/12*1,0)))))+IF(CN$5&lt;&gt;$H138,0,IF(CN138&lt;0,IF($J138=4,-$E138*$I138/12*0,IF($J138=5,-$E138*$I138/12*1,IF($J138=6,-$E138*$I138/12*2,IF($J138&gt;=7,-$E138*$I138/12*3,0))))))</f>
        <v>0</v>
      </c>
      <c r="CQ138" s="442">
        <f>IF($H138&lt;&gt;CS$5,0,IF(CS138&lt;0,IF(OR($J138=1,$J138=2,$J138=3,$J138=4,$J138=5,$J138=6,$J138=7),-$E138*$I138/12*3,IF($J138=8,-$E138*$I138/12*2,IF($J138=9,-$E138*$I138/12*1,0)))))+IF(CN$5&lt;&gt;$H138,0,IF(CN138&lt;0,IF($J138=7,-$E138*$I138/12*0,IF($J138=8,-$E138*$I138/12*1,IF($J138=9,-$E138*$I138/12*2,IF($J138&gt;=10,-$E138*$I138/12*3,0))))))</f>
        <v>0</v>
      </c>
      <c r="CR138" s="443">
        <f>IF($H138&lt;&gt;CS$5,0,IF(CS138&lt;0,IF(OR($J138=1,$J138=2,$J138=3,$J138=4,$J138=5,$J138=6,$J138=7,$J138=8,$J138=9,$J138=10),-$E138*$I138/12*3,IF($J138=11,-$E138*$I138/12*2,IF($J138=12,-$E138*$I138/12*1,0)))))+IF(CN$5&lt;&gt;$H138,0,IF(CN138&lt;0,IF($J138=10,-$E138*$I138/12*0,IF($J138=11,-$E138*$I138/12*1,IF($J138=12,-$E138*$I138/12*2,0)))))</f>
        <v>0</v>
      </c>
      <c r="CS138" s="440">
        <f>IF(AND(CN138&lt;&gt;0,CN$5=$H138),-$I138*$E138-CN138,IF(CS$5=$H138,-$I138*$E138*(12-$J138+1)/12,0))</f>
        <v>0</v>
      </c>
      <c r="CT138" s="441">
        <f>IF($H138&lt;&gt;CX$5,0,IF(CX138&lt;0,IF($J138=1,-$E138*$I138/12*3,IF($J138=2,-$E138*$I138/12*2,IF($J138=3,-$E138*$I138/12*1,0)))))+IF(CS$5&lt;&gt;$H138,0,IF(CS138&lt;0,IF($J138=1,-$E138*$I138/12*0,IF($J138=2,-$E138*$I138/12*1,IF($J138=3,-$E138*$I138/12*2,IF($J138&gt;=4,-$E138*$I138/12*3,0))))))</f>
        <v>0</v>
      </c>
      <c r="CU138" s="442">
        <f>IF($H138&lt;&gt;CX$5,0,IF(CX138&lt;0,IF(OR($J138=1,$J138=2,$J138=3,$J138=4),-$E138*$I138/12*3,IF($J138=5,-$E138*$I138/12*2,IF($J138=6,-$E138*$I138/12*1,0)))))+IF(CS$5&lt;&gt;$H138,0,IF(CS138&lt;0,IF($J138=4,-$E138*$I138/12*0,IF($J138=5,-$E138*$I138/12*1,IF($J138=6,-$E138*$I138/12*2,IF($J138&gt;=7,-$E138*$I138/12*3,0))))))</f>
        <v>0</v>
      </c>
      <c r="CV138" s="442">
        <f>IF($H138&lt;&gt;CX$5,0,IF(CX138&lt;0,IF(OR($J138=1,$J138=2,$J138=3,$J138=4,$J138=5,$J138=6,$J138=7),-$E138*$I138/12*3,IF($J138=8,-$E138*$I138/12*2,IF($J138=9,-$E138*$I138/12*1,0)))))+IF(CS$5&lt;&gt;$H138,0,IF(CS138&lt;0,IF($J138=7,-$E138*$I138/12*0,IF($J138=8,-$E138*$I138/12*1,IF($J138=9,-$E138*$I138/12*2,IF($J138&gt;=10,-$E138*$I138/12*3,0))))))</f>
        <v>0</v>
      </c>
      <c r="CW138" s="443">
        <f>IF($H138&lt;&gt;CX$5,0,IF(CX138&lt;0,IF(OR($J138=1,$J138=2,$J138=3,$J138=4,$J138=5,$J138=6,$J138=7,$J138=8,$J138=9,$J138=10),-$E138*$I138/12*3,IF($J138=11,-$E138*$I138/12*2,IF($J138=12,-$E138*$I138/12*1,0)))))+IF(CS$5&lt;&gt;$H138,0,IF(CS138&lt;0,IF($J138=10,-$E138*$I138/12*0,IF($J138=11,-$E138*$I138/12*1,IF($J138=12,-$E138*$I138/12*2,0)))))</f>
        <v>0</v>
      </c>
      <c r="CX138" s="440">
        <f>IF(AND(CS138&lt;&gt;0,CS$5=$H138),-$I138*$E138-CS138,IF(CX$5=$H138,-$I138*$E138*(12-$J138+1)/12,0))</f>
        <v>0</v>
      </c>
      <c r="CY138" s="441">
        <f>IF($H138&lt;&gt;DC$5,0,IF(DC138&lt;0,IF($J138=1,-$E138*$I138/12*3,IF($J138=2,-$E138*$I138/12*2,IF($J138=3,-$E138*$I138/12*1,0)))))+IF(CX$5&lt;&gt;$H138,0,IF(CX138&lt;0,IF($J138=1,-$E138*$I138/12*0,IF($J138=2,-$E138*$I138/12*1,IF($J138=3,-$E138*$I138/12*2,IF($J138&gt;=4,-$E138*$I138/12*3,0))))))</f>
        <v>0</v>
      </c>
      <c r="CZ138" s="442">
        <f>IF($H138&lt;&gt;DC$5,0,IF(DC138&lt;0,IF(OR($J138=1,$J138=2,$J138=3,$J138=4),-$E138*$I138/12*3,IF($J138=5,-$E138*$I138/12*2,IF($J138=6,-$E138*$I138/12*1,0)))))+IF(CX$5&lt;&gt;$H138,0,IF(CX138&lt;0,IF($J138=4,-$E138*$I138/12*0,IF($J138=5,-$E138*$I138/12*1,IF($J138=6,-$E138*$I138/12*2,IF($J138&gt;=7,-$E138*$I138/12*3,0))))))</f>
        <v>0</v>
      </c>
      <c r="DA138" s="442">
        <f>IF($H138&lt;&gt;DC$5,0,IF(DC138&lt;0,IF(OR($J138=1,$J138=2,$J138=3,$J138=4,$J138=5,$J138=6,$J138=7),-$E138*$I138/12*3,IF($J138=8,-$E138*$I138/12*2,IF($J138=9,-$E138*$I138/12*1,0)))))+IF(CX$5&lt;&gt;$H138,0,IF(CX138&lt;0,IF($J138=7,-$E138*$I138/12*0,IF($J138=8,-$E138*$I138/12*1,IF($J138=9,-$E138*$I138/12*2,IF($J138&gt;=10,-$E138*$I138/12*3,0))))))</f>
        <v>0</v>
      </c>
      <c r="DB138" s="443">
        <f>IF($H138&lt;&gt;DC$5,0,IF(DC138&lt;0,IF(OR($J138=1,$J138=2,$J138=3,$J138=4,$J138=5,$J138=6,$J138=7,$J138=8,$J138=9,$J138=10),-$E138*$I138/12*3,IF($J138=11,-$E138*$I138/12*2,IF($J138=12,-$E138*$I138/12*1,0)))))+IF(CX$5&lt;&gt;$H138,0,IF(CX138&lt;0,IF($J138=10,-$E138*$I138/12*0,IF($J138=11,-$E138*$I138/12*1,IF($J138=12,-$E138*$I138/12*2,0)))))</f>
        <v>0</v>
      </c>
      <c r="DC138" s="440">
        <f>IF(AND(CX138&lt;&gt;0,CX$5=$H138),-$I138*$E138-CX138,IF(DC$5=$H138,-$I138*$E138*(12-$J138+1)/12,0))</f>
        <v>0</v>
      </c>
      <c r="DD138" s="441">
        <f>IF($H138&lt;&gt;DH$5,0,IF(DH138&lt;0,IF($J138=1,-$E138*$I138/12*3,IF($J138=2,-$E138*$I138/12*2,IF($J138=3,-$E138*$I138/12*1,0)))))+IF(DC$5&lt;&gt;$H138,0,IF(DC138&lt;0,IF($J138=1,-$E138*$I138/12*0,IF($J138=2,-$E138*$I138/12*1,IF($J138=3,-$E138*$I138/12*2,IF($J138&gt;=4,-$E138*$I138/12*3,0))))))</f>
        <v>0</v>
      </c>
      <c r="DE138" s="442">
        <f>IF($H138&lt;&gt;DH$5,0,IF(DH138&lt;0,IF(OR($J138=1,$J138=2,$J138=3,$J138=4),-$E138*$I138/12*3,IF($J138=5,-$E138*$I138/12*2,IF($J138=6,-$E138*$I138/12*1,0)))))+IF(DC$5&lt;&gt;$H138,0,IF(DC138&lt;0,IF($J138=4,-$E138*$I138/12*0,IF($J138=5,-$E138*$I138/12*1,IF($J138=6,-$E138*$I138/12*2,IF($J138&gt;=7,-$E138*$I138/12*3,0))))))</f>
        <v>0</v>
      </c>
      <c r="DF138" s="442">
        <f>IF($H138&lt;&gt;DH$5,0,IF(DH138&lt;0,IF(OR($J138=1,$J138=2,$J138=3,$J138=4,$J138=5,$J138=6,$J138=7),-$E138*$I138/12*3,IF($J138=8,-$E138*$I138/12*2,IF($J138=9,-$E138*$I138/12*1,0)))))+IF(DC$5&lt;&gt;$H138,0,IF(DC138&lt;0,IF($J138=7,-$E138*$I138/12*0,IF($J138=8,-$E138*$I138/12*1,IF($J138=9,-$E138*$I138/12*2,IF($J138&gt;=10,-$E138*$I138/12*3,0))))))</f>
        <v>0</v>
      </c>
      <c r="DG138" s="443">
        <f>IF($H138&lt;&gt;DH$5,0,IF(DH138&lt;0,IF(OR($J138=1,$J138=2,$J138=3,$J138=4,$J138=5,$J138=6,$J138=7,$J138=8,$J138=9,$J138=10),-$E138*$I138/12*3,IF($J138=11,-$E138*$I138/12*2,IF($J138=12,-$E138*$I138/12*1,0)))))+IF(DC$5&lt;&gt;$H138,0,IF(DC138&lt;0,IF($J138=10,-$E138*$I138/12*0,IF($J138=11,-$E138*$I138/12*1,IF($J138=12,-$E138*$I138/12*2,0)))))</f>
        <v>0</v>
      </c>
      <c r="DH138" s="440">
        <f>IF(AND(DC138&lt;&gt;0,DC$5=$H138),-$I138*$E138-DC138,IF(DH$5=$H138,-$I138*$E138*(12-$J138+1)/12,0))</f>
        <v>0</v>
      </c>
      <c r="DI138" s="441">
        <f>IF($H138&lt;&gt;DM$5,0,IF(DM138&lt;0,IF($J138=1,-$E138*$I138/12*3,IF($J138=2,-$E138*$I138/12*2,IF($J138=3,-$E138*$I138/12*1,0)))))+IF(DH$5&lt;&gt;$H138,0,IF(DH138&lt;0,IF($J138=1,-$E138*$I138/12*0,IF($J138=2,-$E138*$I138/12*1,IF($J138=3,-$E138*$I138/12*2,IF($J138&gt;=4,-$E138*$I138/12*3,0))))))</f>
        <v>0</v>
      </c>
      <c r="DJ138" s="442">
        <f>IF($H138&lt;&gt;DM$5,0,IF(DM138&lt;0,IF(OR($J138=1,$J138=2,$J138=3,$J138=4),-$E138*$I138/12*3,IF($J138=5,-$E138*$I138/12*2,IF($J138=6,-$E138*$I138/12*1,0)))))+IF(DH$5&lt;&gt;$H138,0,IF(DH138&lt;0,IF($J138=4,-$E138*$I138/12*0,IF($J138=5,-$E138*$I138/12*1,IF($J138=6,-$E138*$I138/12*2,IF($J138&gt;=7,-$E138*$I138/12*3,0))))))</f>
        <v>0</v>
      </c>
      <c r="DK138" s="442">
        <f>IF($H138&lt;&gt;DM$5,0,IF(DM138&lt;0,IF(OR($J138=1,$J138=2,$J138=3,$J138=4,$J138=5,$J138=6,$J138=7),-$E138*$I138/12*3,IF($J138=8,-$E138*$I138/12*2,IF($J138=9,-$E138*$I138/12*1,0)))))+IF(DH$5&lt;&gt;$H138,0,IF(DH138&lt;0,IF($J138=7,-$E138*$I138/12*0,IF($J138=8,-$E138*$I138/12*1,IF($J138=9,-$E138*$I138/12*2,IF($J138&gt;=10,-$E138*$I138/12*3,0))))))</f>
        <v>0</v>
      </c>
      <c r="DL138" s="443">
        <f>IF($H138&lt;&gt;DM$5,0,IF(DM138&lt;0,IF(OR($J138=1,$J138=2,$J138=3,$J138=4,$J138=5,$J138=6,$J138=7,$J138=8,$J138=9,$J138=10),-$E138*$I138/12*3,IF($J138=11,-$E138*$I138/12*2,IF($J138=12,-$E138*$I138/12*1,0)))))+IF(DH$5&lt;&gt;$H138,0,IF(DH138&lt;0,IF($J138=10,-$E138*$I138/12*0,IF($J138=11,-$E138*$I138/12*1,IF($J138=12,-$E138*$I138/12*2,0)))))</f>
        <v>0</v>
      </c>
      <c r="DM138" s="440">
        <f>IF(AND(DH138&lt;&gt;0,DH$5=$H138),-$I138*$E138-DH138,IF(DM$5=$H138,-$I138*$E138*(12-$J138+1)/12,0))</f>
        <v>0</v>
      </c>
      <c r="DN138" s="441">
        <f>IF($H138&lt;&gt;DR$5,0,IF(DR138&lt;0,IF($J138=1,-$E138*$I138/12*3,IF($J138=2,-$E138*$I138/12*2,IF($J138=3,-$E138*$I138/12*1,0)))))+IF(DM$5&lt;&gt;$H138,0,IF(DM138&lt;0,IF($J138=1,-$E138*$I138/12*0,IF($J138=2,-$E138*$I138/12*1,IF($J138=3,-$E138*$I138/12*2,IF($J138&gt;=4,-$E138*$I138/12*3,0))))))</f>
        <v>0</v>
      </c>
      <c r="DO138" s="442">
        <f>IF($H138&lt;&gt;DR$5,0,IF(DR138&lt;0,IF(OR($J138=1,$J138=2,$J138=3,$J138=4),-$E138*$I138/12*3,IF($J138=5,-$E138*$I138/12*2,IF($J138=6,-$E138*$I138/12*1,0)))))+IF(DM$5&lt;&gt;$H138,0,IF(DM138&lt;0,IF($J138=4,-$E138*$I138/12*0,IF($J138=5,-$E138*$I138/12*1,IF($J138=6,-$E138*$I138/12*2,IF($J138&gt;=7,-$E138*$I138/12*3,0))))))</f>
        <v>0</v>
      </c>
      <c r="DP138" s="442">
        <f>IF($H138&lt;&gt;DR$5,0,IF(DR138&lt;0,IF(OR($J138=1,$J138=2,$J138=3,$J138=4,$J138=5,$J138=6,$J138=7),-$E138*$I138/12*3,IF($J138=8,-$E138*$I138/12*2,IF($J138=9,-$E138*$I138/12*1,0)))))+IF(DM$5&lt;&gt;$H138,0,IF(DM138&lt;0,IF($J138=7,-$E138*$I138/12*0,IF($J138=8,-$E138*$I138/12*1,IF($J138=9,-$E138*$I138/12*2,IF($J138&gt;=10,-$E138*$I138/12*3,0))))))</f>
        <v>0</v>
      </c>
      <c r="DQ138" s="443">
        <f>IF($H138&lt;&gt;DR$5,0,IF(DR138&lt;0,IF(OR($J138=1,$J138=2,$J138=3,$J138=4,$J138=5,$J138=6,$J138=7,$J138=8,$J138=9,$J138=10),-$E138*$I138/12*3,IF($J138=11,-$E138*$I138/12*2,IF($J138=12,-$E138*$I138/12*1,0)))))+IF(DM$5&lt;&gt;$H138,0,IF(DM138&lt;0,IF($J138=10,-$E138*$I138/12*0,IF($J138=11,-$E138*$I138/12*1,IF($J138=12,-$E138*$I138/12*2,0)))))</f>
        <v>0</v>
      </c>
      <c r="DR138" s="440">
        <f>IF(AND(DM138&lt;&gt;0,DM$5=$H138),-$I138*$E138-DM138,IF(DR$5=$H138,-$I138*$E138*(12-$J138+1)/12,0))</f>
        <v>0</v>
      </c>
    </row>
    <row r="139" spans="1:122">
      <c r="C139" s="1590" t="s">
        <v>1179</v>
      </c>
      <c r="D139" s="395"/>
      <c r="E139" s="188">
        <f>IF(F139=0,G139,F139)</f>
        <v>50</v>
      </c>
      <c r="F139" s="1368">
        <v>50</v>
      </c>
      <c r="G139" s="1368">
        <v>50</v>
      </c>
      <c r="H139" s="1366">
        <v>2056</v>
      </c>
      <c r="I139" s="1367">
        <v>4.24E-2</v>
      </c>
      <c r="J139" s="1357">
        <v>7</v>
      </c>
      <c r="K139" s="549"/>
      <c r="L139" s="441">
        <f>IF(P139=0,0,IF(P139&lt;0,IF($J139=3,P139,IF($J139=2,P139,IF($J139=1,P139,0)))))</f>
        <v>0</v>
      </c>
      <c r="M139" s="442">
        <f>IF(P139=0,0,IF(P139&lt;0,IF($J139=6,P139,IF($J139=5,P139,IF($J139=4,P139,0)))))</f>
        <v>0</v>
      </c>
      <c r="N139" s="442">
        <f>IF(P139=0,0,IF(P139&lt;0,IF($J139=9,P139,IF($J139=8,P139,IF($J139=7,P139,0)))))</f>
        <v>0</v>
      </c>
      <c r="O139" s="443">
        <f>IF(P139=0,0,IF(P139&lt;0,IF($J139=12,P139,IF($J139=11,P139,IF($J139=10,P139,0)))))</f>
        <v>0</v>
      </c>
      <c r="P139" s="440">
        <f>IF(P$5=$H139,-$E139,0)</f>
        <v>0</v>
      </c>
      <c r="Q139" s="441">
        <f>IF(U139=0,0,IF(U139&lt;0,IF($J139=3,U139,IF($J139=2,U139,IF($J139=1,U139,0)))))</f>
        <v>0</v>
      </c>
      <c r="R139" s="442">
        <f>IF(U139=0,0,IF(U139&lt;0,IF($J139=6,U139,IF($J139=5,U139,IF($J139=4,U139,0)))))</f>
        <v>0</v>
      </c>
      <c r="S139" s="442">
        <f>IF(U139=0,0,IF(U139&lt;0,IF($J139=9,U139,IF($J139=8,U139,IF($J139=7,U139,0)))))</f>
        <v>0</v>
      </c>
      <c r="T139" s="443">
        <f>IF(U139=0,0,IF(U139&lt;0,IF($J139=12,U139,IF($J139=11,U139,IF($J139=10,U139,0)))))</f>
        <v>0</v>
      </c>
      <c r="U139" s="440">
        <f>IF(U$5=$H139,-$E139,0)</f>
        <v>0</v>
      </c>
      <c r="V139" s="441">
        <f>IF(Z139=0,0,IF(Z139&lt;0,IF($J139=3,Z139,IF($J139=2,Z139,IF($J139=1,Z139,0)))))</f>
        <v>0</v>
      </c>
      <c r="W139" s="442">
        <f>IF(Z139=0,0,IF(Z139&lt;0,IF($J139=6,Z139,IF($J139=5,Z139,IF($J139=4,Z139,0)))))</f>
        <v>0</v>
      </c>
      <c r="X139" s="442">
        <f>IF(Z139=0,0,IF(Z139&lt;0,IF($J139=9,Z139,IF($J139=8,Z139,IF($J139=7,Z139,0)))))</f>
        <v>0</v>
      </c>
      <c r="Y139" s="443">
        <f>IF(Z139=0,0,IF(Z139&lt;0,IF($J139=12,Z139,IF($J139=11,Z139,IF($J139=10,Z139,0)))))</f>
        <v>0</v>
      </c>
      <c r="Z139" s="440">
        <f>IF(Z$5=$H139,-$E139,0)</f>
        <v>0</v>
      </c>
      <c r="AA139" s="441">
        <f>IF(AE139=0,0,IF(AE139&lt;0,IF($J139=3,AE139,IF($J139=2,AE139,IF($J139=1,AE139,0)))))</f>
        <v>0</v>
      </c>
      <c r="AB139" s="442">
        <f>IF(AE139=0,0,IF(AE139&lt;0,IF($J139=6,AE139,IF($J139=5,AE139,IF($J139=4,AE139,0)))))</f>
        <v>0</v>
      </c>
      <c r="AC139" s="442">
        <f>IF(AE139=0,0,IF(AE139&lt;0,IF($J139=9,AE139,IF($J139=8,AE139,IF($J139=7,AE139,0)))))</f>
        <v>0</v>
      </c>
      <c r="AD139" s="443">
        <f>IF(AE139=0,0,IF(AE139&lt;0,IF($J139=12,AE139,IF($J139=11,AE139,IF($J139=10,AE139,0)))))</f>
        <v>0</v>
      </c>
      <c r="AE139" s="440">
        <f>IF(AE$5=$H139,-$E139,0)</f>
        <v>0</v>
      </c>
      <c r="AF139" s="441">
        <f>IF(AJ139=0,0,IF(AJ139&lt;0,IF($J139=3,AJ139,IF($J139=2,AJ139,IF($J139=1,AJ139,0)))))</f>
        <v>0</v>
      </c>
      <c r="AG139" s="442">
        <f>IF(AJ139=0,0,IF(AJ139&lt;0,IF($J139=6,AJ139,IF($J139=5,AJ139,IF($J139=4,AJ139,0)))))</f>
        <v>0</v>
      </c>
      <c r="AH139" s="442">
        <f>IF(AJ139=0,0,IF(AJ139&lt;0,IF($J139=9,AJ139,IF($J139=8,AJ139,IF($J139=7,AJ139,0)))))</f>
        <v>0</v>
      </c>
      <c r="AI139" s="443">
        <f>IF(AJ139=0,0,IF(AJ139&lt;0,IF($J139=12,AJ139,IF($J139=11,AJ139,IF($J139=10,AJ139,0)))))</f>
        <v>0</v>
      </c>
      <c r="AJ139" s="440">
        <f>IF(AJ$5=$H139,-$E139,0)</f>
        <v>0</v>
      </c>
      <c r="AK139" s="441">
        <f>IF(AO139=0,0,IF(AO139&lt;0,IF($J139=3,AO139,IF($J139=2,AO139,IF($J139=1,AO139,0)))))</f>
        <v>0</v>
      </c>
      <c r="AL139" s="442">
        <f>IF(AO139=0,0,IF(AO139&lt;0,IF($J139=6,AO139,IF($J139=5,AO139,IF($J139=4,AO139,0)))))</f>
        <v>0</v>
      </c>
      <c r="AM139" s="442">
        <f>IF(AO139=0,0,IF(AO139&lt;0,IF($J139=9,AO139,IF($J139=8,AO139,IF($J139=7,AO139,0)))))</f>
        <v>0</v>
      </c>
      <c r="AN139" s="443">
        <f>IF(AO139=0,0,IF(AO139&lt;0,IF($J139=12,AO139,IF($J139=11,AO139,IF($J139=10,AO139,0)))))</f>
        <v>0</v>
      </c>
      <c r="AO139" s="440">
        <f>IF(AO$5=$H139,-$E139,0)</f>
        <v>0</v>
      </c>
      <c r="AP139" s="441">
        <f>IF(AT139=0,0,IF(AT139&lt;0,IF($J139=3,AT139,IF($J139=2,AT139,IF($J139=1,AT139,0)))))</f>
        <v>0</v>
      </c>
      <c r="AQ139" s="442">
        <f>IF(AT139=0,0,IF(AT139&lt;0,IF($J139=6,AT139,IF($J139=5,AT139,IF($J139=4,AT139,0)))))</f>
        <v>0</v>
      </c>
      <c r="AR139" s="442">
        <f>IF(AT139=0,0,IF(AT139&lt;0,IF($J139=9,AT139,IF($J139=8,AT139,IF($J139=7,AT139,0)))))</f>
        <v>0</v>
      </c>
      <c r="AS139" s="443">
        <f>IF(AT139=0,0,IF(AT139&lt;0,IF($J139=12,AT139,IF($J139=11,AT139,IF($J139=10,AT139,0)))))</f>
        <v>0</v>
      </c>
      <c r="AT139" s="440">
        <f>IF(AT$5=$H139,-$E139,0)</f>
        <v>0</v>
      </c>
      <c r="AU139" s="441">
        <f>IF(AY139=0,0,IF(AY139&lt;0,IF($J139=3,AY139,IF($J139=2,AY139,IF($J139=1,AY139,0)))))</f>
        <v>0</v>
      </c>
      <c r="AV139" s="442">
        <f>IF(AY139=0,0,IF(AY139&lt;0,IF($J139=6,AY139,IF($J139=5,AY139,IF($J139=4,AY139,0)))))</f>
        <v>0</v>
      </c>
      <c r="AW139" s="442">
        <f>IF(AY139=0,0,IF(AY139&lt;0,IF($J139=9,AY139,IF($J139=8,AY139,IF($J139=7,AY139,0)))))</f>
        <v>0</v>
      </c>
      <c r="AX139" s="443">
        <f>IF(AY139=0,0,IF(AY139&lt;0,IF($J139=12,AY139,IF($J139=11,AY139,IF($J139=10,AY139,0)))))</f>
        <v>0</v>
      </c>
      <c r="AY139" s="440">
        <f>IF(AY$5=$H139,-$E139,0)</f>
        <v>0</v>
      </c>
      <c r="AZ139" s="441">
        <f>IF(BD139=0,0,IF(BD139&lt;0,IF($J139=3,BD139,IF($J139=2,BD139,IF($J139=1,BD139,0)))))</f>
        <v>0</v>
      </c>
      <c r="BA139" s="442">
        <f>IF(BD139=0,0,IF(BD139&lt;0,IF($J139=6,BD139,IF($J139=5,BD139,IF($J139=4,BD139,0)))))</f>
        <v>0</v>
      </c>
      <c r="BB139" s="442">
        <f>IF(BD139=0,0,IF(BD139&lt;0,IF($J139=9,BD139,IF($J139=8,BD139,IF($J139=7,BD139,0)))))</f>
        <v>0</v>
      </c>
      <c r="BC139" s="443">
        <f>IF(BD139=0,0,IF(BD139&lt;0,IF($J139=12,BD139,IF($J139=11,BD139,IF($J139=10,BD139,0)))))</f>
        <v>0</v>
      </c>
      <c r="BD139" s="440">
        <f>IF(BD$5=$H139,-$E139,0)</f>
        <v>0</v>
      </c>
      <c r="BE139" s="441">
        <f>IF(BI139=0,0,IF(BI139&lt;0,IF($J139=3,BI139,IF($J139=2,BI139,IF($J139=1,BI139,0)))))</f>
        <v>0</v>
      </c>
      <c r="BF139" s="442">
        <f>IF(BI139=0,0,IF(BI139&lt;0,IF($J139=6,BI139,IF($J139=5,BI139,IF($J139=4,BI139,0)))))</f>
        <v>0</v>
      </c>
      <c r="BG139" s="442">
        <f>IF(BI139=0,0,IF(BI139&lt;0,IF($J139=9,BI139,IF($J139=8,BI139,IF($J139=7,BI139,0)))))</f>
        <v>0</v>
      </c>
      <c r="BH139" s="443">
        <f>IF(BI139=0,0,IF(BI139&lt;0,IF($J139=12,BI139,IF($J139=11,BI139,IF($J139=10,BI139,0)))))</f>
        <v>0</v>
      </c>
      <c r="BI139" s="440">
        <f>IF(BI$5=$H139,-$E139,0)</f>
        <v>0</v>
      </c>
      <c r="BJ139" s="441">
        <f>IF(BN139=0,0,IF(BN139&lt;0,IF($J139=3,BN139,IF($J139=2,BN139,IF($J139=1,BN139,0)))))</f>
        <v>0</v>
      </c>
      <c r="BK139" s="442">
        <f>IF(BN139=0,0,IF(BN139&lt;0,IF($J139=6,BN139,IF($J139=5,BN139,IF($J139=4,BN139,0)))))</f>
        <v>0</v>
      </c>
      <c r="BL139" s="442">
        <f>IF(BN139=0,0,IF(BN139&lt;0,IF($J139=9,BN139,IF($J139=8,BN139,IF($J139=7,BN139,0)))))</f>
        <v>0</v>
      </c>
      <c r="BM139" s="443">
        <f>IF(BN139=0,0,IF(BN139&lt;0,IF($J139=12,BN139,IF($J139=11,BN139,IF($J139=10,BN139,0)))))</f>
        <v>0</v>
      </c>
      <c r="BN139" s="440">
        <f>IF(BN$5=$H139,-$E139,0)</f>
        <v>0</v>
      </c>
      <c r="BO139" s="470"/>
      <c r="BP139" s="441">
        <f>IF($H139&lt;&gt;BT$5,0,IF(BT139&lt;0,IF($J139=1,-$E139*$I139/12*3,IF($J139=2,-$E139*$I139/12*2,IF($J139=3,-$E139*$I139/12*1,0)))))+IF(BO$5&lt;&gt;$H139,0,IF(BO139&lt;0,IF($J139=1,-$E139*$I139/12*0,IF($J139=2,-$E139*$I139/12*1,IF($J139=3,-$E139*$I139/12*2,IF($J139&gt;=4,-$E139*$I139/12*3,0))))))</f>
        <v>0</v>
      </c>
      <c r="BQ139" s="442">
        <f>IF($H139&lt;&gt;BT$5,0,IF(BT139&lt;0,IF(OR($J139=1,$J139=2,$J139=3,$J139=4),-$E139*$I139/12*3,IF($J139=5,-$E139*$I139/12*2,IF($J139=6,-$E139*$I139/12*1,0)))))+IF(BO$5&lt;&gt;$H139,0,IF(BO139&lt;0,IF($J139=4,-$E139*$I139/12*0,IF($J139=5,-$E139*$I139/12*1,IF($J139=6,-$E139*$I139/12*2,IF($J139&gt;=7,-$E139*$I139/12*3,0))))))</f>
        <v>0</v>
      </c>
      <c r="BR139" s="442">
        <f>IF($H139&lt;&gt;BT$5,0,IF(BT139&lt;0,IF(OR($J139=1,$J139=2,$J139=3,$J139=4,$J139=5,$J139=6,$J139=7),-$E139*$I139/12*3,IF($J139=8,-$E139*$I139/12*2,IF($J139=9,-$E139*$I139/12*1,0)))))+IF(BO$5&lt;&gt;$H139,0,IF(BO139&lt;0,IF($J139=7,-$E139*$I139/12*0,IF($J139=8,-$E139*$I139/12*1,IF($J139=9,-$E139*$I139/12*2,IF($J139&gt;=10,-$E139*$I139/12*3,0))))))</f>
        <v>0</v>
      </c>
      <c r="BS139" s="443">
        <f>IF($H139&lt;&gt;BT$5,0,IF(BT139&lt;0,IF(OR($J139=1,$J139=2,$J139=3,$J139=4,$J139=5,$J139=6,$J139=7,$J139=8,$J139=9,$J139=10),-$E139*$I139/12*3,IF($J139=11,-$E139*$I139/12*2,IF($J139=12,-$E139*$I139/12*1,0)))))+IF(BO$5&lt;&gt;$H139,0,IF(BO139&lt;0,IF($J139=10,-$E139*$I139/12*0,IF($J139=11,-$E139*$I139/12*1,IF($J139=12,-$E139*$I139/12*2,0)))))</f>
        <v>0</v>
      </c>
      <c r="BT139" s="440">
        <f>IF(AND(BO139&lt;&gt;0,BO$5=$H139),-$I139*$E139-BO139,IF(BT$5=$H139,-$I139*$E139*(12-$J139+1)/12,0))</f>
        <v>0</v>
      </c>
      <c r="BU139" s="441">
        <f>IF($H139&lt;&gt;BY$5,0,IF(BY139&lt;0,IF($J139=1,-$E139*$I139/12*3,IF($J139=2,-$E139*$I139/12*2,IF($J139=3,-$E139*$I139/12*1,0)))))+IF(BT$5&lt;&gt;$H139,0,IF(BT139&lt;0,IF($J139=1,-$E139*$I139/12*0,IF($J139=2,-$E139*$I139/12*1,IF($J139=3,-$E139*$I139/12*2,IF($J139&gt;=4,-$E139*$I139/12*3,0))))))</f>
        <v>0</v>
      </c>
      <c r="BV139" s="442">
        <f>IF($H139&lt;&gt;BY$5,0,IF(BY139&lt;0,IF(OR($J139=1,$J139=2,$J139=3,$J139=4),-$E139*$I139/12*3,IF($J139=5,-$E139*$I139/12*2,IF($J139=6,-$E139*$I139/12*1,0)))))+IF(BT$5&lt;&gt;$H139,0,IF(BT139&lt;0,IF($J139=4,-$E139*$I139/12*0,IF($J139=5,-$E139*$I139/12*1,IF($J139=6,-$E139*$I139/12*2,IF($J139&gt;=7,-$E139*$I139/12*3,0))))))</f>
        <v>0</v>
      </c>
      <c r="BW139" s="442">
        <f>IF($H139&lt;&gt;BY$5,0,IF(BY139&lt;0,IF(OR($J139=1,$J139=2,$J139=3,$J139=4,$J139=5,$J139=6,$J139=7),-$E139*$I139/12*3,IF($J139=8,-$E139*$I139/12*2,IF($J139=9,-$E139*$I139/12*1,0)))))+IF(BT$5&lt;&gt;$H139,0,IF(BT139&lt;0,IF($J139=7,-$E139*$I139/12*0,IF($J139=8,-$E139*$I139/12*1,IF($J139=9,-$E139*$I139/12*2,IF($J139&gt;=10,-$E139*$I139/12*3,0))))))</f>
        <v>0</v>
      </c>
      <c r="BX139" s="443">
        <f>IF($H139&lt;&gt;BY$5,0,IF(BY139&lt;0,IF(OR($J139=1,$J139=2,$J139=3,$J139=4,$J139=5,$J139=6,$J139=7,$J139=8,$J139=9,$J139=10),-$E139*$I139/12*3,IF($J139=11,-$E139*$I139/12*2,IF($J139=12,-$E139*$I139/12*1,0)))))+IF(BT$5&lt;&gt;$H139,0,IF(BT139&lt;0,IF($J139=10,-$E139*$I139/12*0,IF($J139=11,-$E139*$I139/12*1,IF($J139=12,-$E139*$I139/12*2,0)))))</f>
        <v>0</v>
      </c>
      <c r="BY139" s="440">
        <f>IF(AND(BT139&lt;&gt;0,BT$5=$H139),-$I139*$E139-BT139,IF(BY$5=$H139,-$I139*$E139*(12-$J139+1)/12,0))</f>
        <v>0</v>
      </c>
      <c r="BZ139" s="441">
        <f>IF($H139&lt;&gt;CD$5,0,IF(CD139&lt;0,IF($J139=1,-$E139*$I139/12*3,IF($J139=2,-$E139*$I139/12*2,IF($J139=3,-$E139*$I139/12*1,0)))))+IF(BY$5&lt;&gt;$H139,0,IF(BY139&lt;0,IF($J139=1,-$E139*$I139/12*0,IF($J139=2,-$E139*$I139/12*1,IF($J139=3,-$E139*$I139/12*2,IF($J139&gt;=4,-$E139*$I139/12*3,0))))))</f>
        <v>0</v>
      </c>
      <c r="CA139" s="442">
        <f>IF($H139&lt;&gt;CD$5,0,IF(CD139&lt;0,IF(OR($J139=1,$J139=2,$J139=3,$J139=4),-$E139*$I139/12*3,IF($J139=5,-$E139*$I139/12*2,IF($J139=6,-$E139*$I139/12*1,0)))))+IF(BY$5&lt;&gt;$H139,0,IF(BY139&lt;0,IF($J139=4,-$E139*$I139/12*0,IF($J139=5,-$E139*$I139/12*1,IF($J139=6,-$E139*$I139/12*2,IF($J139&gt;=7,-$E139*$I139/12*3,0))))))</f>
        <v>0</v>
      </c>
      <c r="CB139" s="442">
        <f>IF($H139&lt;&gt;CD$5,0,IF(CD139&lt;0,IF(OR($J139=1,$J139=2,$J139=3,$J139=4,$J139=5,$J139=6,$J139=7),-$E139*$I139/12*3,IF($J139=8,-$E139*$I139/12*2,IF($J139=9,-$E139*$I139/12*1,0)))))+IF(BY$5&lt;&gt;$H139,0,IF(BY139&lt;0,IF($J139=7,-$E139*$I139/12*0,IF($J139=8,-$E139*$I139/12*1,IF($J139=9,-$E139*$I139/12*2,IF($J139&gt;=10,-$E139*$I139/12*3,0))))))</f>
        <v>0</v>
      </c>
      <c r="CC139" s="443">
        <f>IF($H139&lt;&gt;CD$5,0,IF(CD139&lt;0,IF(OR($J139=1,$J139=2,$J139=3,$J139=4,$J139=5,$J139=6,$J139=7,$J139=8,$J139=9,$J139=10),-$E139*$I139/12*3,IF($J139=11,-$E139*$I139/12*2,IF($J139=12,-$E139*$I139/12*1,0)))))+IF(BY$5&lt;&gt;$H139,0,IF(BY139&lt;0,IF($J139=10,-$E139*$I139/12*0,IF($J139=11,-$E139*$I139/12*1,IF($J139=12,-$E139*$I139/12*2,0)))))</f>
        <v>0</v>
      </c>
      <c r="CD139" s="440">
        <f>IF(AND(BY139&lt;&gt;0,BY$5=$H139),-$I139*$E139-BY139,IF(CD$5=$H139,-$I139*$E139*(12-$J139+1)/12,0))</f>
        <v>0</v>
      </c>
      <c r="CE139" s="441">
        <f>IF($H139&lt;&gt;CI$5,0,IF(CI139&lt;0,IF($J139=1,-$E139*$I139/12*3,IF($J139=2,-$E139*$I139/12*2,IF($J139=3,-$E139*$I139/12*1,0)))))+IF(CD$5&lt;&gt;$H139,0,IF(CD139&lt;0,IF($J139=1,-$E139*$I139/12*0,IF($J139=2,-$E139*$I139/12*1,IF($J139=3,-$E139*$I139/12*2,IF($J139&gt;=4,-$E139*$I139/12*3,0))))))</f>
        <v>0</v>
      </c>
      <c r="CF139" s="442">
        <f>IF($H139&lt;&gt;CI$5,0,IF(CI139&lt;0,IF(OR($J139=1,$J139=2,$J139=3,$J139=4),-$E139*$I139/12*3,IF($J139=5,-$E139*$I139/12*2,IF($J139=6,-$E139*$I139/12*1,0)))))+IF(CD$5&lt;&gt;$H139,0,IF(CD139&lt;0,IF($J139=4,-$E139*$I139/12*0,IF($J139=5,-$E139*$I139/12*1,IF($J139=6,-$E139*$I139/12*2,IF($J139&gt;=7,-$E139*$I139/12*3,0))))))</f>
        <v>0</v>
      </c>
      <c r="CG139" s="442">
        <f>IF($H139&lt;&gt;CI$5,0,IF(CI139&lt;0,IF(OR($J139=1,$J139=2,$J139=3,$J139=4,$J139=5,$J139=6,$J139=7),-$E139*$I139/12*3,IF($J139=8,-$E139*$I139/12*2,IF($J139=9,-$E139*$I139/12*1,0)))))+IF(CD$5&lt;&gt;$H139,0,IF(CD139&lt;0,IF($J139=7,-$E139*$I139/12*0,IF($J139=8,-$E139*$I139/12*1,IF($J139=9,-$E139*$I139/12*2,IF($J139&gt;=10,-$E139*$I139/12*3,0))))))</f>
        <v>0</v>
      </c>
      <c r="CH139" s="443">
        <f>IF($H139&lt;&gt;CI$5,0,IF(CI139&lt;0,IF(OR($J139=1,$J139=2,$J139=3,$J139=4,$J139=5,$J139=6,$J139=7,$J139=8,$J139=9,$J139=10),-$E139*$I139/12*3,IF($J139=11,-$E139*$I139/12*2,IF($J139=12,-$E139*$I139/12*1,0)))))+IF(CD$5&lt;&gt;$H139,0,IF(CD139&lt;0,IF($J139=10,-$E139*$I139/12*0,IF($J139=11,-$E139*$I139/12*1,IF($J139=12,-$E139*$I139/12*2,0)))))</f>
        <v>0</v>
      </c>
      <c r="CI139" s="440">
        <f>IF(AND(CD139&lt;&gt;0,CD$5=$H139),-$I139*$E139-CD139,IF(CI$5=$H139,-$I139*$E139*(12-$J139+1)/12,0))</f>
        <v>0</v>
      </c>
      <c r="CJ139" s="441">
        <f>IF($H139&lt;&gt;CN$5,0,IF(CN139&lt;0,IF($J139=1,-$E139*$I139/12*3,IF($J139=2,-$E139*$I139/12*2,IF($J139=3,-$E139*$I139/12*1,0)))))+IF(CI$5&lt;&gt;$H139,0,IF(CI139&lt;0,IF($J139=1,-$E139*$I139/12*0,IF($J139=2,-$E139*$I139/12*1,IF($J139=3,-$E139*$I139/12*2,IF($J139&gt;=4,-$E139*$I139/12*3,0))))))</f>
        <v>0</v>
      </c>
      <c r="CK139" s="442">
        <f>IF($H139&lt;&gt;CN$5,0,IF(CN139&lt;0,IF(OR($J139=1,$J139=2,$J139=3,$J139=4),-$E139*$I139/12*3,IF($J139=5,-$E139*$I139/12*2,IF($J139=6,-$E139*$I139/12*1,0)))))+IF(CI$5&lt;&gt;$H139,0,IF(CI139&lt;0,IF($J139=4,-$E139*$I139/12*0,IF($J139=5,-$E139*$I139/12*1,IF($J139=6,-$E139*$I139/12*2,IF($J139&gt;=7,-$E139*$I139/12*3,0))))))</f>
        <v>0</v>
      </c>
      <c r="CL139" s="442">
        <f>IF($H139&lt;&gt;CN$5,0,IF(CN139&lt;0,IF(OR($J139=1,$J139=2,$J139=3,$J139=4,$J139=5,$J139=6,$J139=7),-$E139*$I139/12*3,IF($J139=8,-$E139*$I139/12*2,IF($J139=9,-$E139*$I139/12*1,0)))))+IF(CI$5&lt;&gt;$H139,0,IF(CI139&lt;0,IF($J139=7,-$E139*$I139/12*0,IF($J139=8,-$E139*$I139/12*1,IF($J139=9,-$E139*$I139/12*2,IF($J139&gt;=10,-$E139*$I139/12*3,0))))))</f>
        <v>0</v>
      </c>
      <c r="CM139" s="443">
        <f>IF($H139&lt;&gt;CN$5,0,IF(CN139&lt;0,IF(OR($J139=1,$J139=2,$J139=3,$J139=4,$J139=5,$J139=6,$J139=7,$J139=8,$J139=9,$J139=10),-$E139*$I139/12*3,IF($J139=11,-$E139*$I139/12*2,IF($J139=12,-$E139*$I139/12*1,0)))))+IF(CI$5&lt;&gt;$H139,0,IF(CI139&lt;0,IF($J139=10,-$E139*$I139/12*0,IF($J139=11,-$E139*$I139/12*1,IF($J139=12,-$E139*$I139/12*2,0)))))</f>
        <v>0</v>
      </c>
      <c r="CN139" s="440">
        <f>IF(AND(CI139&lt;&gt;0,CI$5=$H139),-$I139*$E139-CI139,IF(CN$5=$H139,-$I139*$E139*(12-$J139+1)/12,0))</f>
        <v>0</v>
      </c>
      <c r="CO139" s="441">
        <f>IF($H139&lt;&gt;CS$5,0,IF(CS139&lt;0,IF($J139=1,-$E139*$I139/12*3,IF($J139=2,-$E139*$I139/12*2,IF($J139=3,-$E139*$I139/12*1,0)))))+IF(CN$5&lt;&gt;$H139,0,IF(CN139&lt;0,IF($J139=1,-$E139*$I139/12*0,IF($J139=2,-$E139*$I139/12*1,IF($J139=3,-$E139*$I139/12*2,IF($J139&gt;=4,-$E139*$I139/12*3,0))))))</f>
        <v>0</v>
      </c>
      <c r="CP139" s="442">
        <f>IF($H139&lt;&gt;CS$5,0,IF(CS139&lt;0,IF(OR($J139=1,$J139=2,$J139=3,$J139=4),-$E139*$I139/12*3,IF($J139=5,-$E139*$I139/12*2,IF($J139=6,-$E139*$I139/12*1,0)))))+IF(CN$5&lt;&gt;$H139,0,IF(CN139&lt;0,IF($J139=4,-$E139*$I139/12*0,IF($J139=5,-$E139*$I139/12*1,IF($J139=6,-$E139*$I139/12*2,IF($J139&gt;=7,-$E139*$I139/12*3,0))))))</f>
        <v>0</v>
      </c>
      <c r="CQ139" s="442">
        <f>IF($H139&lt;&gt;CS$5,0,IF(CS139&lt;0,IF(OR($J139=1,$J139=2,$J139=3,$J139=4,$J139=5,$J139=6,$J139=7),-$E139*$I139/12*3,IF($J139=8,-$E139*$I139/12*2,IF($J139=9,-$E139*$I139/12*1,0)))))+IF(CN$5&lt;&gt;$H139,0,IF(CN139&lt;0,IF($J139=7,-$E139*$I139/12*0,IF($J139=8,-$E139*$I139/12*1,IF($J139=9,-$E139*$I139/12*2,IF($J139&gt;=10,-$E139*$I139/12*3,0))))))</f>
        <v>0</v>
      </c>
      <c r="CR139" s="443">
        <f>IF($H139&lt;&gt;CS$5,0,IF(CS139&lt;0,IF(OR($J139=1,$J139=2,$J139=3,$J139=4,$J139=5,$J139=6,$J139=7,$J139=8,$J139=9,$J139=10),-$E139*$I139/12*3,IF($J139=11,-$E139*$I139/12*2,IF($J139=12,-$E139*$I139/12*1,0)))))+IF(CN$5&lt;&gt;$H139,0,IF(CN139&lt;0,IF($J139=10,-$E139*$I139/12*0,IF($J139=11,-$E139*$I139/12*1,IF($J139=12,-$E139*$I139/12*2,0)))))</f>
        <v>0</v>
      </c>
      <c r="CS139" s="440">
        <f>IF(AND(CN139&lt;&gt;0,CN$5=$H139),-$I139*$E139-CN139,IF(CS$5=$H139,-$I139*$E139*(12-$J139+1)/12,0))</f>
        <v>0</v>
      </c>
      <c r="CT139" s="441">
        <f>IF($H139&lt;&gt;CX$5,0,IF(CX139&lt;0,IF($J139=1,-$E139*$I139/12*3,IF($J139=2,-$E139*$I139/12*2,IF($J139=3,-$E139*$I139/12*1,0)))))+IF(CS$5&lt;&gt;$H139,0,IF(CS139&lt;0,IF($J139=1,-$E139*$I139/12*0,IF($J139=2,-$E139*$I139/12*1,IF($J139=3,-$E139*$I139/12*2,IF($J139&gt;=4,-$E139*$I139/12*3,0))))))</f>
        <v>0</v>
      </c>
      <c r="CU139" s="442">
        <f>IF($H139&lt;&gt;CX$5,0,IF(CX139&lt;0,IF(OR($J139=1,$J139=2,$J139=3,$J139=4),-$E139*$I139/12*3,IF($J139=5,-$E139*$I139/12*2,IF($J139=6,-$E139*$I139/12*1,0)))))+IF(CS$5&lt;&gt;$H139,0,IF(CS139&lt;0,IF($J139=4,-$E139*$I139/12*0,IF($J139=5,-$E139*$I139/12*1,IF($J139=6,-$E139*$I139/12*2,IF($J139&gt;=7,-$E139*$I139/12*3,0))))))</f>
        <v>0</v>
      </c>
      <c r="CV139" s="442">
        <f>IF($H139&lt;&gt;CX$5,0,IF(CX139&lt;0,IF(OR($J139=1,$J139=2,$J139=3,$J139=4,$J139=5,$J139=6,$J139=7),-$E139*$I139/12*3,IF($J139=8,-$E139*$I139/12*2,IF($J139=9,-$E139*$I139/12*1,0)))))+IF(CS$5&lt;&gt;$H139,0,IF(CS139&lt;0,IF($J139=7,-$E139*$I139/12*0,IF($J139=8,-$E139*$I139/12*1,IF($J139=9,-$E139*$I139/12*2,IF($J139&gt;=10,-$E139*$I139/12*3,0))))))</f>
        <v>0</v>
      </c>
      <c r="CW139" s="443">
        <f>IF($H139&lt;&gt;CX$5,0,IF(CX139&lt;0,IF(OR($J139=1,$J139=2,$J139=3,$J139=4,$J139=5,$J139=6,$J139=7,$J139=8,$J139=9,$J139=10),-$E139*$I139/12*3,IF($J139=11,-$E139*$I139/12*2,IF($J139=12,-$E139*$I139/12*1,0)))))+IF(CS$5&lt;&gt;$H139,0,IF(CS139&lt;0,IF($J139=10,-$E139*$I139/12*0,IF($J139=11,-$E139*$I139/12*1,IF($J139=12,-$E139*$I139/12*2,0)))))</f>
        <v>0</v>
      </c>
      <c r="CX139" s="440">
        <f>IF(AND(CS139&lt;&gt;0,CS$5=$H139),-$I139*$E139-CS139,IF(CX$5=$H139,-$I139*$E139*(12-$J139+1)/12,0))</f>
        <v>0</v>
      </c>
      <c r="CY139" s="441">
        <f>IF($H139&lt;&gt;DC$5,0,IF(DC139&lt;0,IF($J139=1,-$E139*$I139/12*3,IF($J139=2,-$E139*$I139/12*2,IF($J139=3,-$E139*$I139/12*1,0)))))+IF(CX$5&lt;&gt;$H139,0,IF(CX139&lt;0,IF($J139=1,-$E139*$I139/12*0,IF($J139=2,-$E139*$I139/12*1,IF($J139=3,-$E139*$I139/12*2,IF($J139&gt;=4,-$E139*$I139/12*3,0))))))</f>
        <v>0</v>
      </c>
      <c r="CZ139" s="442">
        <f>IF($H139&lt;&gt;DC$5,0,IF(DC139&lt;0,IF(OR($J139=1,$J139=2,$J139=3,$J139=4),-$E139*$I139/12*3,IF($J139=5,-$E139*$I139/12*2,IF($J139=6,-$E139*$I139/12*1,0)))))+IF(CX$5&lt;&gt;$H139,0,IF(CX139&lt;0,IF($J139=4,-$E139*$I139/12*0,IF($J139=5,-$E139*$I139/12*1,IF($J139=6,-$E139*$I139/12*2,IF($J139&gt;=7,-$E139*$I139/12*3,0))))))</f>
        <v>0</v>
      </c>
      <c r="DA139" s="442">
        <f>IF($H139&lt;&gt;DC$5,0,IF(DC139&lt;0,IF(OR($J139=1,$J139=2,$J139=3,$J139=4,$J139=5,$J139=6,$J139=7),-$E139*$I139/12*3,IF($J139=8,-$E139*$I139/12*2,IF($J139=9,-$E139*$I139/12*1,0)))))+IF(CX$5&lt;&gt;$H139,0,IF(CX139&lt;0,IF($J139=7,-$E139*$I139/12*0,IF($J139=8,-$E139*$I139/12*1,IF($J139=9,-$E139*$I139/12*2,IF($J139&gt;=10,-$E139*$I139/12*3,0))))))</f>
        <v>0</v>
      </c>
      <c r="DB139" s="443">
        <f>IF($H139&lt;&gt;DC$5,0,IF(DC139&lt;0,IF(OR($J139=1,$J139=2,$J139=3,$J139=4,$J139=5,$J139=6,$J139=7,$J139=8,$J139=9,$J139=10),-$E139*$I139/12*3,IF($J139=11,-$E139*$I139/12*2,IF($J139=12,-$E139*$I139/12*1,0)))))+IF(CX$5&lt;&gt;$H139,0,IF(CX139&lt;0,IF($J139=10,-$E139*$I139/12*0,IF($J139=11,-$E139*$I139/12*1,IF($J139=12,-$E139*$I139/12*2,0)))))</f>
        <v>0</v>
      </c>
      <c r="DC139" s="440">
        <f>IF(AND(CX139&lt;&gt;0,CX$5=$H139),-$I139*$E139-CX139,IF(DC$5=$H139,-$I139*$E139*(12-$J139+1)/12,0))</f>
        <v>0</v>
      </c>
      <c r="DD139" s="441">
        <f>IF($H139&lt;&gt;DH$5,0,IF(DH139&lt;0,IF($J139=1,-$E139*$I139/12*3,IF($J139=2,-$E139*$I139/12*2,IF($J139=3,-$E139*$I139/12*1,0)))))+IF(DC$5&lt;&gt;$H139,0,IF(DC139&lt;0,IF($J139=1,-$E139*$I139/12*0,IF($J139=2,-$E139*$I139/12*1,IF($J139=3,-$E139*$I139/12*2,IF($J139&gt;=4,-$E139*$I139/12*3,0))))))</f>
        <v>0</v>
      </c>
      <c r="DE139" s="442">
        <f>IF($H139&lt;&gt;DH$5,0,IF(DH139&lt;0,IF(OR($J139=1,$J139=2,$J139=3,$J139=4),-$E139*$I139/12*3,IF($J139=5,-$E139*$I139/12*2,IF($J139=6,-$E139*$I139/12*1,0)))))+IF(DC$5&lt;&gt;$H139,0,IF(DC139&lt;0,IF($J139=4,-$E139*$I139/12*0,IF($J139=5,-$E139*$I139/12*1,IF($J139=6,-$E139*$I139/12*2,IF($J139&gt;=7,-$E139*$I139/12*3,0))))))</f>
        <v>0</v>
      </c>
      <c r="DF139" s="442">
        <f>IF($H139&lt;&gt;DH$5,0,IF(DH139&lt;0,IF(OR($J139=1,$J139=2,$J139=3,$J139=4,$J139=5,$J139=6,$J139=7),-$E139*$I139/12*3,IF($J139=8,-$E139*$I139/12*2,IF($J139=9,-$E139*$I139/12*1,0)))))+IF(DC$5&lt;&gt;$H139,0,IF(DC139&lt;0,IF($J139=7,-$E139*$I139/12*0,IF($J139=8,-$E139*$I139/12*1,IF($J139=9,-$E139*$I139/12*2,IF($J139&gt;=10,-$E139*$I139/12*3,0))))))</f>
        <v>0</v>
      </c>
      <c r="DG139" s="443">
        <f>IF($H139&lt;&gt;DH$5,0,IF(DH139&lt;0,IF(OR($J139=1,$J139=2,$J139=3,$J139=4,$J139=5,$J139=6,$J139=7,$J139=8,$J139=9,$J139=10),-$E139*$I139/12*3,IF($J139=11,-$E139*$I139/12*2,IF($J139=12,-$E139*$I139/12*1,0)))))+IF(DC$5&lt;&gt;$H139,0,IF(DC139&lt;0,IF($J139=10,-$E139*$I139/12*0,IF($J139=11,-$E139*$I139/12*1,IF($J139=12,-$E139*$I139/12*2,0)))))</f>
        <v>0</v>
      </c>
      <c r="DH139" s="440">
        <f>IF(AND(DC139&lt;&gt;0,DC$5=$H139),-$I139*$E139-DC139,IF(DH$5=$H139,-$I139*$E139*(12-$J139+1)/12,0))</f>
        <v>0</v>
      </c>
      <c r="DI139" s="441">
        <f>IF($H139&lt;&gt;DM$5,0,IF(DM139&lt;0,IF($J139=1,-$E139*$I139/12*3,IF($J139=2,-$E139*$I139/12*2,IF($J139=3,-$E139*$I139/12*1,0)))))+IF(DH$5&lt;&gt;$H139,0,IF(DH139&lt;0,IF($J139=1,-$E139*$I139/12*0,IF($J139=2,-$E139*$I139/12*1,IF($J139=3,-$E139*$I139/12*2,IF($J139&gt;=4,-$E139*$I139/12*3,0))))))</f>
        <v>0</v>
      </c>
      <c r="DJ139" s="442">
        <f>IF($H139&lt;&gt;DM$5,0,IF(DM139&lt;0,IF(OR($J139=1,$J139=2,$J139=3,$J139=4),-$E139*$I139/12*3,IF($J139=5,-$E139*$I139/12*2,IF($J139=6,-$E139*$I139/12*1,0)))))+IF(DH$5&lt;&gt;$H139,0,IF(DH139&lt;0,IF($J139=4,-$E139*$I139/12*0,IF($J139=5,-$E139*$I139/12*1,IF($J139=6,-$E139*$I139/12*2,IF($J139&gt;=7,-$E139*$I139/12*3,0))))))</f>
        <v>0</v>
      </c>
      <c r="DK139" s="442">
        <f>IF($H139&lt;&gt;DM$5,0,IF(DM139&lt;0,IF(OR($J139=1,$J139=2,$J139=3,$J139=4,$J139=5,$J139=6,$J139=7),-$E139*$I139/12*3,IF($J139=8,-$E139*$I139/12*2,IF($J139=9,-$E139*$I139/12*1,0)))))+IF(DH$5&lt;&gt;$H139,0,IF(DH139&lt;0,IF($J139=7,-$E139*$I139/12*0,IF($J139=8,-$E139*$I139/12*1,IF($J139=9,-$E139*$I139/12*2,IF($J139&gt;=10,-$E139*$I139/12*3,0))))))</f>
        <v>0</v>
      </c>
      <c r="DL139" s="443">
        <f>IF($H139&lt;&gt;DM$5,0,IF(DM139&lt;0,IF(OR($J139=1,$J139=2,$J139=3,$J139=4,$J139=5,$J139=6,$J139=7,$J139=8,$J139=9,$J139=10),-$E139*$I139/12*3,IF($J139=11,-$E139*$I139/12*2,IF($J139=12,-$E139*$I139/12*1,0)))))+IF(DH$5&lt;&gt;$H139,0,IF(DH139&lt;0,IF($J139=10,-$E139*$I139/12*0,IF($J139=11,-$E139*$I139/12*1,IF($J139=12,-$E139*$I139/12*2,0)))))</f>
        <v>0</v>
      </c>
      <c r="DM139" s="440">
        <f>IF(AND(DH139&lt;&gt;0,DH$5=$H139),-$I139*$E139-DH139,IF(DM$5=$H139,-$I139*$E139*(12-$J139+1)/12,0))</f>
        <v>0</v>
      </c>
      <c r="DN139" s="441">
        <f>IF($H139&lt;&gt;DR$5,0,IF(DR139&lt;0,IF($J139=1,-$E139*$I139/12*3,IF($J139=2,-$E139*$I139/12*2,IF($J139=3,-$E139*$I139/12*1,0)))))+IF(DM$5&lt;&gt;$H139,0,IF(DM139&lt;0,IF($J139=1,-$E139*$I139/12*0,IF($J139=2,-$E139*$I139/12*1,IF($J139=3,-$E139*$I139/12*2,IF($J139&gt;=4,-$E139*$I139/12*3,0))))))</f>
        <v>0</v>
      </c>
      <c r="DO139" s="442">
        <f>IF($H139&lt;&gt;DR$5,0,IF(DR139&lt;0,IF(OR($J139=1,$J139=2,$J139=3,$J139=4),-$E139*$I139/12*3,IF($J139=5,-$E139*$I139/12*2,IF($J139=6,-$E139*$I139/12*1,0)))))+IF(DM$5&lt;&gt;$H139,0,IF(DM139&lt;0,IF($J139=4,-$E139*$I139/12*0,IF($J139=5,-$E139*$I139/12*1,IF($J139=6,-$E139*$I139/12*2,IF($J139&gt;=7,-$E139*$I139/12*3,0))))))</f>
        <v>0</v>
      </c>
      <c r="DP139" s="442">
        <f>IF($H139&lt;&gt;DR$5,0,IF(DR139&lt;0,IF(OR($J139=1,$J139=2,$J139=3,$J139=4,$J139=5,$J139=6,$J139=7),-$E139*$I139/12*3,IF($J139=8,-$E139*$I139/12*2,IF($J139=9,-$E139*$I139/12*1,0)))))+IF(DM$5&lt;&gt;$H139,0,IF(DM139&lt;0,IF($J139=7,-$E139*$I139/12*0,IF($J139=8,-$E139*$I139/12*1,IF($J139=9,-$E139*$I139/12*2,IF($J139&gt;=10,-$E139*$I139/12*3,0))))))</f>
        <v>0</v>
      </c>
      <c r="DQ139" s="443">
        <f>IF($H139&lt;&gt;DR$5,0,IF(DR139&lt;0,IF(OR($J139=1,$J139=2,$J139=3,$J139=4,$J139=5,$J139=6,$J139=7,$J139=8,$J139=9,$J139=10),-$E139*$I139/12*3,IF($J139=11,-$E139*$I139/12*2,IF($J139=12,-$E139*$I139/12*1,0)))))+IF(DM$5&lt;&gt;$H139,0,IF(DM139&lt;0,IF($J139=10,-$E139*$I139/12*0,IF($J139=11,-$E139*$I139/12*1,IF($J139=12,-$E139*$I139/12*2,0)))))</f>
        <v>0</v>
      </c>
      <c r="DR139" s="440">
        <f>IF(AND(DM139&lt;&gt;0,DM$5=$H139),-$I139*$E139-DM139,IF(DR$5=$H139,-$I139*$E139*(12-$J139+1)/12,0))</f>
        <v>0</v>
      </c>
    </row>
    <row r="140" spans="1:122">
      <c r="C140" s="1123" t="s">
        <v>333</v>
      </c>
      <c r="D140" s="395"/>
      <c r="E140" s="188">
        <f>IF(F140=0,G140,F140)</f>
        <v>2.8538060000000001</v>
      </c>
      <c r="F140" s="1949">
        <v>2.8538060000000001</v>
      </c>
      <c r="G140" s="1949">
        <v>3.393748</v>
      </c>
      <c r="H140" s="414">
        <v>2039</v>
      </c>
      <c r="I140" s="1947">
        <v>0.05</v>
      </c>
      <c r="J140" s="656">
        <v>12</v>
      </c>
      <c r="K140" s="549"/>
      <c r="L140" s="441">
        <f t="shared" si="1743"/>
        <v>0</v>
      </c>
      <c r="M140" s="442">
        <f t="shared" si="1744"/>
        <v>0</v>
      </c>
      <c r="N140" s="442">
        <f t="shared" si="1745"/>
        <v>0</v>
      </c>
      <c r="O140" s="443">
        <f t="shared" si="1746"/>
        <v>0</v>
      </c>
      <c r="P140" s="440">
        <f t="shared" si="1747"/>
        <v>0</v>
      </c>
      <c r="Q140" s="441">
        <f t="shared" si="1748"/>
        <v>0</v>
      </c>
      <c r="R140" s="442">
        <f t="shared" si="1749"/>
        <v>0</v>
      </c>
      <c r="S140" s="442">
        <f t="shared" si="1750"/>
        <v>0</v>
      </c>
      <c r="T140" s="443">
        <f t="shared" si="1751"/>
        <v>0</v>
      </c>
      <c r="U140" s="440">
        <f t="shared" si="1752"/>
        <v>0</v>
      </c>
      <c r="V140" s="441">
        <f t="shared" si="1753"/>
        <v>0</v>
      </c>
      <c r="W140" s="442">
        <f t="shared" si="1754"/>
        <v>0</v>
      </c>
      <c r="X140" s="442">
        <f t="shared" si="1755"/>
        <v>0</v>
      </c>
      <c r="Y140" s="443">
        <f t="shared" si="1756"/>
        <v>0</v>
      </c>
      <c r="Z140" s="440">
        <f t="shared" si="1757"/>
        <v>0</v>
      </c>
      <c r="AA140" s="441">
        <f t="shared" si="1758"/>
        <v>0</v>
      </c>
      <c r="AB140" s="442">
        <f t="shared" si="1759"/>
        <v>0</v>
      </c>
      <c r="AC140" s="442">
        <f t="shared" si="1760"/>
        <v>0</v>
      </c>
      <c r="AD140" s="443">
        <f t="shared" si="1761"/>
        <v>0</v>
      </c>
      <c r="AE140" s="440">
        <f t="shared" si="1762"/>
        <v>0</v>
      </c>
      <c r="AF140" s="441">
        <f t="shared" si="1763"/>
        <v>0</v>
      </c>
      <c r="AG140" s="442">
        <f t="shared" si="1764"/>
        <v>0</v>
      </c>
      <c r="AH140" s="442">
        <f t="shared" si="1765"/>
        <v>0</v>
      </c>
      <c r="AI140" s="443">
        <f t="shared" si="1766"/>
        <v>0</v>
      </c>
      <c r="AJ140" s="440">
        <f t="shared" si="1767"/>
        <v>0</v>
      </c>
      <c r="AK140" s="441">
        <f t="shared" si="1768"/>
        <v>0</v>
      </c>
      <c r="AL140" s="442">
        <f t="shared" si="1769"/>
        <v>0</v>
      </c>
      <c r="AM140" s="442">
        <f t="shared" si="1770"/>
        <v>0</v>
      </c>
      <c r="AN140" s="443">
        <f t="shared" si="1771"/>
        <v>0</v>
      </c>
      <c r="AO140" s="440">
        <f t="shared" si="1772"/>
        <v>0</v>
      </c>
      <c r="AP140" s="441">
        <f t="shared" si="1773"/>
        <v>0</v>
      </c>
      <c r="AQ140" s="442">
        <f t="shared" si="1774"/>
        <v>0</v>
      </c>
      <c r="AR140" s="442">
        <f t="shared" si="1775"/>
        <v>0</v>
      </c>
      <c r="AS140" s="443">
        <f t="shared" si="1776"/>
        <v>0</v>
      </c>
      <c r="AT140" s="440">
        <f t="shared" si="1777"/>
        <v>0</v>
      </c>
      <c r="AU140" s="441">
        <f t="shared" si="1778"/>
        <v>0</v>
      </c>
      <c r="AV140" s="442">
        <f t="shared" si="1779"/>
        <v>0</v>
      </c>
      <c r="AW140" s="442">
        <f t="shared" si="1780"/>
        <v>0</v>
      </c>
      <c r="AX140" s="443">
        <f t="shared" si="1781"/>
        <v>0</v>
      </c>
      <c r="AY140" s="440">
        <f t="shared" si="1782"/>
        <v>0</v>
      </c>
      <c r="AZ140" s="441">
        <f t="shared" si="1783"/>
        <v>0</v>
      </c>
      <c r="BA140" s="442">
        <f t="shared" si="1784"/>
        <v>0</v>
      </c>
      <c r="BB140" s="442">
        <f t="shared" si="1785"/>
        <v>0</v>
      </c>
      <c r="BC140" s="443">
        <f t="shared" si="1786"/>
        <v>0</v>
      </c>
      <c r="BD140" s="440">
        <f t="shared" si="1787"/>
        <v>0</v>
      </c>
      <c r="BE140" s="441">
        <f t="shared" si="1788"/>
        <v>0</v>
      </c>
      <c r="BF140" s="442">
        <f t="shared" si="1789"/>
        <v>0</v>
      </c>
      <c r="BG140" s="442">
        <f t="shared" si="1790"/>
        <v>0</v>
      </c>
      <c r="BH140" s="443">
        <f t="shared" si="1791"/>
        <v>0</v>
      </c>
      <c r="BI140" s="440">
        <f t="shared" si="1792"/>
        <v>0</v>
      </c>
      <c r="BJ140" s="441">
        <f t="shared" si="1793"/>
        <v>0</v>
      </c>
      <c r="BK140" s="442">
        <f t="shared" si="1794"/>
        <v>0</v>
      </c>
      <c r="BL140" s="442">
        <f t="shared" si="1795"/>
        <v>0</v>
      </c>
      <c r="BM140" s="443">
        <f t="shared" si="1796"/>
        <v>0</v>
      </c>
      <c r="BN140" s="440">
        <f t="shared" si="1797"/>
        <v>0</v>
      </c>
      <c r="BO140" s="470"/>
      <c r="BP140" s="441">
        <f>IF($H140&lt;&gt;BT$5,0,IF(BT140&lt;0,IF($J140=1,-$E140*$I140/12*3,IF($J140=2,-$E140*$I140/12*2,IF($J140=3,-$E140*$I140/12*1,0)))))+IF(BO$5&lt;&gt;$H140,0,IF(BO140&lt;0,IF($J140=1,-$E140*$I140/12*0,IF($J140=2,-$E140*$I140/12*1,IF($J140=3,-$E140*$I140/12*2,IF($J140&gt;=4,-$E140*$I140/12*3,0))))))</f>
        <v>0</v>
      </c>
      <c r="BQ140" s="442">
        <f>IF($H140&lt;&gt;BT$5,0,IF(BT140&lt;0,IF(OR($J140=1,$J140=2,$J140=3,$J140=4),-$E140*$I140/12*3,IF($J140=5,-$E140*$I140/12*2,IF($J140=6,-$E140*$I140/12*1,0)))))+IF(BO$5&lt;&gt;$H140,0,IF(BO140&lt;0,IF($J140=4,-$E140*$I140/12*0,IF($J140=5,-$E140*$I140/12*1,IF($J140=6,-$E140*$I140/12*2,IF($J140&gt;=7,-$E140*$I140/12*3,0))))))</f>
        <v>0</v>
      </c>
      <c r="BR140" s="442">
        <f>IF($H140&lt;&gt;BT$5,0,IF(BT140&lt;0,IF(OR($J140=1,$J140=2,$J140=3,$J140=4,$J140=5,$J140=6,$J140=7),-$E140*$I140/12*3,IF($J140=8,-$E140*$I140/12*2,IF($J140=9,-$E140*$I140/12*1,0)))))+IF(BO$5&lt;&gt;$H140,0,IF(BO140&lt;0,IF($J140=7,-$E140*$I140/12*0,IF($J140=8,-$E140*$I140/12*1,IF($J140=9,-$E140*$I140/12*2,IF($J140&gt;=10,-$E140*$I140/12*3,0))))))</f>
        <v>0</v>
      </c>
      <c r="BS140" s="443">
        <f>IF($H140&lt;&gt;BT$5,0,IF(BT140&lt;0,IF(OR($J140=1,$J140=2,$J140=3,$J140=4,$J140=5,$J140=6,$J140=7,$J140=8,$J140=9,$J140=10),-$E140*$I140/12*3,IF($J140=11,-$E140*$I140/12*2,IF($J140=12,-$E140*$I140/12*1,0)))))+IF(BO$5&lt;&gt;$H140,0,IF(BO140&lt;0,IF($J140=10,-$E140*$I140/12*0,IF($J140=11,-$E140*$I140/12*1,IF($J140=12,-$E140*$I140/12*2,0)))))</f>
        <v>0</v>
      </c>
      <c r="BT140" s="440">
        <f>IF(AND(BO140&lt;&gt;0,BO$5=$H140),-$I140*$E140-BO140,IF(BT$5=$H140,-$I140*$E140*(12-$J140+1)/12,0))</f>
        <v>0</v>
      </c>
      <c r="BU140" s="441">
        <f>IF($H140&lt;&gt;BY$5,0,IF(BY140&lt;0,IF($J140=1,-$E140*$I140/12*3,IF($J140=2,-$E140*$I140/12*2,IF($J140=3,-$E140*$I140/12*1,0)))))+IF(BT$5&lt;&gt;$H140,0,IF(BT140&lt;0,IF($J140=1,-$E140*$I140/12*0,IF($J140=2,-$E140*$I140/12*1,IF($J140=3,-$E140*$I140/12*2,IF($J140&gt;=4,-$E140*$I140/12*3,0))))))</f>
        <v>0</v>
      </c>
      <c r="BV140" s="442">
        <f>IF($H140&lt;&gt;BY$5,0,IF(BY140&lt;0,IF(OR($J140=1,$J140=2,$J140=3,$J140=4),-$E140*$I140/12*3,IF($J140=5,-$E140*$I140/12*2,IF($J140=6,-$E140*$I140/12*1,0)))))+IF(BT$5&lt;&gt;$H140,0,IF(BT140&lt;0,IF($J140=4,-$E140*$I140/12*0,IF($J140=5,-$E140*$I140/12*1,IF($J140=6,-$E140*$I140/12*2,IF($J140&gt;=7,-$E140*$I140/12*3,0))))))</f>
        <v>0</v>
      </c>
      <c r="BW140" s="442">
        <f>IF($H140&lt;&gt;BY$5,0,IF(BY140&lt;0,IF(OR($J140=1,$J140=2,$J140=3,$J140=4,$J140=5,$J140=6,$J140=7),-$E140*$I140/12*3,IF($J140=8,-$E140*$I140/12*2,IF($J140=9,-$E140*$I140/12*1,0)))))+IF(BT$5&lt;&gt;$H140,0,IF(BT140&lt;0,IF($J140=7,-$E140*$I140/12*0,IF($J140=8,-$E140*$I140/12*1,IF($J140=9,-$E140*$I140/12*2,IF($J140&gt;=10,-$E140*$I140/12*3,0))))))</f>
        <v>0</v>
      </c>
      <c r="BX140" s="443">
        <f>IF($H140&lt;&gt;BY$5,0,IF(BY140&lt;0,IF(OR($J140=1,$J140=2,$J140=3,$J140=4,$J140=5,$J140=6,$J140=7,$J140=8,$J140=9,$J140=10),-$E140*$I140/12*3,IF($J140=11,-$E140*$I140/12*2,IF($J140=12,-$E140*$I140/12*1,0)))))+IF(BT$5&lt;&gt;$H140,0,IF(BT140&lt;0,IF($J140=10,-$E140*$I140/12*0,IF($J140=11,-$E140*$I140/12*1,IF($J140=12,-$E140*$I140/12*2,0)))))</f>
        <v>0</v>
      </c>
      <c r="BY140" s="440">
        <f>IF(AND(BT140&lt;&gt;0,BT$5=$H140),-$I140*$E140-BT140,IF(BY$5=$H140,-$I140*$E140*(12-$J140+1)/12,0))</f>
        <v>0</v>
      </c>
      <c r="BZ140" s="441">
        <f>IF($H140&lt;&gt;CD$5,0,IF(CD140&lt;0,IF($J140=1,-$E140*$I140/12*3,IF($J140=2,-$E140*$I140/12*2,IF($J140=3,-$E140*$I140/12*1,0)))))+IF(BY$5&lt;&gt;$H140,0,IF(BY140&lt;0,IF($J140=1,-$E140*$I140/12*0,IF($J140=2,-$E140*$I140/12*1,IF($J140=3,-$E140*$I140/12*2,IF($J140&gt;=4,-$E140*$I140/12*3,0))))))</f>
        <v>0</v>
      </c>
      <c r="CA140" s="442">
        <f>IF($H140&lt;&gt;CD$5,0,IF(CD140&lt;0,IF(OR($J140=1,$J140=2,$J140=3,$J140=4),-$E140*$I140/12*3,IF($J140=5,-$E140*$I140/12*2,IF($J140=6,-$E140*$I140/12*1,0)))))+IF(BY$5&lt;&gt;$H140,0,IF(BY140&lt;0,IF($J140=4,-$E140*$I140/12*0,IF($J140=5,-$E140*$I140/12*1,IF($J140=6,-$E140*$I140/12*2,IF($J140&gt;=7,-$E140*$I140/12*3,0))))))</f>
        <v>0</v>
      </c>
      <c r="CB140" s="442">
        <f>IF($H140&lt;&gt;CD$5,0,IF(CD140&lt;0,IF(OR($J140=1,$J140=2,$J140=3,$J140=4,$J140=5,$J140=6,$J140=7),-$E140*$I140/12*3,IF($J140=8,-$E140*$I140/12*2,IF($J140=9,-$E140*$I140/12*1,0)))))+IF(BY$5&lt;&gt;$H140,0,IF(BY140&lt;0,IF($J140=7,-$E140*$I140/12*0,IF($J140=8,-$E140*$I140/12*1,IF($J140=9,-$E140*$I140/12*2,IF($J140&gt;=10,-$E140*$I140/12*3,0))))))</f>
        <v>0</v>
      </c>
      <c r="CC140" s="443">
        <f>IF($H140&lt;&gt;CD$5,0,IF(CD140&lt;0,IF(OR($J140=1,$J140=2,$J140=3,$J140=4,$J140=5,$J140=6,$J140=7,$J140=8,$J140=9,$J140=10),-$E140*$I140/12*3,IF($J140=11,-$E140*$I140/12*2,IF($J140=12,-$E140*$I140/12*1,0)))))+IF(BY$5&lt;&gt;$H140,0,IF(BY140&lt;0,IF($J140=10,-$E140*$I140/12*0,IF($J140=11,-$E140*$I140/12*1,IF($J140=12,-$E140*$I140/12*2,0)))))</f>
        <v>0</v>
      </c>
      <c r="CD140" s="440">
        <f>IF(AND(BY140&lt;&gt;0,BY$5=$H140),-$I140*$E140-BY140,IF(CD$5=$H140,-$I140*$E140*(12-$J140+1)/12,0))</f>
        <v>0</v>
      </c>
      <c r="CE140" s="441">
        <f>IF($H140&lt;&gt;CI$5,0,IF(CI140&lt;0,IF($J140=1,-$E140*$I140/12*3,IF($J140=2,-$E140*$I140/12*2,IF($J140=3,-$E140*$I140/12*1,0)))))+IF(CD$5&lt;&gt;$H140,0,IF(CD140&lt;0,IF($J140=1,-$E140*$I140/12*0,IF($J140=2,-$E140*$I140/12*1,IF($J140=3,-$E140*$I140/12*2,IF($J140&gt;=4,-$E140*$I140/12*3,0))))))</f>
        <v>0</v>
      </c>
      <c r="CF140" s="442">
        <f>IF($H140&lt;&gt;CI$5,0,IF(CI140&lt;0,IF(OR($J140=1,$J140=2,$J140=3,$J140=4),-$E140*$I140/12*3,IF($J140=5,-$E140*$I140/12*2,IF($J140=6,-$E140*$I140/12*1,0)))))+IF(CD$5&lt;&gt;$H140,0,IF(CD140&lt;0,IF($J140=4,-$E140*$I140/12*0,IF($J140=5,-$E140*$I140/12*1,IF($J140=6,-$E140*$I140/12*2,IF($J140&gt;=7,-$E140*$I140/12*3,0))))))</f>
        <v>0</v>
      </c>
      <c r="CG140" s="442">
        <f>IF($H140&lt;&gt;CI$5,0,IF(CI140&lt;0,IF(OR($J140=1,$J140=2,$J140=3,$J140=4,$J140=5,$J140=6,$J140=7),-$E140*$I140/12*3,IF($J140=8,-$E140*$I140/12*2,IF($J140=9,-$E140*$I140/12*1,0)))))+IF(CD$5&lt;&gt;$H140,0,IF(CD140&lt;0,IF($J140=7,-$E140*$I140/12*0,IF($J140=8,-$E140*$I140/12*1,IF($J140=9,-$E140*$I140/12*2,IF($J140&gt;=10,-$E140*$I140/12*3,0))))))</f>
        <v>0</v>
      </c>
      <c r="CH140" s="443">
        <f>IF($H140&lt;&gt;CI$5,0,IF(CI140&lt;0,IF(OR($J140=1,$J140=2,$J140=3,$J140=4,$J140=5,$J140=6,$J140=7,$J140=8,$J140=9,$J140=10),-$E140*$I140/12*3,IF($J140=11,-$E140*$I140/12*2,IF($J140=12,-$E140*$I140/12*1,0)))))+IF(CD$5&lt;&gt;$H140,0,IF(CD140&lt;0,IF($J140=10,-$E140*$I140/12*0,IF($J140=11,-$E140*$I140/12*1,IF($J140=12,-$E140*$I140/12*2,0)))))</f>
        <v>0</v>
      </c>
      <c r="CI140" s="440">
        <f>IF(AND(CD140&lt;&gt;0,CD$5=$H140),-$I140*$E140-CD140,IF(CI$5=$H140,-$I140*$E140*(12-$J140+1)/12,0))</f>
        <v>0</v>
      </c>
      <c r="CJ140" s="441">
        <f>IF($H140&lt;&gt;CN$5,0,IF(CN140&lt;0,IF($J140=1,-$E140*$I140/12*3,IF($J140=2,-$E140*$I140/12*2,IF($J140=3,-$E140*$I140/12*1,0)))))+IF(CI$5&lt;&gt;$H140,0,IF(CI140&lt;0,IF($J140=1,-$E140*$I140/12*0,IF($J140=2,-$E140*$I140/12*1,IF($J140=3,-$E140*$I140/12*2,IF($J140&gt;=4,-$E140*$I140/12*3,0))))))</f>
        <v>0</v>
      </c>
      <c r="CK140" s="442">
        <f>IF($H140&lt;&gt;CN$5,0,IF(CN140&lt;0,IF(OR($J140=1,$J140=2,$J140=3,$J140=4),-$E140*$I140/12*3,IF($J140=5,-$E140*$I140/12*2,IF($J140=6,-$E140*$I140/12*1,0)))))+IF(CI$5&lt;&gt;$H140,0,IF(CI140&lt;0,IF($J140=4,-$E140*$I140/12*0,IF($J140=5,-$E140*$I140/12*1,IF($J140=6,-$E140*$I140/12*2,IF($J140&gt;=7,-$E140*$I140/12*3,0))))))</f>
        <v>0</v>
      </c>
      <c r="CL140" s="442">
        <f>IF($H140&lt;&gt;CN$5,0,IF(CN140&lt;0,IF(OR($J140=1,$J140=2,$J140=3,$J140=4,$J140=5,$J140=6,$J140=7),-$E140*$I140/12*3,IF($J140=8,-$E140*$I140/12*2,IF($J140=9,-$E140*$I140/12*1,0)))))+IF(CI$5&lt;&gt;$H140,0,IF(CI140&lt;0,IF($J140=7,-$E140*$I140/12*0,IF($J140=8,-$E140*$I140/12*1,IF($J140=9,-$E140*$I140/12*2,IF($J140&gt;=10,-$E140*$I140/12*3,0))))))</f>
        <v>0</v>
      </c>
      <c r="CM140" s="443">
        <f>IF($H140&lt;&gt;CN$5,0,IF(CN140&lt;0,IF(OR($J140=1,$J140=2,$J140=3,$J140=4,$J140=5,$J140=6,$J140=7,$J140=8,$J140=9,$J140=10),-$E140*$I140/12*3,IF($J140=11,-$E140*$I140/12*2,IF($J140=12,-$E140*$I140/12*1,0)))))+IF(CI$5&lt;&gt;$H140,0,IF(CI140&lt;0,IF($J140=10,-$E140*$I140/12*0,IF($J140=11,-$E140*$I140/12*1,IF($J140=12,-$E140*$I140/12*2,0)))))</f>
        <v>0</v>
      </c>
      <c r="CN140" s="440">
        <f>IF(AND(CI140&lt;&gt;0,CI$5=$H140),-$I140*$E140-CI140,IF(CN$5=$H140,-$I140*$E140*(12-$J140+1)/12,0))</f>
        <v>0</v>
      </c>
      <c r="CO140" s="441">
        <f>IF($H140&lt;&gt;CS$5,0,IF(CS140&lt;0,IF($J140=1,-$E140*$I140/12*3,IF($J140=2,-$E140*$I140/12*2,IF($J140=3,-$E140*$I140/12*1,0)))))+IF(CN$5&lt;&gt;$H140,0,IF(CN140&lt;0,IF($J140=1,-$E140*$I140/12*0,IF($J140=2,-$E140*$I140/12*1,IF($J140=3,-$E140*$I140/12*2,IF($J140&gt;=4,-$E140*$I140/12*3,0))))))</f>
        <v>0</v>
      </c>
      <c r="CP140" s="442">
        <f>IF($H140&lt;&gt;CS$5,0,IF(CS140&lt;0,IF(OR($J140=1,$J140=2,$J140=3,$J140=4),-$E140*$I140/12*3,IF($J140=5,-$E140*$I140/12*2,IF($J140=6,-$E140*$I140/12*1,0)))))+IF(CN$5&lt;&gt;$H140,0,IF(CN140&lt;0,IF($J140=4,-$E140*$I140/12*0,IF($J140=5,-$E140*$I140/12*1,IF($J140=6,-$E140*$I140/12*2,IF($J140&gt;=7,-$E140*$I140/12*3,0))))))</f>
        <v>0</v>
      </c>
      <c r="CQ140" s="442">
        <f>IF($H140&lt;&gt;CS$5,0,IF(CS140&lt;0,IF(OR($J140=1,$J140=2,$J140=3,$J140=4,$J140=5,$J140=6,$J140=7),-$E140*$I140/12*3,IF($J140=8,-$E140*$I140/12*2,IF($J140=9,-$E140*$I140/12*1,0)))))+IF(CN$5&lt;&gt;$H140,0,IF(CN140&lt;0,IF($J140=7,-$E140*$I140/12*0,IF($J140=8,-$E140*$I140/12*1,IF($J140=9,-$E140*$I140/12*2,IF($J140&gt;=10,-$E140*$I140/12*3,0))))))</f>
        <v>0</v>
      </c>
      <c r="CR140" s="443">
        <f>IF($H140&lt;&gt;CS$5,0,IF(CS140&lt;0,IF(OR($J140=1,$J140=2,$J140=3,$J140=4,$J140=5,$J140=6,$J140=7,$J140=8,$J140=9,$J140=10),-$E140*$I140/12*3,IF($J140=11,-$E140*$I140/12*2,IF($J140=12,-$E140*$I140/12*1,0)))))+IF(CN$5&lt;&gt;$H140,0,IF(CN140&lt;0,IF($J140=10,-$E140*$I140/12*0,IF($J140=11,-$E140*$I140/12*1,IF($J140=12,-$E140*$I140/12*2,0)))))</f>
        <v>0</v>
      </c>
      <c r="CS140" s="440">
        <f>IF(AND(CN140&lt;&gt;0,CN$5=$H140),-$I140*$E140-CN140,IF(CS$5=$H140,-$I140*$E140*(12-$J140+1)/12,0))</f>
        <v>0</v>
      </c>
      <c r="CT140" s="441">
        <f>IF($H140&lt;&gt;CX$5,0,IF(CX140&lt;0,IF($J140=1,-$E140*$I140/12*3,IF($J140=2,-$E140*$I140/12*2,IF($J140=3,-$E140*$I140/12*1,0)))))+IF(CS$5&lt;&gt;$H140,0,IF(CS140&lt;0,IF($J140=1,-$E140*$I140/12*0,IF($J140=2,-$E140*$I140/12*1,IF($J140=3,-$E140*$I140/12*2,IF($J140&gt;=4,-$E140*$I140/12*3,0))))))</f>
        <v>0</v>
      </c>
      <c r="CU140" s="442">
        <f>IF($H140&lt;&gt;CX$5,0,IF(CX140&lt;0,IF(OR($J140=1,$J140=2,$J140=3,$J140=4),-$E140*$I140/12*3,IF($J140=5,-$E140*$I140/12*2,IF($J140=6,-$E140*$I140/12*1,0)))))+IF(CS$5&lt;&gt;$H140,0,IF(CS140&lt;0,IF($J140=4,-$E140*$I140/12*0,IF($J140=5,-$E140*$I140/12*1,IF($J140=6,-$E140*$I140/12*2,IF($J140&gt;=7,-$E140*$I140/12*3,0))))))</f>
        <v>0</v>
      </c>
      <c r="CV140" s="442">
        <f>IF($H140&lt;&gt;CX$5,0,IF(CX140&lt;0,IF(OR($J140=1,$J140=2,$J140=3,$J140=4,$J140=5,$J140=6,$J140=7),-$E140*$I140/12*3,IF($J140=8,-$E140*$I140/12*2,IF($J140=9,-$E140*$I140/12*1,0)))))+IF(CS$5&lt;&gt;$H140,0,IF(CS140&lt;0,IF($J140=7,-$E140*$I140/12*0,IF($J140=8,-$E140*$I140/12*1,IF($J140=9,-$E140*$I140/12*2,IF($J140&gt;=10,-$E140*$I140/12*3,0))))))</f>
        <v>0</v>
      </c>
      <c r="CW140" s="443">
        <f>IF($H140&lt;&gt;CX$5,0,IF(CX140&lt;0,IF(OR($J140=1,$J140=2,$J140=3,$J140=4,$J140=5,$J140=6,$J140=7,$J140=8,$J140=9,$J140=10),-$E140*$I140/12*3,IF($J140=11,-$E140*$I140/12*2,IF($J140=12,-$E140*$I140/12*1,0)))))+IF(CS$5&lt;&gt;$H140,0,IF(CS140&lt;0,IF($J140=10,-$E140*$I140/12*0,IF($J140=11,-$E140*$I140/12*1,IF($J140=12,-$E140*$I140/12*2,0)))))</f>
        <v>0</v>
      </c>
      <c r="CX140" s="440">
        <f>IF(AND(CS140&lt;&gt;0,CS$5=$H140),-$I140*$E140-CS140,IF(CX$5=$H140,-$I140*$E140*(12-$J140+1)/12,0))</f>
        <v>0</v>
      </c>
      <c r="CY140" s="441">
        <f>IF($H140&lt;&gt;DC$5,0,IF(DC140&lt;0,IF($J140=1,-$E140*$I140/12*3,IF($J140=2,-$E140*$I140/12*2,IF($J140=3,-$E140*$I140/12*1,0)))))+IF(CX$5&lt;&gt;$H140,0,IF(CX140&lt;0,IF($J140=1,-$E140*$I140/12*0,IF($J140=2,-$E140*$I140/12*1,IF($J140=3,-$E140*$I140/12*2,IF($J140&gt;=4,-$E140*$I140/12*3,0))))))</f>
        <v>0</v>
      </c>
      <c r="CZ140" s="442">
        <f>IF($H140&lt;&gt;DC$5,0,IF(DC140&lt;0,IF(OR($J140=1,$J140=2,$J140=3,$J140=4),-$E140*$I140/12*3,IF($J140=5,-$E140*$I140/12*2,IF($J140=6,-$E140*$I140/12*1,0)))))+IF(CX$5&lt;&gt;$H140,0,IF(CX140&lt;0,IF($J140=4,-$E140*$I140/12*0,IF($J140=5,-$E140*$I140/12*1,IF($J140=6,-$E140*$I140/12*2,IF($J140&gt;=7,-$E140*$I140/12*3,0))))))</f>
        <v>0</v>
      </c>
      <c r="DA140" s="442">
        <f>IF($H140&lt;&gt;DC$5,0,IF(DC140&lt;0,IF(OR($J140=1,$J140=2,$J140=3,$J140=4,$J140=5,$J140=6,$J140=7),-$E140*$I140/12*3,IF($J140=8,-$E140*$I140/12*2,IF($J140=9,-$E140*$I140/12*1,0)))))+IF(CX$5&lt;&gt;$H140,0,IF(CX140&lt;0,IF($J140=7,-$E140*$I140/12*0,IF($J140=8,-$E140*$I140/12*1,IF($J140=9,-$E140*$I140/12*2,IF($J140&gt;=10,-$E140*$I140/12*3,0))))))</f>
        <v>0</v>
      </c>
      <c r="DB140" s="443">
        <f>IF($H140&lt;&gt;DC$5,0,IF(DC140&lt;0,IF(OR($J140=1,$J140=2,$J140=3,$J140=4,$J140=5,$J140=6,$J140=7,$J140=8,$J140=9,$J140=10),-$E140*$I140/12*3,IF($J140=11,-$E140*$I140/12*2,IF($J140=12,-$E140*$I140/12*1,0)))))+IF(CX$5&lt;&gt;$H140,0,IF(CX140&lt;0,IF($J140=10,-$E140*$I140/12*0,IF($J140=11,-$E140*$I140/12*1,IF($J140=12,-$E140*$I140/12*2,0)))))</f>
        <v>0</v>
      </c>
      <c r="DC140" s="440">
        <f>IF(AND(CX140&lt;&gt;0,CX$5=$H140),-$I140*$E140-CX140,IF(DC$5=$H140,-$I140*$E140*(12-$J140+1)/12,0))</f>
        <v>0</v>
      </c>
      <c r="DD140" s="441">
        <f>IF($H140&lt;&gt;DH$5,0,IF(DH140&lt;0,IF($J140=1,-$E140*$I140/12*3,IF($J140=2,-$E140*$I140/12*2,IF($J140=3,-$E140*$I140/12*1,0)))))+IF(DC$5&lt;&gt;$H140,0,IF(DC140&lt;0,IF($J140=1,-$E140*$I140/12*0,IF($J140=2,-$E140*$I140/12*1,IF($J140=3,-$E140*$I140/12*2,IF($J140&gt;=4,-$E140*$I140/12*3,0))))))</f>
        <v>0</v>
      </c>
      <c r="DE140" s="442">
        <f>IF($H140&lt;&gt;DH$5,0,IF(DH140&lt;0,IF(OR($J140=1,$J140=2,$J140=3,$J140=4),-$E140*$I140/12*3,IF($J140=5,-$E140*$I140/12*2,IF($J140=6,-$E140*$I140/12*1,0)))))+IF(DC$5&lt;&gt;$H140,0,IF(DC140&lt;0,IF($J140=4,-$E140*$I140/12*0,IF($J140=5,-$E140*$I140/12*1,IF($J140=6,-$E140*$I140/12*2,IF($J140&gt;=7,-$E140*$I140/12*3,0))))))</f>
        <v>0</v>
      </c>
      <c r="DF140" s="442">
        <f>IF($H140&lt;&gt;DH$5,0,IF(DH140&lt;0,IF(OR($J140=1,$J140=2,$J140=3,$J140=4,$J140=5,$J140=6,$J140=7),-$E140*$I140/12*3,IF($J140=8,-$E140*$I140/12*2,IF($J140=9,-$E140*$I140/12*1,0)))))+IF(DC$5&lt;&gt;$H140,0,IF(DC140&lt;0,IF($J140=7,-$E140*$I140/12*0,IF($J140=8,-$E140*$I140/12*1,IF($J140=9,-$E140*$I140/12*2,IF($J140&gt;=10,-$E140*$I140/12*3,0))))))</f>
        <v>0</v>
      </c>
      <c r="DG140" s="443">
        <f>IF($H140&lt;&gt;DH$5,0,IF(DH140&lt;0,IF(OR($J140=1,$J140=2,$J140=3,$J140=4,$J140=5,$J140=6,$J140=7,$J140=8,$J140=9,$J140=10),-$E140*$I140/12*3,IF($J140=11,-$E140*$I140/12*2,IF($J140=12,-$E140*$I140/12*1,0)))))+IF(DC$5&lt;&gt;$H140,0,IF(DC140&lt;0,IF($J140=10,-$E140*$I140/12*0,IF($J140=11,-$E140*$I140/12*1,IF($J140=12,-$E140*$I140/12*2,0)))))</f>
        <v>0</v>
      </c>
      <c r="DH140" s="440">
        <f>IF(AND(DC140&lt;&gt;0,DC$5=$H140),-$I140*$E140-DC140,IF(DH$5=$H140,-$I140*$E140*(12-$J140+1)/12,0))</f>
        <v>0</v>
      </c>
      <c r="DI140" s="441">
        <f>IF($H140&lt;&gt;DM$5,0,IF(DM140&lt;0,IF($J140=1,-$E140*$I140/12*3,IF($J140=2,-$E140*$I140/12*2,IF($J140=3,-$E140*$I140/12*1,0)))))+IF(DH$5&lt;&gt;$H140,0,IF(DH140&lt;0,IF($J140=1,-$E140*$I140/12*0,IF($J140=2,-$E140*$I140/12*1,IF($J140=3,-$E140*$I140/12*2,IF($J140&gt;=4,-$E140*$I140/12*3,0))))))</f>
        <v>0</v>
      </c>
      <c r="DJ140" s="442">
        <f>IF($H140&lt;&gt;DM$5,0,IF(DM140&lt;0,IF(OR($J140=1,$J140=2,$J140=3,$J140=4),-$E140*$I140/12*3,IF($J140=5,-$E140*$I140/12*2,IF($J140=6,-$E140*$I140/12*1,0)))))+IF(DH$5&lt;&gt;$H140,0,IF(DH140&lt;0,IF($J140=4,-$E140*$I140/12*0,IF($J140=5,-$E140*$I140/12*1,IF($J140=6,-$E140*$I140/12*2,IF($J140&gt;=7,-$E140*$I140/12*3,0))))))</f>
        <v>0</v>
      </c>
      <c r="DK140" s="442">
        <f>IF($H140&lt;&gt;DM$5,0,IF(DM140&lt;0,IF(OR($J140=1,$J140=2,$J140=3,$J140=4,$J140=5,$J140=6,$J140=7),-$E140*$I140/12*3,IF($J140=8,-$E140*$I140/12*2,IF($J140=9,-$E140*$I140/12*1,0)))))+IF(DH$5&lt;&gt;$H140,0,IF(DH140&lt;0,IF($J140=7,-$E140*$I140/12*0,IF($J140=8,-$E140*$I140/12*1,IF($J140=9,-$E140*$I140/12*2,IF($J140&gt;=10,-$E140*$I140/12*3,0))))))</f>
        <v>0</v>
      </c>
      <c r="DL140" s="443">
        <f>IF($H140&lt;&gt;DM$5,0,IF(DM140&lt;0,IF(OR($J140=1,$J140=2,$J140=3,$J140=4,$J140=5,$J140=6,$J140=7,$J140=8,$J140=9,$J140=10),-$E140*$I140/12*3,IF($J140=11,-$E140*$I140/12*2,IF($J140=12,-$E140*$I140/12*1,0)))))+IF(DH$5&lt;&gt;$H140,0,IF(DH140&lt;0,IF($J140=10,-$E140*$I140/12*0,IF($J140=11,-$E140*$I140/12*1,IF($J140=12,-$E140*$I140/12*2,0)))))</f>
        <v>0</v>
      </c>
      <c r="DM140" s="440">
        <f>IF(AND(DH140&lt;&gt;0,DH$5=$H140),-$I140*$E140-DH140,IF(DM$5=$H140,-$I140*$E140*(12-$J140+1)/12,0))</f>
        <v>0</v>
      </c>
      <c r="DN140" s="441">
        <f>IF($H140&lt;&gt;DR$5,0,IF(DR140&lt;0,IF($J140=1,-$E140*$I140/12*3,IF($J140=2,-$E140*$I140/12*2,IF($J140=3,-$E140*$I140/12*1,0)))))+IF(DM$5&lt;&gt;$H140,0,IF(DM140&lt;0,IF($J140=1,-$E140*$I140/12*0,IF($J140=2,-$E140*$I140/12*1,IF($J140=3,-$E140*$I140/12*2,IF($J140&gt;=4,-$E140*$I140/12*3,0))))))</f>
        <v>0</v>
      </c>
      <c r="DO140" s="442">
        <f>IF($H140&lt;&gt;DR$5,0,IF(DR140&lt;0,IF(OR($J140=1,$J140=2,$J140=3,$J140=4),-$E140*$I140/12*3,IF($J140=5,-$E140*$I140/12*2,IF($J140=6,-$E140*$I140/12*1,0)))))+IF(DM$5&lt;&gt;$H140,0,IF(DM140&lt;0,IF($J140=4,-$E140*$I140/12*0,IF($J140=5,-$E140*$I140/12*1,IF($J140=6,-$E140*$I140/12*2,IF($J140&gt;=7,-$E140*$I140/12*3,0))))))</f>
        <v>0</v>
      </c>
      <c r="DP140" s="442">
        <f>IF($H140&lt;&gt;DR$5,0,IF(DR140&lt;0,IF(OR($J140=1,$J140=2,$J140=3,$J140=4,$J140=5,$J140=6,$J140=7),-$E140*$I140/12*3,IF($J140=8,-$E140*$I140/12*2,IF($J140=9,-$E140*$I140/12*1,0)))))+IF(DM$5&lt;&gt;$H140,0,IF(DM140&lt;0,IF($J140=7,-$E140*$I140/12*0,IF($J140=8,-$E140*$I140/12*1,IF($J140=9,-$E140*$I140/12*2,IF($J140&gt;=10,-$E140*$I140/12*3,0))))))</f>
        <v>0</v>
      </c>
      <c r="DQ140" s="443">
        <f>IF($H140&lt;&gt;DR$5,0,IF(DR140&lt;0,IF(OR($J140=1,$J140=2,$J140=3,$J140=4,$J140=5,$J140=6,$J140=7,$J140=8,$J140=9,$J140=10),-$E140*$I140/12*3,IF($J140=11,-$E140*$I140/12*2,IF($J140=12,-$E140*$I140/12*1,0)))))+IF(DM$5&lt;&gt;$H140,0,IF(DM140&lt;0,IF($J140=10,-$E140*$I140/12*0,IF($J140=11,-$E140*$I140/12*1,IF($J140=12,-$E140*$I140/12*2,0)))))</f>
        <v>0</v>
      </c>
      <c r="DR140" s="440">
        <f>IF(AND(DM140&lt;&gt;0,DM$5=$H140),-$I140*$E140-DM140,IF(DR$5=$H140,-$I140*$E140*(12-$J140+1)/12,0))</f>
        <v>0</v>
      </c>
    </row>
    <row r="141" spans="1:122">
      <c r="C141" s="1123"/>
      <c r="D141" s="395"/>
      <c r="E141" s="325"/>
      <c r="F141" s="1368"/>
      <c r="G141" s="1368"/>
      <c r="H141" s="651"/>
      <c r="I141" s="650"/>
      <c r="J141" s="656"/>
      <c r="K141" s="549"/>
      <c r="L141" s="441"/>
      <c r="M141" s="442"/>
      <c r="N141" s="442"/>
      <c r="O141" s="443"/>
      <c r="P141" s="440"/>
      <c r="Q141" s="441"/>
      <c r="R141" s="442"/>
      <c r="S141" s="442"/>
      <c r="T141" s="443"/>
      <c r="U141" s="440"/>
      <c r="V141" s="441"/>
      <c r="W141" s="442"/>
      <c r="X141" s="442"/>
      <c r="Y141" s="443"/>
      <c r="Z141" s="440"/>
      <c r="AA141" s="441"/>
      <c r="AB141" s="442"/>
      <c r="AC141" s="442"/>
      <c r="AD141" s="443"/>
      <c r="AE141" s="440"/>
      <c r="AF141" s="441"/>
      <c r="AG141" s="442"/>
      <c r="AH141" s="442"/>
      <c r="AI141" s="443"/>
      <c r="AJ141" s="440"/>
      <c r="AK141" s="441"/>
      <c r="AL141" s="442"/>
      <c r="AM141" s="442"/>
      <c r="AN141" s="443"/>
      <c r="AO141" s="440"/>
      <c r="AP141" s="441"/>
      <c r="AQ141" s="442"/>
      <c r="AR141" s="442"/>
      <c r="AS141" s="443"/>
      <c r="AT141" s="440"/>
      <c r="AU141" s="441"/>
      <c r="AV141" s="442"/>
      <c r="AW141" s="442"/>
      <c r="AX141" s="443"/>
      <c r="AY141" s="440"/>
      <c r="AZ141" s="441"/>
      <c r="BA141" s="442"/>
      <c r="BB141" s="442"/>
      <c r="BC141" s="443"/>
      <c r="BD141" s="440"/>
      <c r="BE141" s="441"/>
      <c r="BF141" s="442"/>
      <c r="BG141" s="442"/>
      <c r="BH141" s="443"/>
      <c r="BI141" s="440"/>
      <c r="BJ141" s="441"/>
      <c r="BK141" s="442"/>
      <c r="BL141" s="442"/>
      <c r="BM141" s="443"/>
      <c r="BN141" s="440"/>
      <c r="BO141" s="470"/>
      <c r="BP141" s="441"/>
      <c r="BQ141" s="442"/>
      <c r="BR141" s="442"/>
      <c r="BS141" s="443"/>
      <c r="BT141" s="440"/>
      <c r="BU141" s="441"/>
      <c r="BV141" s="442"/>
      <c r="BW141" s="442"/>
      <c r="BX141" s="443"/>
      <c r="BY141" s="440"/>
      <c r="BZ141" s="441"/>
      <c r="CA141" s="442"/>
      <c r="CB141" s="442"/>
      <c r="CC141" s="443"/>
      <c r="CD141" s="440"/>
      <c r="CE141" s="441"/>
      <c r="CF141" s="442"/>
      <c r="CG141" s="442"/>
      <c r="CH141" s="443"/>
      <c r="CI141" s="440"/>
      <c r="CJ141" s="441"/>
      <c r="CK141" s="442"/>
      <c r="CL141" s="442"/>
      <c r="CM141" s="443"/>
      <c r="CN141" s="440"/>
      <c r="CO141" s="441"/>
      <c r="CP141" s="442"/>
      <c r="CQ141" s="442"/>
      <c r="CR141" s="443"/>
      <c r="CS141" s="440"/>
      <c r="CT141" s="441"/>
      <c r="CU141" s="442"/>
      <c r="CV141" s="442"/>
      <c r="CW141" s="443"/>
      <c r="CX141" s="440"/>
      <c r="CY141" s="441"/>
      <c r="CZ141" s="442"/>
      <c r="DA141" s="442"/>
      <c r="DB141" s="443"/>
      <c r="DC141" s="440"/>
      <c r="DD141" s="441"/>
      <c r="DE141" s="442"/>
      <c r="DF141" s="442"/>
      <c r="DG141" s="443"/>
      <c r="DH141" s="440"/>
      <c r="DI141" s="441"/>
      <c r="DJ141" s="442"/>
      <c r="DK141" s="442"/>
      <c r="DL141" s="443"/>
      <c r="DM141" s="440"/>
      <c r="DN141" s="441"/>
      <c r="DO141" s="442"/>
      <c r="DP141" s="442"/>
      <c r="DQ141" s="443"/>
      <c r="DR141" s="440"/>
    </row>
    <row r="142" spans="1:122" ht="12.75" customHeight="1">
      <c r="A142" s="92"/>
      <c r="B142" s="92"/>
      <c r="C142" s="1363" t="s">
        <v>320</v>
      </c>
      <c r="D142" s="395"/>
      <c r="E142" s="1361"/>
      <c r="F142" s="1358"/>
      <c r="G142" s="1358"/>
      <c r="H142" s="414"/>
      <c r="I142" s="650"/>
      <c r="J142" s="656"/>
      <c r="K142" s="549"/>
      <c r="L142" s="441">
        <f t="shared" ref="L142:L149" si="1798">IF(P142=0,0,IF(P142&lt;0,IF($J142=3,P142,IF($J142=2,P142,IF($J142=1,P142,0)))))</f>
        <v>0</v>
      </c>
      <c r="M142" s="442">
        <f t="shared" ref="M142:M149" si="1799">IF(P142=0,0,IF(P142&lt;0,IF($J142=6,P142,IF($J142=5,P142,IF($J142=4,P142,0)))))</f>
        <v>0</v>
      </c>
      <c r="N142" s="442">
        <f t="shared" ref="N142:N149" si="1800">IF(P142=0,0,IF(P142&lt;0,IF($J142=9,P142,IF($J142=8,P142,IF($J142=7,P142,0)))))</f>
        <v>0</v>
      </c>
      <c r="O142" s="443">
        <f t="shared" ref="O142:O149" si="1801">IF(P142=0,0,IF(P142&lt;0,IF($J142=12,P142,IF($J142=11,P142,IF($J142=10,P142,0)))))</f>
        <v>0</v>
      </c>
      <c r="P142" s="440">
        <f t="shared" ref="P142:P149" si="1802">IF(P$5=$H142,-$E142,0)</f>
        <v>0</v>
      </c>
      <c r="Q142" s="441">
        <f t="shared" ref="Q142:Q149" si="1803">IF(U142=0,0,IF(U142&lt;0,IF($J142=3,U142,IF($J142=2,U142,IF($J142=1,U142,0)))))</f>
        <v>0</v>
      </c>
      <c r="R142" s="442">
        <f t="shared" ref="R142:R149" si="1804">IF(U142=0,0,IF(U142&lt;0,IF($J142=6,U142,IF($J142=5,U142,IF($J142=4,U142,0)))))</f>
        <v>0</v>
      </c>
      <c r="S142" s="442">
        <f t="shared" ref="S142:S149" si="1805">IF(U142=0,0,IF(U142&lt;0,IF($J142=9,U142,IF($J142=8,U142,IF($J142=7,U142,0)))))</f>
        <v>0</v>
      </c>
      <c r="T142" s="443">
        <f t="shared" ref="T142:T149" si="1806">IF(U142=0,0,IF(U142&lt;0,IF($J142=12,U142,IF($J142=11,U142,IF($J142=10,U142,0)))))</f>
        <v>0</v>
      </c>
      <c r="U142" s="440">
        <f t="shared" ref="U142:U149" si="1807">IF(U$5=$H142,-$E142,0)</f>
        <v>0</v>
      </c>
      <c r="V142" s="441">
        <f t="shared" ref="V142:V149" si="1808">IF(Z142=0,0,IF(Z142&lt;0,IF($J142=3,Z142,IF($J142=2,Z142,IF($J142=1,Z142,0)))))</f>
        <v>0</v>
      </c>
      <c r="W142" s="442">
        <f t="shared" ref="W142:W149" si="1809">IF(Z142=0,0,IF(Z142&lt;0,IF($J142=6,Z142,IF($J142=5,Z142,IF($J142=4,Z142,0)))))</f>
        <v>0</v>
      </c>
      <c r="X142" s="442">
        <f t="shared" ref="X142:X149" si="1810">IF(Z142=0,0,IF(Z142&lt;0,IF($J142=9,Z142,IF($J142=8,Z142,IF($J142=7,Z142,0)))))</f>
        <v>0</v>
      </c>
      <c r="Y142" s="443">
        <f t="shared" ref="Y142:Y149" si="1811">IF(Z142=0,0,IF(Z142&lt;0,IF($J142=12,Z142,IF($J142=11,Z142,IF($J142=10,Z142,0)))))</f>
        <v>0</v>
      </c>
      <c r="Z142" s="440">
        <f t="shared" ref="Z142:Z149" si="1812">IF(Z$5=$H142,-$E142,0)</f>
        <v>0</v>
      </c>
      <c r="AA142" s="441">
        <f t="shared" ref="AA142:AA149" si="1813">IF(AE142=0,0,IF(AE142&lt;0,IF($J142=3,AE142,IF($J142=2,AE142,IF($J142=1,AE142,0)))))</f>
        <v>0</v>
      </c>
      <c r="AB142" s="442">
        <f t="shared" ref="AB142:AB149" si="1814">IF(AE142=0,0,IF(AE142&lt;0,IF($J142=6,AE142,IF($J142=5,AE142,IF($J142=4,AE142,0)))))</f>
        <v>0</v>
      </c>
      <c r="AC142" s="442">
        <f t="shared" ref="AC142:AC149" si="1815">IF(AE142=0,0,IF(AE142&lt;0,IF($J142=9,AE142,IF($J142=8,AE142,IF($J142=7,AE142,0)))))</f>
        <v>0</v>
      </c>
      <c r="AD142" s="443">
        <f t="shared" ref="AD142:AD149" si="1816">IF(AE142=0,0,IF(AE142&lt;0,IF($J142=12,AE142,IF($J142=11,AE142,IF($J142=10,AE142,0)))))</f>
        <v>0</v>
      </c>
      <c r="AE142" s="440">
        <f t="shared" ref="AE142:AE149" si="1817">IF(AE$5=$H142,-$E142,0)</f>
        <v>0</v>
      </c>
      <c r="AF142" s="441">
        <f t="shared" ref="AF142:AF149" si="1818">IF(AJ142=0,0,IF(AJ142&lt;0,IF($J142=3,AJ142,IF($J142=2,AJ142,IF($J142=1,AJ142,0)))))</f>
        <v>0</v>
      </c>
      <c r="AG142" s="442">
        <f t="shared" ref="AG142:AG149" si="1819">IF(AJ142=0,0,IF(AJ142&lt;0,IF($J142=6,AJ142,IF($J142=5,AJ142,IF($J142=4,AJ142,0)))))</f>
        <v>0</v>
      </c>
      <c r="AH142" s="442">
        <f t="shared" ref="AH142:AH149" si="1820">IF(AJ142=0,0,IF(AJ142&lt;0,IF($J142=9,AJ142,IF($J142=8,AJ142,IF($J142=7,AJ142,0)))))</f>
        <v>0</v>
      </c>
      <c r="AI142" s="443">
        <f t="shared" ref="AI142:AI149" si="1821">IF(AJ142=0,0,IF(AJ142&lt;0,IF($J142=12,AJ142,IF($J142=11,AJ142,IF($J142=10,AJ142,0)))))</f>
        <v>0</v>
      </c>
      <c r="AJ142" s="440">
        <f t="shared" ref="AJ142:AJ149" si="1822">IF(AJ$5=$H142,-$E142,0)</f>
        <v>0</v>
      </c>
      <c r="AK142" s="441">
        <f t="shared" ref="AK142:AK149" si="1823">IF(AO142=0,0,IF(AO142&lt;0,IF($J142=3,AO142,IF($J142=2,AO142,IF($J142=1,AO142,0)))))</f>
        <v>0</v>
      </c>
      <c r="AL142" s="442">
        <f t="shared" ref="AL142:AL149" si="1824">IF(AO142=0,0,IF(AO142&lt;0,IF($J142=6,AO142,IF($J142=5,AO142,IF($J142=4,AO142,0)))))</f>
        <v>0</v>
      </c>
      <c r="AM142" s="442">
        <f t="shared" ref="AM142:AM149" si="1825">IF(AO142=0,0,IF(AO142&lt;0,IF($J142=9,AO142,IF($J142=8,AO142,IF($J142=7,AO142,0)))))</f>
        <v>0</v>
      </c>
      <c r="AN142" s="443">
        <f t="shared" ref="AN142:AN149" si="1826">IF(AO142=0,0,IF(AO142&lt;0,IF($J142=12,AO142,IF($J142=11,AO142,IF($J142=10,AO142,0)))))</f>
        <v>0</v>
      </c>
      <c r="AO142" s="440">
        <f t="shared" ref="AO142:AO149" si="1827">IF(AO$5=$H142,-$E142,0)</f>
        <v>0</v>
      </c>
      <c r="AP142" s="441">
        <f t="shared" ref="AP142:AP149" si="1828">IF(AT142=0,0,IF(AT142&lt;0,IF($J142=3,AT142,IF($J142=2,AT142,IF($J142=1,AT142,0)))))</f>
        <v>0</v>
      </c>
      <c r="AQ142" s="442">
        <f t="shared" ref="AQ142:AQ149" si="1829">IF(AT142=0,0,IF(AT142&lt;0,IF($J142=6,AT142,IF($J142=5,AT142,IF($J142=4,AT142,0)))))</f>
        <v>0</v>
      </c>
      <c r="AR142" s="442">
        <f t="shared" ref="AR142:AR149" si="1830">IF(AT142=0,0,IF(AT142&lt;0,IF($J142=9,AT142,IF($J142=8,AT142,IF($J142=7,AT142,0)))))</f>
        <v>0</v>
      </c>
      <c r="AS142" s="443">
        <f t="shared" ref="AS142:AS149" si="1831">IF(AT142=0,0,IF(AT142&lt;0,IF($J142=12,AT142,IF($J142=11,AT142,IF($J142=10,AT142,0)))))</f>
        <v>0</v>
      </c>
      <c r="AT142" s="440">
        <f t="shared" ref="AT142:AT149" si="1832">IF(AT$5=$H142,-$E142,0)</f>
        <v>0</v>
      </c>
      <c r="AU142" s="441">
        <f t="shared" ref="AU142:AU149" si="1833">IF(AY142=0,0,IF(AY142&lt;0,IF($J142=3,AY142,IF($J142=2,AY142,IF($J142=1,AY142,0)))))</f>
        <v>0</v>
      </c>
      <c r="AV142" s="442">
        <f t="shared" ref="AV142:AV149" si="1834">IF(AY142=0,0,IF(AY142&lt;0,IF($J142=6,AY142,IF($J142=5,AY142,IF($J142=4,AY142,0)))))</f>
        <v>0</v>
      </c>
      <c r="AW142" s="442">
        <f t="shared" ref="AW142:AW149" si="1835">IF(AY142=0,0,IF(AY142&lt;0,IF($J142=9,AY142,IF($J142=8,AY142,IF($J142=7,AY142,0)))))</f>
        <v>0</v>
      </c>
      <c r="AX142" s="443">
        <f t="shared" ref="AX142:AX149" si="1836">IF(AY142=0,0,IF(AY142&lt;0,IF($J142=12,AY142,IF($J142=11,AY142,IF($J142=10,AY142,0)))))</f>
        <v>0</v>
      </c>
      <c r="AY142" s="440">
        <f t="shared" ref="AY142:AY149" si="1837">IF(AY$5=$H142,-$E142,0)</f>
        <v>0</v>
      </c>
      <c r="AZ142" s="441">
        <f t="shared" ref="AZ142:AZ149" si="1838">IF(BD142=0,0,IF(BD142&lt;0,IF($J142=3,BD142,IF($J142=2,BD142,IF($J142=1,BD142,0)))))</f>
        <v>0</v>
      </c>
      <c r="BA142" s="442">
        <f t="shared" ref="BA142:BA149" si="1839">IF(BD142=0,0,IF(BD142&lt;0,IF($J142=6,BD142,IF($J142=5,BD142,IF($J142=4,BD142,0)))))</f>
        <v>0</v>
      </c>
      <c r="BB142" s="442">
        <f t="shared" ref="BB142:BB149" si="1840">IF(BD142=0,0,IF(BD142&lt;0,IF($J142=9,BD142,IF($J142=8,BD142,IF($J142=7,BD142,0)))))</f>
        <v>0</v>
      </c>
      <c r="BC142" s="443">
        <f t="shared" ref="BC142:BC149" si="1841">IF(BD142=0,0,IF(BD142&lt;0,IF($J142=12,BD142,IF($J142=11,BD142,IF($J142=10,BD142,0)))))</f>
        <v>0</v>
      </c>
      <c r="BD142" s="440">
        <f t="shared" ref="BD142:BD149" si="1842">IF(BD$5=$H142,-$E142,0)</f>
        <v>0</v>
      </c>
      <c r="BE142" s="441">
        <f t="shared" ref="BE142:BE149" si="1843">IF(BI142=0,0,IF(BI142&lt;0,IF($J142=3,BI142,IF($J142=2,BI142,IF($J142=1,BI142,0)))))</f>
        <v>0</v>
      </c>
      <c r="BF142" s="442">
        <f t="shared" ref="BF142:BF149" si="1844">IF(BI142=0,0,IF(BI142&lt;0,IF($J142=6,BI142,IF($J142=5,BI142,IF($J142=4,BI142,0)))))</f>
        <v>0</v>
      </c>
      <c r="BG142" s="442">
        <f t="shared" ref="BG142:BG149" si="1845">IF(BI142=0,0,IF(BI142&lt;0,IF($J142=9,BI142,IF($J142=8,BI142,IF($J142=7,BI142,0)))))</f>
        <v>0</v>
      </c>
      <c r="BH142" s="443">
        <f t="shared" ref="BH142:BH149" si="1846">IF(BI142=0,0,IF(BI142&lt;0,IF($J142=12,BI142,IF($J142=11,BI142,IF($J142=10,BI142,0)))))</f>
        <v>0</v>
      </c>
      <c r="BI142" s="440">
        <f t="shared" ref="BI142:BI149" si="1847">IF(BI$5=$H142,-$E142,0)</f>
        <v>0</v>
      </c>
      <c r="BJ142" s="441">
        <f t="shared" ref="BJ142:BJ149" si="1848">IF(BN142=0,0,IF(BN142&lt;0,IF($J142=3,BN142,IF($J142=2,BN142,IF($J142=1,BN142,0)))))</f>
        <v>0</v>
      </c>
      <c r="BK142" s="442">
        <f t="shared" ref="BK142:BK149" si="1849">IF(BN142=0,0,IF(BN142&lt;0,IF($J142=6,BN142,IF($J142=5,BN142,IF($J142=4,BN142,0)))))</f>
        <v>0</v>
      </c>
      <c r="BL142" s="442">
        <f t="shared" ref="BL142:BL149" si="1850">IF(BN142=0,0,IF(BN142&lt;0,IF($J142=9,BN142,IF($J142=8,BN142,IF($J142=7,BN142,0)))))</f>
        <v>0</v>
      </c>
      <c r="BM142" s="443">
        <f t="shared" ref="BM142:BM149" si="1851">IF(BN142=0,0,IF(BN142&lt;0,IF($J142=12,BN142,IF($J142=11,BN142,IF($J142=10,BN142,0)))))</f>
        <v>0</v>
      </c>
      <c r="BN142" s="440">
        <f t="shared" ref="BN142:BN149" si="1852">IF(BN$5=$H142,-$E142,0)</f>
        <v>0</v>
      </c>
      <c r="BO142" s="465"/>
      <c r="BP142" s="460"/>
      <c r="BQ142" s="461"/>
      <c r="BR142" s="461"/>
      <c r="BS142" s="462"/>
      <c r="BT142" s="464"/>
      <c r="BU142" s="460"/>
      <c r="BV142" s="461"/>
      <c r="BW142" s="461"/>
      <c r="BX142" s="462"/>
      <c r="BY142" s="464"/>
      <c r="BZ142" s="460"/>
      <c r="CA142" s="461"/>
      <c r="CB142" s="461"/>
      <c r="CC142" s="462"/>
      <c r="CD142" s="464"/>
      <c r="CE142" s="460"/>
      <c r="CF142" s="461"/>
      <c r="CG142" s="461"/>
      <c r="CH142" s="462"/>
      <c r="CI142" s="464"/>
      <c r="CJ142" s="460"/>
      <c r="CK142" s="461"/>
      <c r="CL142" s="461"/>
      <c r="CM142" s="462"/>
      <c r="CN142" s="464"/>
      <c r="CO142" s="460"/>
      <c r="CP142" s="461"/>
      <c r="CQ142" s="461"/>
      <c r="CR142" s="462"/>
      <c r="CS142" s="464"/>
      <c r="CT142" s="460"/>
      <c r="CU142" s="461"/>
      <c r="CV142" s="461"/>
      <c r="CW142" s="462"/>
      <c r="CX142" s="464"/>
      <c r="CY142" s="460"/>
      <c r="CZ142" s="461"/>
      <c r="DA142" s="461"/>
      <c r="DB142" s="462"/>
      <c r="DC142" s="464"/>
      <c r="DD142" s="460"/>
      <c r="DE142" s="461"/>
      <c r="DF142" s="461"/>
      <c r="DG142" s="462"/>
      <c r="DH142" s="464"/>
      <c r="DI142" s="460"/>
      <c r="DJ142" s="461"/>
      <c r="DK142" s="461"/>
      <c r="DL142" s="462"/>
      <c r="DM142" s="464"/>
      <c r="DN142" s="460"/>
      <c r="DO142" s="461"/>
      <c r="DP142" s="461"/>
      <c r="DQ142" s="462"/>
      <c r="DR142" s="464"/>
    </row>
    <row r="143" spans="1:122" ht="12.75" customHeight="1">
      <c r="A143" s="92"/>
      <c r="B143" s="92"/>
      <c r="C143" s="1123" t="s">
        <v>708</v>
      </c>
      <c r="D143" s="395"/>
      <c r="E143" s="188">
        <f>IF(F143=0,G143,F143)</f>
        <v>300</v>
      </c>
      <c r="F143" s="1945">
        <v>300</v>
      </c>
      <c r="G143" s="1945">
        <v>300</v>
      </c>
      <c r="H143" s="1366">
        <v>2018</v>
      </c>
      <c r="I143" s="1367">
        <v>8.8749999999999996E-2</v>
      </c>
      <c r="J143" s="1357">
        <v>11</v>
      </c>
      <c r="K143" s="549"/>
      <c r="L143" s="441">
        <f>IF(P143=0,0,IF(P143&lt;0,IF($J143=3,P143,IF($J143=2,P143,IF($J143=1,P143,0)))))</f>
        <v>0</v>
      </c>
      <c r="M143" s="442">
        <f>IF(P143=0,0,IF(P143&lt;0,IF($J143=6,P143,IF($J143=5,P143,IF($J143=4,P143,0)))))</f>
        <v>0</v>
      </c>
      <c r="N143" s="442">
        <f>IF(P143=0,0,IF(P143&lt;0,IF($J143=9,P143,IF($J143=8,P143,IF($J143=7,P143,0)))))</f>
        <v>0</v>
      </c>
      <c r="O143" s="443">
        <f>IF(P143=0,0,IF(P143&lt;0,IF($J143=12,P143,IF($J143=11,P143,IF($J143=10,P143,0)))))</f>
        <v>0</v>
      </c>
      <c r="P143" s="440">
        <f>IF(P$5=$H143,-$E143,0)</f>
        <v>0</v>
      </c>
      <c r="Q143" s="441">
        <f>IF(U143=0,0,IF(U143&lt;0,IF($J143=3,U143,IF($J143=2,U143,IF($J143=1,U143,0)))))</f>
        <v>0</v>
      </c>
      <c r="R143" s="442">
        <f>IF(U143=0,0,IF(U143&lt;0,IF($J143=6,U143,IF($J143=5,U143,IF($J143=4,U143,0)))))</f>
        <v>0</v>
      </c>
      <c r="S143" s="442">
        <f>IF(U143=0,0,IF(U143&lt;0,IF($J143=9,U143,IF($J143=8,U143,IF($J143=7,U143,0)))))</f>
        <v>0</v>
      </c>
      <c r="T143" s="443">
        <f>IF(U143=0,0,IF(U143&lt;0,IF($J143=12,U143,IF($J143=11,U143,IF($J143=10,U143,0)))))</f>
        <v>0</v>
      </c>
      <c r="U143" s="440">
        <f>IF(U$5=$H143,-$E143,0)</f>
        <v>0</v>
      </c>
      <c r="V143" s="441">
        <f>IF(Z143=0,0,IF(Z143&lt;0,IF($J143=3,Z143,IF($J143=2,Z143,IF($J143=1,Z143,0)))))</f>
        <v>0</v>
      </c>
      <c r="W143" s="442">
        <f>IF(Z143=0,0,IF(Z143&lt;0,IF($J143=6,Z143,IF($J143=5,Z143,IF($J143=4,Z143,0)))))</f>
        <v>0</v>
      </c>
      <c r="X143" s="442">
        <f>IF(Z143=0,0,IF(Z143&lt;0,IF($J143=9,Z143,IF($J143=8,Z143,IF($J143=7,Z143,0)))))</f>
        <v>0</v>
      </c>
      <c r="Y143" s="443">
        <f>IF(Z143=0,0,IF(Z143&lt;0,IF($J143=12,Z143,IF($J143=11,Z143,IF($J143=10,Z143,0)))))</f>
        <v>0</v>
      </c>
      <c r="Z143" s="440">
        <f>IF(Z$5=$H143,-$E143,0)</f>
        <v>0</v>
      </c>
      <c r="AA143" s="441">
        <f>IF(AE143=0,0,IF(AE143&lt;0,IF($J143=3,AE143,IF($J143=2,AE143,IF($J143=1,AE143,0)))))</f>
        <v>0</v>
      </c>
      <c r="AB143" s="442">
        <f>IF(AE143=0,0,IF(AE143&lt;0,IF($J143=6,AE143,IF($J143=5,AE143,IF($J143=4,AE143,0)))))</f>
        <v>0</v>
      </c>
      <c r="AC143" s="442">
        <f>IF(AE143=0,0,IF(AE143&lt;0,IF($J143=9,AE143,IF($J143=8,AE143,IF($J143=7,AE143,0)))))</f>
        <v>0</v>
      </c>
      <c r="AD143" s="443">
        <f>IF(AE143=0,0,IF(AE143&lt;0,IF($J143=12,AE143,IF($J143=11,AE143,IF($J143=10,AE143,0)))))</f>
        <v>0</v>
      </c>
      <c r="AE143" s="440">
        <f>IF(AE$5=$H143,-$E143,0)</f>
        <v>0</v>
      </c>
      <c r="AF143" s="441">
        <f>IF(AJ143=0,0,IF(AJ143&lt;0,IF($J143=3,AJ143,IF($J143=2,AJ143,IF($J143=1,AJ143,0)))))</f>
        <v>0</v>
      </c>
      <c r="AG143" s="442">
        <f>IF(AJ143=0,0,IF(AJ143&lt;0,IF($J143=6,AJ143,IF($J143=5,AJ143,IF($J143=4,AJ143,0)))))</f>
        <v>0</v>
      </c>
      <c r="AH143" s="442">
        <f>IF(AJ143=0,0,IF(AJ143&lt;0,IF($J143=9,AJ143,IF($J143=8,AJ143,IF($J143=7,AJ143,0)))))</f>
        <v>0</v>
      </c>
      <c r="AI143" s="443">
        <f>IF(AJ143=0,0,IF(AJ143&lt;0,IF($J143=12,AJ143,IF($J143=11,AJ143,IF($J143=10,AJ143,0)))))</f>
        <v>0</v>
      </c>
      <c r="AJ143" s="440">
        <f>IF(AJ$5=$H143,-$E143,0)</f>
        <v>0</v>
      </c>
      <c r="AK143" s="441">
        <f>IF(AO143=0,0,IF(AO143&lt;0,IF($J143=3,AO143,IF($J143=2,AO143,IF($J143=1,AO143,0)))))</f>
        <v>0</v>
      </c>
      <c r="AL143" s="442">
        <f>IF(AO143=0,0,IF(AO143&lt;0,IF($J143=6,AO143,IF($J143=5,AO143,IF($J143=4,AO143,0)))))</f>
        <v>0</v>
      </c>
      <c r="AM143" s="442">
        <f>IF(AO143=0,0,IF(AO143&lt;0,IF($J143=9,AO143,IF($J143=8,AO143,IF($J143=7,AO143,0)))))</f>
        <v>0</v>
      </c>
      <c r="AN143" s="443">
        <f>IF(AO143=0,0,IF(AO143&lt;0,IF($J143=12,AO143,IF($J143=11,AO143,IF($J143=10,AO143,0)))))</f>
        <v>0</v>
      </c>
      <c r="AO143" s="440">
        <f>IF(AO$5=$H143,-$E143,0)</f>
        <v>0</v>
      </c>
      <c r="AP143" s="441">
        <f>IF(AT143=0,0,IF(AT143&lt;0,IF($J143=3,AT143,IF($J143=2,AT143,IF($J143=1,AT143,0)))))</f>
        <v>0</v>
      </c>
      <c r="AQ143" s="442">
        <f>IF(AT143=0,0,IF(AT143&lt;0,IF($J143=6,AT143,IF($J143=5,AT143,IF($J143=4,AT143,0)))))</f>
        <v>0</v>
      </c>
      <c r="AR143" s="442">
        <f>IF(AT143=0,0,IF(AT143&lt;0,IF($J143=9,AT143,IF($J143=8,AT143,IF($J143=7,AT143,0)))))</f>
        <v>0</v>
      </c>
      <c r="AS143" s="443">
        <f>IF(AT143=0,0,IF(AT143&lt;0,IF($J143=12,AT143,IF($J143=11,AT143,IF($J143=10,AT143,0)))))</f>
        <v>0</v>
      </c>
      <c r="AT143" s="440">
        <f>IF(AT$5=$H143,-$E143,0)</f>
        <v>0</v>
      </c>
      <c r="AU143" s="441">
        <f>IF(AY143=0,0,IF(AY143&lt;0,IF($J143=3,AY143,IF($J143=2,AY143,IF($J143=1,AY143,0)))))</f>
        <v>0</v>
      </c>
      <c r="AV143" s="442">
        <f>IF(AY143=0,0,IF(AY143&lt;0,IF($J143=6,AY143,IF($J143=5,AY143,IF($J143=4,AY143,0)))))</f>
        <v>0</v>
      </c>
      <c r="AW143" s="442">
        <f>IF(AY143=0,0,IF(AY143&lt;0,IF($J143=9,AY143,IF($J143=8,AY143,IF($J143=7,AY143,0)))))</f>
        <v>0</v>
      </c>
      <c r="AX143" s="443">
        <f>IF(AY143=0,0,IF(AY143&lt;0,IF($J143=12,AY143,IF($J143=11,AY143,IF($J143=10,AY143,0)))))</f>
        <v>-300</v>
      </c>
      <c r="AY143" s="440">
        <f>IF(AY$5=$H143,-$E143,0)</f>
        <v>-300</v>
      </c>
      <c r="AZ143" s="441">
        <f>IF(BD143=0,0,IF(BD143&lt;0,IF($J143=3,BD143,IF($J143=2,BD143,IF($J143=1,BD143,0)))))</f>
        <v>0</v>
      </c>
      <c r="BA143" s="442">
        <f>IF(BD143=0,0,IF(BD143&lt;0,IF($J143=6,BD143,IF($J143=5,BD143,IF($J143=4,BD143,0)))))</f>
        <v>0</v>
      </c>
      <c r="BB143" s="442">
        <f>IF(BD143=0,0,IF(BD143&lt;0,IF($J143=9,BD143,IF($J143=8,BD143,IF($J143=7,BD143,0)))))</f>
        <v>0</v>
      </c>
      <c r="BC143" s="443">
        <f>IF(BD143=0,0,IF(BD143&lt;0,IF($J143=12,BD143,IF($J143=11,BD143,IF($J143=10,BD143,0)))))</f>
        <v>0</v>
      </c>
      <c r="BD143" s="440">
        <f>IF(BD$5=$H143,-$E143,0)</f>
        <v>0</v>
      </c>
      <c r="BE143" s="441">
        <f>IF(BI143=0,0,IF(BI143&lt;0,IF($J143=3,BI143,IF($J143=2,BI143,IF($J143=1,BI143,0)))))</f>
        <v>0</v>
      </c>
      <c r="BF143" s="442">
        <f>IF(BI143=0,0,IF(BI143&lt;0,IF($J143=6,BI143,IF($J143=5,BI143,IF($J143=4,BI143,0)))))</f>
        <v>0</v>
      </c>
      <c r="BG143" s="442">
        <f>IF(BI143=0,0,IF(BI143&lt;0,IF($J143=9,BI143,IF($J143=8,BI143,IF($J143=7,BI143,0)))))</f>
        <v>0</v>
      </c>
      <c r="BH143" s="443">
        <f>IF(BI143=0,0,IF(BI143&lt;0,IF($J143=12,BI143,IF($J143=11,BI143,IF($J143=10,BI143,0)))))</f>
        <v>0</v>
      </c>
      <c r="BI143" s="440">
        <f>IF(BI$5=$H143,-$E143,0)</f>
        <v>0</v>
      </c>
      <c r="BJ143" s="441">
        <f>IF(BN143=0,0,IF(BN143&lt;0,IF($J143=3,BN143,IF($J143=2,BN143,IF($J143=1,BN143,0)))))</f>
        <v>0</v>
      </c>
      <c r="BK143" s="442">
        <f>IF(BN143=0,0,IF(BN143&lt;0,IF($J143=6,BN143,IF($J143=5,BN143,IF($J143=4,BN143,0)))))</f>
        <v>0</v>
      </c>
      <c r="BL143" s="442">
        <f>IF(BN143=0,0,IF(BN143&lt;0,IF($J143=9,BN143,IF($J143=8,BN143,IF($J143=7,BN143,0)))))</f>
        <v>0</v>
      </c>
      <c r="BM143" s="443">
        <f>IF(BN143=0,0,IF(BN143&lt;0,IF($J143=12,BN143,IF($J143=11,BN143,IF($J143=10,BN143,0)))))</f>
        <v>0</v>
      </c>
      <c r="BN143" s="440">
        <f>IF(BN$5=$H143,-$E143,0)</f>
        <v>0</v>
      </c>
      <c r="BO143" s="470"/>
      <c r="BP143" s="441">
        <f>IF($H143&lt;&gt;BT$5,0,IF(BT143&lt;0,IF($J143=1,-$E143*$I143/12*3,IF($J143=2,-$E143*$I143/12*2,IF($J143=3,-$E143*$I143/12*1,0)))))+IF(BO$5&lt;&gt;$H143,0,IF(BO143&lt;0,IF($J143=1,-$E143*$I143/12*0,IF($J143=2,-$E143*$I143/12*1,IF($J143=3,-$E143*$I143/12*2,IF($J143&gt;=4,-$E143*$I143/12*3,0))))))</f>
        <v>0</v>
      </c>
      <c r="BQ143" s="442">
        <f>IF($H143&lt;&gt;BT$5,0,IF(BT143&lt;0,IF(OR($J143=1,$J143=2,$J143=3,$J143=4),-$E143*$I143/12*3,IF($J143=5,-$E143*$I143/12*2,IF($J143=6,-$E143*$I143/12*1,0)))))+IF(BO$5&lt;&gt;$H143,0,IF(BO143&lt;0,IF($J143=4,-$E143*$I143/12*0,IF($J143=5,-$E143*$I143/12*1,IF($J143=6,-$E143*$I143/12*2,IF($J143&gt;=7,-$E143*$I143/12*3,0))))))</f>
        <v>0</v>
      </c>
      <c r="BR143" s="442">
        <f>IF($H143&lt;&gt;BT$5,0,IF(BT143&lt;0,IF(OR($J143=1,$J143=2,$J143=3,$J143=4,$J143=5,$J143=6,$J143=7),-$E143*$I143/12*3,IF($J143=8,-$E143*$I143/12*2,IF($J143=9,-$E143*$I143/12*1,0)))))+IF(BO$5&lt;&gt;$H143,0,IF(BO143&lt;0,IF($J143=7,-$E143*$I143/12*0,IF($J143=8,-$E143*$I143/12*1,IF($J143=9,-$E143*$I143/12*2,IF($J143&gt;=10,-$E143*$I143/12*3,0))))))</f>
        <v>0</v>
      </c>
      <c r="BS143" s="443">
        <f>IF($H143&lt;&gt;BT$5,0,IF(BT143&lt;0,IF(OR($J143=1,$J143=2,$J143=3,$J143=4,$J143=5,$J143=6,$J143=7,$J143=8,$J143=9,$J143=10),-$E143*$I143/12*3,IF($J143=11,-$E143*$I143/12*2,IF($J143=12,-$E143*$I143/12*1,0)))))+IF(BO$5&lt;&gt;$H143,0,IF(BO143&lt;0,IF($J143=10,-$E143*$I143/12*0,IF($J143=11,-$E143*$I143/12*1,IF($J143=12,-$E143*$I143/12*2,0)))))</f>
        <v>0</v>
      </c>
      <c r="BT143" s="440">
        <f>IF(AND(BO143&lt;&gt;0,BO$5=$H143),-$I143*$E143-BO143,IF(BT$5=$H143,-$I143*$E143*(12-$J143+1)/12,0))</f>
        <v>0</v>
      </c>
      <c r="BU143" s="441">
        <f>IF($H143&lt;&gt;BY$5,0,IF(BY143&lt;0,IF($J143=1,-$E143*$I143/12*3,IF($J143=2,-$E143*$I143/12*2,IF($J143=3,-$E143*$I143/12*1,0)))))+IF(BT$5&lt;&gt;$H143,0,IF(BT143&lt;0,IF($J143=1,-$E143*$I143/12*0,IF($J143=2,-$E143*$I143/12*1,IF($J143=3,-$E143*$I143/12*2,IF($J143&gt;=4,-$E143*$I143/12*3,0))))))</f>
        <v>0</v>
      </c>
      <c r="BV143" s="442">
        <f>IF($H143&lt;&gt;BY$5,0,IF(BY143&lt;0,IF(OR($J143=1,$J143=2,$J143=3,$J143=4),-$E143*$I143/12*3,IF($J143=5,-$E143*$I143/12*2,IF($J143=6,-$E143*$I143/12*1,0)))))+IF(BT$5&lt;&gt;$H143,0,IF(BT143&lt;0,IF($J143=4,-$E143*$I143/12*0,IF($J143=5,-$E143*$I143/12*1,IF($J143=6,-$E143*$I143/12*2,IF($J143&gt;=7,-$E143*$I143/12*3,0))))))</f>
        <v>0</v>
      </c>
      <c r="BW143" s="442">
        <f>IF($H143&lt;&gt;BY$5,0,IF(BY143&lt;0,IF(OR($J143=1,$J143=2,$J143=3,$J143=4,$J143=5,$J143=6,$J143=7),-$E143*$I143/12*3,IF($J143=8,-$E143*$I143/12*2,IF($J143=9,-$E143*$I143/12*1,0)))))+IF(BT$5&lt;&gt;$H143,0,IF(BT143&lt;0,IF($J143=7,-$E143*$I143/12*0,IF($J143=8,-$E143*$I143/12*1,IF($J143=9,-$E143*$I143/12*2,IF($J143&gt;=10,-$E143*$I143/12*3,0))))))</f>
        <v>0</v>
      </c>
      <c r="BX143" s="443">
        <f>IF($H143&lt;&gt;BY$5,0,IF(BY143&lt;0,IF(OR($J143=1,$J143=2,$J143=3,$J143=4,$J143=5,$J143=6,$J143=7,$J143=8,$J143=9,$J143=10),-$E143*$I143/12*3,IF($J143=11,-$E143*$I143/12*2,IF($J143=12,-$E143*$I143/12*1,0)))))+IF(BT$5&lt;&gt;$H143,0,IF(BT143&lt;0,IF($J143=10,-$E143*$I143/12*0,IF($J143=11,-$E143*$I143/12*1,IF($J143=12,-$E143*$I143/12*2,0)))))</f>
        <v>0</v>
      </c>
      <c r="BY143" s="440">
        <f>IF(AND(BT143&lt;&gt;0,BT$5=$H143),-$I143*$E143-BT143,IF(BY$5=$H143,-$I143*$E143*(12-$J143+1)/12,0))</f>
        <v>0</v>
      </c>
      <c r="BZ143" s="441">
        <f>IF($H143&lt;&gt;CD$5,0,IF(CD143&lt;0,IF($J143=1,-$E143*$I143/12*3,IF($J143=2,-$E143*$I143/12*2,IF($J143=3,-$E143*$I143/12*1,0)))))+IF(BY$5&lt;&gt;$H143,0,IF(BY143&lt;0,IF($J143=1,-$E143*$I143/12*0,IF($J143=2,-$E143*$I143/12*1,IF($J143=3,-$E143*$I143/12*2,IF($J143&gt;=4,-$E143*$I143/12*3,0))))))</f>
        <v>0</v>
      </c>
      <c r="CA143" s="442">
        <f>IF($H143&lt;&gt;CD$5,0,IF(CD143&lt;0,IF(OR($J143=1,$J143=2,$J143=3,$J143=4),-$E143*$I143/12*3,IF($J143=5,-$E143*$I143/12*2,IF($J143=6,-$E143*$I143/12*1,0)))))+IF(BY$5&lt;&gt;$H143,0,IF(BY143&lt;0,IF($J143=4,-$E143*$I143/12*0,IF($J143=5,-$E143*$I143/12*1,IF($J143=6,-$E143*$I143/12*2,IF($J143&gt;=7,-$E143*$I143/12*3,0))))))</f>
        <v>0</v>
      </c>
      <c r="CB143" s="442">
        <f>IF($H143&lt;&gt;CD$5,0,IF(CD143&lt;0,IF(OR($J143=1,$J143=2,$J143=3,$J143=4,$J143=5,$J143=6,$J143=7),-$E143*$I143/12*3,IF($J143=8,-$E143*$I143/12*2,IF($J143=9,-$E143*$I143/12*1,0)))))+IF(BY$5&lt;&gt;$H143,0,IF(BY143&lt;0,IF($J143=7,-$E143*$I143/12*0,IF($J143=8,-$E143*$I143/12*1,IF($J143=9,-$E143*$I143/12*2,IF($J143&gt;=10,-$E143*$I143/12*3,0))))))</f>
        <v>0</v>
      </c>
      <c r="CC143" s="443">
        <f>IF($H143&lt;&gt;CD$5,0,IF(CD143&lt;0,IF(OR($J143=1,$J143=2,$J143=3,$J143=4,$J143=5,$J143=6,$J143=7,$J143=8,$J143=9,$J143=10),-$E143*$I143/12*3,IF($J143=11,-$E143*$I143/12*2,IF($J143=12,-$E143*$I143/12*1,0)))))+IF(BY$5&lt;&gt;$H143,0,IF(BY143&lt;0,IF($J143=10,-$E143*$I143/12*0,IF($J143=11,-$E143*$I143/12*1,IF($J143=12,-$E143*$I143/12*2,0)))))</f>
        <v>0</v>
      </c>
      <c r="CD143" s="440">
        <f>IF(AND(BY143&lt;&gt;0,BY$5=$H143),-$I143*$E143-BY143,IF(CD$5=$H143,-$I143*$E143*(12-$J143+1)/12,0))</f>
        <v>0</v>
      </c>
      <c r="CE143" s="441">
        <f>IF($H143&lt;&gt;CI$5,0,IF(CI143&lt;0,IF($J143=1,-$E143*$I143/12*3,IF($J143=2,-$E143*$I143/12*2,IF($J143=3,-$E143*$I143/12*1,0)))))+IF(CD$5&lt;&gt;$H143,0,IF(CD143&lt;0,IF($J143=1,-$E143*$I143/12*0,IF($J143=2,-$E143*$I143/12*1,IF($J143=3,-$E143*$I143/12*2,IF($J143&gt;=4,-$E143*$I143/12*3,0))))))</f>
        <v>0</v>
      </c>
      <c r="CF143" s="442">
        <f>IF($H143&lt;&gt;CI$5,0,IF(CI143&lt;0,IF(OR($J143=1,$J143=2,$J143=3,$J143=4),-$E143*$I143/12*3,IF($J143=5,-$E143*$I143/12*2,IF($J143=6,-$E143*$I143/12*1,0)))))+IF(CD$5&lt;&gt;$H143,0,IF(CD143&lt;0,IF($J143=4,-$E143*$I143/12*0,IF($J143=5,-$E143*$I143/12*1,IF($J143=6,-$E143*$I143/12*2,IF($J143&gt;=7,-$E143*$I143/12*3,0))))))</f>
        <v>0</v>
      </c>
      <c r="CG143" s="442">
        <f>IF($H143&lt;&gt;CI$5,0,IF(CI143&lt;0,IF(OR($J143=1,$J143=2,$J143=3,$J143=4,$J143=5,$J143=6,$J143=7),-$E143*$I143/12*3,IF($J143=8,-$E143*$I143/12*2,IF($J143=9,-$E143*$I143/12*1,0)))))+IF(CD$5&lt;&gt;$H143,0,IF(CD143&lt;0,IF($J143=7,-$E143*$I143/12*0,IF($J143=8,-$E143*$I143/12*1,IF($J143=9,-$E143*$I143/12*2,IF($J143&gt;=10,-$E143*$I143/12*3,0))))))</f>
        <v>0</v>
      </c>
      <c r="CH143" s="443">
        <f>IF($H143&lt;&gt;CI$5,0,IF(CI143&lt;0,IF(OR($J143=1,$J143=2,$J143=3,$J143=4,$J143=5,$J143=6,$J143=7,$J143=8,$J143=9,$J143=10),-$E143*$I143/12*3,IF($J143=11,-$E143*$I143/12*2,IF($J143=12,-$E143*$I143/12*1,0)))))+IF(CD$5&lt;&gt;$H143,0,IF(CD143&lt;0,IF($J143=10,-$E143*$I143/12*0,IF($J143=11,-$E143*$I143/12*1,IF($J143=12,-$E143*$I143/12*2,0)))))</f>
        <v>0</v>
      </c>
      <c r="CI143" s="440">
        <f>IF(AND(CD143&lt;&gt;0,CD$5=$H143),-$I143*$E143-CD143,IF(CI$5=$H143,-$I143*$E143*(12-$J143+1)/12,0))</f>
        <v>0</v>
      </c>
      <c r="CJ143" s="441">
        <f>IF($H143&lt;&gt;CN$5,0,IF(CN143&lt;0,IF($J143=1,-$E143*$I143/12*3,IF($J143=2,-$E143*$I143/12*2,IF($J143=3,-$E143*$I143/12*1,0)))))+IF(CI$5&lt;&gt;$H143,0,IF(CI143&lt;0,IF($J143=1,-$E143*$I143/12*0,IF($J143=2,-$E143*$I143/12*1,IF($J143=3,-$E143*$I143/12*2,IF($J143&gt;=4,-$E143*$I143/12*3,0))))))</f>
        <v>0</v>
      </c>
      <c r="CK143" s="442">
        <f>IF($H143&lt;&gt;CN$5,0,IF(CN143&lt;0,IF(OR($J143=1,$J143=2,$J143=3,$J143=4),-$E143*$I143/12*3,IF($J143=5,-$E143*$I143/12*2,IF($J143=6,-$E143*$I143/12*1,0)))))+IF(CI$5&lt;&gt;$H143,0,IF(CI143&lt;0,IF($J143=4,-$E143*$I143/12*0,IF($J143=5,-$E143*$I143/12*1,IF($J143=6,-$E143*$I143/12*2,IF($J143&gt;=7,-$E143*$I143/12*3,0))))))</f>
        <v>0</v>
      </c>
      <c r="CL143" s="442">
        <f>IF($H143&lt;&gt;CN$5,0,IF(CN143&lt;0,IF(OR($J143=1,$J143=2,$J143=3,$J143=4,$J143=5,$J143=6,$J143=7),-$E143*$I143/12*3,IF($J143=8,-$E143*$I143/12*2,IF($J143=9,-$E143*$I143/12*1,0)))))+IF(CI$5&lt;&gt;$H143,0,IF(CI143&lt;0,IF($J143=7,-$E143*$I143/12*0,IF($J143=8,-$E143*$I143/12*1,IF($J143=9,-$E143*$I143/12*2,IF($J143&gt;=10,-$E143*$I143/12*3,0))))))</f>
        <v>0</v>
      </c>
      <c r="CM143" s="443">
        <f>IF($H143&lt;&gt;CN$5,0,IF(CN143&lt;0,IF(OR($J143=1,$J143=2,$J143=3,$J143=4,$J143=5,$J143=6,$J143=7,$J143=8,$J143=9,$J143=10),-$E143*$I143/12*3,IF($J143=11,-$E143*$I143/12*2,IF($J143=12,-$E143*$I143/12*1,0)))))+IF(CI$5&lt;&gt;$H143,0,IF(CI143&lt;0,IF($J143=10,-$E143*$I143/12*0,IF($J143=11,-$E143*$I143/12*1,IF($J143=12,-$E143*$I143/12*2,0)))))</f>
        <v>0</v>
      </c>
      <c r="CN143" s="440">
        <f>IF(AND(CI143&lt;&gt;0,CI$5=$H143),-$I143*$E143-CI143,IF(CN$5=$H143,-$I143*$E143*(12-$J143+1)/12,0))</f>
        <v>0</v>
      </c>
      <c r="CO143" s="441">
        <f>IF($H143&lt;&gt;CS$5,0,IF(CS143&lt;0,IF($J143=1,-$E143*$I143/12*3,IF($J143=2,-$E143*$I143/12*2,IF($J143=3,-$E143*$I143/12*1,0)))))+IF(CN$5&lt;&gt;$H143,0,IF(CN143&lt;0,IF($J143=1,-$E143*$I143/12*0,IF($J143=2,-$E143*$I143/12*1,IF($J143=3,-$E143*$I143/12*2,IF($J143&gt;=4,-$E143*$I143/12*3,0))))))</f>
        <v>0</v>
      </c>
      <c r="CP143" s="442">
        <f>IF($H143&lt;&gt;CS$5,0,IF(CS143&lt;0,IF(OR($J143=1,$J143=2,$J143=3,$J143=4),-$E143*$I143/12*3,IF($J143=5,-$E143*$I143/12*2,IF($J143=6,-$E143*$I143/12*1,0)))))+IF(CN$5&lt;&gt;$H143,0,IF(CN143&lt;0,IF($J143=4,-$E143*$I143/12*0,IF($J143=5,-$E143*$I143/12*1,IF($J143=6,-$E143*$I143/12*2,IF($J143&gt;=7,-$E143*$I143/12*3,0))))))</f>
        <v>0</v>
      </c>
      <c r="CQ143" s="442">
        <f>IF($H143&lt;&gt;CS$5,0,IF(CS143&lt;0,IF(OR($J143=1,$J143=2,$J143=3,$J143=4,$J143=5,$J143=6,$J143=7),-$E143*$I143/12*3,IF($J143=8,-$E143*$I143/12*2,IF($J143=9,-$E143*$I143/12*1,0)))))+IF(CN$5&lt;&gt;$H143,0,IF(CN143&lt;0,IF($J143=7,-$E143*$I143/12*0,IF($J143=8,-$E143*$I143/12*1,IF($J143=9,-$E143*$I143/12*2,IF($J143&gt;=10,-$E143*$I143/12*3,0))))))</f>
        <v>0</v>
      </c>
      <c r="CR143" s="443">
        <f>IF($H143&lt;&gt;CS$5,0,IF(CS143&lt;0,IF(OR($J143=1,$J143=2,$J143=3,$J143=4,$J143=5,$J143=6,$J143=7,$J143=8,$J143=9,$J143=10),-$E143*$I143/12*3,IF($J143=11,-$E143*$I143/12*2,IF($J143=12,-$E143*$I143/12*1,0)))))+IF(CN$5&lt;&gt;$H143,0,IF(CN143&lt;0,IF($J143=10,-$E143*$I143/12*0,IF($J143=11,-$E143*$I143/12*1,IF($J143=12,-$E143*$I143/12*2,0)))))</f>
        <v>0</v>
      </c>
      <c r="CS143" s="440">
        <f>IF(AND(CN143&lt;&gt;0,CN$5=$H143),-$I143*$E143-CN143,IF(CS$5=$H143,-$I143*$E143*(12-$J143+1)/12,0))</f>
        <v>0</v>
      </c>
      <c r="CT143" s="441">
        <f>IF($H143&lt;&gt;CX$5,0,IF(CX143&lt;0,IF($J143=1,-$E143*$I143/12*3,IF($J143=2,-$E143*$I143/12*2,IF($J143=3,-$E143*$I143/12*1,0)))))+IF(CS$5&lt;&gt;$H143,0,IF(CS143&lt;0,IF($J143=1,-$E143*$I143/12*0,IF($J143=2,-$E143*$I143/12*1,IF($J143=3,-$E143*$I143/12*2,IF($J143&gt;=4,-$E143*$I143/12*3,0))))))</f>
        <v>0</v>
      </c>
      <c r="CU143" s="442">
        <f>IF($H143&lt;&gt;CX$5,0,IF(CX143&lt;0,IF(OR($J143=1,$J143=2,$J143=3,$J143=4),-$E143*$I143/12*3,IF($J143=5,-$E143*$I143/12*2,IF($J143=6,-$E143*$I143/12*1,0)))))+IF(CS$5&lt;&gt;$H143,0,IF(CS143&lt;0,IF($J143=4,-$E143*$I143/12*0,IF($J143=5,-$E143*$I143/12*1,IF($J143=6,-$E143*$I143/12*2,IF($J143&gt;=7,-$E143*$I143/12*3,0))))))</f>
        <v>0</v>
      </c>
      <c r="CV143" s="442">
        <f>IF($H143&lt;&gt;CX$5,0,IF(CX143&lt;0,IF(OR($J143=1,$J143=2,$J143=3,$J143=4,$J143=5,$J143=6,$J143=7),-$E143*$I143/12*3,IF($J143=8,-$E143*$I143/12*2,IF($J143=9,-$E143*$I143/12*1,0)))))+IF(CS$5&lt;&gt;$H143,0,IF(CS143&lt;0,IF($J143=7,-$E143*$I143/12*0,IF($J143=8,-$E143*$I143/12*1,IF($J143=9,-$E143*$I143/12*2,IF($J143&gt;=10,-$E143*$I143/12*3,0))))))</f>
        <v>0</v>
      </c>
      <c r="CW143" s="443">
        <f>IF($H143&lt;&gt;CX$5,0,IF(CX143&lt;0,IF(OR($J143=1,$J143=2,$J143=3,$J143=4,$J143=5,$J143=6,$J143=7,$J143=8,$J143=9,$J143=10),-$E143*$I143/12*3,IF($J143=11,-$E143*$I143/12*2,IF($J143=12,-$E143*$I143/12*1,0)))))+IF(CS$5&lt;&gt;$H143,0,IF(CS143&lt;0,IF($J143=10,-$E143*$I143/12*0,IF($J143=11,-$E143*$I143/12*1,IF($J143=12,-$E143*$I143/12*2,0)))))</f>
        <v>0</v>
      </c>
      <c r="CX143" s="440">
        <f>IF(AND(CS143&lt;&gt;0,CS$5=$H143),-$I143*$E143-CS143,IF(CX$5=$H143,-$I143*$E143*(12-$J143+1)/12,0))</f>
        <v>0</v>
      </c>
      <c r="CY143" s="441">
        <f>IF($H143&lt;&gt;DC$5,0,IF(DC143&lt;0,IF($J143=1,-$E143*$I143/12*3,IF($J143=2,-$E143*$I143/12*2,IF($J143=3,-$E143*$I143/12*1,0)))))+IF(CX$5&lt;&gt;$H143,0,IF(CX143&lt;0,IF($J143=1,-$E143*$I143/12*0,IF($J143=2,-$E143*$I143/12*1,IF($J143=3,-$E143*$I143/12*2,IF($J143&gt;=4,-$E143*$I143/12*3,0))))))</f>
        <v>0</v>
      </c>
      <c r="CZ143" s="442">
        <f>IF($H143&lt;&gt;DC$5,0,IF(DC143&lt;0,IF(OR($J143=1,$J143=2,$J143=3,$J143=4),-$E143*$I143/12*3,IF($J143=5,-$E143*$I143/12*2,IF($J143=6,-$E143*$I143/12*1,0)))))+IF(CX$5&lt;&gt;$H143,0,IF(CX143&lt;0,IF($J143=4,-$E143*$I143/12*0,IF($J143=5,-$E143*$I143/12*1,IF($J143=6,-$E143*$I143/12*2,IF($J143&gt;=7,-$E143*$I143/12*3,0))))))</f>
        <v>0</v>
      </c>
      <c r="DA143" s="442">
        <f>IF($H143&lt;&gt;DC$5,0,IF(DC143&lt;0,IF(OR($J143=1,$J143=2,$J143=3,$J143=4,$J143=5,$J143=6,$J143=7),-$E143*$I143/12*3,IF($J143=8,-$E143*$I143/12*2,IF($J143=9,-$E143*$I143/12*1,0)))))+IF(CX$5&lt;&gt;$H143,0,IF(CX143&lt;0,IF($J143=7,-$E143*$I143/12*0,IF($J143=8,-$E143*$I143/12*1,IF($J143=9,-$E143*$I143/12*2,IF($J143&gt;=10,-$E143*$I143/12*3,0))))))</f>
        <v>0</v>
      </c>
      <c r="DB143" s="443">
        <f>IF($H143&lt;&gt;DC$5,0,IF(DC143&lt;0,IF(OR($J143=1,$J143=2,$J143=3,$J143=4,$J143=5,$J143=6,$J143=7,$J143=8,$J143=9,$J143=10),-$E143*$I143/12*3,IF($J143=11,-$E143*$I143/12*2,IF($J143=12,-$E143*$I143/12*1,0)))))+IF(CX$5&lt;&gt;$H143,0,IF(CX143&lt;0,IF($J143=10,-$E143*$I143/12*0,IF($J143=11,-$E143*$I143/12*1,IF($J143=12,-$E143*$I143/12*2,0)))))</f>
        <v>-4.4375</v>
      </c>
      <c r="DC143" s="440">
        <f>IF(AND(CX143&lt;&gt;0,CX$5=$H143),-$I143*$E143-CX143,IF(DC$5=$H143,-$I143*$E143*(12-$J143+1)/12,0))</f>
        <v>-4.4375</v>
      </c>
      <c r="DD143" s="441">
        <f>IF($H143&lt;&gt;DH$5,0,IF(DH143&lt;0,IF($J143=1,-$E143*$I143/12*3,IF($J143=2,-$E143*$I143/12*2,IF($J143=3,-$E143*$I143/12*1,0)))))+IF(DC$5&lt;&gt;$H143,0,IF(DC143&lt;0,IF($J143=1,-$E143*$I143/12*0,IF($J143=2,-$E143*$I143/12*1,IF($J143=3,-$E143*$I143/12*2,IF($J143&gt;=4,-$E143*$I143/12*3,0))))))</f>
        <v>-6.65625</v>
      </c>
      <c r="DE143" s="442">
        <f>IF($H143&lt;&gt;DH$5,0,IF(DH143&lt;0,IF(OR($J143=1,$J143=2,$J143=3,$J143=4),-$E143*$I143/12*3,IF($J143=5,-$E143*$I143/12*2,IF($J143=6,-$E143*$I143/12*1,0)))))+IF(DC$5&lt;&gt;$H143,0,IF(DC143&lt;0,IF($J143=4,-$E143*$I143/12*0,IF($J143=5,-$E143*$I143/12*1,IF($J143=6,-$E143*$I143/12*2,IF($J143&gt;=7,-$E143*$I143/12*3,0))))))</f>
        <v>-6.65625</v>
      </c>
      <c r="DF143" s="442">
        <f>IF($H143&lt;&gt;DH$5,0,IF(DH143&lt;0,IF(OR($J143=1,$J143=2,$J143=3,$J143=4,$J143=5,$J143=6,$J143=7),-$E143*$I143/12*3,IF($J143=8,-$E143*$I143/12*2,IF($J143=9,-$E143*$I143/12*1,0)))))+IF(DC$5&lt;&gt;$H143,0,IF(DC143&lt;0,IF($J143=7,-$E143*$I143/12*0,IF($J143=8,-$E143*$I143/12*1,IF($J143=9,-$E143*$I143/12*2,IF($J143&gt;=10,-$E143*$I143/12*3,0))))))</f>
        <v>-6.65625</v>
      </c>
      <c r="DG143" s="443">
        <f>IF($H143&lt;&gt;DH$5,0,IF(DH143&lt;0,IF(OR($J143=1,$J143=2,$J143=3,$J143=4,$J143=5,$J143=6,$J143=7,$J143=8,$J143=9,$J143=10),-$E143*$I143/12*3,IF($J143=11,-$E143*$I143/12*2,IF($J143=12,-$E143*$I143/12*1,0)))))+IF(DC$5&lt;&gt;$H143,0,IF(DC143&lt;0,IF($J143=10,-$E143*$I143/12*0,IF($J143=11,-$E143*$I143/12*1,IF($J143=12,-$E143*$I143/12*2,0)))))</f>
        <v>-2.21875</v>
      </c>
      <c r="DH143" s="440">
        <f>IF(AND(DC143&lt;&gt;0,DC$5=$H143),-$I143*$E143-DC143,IF(DH$5=$H143,-$I143*$E143*(12-$J143+1)/12,0))</f>
        <v>-22.1875</v>
      </c>
      <c r="DI143" s="441">
        <f>IF($H143&lt;&gt;DM$5,0,IF(DM143&lt;0,IF($J143=1,-$E143*$I143/12*3,IF($J143=2,-$E143*$I143/12*2,IF($J143=3,-$E143*$I143/12*1,0)))))+IF(DH$5&lt;&gt;$H143,0,IF(DH143&lt;0,IF($J143=1,-$E143*$I143/12*0,IF($J143=2,-$E143*$I143/12*1,IF($J143=3,-$E143*$I143/12*2,IF($J143&gt;=4,-$E143*$I143/12*3,0))))))</f>
        <v>0</v>
      </c>
      <c r="DJ143" s="442">
        <f>IF($H143&lt;&gt;DM$5,0,IF(DM143&lt;0,IF(OR($J143=1,$J143=2,$J143=3,$J143=4),-$E143*$I143/12*3,IF($J143=5,-$E143*$I143/12*2,IF($J143=6,-$E143*$I143/12*1,0)))))+IF(DH$5&lt;&gt;$H143,0,IF(DH143&lt;0,IF($J143=4,-$E143*$I143/12*0,IF($J143=5,-$E143*$I143/12*1,IF($J143=6,-$E143*$I143/12*2,IF($J143&gt;=7,-$E143*$I143/12*3,0))))))</f>
        <v>0</v>
      </c>
      <c r="DK143" s="442">
        <f>IF($H143&lt;&gt;DM$5,0,IF(DM143&lt;0,IF(OR($J143=1,$J143=2,$J143=3,$J143=4,$J143=5,$J143=6,$J143=7),-$E143*$I143/12*3,IF($J143=8,-$E143*$I143/12*2,IF($J143=9,-$E143*$I143/12*1,0)))))+IF(DH$5&lt;&gt;$H143,0,IF(DH143&lt;0,IF($J143=7,-$E143*$I143/12*0,IF($J143=8,-$E143*$I143/12*1,IF($J143=9,-$E143*$I143/12*2,IF($J143&gt;=10,-$E143*$I143/12*3,0))))))</f>
        <v>0</v>
      </c>
      <c r="DL143" s="443">
        <f>IF($H143&lt;&gt;DM$5,0,IF(DM143&lt;0,IF(OR($J143=1,$J143=2,$J143=3,$J143=4,$J143=5,$J143=6,$J143=7,$J143=8,$J143=9,$J143=10),-$E143*$I143/12*3,IF($J143=11,-$E143*$I143/12*2,IF($J143=12,-$E143*$I143/12*1,0)))))+IF(DH$5&lt;&gt;$H143,0,IF(DH143&lt;0,IF($J143=10,-$E143*$I143/12*0,IF($J143=11,-$E143*$I143/12*1,IF($J143=12,-$E143*$I143/12*2,0)))))</f>
        <v>0</v>
      </c>
      <c r="DM143" s="440">
        <f>IF(AND(DH143&lt;&gt;0,DH$5=$H143),-$I143*$E143-DH143,IF(DM$5=$H143,-$I143*$E143*(12-$J143+1)/12,0))</f>
        <v>0</v>
      </c>
      <c r="DN143" s="441">
        <f>IF($H143&lt;&gt;DR$5,0,IF(DR143&lt;0,IF($J143=1,-$E143*$I143/12*3,IF($J143=2,-$E143*$I143/12*2,IF($J143=3,-$E143*$I143/12*1,0)))))+IF(DM$5&lt;&gt;$H143,0,IF(DM143&lt;0,IF($J143=1,-$E143*$I143/12*0,IF($J143=2,-$E143*$I143/12*1,IF($J143=3,-$E143*$I143/12*2,IF($J143&gt;=4,-$E143*$I143/12*3,0))))))</f>
        <v>0</v>
      </c>
      <c r="DO143" s="442">
        <f>IF($H143&lt;&gt;DR$5,0,IF(DR143&lt;0,IF(OR($J143=1,$J143=2,$J143=3,$J143=4),-$E143*$I143/12*3,IF($J143=5,-$E143*$I143/12*2,IF($J143=6,-$E143*$I143/12*1,0)))))+IF(DM$5&lt;&gt;$H143,0,IF(DM143&lt;0,IF($J143=4,-$E143*$I143/12*0,IF($J143=5,-$E143*$I143/12*1,IF($J143=6,-$E143*$I143/12*2,IF($J143&gt;=7,-$E143*$I143/12*3,0))))))</f>
        <v>0</v>
      </c>
      <c r="DP143" s="442">
        <f>IF($H143&lt;&gt;DR$5,0,IF(DR143&lt;0,IF(OR($J143=1,$J143=2,$J143=3,$J143=4,$J143=5,$J143=6,$J143=7),-$E143*$I143/12*3,IF($J143=8,-$E143*$I143/12*2,IF($J143=9,-$E143*$I143/12*1,0)))))+IF(DM$5&lt;&gt;$H143,0,IF(DM143&lt;0,IF($J143=7,-$E143*$I143/12*0,IF($J143=8,-$E143*$I143/12*1,IF($J143=9,-$E143*$I143/12*2,IF($J143&gt;=10,-$E143*$I143/12*3,0))))))</f>
        <v>0</v>
      </c>
      <c r="DQ143" s="443">
        <f>IF($H143&lt;&gt;DR$5,0,IF(DR143&lt;0,IF(OR($J143=1,$J143=2,$J143=3,$J143=4,$J143=5,$J143=6,$J143=7,$J143=8,$J143=9,$J143=10),-$E143*$I143/12*3,IF($J143=11,-$E143*$I143/12*2,IF($J143=12,-$E143*$I143/12*1,0)))))+IF(DM$5&lt;&gt;$H143,0,IF(DM143&lt;0,IF($J143=10,-$E143*$I143/12*0,IF($J143=11,-$E143*$I143/12*1,IF($J143=12,-$E143*$I143/12*2,0)))))</f>
        <v>0</v>
      </c>
      <c r="DR143" s="440">
        <f>IF(AND(DM143&lt;&gt;0,DM$5=$H143),-$I143*$E143-DM143,IF(DR$5=$H143,-$I143*$E143*(12-$J143+1)/12,0))</f>
        <v>0</v>
      </c>
    </row>
    <row r="144" spans="1:122" ht="12.75" customHeight="1">
      <c r="A144" s="92"/>
      <c r="B144" s="92"/>
      <c r="C144" s="1123" t="s">
        <v>707</v>
      </c>
      <c r="D144" s="395"/>
      <c r="E144" s="188">
        <f>IF(F144=0,G144,F144)</f>
        <v>300</v>
      </c>
      <c r="F144" s="1945">
        <v>300</v>
      </c>
      <c r="G144" s="1945">
        <v>300</v>
      </c>
      <c r="H144" s="1366">
        <v>2024</v>
      </c>
      <c r="I144" s="1367">
        <v>5.5E-2</v>
      </c>
      <c r="J144" s="1357">
        <v>8</v>
      </c>
      <c r="K144" s="549"/>
      <c r="L144" s="441">
        <f>IF(P144=0,0,IF(P144&lt;0,IF($J144=3,P144,IF($J144=2,P144,IF($J144=1,P144,0)))))</f>
        <v>0</v>
      </c>
      <c r="M144" s="442">
        <f>IF(P144=0,0,IF(P144&lt;0,IF($J144=6,P144,IF($J144=5,P144,IF($J144=4,P144,0)))))</f>
        <v>0</v>
      </c>
      <c r="N144" s="442">
        <f>IF(P144=0,0,IF(P144&lt;0,IF($J144=9,P144,IF($J144=8,P144,IF($J144=7,P144,0)))))</f>
        <v>0</v>
      </c>
      <c r="O144" s="443">
        <f>IF(P144=0,0,IF(P144&lt;0,IF($J144=12,P144,IF($J144=11,P144,IF($J144=10,P144,0)))))</f>
        <v>0</v>
      </c>
      <c r="P144" s="440">
        <f>IF(P$5=$H144,-$E144,0)</f>
        <v>0</v>
      </c>
      <c r="Q144" s="441">
        <f>IF(U144=0,0,IF(U144&lt;0,IF($J144=3,U144,IF($J144=2,U144,IF($J144=1,U144,0)))))</f>
        <v>0</v>
      </c>
      <c r="R144" s="442">
        <f>IF(U144=0,0,IF(U144&lt;0,IF($J144=6,U144,IF($J144=5,U144,IF($J144=4,U144,0)))))</f>
        <v>0</v>
      </c>
      <c r="S144" s="442">
        <f>IF(U144=0,0,IF(U144&lt;0,IF($J144=9,U144,IF($J144=8,U144,IF($J144=7,U144,0)))))</f>
        <v>0</v>
      </c>
      <c r="T144" s="443">
        <f>IF(U144=0,0,IF(U144&lt;0,IF($J144=12,U144,IF($J144=11,U144,IF($J144=10,U144,0)))))</f>
        <v>0</v>
      </c>
      <c r="U144" s="440">
        <f>IF(U$5=$H144,-$E144,0)</f>
        <v>0</v>
      </c>
      <c r="V144" s="441">
        <f>IF(Z144=0,0,IF(Z144&lt;0,IF($J144=3,Z144,IF($J144=2,Z144,IF($J144=1,Z144,0)))))</f>
        <v>0</v>
      </c>
      <c r="W144" s="442">
        <f>IF(Z144=0,0,IF(Z144&lt;0,IF($J144=6,Z144,IF($J144=5,Z144,IF($J144=4,Z144,0)))))</f>
        <v>0</v>
      </c>
      <c r="X144" s="442">
        <f>IF(Z144=0,0,IF(Z144&lt;0,IF($J144=9,Z144,IF($J144=8,Z144,IF($J144=7,Z144,0)))))</f>
        <v>0</v>
      </c>
      <c r="Y144" s="443">
        <f>IF(Z144=0,0,IF(Z144&lt;0,IF($J144=12,Z144,IF($J144=11,Z144,IF($J144=10,Z144,0)))))</f>
        <v>0</v>
      </c>
      <c r="Z144" s="440">
        <f>IF(Z$5=$H144,-$E144,0)</f>
        <v>0</v>
      </c>
      <c r="AA144" s="441">
        <f>IF(AE144=0,0,IF(AE144&lt;0,IF($J144=3,AE144,IF($J144=2,AE144,IF($J144=1,AE144,0)))))</f>
        <v>0</v>
      </c>
      <c r="AB144" s="442">
        <f>IF(AE144=0,0,IF(AE144&lt;0,IF($J144=6,AE144,IF($J144=5,AE144,IF($J144=4,AE144,0)))))</f>
        <v>0</v>
      </c>
      <c r="AC144" s="442">
        <f>IF(AE144=0,0,IF(AE144&lt;0,IF($J144=9,AE144,IF($J144=8,AE144,IF($J144=7,AE144,0)))))</f>
        <v>0</v>
      </c>
      <c r="AD144" s="443">
        <f>IF(AE144=0,0,IF(AE144&lt;0,IF($J144=12,AE144,IF($J144=11,AE144,IF($J144=10,AE144,0)))))</f>
        <v>0</v>
      </c>
      <c r="AE144" s="440">
        <f>IF(AE$5=$H144,-$E144,0)</f>
        <v>0</v>
      </c>
      <c r="AF144" s="441">
        <f>IF(AJ144=0,0,IF(AJ144&lt;0,IF($J144=3,AJ144,IF($J144=2,AJ144,IF($J144=1,AJ144,0)))))</f>
        <v>0</v>
      </c>
      <c r="AG144" s="442">
        <f>IF(AJ144=0,0,IF(AJ144&lt;0,IF($J144=6,AJ144,IF($J144=5,AJ144,IF($J144=4,AJ144,0)))))</f>
        <v>0</v>
      </c>
      <c r="AH144" s="442">
        <f>IF(AJ144=0,0,IF(AJ144&lt;0,IF($J144=9,AJ144,IF($J144=8,AJ144,IF($J144=7,AJ144,0)))))</f>
        <v>0</v>
      </c>
      <c r="AI144" s="443">
        <f>IF(AJ144=0,0,IF(AJ144&lt;0,IF($J144=12,AJ144,IF($J144=11,AJ144,IF($J144=10,AJ144,0)))))</f>
        <v>0</v>
      </c>
      <c r="AJ144" s="440">
        <f>IF(AJ$5=$H144,-$E144,0)</f>
        <v>0</v>
      </c>
      <c r="AK144" s="441">
        <f>IF(AO144=0,0,IF(AO144&lt;0,IF($J144=3,AO144,IF($J144=2,AO144,IF($J144=1,AO144,0)))))</f>
        <v>0</v>
      </c>
      <c r="AL144" s="442">
        <f>IF(AO144=0,0,IF(AO144&lt;0,IF($J144=6,AO144,IF($J144=5,AO144,IF($J144=4,AO144,0)))))</f>
        <v>0</v>
      </c>
      <c r="AM144" s="442">
        <f>IF(AO144=0,0,IF(AO144&lt;0,IF($J144=9,AO144,IF($J144=8,AO144,IF($J144=7,AO144,0)))))</f>
        <v>0</v>
      </c>
      <c r="AN144" s="443">
        <f>IF(AO144=0,0,IF(AO144&lt;0,IF($J144=12,AO144,IF($J144=11,AO144,IF($J144=10,AO144,0)))))</f>
        <v>0</v>
      </c>
      <c r="AO144" s="440">
        <f>IF(AO$5=$H144,-$E144,0)</f>
        <v>0</v>
      </c>
      <c r="AP144" s="441">
        <f>IF(AT144=0,0,IF(AT144&lt;0,IF($J144=3,AT144,IF($J144=2,AT144,IF($J144=1,AT144,0)))))</f>
        <v>0</v>
      </c>
      <c r="AQ144" s="442">
        <f>IF(AT144=0,0,IF(AT144&lt;0,IF($J144=6,AT144,IF($J144=5,AT144,IF($J144=4,AT144,0)))))</f>
        <v>0</v>
      </c>
      <c r="AR144" s="442">
        <f>IF(AT144=0,0,IF(AT144&lt;0,IF($J144=9,AT144,IF($J144=8,AT144,IF($J144=7,AT144,0)))))</f>
        <v>0</v>
      </c>
      <c r="AS144" s="443">
        <f>IF(AT144=0,0,IF(AT144&lt;0,IF($J144=12,AT144,IF($J144=11,AT144,IF($J144=10,AT144,0)))))</f>
        <v>0</v>
      </c>
      <c r="AT144" s="440">
        <f>IF(AT$5=$H144,-$E144,0)</f>
        <v>0</v>
      </c>
      <c r="AU144" s="441">
        <f>IF(AY144=0,0,IF(AY144&lt;0,IF($J144=3,AY144,IF($J144=2,AY144,IF($J144=1,AY144,0)))))</f>
        <v>0</v>
      </c>
      <c r="AV144" s="442">
        <f>IF(AY144=0,0,IF(AY144&lt;0,IF($J144=6,AY144,IF($J144=5,AY144,IF($J144=4,AY144,0)))))</f>
        <v>0</v>
      </c>
      <c r="AW144" s="442">
        <f>IF(AY144=0,0,IF(AY144&lt;0,IF($J144=9,AY144,IF($J144=8,AY144,IF($J144=7,AY144,0)))))</f>
        <v>0</v>
      </c>
      <c r="AX144" s="443">
        <f>IF(AY144=0,0,IF(AY144&lt;0,IF($J144=12,AY144,IF($J144=11,AY144,IF($J144=10,AY144,0)))))</f>
        <v>0</v>
      </c>
      <c r="AY144" s="440">
        <f>IF(AY$5=$H144,-$E144,0)</f>
        <v>0</v>
      </c>
      <c r="AZ144" s="441">
        <f>IF(BD144=0,0,IF(BD144&lt;0,IF($J144=3,BD144,IF($J144=2,BD144,IF($J144=1,BD144,0)))))</f>
        <v>0</v>
      </c>
      <c r="BA144" s="442">
        <f>IF(BD144=0,0,IF(BD144&lt;0,IF($J144=6,BD144,IF($J144=5,BD144,IF($J144=4,BD144,0)))))</f>
        <v>0</v>
      </c>
      <c r="BB144" s="442">
        <f>IF(BD144=0,0,IF(BD144&lt;0,IF($J144=9,BD144,IF($J144=8,BD144,IF($J144=7,BD144,0)))))</f>
        <v>0</v>
      </c>
      <c r="BC144" s="443">
        <f>IF(BD144=0,0,IF(BD144&lt;0,IF($J144=12,BD144,IF($J144=11,BD144,IF($J144=10,BD144,0)))))</f>
        <v>0</v>
      </c>
      <c r="BD144" s="440">
        <f>IF(BD$5=$H144,-$E144,0)</f>
        <v>0</v>
      </c>
      <c r="BE144" s="441">
        <f>IF(BI144=0,0,IF(BI144&lt;0,IF($J144=3,BI144,IF($J144=2,BI144,IF($J144=1,BI144,0)))))</f>
        <v>0</v>
      </c>
      <c r="BF144" s="442">
        <f>IF(BI144=0,0,IF(BI144&lt;0,IF($J144=6,BI144,IF($J144=5,BI144,IF($J144=4,BI144,0)))))</f>
        <v>0</v>
      </c>
      <c r="BG144" s="442">
        <f>IF(BI144=0,0,IF(BI144&lt;0,IF($J144=9,BI144,IF($J144=8,BI144,IF($J144=7,BI144,0)))))</f>
        <v>0</v>
      </c>
      <c r="BH144" s="443">
        <f>IF(BI144=0,0,IF(BI144&lt;0,IF($J144=12,BI144,IF($J144=11,BI144,IF($J144=10,BI144,0)))))</f>
        <v>0</v>
      </c>
      <c r="BI144" s="440">
        <f>IF(BI$5=$H144,-$E144,0)</f>
        <v>0</v>
      </c>
      <c r="BJ144" s="441">
        <f>IF(BN144=0,0,IF(BN144&lt;0,IF($J144=3,BN144,IF($J144=2,BN144,IF($J144=1,BN144,0)))))</f>
        <v>0</v>
      </c>
      <c r="BK144" s="442">
        <f>IF(BN144=0,0,IF(BN144&lt;0,IF($J144=6,BN144,IF($J144=5,BN144,IF($J144=4,BN144,0)))))</f>
        <v>0</v>
      </c>
      <c r="BL144" s="442">
        <f>IF(BN144=0,0,IF(BN144&lt;0,IF($J144=9,BN144,IF($J144=8,BN144,IF($J144=7,BN144,0)))))</f>
        <v>0</v>
      </c>
      <c r="BM144" s="443">
        <f>IF(BN144=0,0,IF(BN144&lt;0,IF($J144=12,BN144,IF($J144=11,BN144,IF($J144=10,BN144,0)))))</f>
        <v>0</v>
      </c>
      <c r="BN144" s="440">
        <f>IF(BN$5=$H144,-$E144,0)</f>
        <v>0</v>
      </c>
      <c r="BO144" s="470"/>
      <c r="BP144" s="441">
        <f>IF($H144&lt;&gt;BT$5,0,IF(BT144&lt;0,IF($J144=1,-$E144*$I144/12*3,IF($J144=2,-$E144*$I144/12*2,IF($J144=3,-$E144*$I144/12*1,0)))))+IF(BO$5&lt;&gt;$H144,0,IF(BO144&lt;0,IF($J144=1,-$E144*$I144/12*0,IF($J144=2,-$E144*$I144/12*1,IF($J144=3,-$E144*$I144/12*2,IF($J144&gt;=4,-$E144*$I144/12*3,0))))))</f>
        <v>0</v>
      </c>
      <c r="BQ144" s="442">
        <f>IF($H144&lt;&gt;BT$5,0,IF(BT144&lt;0,IF(OR($J144=1,$J144=2,$J144=3,$J144=4),-$E144*$I144/12*3,IF($J144=5,-$E144*$I144/12*2,IF($J144=6,-$E144*$I144/12*1,0)))))+IF(BO$5&lt;&gt;$H144,0,IF(BO144&lt;0,IF($J144=4,-$E144*$I144/12*0,IF($J144=5,-$E144*$I144/12*1,IF($J144=6,-$E144*$I144/12*2,IF($J144&gt;=7,-$E144*$I144/12*3,0))))))</f>
        <v>0</v>
      </c>
      <c r="BR144" s="442">
        <f>IF($H144&lt;&gt;BT$5,0,IF(BT144&lt;0,IF(OR($J144=1,$J144=2,$J144=3,$J144=4,$J144=5,$J144=6,$J144=7),-$E144*$I144/12*3,IF($J144=8,-$E144*$I144/12*2,IF($J144=9,-$E144*$I144/12*1,0)))))+IF(BO$5&lt;&gt;$H144,0,IF(BO144&lt;0,IF($J144=7,-$E144*$I144/12*0,IF($J144=8,-$E144*$I144/12*1,IF($J144=9,-$E144*$I144/12*2,IF($J144&gt;=10,-$E144*$I144/12*3,0))))))</f>
        <v>0</v>
      </c>
      <c r="BS144" s="443">
        <f>IF($H144&lt;&gt;BT$5,0,IF(BT144&lt;0,IF(OR($J144=1,$J144=2,$J144=3,$J144=4,$J144=5,$J144=6,$J144=7,$J144=8,$J144=9,$J144=10),-$E144*$I144/12*3,IF($J144=11,-$E144*$I144/12*2,IF($J144=12,-$E144*$I144/12*1,0)))))+IF(BO$5&lt;&gt;$H144,0,IF(BO144&lt;0,IF($J144=10,-$E144*$I144/12*0,IF($J144=11,-$E144*$I144/12*1,IF($J144=12,-$E144*$I144/12*2,0)))))</f>
        <v>0</v>
      </c>
      <c r="BT144" s="440">
        <f>IF(AND(BO144&lt;&gt;0,BO$5=$H144),-$I144*$E144-BO144,IF(BT$5=$H144,-$I144*$E144*(12-$J144+1)/12,0))</f>
        <v>0</v>
      </c>
      <c r="BU144" s="441">
        <f>IF($H144&lt;&gt;BY$5,0,IF(BY144&lt;0,IF($J144=1,-$E144*$I144/12*3,IF($J144=2,-$E144*$I144/12*2,IF($J144=3,-$E144*$I144/12*1,0)))))+IF(BT$5&lt;&gt;$H144,0,IF(BT144&lt;0,IF($J144=1,-$E144*$I144/12*0,IF($J144=2,-$E144*$I144/12*1,IF($J144=3,-$E144*$I144/12*2,IF($J144&gt;=4,-$E144*$I144/12*3,0))))))</f>
        <v>0</v>
      </c>
      <c r="BV144" s="442">
        <f>IF($H144&lt;&gt;BY$5,0,IF(BY144&lt;0,IF(OR($J144=1,$J144=2,$J144=3,$J144=4),-$E144*$I144/12*3,IF($J144=5,-$E144*$I144/12*2,IF($J144=6,-$E144*$I144/12*1,0)))))+IF(BT$5&lt;&gt;$H144,0,IF(BT144&lt;0,IF($J144=4,-$E144*$I144/12*0,IF($J144=5,-$E144*$I144/12*1,IF($J144=6,-$E144*$I144/12*2,IF($J144&gt;=7,-$E144*$I144/12*3,0))))))</f>
        <v>0</v>
      </c>
      <c r="BW144" s="442">
        <f>IF($H144&lt;&gt;BY$5,0,IF(BY144&lt;0,IF(OR($J144=1,$J144=2,$J144=3,$J144=4,$J144=5,$J144=6,$J144=7),-$E144*$I144/12*3,IF($J144=8,-$E144*$I144/12*2,IF($J144=9,-$E144*$I144/12*1,0)))))+IF(BT$5&lt;&gt;$H144,0,IF(BT144&lt;0,IF($J144=7,-$E144*$I144/12*0,IF($J144=8,-$E144*$I144/12*1,IF($J144=9,-$E144*$I144/12*2,IF($J144&gt;=10,-$E144*$I144/12*3,0))))))</f>
        <v>0</v>
      </c>
      <c r="BX144" s="443">
        <f>IF($H144&lt;&gt;BY$5,0,IF(BY144&lt;0,IF(OR($J144=1,$J144=2,$J144=3,$J144=4,$J144=5,$J144=6,$J144=7,$J144=8,$J144=9,$J144=10),-$E144*$I144/12*3,IF($J144=11,-$E144*$I144/12*2,IF($J144=12,-$E144*$I144/12*1,0)))))+IF(BT$5&lt;&gt;$H144,0,IF(BT144&lt;0,IF($J144=10,-$E144*$I144/12*0,IF($J144=11,-$E144*$I144/12*1,IF($J144=12,-$E144*$I144/12*2,0)))))</f>
        <v>0</v>
      </c>
      <c r="BY144" s="440">
        <f>IF(AND(BT144&lt;&gt;0,BT$5=$H144),-$I144*$E144-BT144,IF(BY$5=$H144,-$I144*$E144*(12-$J144+1)/12,0))</f>
        <v>0</v>
      </c>
      <c r="BZ144" s="441">
        <f>IF($H144&lt;&gt;CD$5,0,IF(CD144&lt;0,IF($J144=1,-$E144*$I144/12*3,IF($J144=2,-$E144*$I144/12*2,IF($J144=3,-$E144*$I144/12*1,0)))))+IF(BY$5&lt;&gt;$H144,0,IF(BY144&lt;0,IF($J144=1,-$E144*$I144/12*0,IF($J144=2,-$E144*$I144/12*1,IF($J144=3,-$E144*$I144/12*2,IF($J144&gt;=4,-$E144*$I144/12*3,0))))))</f>
        <v>0</v>
      </c>
      <c r="CA144" s="442">
        <f>IF($H144&lt;&gt;CD$5,0,IF(CD144&lt;0,IF(OR($J144=1,$J144=2,$J144=3,$J144=4),-$E144*$I144/12*3,IF($J144=5,-$E144*$I144/12*2,IF($J144=6,-$E144*$I144/12*1,0)))))+IF(BY$5&lt;&gt;$H144,0,IF(BY144&lt;0,IF($J144=4,-$E144*$I144/12*0,IF($J144=5,-$E144*$I144/12*1,IF($J144=6,-$E144*$I144/12*2,IF($J144&gt;=7,-$E144*$I144/12*3,0))))))</f>
        <v>0</v>
      </c>
      <c r="CB144" s="442">
        <f>IF($H144&lt;&gt;CD$5,0,IF(CD144&lt;0,IF(OR($J144=1,$J144=2,$J144=3,$J144=4,$J144=5,$J144=6,$J144=7),-$E144*$I144/12*3,IF($J144=8,-$E144*$I144/12*2,IF($J144=9,-$E144*$I144/12*1,0)))))+IF(BY$5&lt;&gt;$H144,0,IF(BY144&lt;0,IF($J144=7,-$E144*$I144/12*0,IF($J144=8,-$E144*$I144/12*1,IF($J144=9,-$E144*$I144/12*2,IF($J144&gt;=10,-$E144*$I144/12*3,0))))))</f>
        <v>0</v>
      </c>
      <c r="CC144" s="443">
        <f>IF($H144&lt;&gt;CD$5,0,IF(CD144&lt;0,IF(OR($J144=1,$J144=2,$J144=3,$J144=4,$J144=5,$J144=6,$J144=7,$J144=8,$J144=9,$J144=10),-$E144*$I144/12*3,IF($J144=11,-$E144*$I144/12*2,IF($J144=12,-$E144*$I144/12*1,0)))))+IF(BY$5&lt;&gt;$H144,0,IF(BY144&lt;0,IF($J144=10,-$E144*$I144/12*0,IF($J144=11,-$E144*$I144/12*1,IF($J144=12,-$E144*$I144/12*2,0)))))</f>
        <v>0</v>
      </c>
      <c r="CD144" s="440">
        <f>IF(AND(BY144&lt;&gt;0,BY$5=$H144),-$I144*$E144-BY144,IF(CD$5=$H144,-$I144*$E144*(12-$J144+1)/12,0))</f>
        <v>0</v>
      </c>
      <c r="CE144" s="441">
        <f>IF($H144&lt;&gt;CI$5,0,IF(CI144&lt;0,IF($J144=1,-$E144*$I144/12*3,IF($J144=2,-$E144*$I144/12*2,IF($J144=3,-$E144*$I144/12*1,0)))))+IF(CD$5&lt;&gt;$H144,0,IF(CD144&lt;0,IF($J144=1,-$E144*$I144/12*0,IF($J144=2,-$E144*$I144/12*1,IF($J144=3,-$E144*$I144/12*2,IF($J144&gt;=4,-$E144*$I144/12*3,0))))))</f>
        <v>0</v>
      </c>
      <c r="CF144" s="442">
        <f>IF($H144&lt;&gt;CI$5,0,IF(CI144&lt;0,IF(OR($J144=1,$J144=2,$J144=3,$J144=4),-$E144*$I144/12*3,IF($J144=5,-$E144*$I144/12*2,IF($J144=6,-$E144*$I144/12*1,0)))))+IF(CD$5&lt;&gt;$H144,0,IF(CD144&lt;0,IF($J144=4,-$E144*$I144/12*0,IF($J144=5,-$E144*$I144/12*1,IF($J144=6,-$E144*$I144/12*2,IF($J144&gt;=7,-$E144*$I144/12*3,0))))))</f>
        <v>0</v>
      </c>
      <c r="CG144" s="442">
        <f>IF($H144&lt;&gt;CI$5,0,IF(CI144&lt;0,IF(OR($J144=1,$J144=2,$J144=3,$J144=4,$J144=5,$J144=6,$J144=7),-$E144*$I144/12*3,IF($J144=8,-$E144*$I144/12*2,IF($J144=9,-$E144*$I144/12*1,0)))))+IF(CD$5&lt;&gt;$H144,0,IF(CD144&lt;0,IF($J144=7,-$E144*$I144/12*0,IF($J144=8,-$E144*$I144/12*1,IF($J144=9,-$E144*$I144/12*2,IF($J144&gt;=10,-$E144*$I144/12*3,0))))))</f>
        <v>0</v>
      </c>
      <c r="CH144" s="443">
        <f>IF($H144&lt;&gt;CI$5,0,IF(CI144&lt;0,IF(OR($J144=1,$J144=2,$J144=3,$J144=4,$J144=5,$J144=6,$J144=7,$J144=8,$J144=9,$J144=10),-$E144*$I144/12*3,IF($J144=11,-$E144*$I144/12*2,IF($J144=12,-$E144*$I144/12*1,0)))))+IF(CD$5&lt;&gt;$H144,0,IF(CD144&lt;0,IF($J144=10,-$E144*$I144/12*0,IF($J144=11,-$E144*$I144/12*1,IF($J144=12,-$E144*$I144/12*2,0)))))</f>
        <v>0</v>
      </c>
      <c r="CI144" s="440">
        <f>IF(AND(CD144&lt;&gt;0,CD$5=$H144),-$I144*$E144-CD144,IF(CI$5=$H144,-$I144*$E144*(12-$J144+1)/12,0))</f>
        <v>0</v>
      </c>
      <c r="CJ144" s="441">
        <f>IF($H144&lt;&gt;CN$5,0,IF(CN144&lt;0,IF($J144=1,-$E144*$I144/12*3,IF($J144=2,-$E144*$I144/12*2,IF($J144=3,-$E144*$I144/12*1,0)))))+IF(CI$5&lt;&gt;$H144,0,IF(CI144&lt;0,IF($J144=1,-$E144*$I144/12*0,IF($J144=2,-$E144*$I144/12*1,IF($J144=3,-$E144*$I144/12*2,IF($J144&gt;=4,-$E144*$I144/12*3,0))))))</f>
        <v>0</v>
      </c>
      <c r="CK144" s="442">
        <f>IF($H144&lt;&gt;CN$5,0,IF(CN144&lt;0,IF(OR($J144=1,$J144=2,$J144=3,$J144=4),-$E144*$I144/12*3,IF($J144=5,-$E144*$I144/12*2,IF($J144=6,-$E144*$I144/12*1,0)))))+IF(CI$5&lt;&gt;$H144,0,IF(CI144&lt;0,IF($J144=4,-$E144*$I144/12*0,IF($J144=5,-$E144*$I144/12*1,IF($J144=6,-$E144*$I144/12*2,IF($J144&gt;=7,-$E144*$I144/12*3,0))))))</f>
        <v>0</v>
      </c>
      <c r="CL144" s="442">
        <f>IF($H144&lt;&gt;CN$5,0,IF(CN144&lt;0,IF(OR($J144=1,$J144=2,$J144=3,$J144=4,$J144=5,$J144=6,$J144=7),-$E144*$I144/12*3,IF($J144=8,-$E144*$I144/12*2,IF($J144=9,-$E144*$I144/12*1,0)))))+IF(CI$5&lt;&gt;$H144,0,IF(CI144&lt;0,IF($J144=7,-$E144*$I144/12*0,IF($J144=8,-$E144*$I144/12*1,IF($J144=9,-$E144*$I144/12*2,IF($J144&gt;=10,-$E144*$I144/12*3,0))))))</f>
        <v>0</v>
      </c>
      <c r="CM144" s="443">
        <f>IF($H144&lt;&gt;CN$5,0,IF(CN144&lt;0,IF(OR($J144=1,$J144=2,$J144=3,$J144=4,$J144=5,$J144=6,$J144=7,$J144=8,$J144=9,$J144=10),-$E144*$I144/12*3,IF($J144=11,-$E144*$I144/12*2,IF($J144=12,-$E144*$I144/12*1,0)))))+IF(CI$5&lt;&gt;$H144,0,IF(CI144&lt;0,IF($J144=10,-$E144*$I144/12*0,IF($J144=11,-$E144*$I144/12*1,IF($J144=12,-$E144*$I144/12*2,0)))))</f>
        <v>0</v>
      </c>
      <c r="CN144" s="440">
        <f>IF(AND(CI144&lt;&gt;0,CI$5=$H144),-$I144*$E144-CI144,IF(CN$5=$H144,-$I144*$E144*(12-$J144+1)/12,0))</f>
        <v>0</v>
      </c>
      <c r="CO144" s="441">
        <f>IF($H144&lt;&gt;CS$5,0,IF(CS144&lt;0,IF($J144=1,-$E144*$I144/12*3,IF($J144=2,-$E144*$I144/12*2,IF($J144=3,-$E144*$I144/12*1,0)))))+IF(CN$5&lt;&gt;$H144,0,IF(CN144&lt;0,IF($J144=1,-$E144*$I144/12*0,IF($J144=2,-$E144*$I144/12*1,IF($J144=3,-$E144*$I144/12*2,IF($J144&gt;=4,-$E144*$I144/12*3,0))))))</f>
        <v>0</v>
      </c>
      <c r="CP144" s="442">
        <f>IF($H144&lt;&gt;CS$5,0,IF(CS144&lt;0,IF(OR($J144=1,$J144=2,$J144=3,$J144=4),-$E144*$I144/12*3,IF($J144=5,-$E144*$I144/12*2,IF($J144=6,-$E144*$I144/12*1,0)))))+IF(CN$5&lt;&gt;$H144,0,IF(CN144&lt;0,IF($J144=4,-$E144*$I144/12*0,IF($J144=5,-$E144*$I144/12*1,IF($J144=6,-$E144*$I144/12*2,IF($J144&gt;=7,-$E144*$I144/12*3,0))))))</f>
        <v>0</v>
      </c>
      <c r="CQ144" s="442">
        <f>IF($H144&lt;&gt;CS$5,0,IF(CS144&lt;0,IF(OR($J144=1,$J144=2,$J144=3,$J144=4,$J144=5,$J144=6,$J144=7),-$E144*$I144/12*3,IF($J144=8,-$E144*$I144/12*2,IF($J144=9,-$E144*$I144/12*1,0)))))+IF(CN$5&lt;&gt;$H144,0,IF(CN144&lt;0,IF($J144=7,-$E144*$I144/12*0,IF($J144=8,-$E144*$I144/12*1,IF($J144=9,-$E144*$I144/12*2,IF($J144&gt;=10,-$E144*$I144/12*3,0))))))</f>
        <v>0</v>
      </c>
      <c r="CR144" s="443">
        <f>IF($H144&lt;&gt;CS$5,0,IF(CS144&lt;0,IF(OR($J144=1,$J144=2,$J144=3,$J144=4,$J144=5,$J144=6,$J144=7,$J144=8,$J144=9,$J144=10),-$E144*$I144/12*3,IF($J144=11,-$E144*$I144/12*2,IF($J144=12,-$E144*$I144/12*1,0)))))+IF(CN$5&lt;&gt;$H144,0,IF(CN144&lt;0,IF($J144=10,-$E144*$I144/12*0,IF($J144=11,-$E144*$I144/12*1,IF($J144=12,-$E144*$I144/12*2,0)))))</f>
        <v>0</v>
      </c>
      <c r="CS144" s="440">
        <f>IF(AND(CN144&lt;&gt;0,CN$5=$H144),-$I144*$E144-CN144,IF(CS$5=$H144,-$I144*$E144*(12-$J144+1)/12,0))</f>
        <v>0</v>
      </c>
      <c r="CT144" s="441">
        <f>IF($H144&lt;&gt;CX$5,0,IF(CX144&lt;0,IF($J144=1,-$E144*$I144/12*3,IF($J144=2,-$E144*$I144/12*2,IF($J144=3,-$E144*$I144/12*1,0)))))+IF(CS$5&lt;&gt;$H144,0,IF(CS144&lt;0,IF($J144=1,-$E144*$I144/12*0,IF($J144=2,-$E144*$I144/12*1,IF($J144=3,-$E144*$I144/12*2,IF($J144&gt;=4,-$E144*$I144/12*3,0))))))</f>
        <v>0</v>
      </c>
      <c r="CU144" s="442">
        <f>IF($H144&lt;&gt;CX$5,0,IF(CX144&lt;0,IF(OR($J144=1,$J144=2,$J144=3,$J144=4),-$E144*$I144/12*3,IF($J144=5,-$E144*$I144/12*2,IF($J144=6,-$E144*$I144/12*1,0)))))+IF(CS$5&lt;&gt;$H144,0,IF(CS144&lt;0,IF($J144=4,-$E144*$I144/12*0,IF($J144=5,-$E144*$I144/12*1,IF($J144=6,-$E144*$I144/12*2,IF($J144&gt;=7,-$E144*$I144/12*3,0))))))</f>
        <v>0</v>
      </c>
      <c r="CV144" s="442">
        <f>IF($H144&lt;&gt;CX$5,0,IF(CX144&lt;0,IF(OR($J144=1,$J144=2,$J144=3,$J144=4,$J144=5,$J144=6,$J144=7),-$E144*$I144/12*3,IF($J144=8,-$E144*$I144/12*2,IF($J144=9,-$E144*$I144/12*1,0)))))+IF(CS$5&lt;&gt;$H144,0,IF(CS144&lt;0,IF($J144=7,-$E144*$I144/12*0,IF($J144=8,-$E144*$I144/12*1,IF($J144=9,-$E144*$I144/12*2,IF($J144&gt;=10,-$E144*$I144/12*3,0))))))</f>
        <v>0</v>
      </c>
      <c r="CW144" s="443">
        <f>IF($H144&lt;&gt;CX$5,0,IF(CX144&lt;0,IF(OR($J144=1,$J144=2,$J144=3,$J144=4,$J144=5,$J144=6,$J144=7,$J144=8,$J144=9,$J144=10),-$E144*$I144/12*3,IF($J144=11,-$E144*$I144/12*2,IF($J144=12,-$E144*$I144/12*1,0)))))+IF(CS$5&lt;&gt;$H144,0,IF(CS144&lt;0,IF($J144=10,-$E144*$I144/12*0,IF($J144=11,-$E144*$I144/12*1,IF($J144=12,-$E144*$I144/12*2,0)))))</f>
        <v>0</v>
      </c>
      <c r="CX144" s="440">
        <f>IF(AND(CS144&lt;&gt;0,CS$5=$H144),-$I144*$E144-CS144,IF(CX$5=$H144,-$I144*$E144*(12-$J144+1)/12,0))</f>
        <v>0</v>
      </c>
      <c r="CY144" s="441">
        <f>IF($H144&lt;&gt;DC$5,0,IF(DC144&lt;0,IF($J144=1,-$E144*$I144/12*3,IF($J144=2,-$E144*$I144/12*2,IF($J144=3,-$E144*$I144/12*1,0)))))+IF(CX$5&lt;&gt;$H144,0,IF(CX144&lt;0,IF($J144=1,-$E144*$I144/12*0,IF($J144=2,-$E144*$I144/12*1,IF($J144=3,-$E144*$I144/12*2,IF($J144&gt;=4,-$E144*$I144/12*3,0))))))</f>
        <v>0</v>
      </c>
      <c r="CZ144" s="442">
        <f>IF($H144&lt;&gt;DC$5,0,IF(DC144&lt;0,IF(OR($J144=1,$J144=2,$J144=3,$J144=4),-$E144*$I144/12*3,IF($J144=5,-$E144*$I144/12*2,IF($J144=6,-$E144*$I144/12*1,0)))))+IF(CX$5&lt;&gt;$H144,0,IF(CX144&lt;0,IF($J144=4,-$E144*$I144/12*0,IF($J144=5,-$E144*$I144/12*1,IF($J144=6,-$E144*$I144/12*2,IF($J144&gt;=7,-$E144*$I144/12*3,0))))))</f>
        <v>0</v>
      </c>
      <c r="DA144" s="442">
        <f>IF($H144&lt;&gt;DC$5,0,IF(DC144&lt;0,IF(OR($J144=1,$J144=2,$J144=3,$J144=4,$J144=5,$J144=6,$J144=7),-$E144*$I144/12*3,IF($J144=8,-$E144*$I144/12*2,IF($J144=9,-$E144*$I144/12*1,0)))))+IF(CX$5&lt;&gt;$H144,0,IF(CX144&lt;0,IF($J144=7,-$E144*$I144/12*0,IF($J144=8,-$E144*$I144/12*1,IF($J144=9,-$E144*$I144/12*2,IF($J144&gt;=10,-$E144*$I144/12*3,0))))))</f>
        <v>0</v>
      </c>
      <c r="DB144" s="443">
        <f>IF($H144&lt;&gt;DC$5,0,IF(DC144&lt;0,IF(OR($J144=1,$J144=2,$J144=3,$J144=4,$J144=5,$J144=6,$J144=7,$J144=8,$J144=9,$J144=10),-$E144*$I144/12*3,IF($J144=11,-$E144*$I144/12*2,IF($J144=12,-$E144*$I144/12*1,0)))))+IF(CX$5&lt;&gt;$H144,0,IF(CX144&lt;0,IF($J144=10,-$E144*$I144/12*0,IF($J144=11,-$E144*$I144/12*1,IF($J144=12,-$E144*$I144/12*2,0)))))</f>
        <v>0</v>
      </c>
      <c r="DC144" s="440">
        <f>IF(AND(CX144&lt;&gt;0,CX$5=$H144),-$I144*$E144-CX144,IF(DC$5=$H144,-$I144*$E144*(12-$J144+1)/12,0))</f>
        <v>0</v>
      </c>
      <c r="DD144" s="441">
        <f>IF($H144&lt;&gt;DH$5,0,IF(DH144&lt;0,IF($J144=1,-$E144*$I144/12*3,IF($J144=2,-$E144*$I144/12*2,IF($J144=3,-$E144*$I144/12*1,0)))))+IF(DC$5&lt;&gt;$H144,0,IF(DC144&lt;0,IF($J144=1,-$E144*$I144/12*0,IF($J144=2,-$E144*$I144/12*1,IF($J144=3,-$E144*$I144/12*2,IF($J144&gt;=4,-$E144*$I144/12*3,0))))))</f>
        <v>0</v>
      </c>
      <c r="DE144" s="442">
        <f>IF($H144&lt;&gt;DH$5,0,IF(DH144&lt;0,IF(OR($J144=1,$J144=2,$J144=3,$J144=4),-$E144*$I144/12*3,IF($J144=5,-$E144*$I144/12*2,IF($J144=6,-$E144*$I144/12*1,0)))))+IF(DC$5&lt;&gt;$H144,0,IF(DC144&lt;0,IF($J144=4,-$E144*$I144/12*0,IF($J144=5,-$E144*$I144/12*1,IF($J144=6,-$E144*$I144/12*2,IF($J144&gt;=7,-$E144*$I144/12*3,0))))))</f>
        <v>0</v>
      </c>
      <c r="DF144" s="442">
        <f>IF($H144&lt;&gt;DH$5,0,IF(DH144&lt;0,IF(OR($J144=1,$J144=2,$J144=3,$J144=4,$J144=5,$J144=6,$J144=7),-$E144*$I144/12*3,IF($J144=8,-$E144*$I144/12*2,IF($J144=9,-$E144*$I144/12*1,0)))))+IF(DC$5&lt;&gt;$H144,0,IF(DC144&lt;0,IF($J144=7,-$E144*$I144/12*0,IF($J144=8,-$E144*$I144/12*1,IF($J144=9,-$E144*$I144/12*2,IF($J144&gt;=10,-$E144*$I144/12*3,0))))))</f>
        <v>0</v>
      </c>
      <c r="DG144" s="443">
        <f>IF($H144&lt;&gt;DH$5,0,IF(DH144&lt;0,IF(OR($J144=1,$J144=2,$J144=3,$J144=4,$J144=5,$J144=6,$J144=7,$J144=8,$J144=9,$J144=10),-$E144*$I144/12*3,IF($J144=11,-$E144*$I144/12*2,IF($J144=12,-$E144*$I144/12*1,0)))))+IF(DC$5&lt;&gt;$H144,0,IF(DC144&lt;0,IF($J144=10,-$E144*$I144/12*0,IF($J144=11,-$E144*$I144/12*1,IF($J144=12,-$E144*$I144/12*2,0)))))</f>
        <v>0</v>
      </c>
      <c r="DH144" s="440">
        <f>IF(AND(DC144&lt;&gt;0,DC$5=$H144),-$I144*$E144-DC144,IF(DH$5=$H144,-$I144*$E144*(12-$J144+1)/12,0))</f>
        <v>0</v>
      </c>
      <c r="DI144" s="441">
        <f>IF($H144&lt;&gt;DM$5,0,IF(DM144&lt;0,IF($J144=1,-$E144*$I144/12*3,IF($J144=2,-$E144*$I144/12*2,IF($J144=3,-$E144*$I144/12*1,0)))))+IF(DH$5&lt;&gt;$H144,0,IF(DH144&lt;0,IF($J144=1,-$E144*$I144/12*0,IF($J144=2,-$E144*$I144/12*1,IF($J144=3,-$E144*$I144/12*2,IF($J144&gt;=4,-$E144*$I144/12*3,0))))))</f>
        <v>0</v>
      </c>
      <c r="DJ144" s="442">
        <f>IF($H144&lt;&gt;DM$5,0,IF(DM144&lt;0,IF(OR($J144=1,$J144=2,$J144=3,$J144=4),-$E144*$I144/12*3,IF($J144=5,-$E144*$I144/12*2,IF($J144=6,-$E144*$I144/12*1,0)))))+IF(DH$5&lt;&gt;$H144,0,IF(DH144&lt;0,IF($J144=4,-$E144*$I144/12*0,IF($J144=5,-$E144*$I144/12*1,IF($J144=6,-$E144*$I144/12*2,IF($J144&gt;=7,-$E144*$I144/12*3,0))))))</f>
        <v>0</v>
      </c>
      <c r="DK144" s="442">
        <f>IF($H144&lt;&gt;DM$5,0,IF(DM144&lt;0,IF(OR($J144=1,$J144=2,$J144=3,$J144=4,$J144=5,$J144=6,$J144=7),-$E144*$I144/12*3,IF($J144=8,-$E144*$I144/12*2,IF($J144=9,-$E144*$I144/12*1,0)))))+IF(DH$5&lt;&gt;$H144,0,IF(DH144&lt;0,IF($J144=7,-$E144*$I144/12*0,IF($J144=8,-$E144*$I144/12*1,IF($J144=9,-$E144*$I144/12*2,IF($J144&gt;=10,-$E144*$I144/12*3,0))))))</f>
        <v>0</v>
      </c>
      <c r="DL144" s="443">
        <f>IF($H144&lt;&gt;DM$5,0,IF(DM144&lt;0,IF(OR($J144=1,$J144=2,$J144=3,$J144=4,$J144=5,$J144=6,$J144=7,$J144=8,$J144=9,$J144=10),-$E144*$I144/12*3,IF($J144=11,-$E144*$I144/12*2,IF($J144=12,-$E144*$I144/12*1,0)))))+IF(DH$5&lt;&gt;$H144,0,IF(DH144&lt;0,IF($J144=10,-$E144*$I144/12*0,IF($J144=11,-$E144*$I144/12*1,IF($J144=12,-$E144*$I144/12*2,0)))))</f>
        <v>0</v>
      </c>
      <c r="DM144" s="440">
        <f>IF(AND(DH144&lt;&gt;0,DH$5=$H144),-$I144*$E144-DH144,IF(DM$5=$H144,-$I144*$E144*(12-$J144+1)/12,0))</f>
        <v>0</v>
      </c>
      <c r="DN144" s="441">
        <f>IF($H144&lt;&gt;DR$5,0,IF(DR144&lt;0,IF($J144=1,-$E144*$I144/12*3,IF($J144=2,-$E144*$I144/12*2,IF($J144=3,-$E144*$I144/12*1,0)))))+IF(DM$5&lt;&gt;$H144,0,IF(DM144&lt;0,IF($J144=1,-$E144*$I144/12*0,IF($J144=2,-$E144*$I144/12*1,IF($J144=3,-$E144*$I144/12*2,IF($J144&gt;=4,-$E144*$I144/12*3,0))))))</f>
        <v>0</v>
      </c>
      <c r="DO144" s="442">
        <f>IF($H144&lt;&gt;DR$5,0,IF(DR144&lt;0,IF(OR($J144=1,$J144=2,$J144=3,$J144=4),-$E144*$I144/12*3,IF($J144=5,-$E144*$I144/12*2,IF($J144=6,-$E144*$I144/12*1,0)))))+IF(DM$5&lt;&gt;$H144,0,IF(DM144&lt;0,IF($J144=4,-$E144*$I144/12*0,IF($J144=5,-$E144*$I144/12*1,IF($J144=6,-$E144*$I144/12*2,IF($J144&gt;=7,-$E144*$I144/12*3,0))))))</f>
        <v>0</v>
      </c>
      <c r="DP144" s="442">
        <f>IF($H144&lt;&gt;DR$5,0,IF(DR144&lt;0,IF(OR($J144=1,$J144=2,$J144=3,$J144=4,$J144=5,$J144=6,$J144=7),-$E144*$I144/12*3,IF($J144=8,-$E144*$I144/12*2,IF($J144=9,-$E144*$I144/12*1,0)))))+IF(DM$5&lt;&gt;$H144,0,IF(DM144&lt;0,IF($J144=7,-$E144*$I144/12*0,IF($J144=8,-$E144*$I144/12*1,IF($J144=9,-$E144*$I144/12*2,IF($J144&gt;=10,-$E144*$I144/12*3,0))))))</f>
        <v>0</v>
      </c>
      <c r="DQ144" s="443">
        <f>IF($H144&lt;&gt;DR$5,0,IF(DR144&lt;0,IF(OR($J144=1,$J144=2,$J144=3,$J144=4,$J144=5,$J144=6,$J144=7,$J144=8,$J144=9,$J144=10),-$E144*$I144/12*3,IF($J144=11,-$E144*$I144/12*2,IF($J144=12,-$E144*$I144/12*1,0)))))+IF(DM$5&lt;&gt;$H144,0,IF(DM144&lt;0,IF($J144=10,-$E144*$I144/12*0,IF($J144=11,-$E144*$I144/12*1,IF($J144=12,-$E144*$I144/12*2,0)))))</f>
        <v>0</v>
      </c>
      <c r="DR144" s="440">
        <f>IF(AND(DM144&lt;&gt;0,DM$5=$H144),-$I144*$E144-DM144,IF(DR$5=$H144,-$I144*$E144*(12-$J144+1)/12,0))</f>
        <v>0</v>
      </c>
    </row>
    <row r="145" spans="1:122" ht="12.75" customHeight="1">
      <c r="A145" s="92"/>
      <c r="B145" s="92"/>
      <c r="C145" s="1946" t="s">
        <v>1211</v>
      </c>
      <c r="D145" s="1953"/>
      <c r="E145" s="188">
        <f>IF(F145=0,G145,F145)</f>
        <v>350</v>
      </c>
      <c r="F145" s="1945">
        <v>350</v>
      </c>
      <c r="G145" s="1945">
        <v>0</v>
      </c>
      <c r="H145" s="1366">
        <v>2028</v>
      </c>
      <c r="I145" s="1367">
        <v>3.5000000000000003E-2</v>
      </c>
      <c r="J145" s="1357">
        <v>10</v>
      </c>
      <c r="K145" s="549"/>
      <c r="L145" s="441"/>
      <c r="M145" s="442"/>
      <c r="N145" s="442"/>
      <c r="O145" s="443"/>
      <c r="P145" s="440"/>
      <c r="Q145" s="441"/>
      <c r="R145" s="442"/>
      <c r="S145" s="442"/>
      <c r="T145" s="443"/>
      <c r="U145" s="440"/>
      <c r="V145" s="441"/>
      <c r="W145" s="442"/>
      <c r="X145" s="442"/>
      <c r="Y145" s="443"/>
      <c r="Z145" s="440"/>
      <c r="AA145" s="441"/>
      <c r="AB145" s="442"/>
      <c r="AC145" s="442"/>
      <c r="AD145" s="443"/>
      <c r="AE145" s="440"/>
      <c r="AF145" s="441"/>
      <c r="AG145" s="442"/>
      <c r="AH145" s="442"/>
      <c r="AI145" s="443"/>
      <c r="AJ145" s="440">
        <f>IF(AJ$5=$H145,-$E145,0)</f>
        <v>0</v>
      </c>
      <c r="AK145" s="441">
        <f>IF(AO145=0,0,IF(AO145&lt;0,IF($J145=3,AO145,IF($J145=2,AO145,IF($J145=1,AO145,0)))))</f>
        <v>0</v>
      </c>
      <c r="AL145" s="442">
        <f>IF(AO145=0,0,IF(AO145&lt;0,IF($J145=6,AO145,IF($J145=5,AO145,IF($J145=4,AO145,0)))))</f>
        <v>0</v>
      </c>
      <c r="AM145" s="442">
        <f>IF(AO145=0,0,IF(AO145&lt;0,IF($J145=9,AO145,IF($J145=8,AO145,IF($J145=7,AO145,0)))))</f>
        <v>0</v>
      </c>
      <c r="AN145" s="443">
        <f>IF(AO145=0,0,IF(AO145&lt;0,IF($J145=12,AO145,IF($J145=11,AO145,IF($J145=10,AO145,0)))))</f>
        <v>0</v>
      </c>
      <c r="AO145" s="440">
        <f>IF(AO$5=$H145,-$E145,0)</f>
        <v>0</v>
      </c>
      <c r="AP145" s="441">
        <f>IF(AT145=0,0,IF(AT145&lt;0,IF($J145=3,AT145,IF($J145=2,AT145,IF($J145=1,AT145,0)))))</f>
        <v>0</v>
      </c>
      <c r="AQ145" s="442">
        <f>IF(AT145=0,0,IF(AT145&lt;0,IF($J145=6,AT145,IF($J145=5,AT145,IF($J145=4,AT145,0)))))</f>
        <v>0</v>
      </c>
      <c r="AR145" s="442">
        <f>IF(AT145=0,0,IF(AT145&lt;0,IF($J145=9,AT145,IF($J145=8,AT145,IF($J145=7,AT145,0)))))</f>
        <v>0</v>
      </c>
      <c r="AS145" s="443">
        <f>IF(AT145=0,0,IF(AT145&lt;0,IF($J145=12,AT145,IF($J145=11,AT145,IF($J145=10,AT145,0)))))</f>
        <v>0</v>
      </c>
      <c r="AT145" s="440">
        <f>IF(AT$5=$H145,-$E145,0)</f>
        <v>0</v>
      </c>
      <c r="AU145" s="441">
        <f>IF(AY145=0,0,IF(AY145&lt;0,IF($J145=3,AY145,IF($J145=2,AY145,IF($J145=1,AY145,0)))))</f>
        <v>0</v>
      </c>
      <c r="AV145" s="442">
        <f>IF(AY145=0,0,IF(AY145&lt;0,IF($J145=6,AY145,IF($J145=5,AY145,IF($J145=4,AY145,0)))))</f>
        <v>0</v>
      </c>
      <c r="AW145" s="442">
        <f>IF(AY145=0,0,IF(AY145&lt;0,IF($J145=9,AY145,IF($J145=8,AY145,IF($J145=7,AY145,0)))))</f>
        <v>0</v>
      </c>
      <c r="AX145" s="443">
        <f>IF(AY145=0,0,IF(AY145&lt;0,IF($J145=12,AY145,IF($J145=11,AY145,IF($J145=10,AY145,0)))))</f>
        <v>0</v>
      </c>
      <c r="AY145" s="440">
        <f>IF(AY$5=$H145,-$E145,0)</f>
        <v>0</v>
      </c>
      <c r="AZ145" s="441">
        <f>IF(BD145=0,0,IF(BD145&lt;0,IF($J145=3,BD145,IF($J145=2,BD145,IF($J145=1,BD145,0)))))</f>
        <v>0</v>
      </c>
      <c r="BA145" s="442">
        <f>IF(BD145=0,0,IF(BD145&lt;0,IF($J145=6,BD145,IF($J145=5,BD145,IF($J145=4,BD145,0)))))</f>
        <v>0</v>
      </c>
      <c r="BB145" s="442">
        <f>IF(BD145=0,0,IF(BD145&lt;0,IF($J145=9,BD145,IF($J145=8,BD145,IF($J145=7,BD145,0)))))</f>
        <v>0</v>
      </c>
      <c r="BC145" s="443">
        <f>IF(BD145=0,0,IF(BD145&lt;0,IF($J145=12,BD145,IF($J145=11,BD145,IF($J145=10,BD145,0)))))</f>
        <v>0</v>
      </c>
      <c r="BD145" s="440">
        <f>IF(BD$5=$H145,-$E145,0)</f>
        <v>0</v>
      </c>
      <c r="BE145" s="441">
        <f>IF(BI145=0,0,IF(BI145&lt;0,IF($J145=3,BI145,IF($J145=2,BI145,IF($J145=1,BI145,0)))))</f>
        <v>0</v>
      </c>
      <c r="BF145" s="442">
        <f>IF(BI145=0,0,IF(BI145&lt;0,IF($J145=6,BI145,IF($J145=5,BI145,IF($J145=4,BI145,0)))))</f>
        <v>0</v>
      </c>
      <c r="BG145" s="442">
        <f>IF(BI145=0,0,IF(BI145&lt;0,IF($J145=9,BI145,IF($J145=8,BI145,IF($J145=7,BI145,0)))))</f>
        <v>0</v>
      </c>
      <c r="BH145" s="443">
        <f>IF(BI145=0,0,IF(BI145&lt;0,IF($J145=12,BI145,IF($J145=11,BI145,IF($J145=10,BI145,0)))))</f>
        <v>0</v>
      </c>
      <c r="BI145" s="440">
        <f>IF(BI$5=$H145,-$E145,0)</f>
        <v>0</v>
      </c>
      <c r="BJ145" s="441">
        <f>IF(BN145=0,0,IF(BN145&lt;0,IF($J145=3,BN145,IF($J145=2,BN145,IF($J145=1,BN145,0)))))</f>
        <v>0</v>
      </c>
      <c r="BK145" s="442">
        <f>IF(BN145=0,0,IF(BN145&lt;0,IF($J145=6,BN145,IF($J145=5,BN145,IF($J145=4,BN145,0)))))</f>
        <v>0</v>
      </c>
      <c r="BL145" s="442">
        <f>IF(BN145=0,0,IF(BN145&lt;0,IF($J145=9,BN145,IF($J145=8,BN145,IF($J145=7,BN145,0)))))</f>
        <v>0</v>
      </c>
      <c r="BM145" s="443">
        <f>IF(BN145=0,0,IF(BN145&lt;0,IF($J145=12,BN145,IF($J145=11,BN145,IF($J145=10,BN145,0)))))</f>
        <v>0</v>
      </c>
      <c r="BN145" s="440">
        <f>IF(BN$5=$H145,-$E145,0)</f>
        <v>0</v>
      </c>
      <c r="BO145" s="470"/>
      <c r="BP145" s="441">
        <f>IF($H145&lt;&gt;BT$5,0,IF(BT145&lt;0,IF($J145=1,-$E145*$I145/12*3,IF($J145=2,-$E145*$I145/12*2,IF($J145=3,-$E145*$I145/12*1,0)))))+IF(BO$5&lt;&gt;$H145,0,IF(BO145&lt;0,IF($J145=1,-$E145*$I145/12*0,IF($J145=2,-$E145*$I145/12*1,IF($J145=3,-$E145*$I145/12*2,IF($J145&gt;=4,-$E145*$I145/12*3,0))))))</f>
        <v>0</v>
      </c>
      <c r="BQ145" s="442">
        <f>IF($H145&lt;&gt;BT$5,0,IF(BT145&lt;0,IF(OR($J145=1,$J145=2,$J145=3,$J145=4),-$E145*$I145/12*3,IF($J145=5,-$E145*$I145/12*2,IF($J145=6,-$E145*$I145/12*1,0)))))+IF(BO$5&lt;&gt;$H145,0,IF(BO145&lt;0,IF($J145=4,-$E145*$I145/12*0,IF($J145=5,-$E145*$I145/12*1,IF($J145=6,-$E145*$I145/12*2,IF($J145&gt;=7,-$E145*$I145/12*3,0))))))</f>
        <v>0</v>
      </c>
      <c r="BR145" s="442">
        <f>IF($H145&lt;&gt;BT$5,0,IF(BT145&lt;0,IF(OR($J145=1,$J145=2,$J145=3,$J145=4,$J145=5,$J145=6,$J145=7),-$E145*$I145/12*3,IF($J145=8,-$E145*$I145/12*2,IF($J145=9,-$E145*$I145/12*1,0)))))+IF(BO$5&lt;&gt;$H145,0,IF(BO145&lt;0,IF($J145=7,-$E145*$I145/12*0,IF($J145=8,-$E145*$I145/12*1,IF($J145=9,-$E145*$I145/12*2,IF($J145&gt;=10,-$E145*$I145/12*3,0))))))</f>
        <v>0</v>
      </c>
      <c r="BS145" s="443">
        <f>IF($H145&lt;&gt;BT$5,0,IF(BT145&lt;0,IF(OR($J145=1,$J145=2,$J145=3,$J145=4,$J145=5,$J145=6,$J145=7,$J145=8,$J145=9,$J145=10),-$E145*$I145/12*3,IF($J145=11,-$E145*$I145/12*2,IF($J145=12,-$E145*$I145/12*1,0)))))+IF(BO$5&lt;&gt;$H145,0,IF(BO145&lt;0,IF($J145=10,-$E145*$I145/12*0,IF($J145=11,-$E145*$I145/12*1,IF($J145=12,-$E145*$I145/12*2,0)))))</f>
        <v>0</v>
      </c>
      <c r="BT145" s="440">
        <f>IF(AND(BO145&lt;&gt;0,BO$5=$H145),-$I145*$E145-BO145,IF(BT$5=$H145,-$I145*$E145*(12-$J145+1)/12,0))</f>
        <v>0</v>
      </c>
      <c r="BU145" s="441">
        <f>IF($H145&lt;&gt;BY$5,0,IF(BY145&lt;0,IF($J145=1,-$E145*$I145/12*3,IF($J145=2,-$E145*$I145/12*2,IF($J145=3,-$E145*$I145/12*1,0)))))+IF(BT$5&lt;&gt;$H145,0,IF(BT145&lt;0,IF($J145=1,-$E145*$I145/12*0,IF($J145=2,-$E145*$I145/12*1,IF($J145=3,-$E145*$I145/12*2,IF($J145&gt;=4,-$E145*$I145/12*3,0))))))</f>
        <v>0</v>
      </c>
      <c r="BV145" s="442">
        <f>IF($H145&lt;&gt;BY$5,0,IF(BY145&lt;0,IF(OR($J145=1,$J145=2,$J145=3,$J145=4),-$E145*$I145/12*3,IF($J145=5,-$E145*$I145/12*2,IF($J145=6,-$E145*$I145/12*1,0)))))+IF(BT$5&lt;&gt;$H145,0,IF(BT145&lt;0,IF($J145=4,-$E145*$I145/12*0,IF($J145=5,-$E145*$I145/12*1,IF($J145=6,-$E145*$I145/12*2,IF($J145&gt;=7,-$E145*$I145/12*3,0))))))</f>
        <v>0</v>
      </c>
      <c r="BW145" s="442">
        <f>IF($H145&lt;&gt;BY$5,0,IF(BY145&lt;0,IF(OR($J145=1,$J145=2,$J145=3,$J145=4,$J145=5,$J145=6,$J145=7),-$E145*$I145/12*3,IF($J145=8,-$E145*$I145/12*2,IF($J145=9,-$E145*$I145/12*1,0)))))+IF(BT$5&lt;&gt;$H145,0,IF(BT145&lt;0,IF($J145=7,-$E145*$I145/12*0,IF($J145=8,-$E145*$I145/12*1,IF($J145=9,-$E145*$I145/12*2,IF($J145&gt;=10,-$E145*$I145/12*3,0))))))</f>
        <v>0</v>
      </c>
      <c r="BX145" s="443">
        <f>IF($H145&lt;&gt;BY$5,0,IF(BY145&lt;0,IF(OR($J145=1,$J145=2,$J145=3,$J145=4,$J145=5,$J145=6,$J145=7,$J145=8,$J145=9,$J145=10),-$E145*$I145/12*3,IF($J145=11,-$E145*$I145/12*2,IF($J145=12,-$E145*$I145/12*1,0)))))+IF(BT$5&lt;&gt;$H145,0,IF(BT145&lt;0,IF($J145=10,-$E145*$I145/12*0,IF($J145=11,-$E145*$I145/12*1,IF($J145=12,-$E145*$I145/12*2,0)))))</f>
        <v>0</v>
      </c>
      <c r="BY145" s="440">
        <f>IF(AND(BT145&lt;&gt;0,BT$5=$H145),-$I145*$E145-BT145,IF(BY$5=$H145,-$I145*$E145*(12-$J145+1)/12,0))</f>
        <v>0</v>
      </c>
      <c r="BZ145" s="441">
        <f>IF($H145&lt;&gt;CD$5,0,IF(CD145&lt;0,IF($J145=1,-$E145*$I145/12*3,IF($J145=2,-$E145*$I145/12*2,IF($J145=3,-$E145*$I145/12*1,0)))))+IF(BY$5&lt;&gt;$H145,0,IF(BY145&lt;0,IF($J145=1,-$E145*$I145/12*0,IF($J145=2,-$E145*$I145/12*1,IF($J145=3,-$E145*$I145/12*2,IF($J145&gt;=4,-$E145*$I145/12*3,0))))))</f>
        <v>0</v>
      </c>
      <c r="CA145" s="442">
        <f>IF($H145&lt;&gt;CD$5,0,IF(CD145&lt;0,IF(OR($J145=1,$J145=2,$J145=3,$J145=4),-$E145*$I145/12*3,IF($J145=5,-$E145*$I145/12*2,IF($J145=6,-$E145*$I145/12*1,0)))))+IF(BY$5&lt;&gt;$H145,0,IF(BY145&lt;0,IF($J145=4,-$E145*$I145/12*0,IF($J145=5,-$E145*$I145/12*1,IF($J145=6,-$E145*$I145/12*2,IF($J145&gt;=7,-$E145*$I145/12*3,0))))))</f>
        <v>0</v>
      </c>
      <c r="CB145" s="442">
        <f>IF($H145&lt;&gt;CD$5,0,IF(CD145&lt;0,IF(OR($J145=1,$J145=2,$J145=3,$J145=4,$J145=5,$J145=6,$J145=7),-$E145*$I145/12*3,IF($J145=8,-$E145*$I145/12*2,IF($J145=9,-$E145*$I145/12*1,0)))))+IF(BY$5&lt;&gt;$H145,0,IF(BY145&lt;0,IF($J145=7,-$E145*$I145/12*0,IF($J145=8,-$E145*$I145/12*1,IF($J145=9,-$E145*$I145/12*2,IF($J145&gt;=10,-$E145*$I145/12*3,0))))))</f>
        <v>0</v>
      </c>
      <c r="CC145" s="443">
        <f>IF($H145&lt;&gt;CD$5,0,IF(CD145&lt;0,IF(OR($J145=1,$J145=2,$J145=3,$J145=4,$J145=5,$J145=6,$J145=7,$J145=8,$J145=9,$J145=10),-$E145*$I145/12*3,IF($J145=11,-$E145*$I145/12*2,IF($J145=12,-$E145*$I145/12*1,0)))))+IF(BY$5&lt;&gt;$H145,0,IF(BY145&lt;0,IF($J145=10,-$E145*$I145/12*0,IF($J145=11,-$E145*$I145/12*1,IF($J145=12,-$E145*$I145/12*2,0)))))</f>
        <v>0</v>
      </c>
      <c r="CD145" s="440">
        <f>IF(AND(BY145&lt;&gt;0,BY$5=$H145),-$I145*$E145-BY145,IF(CD$5=$H145,-$I145*$E145*(12-$J145+1)/12,0))</f>
        <v>0</v>
      </c>
      <c r="CE145" s="441">
        <f>IF($H145&lt;&gt;CI$5,0,IF(CI145&lt;0,IF($J145=1,-$E145*$I145/12*3,IF($J145=2,-$E145*$I145/12*2,IF($J145=3,-$E145*$I145/12*1,0)))))+IF(CD$5&lt;&gt;$H145,0,IF(CD145&lt;0,IF($J145=1,-$E145*$I145/12*0,IF($J145=2,-$E145*$I145/12*1,IF($J145=3,-$E145*$I145/12*2,IF($J145&gt;=4,-$E145*$I145/12*3,0))))))</f>
        <v>0</v>
      </c>
      <c r="CF145" s="442">
        <f>IF($H145&lt;&gt;CI$5,0,IF(CI145&lt;0,IF(OR($J145=1,$J145=2,$J145=3,$J145=4),-$E145*$I145/12*3,IF($J145=5,-$E145*$I145/12*2,IF($J145=6,-$E145*$I145/12*1,0)))))+IF(CD$5&lt;&gt;$H145,0,IF(CD145&lt;0,IF($J145=4,-$E145*$I145/12*0,IF($J145=5,-$E145*$I145/12*1,IF($J145=6,-$E145*$I145/12*2,IF($J145&gt;=7,-$E145*$I145/12*3,0))))))</f>
        <v>0</v>
      </c>
      <c r="CG145" s="442">
        <f>IF($H145&lt;&gt;CI$5,0,IF(CI145&lt;0,IF(OR($J145=1,$J145=2,$J145=3,$J145=4,$J145=5,$J145=6,$J145=7),-$E145*$I145/12*3,IF($J145=8,-$E145*$I145/12*2,IF($J145=9,-$E145*$I145/12*1,0)))))+IF(CD$5&lt;&gt;$H145,0,IF(CD145&lt;0,IF($J145=7,-$E145*$I145/12*0,IF($J145=8,-$E145*$I145/12*1,IF($J145=9,-$E145*$I145/12*2,IF($J145&gt;=10,-$E145*$I145/12*3,0))))))</f>
        <v>0</v>
      </c>
      <c r="CH145" s="443">
        <f>IF($H145&lt;&gt;CI$5,0,IF(CI145&lt;0,IF(OR($J145=1,$J145=2,$J145=3,$J145=4,$J145=5,$J145=6,$J145=7,$J145=8,$J145=9,$J145=10),-$E145*$I145/12*3,IF($J145=11,-$E145*$I145/12*2,IF($J145=12,-$E145*$I145/12*1,0)))))+IF(CD$5&lt;&gt;$H145,0,IF(CD145&lt;0,IF($J145=10,-$E145*$I145/12*0,IF($J145=11,-$E145*$I145/12*1,IF($J145=12,-$E145*$I145/12*2,0)))))</f>
        <v>0</v>
      </c>
      <c r="CI145" s="440">
        <f>IF(AND(CD145&lt;&gt;0,CD$5=$H145),-$I145*$E145-CD145,IF(CI$5=$H145,-$I145*$E145*(12-$J145+1)/12,0))</f>
        <v>0</v>
      </c>
      <c r="CJ145" s="441">
        <f>IF($H145&lt;&gt;CN$5,0,IF(CN145&lt;0,IF($J145=1,-$E145*$I145/12*3,IF($J145=2,-$E145*$I145/12*2,IF($J145=3,-$E145*$I145/12*1,0)))))+IF(CI$5&lt;&gt;$H145,0,IF(CI145&lt;0,IF($J145=1,-$E145*$I145/12*0,IF($J145=2,-$E145*$I145/12*1,IF($J145=3,-$E145*$I145/12*2,IF($J145&gt;=4,-$E145*$I145/12*3,0))))))</f>
        <v>0</v>
      </c>
      <c r="CK145" s="442">
        <f>IF($H145&lt;&gt;CN$5,0,IF(CN145&lt;0,IF(OR($J145=1,$J145=2,$J145=3,$J145=4),-$E145*$I145/12*3,IF($J145=5,-$E145*$I145/12*2,IF($J145=6,-$E145*$I145/12*1,0)))))+IF(CI$5&lt;&gt;$H145,0,IF(CI145&lt;0,IF($J145=4,-$E145*$I145/12*0,IF($J145=5,-$E145*$I145/12*1,IF($J145=6,-$E145*$I145/12*2,IF($J145&gt;=7,-$E145*$I145/12*3,0))))))</f>
        <v>0</v>
      </c>
      <c r="CL145" s="442">
        <f>IF($H145&lt;&gt;CN$5,0,IF(CN145&lt;0,IF(OR($J145=1,$J145=2,$J145=3,$J145=4,$J145=5,$J145=6,$J145=7),-$E145*$I145/12*3,IF($J145=8,-$E145*$I145/12*2,IF($J145=9,-$E145*$I145/12*1,0)))))+IF(CI$5&lt;&gt;$H145,0,IF(CI145&lt;0,IF($J145=7,-$E145*$I145/12*0,IF($J145=8,-$E145*$I145/12*1,IF($J145=9,-$E145*$I145/12*2,IF($J145&gt;=10,-$E145*$I145/12*3,0))))))</f>
        <v>0</v>
      </c>
      <c r="CM145" s="443">
        <f>IF($H145&lt;&gt;CN$5,0,IF(CN145&lt;0,IF(OR($J145=1,$J145=2,$J145=3,$J145=4,$J145=5,$J145=6,$J145=7,$J145=8,$J145=9,$J145=10),-$E145*$I145/12*3,IF($J145=11,-$E145*$I145/12*2,IF($J145=12,-$E145*$I145/12*1,0)))))+IF(CI$5&lt;&gt;$H145,0,IF(CI145&lt;0,IF($J145=10,-$E145*$I145/12*0,IF($J145=11,-$E145*$I145/12*1,IF($J145=12,-$E145*$I145/12*2,0)))))</f>
        <v>0</v>
      </c>
      <c r="CN145" s="440">
        <f>IF(AND(CI145&lt;&gt;0,CI$5=$H145),-$I145*$E145-CI145,IF(CN$5=$H145,-$I145*$E145*(12-$J145+1)/12,0))</f>
        <v>0</v>
      </c>
      <c r="CO145" s="441">
        <f>IF($H145&lt;&gt;CS$5,0,IF(CS145&lt;0,IF($J145=1,-$E145*$I145/12*3,IF($J145=2,-$E145*$I145/12*2,IF($J145=3,-$E145*$I145/12*1,0)))))+IF(CN$5&lt;&gt;$H145,0,IF(CN145&lt;0,IF($J145=1,-$E145*$I145/12*0,IF($J145=2,-$E145*$I145/12*1,IF($J145=3,-$E145*$I145/12*2,IF($J145&gt;=4,-$E145*$I145/12*3,0))))))</f>
        <v>0</v>
      </c>
      <c r="CP145" s="442">
        <f>IF($H145&lt;&gt;CS$5,0,IF(CS145&lt;0,IF(OR($J145=1,$J145=2,$J145=3,$J145=4),-$E145*$I145/12*3,IF($J145=5,-$E145*$I145/12*2,IF($J145=6,-$E145*$I145/12*1,0)))))+IF(CN$5&lt;&gt;$H145,0,IF(CN145&lt;0,IF($J145=4,-$E145*$I145/12*0,IF($J145=5,-$E145*$I145/12*1,IF($J145=6,-$E145*$I145/12*2,IF($J145&gt;=7,-$E145*$I145/12*3,0))))))</f>
        <v>0</v>
      </c>
      <c r="CQ145" s="442">
        <f>IF($H145&lt;&gt;CS$5,0,IF(CS145&lt;0,IF(OR($J145=1,$J145=2,$J145=3,$J145=4,$J145=5,$J145=6,$J145=7),-$E145*$I145/12*3,IF($J145=8,-$E145*$I145/12*2,IF($J145=9,-$E145*$I145/12*1,0)))))+IF(CN$5&lt;&gt;$H145,0,IF(CN145&lt;0,IF($J145=7,-$E145*$I145/12*0,IF($J145=8,-$E145*$I145/12*1,IF($J145=9,-$E145*$I145/12*2,IF($J145&gt;=10,-$E145*$I145/12*3,0))))))</f>
        <v>0</v>
      </c>
      <c r="CR145" s="443">
        <f>IF($H145&lt;&gt;CS$5,0,IF(CS145&lt;0,IF(OR($J145=1,$J145=2,$J145=3,$J145=4,$J145=5,$J145=6,$J145=7,$J145=8,$J145=9,$J145=10),-$E145*$I145/12*3,IF($J145=11,-$E145*$I145/12*2,IF($J145=12,-$E145*$I145/12*1,0)))))+IF(CN$5&lt;&gt;$H145,0,IF(CN145&lt;0,IF($J145=10,-$E145*$I145/12*0,IF($J145=11,-$E145*$I145/12*1,IF($J145=12,-$E145*$I145/12*2,0)))))</f>
        <v>0</v>
      </c>
      <c r="CS145" s="440">
        <f>IF(AND(CN145&lt;&gt;0,CN$5=$H145),-$I145*$E145-CN145,IF(CS$5=$H145,-$I145*$E145*(12-$J145+1)/12,0))</f>
        <v>0</v>
      </c>
      <c r="CT145" s="441">
        <f>IF($H145&lt;&gt;CX$5,0,IF(CX145&lt;0,IF($J145=1,-$E145*$I145/12*3,IF($J145=2,-$E145*$I145/12*2,IF($J145=3,-$E145*$I145/12*1,0)))))+IF(CS$5&lt;&gt;$H145,0,IF(CS145&lt;0,IF($J145=1,-$E145*$I145/12*0,IF($J145=2,-$E145*$I145/12*1,IF($J145=3,-$E145*$I145/12*2,IF($J145&gt;=4,-$E145*$I145/12*3,0))))))</f>
        <v>0</v>
      </c>
      <c r="CU145" s="442">
        <f>IF($H145&lt;&gt;CX$5,0,IF(CX145&lt;0,IF(OR($J145=1,$J145=2,$J145=3,$J145=4),-$E145*$I145/12*3,IF($J145=5,-$E145*$I145/12*2,IF($J145=6,-$E145*$I145/12*1,0)))))+IF(CS$5&lt;&gt;$H145,0,IF(CS145&lt;0,IF($J145=4,-$E145*$I145/12*0,IF($J145=5,-$E145*$I145/12*1,IF($J145=6,-$E145*$I145/12*2,IF($J145&gt;=7,-$E145*$I145/12*3,0))))))</f>
        <v>0</v>
      </c>
      <c r="CV145" s="442">
        <f>IF($H145&lt;&gt;CX$5,0,IF(CX145&lt;0,IF(OR($J145=1,$J145=2,$J145=3,$J145=4,$J145=5,$J145=6,$J145=7),-$E145*$I145/12*3,IF($J145=8,-$E145*$I145/12*2,IF($J145=9,-$E145*$I145/12*1,0)))))+IF(CS$5&lt;&gt;$H145,0,IF(CS145&lt;0,IF($J145=7,-$E145*$I145/12*0,IF($J145=8,-$E145*$I145/12*1,IF($J145=9,-$E145*$I145/12*2,IF($J145&gt;=10,-$E145*$I145/12*3,0))))))</f>
        <v>0</v>
      </c>
      <c r="CW145" s="443">
        <f>IF($H145&lt;&gt;CX$5,0,IF(CX145&lt;0,IF(OR($J145=1,$J145=2,$J145=3,$J145=4,$J145=5,$J145=6,$J145=7,$J145=8,$J145=9,$J145=10),-$E145*$I145/12*3,IF($J145=11,-$E145*$I145/12*2,IF($J145=12,-$E145*$I145/12*1,0)))))+IF(CS$5&lt;&gt;$H145,0,IF(CS145&lt;0,IF($J145=10,-$E145*$I145/12*0,IF($J145=11,-$E145*$I145/12*1,IF($J145=12,-$E145*$I145/12*2,0)))))</f>
        <v>0</v>
      </c>
      <c r="CX145" s="440">
        <f>IF(AND(CS145&lt;&gt;0,CS$5=$H145),-$I145*$E145-CS145,IF(CX$5=$H145,-$I145*$E145*(12-$J145+1)/12,0))</f>
        <v>0</v>
      </c>
      <c r="CY145" s="441">
        <f>IF($H145&lt;&gt;DC$5,0,IF(DC145&lt;0,IF($J145=1,-$E145*$I145/12*3,IF($J145=2,-$E145*$I145/12*2,IF($J145=3,-$E145*$I145/12*1,0)))))+IF(CX$5&lt;&gt;$H145,0,IF(CX145&lt;0,IF($J145=1,-$E145*$I145/12*0,IF($J145=2,-$E145*$I145/12*1,IF($J145=3,-$E145*$I145/12*2,IF($J145&gt;=4,-$E145*$I145/12*3,0))))))</f>
        <v>0</v>
      </c>
      <c r="CZ145" s="442">
        <f>IF($H145&lt;&gt;DC$5,0,IF(DC145&lt;0,IF(OR($J145=1,$J145=2,$J145=3,$J145=4),-$E145*$I145/12*3,IF($J145=5,-$E145*$I145/12*2,IF($J145=6,-$E145*$I145/12*1,0)))))+IF(CX$5&lt;&gt;$H145,0,IF(CX145&lt;0,IF($J145=4,-$E145*$I145/12*0,IF($J145=5,-$E145*$I145/12*1,IF($J145=6,-$E145*$I145/12*2,IF($J145&gt;=7,-$E145*$I145/12*3,0))))))</f>
        <v>0</v>
      </c>
      <c r="DA145" s="442">
        <f>IF($H145&lt;&gt;DC$5,0,IF(DC145&lt;0,IF(OR($J145=1,$J145=2,$J145=3,$J145=4,$J145=5,$J145=6,$J145=7),-$E145*$I145/12*3,IF($J145=8,-$E145*$I145/12*2,IF($J145=9,-$E145*$I145/12*1,0)))))+IF(CX$5&lt;&gt;$H145,0,IF(CX145&lt;0,IF($J145=7,-$E145*$I145/12*0,IF($J145=8,-$E145*$I145/12*1,IF($J145=9,-$E145*$I145/12*2,IF($J145&gt;=10,-$E145*$I145/12*3,0))))))</f>
        <v>0</v>
      </c>
      <c r="DB145" s="443">
        <f>IF($H145&lt;&gt;DC$5,0,IF(DC145&lt;0,IF(OR($J145=1,$J145=2,$J145=3,$J145=4,$J145=5,$J145=6,$J145=7,$J145=8,$J145=9,$J145=10),-$E145*$I145/12*3,IF($J145=11,-$E145*$I145/12*2,IF($J145=12,-$E145*$I145/12*1,0)))))+IF(CX$5&lt;&gt;$H145,0,IF(CX145&lt;0,IF($J145=10,-$E145*$I145/12*0,IF($J145=11,-$E145*$I145/12*1,IF($J145=12,-$E145*$I145/12*2,0)))))</f>
        <v>0</v>
      </c>
      <c r="DC145" s="440">
        <f>IF(AND(CX145&lt;&gt;0,CX$5=$H145),-$I145*$E145-CX145,IF(DC$5=$H145,-$I145*$E145*(12-$J145+1)/12,0))</f>
        <v>0</v>
      </c>
      <c r="DD145" s="441">
        <f>IF($H145&lt;&gt;DH$5,0,IF(DH145&lt;0,IF($J145=1,-$E145*$I145/12*3,IF($J145=2,-$E145*$I145/12*2,IF($J145=3,-$E145*$I145/12*1,0)))))+IF(DC$5&lt;&gt;$H145,0,IF(DC145&lt;0,IF($J145=1,-$E145*$I145/12*0,IF($J145=2,-$E145*$I145/12*1,IF($J145=3,-$E145*$I145/12*2,IF($J145&gt;=4,-$E145*$I145/12*3,0))))))</f>
        <v>0</v>
      </c>
      <c r="DE145" s="442">
        <f>IF($H145&lt;&gt;DH$5,0,IF(DH145&lt;0,IF(OR($J145=1,$J145=2,$J145=3,$J145=4),-$E145*$I145/12*3,IF($J145=5,-$E145*$I145/12*2,IF($J145=6,-$E145*$I145/12*1,0)))))+IF(DC$5&lt;&gt;$H145,0,IF(DC145&lt;0,IF($J145=4,-$E145*$I145/12*0,IF($J145=5,-$E145*$I145/12*1,IF($J145=6,-$E145*$I145/12*2,IF($J145&gt;=7,-$E145*$I145/12*3,0))))))</f>
        <v>0</v>
      </c>
      <c r="DF145" s="442">
        <f>IF($H145&lt;&gt;DH$5,0,IF(DH145&lt;0,IF(OR($J145=1,$J145=2,$J145=3,$J145=4,$J145=5,$J145=6,$J145=7),-$E145*$I145/12*3,IF($J145=8,-$E145*$I145/12*2,IF($J145=9,-$E145*$I145/12*1,0)))))+IF(DC$5&lt;&gt;$H145,0,IF(DC145&lt;0,IF($J145=7,-$E145*$I145/12*0,IF($J145=8,-$E145*$I145/12*1,IF($J145=9,-$E145*$I145/12*2,IF($J145&gt;=10,-$E145*$I145/12*3,0))))))</f>
        <v>0</v>
      </c>
      <c r="DG145" s="443">
        <f>IF($H145&lt;&gt;DH$5,0,IF(DH145&lt;0,IF(OR($J145=1,$J145=2,$J145=3,$J145=4,$J145=5,$J145=6,$J145=7,$J145=8,$J145=9,$J145=10),-$E145*$I145/12*3,IF($J145=11,-$E145*$I145/12*2,IF($J145=12,-$E145*$I145/12*1,0)))))+IF(DC$5&lt;&gt;$H145,0,IF(DC145&lt;0,IF($J145=10,-$E145*$I145/12*0,IF($J145=11,-$E145*$I145/12*1,IF($J145=12,-$E145*$I145/12*2,0)))))</f>
        <v>0</v>
      </c>
      <c r="DH145" s="440">
        <f>IF(AND(DC145&lt;&gt;0,DC$5=$H145),-$I145*$E145-DC145,IF(DH$5=$H145,-$I145*$E145*(12-$J145+1)/12,0))</f>
        <v>0</v>
      </c>
      <c r="DI145" s="441">
        <f>IF($H145&lt;&gt;DM$5,0,IF(DM145&lt;0,IF($J145=1,-$E145*$I145/12*3,IF($J145=2,-$E145*$I145/12*2,IF($J145=3,-$E145*$I145/12*1,0)))))+IF(DH$5&lt;&gt;$H145,0,IF(DH145&lt;0,IF($J145=1,-$E145*$I145/12*0,IF($J145=2,-$E145*$I145/12*1,IF($J145=3,-$E145*$I145/12*2,IF($J145&gt;=4,-$E145*$I145/12*3,0))))))</f>
        <v>0</v>
      </c>
      <c r="DJ145" s="442">
        <f>IF($H145&lt;&gt;DM$5,0,IF(DM145&lt;0,IF(OR($J145=1,$J145=2,$J145=3,$J145=4),-$E145*$I145/12*3,IF($J145=5,-$E145*$I145/12*2,IF($J145=6,-$E145*$I145/12*1,0)))))+IF(DH$5&lt;&gt;$H145,0,IF(DH145&lt;0,IF($J145=4,-$E145*$I145/12*0,IF($J145=5,-$E145*$I145/12*1,IF($J145=6,-$E145*$I145/12*2,IF($J145&gt;=7,-$E145*$I145/12*3,0))))))</f>
        <v>0</v>
      </c>
      <c r="DK145" s="442">
        <f>IF($H145&lt;&gt;DM$5,0,IF(DM145&lt;0,IF(OR($J145=1,$J145=2,$J145=3,$J145=4,$J145=5,$J145=6,$J145=7),-$E145*$I145/12*3,IF($J145=8,-$E145*$I145/12*2,IF($J145=9,-$E145*$I145/12*1,0)))))+IF(DH$5&lt;&gt;$H145,0,IF(DH145&lt;0,IF($J145=7,-$E145*$I145/12*0,IF($J145=8,-$E145*$I145/12*1,IF($J145=9,-$E145*$I145/12*2,IF($J145&gt;=10,-$E145*$I145/12*3,0))))))</f>
        <v>0</v>
      </c>
      <c r="DL145" s="443">
        <f>IF($H145&lt;&gt;DM$5,0,IF(DM145&lt;0,IF(OR($J145=1,$J145=2,$J145=3,$J145=4,$J145=5,$J145=6,$J145=7,$J145=8,$J145=9,$J145=10),-$E145*$I145/12*3,IF($J145=11,-$E145*$I145/12*2,IF($J145=12,-$E145*$I145/12*1,0)))))+IF(DH$5&lt;&gt;$H145,0,IF(DH145&lt;0,IF($J145=10,-$E145*$I145/12*0,IF($J145=11,-$E145*$I145/12*1,IF($J145=12,-$E145*$I145/12*2,0)))))</f>
        <v>0</v>
      </c>
      <c r="DM145" s="440">
        <f>IF(AND(DH145&lt;&gt;0,DH$5=$H145),-$I145*$E145-DH145,IF(DM$5=$H145,-$I145*$E145*(12-$J145+1)/12,0))</f>
        <v>0</v>
      </c>
      <c r="DN145" s="441">
        <f>IF($H145&lt;&gt;DR$5,0,IF(DR145&lt;0,IF($J145=1,-$E145*$I145/12*3,IF($J145=2,-$E145*$I145/12*2,IF($J145=3,-$E145*$I145/12*1,0)))))+IF(DM$5&lt;&gt;$H145,0,IF(DM145&lt;0,IF($J145=1,-$E145*$I145/12*0,IF($J145=2,-$E145*$I145/12*1,IF($J145=3,-$E145*$I145/12*2,IF($J145&gt;=4,-$E145*$I145/12*3,0))))))</f>
        <v>0</v>
      </c>
      <c r="DO145" s="442">
        <f>IF($H145&lt;&gt;DR$5,0,IF(DR145&lt;0,IF(OR($J145=1,$J145=2,$J145=3,$J145=4),-$E145*$I145/12*3,IF($J145=5,-$E145*$I145/12*2,IF($J145=6,-$E145*$I145/12*1,0)))))+IF(DM$5&lt;&gt;$H145,0,IF(DM145&lt;0,IF($J145=4,-$E145*$I145/12*0,IF($J145=5,-$E145*$I145/12*1,IF($J145=6,-$E145*$I145/12*2,IF($J145&gt;=7,-$E145*$I145/12*3,0))))))</f>
        <v>0</v>
      </c>
      <c r="DP145" s="442">
        <f>IF($H145&lt;&gt;DR$5,0,IF(DR145&lt;0,IF(OR($J145=1,$J145=2,$J145=3,$J145=4,$J145=5,$J145=6,$J145=7),-$E145*$I145/12*3,IF($J145=8,-$E145*$I145/12*2,IF($J145=9,-$E145*$I145/12*1,0)))))+IF(DM$5&lt;&gt;$H145,0,IF(DM145&lt;0,IF($J145=7,-$E145*$I145/12*0,IF($J145=8,-$E145*$I145/12*1,IF($J145=9,-$E145*$I145/12*2,IF($J145&gt;=10,-$E145*$I145/12*3,0))))))</f>
        <v>0</v>
      </c>
      <c r="DQ145" s="443">
        <f>IF($H145&lt;&gt;DR$5,0,IF(DR145&lt;0,IF(OR($J145=1,$J145=2,$J145=3,$J145=4,$J145=5,$J145=6,$J145=7,$J145=8,$J145=9,$J145=10),-$E145*$I145/12*3,IF($J145=11,-$E145*$I145/12*2,IF($J145=12,-$E145*$I145/12*1,0)))))+IF(DM$5&lt;&gt;$H145,0,IF(DM145&lt;0,IF($J145=10,-$E145*$I145/12*0,IF($J145=11,-$E145*$I145/12*1,IF($J145=12,-$E145*$I145/12*2,0)))))</f>
        <v>0</v>
      </c>
      <c r="DR145" s="440">
        <f>IF(AND(DM145&lt;&gt;0,DM$5=$H145),-$I145*$E145-DM145,IF(DR$5=$H145,-$I145*$E145*(12-$J145+1)/12,0))</f>
        <v>0</v>
      </c>
    </row>
    <row r="146" spans="1:122" ht="12.75" customHeight="1">
      <c r="A146" s="92"/>
      <c r="B146" s="92"/>
      <c r="C146" s="1123" t="s">
        <v>709</v>
      </c>
      <c r="D146" s="395"/>
      <c r="E146" s="188">
        <f t="shared" ref="E146:E149" si="1853">IF(F146=0,G146,F146)</f>
        <v>130</v>
      </c>
      <c r="F146" s="1945">
        <v>0</v>
      </c>
      <c r="G146" s="1945">
        <v>130</v>
      </c>
      <c r="H146" s="1366">
        <v>2017</v>
      </c>
      <c r="I146" s="1367">
        <v>5.7000000000000002E-2</v>
      </c>
      <c r="J146" s="1357">
        <v>9</v>
      </c>
      <c r="K146" s="549"/>
      <c r="L146" s="441">
        <f t="shared" si="1798"/>
        <v>0</v>
      </c>
      <c r="M146" s="442">
        <f t="shared" si="1799"/>
        <v>0</v>
      </c>
      <c r="N146" s="442">
        <f t="shared" si="1800"/>
        <v>0</v>
      </c>
      <c r="O146" s="443">
        <f t="shared" si="1801"/>
        <v>0</v>
      </c>
      <c r="P146" s="440">
        <f t="shared" si="1802"/>
        <v>0</v>
      </c>
      <c r="Q146" s="441">
        <f t="shared" si="1803"/>
        <v>0</v>
      </c>
      <c r="R146" s="442">
        <f t="shared" si="1804"/>
        <v>0</v>
      </c>
      <c r="S146" s="442">
        <f t="shared" si="1805"/>
        <v>0</v>
      </c>
      <c r="T146" s="443">
        <f t="shared" si="1806"/>
        <v>0</v>
      </c>
      <c r="U146" s="440">
        <f t="shared" si="1807"/>
        <v>0</v>
      </c>
      <c r="V146" s="441">
        <f t="shared" si="1808"/>
        <v>0</v>
      </c>
      <c r="W146" s="442">
        <f t="shared" si="1809"/>
        <v>0</v>
      </c>
      <c r="X146" s="442">
        <f t="shared" si="1810"/>
        <v>0</v>
      </c>
      <c r="Y146" s="443">
        <f t="shared" si="1811"/>
        <v>0</v>
      </c>
      <c r="Z146" s="440">
        <f t="shared" si="1812"/>
        <v>0</v>
      </c>
      <c r="AA146" s="441">
        <f t="shared" si="1813"/>
        <v>0</v>
      </c>
      <c r="AB146" s="442">
        <f t="shared" si="1814"/>
        <v>0</v>
      </c>
      <c r="AC146" s="442">
        <f t="shared" si="1815"/>
        <v>0</v>
      </c>
      <c r="AD146" s="443">
        <f t="shared" si="1816"/>
        <v>0</v>
      </c>
      <c r="AE146" s="440">
        <f t="shared" si="1817"/>
        <v>0</v>
      </c>
      <c r="AF146" s="441">
        <f t="shared" si="1818"/>
        <v>0</v>
      </c>
      <c r="AG146" s="442">
        <f t="shared" si="1819"/>
        <v>0</v>
      </c>
      <c r="AH146" s="442">
        <f t="shared" si="1820"/>
        <v>0</v>
      </c>
      <c r="AI146" s="443">
        <f t="shared" si="1821"/>
        <v>0</v>
      </c>
      <c r="AJ146" s="440">
        <f t="shared" si="1822"/>
        <v>0</v>
      </c>
      <c r="AK146" s="441">
        <f t="shared" si="1823"/>
        <v>0</v>
      </c>
      <c r="AL146" s="442">
        <f t="shared" si="1824"/>
        <v>0</v>
      </c>
      <c r="AM146" s="442">
        <f t="shared" si="1825"/>
        <v>0</v>
      </c>
      <c r="AN146" s="443">
        <f t="shared" si="1826"/>
        <v>0</v>
      </c>
      <c r="AO146" s="440">
        <f t="shared" si="1827"/>
        <v>0</v>
      </c>
      <c r="AP146" s="441">
        <f t="shared" si="1828"/>
        <v>0</v>
      </c>
      <c r="AQ146" s="442">
        <f t="shared" si="1829"/>
        <v>0</v>
      </c>
      <c r="AR146" s="442">
        <f t="shared" si="1830"/>
        <v>-130</v>
      </c>
      <c r="AS146" s="443">
        <f t="shared" si="1831"/>
        <v>0</v>
      </c>
      <c r="AT146" s="440">
        <f t="shared" si="1832"/>
        <v>-130</v>
      </c>
      <c r="AU146" s="441">
        <f t="shared" si="1833"/>
        <v>0</v>
      </c>
      <c r="AV146" s="442">
        <f t="shared" si="1834"/>
        <v>0</v>
      </c>
      <c r="AW146" s="442">
        <f t="shared" si="1835"/>
        <v>0</v>
      </c>
      <c r="AX146" s="443">
        <f t="shared" si="1836"/>
        <v>0</v>
      </c>
      <c r="AY146" s="440">
        <f t="shared" si="1837"/>
        <v>0</v>
      </c>
      <c r="AZ146" s="441">
        <f t="shared" si="1838"/>
        <v>0</v>
      </c>
      <c r="BA146" s="442">
        <f t="shared" si="1839"/>
        <v>0</v>
      </c>
      <c r="BB146" s="442">
        <f t="shared" si="1840"/>
        <v>0</v>
      </c>
      <c r="BC146" s="443">
        <f t="shared" si="1841"/>
        <v>0</v>
      </c>
      <c r="BD146" s="440">
        <f t="shared" si="1842"/>
        <v>0</v>
      </c>
      <c r="BE146" s="441">
        <f t="shared" si="1843"/>
        <v>0</v>
      </c>
      <c r="BF146" s="442">
        <f t="shared" si="1844"/>
        <v>0</v>
      </c>
      <c r="BG146" s="442">
        <f t="shared" si="1845"/>
        <v>0</v>
      </c>
      <c r="BH146" s="443">
        <f t="shared" si="1846"/>
        <v>0</v>
      </c>
      <c r="BI146" s="440">
        <f t="shared" si="1847"/>
        <v>0</v>
      </c>
      <c r="BJ146" s="441">
        <f t="shared" si="1848"/>
        <v>0</v>
      </c>
      <c r="BK146" s="442">
        <f t="shared" si="1849"/>
        <v>0</v>
      </c>
      <c r="BL146" s="442">
        <f t="shared" si="1850"/>
        <v>0</v>
      </c>
      <c r="BM146" s="443">
        <f t="shared" si="1851"/>
        <v>0</v>
      </c>
      <c r="BN146" s="440">
        <f t="shared" si="1852"/>
        <v>0</v>
      </c>
      <c r="BO146" s="470"/>
      <c r="BP146" s="441">
        <f t="shared" ref="BP146:BP149" si="1854">IF($H146&lt;&gt;BT$5,0,IF(BT146&lt;0,IF($J146=1,-$E146*$I146/12*3,IF($J146=2,-$E146*$I146/12*2,IF($J146=3,-$E146*$I146/12*1,0)))))+IF(BO$5&lt;&gt;$H146,0,IF(BO146&lt;0,IF($J146=1,-$E146*$I146/12*0,IF($J146=2,-$E146*$I146/12*1,IF($J146=3,-$E146*$I146/12*2,IF($J146&gt;=4,-$E146*$I146/12*3,0))))))</f>
        <v>0</v>
      </c>
      <c r="BQ146" s="442">
        <f t="shared" ref="BQ146:BQ149" si="1855">IF($H146&lt;&gt;BT$5,0,IF(BT146&lt;0,IF(OR($J146=1,$J146=2,$J146=3,$J146=4),-$E146*$I146/12*3,IF($J146=5,-$E146*$I146/12*2,IF($J146=6,-$E146*$I146/12*1,0)))))+IF(BO$5&lt;&gt;$H146,0,IF(BO146&lt;0,IF($J146=4,-$E146*$I146/12*0,IF($J146=5,-$E146*$I146/12*1,IF($J146=6,-$E146*$I146/12*2,IF($J146&gt;=7,-$E146*$I146/12*3,0))))))</f>
        <v>0</v>
      </c>
      <c r="BR146" s="442">
        <f t="shared" ref="BR146:BR149" si="1856">IF($H146&lt;&gt;BT$5,0,IF(BT146&lt;0,IF(OR($J146=1,$J146=2,$J146=3,$J146=4,$J146=5,$J146=6,$J146=7),-$E146*$I146/12*3,IF($J146=8,-$E146*$I146/12*2,IF($J146=9,-$E146*$I146/12*1,0)))))+IF(BO$5&lt;&gt;$H146,0,IF(BO146&lt;0,IF($J146=7,-$E146*$I146/12*0,IF($J146=8,-$E146*$I146/12*1,IF($J146=9,-$E146*$I146/12*2,IF($J146&gt;=10,-$E146*$I146/12*3,0))))))</f>
        <v>0</v>
      </c>
      <c r="BS146" s="443">
        <f t="shared" ref="BS146:BS149" si="1857">IF($H146&lt;&gt;BT$5,0,IF(BT146&lt;0,IF(OR($J146=1,$J146=2,$J146=3,$J146=4,$J146=5,$J146=6,$J146=7,$J146=8,$J146=9,$J146=10),-$E146*$I146/12*3,IF($J146=11,-$E146*$I146/12*2,IF($J146=12,-$E146*$I146/12*1,0)))))+IF(BO$5&lt;&gt;$H146,0,IF(BO146&lt;0,IF($J146=10,-$E146*$I146/12*0,IF($J146=11,-$E146*$I146/12*1,IF($J146=12,-$E146*$I146/12*2,0)))))</f>
        <v>0</v>
      </c>
      <c r="BT146" s="440">
        <f t="shared" ref="BT146:BT149" si="1858">IF(AND(BO146&lt;&gt;0,BO$5=$H146),-$I146*$E146-BO146,IF(BT$5=$H146,-$I146*$E146*(12-$J146+1)/12,0))</f>
        <v>0</v>
      </c>
      <c r="BU146" s="441">
        <f t="shared" ref="BU146:BU149" si="1859">IF($H146&lt;&gt;BY$5,0,IF(BY146&lt;0,IF($J146=1,-$E146*$I146/12*3,IF($J146=2,-$E146*$I146/12*2,IF($J146=3,-$E146*$I146/12*1,0)))))+IF(BT$5&lt;&gt;$H146,0,IF(BT146&lt;0,IF($J146=1,-$E146*$I146/12*0,IF($J146=2,-$E146*$I146/12*1,IF($J146=3,-$E146*$I146/12*2,IF($J146&gt;=4,-$E146*$I146/12*3,0))))))</f>
        <v>0</v>
      </c>
      <c r="BV146" s="442">
        <f t="shared" ref="BV146:BV149" si="1860">IF($H146&lt;&gt;BY$5,0,IF(BY146&lt;0,IF(OR($J146=1,$J146=2,$J146=3,$J146=4),-$E146*$I146/12*3,IF($J146=5,-$E146*$I146/12*2,IF($J146=6,-$E146*$I146/12*1,0)))))+IF(BT$5&lt;&gt;$H146,0,IF(BT146&lt;0,IF($J146=4,-$E146*$I146/12*0,IF($J146=5,-$E146*$I146/12*1,IF($J146=6,-$E146*$I146/12*2,IF($J146&gt;=7,-$E146*$I146/12*3,0))))))</f>
        <v>0</v>
      </c>
      <c r="BW146" s="442">
        <f t="shared" ref="BW146:BW149" si="1861">IF($H146&lt;&gt;BY$5,0,IF(BY146&lt;0,IF(OR($J146=1,$J146=2,$J146=3,$J146=4,$J146=5,$J146=6,$J146=7),-$E146*$I146/12*3,IF($J146=8,-$E146*$I146/12*2,IF($J146=9,-$E146*$I146/12*1,0)))))+IF(BT$5&lt;&gt;$H146,0,IF(BT146&lt;0,IF($J146=7,-$E146*$I146/12*0,IF($J146=8,-$E146*$I146/12*1,IF($J146=9,-$E146*$I146/12*2,IF($J146&gt;=10,-$E146*$I146/12*3,0))))))</f>
        <v>0</v>
      </c>
      <c r="BX146" s="443">
        <f t="shared" ref="BX146:BX149" si="1862">IF($H146&lt;&gt;BY$5,0,IF(BY146&lt;0,IF(OR($J146=1,$J146=2,$J146=3,$J146=4,$J146=5,$J146=6,$J146=7,$J146=8,$J146=9,$J146=10),-$E146*$I146/12*3,IF($J146=11,-$E146*$I146/12*2,IF($J146=12,-$E146*$I146/12*1,0)))))+IF(BT$5&lt;&gt;$H146,0,IF(BT146&lt;0,IF($J146=10,-$E146*$I146/12*0,IF($J146=11,-$E146*$I146/12*1,IF($J146=12,-$E146*$I146/12*2,0)))))</f>
        <v>0</v>
      </c>
      <c r="BY146" s="440">
        <f t="shared" ref="BY146:BY149" si="1863">IF(AND(BT146&lt;&gt;0,BT$5=$H146),-$I146*$E146-BT146,IF(BY$5=$H146,-$I146*$E146*(12-$J146+1)/12,0))</f>
        <v>0</v>
      </c>
      <c r="BZ146" s="441">
        <f t="shared" ref="BZ146:BZ149" si="1864">IF($H146&lt;&gt;CD$5,0,IF(CD146&lt;0,IF($J146=1,-$E146*$I146/12*3,IF($J146=2,-$E146*$I146/12*2,IF($J146=3,-$E146*$I146/12*1,0)))))+IF(BY$5&lt;&gt;$H146,0,IF(BY146&lt;0,IF($J146=1,-$E146*$I146/12*0,IF($J146=2,-$E146*$I146/12*1,IF($J146=3,-$E146*$I146/12*2,IF($J146&gt;=4,-$E146*$I146/12*3,0))))))</f>
        <v>0</v>
      </c>
      <c r="CA146" s="442">
        <f t="shared" ref="CA146:CA149" si="1865">IF($H146&lt;&gt;CD$5,0,IF(CD146&lt;0,IF(OR($J146=1,$J146=2,$J146=3,$J146=4),-$E146*$I146/12*3,IF($J146=5,-$E146*$I146/12*2,IF($J146=6,-$E146*$I146/12*1,0)))))+IF(BY$5&lt;&gt;$H146,0,IF(BY146&lt;0,IF($J146=4,-$E146*$I146/12*0,IF($J146=5,-$E146*$I146/12*1,IF($J146=6,-$E146*$I146/12*2,IF($J146&gt;=7,-$E146*$I146/12*3,0))))))</f>
        <v>0</v>
      </c>
      <c r="CB146" s="442">
        <f t="shared" ref="CB146:CB149" si="1866">IF($H146&lt;&gt;CD$5,0,IF(CD146&lt;0,IF(OR($J146=1,$J146=2,$J146=3,$J146=4,$J146=5,$J146=6,$J146=7),-$E146*$I146/12*3,IF($J146=8,-$E146*$I146/12*2,IF($J146=9,-$E146*$I146/12*1,0)))))+IF(BY$5&lt;&gt;$H146,0,IF(BY146&lt;0,IF($J146=7,-$E146*$I146/12*0,IF($J146=8,-$E146*$I146/12*1,IF($J146=9,-$E146*$I146/12*2,IF($J146&gt;=10,-$E146*$I146/12*3,0))))))</f>
        <v>0</v>
      </c>
      <c r="CC146" s="443">
        <f t="shared" ref="CC146:CC149" si="1867">IF($H146&lt;&gt;CD$5,0,IF(CD146&lt;0,IF(OR($J146=1,$J146=2,$J146=3,$J146=4,$J146=5,$J146=6,$J146=7,$J146=8,$J146=9,$J146=10),-$E146*$I146/12*3,IF($J146=11,-$E146*$I146/12*2,IF($J146=12,-$E146*$I146/12*1,0)))))+IF(BY$5&lt;&gt;$H146,0,IF(BY146&lt;0,IF($J146=10,-$E146*$I146/12*0,IF($J146=11,-$E146*$I146/12*1,IF($J146=12,-$E146*$I146/12*2,0)))))</f>
        <v>0</v>
      </c>
      <c r="CD146" s="440">
        <f t="shared" ref="CD146:CD149" si="1868">IF(AND(BY146&lt;&gt;0,BY$5=$H146),-$I146*$E146-BY146,IF(CD$5=$H146,-$I146*$E146*(12-$J146+1)/12,0))</f>
        <v>0</v>
      </c>
      <c r="CE146" s="441">
        <f t="shared" ref="CE146:CE149" si="1869">IF($H146&lt;&gt;CI$5,0,IF(CI146&lt;0,IF($J146=1,-$E146*$I146/12*3,IF($J146=2,-$E146*$I146/12*2,IF($J146=3,-$E146*$I146/12*1,0)))))+IF(CD$5&lt;&gt;$H146,0,IF(CD146&lt;0,IF($J146=1,-$E146*$I146/12*0,IF($J146=2,-$E146*$I146/12*1,IF($J146=3,-$E146*$I146/12*2,IF($J146&gt;=4,-$E146*$I146/12*3,0))))))</f>
        <v>0</v>
      </c>
      <c r="CF146" s="442">
        <f t="shared" ref="CF146:CF149" si="1870">IF($H146&lt;&gt;CI$5,0,IF(CI146&lt;0,IF(OR($J146=1,$J146=2,$J146=3,$J146=4),-$E146*$I146/12*3,IF($J146=5,-$E146*$I146/12*2,IF($J146=6,-$E146*$I146/12*1,0)))))+IF(CD$5&lt;&gt;$H146,0,IF(CD146&lt;0,IF($J146=4,-$E146*$I146/12*0,IF($J146=5,-$E146*$I146/12*1,IF($J146=6,-$E146*$I146/12*2,IF($J146&gt;=7,-$E146*$I146/12*3,0))))))</f>
        <v>0</v>
      </c>
      <c r="CG146" s="442">
        <f t="shared" ref="CG146:CG149" si="1871">IF($H146&lt;&gt;CI$5,0,IF(CI146&lt;0,IF(OR($J146=1,$J146=2,$J146=3,$J146=4,$J146=5,$J146=6,$J146=7),-$E146*$I146/12*3,IF($J146=8,-$E146*$I146/12*2,IF($J146=9,-$E146*$I146/12*1,0)))))+IF(CD$5&lt;&gt;$H146,0,IF(CD146&lt;0,IF($J146=7,-$E146*$I146/12*0,IF($J146=8,-$E146*$I146/12*1,IF($J146=9,-$E146*$I146/12*2,IF($J146&gt;=10,-$E146*$I146/12*3,0))))))</f>
        <v>0</v>
      </c>
      <c r="CH146" s="443">
        <f t="shared" ref="CH146:CH149" si="1872">IF($H146&lt;&gt;CI$5,0,IF(CI146&lt;0,IF(OR($J146=1,$J146=2,$J146=3,$J146=4,$J146=5,$J146=6,$J146=7,$J146=8,$J146=9,$J146=10),-$E146*$I146/12*3,IF($J146=11,-$E146*$I146/12*2,IF($J146=12,-$E146*$I146/12*1,0)))))+IF(CD$5&lt;&gt;$H146,0,IF(CD146&lt;0,IF($J146=10,-$E146*$I146/12*0,IF($J146=11,-$E146*$I146/12*1,IF($J146=12,-$E146*$I146/12*2,0)))))</f>
        <v>0</v>
      </c>
      <c r="CI146" s="440">
        <f t="shared" ref="CI146:CI149" si="1873">IF(AND(CD146&lt;&gt;0,CD$5=$H146),-$I146*$E146-CD146,IF(CI$5=$H146,-$I146*$E146*(12-$J146+1)/12,0))</f>
        <v>0</v>
      </c>
      <c r="CJ146" s="441">
        <f t="shared" ref="CJ146:CJ149" si="1874">IF($H146&lt;&gt;CN$5,0,IF(CN146&lt;0,IF($J146=1,-$E146*$I146/12*3,IF($J146=2,-$E146*$I146/12*2,IF($J146=3,-$E146*$I146/12*1,0)))))+IF(CI$5&lt;&gt;$H146,0,IF(CI146&lt;0,IF($J146=1,-$E146*$I146/12*0,IF($J146=2,-$E146*$I146/12*1,IF($J146=3,-$E146*$I146/12*2,IF($J146&gt;=4,-$E146*$I146/12*3,0))))))</f>
        <v>0</v>
      </c>
      <c r="CK146" s="442">
        <f t="shared" ref="CK146:CK149" si="1875">IF($H146&lt;&gt;CN$5,0,IF(CN146&lt;0,IF(OR($J146=1,$J146=2,$J146=3,$J146=4),-$E146*$I146/12*3,IF($J146=5,-$E146*$I146/12*2,IF($J146=6,-$E146*$I146/12*1,0)))))+IF(CI$5&lt;&gt;$H146,0,IF(CI146&lt;0,IF($J146=4,-$E146*$I146/12*0,IF($J146=5,-$E146*$I146/12*1,IF($J146=6,-$E146*$I146/12*2,IF($J146&gt;=7,-$E146*$I146/12*3,0))))))</f>
        <v>0</v>
      </c>
      <c r="CL146" s="442">
        <f t="shared" ref="CL146:CL149" si="1876">IF($H146&lt;&gt;CN$5,0,IF(CN146&lt;0,IF(OR($J146=1,$J146=2,$J146=3,$J146=4,$J146=5,$J146=6,$J146=7),-$E146*$I146/12*3,IF($J146=8,-$E146*$I146/12*2,IF($J146=9,-$E146*$I146/12*1,0)))))+IF(CI$5&lt;&gt;$H146,0,IF(CI146&lt;0,IF($J146=7,-$E146*$I146/12*0,IF($J146=8,-$E146*$I146/12*1,IF($J146=9,-$E146*$I146/12*2,IF($J146&gt;=10,-$E146*$I146/12*3,0))))))</f>
        <v>0</v>
      </c>
      <c r="CM146" s="443">
        <f t="shared" ref="CM146:CM149" si="1877">IF($H146&lt;&gt;CN$5,0,IF(CN146&lt;0,IF(OR($J146=1,$J146=2,$J146=3,$J146=4,$J146=5,$J146=6,$J146=7,$J146=8,$J146=9,$J146=10),-$E146*$I146/12*3,IF($J146=11,-$E146*$I146/12*2,IF($J146=12,-$E146*$I146/12*1,0)))))+IF(CI$5&lt;&gt;$H146,0,IF(CI146&lt;0,IF($J146=10,-$E146*$I146/12*0,IF($J146=11,-$E146*$I146/12*1,IF($J146=12,-$E146*$I146/12*2,0)))))</f>
        <v>0</v>
      </c>
      <c r="CN146" s="440">
        <f t="shared" ref="CN146:CN149" si="1878">IF(AND(CI146&lt;&gt;0,CI$5=$H146),-$I146*$E146-CI146,IF(CN$5=$H146,-$I146*$E146*(12-$J146+1)/12,0))</f>
        <v>0</v>
      </c>
      <c r="CO146" s="441">
        <f t="shared" ref="CO146:CO149" si="1879">IF($H146&lt;&gt;CS$5,0,IF(CS146&lt;0,IF($J146=1,-$E146*$I146/12*3,IF($J146=2,-$E146*$I146/12*2,IF($J146=3,-$E146*$I146/12*1,0)))))+IF(CN$5&lt;&gt;$H146,0,IF(CN146&lt;0,IF($J146=1,-$E146*$I146/12*0,IF($J146=2,-$E146*$I146/12*1,IF($J146=3,-$E146*$I146/12*2,IF($J146&gt;=4,-$E146*$I146/12*3,0))))))</f>
        <v>0</v>
      </c>
      <c r="CP146" s="442">
        <f t="shared" ref="CP146:CP149" si="1880">IF($H146&lt;&gt;CS$5,0,IF(CS146&lt;0,IF(OR($J146=1,$J146=2,$J146=3,$J146=4),-$E146*$I146/12*3,IF($J146=5,-$E146*$I146/12*2,IF($J146=6,-$E146*$I146/12*1,0)))))+IF(CN$5&lt;&gt;$H146,0,IF(CN146&lt;0,IF($J146=4,-$E146*$I146/12*0,IF($J146=5,-$E146*$I146/12*1,IF($J146=6,-$E146*$I146/12*2,IF($J146&gt;=7,-$E146*$I146/12*3,0))))))</f>
        <v>0</v>
      </c>
      <c r="CQ146" s="442">
        <f t="shared" ref="CQ146:CQ149" si="1881">IF($H146&lt;&gt;CS$5,0,IF(CS146&lt;0,IF(OR($J146=1,$J146=2,$J146=3,$J146=4,$J146=5,$J146=6,$J146=7),-$E146*$I146/12*3,IF($J146=8,-$E146*$I146/12*2,IF($J146=9,-$E146*$I146/12*1,0)))))+IF(CN$5&lt;&gt;$H146,0,IF(CN146&lt;0,IF($J146=7,-$E146*$I146/12*0,IF($J146=8,-$E146*$I146/12*1,IF($J146=9,-$E146*$I146/12*2,IF($J146&gt;=10,-$E146*$I146/12*3,0))))))</f>
        <v>0</v>
      </c>
      <c r="CR146" s="443">
        <f t="shared" ref="CR146:CR149" si="1882">IF($H146&lt;&gt;CS$5,0,IF(CS146&lt;0,IF(OR($J146=1,$J146=2,$J146=3,$J146=4,$J146=5,$J146=6,$J146=7,$J146=8,$J146=9,$J146=10),-$E146*$I146/12*3,IF($J146=11,-$E146*$I146/12*2,IF($J146=12,-$E146*$I146/12*1,0)))))+IF(CN$5&lt;&gt;$H146,0,IF(CN146&lt;0,IF($J146=10,-$E146*$I146/12*0,IF($J146=11,-$E146*$I146/12*1,IF($J146=12,-$E146*$I146/12*2,0)))))</f>
        <v>0</v>
      </c>
      <c r="CS146" s="440">
        <f t="shared" ref="CS146:CS149" si="1883">IF(AND(CN146&lt;&gt;0,CN$5=$H146),-$I146*$E146-CN146,IF(CS$5=$H146,-$I146*$E146*(12-$J146+1)/12,0))</f>
        <v>0</v>
      </c>
      <c r="CT146" s="441">
        <f t="shared" ref="CT146:CT149" si="1884">IF($H146&lt;&gt;CX$5,0,IF(CX146&lt;0,IF($J146=1,-$E146*$I146/12*3,IF($J146=2,-$E146*$I146/12*2,IF($J146=3,-$E146*$I146/12*1,0)))))+IF(CS$5&lt;&gt;$H146,0,IF(CS146&lt;0,IF($J146=1,-$E146*$I146/12*0,IF($J146=2,-$E146*$I146/12*1,IF($J146=3,-$E146*$I146/12*2,IF($J146&gt;=4,-$E146*$I146/12*3,0))))))</f>
        <v>0</v>
      </c>
      <c r="CU146" s="442">
        <f t="shared" ref="CU146:CU149" si="1885">IF($H146&lt;&gt;CX$5,0,IF(CX146&lt;0,IF(OR($J146=1,$J146=2,$J146=3,$J146=4),-$E146*$I146/12*3,IF($J146=5,-$E146*$I146/12*2,IF($J146=6,-$E146*$I146/12*1,0)))))+IF(CS$5&lt;&gt;$H146,0,IF(CS146&lt;0,IF($J146=4,-$E146*$I146/12*0,IF($J146=5,-$E146*$I146/12*1,IF($J146=6,-$E146*$I146/12*2,IF($J146&gt;=7,-$E146*$I146/12*3,0))))))</f>
        <v>0</v>
      </c>
      <c r="CV146" s="442">
        <f t="shared" ref="CV146:CV149" si="1886">IF($H146&lt;&gt;CX$5,0,IF(CX146&lt;0,IF(OR($J146=1,$J146=2,$J146=3,$J146=4,$J146=5,$J146=6,$J146=7),-$E146*$I146/12*3,IF($J146=8,-$E146*$I146/12*2,IF($J146=9,-$E146*$I146/12*1,0)))))+IF(CS$5&lt;&gt;$H146,0,IF(CS146&lt;0,IF($J146=7,-$E146*$I146/12*0,IF($J146=8,-$E146*$I146/12*1,IF($J146=9,-$E146*$I146/12*2,IF($J146&gt;=10,-$E146*$I146/12*3,0))))))</f>
        <v>-0.61750000000000005</v>
      </c>
      <c r="CW146" s="443">
        <f t="shared" ref="CW146:CW149" si="1887">IF($H146&lt;&gt;CX$5,0,IF(CX146&lt;0,IF(OR($J146=1,$J146=2,$J146=3,$J146=4,$J146=5,$J146=6,$J146=7,$J146=8,$J146=9,$J146=10),-$E146*$I146/12*3,IF($J146=11,-$E146*$I146/12*2,IF($J146=12,-$E146*$I146/12*1,0)))))+IF(CS$5&lt;&gt;$H146,0,IF(CS146&lt;0,IF($J146=10,-$E146*$I146/12*0,IF($J146=11,-$E146*$I146/12*1,IF($J146=12,-$E146*$I146/12*2,0)))))</f>
        <v>-1.8525</v>
      </c>
      <c r="CX146" s="440">
        <f t="shared" ref="CX146:CX149" si="1888">IF(AND(CS146&lt;&gt;0,CS$5=$H146),-$I146*$E146-CS146,IF(CX$5=$H146,-$I146*$E146*(12-$J146+1)/12,0))</f>
        <v>-2.4700000000000002</v>
      </c>
      <c r="CY146" s="441">
        <f t="shared" ref="CY146:CY149" si="1889">IF($H146&lt;&gt;DC$5,0,IF(DC146&lt;0,IF($J146=1,-$E146*$I146/12*3,IF($J146=2,-$E146*$I146/12*2,IF($J146=3,-$E146*$I146/12*1,0)))))+IF(CX$5&lt;&gt;$H146,0,IF(CX146&lt;0,IF($J146=1,-$E146*$I146/12*0,IF($J146=2,-$E146*$I146/12*1,IF($J146=3,-$E146*$I146/12*2,IF($J146&gt;=4,-$E146*$I146/12*3,0))))))</f>
        <v>-1.8525</v>
      </c>
      <c r="CZ146" s="442">
        <f t="shared" ref="CZ146:CZ149" si="1890">IF($H146&lt;&gt;DC$5,0,IF(DC146&lt;0,IF(OR($J146=1,$J146=2,$J146=3,$J146=4),-$E146*$I146/12*3,IF($J146=5,-$E146*$I146/12*2,IF($J146=6,-$E146*$I146/12*1,0)))))+IF(CX$5&lt;&gt;$H146,0,IF(CX146&lt;0,IF($J146=4,-$E146*$I146/12*0,IF($J146=5,-$E146*$I146/12*1,IF($J146=6,-$E146*$I146/12*2,IF($J146&gt;=7,-$E146*$I146/12*3,0))))))</f>
        <v>-1.8525</v>
      </c>
      <c r="DA146" s="442">
        <f t="shared" ref="DA146:DA149" si="1891">IF($H146&lt;&gt;DC$5,0,IF(DC146&lt;0,IF(OR($J146=1,$J146=2,$J146=3,$J146=4,$J146=5,$J146=6,$J146=7),-$E146*$I146/12*3,IF($J146=8,-$E146*$I146/12*2,IF($J146=9,-$E146*$I146/12*1,0)))))+IF(CX$5&lt;&gt;$H146,0,IF(CX146&lt;0,IF($J146=7,-$E146*$I146/12*0,IF($J146=8,-$E146*$I146/12*1,IF($J146=9,-$E146*$I146/12*2,IF($J146&gt;=10,-$E146*$I146/12*3,0))))))</f>
        <v>-1.2350000000000001</v>
      </c>
      <c r="DB146" s="443">
        <f t="shared" ref="DB146:DB149" si="1892">IF($H146&lt;&gt;DC$5,0,IF(DC146&lt;0,IF(OR($J146=1,$J146=2,$J146=3,$J146=4,$J146=5,$J146=6,$J146=7,$J146=8,$J146=9,$J146=10),-$E146*$I146/12*3,IF($J146=11,-$E146*$I146/12*2,IF($J146=12,-$E146*$I146/12*1,0)))))+IF(CX$5&lt;&gt;$H146,0,IF(CX146&lt;0,IF($J146=10,-$E146*$I146/12*0,IF($J146=11,-$E146*$I146/12*1,IF($J146=12,-$E146*$I146/12*2,0)))))</f>
        <v>0</v>
      </c>
      <c r="DC146" s="440">
        <f t="shared" ref="DC146:DC149" si="1893">IF(AND(CX146&lt;&gt;0,CX$5=$H146),-$I146*$E146-CX146,IF(DC$5=$H146,-$I146*$E146*(12-$J146+1)/12,0))</f>
        <v>-4.9399999999999995</v>
      </c>
      <c r="DD146" s="441">
        <f t="shared" ref="DD146:DD149" si="1894">IF($H146&lt;&gt;DH$5,0,IF(DH146&lt;0,IF($J146=1,-$E146*$I146/12*3,IF($J146=2,-$E146*$I146/12*2,IF($J146=3,-$E146*$I146/12*1,0)))))+IF(DC$5&lt;&gt;$H146,0,IF(DC146&lt;0,IF($J146=1,-$E146*$I146/12*0,IF($J146=2,-$E146*$I146/12*1,IF($J146=3,-$E146*$I146/12*2,IF($J146&gt;=4,-$E146*$I146/12*3,0))))))</f>
        <v>0</v>
      </c>
      <c r="DE146" s="442">
        <f t="shared" ref="DE146:DE149" si="1895">IF($H146&lt;&gt;DH$5,0,IF(DH146&lt;0,IF(OR($J146=1,$J146=2,$J146=3,$J146=4),-$E146*$I146/12*3,IF($J146=5,-$E146*$I146/12*2,IF($J146=6,-$E146*$I146/12*1,0)))))+IF(DC$5&lt;&gt;$H146,0,IF(DC146&lt;0,IF($J146=4,-$E146*$I146/12*0,IF($J146=5,-$E146*$I146/12*1,IF($J146=6,-$E146*$I146/12*2,IF($J146&gt;=7,-$E146*$I146/12*3,0))))))</f>
        <v>0</v>
      </c>
      <c r="DF146" s="442">
        <f t="shared" ref="DF146:DF149" si="1896">IF($H146&lt;&gt;DH$5,0,IF(DH146&lt;0,IF(OR($J146=1,$J146=2,$J146=3,$J146=4,$J146=5,$J146=6,$J146=7),-$E146*$I146/12*3,IF($J146=8,-$E146*$I146/12*2,IF($J146=9,-$E146*$I146/12*1,0)))))+IF(DC$5&lt;&gt;$H146,0,IF(DC146&lt;0,IF($J146=7,-$E146*$I146/12*0,IF($J146=8,-$E146*$I146/12*1,IF($J146=9,-$E146*$I146/12*2,IF($J146&gt;=10,-$E146*$I146/12*3,0))))))</f>
        <v>0</v>
      </c>
      <c r="DG146" s="443">
        <f t="shared" ref="DG146:DG149" si="1897">IF($H146&lt;&gt;DH$5,0,IF(DH146&lt;0,IF(OR($J146=1,$J146=2,$J146=3,$J146=4,$J146=5,$J146=6,$J146=7,$J146=8,$J146=9,$J146=10),-$E146*$I146/12*3,IF($J146=11,-$E146*$I146/12*2,IF($J146=12,-$E146*$I146/12*1,0)))))+IF(DC$5&lt;&gt;$H146,0,IF(DC146&lt;0,IF($J146=10,-$E146*$I146/12*0,IF($J146=11,-$E146*$I146/12*1,IF($J146=12,-$E146*$I146/12*2,0)))))</f>
        <v>0</v>
      </c>
      <c r="DH146" s="440">
        <f t="shared" ref="DH146:DH149" si="1898">IF(AND(DC146&lt;&gt;0,DC$5=$H146),-$I146*$E146-DC146,IF(DH$5=$H146,-$I146*$E146*(12-$J146+1)/12,0))</f>
        <v>0</v>
      </c>
      <c r="DI146" s="441">
        <f t="shared" ref="DI146:DI149" si="1899">IF($H146&lt;&gt;DM$5,0,IF(DM146&lt;0,IF($J146=1,-$E146*$I146/12*3,IF($J146=2,-$E146*$I146/12*2,IF($J146=3,-$E146*$I146/12*1,0)))))+IF(DH$5&lt;&gt;$H146,0,IF(DH146&lt;0,IF($J146=1,-$E146*$I146/12*0,IF($J146=2,-$E146*$I146/12*1,IF($J146=3,-$E146*$I146/12*2,IF($J146&gt;=4,-$E146*$I146/12*3,0))))))</f>
        <v>0</v>
      </c>
      <c r="DJ146" s="442">
        <f t="shared" ref="DJ146:DJ149" si="1900">IF($H146&lt;&gt;DM$5,0,IF(DM146&lt;0,IF(OR($J146=1,$J146=2,$J146=3,$J146=4),-$E146*$I146/12*3,IF($J146=5,-$E146*$I146/12*2,IF($J146=6,-$E146*$I146/12*1,0)))))+IF(DH$5&lt;&gt;$H146,0,IF(DH146&lt;0,IF($J146=4,-$E146*$I146/12*0,IF($J146=5,-$E146*$I146/12*1,IF($J146=6,-$E146*$I146/12*2,IF($J146&gt;=7,-$E146*$I146/12*3,0))))))</f>
        <v>0</v>
      </c>
      <c r="DK146" s="442">
        <f t="shared" ref="DK146:DK149" si="1901">IF($H146&lt;&gt;DM$5,0,IF(DM146&lt;0,IF(OR($J146=1,$J146=2,$J146=3,$J146=4,$J146=5,$J146=6,$J146=7),-$E146*$I146/12*3,IF($J146=8,-$E146*$I146/12*2,IF($J146=9,-$E146*$I146/12*1,0)))))+IF(DH$5&lt;&gt;$H146,0,IF(DH146&lt;0,IF($J146=7,-$E146*$I146/12*0,IF($J146=8,-$E146*$I146/12*1,IF($J146=9,-$E146*$I146/12*2,IF($J146&gt;=10,-$E146*$I146/12*3,0))))))</f>
        <v>0</v>
      </c>
      <c r="DL146" s="443">
        <f t="shared" ref="DL146:DL149" si="1902">IF($H146&lt;&gt;DM$5,0,IF(DM146&lt;0,IF(OR($J146=1,$J146=2,$J146=3,$J146=4,$J146=5,$J146=6,$J146=7,$J146=8,$J146=9,$J146=10),-$E146*$I146/12*3,IF($J146=11,-$E146*$I146/12*2,IF($J146=12,-$E146*$I146/12*1,0)))))+IF(DH$5&lt;&gt;$H146,0,IF(DH146&lt;0,IF($J146=10,-$E146*$I146/12*0,IF($J146=11,-$E146*$I146/12*1,IF($J146=12,-$E146*$I146/12*2,0)))))</f>
        <v>0</v>
      </c>
      <c r="DM146" s="440">
        <f t="shared" ref="DM146:DM149" si="1903">IF(AND(DH146&lt;&gt;0,DH$5=$H146),-$I146*$E146-DH146,IF(DM$5=$H146,-$I146*$E146*(12-$J146+1)/12,0))</f>
        <v>0</v>
      </c>
      <c r="DN146" s="441">
        <f t="shared" ref="DN146:DN149" si="1904">IF($H146&lt;&gt;DR$5,0,IF(DR146&lt;0,IF($J146=1,-$E146*$I146/12*3,IF($J146=2,-$E146*$I146/12*2,IF($J146=3,-$E146*$I146/12*1,0)))))+IF(DM$5&lt;&gt;$H146,0,IF(DM146&lt;0,IF($J146=1,-$E146*$I146/12*0,IF($J146=2,-$E146*$I146/12*1,IF($J146=3,-$E146*$I146/12*2,IF($J146&gt;=4,-$E146*$I146/12*3,0))))))</f>
        <v>0</v>
      </c>
      <c r="DO146" s="442">
        <f t="shared" ref="DO146:DO149" si="1905">IF($H146&lt;&gt;DR$5,0,IF(DR146&lt;0,IF(OR($J146=1,$J146=2,$J146=3,$J146=4),-$E146*$I146/12*3,IF($J146=5,-$E146*$I146/12*2,IF($J146=6,-$E146*$I146/12*1,0)))))+IF(DM$5&lt;&gt;$H146,0,IF(DM146&lt;0,IF($J146=4,-$E146*$I146/12*0,IF($J146=5,-$E146*$I146/12*1,IF($J146=6,-$E146*$I146/12*2,IF($J146&gt;=7,-$E146*$I146/12*3,0))))))</f>
        <v>0</v>
      </c>
      <c r="DP146" s="442">
        <f t="shared" ref="DP146:DP149" si="1906">IF($H146&lt;&gt;DR$5,0,IF(DR146&lt;0,IF(OR($J146=1,$J146=2,$J146=3,$J146=4,$J146=5,$J146=6,$J146=7),-$E146*$I146/12*3,IF($J146=8,-$E146*$I146/12*2,IF($J146=9,-$E146*$I146/12*1,0)))))+IF(DM$5&lt;&gt;$H146,0,IF(DM146&lt;0,IF($J146=7,-$E146*$I146/12*0,IF($J146=8,-$E146*$I146/12*1,IF($J146=9,-$E146*$I146/12*2,IF($J146&gt;=10,-$E146*$I146/12*3,0))))))</f>
        <v>0</v>
      </c>
      <c r="DQ146" s="443">
        <f t="shared" ref="DQ146:DQ149" si="1907">IF($H146&lt;&gt;DR$5,0,IF(DR146&lt;0,IF(OR($J146=1,$J146=2,$J146=3,$J146=4,$J146=5,$J146=6,$J146=7,$J146=8,$J146=9,$J146=10),-$E146*$I146/12*3,IF($J146=11,-$E146*$I146/12*2,IF($J146=12,-$E146*$I146/12*1,0)))))+IF(DM$5&lt;&gt;$H146,0,IF(DM146&lt;0,IF($J146=10,-$E146*$I146/12*0,IF($J146=11,-$E146*$I146/12*1,IF($J146=12,-$E146*$I146/12*2,0)))))</f>
        <v>0</v>
      </c>
      <c r="DR146" s="440">
        <f t="shared" ref="DR146:DR149" si="1908">IF(AND(DM146&lt;&gt;0,DM$5=$H146),-$I146*$E146-DM146,IF(DR$5=$H146,-$I146*$E146*(12-$J146+1)/12,0))</f>
        <v>0</v>
      </c>
    </row>
    <row r="147" spans="1:122" ht="12.75" customHeight="1">
      <c r="A147" s="92"/>
      <c r="B147" s="92"/>
      <c r="C147" s="1123" t="s">
        <v>711</v>
      </c>
      <c r="D147" s="395"/>
      <c r="E147" s="188">
        <f t="shared" si="1853"/>
        <v>300</v>
      </c>
      <c r="F147" s="1945">
        <v>0</v>
      </c>
      <c r="G147" s="1945">
        <v>300</v>
      </c>
      <c r="H147" s="1366">
        <v>2017</v>
      </c>
      <c r="I147" s="1367">
        <v>7.8799999999999995E-2</v>
      </c>
      <c r="J147" s="1357">
        <v>11</v>
      </c>
      <c r="K147" s="549"/>
      <c r="L147" s="441">
        <f t="shared" si="1798"/>
        <v>0</v>
      </c>
      <c r="M147" s="442">
        <f t="shared" si="1799"/>
        <v>0</v>
      </c>
      <c r="N147" s="442">
        <f t="shared" si="1800"/>
        <v>0</v>
      </c>
      <c r="O147" s="443">
        <f t="shared" si="1801"/>
        <v>0</v>
      </c>
      <c r="P147" s="440">
        <f t="shared" si="1802"/>
        <v>0</v>
      </c>
      <c r="Q147" s="441">
        <f t="shared" si="1803"/>
        <v>0</v>
      </c>
      <c r="R147" s="442">
        <f t="shared" si="1804"/>
        <v>0</v>
      </c>
      <c r="S147" s="442">
        <f t="shared" si="1805"/>
        <v>0</v>
      </c>
      <c r="T147" s="443">
        <f t="shared" si="1806"/>
        <v>0</v>
      </c>
      <c r="U147" s="440">
        <f t="shared" si="1807"/>
        <v>0</v>
      </c>
      <c r="V147" s="441">
        <f t="shared" si="1808"/>
        <v>0</v>
      </c>
      <c r="W147" s="442">
        <f t="shared" si="1809"/>
        <v>0</v>
      </c>
      <c r="X147" s="442">
        <f t="shared" si="1810"/>
        <v>0</v>
      </c>
      <c r="Y147" s="443">
        <f t="shared" si="1811"/>
        <v>0</v>
      </c>
      <c r="Z147" s="440">
        <f t="shared" si="1812"/>
        <v>0</v>
      </c>
      <c r="AA147" s="441">
        <f t="shared" si="1813"/>
        <v>0</v>
      </c>
      <c r="AB147" s="442">
        <f t="shared" si="1814"/>
        <v>0</v>
      </c>
      <c r="AC147" s="442">
        <f t="shared" si="1815"/>
        <v>0</v>
      </c>
      <c r="AD147" s="443">
        <f t="shared" si="1816"/>
        <v>0</v>
      </c>
      <c r="AE147" s="440">
        <f t="shared" si="1817"/>
        <v>0</v>
      </c>
      <c r="AF147" s="441">
        <f t="shared" si="1818"/>
        <v>0</v>
      </c>
      <c r="AG147" s="442">
        <f t="shared" si="1819"/>
        <v>0</v>
      </c>
      <c r="AH147" s="442">
        <f t="shared" si="1820"/>
        <v>0</v>
      </c>
      <c r="AI147" s="443">
        <f t="shared" si="1821"/>
        <v>0</v>
      </c>
      <c r="AJ147" s="440">
        <f t="shared" si="1822"/>
        <v>0</v>
      </c>
      <c r="AK147" s="441">
        <f t="shared" si="1823"/>
        <v>0</v>
      </c>
      <c r="AL147" s="442">
        <f t="shared" si="1824"/>
        <v>0</v>
      </c>
      <c r="AM147" s="442">
        <f t="shared" si="1825"/>
        <v>0</v>
      </c>
      <c r="AN147" s="443">
        <f t="shared" si="1826"/>
        <v>0</v>
      </c>
      <c r="AO147" s="440">
        <f t="shared" si="1827"/>
        <v>0</v>
      </c>
      <c r="AP147" s="441">
        <f t="shared" si="1828"/>
        <v>0</v>
      </c>
      <c r="AQ147" s="442">
        <f t="shared" si="1829"/>
        <v>0</v>
      </c>
      <c r="AR147" s="442">
        <f t="shared" si="1830"/>
        <v>0</v>
      </c>
      <c r="AS147" s="443">
        <f t="shared" si="1831"/>
        <v>-300</v>
      </c>
      <c r="AT147" s="440">
        <f t="shared" si="1832"/>
        <v>-300</v>
      </c>
      <c r="AU147" s="441">
        <f t="shared" si="1833"/>
        <v>0</v>
      </c>
      <c r="AV147" s="442">
        <f t="shared" si="1834"/>
        <v>0</v>
      </c>
      <c r="AW147" s="442">
        <f t="shared" si="1835"/>
        <v>0</v>
      </c>
      <c r="AX147" s="443">
        <f t="shared" si="1836"/>
        <v>0</v>
      </c>
      <c r="AY147" s="440">
        <f t="shared" si="1837"/>
        <v>0</v>
      </c>
      <c r="AZ147" s="441">
        <f t="shared" si="1838"/>
        <v>0</v>
      </c>
      <c r="BA147" s="442">
        <f t="shared" si="1839"/>
        <v>0</v>
      </c>
      <c r="BB147" s="442">
        <f t="shared" si="1840"/>
        <v>0</v>
      </c>
      <c r="BC147" s="443">
        <f t="shared" si="1841"/>
        <v>0</v>
      </c>
      <c r="BD147" s="440">
        <f t="shared" si="1842"/>
        <v>0</v>
      </c>
      <c r="BE147" s="441">
        <f t="shared" si="1843"/>
        <v>0</v>
      </c>
      <c r="BF147" s="442">
        <f t="shared" si="1844"/>
        <v>0</v>
      </c>
      <c r="BG147" s="442">
        <f t="shared" si="1845"/>
        <v>0</v>
      </c>
      <c r="BH147" s="443">
        <f t="shared" si="1846"/>
        <v>0</v>
      </c>
      <c r="BI147" s="440">
        <f t="shared" si="1847"/>
        <v>0</v>
      </c>
      <c r="BJ147" s="441">
        <f t="shared" si="1848"/>
        <v>0</v>
      </c>
      <c r="BK147" s="442">
        <f t="shared" si="1849"/>
        <v>0</v>
      </c>
      <c r="BL147" s="442">
        <f t="shared" si="1850"/>
        <v>0</v>
      </c>
      <c r="BM147" s="443">
        <f t="shared" si="1851"/>
        <v>0</v>
      </c>
      <c r="BN147" s="440">
        <f t="shared" si="1852"/>
        <v>0</v>
      </c>
      <c r="BO147" s="470"/>
      <c r="BP147" s="441">
        <f t="shared" si="1854"/>
        <v>0</v>
      </c>
      <c r="BQ147" s="442">
        <f t="shared" si="1855"/>
        <v>0</v>
      </c>
      <c r="BR147" s="442">
        <f t="shared" si="1856"/>
        <v>0</v>
      </c>
      <c r="BS147" s="443">
        <f t="shared" si="1857"/>
        <v>0</v>
      </c>
      <c r="BT147" s="440">
        <f t="shared" si="1858"/>
        <v>0</v>
      </c>
      <c r="BU147" s="441">
        <f t="shared" si="1859"/>
        <v>0</v>
      </c>
      <c r="BV147" s="442">
        <f t="shared" si="1860"/>
        <v>0</v>
      </c>
      <c r="BW147" s="442">
        <f t="shared" si="1861"/>
        <v>0</v>
      </c>
      <c r="BX147" s="443">
        <f t="shared" si="1862"/>
        <v>0</v>
      </c>
      <c r="BY147" s="440">
        <f t="shared" si="1863"/>
        <v>0</v>
      </c>
      <c r="BZ147" s="441">
        <f t="shared" si="1864"/>
        <v>0</v>
      </c>
      <c r="CA147" s="442">
        <f t="shared" si="1865"/>
        <v>0</v>
      </c>
      <c r="CB147" s="442">
        <f t="shared" si="1866"/>
        <v>0</v>
      </c>
      <c r="CC147" s="443">
        <f t="shared" si="1867"/>
        <v>0</v>
      </c>
      <c r="CD147" s="440">
        <f t="shared" si="1868"/>
        <v>0</v>
      </c>
      <c r="CE147" s="441">
        <f t="shared" si="1869"/>
        <v>0</v>
      </c>
      <c r="CF147" s="442">
        <f t="shared" si="1870"/>
        <v>0</v>
      </c>
      <c r="CG147" s="442">
        <f t="shared" si="1871"/>
        <v>0</v>
      </c>
      <c r="CH147" s="443">
        <f t="shared" si="1872"/>
        <v>0</v>
      </c>
      <c r="CI147" s="440">
        <f t="shared" si="1873"/>
        <v>0</v>
      </c>
      <c r="CJ147" s="441">
        <f t="shared" si="1874"/>
        <v>0</v>
      </c>
      <c r="CK147" s="442">
        <f t="shared" si="1875"/>
        <v>0</v>
      </c>
      <c r="CL147" s="442">
        <f t="shared" si="1876"/>
        <v>0</v>
      </c>
      <c r="CM147" s="443">
        <f t="shared" si="1877"/>
        <v>0</v>
      </c>
      <c r="CN147" s="440">
        <f t="shared" si="1878"/>
        <v>0</v>
      </c>
      <c r="CO147" s="441">
        <f t="shared" si="1879"/>
        <v>0</v>
      </c>
      <c r="CP147" s="442">
        <f t="shared" si="1880"/>
        <v>0</v>
      </c>
      <c r="CQ147" s="442">
        <f t="shared" si="1881"/>
        <v>0</v>
      </c>
      <c r="CR147" s="443">
        <f t="shared" si="1882"/>
        <v>0</v>
      </c>
      <c r="CS147" s="440">
        <f t="shared" si="1883"/>
        <v>0</v>
      </c>
      <c r="CT147" s="441">
        <f t="shared" si="1884"/>
        <v>0</v>
      </c>
      <c r="CU147" s="442">
        <f t="shared" si="1885"/>
        <v>0</v>
      </c>
      <c r="CV147" s="442">
        <f t="shared" si="1886"/>
        <v>0</v>
      </c>
      <c r="CW147" s="443">
        <f t="shared" si="1887"/>
        <v>-3.9399999999999995</v>
      </c>
      <c r="CX147" s="440">
        <f t="shared" si="1888"/>
        <v>-3.9399999999999995</v>
      </c>
      <c r="CY147" s="441">
        <f t="shared" si="1889"/>
        <v>-5.9099999999999993</v>
      </c>
      <c r="CZ147" s="442">
        <f t="shared" si="1890"/>
        <v>-5.9099999999999993</v>
      </c>
      <c r="DA147" s="442">
        <f t="shared" si="1891"/>
        <v>-5.9099999999999993</v>
      </c>
      <c r="DB147" s="443">
        <f t="shared" si="1892"/>
        <v>-1.9699999999999998</v>
      </c>
      <c r="DC147" s="440">
        <f t="shared" si="1893"/>
        <v>-19.699999999999996</v>
      </c>
      <c r="DD147" s="441">
        <f t="shared" si="1894"/>
        <v>0</v>
      </c>
      <c r="DE147" s="442">
        <f t="shared" si="1895"/>
        <v>0</v>
      </c>
      <c r="DF147" s="442">
        <f t="shared" si="1896"/>
        <v>0</v>
      </c>
      <c r="DG147" s="443">
        <f t="shared" si="1897"/>
        <v>0</v>
      </c>
      <c r="DH147" s="440">
        <f t="shared" si="1898"/>
        <v>0</v>
      </c>
      <c r="DI147" s="441">
        <f t="shared" si="1899"/>
        <v>0</v>
      </c>
      <c r="DJ147" s="442">
        <f t="shared" si="1900"/>
        <v>0</v>
      </c>
      <c r="DK147" s="442">
        <f t="shared" si="1901"/>
        <v>0</v>
      </c>
      <c r="DL147" s="443">
        <f t="shared" si="1902"/>
        <v>0</v>
      </c>
      <c r="DM147" s="440">
        <f t="shared" si="1903"/>
        <v>0</v>
      </c>
      <c r="DN147" s="441">
        <f t="shared" si="1904"/>
        <v>0</v>
      </c>
      <c r="DO147" s="442">
        <f t="shared" si="1905"/>
        <v>0</v>
      </c>
      <c r="DP147" s="442">
        <f t="shared" si="1906"/>
        <v>0</v>
      </c>
      <c r="DQ147" s="443">
        <f t="shared" si="1907"/>
        <v>0</v>
      </c>
      <c r="DR147" s="440">
        <f t="shared" si="1908"/>
        <v>0</v>
      </c>
    </row>
    <row r="148" spans="1:122" ht="12.75" customHeight="1">
      <c r="A148" s="92"/>
      <c r="B148" s="92"/>
      <c r="C148" s="1123" t="s">
        <v>710</v>
      </c>
      <c r="D148" s="395"/>
      <c r="E148" s="188">
        <f t="shared" si="1853"/>
        <v>300</v>
      </c>
      <c r="F148" s="1945">
        <v>300</v>
      </c>
      <c r="G148" s="1945">
        <v>300</v>
      </c>
      <c r="H148" s="1366">
        <v>2036</v>
      </c>
      <c r="I148" s="1367">
        <v>5.9500000000000004E-2</v>
      </c>
      <c r="J148" s="1357">
        <v>12</v>
      </c>
      <c r="K148" s="549"/>
      <c r="L148" s="441">
        <f t="shared" si="1798"/>
        <v>0</v>
      </c>
      <c r="M148" s="442">
        <f t="shared" si="1799"/>
        <v>0</v>
      </c>
      <c r="N148" s="442">
        <f t="shared" si="1800"/>
        <v>0</v>
      </c>
      <c r="O148" s="443">
        <f t="shared" si="1801"/>
        <v>0</v>
      </c>
      <c r="P148" s="440">
        <f t="shared" si="1802"/>
        <v>0</v>
      </c>
      <c r="Q148" s="441">
        <f t="shared" si="1803"/>
        <v>0</v>
      </c>
      <c r="R148" s="442">
        <f t="shared" si="1804"/>
        <v>0</v>
      </c>
      <c r="S148" s="442">
        <f t="shared" si="1805"/>
        <v>0</v>
      </c>
      <c r="T148" s="443">
        <f t="shared" si="1806"/>
        <v>0</v>
      </c>
      <c r="U148" s="440">
        <f t="shared" si="1807"/>
        <v>0</v>
      </c>
      <c r="V148" s="441">
        <f t="shared" si="1808"/>
        <v>0</v>
      </c>
      <c r="W148" s="442">
        <f t="shared" si="1809"/>
        <v>0</v>
      </c>
      <c r="X148" s="442">
        <f t="shared" si="1810"/>
        <v>0</v>
      </c>
      <c r="Y148" s="443">
        <f t="shared" si="1811"/>
        <v>0</v>
      </c>
      <c r="Z148" s="440">
        <f t="shared" si="1812"/>
        <v>0</v>
      </c>
      <c r="AA148" s="441">
        <f t="shared" si="1813"/>
        <v>0</v>
      </c>
      <c r="AB148" s="442">
        <f t="shared" si="1814"/>
        <v>0</v>
      </c>
      <c r="AC148" s="442">
        <f t="shared" si="1815"/>
        <v>0</v>
      </c>
      <c r="AD148" s="443">
        <f t="shared" si="1816"/>
        <v>0</v>
      </c>
      <c r="AE148" s="440">
        <f t="shared" si="1817"/>
        <v>0</v>
      </c>
      <c r="AF148" s="441">
        <f t="shared" si="1818"/>
        <v>0</v>
      </c>
      <c r="AG148" s="442">
        <f t="shared" si="1819"/>
        <v>0</v>
      </c>
      <c r="AH148" s="442">
        <f t="shared" si="1820"/>
        <v>0</v>
      </c>
      <c r="AI148" s="443">
        <f t="shared" si="1821"/>
        <v>0</v>
      </c>
      <c r="AJ148" s="440">
        <f t="shared" si="1822"/>
        <v>0</v>
      </c>
      <c r="AK148" s="441">
        <f t="shared" si="1823"/>
        <v>0</v>
      </c>
      <c r="AL148" s="442">
        <f t="shared" si="1824"/>
        <v>0</v>
      </c>
      <c r="AM148" s="442">
        <f t="shared" si="1825"/>
        <v>0</v>
      </c>
      <c r="AN148" s="443">
        <f t="shared" si="1826"/>
        <v>0</v>
      </c>
      <c r="AO148" s="440">
        <f t="shared" si="1827"/>
        <v>0</v>
      </c>
      <c r="AP148" s="441">
        <f t="shared" si="1828"/>
        <v>0</v>
      </c>
      <c r="AQ148" s="442">
        <f t="shared" si="1829"/>
        <v>0</v>
      </c>
      <c r="AR148" s="442">
        <f t="shared" si="1830"/>
        <v>0</v>
      </c>
      <c r="AS148" s="443">
        <f t="shared" si="1831"/>
        <v>0</v>
      </c>
      <c r="AT148" s="440">
        <f t="shared" si="1832"/>
        <v>0</v>
      </c>
      <c r="AU148" s="441">
        <f t="shared" si="1833"/>
        <v>0</v>
      </c>
      <c r="AV148" s="442">
        <f t="shared" si="1834"/>
        <v>0</v>
      </c>
      <c r="AW148" s="442">
        <f t="shared" si="1835"/>
        <v>0</v>
      </c>
      <c r="AX148" s="443">
        <f t="shared" si="1836"/>
        <v>0</v>
      </c>
      <c r="AY148" s="440">
        <f t="shared" si="1837"/>
        <v>0</v>
      </c>
      <c r="AZ148" s="441">
        <f t="shared" si="1838"/>
        <v>0</v>
      </c>
      <c r="BA148" s="442">
        <f t="shared" si="1839"/>
        <v>0</v>
      </c>
      <c r="BB148" s="442">
        <f t="shared" si="1840"/>
        <v>0</v>
      </c>
      <c r="BC148" s="443">
        <f t="shared" si="1841"/>
        <v>0</v>
      </c>
      <c r="BD148" s="440">
        <f t="shared" si="1842"/>
        <v>0</v>
      </c>
      <c r="BE148" s="441">
        <f t="shared" si="1843"/>
        <v>0</v>
      </c>
      <c r="BF148" s="442">
        <f t="shared" si="1844"/>
        <v>0</v>
      </c>
      <c r="BG148" s="442">
        <f t="shared" si="1845"/>
        <v>0</v>
      </c>
      <c r="BH148" s="443">
        <f t="shared" si="1846"/>
        <v>0</v>
      </c>
      <c r="BI148" s="440">
        <f t="shared" si="1847"/>
        <v>0</v>
      </c>
      <c r="BJ148" s="441">
        <f t="shared" si="1848"/>
        <v>0</v>
      </c>
      <c r="BK148" s="442">
        <f t="shared" si="1849"/>
        <v>0</v>
      </c>
      <c r="BL148" s="442">
        <f t="shared" si="1850"/>
        <v>0</v>
      </c>
      <c r="BM148" s="443">
        <f t="shared" si="1851"/>
        <v>0</v>
      </c>
      <c r="BN148" s="440">
        <f t="shared" si="1852"/>
        <v>0</v>
      </c>
      <c r="BO148" s="470"/>
      <c r="BP148" s="441">
        <f t="shared" si="1854"/>
        <v>0</v>
      </c>
      <c r="BQ148" s="442">
        <f t="shared" si="1855"/>
        <v>0</v>
      </c>
      <c r="BR148" s="442">
        <f t="shared" si="1856"/>
        <v>0</v>
      </c>
      <c r="BS148" s="443">
        <f t="shared" si="1857"/>
        <v>0</v>
      </c>
      <c r="BT148" s="440">
        <f t="shared" si="1858"/>
        <v>0</v>
      </c>
      <c r="BU148" s="441">
        <f t="shared" si="1859"/>
        <v>0</v>
      </c>
      <c r="BV148" s="442">
        <f t="shared" si="1860"/>
        <v>0</v>
      </c>
      <c r="BW148" s="442">
        <f t="shared" si="1861"/>
        <v>0</v>
      </c>
      <c r="BX148" s="443">
        <f t="shared" si="1862"/>
        <v>0</v>
      </c>
      <c r="BY148" s="440">
        <f t="shared" si="1863"/>
        <v>0</v>
      </c>
      <c r="BZ148" s="441">
        <f t="shared" si="1864"/>
        <v>0</v>
      </c>
      <c r="CA148" s="442">
        <f t="shared" si="1865"/>
        <v>0</v>
      </c>
      <c r="CB148" s="442">
        <f t="shared" si="1866"/>
        <v>0</v>
      </c>
      <c r="CC148" s="443">
        <f t="shared" si="1867"/>
        <v>0</v>
      </c>
      <c r="CD148" s="440">
        <f t="shared" si="1868"/>
        <v>0</v>
      </c>
      <c r="CE148" s="441">
        <f t="shared" si="1869"/>
        <v>0</v>
      </c>
      <c r="CF148" s="442">
        <f t="shared" si="1870"/>
        <v>0</v>
      </c>
      <c r="CG148" s="442">
        <f t="shared" si="1871"/>
        <v>0</v>
      </c>
      <c r="CH148" s="443">
        <f t="shared" si="1872"/>
        <v>0</v>
      </c>
      <c r="CI148" s="440">
        <f t="shared" si="1873"/>
        <v>0</v>
      </c>
      <c r="CJ148" s="441">
        <f t="shared" si="1874"/>
        <v>0</v>
      </c>
      <c r="CK148" s="442">
        <f t="shared" si="1875"/>
        <v>0</v>
      </c>
      <c r="CL148" s="442">
        <f t="shared" si="1876"/>
        <v>0</v>
      </c>
      <c r="CM148" s="443">
        <f t="shared" si="1877"/>
        <v>0</v>
      </c>
      <c r="CN148" s="440">
        <f t="shared" si="1878"/>
        <v>0</v>
      </c>
      <c r="CO148" s="441">
        <f t="shared" si="1879"/>
        <v>0</v>
      </c>
      <c r="CP148" s="442">
        <f t="shared" si="1880"/>
        <v>0</v>
      </c>
      <c r="CQ148" s="442">
        <f t="shared" si="1881"/>
        <v>0</v>
      </c>
      <c r="CR148" s="443">
        <f t="shared" si="1882"/>
        <v>0</v>
      </c>
      <c r="CS148" s="440">
        <f t="shared" si="1883"/>
        <v>0</v>
      </c>
      <c r="CT148" s="441">
        <f t="shared" si="1884"/>
        <v>0</v>
      </c>
      <c r="CU148" s="442">
        <f t="shared" si="1885"/>
        <v>0</v>
      </c>
      <c r="CV148" s="442">
        <f t="shared" si="1886"/>
        <v>0</v>
      </c>
      <c r="CW148" s="443">
        <f t="shared" si="1887"/>
        <v>0</v>
      </c>
      <c r="CX148" s="440">
        <f t="shared" si="1888"/>
        <v>0</v>
      </c>
      <c r="CY148" s="441">
        <f t="shared" si="1889"/>
        <v>0</v>
      </c>
      <c r="CZ148" s="442">
        <f t="shared" si="1890"/>
        <v>0</v>
      </c>
      <c r="DA148" s="442">
        <f t="shared" si="1891"/>
        <v>0</v>
      </c>
      <c r="DB148" s="443">
        <f t="shared" si="1892"/>
        <v>0</v>
      </c>
      <c r="DC148" s="440">
        <f t="shared" si="1893"/>
        <v>0</v>
      </c>
      <c r="DD148" s="441">
        <f t="shared" si="1894"/>
        <v>0</v>
      </c>
      <c r="DE148" s="442">
        <f t="shared" si="1895"/>
        <v>0</v>
      </c>
      <c r="DF148" s="442">
        <f t="shared" si="1896"/>
        <v>0</v>
      </c>
      <c r="DG148" s="443">
        <f t="shared" si="1897"/>
        <v>0</v>
      </c>
      <c r="DH148" s="440">
        <f t="shared" si="1898"/>
        <v>0</v>
      </c>
      <c r="DI148" s="441">
        <f t="shared" si="1899"/>
        <v>0</v>
      </c>
      <c r="DJ148" s="442">
        <f t="shared" si="1900"/>
        <v>0</v>
      </c>
      <c r="DK148" s="442">
        <f t="shared" si="1901"/>
        <v>0</v>
      </c>
      <c r="DL148" s="443">
        <f t="shared" si="1902"/>
        <v>0</v>
      </c>
      <c r="DM148" s="440">
        <f t="shared" si="1903"/>
        <v>0</v>
      </c>
      <c r="DN148" s="441">
        <f t="shared" si="1904"/>
        <v>0</v>
      </c>
      <c r="DO148" s="442">
        <f t="shared" si="1905"/>
        <v>0</v>
      </c>
      <c r="DP148" s="442">
        <f t="shared" si="1906"/>
        <v>0</v>
      </c>
      <c r="DQ148" s="443">
        <f t="shared" si="1907"/>
        <v>0</v>
      </c>
      <c r="DR148" s="440">
        <f t="shared" si="1908"/>
        <v>0</v>
      </c>
    </row>
    <row r="149" spans="1:122" ht="12.75" customHeight="1">
      <c r="A149" s="92"/>
      <c r="B149" s="92"/>
      <c r="C149" s="1123" t="s">
        <v>333</v>
      </c>
      <c r="D149" s="395"/>
      <c r="E149" s="188">
        <f t="shared" si="1853"/>
        <v>16.470981999999999</v>
      </c>
      <c r="F149" s="1949">
        <v>16.470981999999999</v>
      </c>
      <c r="G149" s="1949">
        <v>14.491617</v>
      </c>
      <c r="H149" s="414">
        <v>2039</v>
      </c>
      <c r="I149" s="1947">
        <v>0.05</v>
      </c>
      <c r="J149" s="656">
        <v>12</v>
      </c>
      <c r="K149" s="549"/>
      <c r="L149" s="441">
        <f t="shared" si="1798"/>
        <v>0</v>
      </c>
      <c r="M149" s="442">
        <f t="shared" si="1799"/>
        <v>0</v>
      </c>
      <c r="N149" s="442">
        <f t="shared" si="1800"/>
        <v>0</v>
      </c>
      <c r="O149" s="443">
        <f t="shared" si="1801"/>
        <v>0</v>
      </c>
      <c r="P149" s="440">
        <f t="shared" si="1802"/>
        <v>0</v>
      </c>
      <c r="Q149" s="441">
        <f t="shared" si="1803"/>
        <v>0</v>
      </c>
      <c r="R149" s="442">
        <f t="shared" si="1804"/>
        <v>0</v>
      </c>
      <c r="S149" s="442">
        <f t="shared" si="1805"/>
        <v>0</v>
      </c>
      <c r="T149" s="443">
        <f t="shared" si="1806"/>
        <v>0</v>
      </c>
      <c r="U149" s="440">
        <f t="shared" si="1807"/>
        <v>0</v>
      </c>
      <c r="V149" s="441">
        <f t="shared" si="1808"/>
        <v>0</v>
      </c>
      <c r="W149" s="442">
        <f t="shared" si="1809"/>
        <v>0</v>
      </c>
      <c r="X149" s="442">
        <f t="shared" si="1810"/>
        <v>0</v>
      </c>
      <c r="Y149" s="443">
        <f t="shared" si="1811"/>
        <v>0</v>
      </c>
      <c r="Z149" s="440">
        <f t="shared" si="1812"/>
        <v>0</v>
      </c>
      <c r="AA149" s="441">
        <f t="shared" si="1813"/>
        <v>0</v>
      </c>
      <c r="AB149" s="442">
        <f t="shared" si="1814"/>
        <v>0</v>
      </c>
      <c r="AC149" s="442">
        <f t="shared" si="1815"/>
        <v>0</v>
      </c>
      <c r="AD149" s="443">
        <f t="shared" si="1816"/>
        <v>0</v>
      </c>
      <c r="AE149" s="440">
        <f t="shared" si="1817"/>
        <v>0</v>
      </c>
      <c r="AF149" s="441">
        <f t="shared" si="1818"/>
        <v>0</v>
      </c>
      <c r="AG149" s="442">
        <f t="shared" si="1819"/>
        <v>0</v>
      </c>
      <c r="AH149" s="442">
        <f t="shared" si="1820"/>
        <v>0</v>
      </c>
      <c r="AI149" s="443">
        <f t="shared" si="1821"/>
        <v>0</v>
      </c>
      <c r="AJ149" s="440">
        <f t="shared" si="1822"/>
        <v>0</v>
      </c>
      <c r="AK149" s="441">
        <f t="shared" si="1823"/>
        <v>0</v>
      </c>
      <c r="AL149" s="442">
        <f t="shared" si="1824"/>
        <v>0</v>
      </c>
      <c r="AM149" s="442">
        <f t="shared" si="1825"/>
        <v>0</v>
      </c>
      <c r="AN149" s="443">
        <f t="shared" si="1826"/>
        <v>0</v>
      </c>
      <c r="AO149" s="440">
        <f t="shared" si="1827"/>
        <v>0</v>
      </c>
      <c r="AP149" s="441">
        <f t="shared" si="1828"/>
        <v>0</v>
      </c>
      <c r="AQ149" s="442">
        <f t="shared" si="1829"/>
        <v>0</v>
      </c>
      <c r="AR149" s="442">
        <f t="shared" si="1830"/>
        <v>0</v>
      </c>
      <c r="AS149" s="443">
        <f t="shared" si="1831"/>
        <v>0</v>
      </c>
      <c r="AT149" s="440">
        <f t="shared" si="1832"/>
        <v>0</v>
      </c>
      <c r="AU149" s="441">
        <f t="shared" si="1833"/>
        <v>0</v>
      </c>
      <c r="AV149" s="442">
        <f t="shared" si="1834"/>
        <v>0</v>
      </c>
      <c r="AW149" s="442">
        <f t="shared" si="1835"/>
        <v>0</v>
      </c>
      <c r="AX149" s="443">
        <f t="shared" si="1836"/>
        <v>0</v>
      </c>
      <c r="AY149" s="440">
        <f t="shared" si="1837"/>
        <v>0</v>
      </c>
      <c r="AZ149" s="441">
        <f t="shared" si="1838"/>
        <v>0</v>
      </c>
      <c r="BA149" s="442">
        <f t="shared" si="1839"/>
        <v>0</v>
      </c>
      <c r="BB149" s="442">
        <f t="shared" si="1840"/>
        <v>0</v>
      </c>
      <c r="BC149" s="443">
        <f t="shared" si="1841"/>
        <v>0</v>
      </c>
      <c r="BD149" s="440">
        <f t="shared" si="1842"/>
        <v>0</v>
      </c>
      <c r="BE149" s="441">
        <f t="shared" si="1843"/>
        <v>0</v>
      </c>
      <c r="BF149" s="442">
        <f t="shared" si="1844"/>
        <v>0</v>
      </c>
      <c r="BG149" s="442">
        <f t="shared" si="1845"/>
        <v>0</v>
      </c>
      <c r="BH149" s="443">
        <f t="shared" si="1846"/>
        <v>0</v>
      </c>
      <c r="BI149" s="440">
        <f t="shared" si="1847"/>
        <v>0</v>
      </c>
      <c r="BJ149" s="441">
        <f t="shared" si="1848"/>
        <v>0</v>
      </c>
      <c r="BK149" s="442">
        <f t="shared" si="1849"/>
        <v>0</v>
      </c>
      <c r="BL149" s="442">
        <f t="shared" si="1850"/>
        <v>0</v>
      </c>
      <c r="BM149" s="443">
        <f t="shared" si="1851"/>
        <v>0</v>
      </c>
      <c r="BN149" s="440">
        <f t="shared" si="1852"/>
        <v>0</v>
      </c>
      <c r="BO149" s="470"/>
      <c r="BP149" s="441">
        <f t="shared" si="1854"/>
        <v>0</v>
      </c>
      <c r="BQ149" s="442">
        <f t="shared" si="1855"/>
        <v>0</v>
      </c>
      <c r="BR149" s="442">
        <f t="shared" si="1856"/>
        <v>0</v>
      </c>
      <c r="BS149" s="443">
        <f t="shared" si="1857"/>
        <v>0</v>
      </c>
      <c r="BT149" s="440">
        <f t="shared" si="1858"/>
        <v>0</v>
      </c>
      <c r="BU149" s="441">
        <f t="shared" si="1859"/>
        <v>0</v>
      </c>
      <c r="BV149" s="442">
        <f t="shared" si="1860"/>
        <v>0</v>
      </c>
      <c r="BW149" s="442">
        <f t="shared" si="1861"/>
        <v>0</v>
      </c>
      <c r="BX149" s="443">
        <f t="shared" si="1862"/>
        <v>0</v>
      </c>
      <c r="BY149" s="440">
        <f t="shared" si="1863"/>
        <v>0</v>
      </c>
      <c r="BZ149" s="441">
        <f t="shared" si="1864"/>
        <v>0</v>
      </c>
      <c r="CA149" s="442">
        <f t="shared" si="1865"/>
        <v>0</v>
      </c>
      <c r="CB149" s="442">
        <f t="shared" si="1866"/>
        <v>0</v>
      </c>
      <c r="CC149" s="443">
        <f t="shared" si="1867"/>
        <v>0</v>
      </c>
      <c r="CD149" s="440">
        <f t="shared" si="1868"/>
        <v>0</v>
      </c>
      <c r="CE149" s="441">
        <f t="shared" si="1869"/>
        <v>0</v>
      </c>
      <c r="CF149" s="442">
        <f t="shared" si="1870"/>
        <v>0</v>
      </c>
      <c r="CG149" s="442">
        <f t="shared" si="1871"/>
        <v>0</v>
      </c>
      <c r="CH149" s="443">
        <f t="shared" si="1872"/>
        <v>0</v>
      </c>
      <c r="CI149" s="440">
        <f t="shared" si="1873"/>
        <v>0</v>
      </c>
      <c r="CJ149" s="441">
        <f t="shared" si="1874"/>
        <v>0</v>
      </c>
      <c r="CK149" s="442">
        <f t="shared" si="1875"/>
        <v>0</v>
      </c>
      <c r="CL149" s="442">
        <f t="shared" si="1876"/>
        <v>0</v>
      </c>
      <c r="CM149" s="443">
        <f t="shared" si="1877"/>
        <v>0</v>
      </c>
      <c r="CN149" s="440">
        <f t="shared" si="1878"/>
        <v>0</v>
      </c>
      <c r="CO149" s="441">
        <f t="shared" si="1879"/>
        <v>0</v>
      </c>
      <c r="CP149" s="442">
        <f t="shared" si="1880"/>
        <v>0</v>
      </c>
      <c r="CQ149" s="442">
        <f t="shared" si="1881"/>
        <v>0</v>
      </c>
      <c r="CR149" s="443">
        <f t="shared" si="1882"/>
        <v>0</v>
      </c>
      <c r="CS149" s="440">
        <f t="shared" si="1883"/>
        <v>0</v>
      </c>
      <c r="CT149" s="441">
        <f t="shared" si="1884"/>
        <v>0</v>
      </c>
      <c r="CU149" s="442">
        <f t="shared" si="1885"/>
        <v>0</v>
      </c>
      <c r="CV149" s="442">
        <f t="shared" si="1886"/>
        <v>0</v>
      </c>
      <c r="CW149" s="443">
        <f t="shared" si="1887"/>
        <v>0</v>
      </c>
      <c r="CX149" s="440">
        <f t="shared" si="1888"/>
        <v>0</v>
      </c>
      <c r="CY149" s="441">
        <f t="shared" si="1889"/>
        <v>0</v>
      </c>
      <c r="CZ149" s="442">
        <f t="shared" si="1890"/>
        <v>0</v>
      </c>
      <c r="DA149" s="442">
        <f t="shared" si="1891"/>
        <v>0</v>
      </c>
      <c r="DB149" s="443">
        <f t="shared" si="1892"/>
        <v>0</v>
      </c>
      <c r="DC149" s="440">
        <f t="shared" si="1893"/>
        <v>0</v>
      </c>
      <c r="DD149" s="441">
        <f t="shared" si="1894"/>
        <v>0</v>
      </c>
      <c r="DE149" s="442">
        <f t="shared" si="1895"/>
        <v>0</v>
      </c>
      <c r="DF149" s="442">
        <f t="shared" si="1896"/>
        <v>0</v>
      </c>
      <c r="DG149" s="443">
        <f t="shared" si="1897"/>
        <v>0</v>
      </c>
      <c r="DH149" s="440">
        <f t="shared" si="1898"/>
        <v>0</v>
      </c>
      <c r="DI149" s="441">
        <f t="shared" si="1899"/>
        <v>0</v>
      </c>
      <c r="DJ149" s="442">
        <f t="shared" si="1900"/>
        <v>0</v>
      </c>
      <c r="DK149" s="442">
        <f t="shared" si="1901"/>
        <v>0</v>
      </c>
      <c r="DL149" s="443">
        <f t="shared" si="1902"/>
        <v>0</v>
      </c>
      <c r="DM149" s="440">
        <f t="shared" si="1903"/>
        <v>0</v>
      </c>
      <c r="DN149" s="441">
        <f t="shared" si="1904"/>
        <v>0</v>
      </c>
      <c r="DO149" s="442">
        <f t="shared" si="1905"/>
        <v>0</v>
      </c>
      <c r="DP149" s="442">
        <f t="shared" si="1906"/>
        <v>0</v>
      </c>
      <c r="DQ149" s="443">
        <f t="shared" si="1907"/>
        <v>0</v>
      </c>
      <c r="DR149" s="440">
        <f t="shared" si="1908"/>
        <v>0</v>
      </c>
    </row>
    <row r="150" spans="1:122" ht="12.75" customHeight="1">
      <c r="A150" s="92"/>
      <c r="B150" s="92"/>
      <c r="C150" s="1123"/>
      <c r="D150" s="395"/>
      <c r="E150" s="188"/>
      <c r="H150" s="651"/>
      <c r="I150" s="650"/>
      <c r="J150" s="656"/>
      <c r="K150" s="549"/>
      <c r="L150" s="441"/>
      <c r="M150" s="442"/>
      <c r="N150" s="442"/>
      <c r="O150" s="443"/>
      <c r="P150" s="440"/>
      <c r="Q150" s="441"/>
      <c r="R150" s="442"/>
      <c r="S150" s="442"/>
      <c r="T150" s="443"/>
      <c r="U150" s="440"/>
      <c r="V150" s="441"/>
      <c r="W150" s="442"/>
      <c r="X150" s="442"/>
      <c r="Y150" s="443"/>
      <c r="Z150" s="440"/>
      <c r="AA150" s="441"/>
      <c r="AB150" s="442"/>
      <c r="AC150" s="442"/>
      <c r="AD150" s="443"/>
      <c r="AE150" s="440"/>
      <c r="AF150" s="441"/>
      <c r="AG150" s="442"/>
      <c r="AH150" s="442"/>
      <c r="AI150" s="443"/>
      <c r="AJ150" s="440"/>
      <c r="AK150" s="441"/>
      <c r="AL150" s="442"/>
      <c r="AM150" s="442"/>
      <c r="AN150" s="443"/>
      <c r="AO150" s="440"/>
      <c r="AP150" s="441"/>
      <c r="AQ150" s="442"/>
      <c r="AR150" s="442"/>
      <c r="AS150" s="443"/>
      <c r="AT150" s="440"/>
      <c r="AU150" s="441"/>
      <c r="AV150" s="442"/>
      <c r="AW150" s="442"/>
      <c r="AX150" s="443"/>
      <c r="AY150" s="440"/>
      <c r="AZ150" s="441"/>
      <c r="BA150" s="442"/>
      <c r="BB150" s="442"/>
      <c r="BC150" s="443"/>
      <c r="BD150" s="440"/>
      <c r="BE150" s="441"/>
      <c r="BF150" s="442"/>
      <c r="BG150" s="442"/>
      <c r="BH150" s="443"/>
      <c r="BI150" s="440"/>
      <c r="BJ150" s="441"/>
      <c r="BK150" s="442"/>
      <c r="BL150" s="442"/>
      <c r="BM150" s="443"/>
      <c r="BN150" s="440"/>
      <c r="BO150" s="470"/>
      <c r="BP150" s="441"/>
      <c r="BQ150" s="442"/>
      <c r="BR150" s="442"/>
      <c r="BS150" s="443"/>
      <c r="BT150" s="440"/>
      <c r="BU150" s="441"/>
      <c r="BV150" s="442"/>
      <c r="BW150" s="442"/>
      <c r="BX150" s="443"/>
      <c r="BY150" s="440"/>
      <c r="BZ150" s="441"/>
      <c r="CA150" s="442"/>
      <c r="CB150" s="442"/>
      <c r="CC150" s="443"/>
      <c r="CD150" s="440"/>
      <c r="CE150" s="441"/>
      <c r="CF150" s="442"/>
      <c r="CG150" s="442"/>
      <c r="CH150" s="443"/>
      <c r="CI150" s="440"/>
      <c r="CJ150" s="441"/>
      <c r="CK150" s="442"/>
      <c r="CL150" s="442"/>
      <c r="CM150" s="443"/>
      <c r="CN150" s="440"/>
      <c r="CO150" s="441"/>
      <c r="CP150" s="442"/>
      <c r="CQ150" s="442"/>
      <c r="CR150" s="443"/>
      <c r="CS150" s="440"/>
      <c r="CT150" s="441"/>
      <c r="CU150" s="442"/>
      <c r="CV150" s="442"/>
      <c r="CW150" s="443"/>
      <c r="CX150" s="440"/>
      <c r="CY150" s="441"/>
      <c r="CZ150" s="442"/>
      <c r="DA150" s="442"/>
      <c r="DB150" s="443"/>
      <c r="DC150" s="440"/>
      <c r="DD150" s="441"/>
      <c r="DE150" s="442"/>
      <c r="DF150" s="442"/>
      <c r="DG150" s="443"/>
      <c r="DH150" s="440"/>
      <c r="DI150" s="441"/>
      <c r="DJ150" s="442"/>
      <c r="DK150" s="442"/>
      <c r="DL150" s="443"/>
      <c r="DM150" s="440"/>
      <c r="DN150" s="441"/>
      <c r="DO150" s="442"/>
      <c r="DP150" s="442"/>
      <c r="DQ150" s="443"/>
      <c r="DR150" s="440"/>
    </row>
    <row r="151" spans="1:122" ht="12.75" customHeight="1">
      <c r="A151" s="92"/>
      <c r="B151" s="92"/>
      <c r="C151" s="1363" t="s">
        <v>994</v>
      </c>
      <c r="D151" s="395"/>
      <c r="E151" s="188"/>
      <c r="F151" s="651"/>
      <c r="G151" s="651"/>
      <c r="H151" s="414"/>
      <c r="I151" s="650"/>
      <c r="J151" s="656"/>
      <c r="K151" s="549"/>
      <c r="L151" s="441"/>
      <c r="M151" s="442"/>
      <c r="N151" s="442"/>
      <c r="O151" s="443"/>
      <c r="P151" s="440"/>
      <c r="Q151" s="441"/>
      <c r="R151" s="442"/>
      <c r="S151" s="442"/>
      <c r="T151" s="443"/>
      <c r="U151" s="440"/>
      <c r="V151" s="441"/>
      <c r="W151" s="442"/>
      <c r="X151" s="442"/>
      <c r="Y151" s="443"/>
      <c r="Z151" s="440"/>
      <c r="AA151" s="441"/>
      <c r="AB151" s="442"/>
      <c r="AC151" s="442"/>
      <c r="AD151" s="443"/>
      <c r="AE151" s="440"/>
      <c r="AF151" s="441"/>
      <c r="AG151" s="442"/>
      <c r="AH151" s="442"/>
      <c r="AI151" s="443"/>
      <c r="AJ151" s="440"/>
      <c r="AK151" s="441"/>
      <c r="AL151" s="442"/>
      <c r="AM151" s="442"/>
      <c r="AN151" s="443"/>
      <c r="AO151" s="440"/>
      <c r="AP151" s="441"/>
      <c r="AQ151" s="442"/>
      <c r="AR151" s="442"/>
      <c r="AS151" s="443"/>
      <c r="AT151" s="440"/>
      <c r="AU151" s="441"/>
      <c r="AV151" s="442"/>
      <c r="AW151" s="442"/>
      <c r="AX151" s="443"/>
      <c r="AY151" s="440"/>
      <c r="AZ151" s="441"/>
      <c r="BA151" s="442"/>
      <c r="BB151" s="442"/>
      <c r="BC151" s="443"/>
      <c r="BD151" s="440"/>
      <c r="BE151" s="441"/>
      <c r="BF151" s="442"/>
      <c r="BG151" s="442"/>
      <c r="BH151" s="443"/>
      <c r="BI151" s="440"/>
      <c r="BJ151" s="441"/>
      <c r="BK151" s="442"/>
      <c r="BL151" s="442"/>
      <c r="BM151" s="443"/>
      <c r="BN151" s="440"/>
      <c r="BO151" s="470"/>
      <c r="BP151" s="441"/>
      <c r="BQ151" s="442"/>
      <c r="BR151" s="442"/>
      <c r="BS151" s="443"/>
      <c r="BT151" s="440"/>
      <c r="BU151" s="441"/>
      <c r="BV151" s="442"/>
      <c r="BW151" s="442"/>
      <c r="BX151" s="443"/>
      <c r="BY151" s="440"/>
      <c r="BZ151" s="441"/>
      <c r="CA151" s="442"/>
      <c r="CB151" s="442"/>
      <c r="CC151" s="443"/>
      <c r="CD151" s="440"/>
      <c r="CE151" s="441"/>
      <c r="CF151" s="442"/>
      <c r="CG151" s="442"/>
      <c r="CH151" s="443"/>
      <c r="CI151" s="440"/>
      <c r="CJ151" s="441"/>
      <c r="CK151" s="442"/>
      <c r="CL151" s="442"/>
      <c r="CM151" s="443"/>
      <c r="CN151" s="440"/>
      <c r="CO151" s="441"/>
      <c r="CP151" s="442"/>
      <c r="CQ151" s="442"/>
      <c r="CR151" s="443"/>
      <c r="CS151" s="440"/>
      <c r="CT151" s="441"/>
      <c r="CU151" s="442"/>
      <c r="CV151" s="442"/>
      <c r="CW151" s="443"/>
      <c r="CX151" s="440"/>
      <c r="CY151" s="441"/>
      <c r="CZ151" s="442"/>
      <c r="DA151" s="442"/>
      <c r="DB151" s="443"/>
      <c r="DC151" s="440"/>
      <c r="DD151" s="441"/>
      <c r="DE151" s="442"/>
      <c r="DF151" s="442"/>
      <c r="DG151" s="443"/>
      <c r="DH151" s="440"/>
      <c r="DI151" s="441"/>
      <c r="DJ151" s="442"/>
      <c r="DK151" s="442"/>
      <c r="DL151" s="443"/>
      <c r="DM151" s="440"/>
      <c r="DN151" s="441"/>
      <c r="DO151" s="442"/>
      <c r="DP151" s="442"/>
      <c r="DQ151" s="443"/>
      <c r="DR151" s="440"/>
    </row>
    <row r="152" spans="1:122" ht="12.75" customHeight="1">
      <c r="C152" s="1590" t="s">
        <v>990</v>
      </c>
      <c r="D152" s="395"/>
      <c r="E152" s="188">
        <f>IF(F152=0,G152,F152)</f>
        <v>4.7194399999999996</v>
      </c>
      <c r="F152" s="1945">
        <v>0</v>
      </c>
      <c r="G152" s="1945">
        <v>4.7194399999999996</v>
      </c>
      <c r="H152" s="1366">
        <v>2017</v>
      </c>
      <c r="I152" s="1367">
        <v>6.79E-3</v>
      </c>
      <c r="J152" s="1357">
        <v>1</v>
      </c>
      <c r="K152" s="549"/>
      <c r="L152" s="441">
        <f t="shared" ref="L152:L154" si="1909">IF(P152=0,0,IF(P152&lt;0,IF($J152=3,P152,IF($J152=2,P152,IF($J152=1,P152,0)))))</f>
        <v>0</v>
      </c>
      <c r="M152" s="442">
        <f t="shared" ref="M152:M154" si="1910">IF(P152=0,0,IF(P152&lt;0,IF($J152=6,P152,IF($J152=5,P152,IF($J152=4,P152,0)))))</f>
        <v>0</v>
      </c>
      <c r="N152" s="442">
        <f t="shared" ref="N152:N154" si="1911">IF(P152=0,0,IF(P152&lt;0,IF($J152=9,P152,IF($J152=8,P152,IF($J152=7,P152,0)))))</f>
        <v>0</v>
      </c>
      <c r="O152" s="443">
        <f t="shared" ref="O152:O154" si="1912">IF(P152=0,0,IF(P152&lt;0,IF($J152=12,P152,IF($J152=11,P152,IF($J152=10,P152,0)))))</f>
        <v>0</v>
      </c>
      <c r="P152" s="440">
        <f t="shared" ref="P152:P154" si="1913">IF(P$5=$H152,-$E152,0)</f>
        <v>0</v>
      </c>
      <c r="Q152" s="441">
        <f t="shared" ref="Q152:Q154" si="1914">IF(U152=0,0,IF(U152&lt;0,IF($J152=3,U152,IF($J152=2,U152,IF($J152=1,U152,0)))))</f>
        <v>0</v>
      </c>
      <c r="R152" s="442">
        <f t="shared" ref="R152:R154" si="1915">IF(U152=0,0,IF(U152&lt;0,IF($J152=6,U152,IF($J152=5,U152,IF($J152=4,U152,0)))))</f>
        <v>0</v>
      </c>
      <c r="S152" s="442">
        <f t="shared" ref="S152:S154" si="1916">IF(U152=0,0,IF(U152&lt;0,IF($J152=9,U152,IF($J152=8,U152,IF($J152=7,U152,0)))))</f>
        <v>0</v>
      </c>
      <c r="T152" s="443">
        <f t="shared" ref="T152:T154" si="1917">IF(U152=0,0,IF(U152&lt;0,IF($J152=12,U152,IF($J152=11,U152,IF($J152=10,U152,0)))))</f>
        <v>0</v>
      </c>
      <c r="U152" s="440">
        <f t="shared" ref="U152:U154" si="1918">IF(U$5=$H152,-$E152,0)</f>
        <v>0</v>
      </c>
      <c r="V152" s="441">
        <f t="shared" ref="V152:V154" si="1919">IF(Z152=0,0,IF(Z152&lt;0,IF($J152=3,Z152,IF($J152=2,Z152,IF($J152=1,Z152,0)))))</f>
        <v>0</v>
      </c>
      <c r="W152" s="442">
        <f t="shared" ref="W152:W154" si="1920">IF(Z152=0,0,IF(Z152&lt;0,IF($J152=6,Z152,IF($J152=5,Z152,IF($J152=4,Z152,0)))))</f>
        <v>0</v>
      </c>
      <c r="X152" s="442">
        <f t="shared" ref="X152:X154" si="1921">IF(Z152=0,0,IF(Z152&lt;0,IF($J152=9,Z152,IF($J152=8,Z152,IF($J152=7,Z152,0)))))</f>
        <v>0</v>
      </c>
      <c r="Y152" s="443">
        <f t="shared" ref="Y152:Y154" si="1922">IF(Z152=0,0,IF(Z152&lt;0,IF($J152=12,Z152,IF($J152=11,Z152,IF($J152=10,Z152,0)))))</f>
        <v>0</v>
      </c>
      <c r="Z152" s="440">
        <f t="shared" ref="Z152:Z154" si="1923">IF(Z$5=$H152,-$E152,0)</f>
        <v>0</v>
      </c>
      <c r="AA152" s="441">
        <f t="shared" ref="AA152:AA154" si="1924">IF(AE152=0,0,IF(AE152&lt;0,IF($J152=3,AE152,IF($J152=2,AE152,IF($J152=1,AE152,0)))))</f>
        <v>0</v>
      </c>
      <c r="AB152" s="442">
        <f t="shared" ref="AB152:AB154" si="1925">IF(AE152=0,0,IF(AE152&lt;0,IF($J152=6,AE152,IF($J152=5,AE152,IF($J152=4,AE152,0)))))</f>
        <v>0</v>
      </c>
      <c r="AC152" s="442">
        <f t="shared" ref="AC152:AC154" si="1926">IF(AE152=0,0,IF(AE152&lt;0,IF($J152=9,AE152,IF($J152=8,AE152,IF($J152=7,AE152,0)))))</f>
        <v>0</v>
      </c>
      <c r="AD152" s="443">
        <f t="shared" ref="AD152:AD154" si="1927">IF(AE152=0,0,IF(AE152&lt;0,IF($J152=12,AE152,IF($J152=11,AE152,IF($J152=10,AE152,0)))))</f>
        <v>0</v>
      </c>
      <c r="AE152" s="440">
        <f t="shared" ref="AE152:AE154" si="1928">IF(AE$5=$H152,-$E152,0)</f>
        <v>0</v>
      </c>
      <c r="AF152" s="441">
        <f t="shared" ref="AF152:AF154" si="1929">IF(AJ152=0,0,IF(AJ152&lt;0,IF($J152=3,AJ152,IF($J152=2,AJ152,IF($J152=1,AJ152,0)))))</f>
        <v>0</v>
      </c>
      <c r="AG152" s="442">
        <f t="shared" ref="AG152:AG154" si="1930">IF(AJ152=0,0,IF(AJ152&lt;0,IF($J152=6,AJ152,IF($J152=5,AJ152,IF($J152=4,AJ152,0)))))</f>
        <v>0</v>
      </c>
      <c r="AH152" s="442">
        <f t="shared" ref="AH152:AH154" si="1931">IF(AJ152=0,0,IF(AJ152&lt;0,IF($J152=9,AJ152,IF($J152=8,AJ152,IF($J152=7,AJ152,0)))))</f>
        <v>0</v>
      </c>
      <c r="AI152" s="443">
        <f t="shared" ref="AI152:AI154" si="1932">IF(AJ152=0,0,IF(AJ152&lt;0,IF($J152=12,AJ152,IF($J152=11,AJ152,IF($J152=10,AJ152,0)))))</f>
        <v>0</v>
      </c>
      <c r="AJ152" s="440">
        <f t="shared" ref="AJ152:AJ154" si="1933">IF(AJ$5=$H152,-$E152,0)</f>
        <v>0</v>
      </c>
      <c r="AK152" s="441">
        <f t="shared" ref="AK152:AK154" si="1934">IF(AO152=0,0,IF(AO152&lt;0,IF($J152=3,AO152,IF($J152=2,AO152,IF($J152=1,AO152,0)))))</f>
        <v>0</v>
      </c>
      <c r="AL152" s="442">
        <f t="shared" ref="AL152:AL154" si="1935">IF(AO152=0,0,IF(AO152&lt;0,IF($J152=6,AO152,IF($J152=5,AO152,IF($J152=4,AO152,0)))))</f>
        <v>0</v>
      </c>
      <c r="AM152" s="442">
        <f t="shared" ref="AM152:AM154" si="1936">IF(AO152=0,0,IF(AO152&lt;0,IF($J152=9,AO152,IF($J152=8,AO152,IF($J152=7,AO152,0)))))</f>
        <v>0</v>
      </c>
      <c r="AN152" s="443">
        <f t="shared" ref="AN152:AN154" si="1937">IF(AO152=0,0,IF(AO152&lt;0,IF($J152=12,AO152,IF($J152=11,AO152,IF($J152=10,AO152,0)))))</f>
        <v>0</v>
      </c>
      <c r="AO152" s="440">
        <f t="shared" ref="AO152:AO154" si="1938">IF(AO$5=$H152,-$E152,0)</f>
        <v>0</v>
      </c>
      <c r="AP152" s="441">
        <f t="shared" ref="AP152:AP154" si="1939">IF(AT152=0,0,IF(AT152&lt;0,IF($J152=3,AT152,IF($J152=2,AT152,IF($J152=1,AT152,0)))))</f>
        <v>-4.7194399999999996</v>
      </c>
      <c r="AQ152" s="442">
        <f t="shared" ref="AQ152:AQ154" si="1940">IF(AT152=0,0,IF(AT152&lt;0,IF($J152=6,AT152,IF($J152=5,AT152,IF($J152=4,AT152,0)))))</f>
        <v>0</v>
      </c>
      <c r="AR152" s="442">
        <f t="shared" ref="AR152:AR154" si="1941">IF(AT152=0,0,IF(AT152&lt;0,IF($J152=9,AT152,IF($J152=8,AT152,IF($J152=7,AT152,0)))))</f>
        <v>0</v>
      </c>
      <c r="AS152" s="443">
        <f t="shared" ref="AS152:AS154" si="1942">IF(AT152=0,0,IF(AT152&lt;0,IF($J152=12,AT152,IF($J152=11,AT152,IF($J152=10,AT152,0)))))</f>
        <v>0</v>
      </c>
      <c r="AT152" s="440">
        <f t="shared" ref="AT152:AT154" si="1943">IF(AT$5=$H152,-$E152,0)</f>
        <v>-4.7194399999999996</v>
      </c>
      <c r="AU152" s="441">
        <f t="shared" ref="AU152:AU154" si="1944">IF(AY152=0,0,IF(AY152&lt;0,IF($J152=3,AY152,IF($J152=2,AY152,IF($J152=1,AY152,0)))))</f>
        <v>0</v>
      </c>
      <c r="AV152" s="442">
        <f t="shared" ref="AV152:AV154" si="1945">IF(AY152=0,0,IF(AY152&lt;0,IF($J152=6,AY152,IF($J152=5,AY152,IF($J152=4,AY152,0)))))</f>
        <v>0</v>
      </c>
      <c r="AW152" s="442">
        <f t="shared" ref="AW152:AW154" si="1946">IF(AY152=0,0,IF(AY152&lt;0,IF($J152=9,AY152,IF($J152=8,AY152,IF($J152=7,AY152,0)))))</f>
        <v>0</v>
      </c>
      <c r="AX152" s="443">
        <f t="shared" ref="AX152:AX154" si="1947">IF(AY152=0,0,IF(AY152&lt;0,IF($J152=12,AY152,IF($J152=11,AY152,IF($J152=10,AY152,0)))))</f>
        <v>0</v>
      </c>
      <c r="AY152" s="440">
        <f t="shared" ref="AY152:AY154" si="1948">IF(AY$5=$H152,-$E152,0)</f>
        <v>0</v>
      </c>
      <c r="AZ152" s="441">
        <f t="shared" ref="AZ152:AZ154" si="1949">IF(BD152=0,0,IF(BD152&lt;0,IF($J152=3,BD152,IF($J152=2,BD152,IF($J152=1,BD152,0)))))</f>
        <v>0</v>
      </c>
      <c r="BA152" s="442">
        <f t="shared" ref="BA152:BA154" si="1950">IF(BD152=0,0,IF(BD152&lt;0,IF($J152=6,BD152,IF($J152=5,BD152,IF($J152=4,BD152,0)))))</f>
        <v>0</v>
      </c>
      <c r="BB152" s="442">
        <f t="shared" ref="BB152:BB154" si="1951">IF(BD152=0,0,IF(BD152&lt;0,IF($J152=9,BD152,IF($J152=8,BD152,IF($J152=7,BD152,0)))))</f>
        <v>0</v>
      </c>
      <c r="BC152" s="443">
        <f t="shared" ref="BC152:BC154" si="1952">IF(BD152=0,0,IF(BD152&lt;0,IF($J152=12,BD152,IF($J152=11,BD152,IF($J152=10,BD152,0)))))</f>
        <v>0</v>
      </c>
      <c r="BD152" s="440">
        <f t="shared" ref="BD152:BD154" si="1953">IF(BD$5=$H152,-$E152,0)</f>
        <v>0</v>
      </c>
      <c r="BE152" s="441">
        <f t="shared" ref="BE152:BE154" si="1954">IF(BI152=0,0,IF(BI152&lt;0,IF($J152=3,BI152,IF($J152=2,BI152,IF($J152=1,BI152,0)))))</f>
        <v>0</v>
      </c>
      <c r="BF152" s="442">
        <f t="shared" ref="BF152:BF154" si="1955">IF(BI152=0,0,IF(BI152&lt;0,IF($J152=6,BI152,IF($J152=5,BI152,IF($J152=4,BI152,0)))))</f>
        <v>0</v>
      </c>
      <c r="BG152" s="442">
        <f t="shared" ref="BG152:BG154" si="1956">IF(BI152=0,0,IF(BI152&lt;0,IF($J152=9,BI152,IF($J152=8,BI152,IF($J152=7,BI152,0)))))</f>
        <v>0</v>
      </c>
      <c r="BH152" s="443">
        <f t="shared" ref="BH152:BH154" si="1957">IF(BI152=0,0,IF(BI152&lt;0,IF($J152=12,BI152,IF($J152=11,BI152,IF($J152=10,BI152,0)))))</f>
        <v>0</v>
      </c>
      <c r="BI152" s="440">
        <f t="shared" ref="BI152:BI154" si="1958">IF(BI$5=$H152,-$E152,0)</f>
        <v>0</v>
      </c>
      <c r="BJ152" s="441">
        <f t="shared" ref="BJ152:BJ154" si="1959">IF(BN152=0,0,IF(BN152&lt;0,IF($J152=3,BN152,IF($J152=2,BN152,IF($J152=1,BN152,0)))))</f>
        <v>0</v>
      </c>
      <c r="BK152" s="442">
        <f t="shared" ref="BK152:BK154" si="1960">IF(BN152=0,0,IF(BN152&lt;0,IF($J152=6,BN152,IF($J152=5,BN152,IF($J152=4,BN152,0)))))</f>
        <v>0</v>
      </c>
      <c r="BL152" s="442">
        <f t="shared" ref="BL152:BL154" si="1961">IF(BN152=0,0,IF(BN152&lt;0,IF($J152=9,BN152,IF($J152=8,BN152,IF($J152=7,BN152,0)))))</f>
        <v>0</v>
      </c>
      <c r="BM152" s="443">
        <f t="shared" ref="BM152:BM154" si="1962">IF(BN152=0,0,IF(BN152&lt;0,IF($J152=12,BN152,IF($J152=11,BN152,IF($J152=10,BN152,0)))))</f>
        <v>0</v>
      </c>
      <c r="BN152" s="440">
        <f t="shared" ref="BN152:BN154" si="1963">IF(BN$5=$H152,-$E152,0)</f>
        <v>0</v>
      </c>
      <c r="BO152" s="470"/>
      <c r="BP152" s="441">
        <f>IF($H152&lt;&gt;BT$5,0,IF(BT152&lt;0,IF($J152=1,-$E152*$I152/12*3,IF($J152=2,-$E152*$I152/12*2,IF($J152=3,-$E152*$I152/12*1,0)))))+IF(BO$5&lt;&gt;$H152,0,IF(BO152&lt;0,IF($J152=1,-$E152*$I152/12*0,IF($J152=2,-$E152*$I152/12*1,IF($J152=3,-$E152*$I152/12*2,IF($J152&gt;=4,-$E152*$I152/12*3,0))))))</f>
        <v>0</v>
      </c>
      <c r="BQ152" s="442">
        <f>IF($H152&lt;&gt;BT$5,0,IF(BT152&lt;0,IF(OR($J152=1,$J152=2,$J152=3,$J152=4),-$E152*$I152/12*3,IF($J152=5,-$E152*$I152/12*2,IF($J152=6,-$E152*$I152/12*1,0)))))+IF(BO$5&lt;&gt;$H152,0,IF(BO152&lt;0,IF($J152=4,-$E152*$I152/12*0,IF($J152=5,-$E152*$I152/12*1,IF($J152=6,-$E152*$I152/12*2,IF($J152&gt;=7,-$E152*$I152/12*3,0))))))</f>
        <v>0</v>
      </c>
      <c r="BR152" s="442">
        <f>IF($H152&lt;&gt;BT$5,0,IF(BT152&lt;0,IF(OR($J152=1,$J152=2,$J152=3,$J152=4,$J152=5,$J152=6,$J152=7),-$E152*$I152/12*3,IF($J152=8,-$E152*$I152/12*2,IF($J152=9,-$E152*$I152/12*1,0)))))+IF(BO$5&lt;&gt;$H152,0,IF(BO152&lt;0,IF($J152=7,-$E152*$I152/12*0,IF($J152=8,-$E152*$I152/12*1,IF($J152=9,-$E152*$I152/12*2,IF($J152&gt;=10,-$E152*$I152/12*3,0))))))</f>
        <v>0</v>
      </c>
      <c r="BS152" s="443">
        <f>IF($H152&lt;&gt;BT$5,0,IF(BT152&lt;0,IF(OR($J152=1,$J152=2,$J152=3,$J152=4,$J152=5,$J152=6,$J152=7,$J152=8,$J152=9,$J152=10),-$E152*$I152/12*3,IF($J152=11,-$E152*$I152/12*2,IF($J152=12,-$E152*$I152/12*1,0)))))+IF(BO$5&lt;&gt;$H152,0,IF(BO152&lt;0,IF($J152=10,-$E152*$I152/12*0,IF($J152=11,-$E152*$I152/12*1,IF($J152=12,-$E152*$I152/12*2,0)))))</f>
        <v>0</v>
      </c>
      <c r="BT152" s="440">
        <f>IF(AND(BO152&lt;&gt;0,BO$5=$H152),-$I152*$E152-BO152,IF(BT$5=$H152,-$I152*$E152*(12-$J152+1)/12,0))</f>
        <v>0</v>
      </c>
      <c r="BU152" s="441">
        <f>IF($H152&lt;&gt;BY$5,0,IF(BY152&lt;0,IF($J152=1,-$E152*$I152/12*3,IF($J152=2,-$E152*$I152/12*2,IF($J152=3,-$E152*$I152/12*1,0)))))+IF(BT$5&lt;&gt;$H152,0,IF(BT152&lt;0,IF($J152=1,-$E152*$I152/12*0,IF($J152=2,-$E152*$I152/12*1,IF($J152=3,-$E152*$I152/12*2,IF($J152&gt;=4,-$E152*$I152/12*3,0))))))</f>
        <v>0</v>
      </c>
      <c r="BV152" s="442">
        <f>IF($H152&lt;&gt;BY$5,0,IF(BY152&lt;0,IF(OR($J152=1,$J152=2,$J152=3,$J152=4),-$E152*$I152/12*3,IF($J152=5,-$E152*$I152/12*2,IF($J152=6,-$E152*$I152/12*1,0)))))+IF(BT$5&lt;&gt;$H152,0,IF(BT152&lt;0,IF($J152=4,-$E152*$I152/12*0,IF($J152=5,-$E152*$I152/12*1,IF($J152=6,-$E152*$I152/12*2,IF($J152&gt;=7,-$E152*$I152/12*3,0))))))</f>
        <v>0</v>
      </c>
      <c r="BW152" s="442">
        <f>IF($H152&lt;&gt;BY$5,0,IF(BY152&lt;0,IF(OR($J152=1,$J152=2,$J152=3,$J152=4,$J152=5,$J152=6,$J152=7),-$E152*$I152/12*3,IF($J152=8,-$E152*$I152/12*2,IF($J152=9,-$E152*$I152/12*1,0)))))+IF(BT$5&lt;&gt;$H152,0,IF(BT152&lt;0,IF($J152=7,-$E152*$I152/12*0,IF($J152=8,-$E152*$I152/12*1,IF($J152=9,-$E152*$I152/12*2,IF($J152&gt;=10,-$E152*$I152/12*3,0))))))</f>
        <v>0</v>
      </c>
      <c r="BX152" s="443">
        <f>IF($H152&lt;&gt;BY$5,0,IF(BY152&lt;0,IF(OR($J152=1,$J152=2,$J152=3,$J152=4,$J152=5,$J152=6,$J152=7,$J152=8,$J152=9,$J152=10),-$E152*$I152/12*3,IF($J152=11,-$E152*$I152/12*2,IF($J152=12,-$E152*$I152/12*1,0)))))+IF(BT$5&lt;&gt;$H152,0,IF(BT152&lt;0,IF($J152=10,-$E152*$I152/12*0,IF($J152=11,-$E152*$I152/12*1,IF($J152=12,-$E152*$I152/12*2,0)))))</f>
        <v>0</v>
      </c>
      <c r="BY152" s="440">
        <f>IF(AND(BT152&lt;&gt;0,BT$5=$H152),-$I152*$E152-BT152,IF(BY$5=$H152,-$I152*$E152*(12-$J152+1)/12,0))</f>
        <v>0</v>
      </c>
      <c r="BZ152" s="441">
        <f>IF($H152&lt;&gt;CD$5,0,IF(CD152&lt;0,IF($J152=1,-$E152*$I152/12*3,IF($J152=2,-$E152*$I152/12*2,IF($J152=3,-$E152*$I152/12*1,0)))))+IF(BY$5&lt;&gt;$H152,0,IF(BY152&lt;0,IF($J152=1,-$E152*$I152/12*0,IF($J152=2,-$E152*$I152/12*1,IF($J152=3,-$E152*$I152/12*2,IF($J152&gt;=4,-$E152*$I152/12*3,0))))))</f>
        <v>0</v>
      </c>
      <c r="CA152" s="442">
        <f>IF($H152&lt;&gt;CD$5,0,IF(CD152&lt;0,IF(OR($J152=1,$J152=2,$J152=3,$J152=4),-$E152*$I152/12*3,IF($J152=5,-$E152*$I152/12*2,IF($J152=6,-$E152*$I152/12*1,0)))))+IF(BY$5&lt;&gt;$H152,0,IF(BY152&lt;0,IF($J152=4,-$E152*$I152/12*0,IF($J152=5,-$E152*$I152/12*1,IF($J152=6,-$E152*$I152/12*2,IF($J152&gt;=7,-$E152*$I152/12*3,0))))))</f>
        <v>0</v>
      </c>
      <c r="CB152" s="442">
        <f>IF($H152&lt;&gt;CD$5,0,IF(CD152&lt;0,IF(OR($J152=1,$J152=2,$J152=3,$J152=4,$J152=5,$J152=6,$J152=7),-$E152*$I152/12*3,IF($J152=8,-$E152*$I152/12*2,IF($J152=9,-$E152*$I152/12*1,0)))))+IF(BY$5&lt;&gt;$H152,0,IF(BY152&lt;0,IF($J152=7,-$E152*$I152/12*0,IF($J152=8,-$E152*$I152/12*1,IF($J152=9,-$E152*$I152/12*2,IF($J152&gt;=10,-$E152*$I152/12*3,0))))))</f>
        <v>0</v>
      </c>
      <c r="CC152" s="443">
        <f>IF($H152&lt;&gt;CD$5,0,IF(CD152&lt;0,IF(OR($J152=1,$J152=2,$J152=3,$J152=4,$J152=5,$J152=6,$J152=7,$J152=8,$J152=9,$J152=10),-$E152*$I152/12*3,IF($J152=11,-$E152*$I152/12*2,IF($J152=12,-$E152*$I152/12*1,0)))))+IF(BY$5&lt;&gt;$H152,0,IF(BY152&lt;0,IF($J152=10,-$E152*$I152/12*0,IF($J152=11,-$E152*$I152/12*1,IF($J152=12,-$E152*$I152/12*2,0)))))</f>
        <v>0</v>
      </c>
      <c r="CD152" s="440">
        <f>IF(AND(BY152&lt;&gt;0,BY$5=$H152),-$I152*$E152-BY152,IF(CD$5=$H152,-$I152*$E152*(12-$J152+1)/12,0))</f>
        <v>0</v>
      </c>
      <c r="CE152" s="441">
        <f>IF($H152&lt;&gt;CI$5,0,IF(CI152&lt;0,IF($J152=1,-$E152*$I152/12*3,IF($J152=2,-$E152*$I152/12*2,IF($J152=3,-$E152*$I152/12*1,0)))))+IF(CD$5&lt;&gt;$H152,0,IF(CD152&lt;0,IF($J152=1,-$E152*$I152/12*0,IF($J152=2,-$E152*$I152/12*1,IF($J152=3,-$E152*$I152/12*2,IF($J152&gt;=4,-$E152*$I152/12*3,0))))))</f>
        <v>0</v>
      </c>
      <c r="CF152" s="442">
        <f>IF($H152&lt;&gt;CI$5,0,IF(CI152&lt;0,IF(OR($J152=1,$J152=2,$J152=3,$J152=4),-$E152*$I152/12*3,IF($J152=5,-$E152*$I152/12*2,IF($J152=6,-$E152*$I152/12*1,0)))))+IF(CD$5&lt;&gt;$H152,0,IF(CD152&lt;0,IF($J152=4,-$E152*$I152/12*0,IF($J152=5,-$E152*$I152/12*1,IF($J152=6,-$E152*$I152/12*2,IF($J152&gt;=7,-$E152*$I152/12*3,0))))))</f>
        <v>0</v>
      </c>
      <c r="CG152" s="442">
        <f>IF($H152&lt;&gt;CI$5,0,IF(CI152&lt;0,IF(OR($J152=1,$J152=2,$J152=3,$J152=4,$J152=5,$J152=6,$J152=7),-$E152*$I152/12*3,IF($J152=8,-$E152*$I152/12*2,IF($J152=9,-$E152*$I152/12*1,0)))))+IF(CD$5&lt;&gt;$H152,0,IF(CD152&lt;0,IF($J152=7,-$E152*$I152/12*0,IF($J152=8,-$E152*$I152/12*1,IF($J152=9,-$E152*$I152/12*2,IF($J152&gt;=10,-$E152*$I152/12*3,0))))))</f>
        <v>0</v>
      </c>
      <c r="CH152" s="443">
        <f>IF($H152&lt;&gt;CI$5,0,IF(CI152&lt;0,IF(OR($J152=1,$J152=2,$J152=3,$J152=4,$J152=5,$J152=6,$J152=7,$J152=8,$J152=9,$J152=10),-$E152*$I152/12*3,IF($J152=11,-$E152*$I152/12*2,IF($J152=12,-$E152*$I152/12*1,0)))))+IF(CD$5&lt;&gt;$H152,0,IF(CD152&lt;0,IF($J152=10,-$E152*$I152/12*0,IF($J152=11,-$E152*$I152/12*1,IF($J152=12,-$E152*$I152/12*2,0)))))</f>
        <v>0</v>
      </c>
      <c r="CI152" s="440">
        <f>IF(AND(CD152&lt;&gt;0,CD$5=$H152),-$I152*$E152-CD152,IF(CI$5=$H152,-$I152*$E152*(12-$J152+1)/12,0))</f>
        <v>0</v>
      </c>
      <c r="CJ152" s="441">
        <f>IF($H152&lt;&gt;CN$5,0,IF(CN152&lt;0,IF($J152=1,-$E152*$I152/12*3,IF($J152=2,-$E152*$I152/12*2,IF($J152=3,-$E152*$I152/12*1,0)))))+IF(CI$5&lt;&gt;$H152,0,IF(CI152&lt;0,IF($J152=1,-$E152*$I152/12*0,IF($J152=2,-$E152*$I152/12*1,IF($J152=3,-$E152*$I152/12*2,IF($J152&gt;=4,-$E152*$I152/12*3,0))))))</f>
        <v>0</v>
      </c>
      <c r="CK152" s="442">
        <f>IF($H152&lt;&gt;CN$5,0,IF(CN152&lt;0,IF(OR($J152=1,$J152=2,$J152=3,$J152=4),-$E152*$I152/12*3,IF($J152=5,-$E152*$I152/12*2,IF($J152=6,-$E152*$I152/12*1,0)))))+IF(CI$5&lt;&gt;$H152,0,IF(CI152&lt;0,IF($J152=4,-$E152*$I152/12*0,IF($J152=5,-$E152*$I152/12*1,IF($J152=6,-$E152*$I152/12*2,IF($J152&gt;=7,-$E152*$I152/12*3,0))))))</f>
        <v>0</v>
      </c>
      <c r="CL152" s="442">
        <f>IF($H152&lt;&gt;CN$5,0,IF(CN152&lt;0,IF(OR($J152=1,$J152=2,$J152=3,$J152=4,$J152=5,$J152=6,$J152=7),-$E152*$I152/12*3,IF($J152=8,-$E152*$I152/12*2,IF($J152=9,-$E152*$I152/12*1,0)))))+IF(CI$5&lt;&gt;$H152,0,IF(CI152&lt;0,IF($J152=7,-$E152*$I152/12*0,IF($J152=8,-$E152*$I152/12*1,IF($J152=9,-$E152*$I152/12*2,IF($J152&gt;=10,-$E152*$I152/12*3,0))))))</f>
        <v>0</v>
      </c>
      <c r="CM152" s="443">
        <f>IF($H152&lt;&gt;CN$5,0,IF(CN152&lt;0,IF(OR($J152=1,$J152=2,$J152=3,$J152=4,$J152=5,$J152=6,$J152=7,$J152=8,$J152=9,$J152=10),-$E152*$I152/12*3,IF($J152=11,-$E152*$I152/12*2,IF($J152=12,-$E152*$I152/12*1,0)))))+IF(CI$5&lt;&gt;$H152,0,IF(CI152&lt;0,IF($J152=10,-$E152*$I152/12*0,IF($J152=11,-$E152*$I152/12*1,IF($J152=12,-$E152*$I152/12*2,0)))))</f>
        <v>0</v>
      </c>
      <c r="CN152" s="440">
        <f>IF(AND(CI152&lt;&gt;0,CI$5=$H152),-$I152*$E152-CI152,IF(CN$5=$H152,-$I152*$E152*(12-$J152+1)/12,0))</f>
        <v>0</v>
      </c>
      <c r="CO152" s="441">
        <f>IF($H152&lt;&gt;CS$5,0,IF(CS152&lt;0,IF($J152=1,-$E152*$I152/12*3,IF($J152=2,-$E152*$I152/12*2,IF($J152=3,-$E152*$I152/12*1,0)))))+IF(CN$5&lt;&gt;$H152,0,IF(CN152&lt;0,IF($J152=1,-$E152*$I152/12*0,IF($J152=2,-$E152*$I152/12*1,IF($J152=3,-$E152*$I152/12*2,IF($J152&gt;=4,-$E152*$I152/12*3,0))))))</f>
        <v>0</v>
      </c>
      <c r="CP152" s="442">
        <f>IF($H152&lt;&gt;CS$5,0,IF(CS152&lt;0,IF(OR($J152=1,$J152=2,$J152=3,$J152=4),-$E152*$I152/12*3,IF($J152=5,-$E152*$I152/12*2,IF($J152=6,-$E152*$I152/12*1,0)))))+IF(CN$5&lt;&gt;$H152,0,IF(CN152&lt;0,IF($J152=4,-$E152*$I152/12*0,IF($J152=5,-$E152*$I152/12*1,IF($J152=6,-$E152*$I152/12*2,IF($J152&gt;=7,-$E152*$I152/12*3,0))))))</f>
        <v>0</v>
      </c>
      <c r="CQ152" s="442">
        <f>IF($H152&lt;&gt;CS$5,0,IF(CS152&lt;0,IF(OR($J152=1,$J152=2,$J152=3,$J152=4,$J152=5,$J152=6,$J152=7),-$E152*$I152/12*3,IF($J152=8,-$E152*$I152/12*2,IF($J152=9,-$E152*$I152/12*1,0)))))+IF(CN$5&lt;&gt;$H152,0,IF(CN152&lt;0,IF($J152=7,-$E152*$I152/12*0,IF($J152=8,-$E152*$I152/12*1,IF($J152=9,-$E152*$I152/12*2,IF($J152&gt;=10,-$E152*$I152/12*3,0))))))</f>
        <v>0</v>
      </c>
      <c r="CR152" s="443">
        <f>IF($H152&lt;&gt;CS$5,0,IF(CS152&lt;0,IF(OR($J152=1,$J152=2,$J152=3,$J152=4,$J152=5,$J152=6,$J152=7,$J152=8,$J152=9,$J152=10),-$E152*$I152/12*3,IF($J152=11,-$E152*$I152/12*2,IF($J152=12,-$E152*$I152/12*1,0)))))+IF(CN$5&lt;&gt;$H152,0,IF(CN152&lt;0,IF($J152=10,-$E152*$I152/12*0,IF($J152=11,-$E152*$I152/12*1,IF($J152=12,-$E152*$I152/12*2,0)))))</f>
        <v>0</v>
      </c>
      <c r="CS152" s="440">
        <f>IF(AND(CN152&lt;&gt;0,CN$5=$H152),-$I152*$E152-CN152,IF(CS$5=$H152,-$I152*$E152*(12-$J152+1)/12,0))</f>
        <v>0</v>
      </c>
      <c r="CT152" s="441">
        <f>IF($H152&lt;&gt;CX$5,0,IF(CX152&lt;0,IF($J152=1,-$E152*$I152/12*3,IF($J152=2,-$E152*$I152/12*2,IF($J152=3,-$E152*$I152/12*1,0)))))+IF(CS$5&lt;&gt;$H152,0,IF(CS152&lt;0,IF($J152=1,-$E152*$I152/12*0,IF($J152=2,-$E152*$I152/12*1,IF($J152=3,-$E152*$I152/12*2,IF($J152&gt;=4,-$E152*$I152/12*3,0))))))</f>
        <v>-8.0112493999999999E-3</v>
      </c>
      <c r="CU152" s="442">
        <f>IF($H152&lt;&gt;CX$5,0,IF(CX152&lt;0,IF(OR($J152=1,$J152=2,$J152=3,$J152=4),-$E152*$I152/12*3,IF($J152=5,-$E152*$I152/12*2,IF($J152=6,-$E152*$I152/12*1,0)))))+IF(CS$5&lt;&gt;$H152,0,IF(CS152&lt;0,IF($J152=4,-$E152*$I152/12*0,IF($J152=5,-$E152*$I152/12*1,IF($J152=6,-$E152*$I152/12*2,IF($J152&gt;=7,-$E152*$I152/12*3,0))))))</f>
        <v>-8.0112493999999999E-3</v>
      </c>
      <c r="CV152" s="442">
        <f>IF($H152&lt;&gt;CX$5,0,IF(CX152&lt;0,IF(OR($J152=1,$J152=2,$J152=3,$J152=4,$J152=5,$J152=6,$J152=7),-$E152*$I152/12*3,IF($J152=8,-$E152*$I152/12*2,IF($J152=9,-$E152*$I152/12*1,0)))))+IF(CS$5&lt;&gt;$H152,0,IF(CS152&lt;0,IF($J152=7,-$E152*$I152/12*0,IF($J152=8,-$E152*$I152/12*1,IF($J152=9,-$E152*$I152/12*2,IF($J152&gt;=10,-$E152*$I152/12*3,0))))))</f>
        <v>-8.0112493999999999E-3</v>
      </c>
      <c r="CW152" s="443">
        <f>IF($H152&lt;&gt;CX$5,0,IF(CX152&lt;0,IF(OR($J152=1,$J152=2,$J152=3,$J152=4,$J152=5,$J152=6,$J152=7,$J152=8,$J152=9,$J152=10),-$E152*$I152/12*3,IF($J152=11,-$E152*$I152/12*2,IF($J152=12,-$E152*$I152/12*1,0)))))+IF(CS$5&lt;&gt;$H152,0,IF(CS152&lt;0,IF($J152=10,-$E152*$I152/12*0,IF($J152=11,-$E152*$I152/12*1,IF($J152=12,-$E152*$I152/12*2,0)))))</f>
        <v>-8.0112493999999999E-3</v>
      </c>
      <c r="CX152" s="440">
        <f>IF(AND(CS152&lt;&gt;0,CS$5=$H152),-$I152*$E152-CS152,IF(CX$5=$H152,-$I152*$E152*(12-$J152+1)/12,0))</f>
        <v>-3.20449976E-2</v>
      </c>
      <c r="CY152" s="441">
        <f>IF($H152&lt;&gt;DC$5,0,IF(DC152&lt;0,IF($J152=1,-$E152*$I152/12*3,IF($J152=2,-$E152*$I152/12*2,IF($J152=3,-$E152*$I152/12*1,0)))))+IF(CX$5&lt;&gt;$H152,0,IF(CX152&lt;0,IF($J152=1,-$E152*$I152/12*0,IF($J152=2,-$E152*$I152/12*1,IF($J152=3,-$E152*$I152/12*2,IF($J152&gt;=4,-$E152*$I152/12*3,0))))))</f>
        <v>0</v>
      </c>
      <c r="CZ152" s="442">
        <f>IF($H152&lt;&gt;DC$5,0,IF(DC152&lt;0,IF(OR($J152=1,$J152=2,$J152=3,$J152=4),-$E152*$I152/12*3,IF($J152=5,-$E152*$I152/12*2,IF($J152=6,-$E152*$I152/12*1,0)))))+IF(CX$5&lt;&gt;$H152,0,IF(CX152&lt;0,IF($J152=4,-$E152*$I152/12*0,IF($J152=5,-$E152*$I152/12*1,IF($J152=6,-$E152*$I152/12*2,IF($J152&gt;=7,-$E152*$I152/12*3,0))))))</f>
        <v>0</v>
      </c>
      <c r="DA152" s="442">
        <f>IF($H152&lt;&gt;DC$5,0,IF(DC152&lt;0,IF(OR($J152=1,$J152=2,$J152=3,$J152=4,$J152=5,$J152=6,$J152=7),-$E152*$I152/12*3,IF($J152=8,-$E152*$I152/12*2,IF($J152=9,-$E152*$I152/12*1,0)))))+IF(CX$5&lt;&gt;$H152,0,IF(CX152&lt;0,IF($J152=7,-$E152*$I152/12*0,IF($J152=8,-$E152*$I152/12*1,IF($J152=9,-$E152*$I152/12*2,IF($J152&gt;=10,-$E152*$I152/12*3,0))))))</f>
        <v>0</v>
      </c>
      <c r="DB152" s="443">
        <f>IF($H152&lt;&gt;DC$5,0,IF(DC152&lt;0,IF(OR($J152=1,$J152=2,$J152=3,$J152=4,$J152=5,$J152=6,$J152=7,$J152=8,$J152=9,$J152=10),-$E152*$I152/12*3,IF($J152=11,-$E152*$I152/12*2,IF($J152=12,-$E152*$I152/12*1,0)))))+IF(CX$5&lt;&gt;$H152,0,IF(CX152&lt;0,IF($J152=10,-$E152*$I152/12*0,IF($J152=11,-$E152*$I152/12*1,IF($J152=12,-$E152*$I152/12*2,0)))))</f>
        <v>0</v>
      </c>
      <c r="DC152" s="440">
        <f>IF(AND(CX152&lt;&gt;0,CX$5=$H152),-$I152*$E152-CX152,IF(DC$5=$H152,-$I152*$E152*(12-$J152+1)/12,0))</f>
        <v>0</v>
      </c>
      <c r="DD152" s="441">
        <f>IF($H152&lt;&gt;DH$5,0,IF(DH152&lt;0,IF($J152=1,-$E152*$I152/12*3,IF($J152=2,-$E152*$I152/12*2,IF($J152=3,-$E152*$I152/12*1,0)))))+IF(DC$5&lt;&gt;$H152,0,IF(DC152&lt;0,IF($J152=1,-$E152*$I152/12*0,IF($J152=2,-$E152*$I152/12*1,IF($J152=3,-$E152*$I152/12*2,IF($J152&gt;=4,-$E152*$I152/12*3,0))))))</f>
        <v>0</v>
      </c>
      <c r="DE152" s="442">
        <f>IF($H152&lt;&gt;DH$5,0,IF(DH152&lt;0,IF(OR($J152=1,$J152=2,$J152=3,$J152=4),-$E152*$I152/12*3,IF($J152=5,-$E152*$I152/12*2,IF($J152=6,-$E152*$I152/12*1,0)))))+IF(DC$5&lt;&gt;$H152,0,IF(DC152&lt;0,IF($J152=4,-$E152*$I152/12*0,IF($J152=5,-$E152*$I152/12*1,IF($J152=6,-$E152*$I152/12*2,IF($J152&gt;=7,-$E152*$I152/12*3,0))))))</f>
        <v>0</v>
      </c>
      <c r="DF152" s="442">
        <f>IF($H152&lt;&gt;DH$5,0,IF(DH152&lt;0,IF(OR($J152=1,$J152=2,$J152=3,$J152=4,$J152=5,$J152=6,$J152=7),-$E152*$I152/12*3,IF($J152=8,-$E152*$I152/12*2,IF($J152=9,-$E152*$I152/12*1,0)))))+IF(DC$5&lt;&gt;$H152,0,IF(DC152&lt;0,IF($J152=7,-$E152*$I152/12*0,IF($J152=8,-$E152*$I152/12*1,IF($J152=9,-$E152*$I152/12*2,IF($J152&gt;=10,-$E152*$I152/12*3,0))))))</f>
        <v>0</v>
      </c>
      <c r="DG152" s="443">
        <f>IF($H152&lt;&gt;DH$5,0,IF(DH152&lt;0,IF(OR($J152=1,$J152=2,$J152=3,$J152=4,$J152=5,$J152=6,$J152=7,$J152=8,$J152=9,$J152=10),-$E152*$I152/12*3,IF($J152=11,-$E152*$I152/12*2,IF($J152=12,-$E152*$I152/12*1,0)))))+IF(DC$5&lt;&gt;$H152,0,IF(DC152&lt;0,IF($J152=10,-$E152*$I152/12*0,IF($J152=11,-$E152*$I152/12*1,IF($J152=12,-$E152*$I152/12*2,0)))))</f>
        <v>0</v>
      </c>
      <c r="DH152" s="440">
        <f>IF(AND(DC152&lt;&gt;0,DC$5=$H152),-$I152*$E152-DC152,IF(DH$5=$H152,-$I152*$E152*(12-$J152+1)/12,0))</f>
        <v>0</v>
      </c>
      <c r="DI152" s="441">
        <f>IF($H152&lt;&gt;DM$5,0,IF(DM152&lt;0,IF($J152=1,-$E152*$I152/12*3,IF($J152=2,-$E152*$I152/12*2,IF($J152=3,-$E152*$I152/12*1,0)))))+IF(DH$5&lt;&gt;$H152,0,IF(DH152&lt;0,IF($J152=1,-$E152*$I152/12*0,IF($J152=2,-$E152*$I152/12*1,IF($J152=3,-$E152*$I152/12*2,IF($J152&gt;=4,-$E152*$I152/12*3,0))))))</f>
        <v>0</v>
      </c>
      <c r="DJ152" s="442">
        <f>IF($H152&lt;&gt;DM$5,0,IF(DM152&lt;0,IF(OR($J152=1,$J152=2,$J152=3,$J152=4),-$E152*$I152/12*3,IF($J152=5,-$E152*$I152/12*2,IF($J152=6,-$E152*$I152/12*1,0)))))+IF(DH$5&lt;&gt;$H152,0,IF(DH152&lt;0,IF($J152=4,-$E152*$I152/12*0,IF($J152=5,-$E152*$I152/12*1,IF($J152=6,-$E152*$I152/12*2,IF($J152&gt;=7,-$E152*$I152/12*3,0))))))</f>
        <v>0</v>
      </c>
      <c r="DK152" s="442">
        <f>IF($H152&lt;&gt;DM$5,0,IF(DM152&lt;0,IF(OR($J152=1,$J152=2,$J152=3,$J152=4,$J152=5,$J152=6,$J152=7),-$E152*$I152/12*3,IF($J152=8,-$E152*$I152/12*2,IF($J152=9,-$E152*$I152/12*1,0)))))+IF(DH$5&lt;&gt;$H152,0,IF(DH152&lt;0,IF($J152=7,-$E152*$I152/12*0,IF($J152=8,-$E152*$I152/12*1,IF($J152=9,-$E152*$I152/12*2,IF($J152&gt;=10,-$E152*$I152/12*3,0))))))</f>
        <v>0</v>
      </c>
      <c r="DL152" s="443">
        <f>IF($H152&lt;&gt;DM$5,0,IF(DM152&lt;0,IF(OR($J152=1,$J152=2,$J152=3,$J152=4,$J152=5,$J152=6,$J152=7,$J152=8,$J152=9,$J152=10),-$E152*$I152/12*3,IF($J152=11,-$E152*$I152/12*2,IF($J152=12,-$E152*$I152/12*1,0)))))+IF(DH$5&lt;&gt;$H152,0,IF(DH152&lt;0,IF($J152=10,-$E152*$I152/12*0,IF($J152=11,-$E152*$I152/12*1,IF($J152=12,-$E152*$I152/12*2,0)))))</f>
        <v>0</v>
      </c>
      <c r="DM152" s="440">
        <f>IF(AND(DH152&lt;&gt;0,DH$5=$H152),-$I152*$E152-DH152,IF(DM$5=$H152,-$I152*$E152*(12-$J152+1)/12,0))</f>
        <v>0</v>
      </c>
      <c r="DN152" s="441">
        <f>IF($H152&lt;&gt;DR$5,0,IF(DR152&lt;0,IF($J152=1,-$E152*$I152/12*3,IF($J152=2,-$E152*$I152/12*2,IF($J152=3,-$E152*$I152/12*1,0)))))+IF(DM$5&lt;&gt;$H152,0,IF(DM152&lt;0,IF($J152=1,-$E152*$I152/12*0,IF($J152=2,-$E152*$I152/12*1,IF($J152=3,-$E152*$I152/12*2,IF($J152&gt;=4,-$E152*$I152/12*3,0))))))</f>
        <v>0</v>
      </c>
      <c r="DO152" s="442">
        <f>IF($H152&lt;&gt;DR$5,0,IF(DR152&lt;0,IF(OR($J152=1,$J152=2,$J152=3,$J152=4),-$E152*$I152/12*3,IF($J152=5,-$E152*$I152/12*2,IF($J152=6,-$E152*$I152/12*1,0)))))+IF(DM$5&lt;&gt;$H152,0,IF(DM152&lt;0,IF($J152=4,-$E152*$I152/12*0,IF($J152=5,-$E152*$I152/12*1,IF($J152=6,-$E152*$I152/12*2,IF($J152&gt;=7,-$E152*$I152/12*3,0))))))</f>
        <v>0</v>
      </c>
      <c r="DP152" s="442">
        <f>IF($H152&lt;&gt;DR$5,0,IF(DR152&lt;0,IF(OR($J152=1,$J152=2,$J152=3,$J152=4,$J152=5,$J152=6,$J152=7),-$E152*$I152/12*3,IF($J152=8,-$E152*$I152/12*2,IF($J152=9,-$E152*$I152/12*1,0)))))+IF(DM$5&lt;&gt;$H152,0,IF(DM152&lt;0,IF($J152=7,-$E152*$I152/12*0,IF($J152=8,-$E152*$I152/12*1,IF($J152=9,-$E152*$I152/12*2,IF($J152&gt;=10,-$E152*$I152/12*3,0))))))</f>
        <v>0</v>
      </c>
      <c r="DQ152" s="443">
        <f>IF($H152&lt;&gt;DR$5,0,IF(DR152&lt;0,IF(OR($J152=1,$J152=2,$J152=3,$J152=4,$J152=5,$J152=6,$J152=7,$J152=8,$J152=9,$J152=10),-$E152*$I152/12*3,IF($J152=11,-$E152*$I152/12*2,IF($J152=12,-$E152*$I152/12*1,0)))))+IF(DM$5&lt;&gt;$H152,0,IF(DM152&lt;0,IF($J152=10,-$E152*$I152/12*0,IF($J152=11,-$E152*$I152/12*1,IF($J152=12,-$E152*$I152/12*2,0)))))</f>
        <v>0</v>
      </c>
      <c r="DR152" s="440">
        <f>IF(AND(DM152&lt;&gt;0,DM$5=$H152),-$I152*$E152-DM152,IF(DR$5=$H152,-$I152*$E152*(12-$J152+1)/12,0))</f>
        <v>0</v>
      </c>
    </row>
    <row r="153" spans="1:122" ht="12.75" customHeight="1">
      <c r="C153" s="1590" t="s">
        <v>992</v>
      </c>
      <c r="D153" s="395"/>
      <c r="E153" s="188">
        <f>IF(F153=0,G153,F153)</f>
        <v>42.379769000000003</v>
      </c>
      <c r="F153" s="1945">
        <v>42.379769000000003</v>
      </c>
      <c r="G153" s="1945">
        <v>56.383000000000003</v>
      </c>
      <c r="H153" s="1366">
        <v>2020</v>
      </c>
      <c r="I153" s="1367">
        <v>1.7260000000000001E-2</v>
      </c>
      <c r="J153" s="1357">
        <v>1</v>
      </c>
      <c r="K153" s="549"/>
      <c r="L153" s="441">
        <f t="shared" si="1909"/>
        <v>0</v>
      </c>
      <c r="M153" s="442">
        <f t="shared" si="1910"/>
        <v>0</v>
      </c>
      <c r="N153" s="442">
        <f t="shared" si="1911"/>
        <v>0</v>
      </c>
      <c r="O153" s="443">
        <f t="shared" si="1912"/>
        <v>0</v>
      </c>
      <c r="P153" s="440">
        <f t="shared" si="1913"/>
        <v>0</v>
      </c>
      <c r="Q153" s="441">
        <f t="shared" si="1914"/>
        <v>0</v>
      </c>
      <c r="R153" s="442">
        <f t="shared" si="1915"/>
        <v>0</v>
      </c>
      <c r="S153" s="442">
        <f t="shared" si="1916"/>
        <v>0</v>
      </c>
      <c r="T153" s="443">
        <f t="shared" si="1917"/>
        <v>0</v>
      </c>
      <c r="U153" s="440">
        <f t="shared" si="1918"/>
        <v>0</v>
      </c>
      <c r="V153" s="441">
        <f t="shared" si="1919"/>
        <v>0</v>
      </c>
      <c r="W153" s="442">
        <f t="shared" si="1920"/>
        <v>0</v>
      </c>
      <c r="X153" s="442">
        <f t="shared" si="1921"/>
        <v>0</v>
      </c>
      <c r="Y153" s="443">
        <f t="shared" si="1922"/>
        <v>0</v>
      </c>
      <c r="Z153" s="440">
        <f t="shared" si="1923"/>
        <v>0</v>
      </c>
      <c r="AA153" s="441">
        <f t="shared" si="1924"/>
        <v>0</v>
      </c>
      <c r="AB153" s="442">
        <f t="shared" si="1925"/>
        <v>0</v>
      </c>
      <c r="AC153" s="442">
        <f t="shared" si="1926"/>
        <v>0</v>
      </c>
      <c r="AD153" s="443">
        <f t="shared" si="1927"/>
        <v>0</v>
      </c>
      <c r="AE153" s="440">
        <f t="shared" si="1928"/>
        <v>0</v>
      </c>
      <c r="AF153" s="441">
        <f t="shared" si="1929"/>
        <v>0</v>
      </c>
      <c r="AG153" s="442">
        <f t="shared" si="1930"/>
        <v>0</v>
      </c>
      <c r="AH153" s="442">
        <f t="shared" si="1931"/>
        <v>0</v>
      </c>
      <c r="AI153" s="443">
        <f t="shared" si="1932"/>
        <v>0</v>
      </c>
      <c r="AJ153" s="440">
        <f t="shared" si="1933"/>
        <v>0</v>
      </c>
      <c r="AK153" s="441">
        <f t="shared" si="1934"/>
        <v>0</v>
      </c>
      <c r="AL153" s="442">
        <f t="shared" si="1935"/>
        <v>0</v>
      </c>
      <c r="AM153" s="442">
        <f t="shared" si="1936"/>
        <v>0</v>
      </c>
      <c r="AN153" s="443">
        <f t="shared" si="1937"/>
        <v>0</v>
      </c>
      <c r="AO153" s="440">
        <f t="shared" si="1938"/>
        <v>0</v>
      </c>
      <c r="AP153" s="441">
        <f t="shared" si="1939"/>
        <v>0</v>
      </c>
      <c r="AQ153" s="442">
        <f t="shared" si="1940"/>
        <v>0</v>
      </c>
      <c r="AR153" s="442">
        <f t="shared" si="1941"/>
        <v>0</v>
      </c>
      <c r="AS153" s="443">
        <f t="shared" si="1942"/>
        <v>0</v>
      </c>
      <c r="AT153" s="440">
        <f t="shared" si="1943"/>
        <v>0</v>
      </c>
      <c r="AU153" s="441">
        <f t="shared" si="1944"/>
        <v>0</v>
      </c>
      <c r="AV153" s="442">
        <f t="shared" si="1945"/>
        <v>0</v>
      </c>
      <c r="AW153" s="442">
        <f t="shared" si="1946"/>
        <v>0</v>
      </c>
      <c r="AX153" s="443">
        <f t="shared" si="1947"/>
        <v>0</v>
      </c>
      <c r="AY153" s="440">
        <f t="shared" si="1948"/>
        <v>0</v>
      </c>
      <c r="AZ153" s="441">
        <f t="shared" si="1949"/>
        <v>0</v>
      </c>
      <c r="BA153" s="442">
        <f t="shared" si="1950"/>
        <v>0</v>
      </c>
      <c r="BB153" s="442">
        <f t="shared" si="1951"/>
        <v>0</v>
      </c>
      <c r="BC153" s="443">
        <f t="shared" si="1952"/>
        <v>0</v>
      </c>
      <c r="BD153" s="440">
        <f t="shared" si="1953"/>
        <v>0</v>
      </c>
      <c r="BE153" s="441">
        <f t="shared" si="1954"/>
        <v>-42.379769000000003</v>
      </c>
      <c r="BF153" s="442">
        <f t="shared" si="1955"/>
        <v>0</v>
      </c>
      <c r="BG153" s="442">
        <f t="shared" si="1956"/>
        <v>0</v>
      </c>
      <c r="BH153" s="443">
        <f t="shared" si="1957"/>
        <v>0</v>
      </c>
      <c r="BI153" s="440">
        <f t="shared" si="1958"/>
        <v>-42.379769000000003</v>
      </c>
      <c r="BJ153" s="441">
        <f t="shared" si="1959"/>
        <v>0</v>
      </c>
      <c r="BK153" s="442">
        <f t="shared" si="1960"/>
        <v>0</v>
      </c>
      <c r="BL153" s="442">
        <f t="shared" si="1961"/>
        <v>0</v>
      </c>
      <c r="BM153" s="443">
        <f t="shared" si="1962"/>
        <v>0</v>
      </c>
      <c r="BN153" s="440">
        <f t="shared" si="1963"/>
        <v>0</v>
      </c>
      <c r="BO153" s="470"/>
      <c r="BP153" s="441">
        <f>IF($H153&lt;&gt;BT$5,0,IF(BT153&lt;0,IF($J153=1,-$E153*$I153/12*3,IF($J153=2,-$E153*$I153/12*2,IF($J153=3,-$E153*$I153/12*1,0)))))+IF(BO$5&lt;&gt;$H153,0,IF(BO153&lt;0,IF($J153=1,-$E153*$I153/12*0,IF($J153=2,-$E153*$I153/12*1,IF($J153=3,-$E153*$I153/12*2,IF($J153&gt;=4,-$E153*$I153/12*3,0))))))</f>
        <v>0</v>
      </c>
      <c r="BQ153" s="442">
        <f>IF($H153&lt;&gt;BT$5,0,IF(BT153&lt;0,IF(OR($J153=1,$J153=2,$J153=3,$J153=4),-$E153*$I153/12*3,IF($J153=5,-$E153*$I153/12*2,IF($J153=6,-$E153*$I153/12*1,0)))))+IF(BO$5&lt;&gt;$H153,0,IF(BO153&lt;0,IF($J153=4,-$E153*$I153/12*0,IF($J153=5,-$E153*$I153/12*1,IF($J153=6,-$E153*$I153/12*2,IF($J153&gt;=7,-$E153*$I153/12*3,0))))))</f>
        <v>0</v>
      </c>
      <c r="BR153" s="442">
        <f>IF($H153&lt;&gt;BT$5,0,IF(BT153&lt;0,IF(OR($J153=1,$J153=2,$J153=3,$J153=4,$J153=5,$J153=6,$J153=7),-$E153*$I153/12*3,IF($J153=8,-$E153*$I153/12*2,IF($J153=9,-$E153*$I153/12*1,0)))))+IF(BO$5&lt;&gt;$H153,0,IF(BO153&lt;0,IF($J153=7,-$E153*$I153/12*0,IF($J153=8,-$E153*$I153/12*1,IF($J153=9,-$E153*$I153/12*2,IF($J153&gt;=10,-$E153*$I153/12*3,0))))))</f>
        <v>0</v>
      </c>
      <c r="BS153" s="443">
        <f>IF($H153&lt;&gt;BT$5,0,IF(BT153&lt;0,IF(OR($J153=1,$J153=2,$J153=3,$J153=4,$J153=5,$J153=6,$J153=7,$J153=8,$J153=9,$J153=10),-$E153*$I153/12*3,IF($J153=11,-$E153*$I153/12*2,IF($J153=12,-$E153*$I153/12*1,0)))))+IF(BO$5&lt;&gt;$H153,0,IF(BO153&lt;0,IF($J153=10,-$E153*$I153/12*0,IF($J153=11,-$E153*$I153/12*1,IF($J153=12,-$E153*$I153/12*2,0)))))</f>
        <v>0</v>
      </c>
      <c r="BT153" s="440">
        <f>IF(AND(BO153&lt;&gt;0,BO$5=$H153),-$I153*$E153-BO153,IF(BT$5=$H153,-$I153*$E153*(12-$J153+1)/12,0))</f>
        <v>0</v>
      </c>
      <c r="BU153" s="441">
        <f>IF($H153&lt;&gt;BY$5,0,IF(BY153&lt;0,IF($J153=1,-$E153*$I153/12*3,IF($J153=2,-$E153*$I153/12*2,IF($J153=3,-$E153*$I153/12*1,0)))))+IF(BT$5&lt;&gt;$H153,0,IF(BT153&lt;0,IF($J153=1,-$E153*$I153/12*0,IF($J153=2,-$E153*$I153/12*1,IF($J153=3,-$E153*$I153/12*2,IF($J153&gt;=4,-$E153*$I153/12*3,0))))))</f>
        <v>0</v>
      </c>
      <c r="BV153" s="442">
        <f>IF($H153&lt;&gt;BY$5,0,IF(BY153&lt;0,IF(OR($J153=1,$J153=2,$J153=3,$J153=4),-$E153*$I153/12*3,IF($J153=5,-$E153*$I153/12*2,IF($J153=6,-$E153*$I153/12*1,0)))))+IF(BT$5&lt;&gt;$H153,0,IF(BT153&lt;0,IF($J153=4,-$E153*$I153/12*0,IF($J153=5,-$E153*$I153/12*1,IF($J153=6,-$E153*$I153/12*2,IF($J153&gt;=7,-$E153*$I153/12*3,0))))))</f>
        <v>0</v>
      </c>
      <c r="BW153" s="442">
        <f>IF($H153&lt;&gt;BY$5,0,IF(BY153&lt;0,IF(OR($J153=1,$J153=2,$J153=3,$J153=4,$J153=5,$J153=6,$J153=7),-$E153*$I153/12*3,IF($J153=8,-$E153*$I153/12*2,IF($J153=9,-$E153*$I153/12*1,0)))))+IF(BT$5&lt;&gt;$H153,0,IF(BT153&lt;0,IF($J153=7,-$E153*$I153/12*0,IF($J153=8,-$E153*$I153/12*1,IF($J153=9,-$E153*$I153/12*2,IF($J153&gt;=10,-$E153*$I153/12*3,0))))))</f>
        <v>0</v>
      </c>
      <c r="BX153" s="443">
        <f>IF($H153&lt;&gt;BY$5,0,IF(BY153&lt;0,IF(OR($J153=1,$J153=2,$J153=3,$J153=4,$J153=5,$J153=6,$J153=7,$J153=8,$J153=9,$J153=10),-$E153*$I153/12*3,IF($J153=11,-$E153*$I153/12*2,IF($J153=12,-$E153*$I153/12*1,0)))))+IF(BT$5&lt;&gt;$H153,0,IF(BT153&lt;0,IF($J153=10,-$E153*$I153/12*0,IF($J153=11,-$E153*$I153/12*1,IF($J153=12,-$E153*$I153/12*2,0)))))</f>
        <v>0</v>
      </c>
      <c r="BY153" s="440">
        <f>IF(AND(BT153&lt;&gt;0,BT$5=$H153),-$I153*$E153-BT153,IF(BY$5=$H153,-$I153*$E153*(12-$J153+1)/12,0))</f>
        <v>0</v>
      </c>
      <c r="BZ153" s="441">
        <f>IF($H153&lt;&gt;CD$5,0,IF(CD153&lt;0,IF($J153=1,-$E153*$I153/12*3,IF($J153=2,-$E153*$I153/12*2,IF($J153=3,-$E153*$I153/12*1,0)))))+IF(BY$5&lt;&gt;$H153,0,IF(BY153&lt;0,IF($J153=1,-$E153*$I153/12*0,IF($J153=2,-$E153*$I153/12*1,IF($J153=3,-$E153*$I153/12*2,IF($J153&gt;=4,-$E153*$I153/12*3,0))))))</f>
        <v>0</v>
      </c>
      <c r="CA153" s="442">
        <f>IF($H153&lt;&gt;CD$5,0,IF(CD153&lt;0,IF(OR($J153=1,$J153=2,$J153=3,$J153=4),-$E153*$I153/12*3,IF($J153=5,-$E153*$I153/12*2,IF($J153=6,-$E153*$I153/12*1,0)))))+IF(BY$5&lt;&gt;$H153,0,IF(BY153&lt;0,IF($J153=4,-$E153*$I153/12*0,IF($J153=5,-$E153*$I153/12*1,IF($J153=6,-$E153*$I153/12*2,IF($J153&gt;=7,-$E153*$I153/12*3,0))))))</f>
        <v>0</v>
      </c>
      <c r="CB153" s="442">
        <f>IF($H153&lt;&gt;CD$5,0,IF(CD153&lt;0,IF(OR($J153=1,$J153=2,$J153=3,$J153=4,$J153=5,$J153=6,$J153=7),-$E153*$I153/12*3,IF($J153=8,-$E153*$I153/12*2,IF($J153=9,-$E153*$I153/12*1,0)))))+IF(BY$5&lt;&gt;$H153,0,IF(BY153&lt;0,IF($J153=7,-$E153*$I153/12*0,IF($J153=8,-$E153*$I153/12*1,IF($J153=9,-$E153*$I153/12*2,IF($J153&gt;=10,-$E153*$I153/12*3,0))))))</f>
        <v>0</v>
      </c>
      <c r="CC153" s="443">
        <f>IF($H153&lt;&gt;CD$5,0,IF(CD153&lt;0,IF(OR($J153=1,$J153=2,$J153=3,$J153=4,$J153=5,$J153=6,$J153=7,$J153=8,$J153=9,$J153=10),-$E153*$I153/12*3,IF($J153=11,-$E153*$I153/12*2,IF($J153=12,-$E153*$I153/12*1,0)))))+IF(BY$5&lt;&gt;$H153,0,IF(BY153&lt;0,IF($J153=10,-$E153*$I153/12*0,IF($J153=11,-$E153*$I153/12*1,IF($J153=12,-$E153*$I153/12*2,0)))))</f>
        <v>0</v>
      </c>
      <c r="CD153" s="440">
        <f>IF(AND(BY153&lt;&gt;0,BY$5=$H153),-$I153*$E153-BY153,IF(CD$5=$H153,-$I153*$E153*(12-$J153+1)/12,0))</f>
        <v>0</v>
      </c>
      <c r="CE153" s="441">
        <f>IF($H153&lt;&gt;CI$5,0,IF(CI153&lt;0,IF($J153=1,-$E153*$I153/12*3,IF($J153=2,-$E153*$I153/12*2,IF($J153=3,-$E153*$I153/12*1,0)))))+IF(CD$5&lt;&gt;$H153,0,IF(CD153&lt;0,IF($J153=1,-$E153*$I153/12*0,IF($J153=2,-$E153*$I153/12*1,IF($J153=3,-$E153*$I153/12*2,IF($J153&gt;=4,-$E153*$I153/12*3,0))))))</f>
        <v>0</v>
      </c>
      <c r="CF153" s="442">
        <f>IF($H153&lt;&gt;CI$5,0,IF(CI153&lt;0,IF(OR($J153=1,$J153=2,$J153=3,$J153=4),-$E153*$I153/12*3,IF($J153=5,-$E153*$I153/12*2,IF($J153=6,-$E153*$I153/12*1,0)))))+IF(CD$5&lt;&gt;$H153,0,IF(CD153&lt;0,IF($J153=4,-$E153*$I153/12*0,IF($J153=5,-$E153*$I153/12*1,IF($J153=6,-$E153*$I153/12*2,IF($J153&gt;=7,-$E153*$I153/12*3,0))))))</f>
        <v>0</v>
      </c>
      <c r="CG153" s="442">
        <f>IF($H153&lt;&gt;CI$5,0,IF(CI153&lt;0,IF(OR($J153=1,$J153=2,$J153=3,$J153=4,$J153=5,$J153=6,$J153=7),-$E153*$I153/12*3,IF($J153=8,-$E153*$I153/12*2,IF($J153=9,-$E153*$I153/12*1,0)))))+IF(CD$5&lt;&gt;$H153,0,IF(CD153&lt;0,IF($J153=7,-$E153*$I153/12*0,IF($J153=8,-$E153*$I153/12*1,IF($J153=9,-$E153*$I153/12*2,IF($J153&gt;=10,-$E153*$I153/12*3,0))))))</f>
        <v>0</v>
      </c>
      <c r="CH153" s="443">
        <f>IF($H153&lt;&gt;CI$5,0,IF(CI153&lt;0,IF(OR($J153=1,$J153=2,$J153=3,$J153=4,$J153=5,$J153=6,$J153=7,$J153=8,$J153=9,$J153=10),-$E153*$I153/12*3,IF($J153=11,-$E153*$I153/12*2,IF($J153=12,-$E153*$I153/12*1,0)))))+IF(CD$5&lt;&gt;$H153,0,IF(CD153&lt;0,IF($J153=10,-$E153*$I153/12*0,IF($J153=11,-$E153*$I153/12*1,IF($J153=12,-$E153*$I153/12*2,0)))))</f>
        <v>0</v>
      </c>
      <c r="CI153" s="440">
        <f>IF(AND(CD153&lt;&gt;0,CD$5=$H153),-$I153*$E153-CD153,IF(CI$5=$H153,-$I153*$E153*(12-$J153+1)/12,0))</f>
        <v>0</v>
      </c>
      <c r="CJ153" s="441">
        <f>IF($H153&lt;&gt;CN$5,0,IF(CN153&lt;0,IF($J153=1,-$E153*$I153/12*3,IF($J153=2,-$E153*$I153/12*2,IF($J153=3,-$E153*$I153/12*1,0)))))+IF(CI$5&lt;&gt;$H153,0,IF(CI153&lt;0,IF($J153=1,-$E153*$I153/12*0,IF($J153=2,-$E153*$I153/12*1,IF($J153=3,-$E153*$I153/12*2,IF($J153&gt;=4,-$E153*$I153/12*3,0))))))</f>
        <v>0</v>
      </c>
      <c r="CK153" s="442">
        <f>IF($H153&lt;&gt;CN$5,0,IF(CN153&lt;0,IF(OR($J153=1,$J153=2,$J153=3,$J153=4),-$E153*$I153/12*3,IF($J153=5,-$E153*$I153/12*2,IF($J153=6,-$E153*$I153/12*1,0)))))+IF(CI$5&lt;&gt;$H153,0,IF(CI153&lt;0,IF($J153=4,-$E153*$I153/12*0,IF($J153=5,-$E153*$I153/12*1,IF($J153=6,-$E153*$I153/12*2,IF($J153&gt;=7,-$E153*$I153/12*3,0))))))</f>
        <v>0</v>
      </c>
      <c r="CL153" s="442">
        <f>IF($H153&lt;&gt;CN$5,0,IF(CN153&lt;0,IF(OR($J153=1,$J153=2,$J153=3,$J153=4,$J153=5,$J153=6,$J153=7),-$E153*$I153/12*3,IF($J153=8,-$E153*$I153/12*2,IF($J153=9,-$E153*$I153/12*1,0)))))+IF(CI$5&lt;&gt;$H153,0,IF(CI153&lt;0,IF($J153=7,-$E153*$I153/12*0,IF($J153=8,-$E153*$I153/12*1,IF($J153=9,-$E153*$I153/12*2,IF($J153&gt;=10,-$E153*$I153/12*3,0))))))</f>
        <v>0</v>
      </c>
      <c r="CM153" s="443">
        <f>IF($H153&lt;&gt;CN$5,0,IF(CN153&lt;0,IF(OR($J153=1,$J153=2,$J153=3,$J153=4,$J153=5,$J153=6,$J153=7,$J153=8,$J153=9,$J153=10),-$E153*$I153/12*3,IF($J153=11,-$E153*$I153/12*2,IF($J153=12,-$E153*$I153/12*1,0)))))+IF(CI$5&lt;&gt;$H153,0,IF(CI153&lt;0,IF($J153=10,-$E153*$I153/12*0,IF($J153=11,-$E153*$I153/12*1,IF($J153=12,-$E153*$I153/12*2,0)))))</f>
        <v>0</v>
      </c>
      <c r="CN153" s="440">
        <f>IF(AND(CI153&lt;&gt;0,CI$5=$H153),-$I153*$E153-CI153,IF(CN$5=$H153,-$I153*$E153*(12-$J153+1)/12,0))</f>
        <v>0</v>
      </c>
      <c r="CO153" s="441">
        <f>IF($H153&lt;&gt;CS$5,0,IF(CS153&lt;0,IF($J153=1,-$E153*$I153/12*3,IF($J153=2,-$E153*$I153/12*2,IF($J153=3,-$E153*$I153/12*1,0)))))+IF(CN$5&lt;&gt;$H153,0,IF(CN153&lt;0,IF($J153=1,-$E153*$I153/12*0,IF($J153=2,-$E153*$I153/12*1,IF($J153=3,-$E153*$I153/12*2,IF($J153&gt;=4,-$E153*$I153/12*3,0))))))</f>
        <v>0</v>
      </c>
      <c r="CP153" s="442">
        <f>IF($H153&lt;&gt;CS$5,0,IF(CS153&lt;0,IF(OR($J153=1,$J153=2,$J153=3,$J153=4),-$E153*$I153/12*3,IF($J153=5,-$E153*$I153/12*2,IF($J153=6,-$E153*$I153/12*1,0)))))+IF(CN$5&lt;&gt;$H153,0,IF(CN153&lt;0,IF($J153=4,-$E153*$I153/12*0,IF($J153=5,-$E153*$I153/12*1,IF($J153=6,-$E153*$I153/12*2,IF($J153&gt;=7,-$E153*$I153/12*3,0))))))</f>
        <v>0</v>
      </c>
      <c r="CQ153" s="442">
        <f>IF($H153&lt;&gt;CS$5,0,IF(CS153&lt;0,IF(OR($J153=1,$J153=2,$J153=3,$J153=4,$J153=5,$J153=6,$J153=7),-$E153*$I153/12*3,IF($J153=8,-$E153*$I153/12*2,IF($J153=9,-$E153*$I153/12*1,0)))))+IF(CN$5&lt;&gt;$H153,0,IF(CN153&lt;0,IF($J153=7,-$E153*$I153/12*0,IF($J153=8,-$E153*$I153/12*1,IF($J153=9,-$E153*$I153/12*2,IF($J153&gt;=10,-$E153*$I153/12*3,0))))))</f>
        <v>0</v>
      </c>
      <c r="CR153" s="443">
        <f>IF($H153&lt;&gt;CS$5,0,IF(CS153&lt;0,IF(OR($J153=1,$J153=2,$J153=3,$J153=4,$J153=5,$J153=6,$J153=7,$J153=8,$J153=9,$J153=10),-$E153*$I153/12*3,IF($J153=11,-$E153*$I153/12*2,IF($J153=12,-$E153*$I153/12*1,0)))))+IF(CN$5&lt;&gt;$H153,0,IF(CN153&lt;0,IF($J153=10,-$E153*$I153/12*0,IF($J153=11,-$E153*$I153/12*1,IF($J153=12,-$E153*$I153/12*2,0)))))</f>
        <v>0</v>
      </c>
      <c r="CS153" s="440">
        <f>IF(AND(CN153&lt;&gt;0,CN$5=$H153),-$I153*$E153-CN153,IF(CS$5=$H153,-$I153*$E153*(12-$J153+1)/12,0))</f>
        <v>0</v>
      </c>
      <c r="CT153" s="441">
        <f>IF($H153&lt;&gt;CX$5,0,IF(CX153&lt;0,IF($J153=1,-$E153*$I153/12*3,IF($J153=2,-$E153*$I153/12*2,IF($J153=3,-$E153*$I153/12*1,0)))))+IF(CS$5&lt;&gt;$H153,0,IF(CS153&lt;0,IF($J153=1,-$E153*$I153/12*0,IF($J153=2,-$E153*$I153/12*1,IF($J153=3,-$E153*$I153/12*2,IF($J153&gt;=4,-$E153*$I153/12*3,0))))))</f>
        <v>0</v>
      </c>
      <c r="CU153" s="442">
        <f>IF($H153&lt;&gt;CX$5,0,IF(CX153&lt;0,IF(OR($J153=1,$J153=2,$J153=3,$J153=4),-$E153*$I153/12*3,IF($J153=5,-$E153*$I153/12*2,IF($J153=6,-$E153*$I153/12*1,0)))))+IF(CS$5&lt;&gt;$H153,0,IF(CS153&lt;0,IF($J153=4,-$E153*$I153/12*0,IF($J153=5,-$E153*$I153/12*1,IF($J153=6,-$E153*$I153/12*2,IF($J153&gt;=7,-$E153*$I153/12*3,0))))))</f>
        <v>0</v>
      </c>
      <c r="CV153" s="442">
        <f>IF($H153&lt;&gt;CX$5,0,IF(CX153&lt;0,IF(OR($J153=1,$J153=2,$J153=3,$J153=4,$J153=5,$J153=6,$J153=7),-$E153*$I153/12*3,IF($J153=8,-$E153*$I153/12*2,IF($J153=9,-$E153*$I153/12*1,0)))))+IF(CS$5&lt;&gt;$H153,0,IF(CS153&lt;0,IF($J153=7,-$E153*$I153/12*0,IF($J153=8,-$E153*$I153/12*1,IF($J153=9,-$E153*$I153/12*2,IF($J153&gt;=10,-$E153*$I153/12*3,0))))))</f>
        <v>0</v>
      </c>
      <c r="CW153" s="443">
        <f>IF($H153&lt;&gt;CX$5,0,IF(CX153&lt;0,IF(OR($J153=1,$J153=2,$J153=3,$J153=4,$J153=5,$J153=6,$J153=7,$J153=8,$J153=9,$J153=10),-$E153*$I153/12*3,IF($J153=11,-$E153*$I153/12*2,IF($J153=12,-$E153*$I153/12*1,0)))))+IF(CS$5&lt;&gt;$H153,0,IF(CS153&lt;0,IF($J153=10,-$E153*$I153/12*0,IF($J153=11,-$E153*$I153/12*1,IF($J153=12,-$E153*$I153/12*2,0)))))</f>
        <v>0</v>
      </c>
      <c r="CX153" s="440">
        <f>IF(AND(CS153&lt;&gt;0,CS$5=$H153),-$I153*$E153-CS153,IF(CX$5=$H153,-$I153*$E153*(12-$J153+1)/12,0))</f>
        <v>0</v>
      </c>
      <c r="CY153" s="441">
        <f>IF($H153&lt;&gt;DC$5,0,IF(DC153&lt;0,IF($J153=1,-$E153*$I153/12*3,IF($J153=2,-$E153*$I153/12*2,IF($J153=3,-$E153*$I153/12*1,0)))))+IF(CX$5&lt;&gt;$H153,0,IF(CX153&lt;0,IF($J153=1,-$E153*$I153/12*0,IF($J153=2,-$E153*$I153/12*1,IF($J153=3,-$E153*$I153/12*2,IF($J153&gt;=4,-$E153*$I153/12*3,0))))))</f>
        <v>0</v>
      </c>
      <c r="CZ153" s="442">
        <f>IF($H153&lt;&gt;DC$5,0,IF(DC153&lt;0,IF(OR($J153=1,$J153=2,$J153=3,$J153=4),-$E153*$I153/12*3,IF($J153=5,-$E153*$I153/12*2,IF($J153=6,-$E153*$I153/12*1,0)))))+IF(CX$5&lt;&gt;$H153,0,IF(CX153&lt;0,IF($J153=4,-$E153*$I153/12*0,IF($J153=5,-$E153*$I153/12*1,IF($J153=6,-$E153*$I153/12*2,IF($J153&gt;=7,-$E153*$I153/12*3,0))))))</f>
        <v>0</v>
      </c>
      <c r="DA153" s="442">
        <f>IF($H153&lt;&gt;DC$5,0,IF(DC153&lt;0,IF(OR($J153=1,$J153=2,$J153=3,$J153=4,$J153=5,$J153=6,$J153=7),-$E153*$I153/12*3,IF($J153=8,-$E153*$I153/12*2,IF($J153=9,-$E153*$I153/12*1,0)))))+IF(CX$5&lt;&gt;$H153,0,IF(CX153&lt;0,IF($J153=7,-$E153*$I153/12*0,IF($J153=8,-$E153*$I153/12*1,IF($J153=9,-$E153*$I153/12*2,IF($J153&gt;=10,-$E153*$I153/12*3,0))))))</f>
        <v>0</v>
      </c>
      <c r="DB153" s="443">
        <f>IF($H153&lt;&gt;DC$5,0,IF(DC153&lt;0,IF(OR($J153=1,$J153=2,$J153=3,$J153=4,$J153=5,$J153=6,$J153=7,$J153=8,$J153=9,$J153=10),-$E153*$I153/12*3,IF($J153=11,-$E153*$I153/12*2,IF($J153=12,-$E153*$I153/12*1,0)))))+IF(CX$5&lt;&gt;$H153,0,IF(CX153&lt;0,IF($J153=10,-$E153*$I153/12*0,IF($J153=11,-$E153*$I153/12*1,IF($J153=12,-$E153*$I153/12*2,0)))))</f>
        <v>0</v>
      </c>
      <c r="DC153" s="440">
        <f>IF(AND(CX153&lt;&gt;0,CX$5=$H153),-$I153*$E153-CX153,IF(DC$5=$H153,-$I153*$E153*(12-$J153+1)/12,0))</f>
        <v>0</v>
      </c>
      <c r="DD153" s="441">
        <f>IF($H153&lt;&gt;DH$5,0,IF(DH153&lt;0,IF($J153=1,-$E153*$I153/12*3,IF($J153=2,-$E153*$I153/12*2,IF($J153=3,-$E153*$I153/12*1,0)))))+IF(DC$5&lt;&gt;$H153,0,IF(DC153&lt;0,IF($J153=1,-$E153*$I153/12*0,IF($J153=2,-$E153*$I153/12*1,IF($J153=3,-$E153*$I153/12*2,IF($J153&gt;=4,-$E153*$I153/12*3,0))))))</f>
        <v>0</v>
      </c>
      <c r="DE153" s="442">
        <f>IF($H153&lt;&gt;DH$5,0,IF(DH153&lt;0,IF(OR($J153=1,$J153=2,$J153=3,$J153=4),-$E153*$I153/12*3,IF($J153=5,-$E153*$I153/12*2,IF($J153=6,-$E153*$I153/12*1,0)))))+IF(DC$5&lt;&gt;$H153,0,IF(DC153&lt;0,IF($J153=4,-$E153*$I153/12*0,IF($J153=5,-$E153*$I153/12*1,IF($J153=6,-$E153*$I153/12*2,IF($J153&gt;=7,-$E153*$I153/12*3,0))))))</f>
        <v>0</v>
      </c>
      <c r="DF153" s="442">
        <f>IF($H153&lt;&gt;DH$5,0,IF(DH153&lt;0,IF(OR($J153=1,$J153=2,$J153=3,$J153=4,$J153=5,$J153=6,$J153=7),-$E153*$I153/12*3,IF($J153=8,-$E153*$I153/12*2,IF($J153=9,-$E153*$I153/12*1,0)))))+IF(DC$5&lt;&gt;$H153,0,IF(DC153&lt;0,IF($J153=7,-$E153*$I153/12*0,IF($J153=8,-$E153*$I153/12*1,IF($J153=9,-$E153*$I153/12*2,IF($J153&gt;=10,-$E153*$I153/12*3,0))))))</f>
        <v>0</v>
      </c>
      <c r="DG153" s="443">
        <f>IF($H153&lt;&gt;DH$5,0,IF(DH153&lt;0,IF(OR($J153=1,$J153=2,$J153=3,$J153=4,$J153=5,$J153=6,$J153=7,$J153=8,$J153=9,$J153=10),-$E153*$I153/12*3,IF($J153=11,-$E153*$I153/12*2,IF($J153=12,-$E153*$I153/12*1,0)))))+IF(DC$5&lt;&gt;$H153,0,IF(DC153&lt;0,IF($J153=10,-$E153*$I153/12*0,IF($J153=11,-$E153*$I153/12*1,IF($J153=12,-$E153*$I153/12*2,0)))))</f>
        <v>0</v>
      </c>
      <c r="DH153" s="440">
        <f>IF(AND(DC153&lt;&gt;0,DC$5=$H153),-$I153*$E153-DC153,IF(DH$5=$H153,-$I153*$E153*(12-$J153+1)/12,0))</f>
        <v>0</v>
      </c>
      <c r="DI153" s="441">
        <f>IF($H153&lt;&gt;DM$5,0,IF(DM153&lt;0,IF($J153=1,-$E153*$I153/12*3,IF($J153=2,-$E153*$I153/12*2,IF($J153=3,-$E153*$I153/12*1,0)))))+IF(DH$5&lt;&gt;$H153,0,IF(DH153&lt;0,IF($J153=1,-$E153*$I153/12*0,IF($J153=2,-$E153*$I153/12*1,IF($J153=3,-$E153*$I153/12*2,IF($J153&gt;=4,-$E153*$I153/12*3,0))))))</f>
        <v>-0.18286870323500001</v>
      </c>
      <c r="DJ153" s="442">
        <f>IF($H153&lt;&gt;DM$5,0,IF(DM153&lt;0,IF(OR($J153=1,$J153=2,$J153=3,$J153=4),-$E153*$I153/12*3,IF($J153=5,-$E153*$I153/12*2,IF($J153=6,-$E153*$I153/12*1,0)))))+IF(DH$5&lt;&gt;$H153,0,IF(DH153&lt;0,IF($J153=4,-$E153*$I153/12*0,IF($J153=5,-$E153*$I153/12*1,IF($J153=6,-$E153*$I153/12*2,IF($J153&gt;=7,-$E153*$I153/12*3,0))))))</f>
        <v>-0.18286870323500001</v>
      </c>
      <c r="DK153" s="442">
        <f>IF($H153&lt;&gt;DM$5,0,IF(DM153&lt;0,IF(OR($J153=1,$J153=2,$J153=3,$J153=4,$J153=5,$J153=6,$J153=7),-$E153*$I153/12*3,IF($J153=8,-$E153*$I153/12*2,IF($J153=9,-$E153*$I153/12*1,0)))))+IF(DH$5&lt;&gt;$H153,0,IF(DH153&lt;0,IF($J153=7,-$E153*$I153/12*0,IF($J153=8,-$E153*$I153/12*1,IF($J153=9,-$E153*$I153/12*2,IF($J153&gt;=10,-$E153*$I153/12*3,0))))))</f>
        <v>-0.18286870323500001</v>
      </c>
      <c r="DL153" s="443">
        <f>IF($H153&lt;&gt;DM$5,0,IF(DM153&lt;0,IF(OR($J153=1,$J153=2,$J153=3,$J153=4,$J153=5,$J153=6,$J153=7,$J153=8,$J153=9,$J153=10),-$E153*$I153/12*3,IF($J153=11,-$E153*$I153/12*2,IF($J153=12,-$E153*$I153/12*1,0)))))+IF(DH$5&lt;&gt;$H153,0,IF(DH153&lt;0,IF($J153=10,-$E153*$I153/12*0,IF($J153=11,-$E153*$I153/12*1,IF($J153=12,-$E153*$I153/12*2,0)))))</f>
        <v>-0.18286870323500001</v>
      </c>
      <c r="DM153" s="440">
        <f>IF(AND(DH153&lt;&gt;0,DH$5=$H153),-$I153*$E153-DH153,IF(DM$5=$H153,-$I153*$E153*(12-$J153+1)/12,0))</f>
        <v>-0.73147481294000005</v>
      </c>
      <c r="DN153" s="441">
        <f>IF($H153&lt;&gt;DR$5,0,IF(DR153&lt;0,IF($J153=1,-$E153*$I153/12*3,IF($J153=2,-$E153*$I153/12*2,IF($J153=3,-$E153*$I153/12*1,0)))))+IF(DM$5&lt;&gt;$H153,0,IF(DM153&lt;0,IF($J153=1,-$E153*$I153/12*0,IF($J153=2,-$E153*$I153/12*1,IF($J153=3,-$E153*$I153/12*2,IF($J153&gt;=4,-$E153*$I153/12*3,0))))))</f>
        <v>0</v>
      </c>
      <c r="DO153" s="442">
        <f>IF($H153&lt;&gt;DR$5,0,IF(DR153&lt;0,IF(OR($J153=1,$J153=2,$J153=3,$J153=4),-$E153*$I153/12*3,IF($J153=5,-$E153*$I153/12*2,IF($J153=6,-$E153*$I153/12*1,0)))))+IF(DM$5&lt;&gt;$H153,0,IF(DM153&lt;0,IF($J153=4,-$E153*$I153/12*0,IF($J153=5,-$E153*$I153/12*1,IF($J153=6,-$E153*$I153/12*2,IF($J153&gt;=7,-$E153*$I153/12*3,0))))))</f>
        <v>0</v>
      </c>
      <c r="DP153" s="442">
        <f>IF($H153&lt;&gt;DR$5,0,IF(DR153&lt;0,IF(OR($J153=1,$J153=2,$J153=3,$J153=4,$J153=5,$J153=6,$J153=7),-$E153*$I153/12*3,IF($J153=8,-$E153*$I153/12*2,IF($J153=9,-$E153*$I153/12*1,0)))))+IF(DM$5&lt;&gt;$H153,0,IF(DM153&lt;0,IF($J153=7,-$E153*$I153/12*0,IF($J153=8,-$E153*$I153/12*1,IF($J153=9,-$E153*$I153/12*2,IF($J153&gt;=10,-$E153*$I153/12*3,0))))))</f>
        <v>0</v>
      </c>
      <c r="DQ153" s="443">
        <f>IF($H153&lt;&gt;DR$5,0,IF(DR153&lt;0,IF(OR($J153=1,$J153=2,$J153=3,$J153=4,$J153=5,$J153=6,$J153=7,$J153=8,$J153=9,$J153=10),-$E153*$I153/12*3,IF($J153=11,-$E153*$I153/12*2,IF($J153=12,-$E153*$I153/12*1,0)))))+IF(DM$5&lt;&gt;$H153,0,IF(DM153&lt;0,IF($J153=10,-$E153*$I153/12*0,IF($J153=11,-$E153*$I153/12*1,IF($J153=12,-$E153*$I153/12*2,0)))))</f>
        <v>0</v>
      </c>
      <c r="DR153" s="440">
        <f>IF(AND(DM153&lt;&gt;0,DM$5=$H153),-$I153*$E153-DM153,IF(DR$5=$H153,-$I153*$E153*(12-$J153+1)/12,0))</f>
        <v>0</v>
      </c>
    </row>
    <row r="154" spans="1:122" ht="12.75" customHeight="1">
      <c r="C154" s="1590" t="s">
        <v>991</v>
      </c>
      <c r="D154" s="395"/>
      <c r="E154" s="188">
        <f>IF(F154=0,G154,F154)</f>
        <v>103.16</v>
      </c>
      <c r="F154" s="1945">
        <v>103.16</v>
      </c>
      <c r="G154" s="1945">
        <v>103.16</v>
      </c>
      <c r="H154" s="1366">
        <v>2034</v>
      </c>
      <c r="I154" s="1367">
        <v>3.4500000000000003E-2</v>
      </c>
      <c r="J154" s="1357">
        <v>1</v>
      </c>
      <c r="K154" s="549"/>
      <c r="L154" s="441">
        <f t="shared" si="1909"/>
        <v>0</v>
      </c>
      <c r="M154" s="442">
        <f t="shared" si="1910"/>
        <v>0</v>
      </c>
      <c r="N154" s="442">
        <f t="shared" si="1911"/>
        <v>0</v>
      </c>
      <c r="O154" s="443">
        <f t="shared" si="1912"/>
        <v>0</v>
      </c>
      <c r="P154" s="440">
        <f t="shared" si="1913"/>
        <v>0</v>
      </c>
      <c r="Q154" s="441">
        <f t="shared" si="1914"/>
        <v>0</v>
      </c>
      <c r="R154" s="442">
        <f t="shared" si="1915"/>
        <v>0</v>
      </c>
      <c r="S154" s="442">
        <f t="shared" si="1916"/>
        <v>0</v>
      </c>
      <c r="T154" s="443">
        <f t="shared" si="1917"/>
        <v>0</v>
      </c>
      <c r="U154" s="440">
        <f t="shared" si="1918"/>
        <v>0</v>
      </c>
      <c r="V154" s="441">
        <f t="shared" si="1919"/>
        <v>0</v>
      </c>
      <c r="W154" s="442">
        <f t="shared" si="1920"/>
        <v>0</v>
      </c>
      <c r="X154" s="442">
        <f t="shared" si="1921"/>
        <v>0</v>
      </c>
      <c r="Y154" s="443">
        <f t="shared" si="1922"/>
        <v>0</v>
      </c>
      <c r="Z154" s="440">
        <f t="shared" si="1923"/>
        <v>0</v>
      </c>
      <c r="AA154" s="441">
        <f t="shared" si="1924"/>
        <v>0</v>
      </c>
      <c r="AB154" s="442">
        <f t="shared" si="1925"/>
        <v>0</v>
      </c>
      <c r="AC154" s="442">
        <f t="shared" si="1926"/>
        <v>0</v>
      </c>
      <c r="AD154" s="443">
        <f t="shared" si="1927"/>
        <v>0</v>
      </c>
      <c r="AE154" s="440">
        <f t="shared" si="1928"/>
        <v>0</v>
      </c>
      <c r="AF154" s="441">
        <f t="shared" si="1929"/>
        <v>0</v>
      </c>
      <c r="AG154" s="442">
        <f t="shared" si="1930"/>
        <v>0</v>
      </c>
      <c r="AH154" s="442">
        <f t="shared" si="1931"/>
        <v>0</v>
      </c>
      <c r="AI154" s="443">
        <f t="shared" si="1932"/>
        <v>0</v>
      </c>
      <c r="AJ154" s="440">
        <f t="shared" si="1933"/>
        <v>0</v>
      </c>
      <c r="AK154" s="441">
        <f t="shared" si="1934"/>
        <v>0</v>
      </c>
      <c r="AL154" s="442">
        <f t="shared" si="1935"/>
        <v>0</v>
      </c>
      <c r="AM154" s="442">
        <f t="shared" si="1936"/>
        <v>0</v>
      </c>
      <c r="AN154" s="443">
        <f t="shared" si="1937"/>
        <v>0</v>
      </c>
      <c r="AO154" s="440">
        <f t="shared" si="1938"/>
        <v>0</v>
      </c>
      <c r="AP154" s="441">
        <f t="shared" si="1939"/>
        <v>0</v>
      </c>
      <c r="AQ154" s="442">
        <f t="shared" si="1940"/>
        <v>0</v>
      </c>
      <c r="AR154" s="442">
        <f t="shared" si="1941"/>
        <v>0</v>
      </c>
      <c r="AS154" s="443">
        <f t="shared" si="1942"/>
        <v>0</v>
      </c>
      <c r="AT154" s="440">
        <f t="shared" si="1943"/>
        <v>0</v>
      </c>
      <c r="AU154" s="441">
        <f t="shared" si="1944"/>
        <v>0</v>
      </c>
      <c r="AV154" s="442">
        <f t="shared" si="1945"/>
        <v>0</v>
      </c>
      <c r="AW154" s="442">
        <f t="shared" si="1946"/>
        <v>0</v>
      </c>
      <c r="AX154" s="443">
        <f t="shared" si="1947"/>
        <v>0</v>
      </c>
      <c r="AY154" s="440">
        <f t="shared" si="1948"/>
        <v>0</v>
      </c>
      <c r="AZ154" s="441">
        <f t="shared" si="1949"/>
        <v>0</v>
      </c>
      <c r="BA154" s="442">
        <f t="shared" si="1950"/>
        <v>0</v>
      </c>
      <c r="BB154" s="442">
        <f t="shared" si="1951"/>
        <v>0</v>
      </c>
      <c r="BC154" s="443">
        <f t="shared" si="1952"/>
        <v>0</v>
      </c>
      <c r="BD154" s="440">
        <f t="shared" si="1953"/>
        <v>0</v>
      </c>
      <c r="BE154" s="441">
        <f t="shared" si="1954"/>
        <v>0</v>
      </c>
      <c r="BF154" s="442">
        <f t="shared" si="1955"/>
        <v>0</v>
      </c>
      <c r="BG154" s="442">
        <f t="shared" si="1956"/>
        <v>0</v>
      </c>
      <c r="BH154" s="443">
        <f t="shared" si="1957"/>
        <v>0</v>
      </c>
      <c r="BI154" s="440">
        <f t="shared" si="1958"/>
        <v>0</v>
      </c>
      <c r="BJ154" s="441">
        <f t="shared" si="1959"/>
        <v>0</v>
      </c>
      <c r="BK154" s="442">
        <f t="shared" si="1960"/>
        <v>0</v>
      </c>
      <c r="BL154" s="442">
        <f t="shared" si="1961"/>
        <v>0</v>
      </c>
      <c r="BM154" s="443">
        <f t="shared" si="1962"/>
        <v>0</v>
      </c>
      <c r="BN154" s="440">
        <f t="shared" si="1963"/>
        <v>0</v>
      </c>
      <c r="BO154" s="470"/>
      <c r="BP154" s="441">
        <f>IF($H154&lt;&gt;BT$5,0,IF(BT154&lt;0,IF($J154=1,-$E154*$I154/12*3,IF($J154=2,-$E154*$I154/12*2,IF($J154=3,-$E154*$I154/12*1,0)))))+IF(BO$5&lt;&gt;$H154,0,IF(BO154&lt;0,IF($J154=1,-$E154*$I154/12*0,IF($J154=2,-$E154*$I154/12*1,IF($J154=3,-$E154*$I154/12*2,IF($J154&gt;=4,-$E154*$I154/12*3,0))))))</f>
        <v>0</v>
      </c>
      <c r="BQ154" s="442">
        <f>IF($H154&lt;&gt;BT$5,0,IF(BT154&lt;0,IF(OR($J154=1,$J154=2,$J154=3,$J154=4),-$E154*$I154/12*3,IF($J154=5,-$E154*$I154/12*2,IF($J154=6,-$E154*$I154/12*1,0)))))+IF(BO$5&lt;&gt;$H154,0,IF(BO154&lt;0,IF($J154=4,-$E154*$I154/12*0,IF($J154=5,-$E154*$I154/12*1,IF($J154=6,-$E154*$I154/12*2,IF($J154&gt;=7,-$E154*$I154/12*3,0))))))</f>
        <v>0</v>
      </c>
      <c r="BR154" s="442">
        <f>IF($H154&lt;&gt;BT$5,0,IF(BT154&lt;0,IF(OR($J154=1,$J154=2,$J154=3,$J154=4,$J154=5,$J154=6,$J154=7),-$E154*$I154/12*3,IF($J154=8,-$E154*$I154/12*2,IF($J154=9,-$E154*$I154/12*1,0)))))+IF(BO$5&lt;&gt;$H154,0,IF(BO154&lt;0,IF($J154=7,-$E154*$I154/12*0,IF($J154=8,-$E154*$I154/12*1,IF($J154=9,-$E154*$I154/12*2,IF($J154&gt;=10,-$E154*$I154/12*3,0))))))</f>
        <v>0</v>
      </c>
      <c r="BS154" s="443">
        <f>IF($H154&lt;&gt;BT$5,0,IF(BT154&lt;0,IF(OR($J154=1,$J154=2,$J154=3,$J154=4,$J154=5,$J154=6,$J154=7,$J154=8,$J154=9,$J154=10),-$E154*$I154/12*3,IF($J154=11,-$E154*$I154/12*2,IF($J154=12,-$E154*$I154/12*1,0)))))+IF(BO$5&lt;&gt;$H154,0,IF(BO154&lt;0,IF($J154=10,-$E154*$I154/12*0,IF($J154=11,-$E154*$I154/12*1,IF($J154=12,-$E154*$I154/12*2,0)))))</f>
        <v>0</v>
      </c>
      <c r="BT154" s="440">
        <f>IF(AND(BO154&lt;&gt;0,BO$5=$H154),-$I154*$E154-BO154,IF(BT$5=$H154,-$I154*$E154*(12-$J154+1)/12,0))</f>
        <v>0</v>
      </c>
      <c r="BU154" s="441">
        <f>IF($H154&lt;&gt;BY$5,0,IF(BY154&lt;0,IF($J154=1,-$E154*$I154/12*3,IF($J154=2,-$E154*$I154/12*2,IF($J154=3,-$E154*$I154/12*1,0)))))+IF(BT$5&lt;&gt;$H154,0,IF(BT154&lt;0,IF($J154=1,-$E154*$I154/12*0,IF($J154=2,-$E154*$I154/12*1,IF($J154=3,-$E154*$I154/12*2,IF($J154&gt;=4,-$E154*$I154/12*3,0))))))</f>
        <v>0</v>
      </c>
      <c r="BV154" s="442">
        <f>IF($H154&lt;&gt;BY$5,0,IF(BY154&lt;0,IF(OR($J154=1,$J154=2,$J154=3,$J154=4),-$E154*$I154/12*3,IF($J154=5,-$E154*$I154/12*2,IF($J154=6,-$E154*$I154/12*1,0)))))+IF(BT$5&lt;&gt;$H154,0,IF(BT154&lt;0,IF($J154=4,-$E154*$I154/12*0,IF($J154=5,-$E154*$I154/12*1,IF($J154=6,-$E154*$I154/12*2,IF($J154&gt;=7,-$E154*$I154/12*3,0))))))</f>
        <v>0</v>
      </c>
      <c r="BW154" s="442">
        <f>IF($H154&lt;&gt;BY$5,0,IF(BY154&lt;0,IF(OR($J154=1,$J154=2,$J154=3,$J154=4,$J154=5,$J154=6,$J154=7),-$E154*$I154/12*3,IF($J154=8,-$E154*$I154/12*2,IF($J154=9,-$E154*$I154/12*1,0)))))+IF(BT$5&lt;&gt;$H154,0,IF(BT154&lt;0,IF($J154=7,-$E154*$I154/12*0,IF($J154=8,-$E154*$I154/12*1,IF($J154=9,-$E154*$I154/12*2,IF($J154&gt;=10,-$E154*$I154/12*3,0))))))</f>
        <v>0</v>
      </c>
      <c r="BX154" s="443">
        <f>IF($H154&lt;&gt;BY$5,0,IF(BY154&lt;0,IF(OR($J154=1,$J154=2,$J154=3,$J154=4,$J154=5,$J154=6,$J154=7,$J154=8,$J154=9,$J154=10),-$E154*$I154/12*3,IF($J154=11,-$E154*$I154/12*2,IF($J154=12,-$E154*$I154/12*1,0)))))+IF(BT$5&lt;&gt;$H154,0,IF(BT154&lt;0,IF($J154=10,-$E154*$I154/12*0,IF($J154=11,-$E154*$I154/12*1,IF($J154=12,-$E154*$I154/12*2,0)))))</f>
        <v>0</v>
      </c>
      <c r="BY154" s="440">
        <f>IF(AND(BT154&lt;&gt;0,BT$5=$H154),-$I154*$E154-BT154,IF(BY$5=$H154,-$I154*$E154*(12-$J154+1)/12,0))</f>
        <v>0</v>
      </c>
      <c r="BZ154" s="441">
        <f>IF($H154&lt;&gt;CD$5,0,IF(CD154&lt;0,IF($J154=1,-$E154*$I154/12*3,IF($J154=2,-$E154*$I154/12*2,IF($J154=3,-$E154*$I154/12*1,0)))))+IF(BY$5&lt;&gt;$H154,0,IF(BY154&lt;0,IF($J154=1,-$E154*$I154/12*0,IF($J154=2,-$E154*$I154/12*1,IF($J154=3,-$E154*$I154/12*2,IF($J154&gt;=4,-$E154*$I154/12*3,0))))))</f>
        <v>0</v>
      </c>
      <c r="CA154" s="442">
        <f>IF($H154&lt;&gt;CD$5,0,IF(CD154&lt;0,IF(OR($J154=1,$J154=2,$J154=3,$J154=4),-$E154*$I154/12*3,IF($J154=5,-$E154*$I154/12*2,IF($J154=6,-$E154*$I154/12*1,0)))))+IF(BY$5&lt;&gt;$H154,0,IF(BY154&lt;0,IF($J154=4,-$E154*$I154/12*0,IF($J154=5,-$E154*$I154/12*1,IF($J154=6,-$E154*$I154/12*2,IF($J154&gt;=7,-$E154*$I154/12*3,0))))))</f>
        <v>0</v>
      </c>
      <c r="CB154" s="442">
        <f>IF($H154&lt;&gt;CD$5,0,IF(CD154&lt;0,IF(OR($J154=1,$J154=2,$J154=3,$J154=4,$J154=5,$J154=6,$J154=7),-$E154*$I154/12*3,IF($J154=8,-$E154*$I154/12*2,IF($J154=9,-$E154*$I154/12*1,0)))))+IF(BY$5&lt;&gt;$H154,0,IF(BY154&lt;0,IF($J154=7,-$E154*$I154/12*0,IF($J154=8,-$E154*$I154/12*1,IF($J154=9,-$E154*$I154/12*2,IF($J154&gt;=10,-$E154*$I154/12*3,0))))))</f>
        <v>0</v>
      </c>
      <c r="CC154" s="443">
        <f>IF($H154&lt;&gt;CD$5,0,IF(CD154&lt;0,IF(OR($J154=1,$J154=2,$J154=3,$J154=4,$J154=5,$J154=6,$J154=7,$J154=8,$J154=9,$J154=10),-$E154*$I154/12*3,IF($J154=11,-$E154*$I154/12*2,IF($J154=12,-$E154*$I154/12*1,0)))))+IF(BY$5&lt;&gt;$H154,0,IF(BY154&lt;0,IF($J154=10,-$E154*$I154/12*0,IF($J154=11,-$E154*$I154/12*1,IF($J154=12,-$E154*$I154/12*2,0)))))</f>
        <v>0</v>
      </c>
      <c r="CD154" s="440">
        <f>IF(AND(BY154&lt;&gt;0,BY$5=$H154),-$I154*$E154-BY154,IF(CD$5=$H154,-$I154*$E154*(12-$J154+1)/12,0))</f>
        <v>0</v>
      </c>
      <c r="CE154" s="441">
        <f>IF($H154&lt;&gt;CI$5,0,IF(CI154&lt;0,IF($J154=1,-$E154*$I154/12*3,IF($J154=2,-$E154*$I154/12*2,IF($J154=3,-$E154*$I154/12*1,0)))))+IF(CD$5&lt;&gt;$H154,0,IF(CD154&lt;0,IF($J154=1,-$E154*$I154/12*0,IF($J154=2,-$E154*$I154/12*1,IF($J154=3,-$E154*$I154/12*2,IF($J154&gt;=4,-$E154*$I154/12*3,0))))))</f>
        <v>0</v>
      </c>
      <c r="CF154" s="442">
        <f>IF($H154&lt;&gt;CI$5,0,IF(CI154&lt;0,IF(OR($J154=1,$J154=2,$J154=3,$J154=4),-$E154*$I154/12*3,IF($J154=5,-$E154*$I154/12*2,IF($J154=6,-$E154*$I154/12*1,0)))))+IF(CD$5&lt;&gt;$H154,0,IF(CD154&lt;0,IF($J154=4,-$E154*$I154/12*0,IF($J154=5,-$E154*$I154/12*1,IF($J154=6,-$E154*$I154/12*2,IF($J154&gt;=7,-$E154*$I154/12*3,0))))))</f>
        <v>0</v>
      </c>
      <c r="CG154" s="442">
        <f>IF($H154&lt;&gt;CI$5,0,IF(CI154&lt;0,IF(OR($J154=1,$J154=2,$J154=3,$J154=4,$J154=5,$J154=6,$J154=7),-$E154*$I154/12*3,IF($J154=8,-$E154*$I154/12*2,IF($J154=9,-$E154*$I154/12*1,0)))))+IF(CD$5&lt;&gt;$H154,0,IF(CD154&lt;0,IF($J154=7,-$E154*$I154/12*0,IF($J154=8,-$E154*$I154/12*1,IF($J154=9,-$E154*$I154/12*2,IF($J154&gt;=10,-$E154*$I154/12*3,0))))))</f>
        <v>0</v>
      </c>
      <c r="CH154" s="443">
        <f>IF($H154&lt;&gt;CI$5,0,IF(CI154&lt;0,IF(OR($J154=1,$J154=2,$J154=3,$J154=4,$J154=5,$J154=6,$J154=7,$J154=8,$J154=9,$J154=10),-$E154*$I154/12*3,IF($J154=11,-$E154*$I154/12*2,IF($J154=12,-$E154*$I154/12*1,0)))))+IF(CD$5&lt;&gt;$H154,0,IF(CD154&lt;0,IF($J154=10,-$E154*$I154/12*0,IF($J154=11,-$E154*$I154/12*1,IF($J154=12,-$E154*$I154/12*2,0)))))</f>
        <v>0</v>
      </c>
      <c r="CI154" s="440">
        <f>IF(AND(CD154&lt;&gt;0,CD$5=$H154),-$I154*$E154-CD154,IF(CI$5=$H154,-$I154*$E154*(12-$J154+1)/12,0))</f>
        <v>0</v>
      </c>
      <c r="CJ154" s="441">
        <f>IF($H154&lt;&gt;CN$5,0,IF(CN154&lt;0,IF($J154=1,-$E154*$I154/12*3,IF($J154=2,-$E154*$I154/12*2,IF($J154=3,-$E154*$I154/12*1,0)))))+IF(CI$5&lt;&gt;$H154,0,IF(CI154&lt;0,IF($J154=1,-$E154*$I154/12*0,IF($J154=2,-$E154*$I154/12*1,IF($J154=3,-$E154*$I154/12*2,IF($J154&gt;=4,-$E154*$I154/12*3,0))))))</f>
        <v>0</v>
      </c>
      <c r="CK154" s="442">
        <f>IF($H154&lt;&gt;CN$5,0,IF(CN154&lt;0,IF(OR($J154=1,$J154=2,$J154=3,$J154=4),-$E154*$I154/12*3,IF($J154=5,-$E154*$I154/12*2,IF($J154=6,-$E154*$I154/12*1,0)))))+IF(CI$5&lt;&gt;$H154,0,IF(CI154&lt;0,IF($J154=4,-$E154*$I154/12*0,IF($J154=5,-$E154*$I154/12*1,IF($J154=6,-$E154*$I154/12*2,IF($J154&gt;=7,-$E154*$I154/12*3,0))))))</f>
        <v>0</v>
      </c>
      <c r="CL154" s="442">
        <f>IF($H154&lt;&gt;CN$5,0,IF(CN154&lt;0,IF(OR($J154=1,$J154=2,$J154=3,$J154=4,$J154=5,$J154=6,$J154=7),-$E154*$I154/12*3,IF($J154=8,-$E154*$I154/12*2,IF($J154=9,-$E154*$I154/12*1,0)))))+IF(CI$5&lt;&gt;$H154,0,IF(CI154&lt;0,IF($J154=7,-$E154*$I154/12*0,IF($J154=8,-$E154*$I154/12*1,IF($J154=9,-$E154*$I154/12*2,IF($J154&gt;=10,-$E154*$I154/12*3,0))))))</f>
        <v>0</v>
      </c>
      <c r="CM154" s="443">
        <f>IF($H154&lt;&gt;CN$5,0,IF(CN154&lt;0,IF(OR($J154=1,$J154=2,$J154=3,$J154=4,$J154=5,$J154=6,$J154=7,$J154=8,$J154=9,$J154=10),-$E154*$I154/12*3,IF($J154=11,-$E154*$I154/12*2,IF($J154=12,-$E154*$I154/12*1,0)))))+IF(CI$5&lt;&gt;$H154,0,IF(CI154&lt;0,IF($J154=10,-$E154*$I154/12*0,IF($J154=11,-$E154*$I154/12*1,IF($J154=12,-$E154*$I154/12*2,0)))))</f>
        <v>0</v>
      </c>
      <c r="CN154" s="440">
        <f>IF(AND(CI154&lt;&gt;0,CI$5=$H154),-$I154*$E154-CI154,IF(CN$5=$H154,-$I154*$E154*(12-$J154+1)/12,0))</f>
        <v>0</v>
      </c>
      <c r="CO154" s="441">
        <f>IF($H154&lt;&gt;CS$5,0,IF(CS154&lt;0,IF($J154=1,-$E154*$I154/12*3,IF($J154=2,-$E154*$I154/12*2,IF($J154=3,-$E154*$I154/12*1,0)))))+IF(CN$5&lt;&gt;$H154,0,IF(CN154&lt;0,IF($J154=1,-$E154*$I154/12*0,IF($J154=2,-$E154*$I154/12*1,IF($J154=3,-$E154*$I154/12*2,IF($J154&gt;=4,-$E154*$I154/12*3,0))))))</f>
        <v>0</v>
      </c>
      <c r="CP154" s="442">
        <f>IF($H154&lt;&gt;CS$5,0,IF(CS154&lt;0,IF(OR($J154=1,$J154=2,$J154=3,$J154=4),-$E154*$I154/12*3,IF($J154=5,-$E154*$I154/12*2,IF($J154=6,-$E154*$I154/12*1,0)))))+IF(CN$5&lt;&gt;$H154,0,IF(CN154&lt;0,IF($J154=4,-$E154*$I154/12*0,IF($J154=5,-$E154*$I154/12*1,IF($J154=6,-$E154*$I154/12*2,IF($J154&gt;=7,-$E154*$I154/12*3,0))))))</f>
        <v>0</v>
      </c>
      <c r="CQ154" s="442">
        <f>IF($H154&lt;&gt;CS$5,0,IF(CS154&lt;0,IF(OR($J154=1,$J154=2,$J154=3,$J154=4,$J154=5,$J154=6,$J154=7),-$E154*$I154/12*3,IF($J154=8,-$E154*$I154/12*2,IF($J154=9,-$E154*$I154/12*1,0)))))+IF(CN$5&lt;&gt;$H154,0,IF(CN154&lt;0,IF($J154=7,-$E154*$I154/12*0,IF($J154=8,-$E154*$I154/12*1,IF($J154=9,-$E154*$I154/12*2,IF($J154&gt;=10,-$E154*$I154/12*3,0))))))</f>
        <v>0</v>
      </c>
      <c r="CR154" s="443">
        <f>IF($H154&lt;&gt;CS$5,0,IF(CS154&lt;0,IF(OR($J154=1,$J154=2,$J154=3,$J154=4,$J154=5,$J154=6,$J154=7,$J154=8,$J154=9,$J154=10),-$E154*$I154/12*3,IF($J154=11,-$E154*$I154/12*2,IF($J154=12,-$E154*$I154/12*1,0)))))+IF(CN$5&lt;&gt;$H154,0,IF(CN154&lt;0,IF($J154=10,-$E154*$I154/12*0,IF($J154=11,-$E154*$I154/12*1,IF($J154=12,-$E154*$I154/12*2,0)))))</f>
        <v>0</v>
      </c>
      <c r="CS154" s="440">
        <f>IF(AND(CN154&lt;&gt;0,CN$5=$H154),-$I154*$E154-CN154,IF(CS$5=$H154,-$I154*$E154*(12-$J154+1)/12,0))</f>
        <v>0</v>
      </c>
      <c r="CT154" s="441">
        <f>IF($H154&lt;&gt;CX$5,0,IF(CX154&lt;0,IF($J154=1,-$E154*$I154/12*3,IF($J154=2,-$E154*$I154/12*2,IF($J154=3,-$E154*$I154/12*1,0)))))+IF(CS$5&lt;&gt;$H154,0,IF(CS154&lt;0,IF($J154=1,-$E154*$I154/12*0,IF($J154=2,-$E154*$I154/12*1,IF($J154=3,-$E154*$I154/12*2,IF($J154&gt;=4,-$E154*$I154/12*3,0))))))</f>
        <v>0</v>
      </c>
      <c r="CU154" s="442">
        <f>IF($H154&lt;&gt;CX$5,0,IF(CX154&lt;0,IF(OR($J154=1,$J154=2,$J154=3,$J154=4),-$E154*$I154/12*3,IF($J154=5,-$E154*$I154/12*2,IF($J154=6,-$E154*$I154/12*1,0)))))+IF(CS$5&lt;&gt;$H154,0,IF(CS154&lt;0,IF($J154=4,-$E154*$I154/12*0,IF($J154=5,-$E154*$I154/12*1,IF($J154=6,-$E154*$I154/12*2,IF($J154&gt;=7,-$E154*$I154/12*3,0))))))</f>
        <v>0</v>
      </c>
      <c r="CV154" s="442">
        <f>IF($H154&lt;&gt;CX$5,0,IF(CX154&lt;0,IF(OR($J154=1,$J154=2,$J154=3,$J154=4,$J154=5,$J154=6,$J154=7),-$E154*$I154/12*3,IF($J154=8,-$E154*$I154/12*2,IF($J154=9,-$E154*$I154/12*1,0)))))+IF(CS$5&lt;&gt;$H154,0,IF(CS154&lt;0,IF($J154=7,-$E154*$I154/12*0,IF($J154=8,-$E154*$I154/12*1,IF($J154=9,-$E154*$I154/12*2,IF($J154&gt;=10,-$E154*$I154/12*3,0))))))</f>
        <v>0</v>
      </c>
      <c r="CW154" s="443">
        <f>IF($H154&lt;&gt;CX$5,0,IF(CX154&lt;0,IF(OR($J154=1,$J154=2,$J154=3,$J154=4,$J154=5,$J154=6,$J154=7,$J154=8,$J154=9,$J154=10),-$E154*$I154/12*3,IF($J154=11,-$E154*$I154/12*2,IF($J154=12,-$E154*$I154/12*1,0)))))+IF(CS$5&lt;&gt;$H154,0,IF(CS154&lt;0,IF($J154=10,-$E154*$I154/12*0,IF($J154=11,-$E154*$I154/12*1,IF($J154=12,-$E154*$I154/12*2,0)))))</f>
        <v>0</v>
      </c>
      <c r="CX154" s="440">
        <f>IF(AND(CS154&lt;&gt;0,CS$5=$H154),-$I154*$E154-CS154,IF(CX$5=$H154,-$I154*$E154*(12-$J154+1)/12,0))</f>
        <v>0</v>
      </c>
      <c r="CY154" s="441">
        <f>IF($H154&lt;&gt;DC$5,0,IF(DC154&lt;0,IF($J154=1,-$E154*$I154/12*3,IF($J154=2,-$E154*$I154/12*2,IF($J154=3,-$E154*$I154/12*1,0)))))+IF(CX$5&lt;&gt;$H154,0,IF(CX154&lt;0,IF($J154=1,-$E154*$I154/12*0,IF($J154=2,-$E154*$I154/12*1,IF($J154=3,-$E154*$I154/12*2,IF($J154&gt;=4,-$E154*$I154/12*3,0))))))</f>
        <v>0</v>
      </c>
      <c r="CZ154" s="442">
        <f>IF($H154&lt;&gt;DC$5,0,IF(DC154&lt;0,IF(OR($J154=1,$J154=2,$J154=3,$J154=4),-$E154*$I154/12*3,IF($J154=5,-$E154*$I154/12*2,IF($J154=6,-$E154*$I154/12*1,0)))))+IF(CX$5&lt;&gt;$H154,0,IF(CX154&lt;0,IF($J154=4,-$E154*$I154/12*0,IF($J154=5,-$E154*$I154/12*1,IF($J154=6,-$E154*$I154/12*2,IF($J154&gt;=7,-$E154*$I154/12*3,0))))))</f>
        <v>0</v>
      </c>
      <c r="DA154" s="442">
        <f>IF($H154&lt;&gt;DC$5,0,IF(DC154&lt;0,IF(OR($J154=1,$J154=2,$J154=3,$J154=4,$J154=5,$J154=6,$J154=7),-$E154*$I154/12*3,IF($J154=8,-$E154*$I154/12*2,IF($J154=9,-$E154*$I154/12*1,0)))))+IF(CX$5&lt;&gt;$H154,0,IF(CX154&lt;0,IF($J154=7,-$E154*$I154/12*0,IF($J154=8,-$E154*$I154/12*1,IF($J154=9,-$E154*$I154/12*2,IF($J154&gt;=10,-$E154*$I154/12*3,0))))))</f>
        <v>0</v>
      </c>
      <c r="DB154" s="443">
        <f>IF($H154&lt;&gt;DC$5,0,IF(DC154&lt;0,IF(OR($J154=1,$J154=2,$J154=3,$J154=4,$J154=5,$J154=6,$J154=7,$J154=8,$J154=9,$J154=10),-$E154*$I154/12*3,IF($J154=11,-$E154*$I154/12*2,IF($J154=12,-$E154*$I154/12*1,0)))))+IF(CX$5&lt;&gt;$H154,0,IF(CX154&lt;0,IF($J154=10,-$E154*$I154/12*0,IF($J154=11,-$E154*$I154/12*1,IF($J154=12,-$E154*$I154/12*2,0)))))</f>
        <v>0</v>
      </c>
      <c r="DC154" s="440">
        <f>IF(AND(CX154&lt;&gt;0,CX$5=$H154),-$I154*$E154-CX154,IF(DC$5=$H154,-$I154*$E154*(12-$J154+1)/12,0))</f>
        <v>0</v>
      </c>
      <c r="DD154" s="441">
        <f>IF($H154&lt;&gt;DH$5,0,IF(DH154&lt;0,IF($J154=1,-$E154*$I154/12*3,IF($J154=2,-$E154*$I154/12*2,IF($J154=3,-$E154*$I154/12*1,0)))))+IF(DC$5&lt;&gt;$H154,0,IF(DC154&lt;0,IF($J154=1,-$E154*$I154/12*0,IF($J154=2,-$E154*$I154/12*1,IF($J154=3,-$E154*$I154/12*2,IF($J154&gt;=4,-$E154*$I154/12*3,0))))))</f>
        <v>0</v>
      </c>
      <c r="DE154" s="442">
        <f>IF($H154&lt;&gt;DH$5,0,IF(DH154&lt;0,IF(OR($J154=1,$J154=2,$J154=3,$J154=4),-$E154*$I154/12*3,IF($J154=5,-$E154*$I154/12*2,IF($J154=6,-$E154*$I154/12*1,0)))))+IF(DC$5&lt;&gt;$H154,0,IF(DC154&lt;0,IF($J154=4,-$E154*$I154/12*0,IF($J154=5,-$E154*$I154/12*1,IF($J154=6,-$E154*$I154/12*2,IF($J154&gt;=7,-$E154*$I154/12*3,0))))))</f>
        <v>0</v>
      </c>
      <c r="DF154" s="442">
        <f>IF($H154&lt;&gt;DH$5,0,IF(DH154&lt;0,IF(OR($J154=1,$J154=2,$J154=3,$J154=4,$J154=5,$J154=6,$J154=7),-$E154*$I154/12*3,IF($J154=8,-$E154*$I154/12*2,IF($J154=9,-$E154*$I154/12*1,0)))))+IF(DC$5&lt;&gt;$H154,0,IF(DC154&lt;0,IF($J154=7,-$E154*$I154/12*0,IF($J154=8,-$E154*$I154/12*1,IF($J154=9,-$E154*$I154/12*2,IF($J154&gt;=10,-$E154*$I154/12*3,0))))))</f>
        <v>0</v>
      </c>
      <c r="DG154" s="443">
        <f>IF($H154&lt;&gt;DH$5,0,IF(DH154&lt;0,IF(OR($J154=1,$J154=2,$J154=3,$J154=4,$J154=5,$J154=6,$J154=7,$J154=8,$J154=9,$J154=10),-$E154*$I154/12*3,IF($J154=11,-$E154*$I154/12*2,IF($J154=12,-$E154*$I154/12*1,0)))))+IF(DC$5&lt;&gt;$H154,0,IF(DC154&lt;0,IF($J154=10,-$E154*$I154/12*0,IF($J154=11,-$E154*$I154/12*1,IF($J154=12,-$E154*$I154/12*2,0)))))</f>
        <v>0</v>
      </c>
      <c r="DH154" s="440">
        <f>IF(AND(DC154&lt;&gt;0,DC$5=$H154),-$I154*$E154-DC154,IF(DH$5=$H154,-$I154*$E154*(12-$J154+1)/12,0))</f>
        <v>0</v>
      </c>
      <c r="DI154" s="441">
        <f>IF($H154&lt;&gt;DM$5,0,IF(DM154&lt;0,IF($J154=1,-$E154*$I154/12*3,IF($J154=2,-$E154*$I154/12*2,IF($J154=3,-$E154*$I154/12*1,0)))))+IF(DH$5&lt;&gt;$H154,0,IF(DH154&lt;0,IF($J154=1,-$E154*$I154/12*0,IF($J154=2,-$E154*$I154/12*1,IF($J154=3,-$E154*$I154/12*2,IF($J154&gt;=4,-$E154*$I154/12*3,0))))))</f>
        <v>0</v>
      </c>
      <c r="DJ154" s="442">
        <f>IF($H154&lt;&gt;DM$5,0,IF(DM154&lt;0,IF(OR($J154=1,$J154=2,$J154=3,$J154=4),-$E154*$I154/12*3,IF($J154=5,-$E154*$I154/12*2,IF($J154=6,-$E154*$I154/12*1,0)))))+IF(DH$5&lt;&gt;$H154,0,IF(DH154&lt;0,IF($J154=4,-$E154*$I154/12*0,IF($J154=5,-$E154*$I154/12*1,IF($J154=6,-$E154*$I154/12*2,IF($J154&gt;=7,-$E154*$I154/12*3,0))))))</f>
        <v>0</v>
      </c>
      <c r="DK154" s="442">
        <f>IF($H154&lt;&gt;DM$5,0,IF(DM154&lt;0,IF(OR($J154=1,$J154=2,$J154=3,$J154=4,$J154=5,$J154=6,$J154=7),-$E154*$I154/12*3,IF($J154=8,-$E154*$I154/12*2,IF($J154=9,-$E154*$I154/12*1,0)))))+IF(DH$5&lt;&gt;$H154,0,IF(DH154&lt;0,IF($J154=7,-$E154*$I154/12*0,IF($J154=8,-$E154*$I154/12*1,IF($J154=9,-$E154*$I154/12*2,IF($J154&gt;=10,-$E154*$I154/12*3,0))))))</f>
        <v>0</v>
      </c>
      <c r="DL154" s="443">
        <f>IF($H154&lt;&gt;DM$5,0,IF(DM154&lt;0,IF(OR($J154=1,$J154=2,$J154=3,$J154=4,$J154=5,$J154=6,$J154=7,$J154=8,$J154=9,$J154=10),-$E154*$I154/12*3,IF($J154=11,-$E154*$I154/12*2,IF($J154=12,-$E154*$I154/12*1,0)))))+IF(DH$5&lt;&gt;$H154,0,IF(DH154&lt;0,IF($J154=10,-$E154*$I154/12*0,IF($J154=11,-$E154*$I154/12*1,IF($J154=12,-$E154*$I154/12*2,0)))))</f>
        <v>0</v>
      </c>
      <c r="DM154" s="440">
        <f>IF(AND(DH154&lt;&gt;0,DH$5=$H154),-$I154*$E154-DH154,IF(DM$5=$H154,-$I154*$E154*(12-$J154+1)/12,0))</f>
        <v>0</v>
      </c>
      <c r="DN154" s="441">
        <f>IF($H154&lt;&gt;DR$5,0,IF(DR154&lt;0,IF($J154=1,-$E154*$I154/12*3,IF($J154=2,-$E154*$I154/12*2,IF($J154=3,-$E154*$I154/12*1,0)))))+IF(DM$5&lt;&gt;$H154,0,IF(DM154&lt;0,IF($J154=1,-$E154*$I154/12*0,IF($J154=2,-$E154*$I154/12*1,IF($J154=3,-$E154*$I154/12*2,IF($J154&gt;=4,-$E154*$I154/12*3,0))))))</f>
        <v>0</v>
      </c>
      <c r="DO154" s="442">
        <f>IF($H154&lt;&gt;DR$5,0,IF(DR154&lt;0,IF(OR($J154=1,$J154=2,$J154=3,$J154=4),-$E154*$I154/12*3,IF($J154=5,-$E154*$I154/12*2,IF($J154=6,-$E154*$I154/12*1,0)))))+IF(DM$5&lt;&gt;$H154,0,IF(DM154&lt;0,IF($J154=4,-$E154*$I154/12*0,IF($J154=5,-$E154*$I154/12*1,IF($J154=6,-$E154*$I154/12*2,IF($J154&gt;=7,-$E154*$I154/12*3,0))))))</f>
        <v>0</v>
      </c>
      <c r="DP154" s="442">
        <f>IF($H154&lt;&gt;DR$5,0,IF(DR154&lt;0,IF(OR($J154=1,$J154=2,$J154=3,$J154=4,$J154=5,$J154=6,$J154=7),-$E154*$I154/12*3,IF($J154=8,-$E154*$I154/12*2,IF($J154=9,-$E154*$I154/12*1,0)))))+IF(DM$5&lt;&gt;$H154,0,IF(DM154&lt;0,IF($J154=7,-$E154*$I154/12*0,IF($J154=8,-$E154*$I154/12*1,IF($J154=9,-$E154*$I154/12*2,IF($J154&gt;=10,-$E154*$I154/12*3,0))))))</f>
        <v>0</v>
      </c>
      <c r="DQ154" s="443">
        <f>IF($H154&lt;&gt;DR$5,0,IF(DR154&lt;0,IF(OR($J154=1,$J154=2,$J154=3,$J154=4,$J154=5,$J154=6,$J154=7,$J154=8,$J154=9,$J154=10),-$E154*$I154/12*3,IF($J154=11,-$E154*$I154/12*2,IF($J154=12,-$E154*$I154/12*1,0)))))+IF(DM$5&lt;&gt;$H154,0,IF(DM154&lt;0,IF($J154=10,-$E154*$I154/12*0,IF($J154=11,-$E154*$I154/12*1,IF($J154=12,-$E154*$I154/12*2,0)))))</f>
        <v>0</v>
      </c>
      <c r="DR154" s="440">
        <f>IF(AND(DM154&lt;&gt;0,DM$5=$H154),-$I154*$E154-DM154,IF(DR$5=$H154,-$I154*$E154*(12-$J154+1)/12,0))</f>
        <v>0</v>
      </c>
    </row>
    <row r="155" spans="1:122" ht="12.75" customHeight="1">
      <c r="A155" s="92"/>
      <c r="B155" s="92"/>
      <c r="C155" s="1123"/>
      <c r="D155" s="395"/>
      <c r="E155" s="188"/>
      <c r="F155" s="651"/>
      <c r="G155" s="651"/>
      <c r="H155" s="651"/>
      <c r="I155" s="650"/>
      <c r="J155" s="656"/>
      <c r="K155" s="549"/>
      <c r="L155" s="441"/>
      <c r="M155" s="442"/>
      <c r="N155" s="442"/>
      <c r="O155" s="443"/>
      <c r="P155" s="440"/>
      <c r="Q155" s="441"/>
      <c r="R155" s="442"/>
      <c r="S155" s="442"/>
      <c r="T155" s="443"/>
      <c r="U155" s="440"/>
      <c r="V155" s="441"/>
      <c r="W155" s="442"/>
      <c r="X155" s="442"/>
      <c r="Y155" s="443"/>
      <c r="Z155" s="440"/>
      <c r="AA155" s="441"/>
      <c r="AB155" s="442"/>
      <c r="AC155" s="442"/>
      <c r="AD155" s="443"/>
      <c r="AE155" s="440"/>
      <c r="AF155" s="441"/>
      <c r="AG155" s="442"/>
      <c r="AH155" s="442"/>
      <c r="AI155" s="443"/>
      <c r="AJ155" s="440"/>
      <c r="AK155" s="441"/>
      <c r="AL155" s="442"/>
      <c r="AM155" s="442"/>
      <c r="AN155" s="443"/>
      <c r="AO155" s="440"/>
      <c r="AP155" s="441"/>
      <c r="AQ155" s="442"/>
      <c r="AR155" s="442"/>
      <c r="AS155" s="443"/>
      <c r="AT155" s="440"/>
      <c r="AU155" s="441"/>
      <c r="AV155" s="442"/>
      <c r="AW155" s="442"/>
      <c r="AX155" s="443"/>
      <c r="AY155" s="440"/>
      <c r="AZ155" s="441"/>
      <c r="BA155" s="442"/>
      <c r="BB155" s="442"/>
      <c r="BC155" s="443"/>
      <c r="BD155" s="440"/>
      <c r="BE155" s="441"/>
      <c r="BF155" s="442"/>
      <c r="BG155" s="442"/>
      <c r="BH155" s="443"/>
      <c r="BI155" s="440"/>
      <c r="BJ155" s="441"/>
      <c r="BK155" s="442"/>
      <c r="BL155" s="442"/>
      <c r="BM155" s="443"/>
      <c r="BN155" s="440"/>
      <c r="BO155" s="470"/>
      <c r="BP155" s="441"/>
      <c r="BQ155" s="442"/>
      <c r="BR155" s="442"/>
      <c r="BS155" s="443"/>
      <c r="BT155" s="440"/>
      <c r="BU155" s="441"/>
      <c r="BV155" s="442"/>
      <c r="BW155" s="442"/>
      <c r="BX155" s="443"/>
      <c r="BY155" s="440"/>
      <c r="BZ155" s="441"/>
      <c r="CA155" s="442"/>
      <c r="CB155" s="442"/>
      <c r="CC155" s="443"/>
      <c r="CD155" s="440"/>
      <c r="CE155" s="441"/>
      <c r="CF155" s="442"/>
      <c r="CG155" s="442"/>
      <c r="CH155" s="443"/>
      <c r="CI155" s="440"/>
      <c r="CJ155" s="441"/>
      <c r="CK155" s="442"/>
      <c r="CL155" s="442"/>
      <c r="CM155" s="443"/>
      <c r="CN155" s="440"/>
      <c r="CO155" s="441"/>
      <c r="CP155" s="442"/>
      <c r="CQ155" s="442"/>
      <c r="CR155" s="443"/>
      <c r="CS155" s="440"/>
      <c r="CT155" s="441"/>
      <c r="CU155" s="442"/>
      <c r="CV155" s="442"/>
      <c r="CW155" s="443"/>
      <c r="CX155" s="440"/>
      <c r="CY155" s="441"/>
      <c r="CZ155" s="442"/>
      <c r="DA155" s="442"/>
      <c r="DB155" s="443"/>
      <c r="DC155" s="440"/>
      <c r="DD155" s="441"/>
      <c r="DE155" s="442"/>
      <c r="DF155" s="442"/>
      <c r="DG155" s="443"/>
      <c r="DH155" s="440"/>
      <c r="DI155" s="441"/>
      <c r="DJ155" s="442"/>
      <c r="DK155" s="442"/>
      <c r="DL155" s="443"/>
      <c r="DM155" s="440"/>
      <c r="DN155" s="441"/>
      <c r="DO155" s="442"/>
      <c r="DP155" s="442"/>
      <c r="DQ155" s="443"/>
      <c r="DR155" s="440"/>
    </row>
    <row r="156" spans="1:122">
      <c r="C156" s="1363" t="s">
        <v>328</v>
      </c>
      <c r="D156" s="395"/>
      <c r="E156" s="325"/>
      <c r="F156" s="1358"/>
      <c r="G156" s="1358"/>
      <c r="H156" s="414"/>
      <c r="I156" s="650"/>
      <c r="J156" s="656"/>
      <c r="K156" s="549"/>
      <c r="L156" s="321"/>
      <c r="M156" s="322"/>
      <c r="N156" s="322"/>
      <c r="O156" s="323"/>
      <c r="P156" s="466"/>
      <c r="Q156" s="321"/>
      <c r="R156" s="322"/>
      <c r="S156" s="322"/>
      <c r="T156" s="323"/>
      <c r="U156" s="472"/>
      <c r="V156" s="321"/>
      <c r="W156" s="322"/>
      <c r="X156" s="322"/>
      <c r="Y156" s="323"/>
      <c r="Z156" s="472"/>
      <c r="AA156" s="321"/>
      <c r="AB156" s="322"/>
      <c r="AC156" s="322"/>
      <c r="AD156" s="323"/>
      <c r="AE156" s="440"/>
      <c r="AF156" s="441"/>
      <c r="AG156" s="442"/>
      <c r="AH156" s="442"/>
      <c r="AI156" s="443"/>
      <c r="AJ156" s="440"/>
      <c r="AK156" s="441"/>
      <c r="AL156" s="442"/>
      <c r="AM156" s="442"/>
      <c r="AN156" s="443"/>
      <c r="AO156" s="440"/>
      <c r="AP156" s="441"/>
      <c r="AQ156" s="442"/>
      <c r="AR156" s="442"/>
      <c r="AS156" s="443"/>
      <c r="AT156" s="440"/>
      <c r="AU156" s="441"/>
      <c r="AV156" s="442"/>
      <c r="AW156" s="442"/>
      <c r="AX156" s="443"/>
      <c r="AY156" s="440"/>
      <c r="AZ156" s="441"/>
      <c r="BA156" s="442"/>
      <c r="BB156" s="442"/>
      <c r="BC156" s="443"/>
      <c r="BD156" s="440"/>
      <c r="BE156" s="441"/>
      <c r="BF156" s="442"/>
      <c r="BG156" s="442"/>
      <c r="BH156" s="443"/>
      <c r="BI156" s="440"/>
      <c r="BJ156" s="441"/>
      <c r="BK156" s="442"/>
      <c r="BL156" s="442"/>
      <c r="BM156" s="443"/>
      <c r="BN156" s="440"/>
      <c r="BO156" s="470"/>
      <c r="BP156" s="441"/>
      <c r="BQ156" s="442"/>
      <c r="BR156" s="442"/>
      <c r="BS156" s="443"/>
      <c r="BT156" s="440"/>
      <c r="BU156" s="441"/>
      <c r="BV156" s="442"/>
      <c r="BW156" s="442"/>
      <c r="BX156" s="443"/>
      <c r="BY156" s="440"/>
      <c r="BZ156" s="441"/>
      <c r="CA156" s="442"/>
      <c r="CB156" s="442"/>
      <c r="CC156" s="443"/>
      <c r="CD156" s="440"/>
      <c r="CE156" s="441"/>
      <c r="CF156" s="442"/>
      <c r="CG156" s="442"/>
      <c r="CH156" s="443"/>
      <c r="CI156" s="440"/>
      <c r="CJ156" s="441"/>
      <c r="CK156" s="442"/>
      <c r="CL156" s="442"/>
      <c r="CM156" s="443"/>
      <c r="CN156" s="440"/>
      <c r="CO156" s="441"/>
      <c r="CP156" s="442"/>
      <c r="CQ156" s="442"/>
      <c r="CR156" s="443"/>
      <c r="CS156" s="440"/>
      <c r="CT156" s="441"/>
      <c r="CU156" s="442"/>
      <c r="CV156" s="442"/>
      <c r="CW156" s="443"/>
      <c r="CX156" s="440"/>
      <c r="CY156" s="441"/>
      <c r="CZ156" s="442"/>
      <c r="DA156" s="442"/>
      <c r="DB156" s="443"/>
      <c r="DC156" s="440"/>
      <c r="DD156" s="441"/>
      <c r="DE156" s="442"/>
      <c r="DF156" s="442"/>
      <c r="DG156" s="443"/>
      <c r="DH156" s="440"/>
      <c r="DI156" s="441"/>
      <c r="DJ156" s="442"/>
      <c r="DK156" s="442"/>
      <c r="DL156" s="443"/>
      <c r="DM156" s="440"/>
      <c r="DN156" s="441"/>
      <c r="DO156" s="442"/>
      <c r="DP156" s="442"/>
      <c r="DQ156" s="443"/>
      <c r="DR156" s="440"/>
    </row>
    <row r="157" spans="1:122">
      <c r="C157" s="1123" t="s">
        <v>749</v>
      </c>
      <c r="D157" s="395"/>
      <c r="E157" s="188">
        <f>IF(F157=0,G157,F157)</f>
        <v>50</v>
      </c>
      <c r="F157" s="1945">
        <v>50</v>
      </c>
      <c r="G157" s="1945">
        <v>50</v>
      </c>
      <c r="H157" s="1366">
        <v>2020</v>
      </c>
      <c r="I157" s="1367">
        <v>7.2499999999999995E-2</v>
      </c>
      <c r="J157" s="656">
        <v>3</v>
      </c>
      <c r="K157" s="549"/>
      <c r="L157" s="441">
        <f t="shared" ref="L157:L159" si="1964">IF(P157=0,0,IF(P157&lt;0,IF($J157=3,P157,IF($J157=2,P157,IF($J157=1,P157,0)))))</f>
        <v>0</v>
      </c>
      <c r="M157" s="442">
        <f t="shared" ref="M157:M159" si="1965">IF(P157=0,0,IF(P157&lt;0,IF($J157=6,P157,IF($J157=5,P157,IF($J157=4,P157,0)))))</f>
        <v>0</v>
      </c>
      <c r="N157" s="442">
        <f t="shared" ref="N157:N159" si="1966">IF(P157=0,0,IF(P157&lt;0,IF($J157=9,P157,IF($J157=8,P157,IF($J157=7,P157,0)))))</f>
        <v>0</v>
      </c>
      <c r="O157" s="443">
        <f t="shared" ref="O157:O159" si="1967">IF(P157=0,0,IF(P157&lt;0,IF($J157=12,P157,IF($J157=11,P157,IF($J157=10,P157,0)))))</f>
        <v>0</v>
      </c>
      <c r="P157" s="440">
        <f t="shared" ref="P157:P159" si="1968">IF(P$5=$H157,-$E157,0)</f>
        <v>0</v>
      </c>
      <c r="Q157" s="441">
        <f t="shared" ref="Q157:Q159" si="1969">IF(U157=0,0,IF(U157&lt;0,IF($J157=3,U157,IF($J157=2,U157,IF($J157=1,U157,0)))))</f>
        <v>0</v>
      </c>
      <c r="R157" s="442">
        <f t="shared" ref="R157:R159" si="1970">IF(U157=0,0,IF(U157&lt;0,IF($J157=6,U157,IF($J157=5,U157,IF($J157=4,U157,0)))))</f>
        <v>0</v>
      </c>
      <c r="S157" s="442">
        <f t="shared" ref="S157:S159" si="1971">IF(U157=0,0,IF(U157&lt;0,IF($J157=9,U157,IF($J157=8,U157,IF($J157=7,U157,0)))))</f>
        <v>0</v>
      </c>
      <c r="T157" s="443">
        <f t="shared" ref="T157:T159" si="1972">IF(U157=0,0,IF(U157&lt;0,IF($J157=12,U157,IF($J157=11,U157,IF($J157=10,U157,0)))))</f>
        <v>0</v>
      </c>
      <c r="U157" s="440">
        <f t="shared" ref="U157:U159" si="1973">IF(U$5=$H157,-$E157,0)</f>
        <v>0</v>
      </c>
      <c r="V157" s="441">
        <f t="shared" ref="V157:V159" si="1974">IF(Z157=0,0,IF(Z157&lt;0,IF($J157=3,Z157,IF($J157=2,Z157,IF($J157=1,Z157,0)))))</f>
        <v>0</v>
      </c>
      <c r="W157" s="442">
        <f t="shared" ref="W157:W159" si="1975">IF(Z157=0,0,IF(Z157&lt;0,IF($J157=6,Z157,IF($J157=5,Z157,IF($J157=4,Z157,0)))))</f>
        <v>0</v>
      </c>
      <c r="X157" s="442">
        <f t="shared" ref="X157:X159" si="1976">IF(Z157=0,0,IF(Z157&lt;0,IF($J157=9,Z157,IF($J157=8,Z157,IF($J157=7,Z157,0)))))</f>
        <v>0</v>
      </c>
      <c r="Y157" s="443">
        <f t="shared" ref="Y157:Y159" si="1977">IF(Z157=0,0,IF(Z157&lt;0,IF($J157=12,Z157,IF($J157=11,Z157,IF($J157=10,Z157,0)))))</f>
        <v>0</v>
      </c>
      <c r="Z157" s="440">
        <f t="shared" ref="Z157:Z159" si="1978">IF(Z$5=$H157,-$E157,0)</f>
        <v>0</v>
      </c>
      <c r="AA157" s="441">
        <f t="shared" ref="AA157:AA159" si="1979">IF(AE157=0,0,IF(AE157&lt;0,IF($J157=3,AE157,IF($J157=2,AE157,IF($J157=1,AE157,0)))))</f>
        <v>0</v>
      </c>
      <c r="AB157" s="442">
        <f t="shared" ref="AB157:AB159" si="1980">IF(AE157=0,0,IF(AE157&lt;0,IF($J157=6,AE157,IF($J157=5,AE157,IF($J157=4,AE157,0)))))</f>
        <v>0</v>
      </c>
      <c r="AC157" s="442">
        <f t="shared" ref="AC157:AC159" si="1981">IF(AE157=0,0,IF(AE157&lt;0,IF($J157=9,AE157,IF($J157=8,AE157,IF($J157=7,AE157,0)))))</f>
        <v>0</v>
      </c>
      <c r="AD157" s="443">
        <f t="shared" ref="AD157:AD159" si="1982">IF(AE157=0,0,IF(AE157&lt;0,IF($J157=12,AE157,IF($J157=11,AE157,IF($J157=10,AE157,0)))))</f>
        <v>0</v>
      </c>
      <c r="AE157" s="440">
        <f t="shared" ref="AE157:AE159" si="1983">IF(AE$5=$H157,-$E157,0)</f>
        <v>0</v>
      </c>
      <c r="AF157" s="441">
        <f t="shared" ref="AF157:AF159" si="1984">IF(AJ157=0,0,IF(AJ157&lt;0,IF($J157=3,AJ157,IF($J157=2,AJ157,IF($J157=1,AJ157,0)))))</f>
        <v>0</v>
      </c>
      <c r="AG157" s="442">
        <f t="shared" ref="AG157:AG159" si="1985">IF(AJ157=0,0,IF(AJ157&lt;0,IF($J157=6,AJ157,IF($J157=5,AJ157,IF($J157=4,AJ157,0)))))</f>
        <v>0</v>
      </c>
      <c r="AH157" s="442">
        <f t="shared" ref="AH157:AH159" si="1986">IF(AJ157=0,0,IF(AJ157&lt;0,IF($J157=9,AJ157,IF($J157=8,AJ157,IF($J157=7,AJ157,0)))))</f>
        <v>0</v>
      </c>
      <c r="AI157" s="443">
        <f t="shared" ref="AI157:AI159" si="1987">IF(AJ157=0,0,IF(AJ157&lt;0,IF($J157=12,AJ157,IF($J157=11,AJ157,IF($J157=10,AJ157,0)))))</f>
        <v>0</v>
      </c>
      <c r="AJ157" s="440">
        <f t="shared" ref="AJ157:AJ159" si="1988">IF(AJ$5=$H157,-$E157,0)</f>
        <v>0</v>
      </c>
      <c r="AK157" s="441">
        <f t="shared" ref="AK157:AK159" si="1989">IF(AO157=0,0,IF(AO157&lt;0,IF($J157=3,AO157,IF($J157=2,AO157,IF($J157=1,AO157,0)))))</f>
        <v>0</v>
      </c>
      <c r="AL157" s="442">
        <f t="shared" ref="AL157:AL159" si="1990">IF(AO157=0,0,IF(AO157&lt;0,IF($J157=6,AO157,IF($J157=5,AO157,IF($J157=4,AO157,0)))))</f>
        <v>0</v>
      </c>
      <c r="AM157" s="442">
        <f t="shared" ref="AM157:AM159" si="1991">IF(AO157=0,0,IF(AO157&lt;0,IF($J157=9,AO157,IF($J157=8,AO157,IF($J157=7,AO157,0)))))</f>
        <v>0</v>
      </c>
      <c r="AN157" s="443">
        <f t="shared" ref="AN157:AN159" si="1992">IF(AO157=0,0,IF(AO157&lt;0,IF($J157=12,AO157,IF($J157=11,AO157,IF($J157=10,AO157,0)))))</f>
        <v>0</v>
      </c>
      <c r="AO157" s="440">
        <f t="shared" ref="AO157:AO159" si="1993">IF(AO$5=$H157,-$E157,0)</f>
        <v>0</v>
      </c>
      <c r="AP157" s="441">
        <f t="shared" ref="AP157:AP159" si="1994">IF(AT157=0,0,IF(AT157&lt;0,IF($J157=3,AT157,IF($J157=2,AT157,IF($J157=1,AT157,0)))))</f>
        <v>0</v>
      </c>
      <c r="AQ157" s="442">
        <f t="shared" ref="AQ157:AQ159" si="1995">IF(AT157=0,0,IF(AT157&lt;0,IF($J157=6,AT157,IF($J157=5,AT157,IF($J157=4,AT157,0)))))</f>
        <v>0</v>
      </c>
      <c r="AR157" s="442">
        <f t="shared" ref="AR157:AR159" si="1996">IF(AT157=0,0,IF(AT157&lt;0,IF($J157=9,AT157,IF($J157=8,AT157,IF($J157=7,AT157,0)))))</f>
        <v>0</v>
      </c>
      <c r="AS157" s="443">
        <f t="shared" ref="AS157:AS159" si="1997">IF(AT157=0,0,IF(AT157&lt;0,IF($J157=12,AT157,IF($J157=11,AT157,IF($J157=10,AT157,0)))))</f>
        <v>0</v>
      </c>
      <c r="AT157" s="440">
        <f t="shared" ref="AT157:AT159" si="1998">IF(AT$5=$H157,-$E157,0)</f>
        <v>0</v>
      </c>
      <c r="AU157" s="441">
        <f t="shared" ref="AU157:AU159" si="1999">IF(AY157=0,0,IF(AY157&lt;0,IF($J157=3,AY157,IF($J157=2,AY157,IF($J157=1,AY157,0)))))</f>
        <v>0</v>
      </c>
      <c r="AV157" s="442">
        <f t="shared" ref="AV157:AV159" si="2000">IF(AY157=0,0,IF(AY157&lt;0,IF($J157=6,AY157,IF($J157=5,AY157,IF($J157=4,AY157,0)))))</f>
        <v>0</v>
      </c>
      <c r="AW157" s="442">
        <f t="shared" ref="AW157:AW159" si="2001">IF(AY157=0,0,IF(AY157&lt;0,IF($J157=9,AY157,IF($J157=8,AY157,IF($J157=7,AY157,0)))))</f>
        <v>0</v>
      </c>
      <c r="AX157" s="443">
        <f t="shared" ref="AX157:AX159" si="2002">IF(AY157=0,0,IF(AY157&lt;0,IF($J157=12,AY157,IF($J157=11,AY157,IF($J157=10,AY157,0)))))</f>
        <v>0</v>
      </c>
      <c r="AY157" s="440">
        <f t="shared" ref="AY157:AY159" si="2003">IF(AY$5=$H157,-$E157,0)</f>
        <v>0</v>
      </c>
      <c r="AZ157" s="441">
        <f t="shared" ref="AZ157:AZ159" si="2004">IF(BD157=0,0,IF(BD157&lt;0,IF($J157=3,BD157,IF($J157=2,BD157,IF($J157=1,BD157,0)))))</f>
        <v>0</v>
      </c>
      <c r="BA157" s="442">
        <f t="shared" ref="BA157:BA159" si="2005">IF(BD157=0,0,IF(BD157&lt;0,IF($J157=6,BD157,IF($J157=5,BD157,IF($J157=4,BD157,0)))))</f>
        <v>0</v>
      </c>
      <c r="BB157" s="442">
        <f t="shared" ref="BB157:BB159" si="2006">IF(BD157=0,0,IF(BD157&lt;0,IF($J157=9,BD157,IF($J157=8,BD157,IF($J157=7,BD157,0)))))</f>
        <v>0</v>
      </c>
      <c r="BC157" s="443">
        <f t="shared" ref="BC157:BC159" si="2007">IF(BD157=0,0,IF(BD157&lt;0,IF($J157=12,BD157,IF($J157=11,BD157,IF($J157=10,BD157,0)))))</f>
        <v>0</v>
      </c>
      <c r="BD157" s="440">
        <f t="shared" ref="BD157:BD159" si="2008">IF(BD$5=$H157,-$E157,0)</f>
        <v>0</v>
      </c>
      <c r="BE157" s="441">
        <f t="shared" ref="BE157:BE159" si="2009">IF(BI157=0,0,IF(BI157&lt;0,IF($J157=3,BI157,IF($J157=2,BI157,IF($J157=1,BI157,0)))))</f>
        <v>-50</v>
      </c>
      <c r="BF157" s="442">
        <f t="shared" ref="BF157:BF159" si="2010">IF(BI157=0,0,IF(BI157&lt;0,IF($J157=6,BI157,IF($J157=5,BI157,IF($J157=4,BI157,0)))))</f>
        <v>0</v>
      </c>
      <c r="BG157" s="442">
        <f t="shared" ref="BG157:BG159" si="2011">IF(BI157=0,0,IF(BI157&lt;0,IF($J157=9,BI157,IF($J157=8,BI157,IF($J157=7,BI157,0)))))</f>
        <v>0</v>
      </c>
      <c r="BH157" s="443">
        <f t="shared" ref="BH157:BH159" si="2012">IF(BI157=0,0,IF(BI157&lt;0,IF($J157=12,BI157,IF($J157=11,BI157,IF($J157=10,BI157,0)))))</f>
        <v>0</v>
      </c>
      <c r="BI157" s="440">
        <f t="shared" ref="BI157:BI159" si="2013">IF(BI$5=$H157,-$E157,0)</f>
        <v>-50</v>
      </c>
      <c r="BJ157" s="441">
        <f t="shared" ref="BJ157:BJ159" si="2014">IF(BN157=0,0,IF(BN157&lt;0,IF($J157=3,BN157,IF($J157=2,BN157,IF($J157=1,BN157,0)))))</f>
        <v>0</v>
      </c>
      <c r="BK157" s="442">
        <f t="shared" ref="BK157:BK159" si="2015">IF(BN157=0,0,IF(BN157&lt;0,IF($J157=6,BN157,IF($J157=5,BN157,IF($J157=4,BN157,0)))))</f>
        <v>0</v>
      </c>
      <c r="BL157" s="442">
        <f t="shared" ref="BL157:BL159" si="2016">IF(BN157=0,0,IF(BN157&lt;0,IF($J157=9,BN157,IF($J157=8,BN157,IF($J157=7,BN157,0)))))</f>
        <v>0</v>
      </c>
      <c r="BM157" s="443">
        <f t="shared" ref="BM157:BM159" si="2017">IF(BN157=0,0,IF(BN157&lt;0,IF($J157=12,BN157,IF($J157=11,BN157,IF($J157=10,BN157,0)))))</f>
        <v>0</v>
      </c>
      <c r="BN157" s="440">
        <f t="shared" ref="BN157:BN159" si="2018">IF(BN$5=$H157,-$E157,0)</f>
        <v>0</v>
      </c>
      <c r="BO157" s="470"/>
      <c r="BP157" s="441">
        <f>IF($H157&lt;&gt;BT$5,0,IF(BT157&lt;0,IF($J157=1,-$E157*$I157/12*3,IF($J157=2,-$E157*$I157/12*2,IF($J157=3,-$E157*$I157/12*1,0)))))+IF(BO$5&lt;&gt;$H157,0,IF(BO157&lt;0,IF($J157=1,-$E157*$I157/12*0,IF($J157=2,-$E157*$I157/12*1,IF($J157=3,-$E157*$I157/12*2,IF($J157&gt;=4,-$E157*$I157/12*3,0))))))</f>
        <v>0</v>
      </c>
      <c r="BQ157" s="442">
        <f>IF($H157&lt;&gt;BT$5,0,IF(BT157&lt;0,IF(OR($J157=1,$J157=2,$J157=3,$J157=4),-$E157*$I157/12*3,IF($J157=5,-$E157*$I157/12*2,IF($J157=6,-$E157*$I157/12*1,0)))))+IF(BO$5&lt;&gt;$H157,0,IF(BO157&lt;0,IF($J157=4,-$E157*$I157/12*0,IF($J157=5,-$E157*$I157/12*1,IF($J157=6,-$E157*$I157/12*2,IF($J157&gt;=7,-$E157*$I157/12*3,0))))))</f>
        <v>0</v>
      </c>
      <c r="BR157" s="442">
        <f>IF($H157&lt;&gt;BT$5,0,IF(BT157&lt;0,IF(OR($J157=1,$J157=2,$J157=3,$J157=4,$J157=5,$J157=6,$J157=7),-$E157*$I157/12*3,IF($J157=8,-$E157*$I157/12*2,IF($J157=9,-$E157*$I157/12*1,0)))))+IF(BO$5&lt;&gt;$H157,0,IF(BO157&lt;0,IF($J157=7,-$E157*$I157/12*0,IF($J157=8,-$E157*$I157/12*1,IF($J157=9,-$E157*$I157/12*2,IF($J157&gt;=10,-$E157*$I157/12*3,0))))))</f>
        <v>0</v>
      </c>
      <c r="BS157" s="443">
        <f>IF($H157&lt;&gt;BT$5,0,IF(BT157&lt;0,IF(OR($J157=1,$J157=2,$J157=3,$J157=4,$J157=5,$J157=6,$J157=7,$J157=8,$J157=9,$J157=10),-$E157*$I157/12*3,IF($J157=11,-$E157*$I157/12*2,IF($J157=12,-$E157*$I157/12*1,0)))))+IF(BO$5&lt;&gt;$H157,0,IF(BO157&lt;0,IF($J157=10,-$E157*$I157/12*0,IF($J157=11,-$E157*$I157/12*1,IF($J157=12,-$E157*$I157/12*2,0)))))</f>
        <v>0</v>
      </c>
      <c r="BT157" s="440">
        <f>IF(AND(BO157&lt;&gt;0,BO$5=$H157),-$I157*$E157-BO157,IF(BT$5=$H157,-$I157*$E157*(12-$J157+1)/12,0))</f>
        <v>0</v>
      </c>
      <c r="BU157" s="441">
        <f>IF($H157&lt;&gt;BY$5,0,IF(BY157&lt;0,IF($J157=1,-$E157*$I157/12*3,IF($J157=2,-$E157*$I157/12*2,IF($J157=3,-$E157*$I157/12*1,0)))))+IF(BT$5&lt;&gt;$H157,0,IF(BT157&lt;0,IF($J157=1,-$E157*$I157/12*0,IF($J157=2,-$E157*$I157/12*1,IF($J157=3,-$E157*$I157/12*2,IF($J157&gt;=4,-$E157*$I157/12*3,0))))))</f>
        <v>0</v>
      </c>
      <c r="BV157" s="442">
        <f>IF($H157&lt;&gt;BY$5,0,IF(BY157&lt;0,IF(OR($J157=1,$J157=2,$J157=3,$J157=4),-$E157*$I157/12*3,IF($J157=5,-$E157*$I157/12*2,IF($J157=6,-$E157*$I157/12*1,0)))))+IF(BT$5&lt;&gt;$H157,0,IF(BT157&lt;0,IF($J157=4,-$E157*$I157/12*0,IF($J157=5,-$E157*$I157/12*1,IF($J157=6,-$E157*$I157/12*2,IF($J157&gt;=7,-$E157*$I157/12*3,0))))))</f>
        <v>0</v>
      </c>
      <c r="BW157" s="442">
        <f>IF($H157&lt;&gt;BY$5,0,IF(BY157&lt;0,IF(OR($J157=1,$J157=2,$J157=3,$J157=4,$J157=5,$J157=6,$J157=7),-$E157*$I157/12*3,IF($J157=8,-$E157*$I157/12*2,IF($J157=9,-$E157*$I157/12*1,0)))))+IF(BT$5&lt;&gt;$H157,0,IF(BT157&lt;0,IF($J157=7,-$E157*$I157/12*0,IF($J157=8,-$E157*$I157/12*1,IF($J157=9,-$E157*$I157/12*2,IF($J157&gt;=10,-$E157*$I157/12*3,0))))))</f>
        <v>0</v>
      </c>
      <c r="BX157" s="443">
        <f>IF($H157&lt;&gt;BY$5,0,IF(BY157&lt;0,IF(OR($J157=1,$J157=2,$J157=3,$J157=4,$J157=5,$J157=6,$J157=7,$J157=8,$J157=9,$J157=10),-$E157*$I157/12*3,IF($J157=11,-$E157*$I157/12*2,IF($J157=12,-$E157*$I157/12*1,0)))))+IF(BT$5&lt;&gt;$H157,0,IF(BT157&lt;0,IF($J157=10,-$E157*$I157/12*0,IF($J157=11,-$E157*$I157/12*1,IF($J157=12,-$E157*$I157/12*2,0)))))</f>
        <v>0</v>
      </c>
      <c r="BY157" s="440">
        <f>IF(AND(BT157&lt;&gt;0,BT$5=$H157),-$I157*$E157-BT157,IF(BY$5=$H157,-$I157*$E157*(12-$J157+1)/12,0))</f>
        <v>0</v>
      </c>
      <c r="BZ157" s="441">
        <f>IF($H157&lt;&gt;CD$5,0,IF(CD157&lt;0,IF($J157=1,-$E157*$I157/12*3,IF($J157=2,-$E157*$I157/12*2,IF($J157=3,-$E157*$I157/12*1,0)))))+IF(BY$5&lt;&gt;$H157,0,IF(BY157&lt;0,IF($J157=1,-$E157*$I157/12*0,IF($J157=2,-$E157*$I157/12*1,IF($J157=3,-$E157*$I157/12*2,IF($J157&gt;=4,-$E157*$I157/12*3,0))))))</f>
        <v>0</v>
      </c>
      <c r="CA157" s="442">
        <f>IF($H157&lt;&gt;CD$5,0,IF(CD157&lt;0,IF(OR($J157=1,$J157=2,$J157=3,$J157=4),-$E157*$I157/12*3,IF($J157=5,-$E157*$I157/12*2,IF($J157=6,-$E157*$I157/12*1,0)))))+IF(BY$5&lt;&gt;$H157,0,IF(BY157&lt;0,IF($J157=4,-$E157*$I157/12*0,IF($J157=5,-$E157*$I157/12*1,IF($J157=6,-$E157*$I157/12*2,IF($J157&gt;=7,-$E157*$I157/12*3,0))))))</f>
        <v>0</v>
      </c>
      <c r="CB157" s="442">
        <f>IF($H157&lt;&gt;CD$5,0,IF(CD157&lt;0,IF(OR($J157=1,$J157=2,$J157=3,$J157=4,$J157=5,$J157=6,$J157=7),-$E157*$I157/12*3,IF($J157=8,-$E157*$I157/12*2,IF($J157=9,-$E157*$I157/12*1,0)))))+IF(BY$5&lt;&gt;$H157,0,IF(BY157&lt;0,IF($J157=7,-$E157*$I157/12*0,IF($J157=8,-$E157*$I157/12*1,IF($J157=9,-$E157*$I157/12*2,IF($J157&gt;=10,-$E157*$I157/12*3,0))))))</f>
        <v>0</v>
      </c>
      <c r="CC157" s="443">
        <f>IF($H157&lt;&gt;CD$5,0,IF(CD157&lt;0,IF(OR($J157=1,$J157=2,$J157=3,$J157=4,$J157=5,$J157=6,$J157=7,$J157=8,$J157=9,$J157=10),-$E157*$I157/12*3,IF($J157=11,-$E157*$I157/12*2,IF($J157=12,-$E157*$I157/12*1,0)))))+IF(BY$5&lt;&gt;$H157,0,IF(BY157&lt;0,IF($J157=10,-$E157*$I157/12*0,IF($J157=11,-$E157*$I157/12*1,IF($J157=12,-$E157*$I157/12*2,0)))))</f>
        <v>0</v>
      </c>
      <c r="CD157" s="440">
        <f>IF(AND(BY157&lt;&gt;0,BY$5=$H157),-$I157*$E157-BY157,IF(CD$5=$H157,-$I157*$E157*(12-$J157+1)/12,0))</f>
        <v>0</v>
      </c>
      <c r="CE157" s="441">
        <f>IF($H157&lt;&gt;CI$5,0,IF(CI157&lt;0,IF($J157=1,-$E157*$I157/12*3,IF($J157=2,-$E157*$I157/12*2,IF($J157=3,-$E157*$I157/12*1,0)))))+IF(CD$5&lt;&gt;$H157,0,IF(CD157&lt;0,IF($J157=1,-$E157*$I157/12*0,IF($J157=2,-$E157*$I157/12*1,IF($J157=3,-$E157*$I157/12*2,IF($J157&gt;=4,-$E157*$I157/12*3,0))))))</f>
        <v>0</v>
      </c>
      <c r="CF157" s="442">
        <f>IF($H157&lt;&gt;CI$5,0,IF(CI157&lt;0,IF(OR($J157=1,$J157=2,$J157=3,$J157=4),-$E157*$I157/12*3,IF($J157=5,-$E157*$I157/12*2,IF($J157=6,-$E157*$I157/12*1,0)))))+IF(CD$5&lt;&gt;$H157,0,IF(CD157&lt;0,IF($J157=4,-$E157*$I157/12*0,IF($J157=5,-$E157*$I157/12*1,IF($J157=6,-$E157*$I157/12*2,IF($J157&gt;=7,-$E157*$I157/12*3,0))))))</f>
        <v>0</v>
      </c>
      <c r="CG157" s="442">
        <f>IF($H157&lt;&gt;CI$5,0,IF(CI157&lt;0,IF(OR($J157=1,$J157=2,$J157=3,$J157=4,$J157=5,$J157=6,$J157=7),-$E157*$I157/12*3,IF($J157=8,-$E157*$I157/12*2,IF($J157=9,-$E157*$I157/12*1,0)))))+IF(CD$5&lt;&gt;$H157,0,IF(CD157&lt;0,IF($J157=7,-$E157*$I157/12*0,IF($J157=8,-$E157*$I157/12*1,IF($J157=9,-$E157*$I157/12*2,IF($J157&gt;=10,-$E157*$I157/12*3,0))))))</f>
        <v>0</v>
      </c>
      <c r="CH157" s="443">
        <f>IF($H157&lt;&gt;CI$5,0,IF(CI157&lt;0,IF(OR($J157=1,$J157=2,$J157=3,$J157=4,$J157=5,$J157=6,$J157=7,$J157=8,$J157=9,$J157=10),-$E157*$I157/12*3,IF($J157=11,-$E157*$I157/12*2,IF($J157=12,-$E157*$I157/12*1,0)))))+IF(CD$5&lt;&gt;$H157,0,IF(CD157&lt;0,IF($J157=10,-$E157*$I157/12*0,IF($J157=11,-$E157*$I157/12*1,IF($J157=12,-$E157*$I157/12*2,0)))))</f>
        <v>0</v>
      </c>
      <c r="CI157" s="440">
        <f>IF(AND(CD157&lt;&gt;0,CD$5=$H157),-$I157*$E157-CD157,IF(CI$5=$H157,-$I157*$E157*(12-$J157+1)/12,0))</f>
        <v>0</v>
      </c>
      <c r="CJ157" s="441">
        <f>IF($H157&lt;&gt;CN$5,0,IF(CN157&lt;0,IF($J157=1,-$E157*$I157/12*3,IF($J157=2,-$E157*$I157/12*2,IF($J157=3,-$E157*$I157/12*1,0)))))+IF(CI$5&lt;&gt;$H157,0,IF(CI157&lt;0,IF($J157=1,-$E157*$I157/12*0,IF($J157=2,-$E157*$I157/12*1,IF($J157=3,-$E157*$I157/12*2,IF($J157&gt;=4,-$E157*$I157/12*3,0))))))</f>
        <v>0</v>
      </c>
      <c r="CK157" s="442">
        <f>IF($H157&lt;&gt;CN$5,0,IF(CN157&lt;0,IF(OR($J157=1,$J157=2,$J157=3,$J157=4),-$E157*$I157/12*3,IF($J157=5,-$E157*$I157/12*2,IF($J157=6,-$E157*$I157/12*1,0)))))+IF(CI$5&lt;&gt;$H157,0,IF(CI157&lt;0,IF($J157=4,-$E157*$I157/12*0,IF($J157=5,-$E157*$I157/12*1,IF($J157=6,-$E157*$I157/12*2,IF($J157&gt;=7,-$E157*$I157/12*3,0))))))</f>
        <v>0</v>
      </c>
      <c r="CL157" s="442">
        <f>IF($H157&lt;&gt;CN$5,0,IF(CN157&lt;0,IF(OR($J157=1,$J157=2,$J157=3,$J157=4,$J157=5,$J157=6,$J157=7),-$E157*$I157/12*3,IF($J157=8,-$E157*$I157/12*2,IF($J157=9,-$E157*$I157/12*1,0)))))+IF(CI$5&lt;&gt;$H157,0,IF(CI157&lt;0,IF($J157=7,-$E157*$I157/12*0,IF($J157=8,-$E157*$I157/12*1,IF($J157=9,-$E157*$I157/12*2,IF($J157&gt;=10,-$E157*$I157/12*3,0))))))</f>
        <v>0</v>
      </c>
      <c r="CM157" s="443">
        <f>IF($H157&lt;&gt;CN$5,0,IF(CN157&lt;0,IF(OR($J157=1,$J157=2,$J157=3,$J157=4,$J157=5,$J157=6,$J157=7,$J157=8,$J157=9,$J157=10),-$E157*$I157/12*3,IF($J157=11,-$E157*$I157/12*2,IF($J157=12,-$E157*$I157/12*1,0)))))+IF(CI$5&lt;&gt;$H157,0,IF(CI157&lt;0,IF($J157=10,-$E157*$I157/12*0,IF($J157=11,-$E157*$I157/12*1,IF($J157=12,-$E157*$I157/12*2,0)))))</f>
        <v>0</v>
      </c>
      <c r="CN157" s="440">
        <f>IF(AND(CI157&lt;&gt;0,CI$5=$H157),-$I157*$E157-CI157,IF(CN$5=$H157,-$I157*$E157*(12-$J157+1)/12,0))</f>
        <v>0</v>
      </c>
      <c r="CO157" s="441">
        <f>IF($H157&lt;&gt;CS$5,0,IF(CS157&lt;0,IF($J157=1,-$E157*$I157/12*3,IF($J157=2,-$E157*$I157/12*2,IF($J157=3,-$E157*$I157/12*1,0)))))+IF(CN$5&lt;&gt;$H157,0,IF(CN157&lt;0,IF($J157=1,-$E157*$I157/12*0,IF($J157=2,-$E157*$I157/12*1,IF($J157=3,-$E157*$I157/12*2,IF($J157&gt;=4,-$E157*$I157/12*3,0))))))</f>
        <v>0</v>
      </c>
      <c r="CP157" s="442">
        <f>IF($H157&lt;&gt;CS$5,0,IF(CS157&lt;0,IF(OR($J157=1,$J157=2,$J157=3,$J157=4),-$E157*$I157/12*3,IF($J157=5,-$E157*$I157/12*2,IF($J157=6,-$E157*$I157/12*1,0)))))+IF(CN$5&lt;&gt;$H157,0,IF(CN157&lt;0,IF($J157=4,-$E157*$I157/12*0,IF($J157=5,-$E157*$I157/12*1,IF($J157=6,-$E157*$I157/12*2,IF($J157&gt;=7,-$E157*$I157/12*3,0))))))</f>
        <v>0</v>
      </c>
      <c r="CQ157" s="442">
        <f>IF($H157&lt;&gt;CS$5,0,IF(CS157&lt;0,IF(OR($J157=1,$J157=2,$J157=3,$J157=4,$J157=5,$J157=6,$J157=7),-$E157*$I157/12*3,IF($J157=8,-$E157*$I157/12*2,IF($J157=9,-$E157*$I157/12*1,0)))))+IF(CN$5&lt;&gt;$H157,0,IF(CN157&lt;0,IF($J157=7,-$E157*$I157/12*0,IF($J157=8,-$E157*$I157/12*1,IF($J157=9,-$E157*$I157/12*2,IF($J157&gt;=10,-$E157*$I157/12*3,0))))))</f>
        <v>0</v>
      </c>
      <c r="CR157" s="443">
        <f>IF($H157&lt;&gt;CS$5,0,IF(CS157&lt;0,IF(OR($J157=1,$J157=2,$J157=3,$J157=4,$J157=5,$J157=6,$J157=7,$J157=8,$J157=9,$J157=10),-$E157*$I157/12*3,IF($J157=11,-$E157*$I157/12*2,IF($J157=12,-$E157*$I157/12*1,0)))))+IF(CN$5&lt;&gt;$H157,0,IF(CN157&lt;0,IF($J157=10,-$E157*$I157/12*0,IF($J157=11,-$E157*$I157/12*1,IF($J157=12,-$E157*$I157/12*2,0)))))</f>
        <v>0</v>
      </c>
      <c r="CS157" s="440">
        <f>IF(AND(CN157&lt;&gt;0,CN$5=$H157),-$I157*$E157-CN157,IF(CS$5=$H157,-$I157*$E157*(12-$J157+1)/12,0))</f>
        <v>0</v>
      </c>
      <c r="CT157" s="441">
        <f>IF($H157&lt;&gt;CX$5,0,IF(CX157&lt;0,IF($J157=1,-$E157*$I157/12*3,IF($J157=2,-$E157*$I157/12*2,IF($J157=3,-$E157*$I157/12*1,0)))))+IF(CS$5&lt;&gt;$H157,0,IF(CS157&lt;0,IF($J157=1,-$E157*$I157/12*0,IF($J157=2,-$E157*$I157/12*1,IF($J157=3,-$E157*$I157/12*2,IF($J157&gt;=4,-$E157*$I157/12*3,0))))))</f>
        <v>0</v>
      </c>
      <c r="CU157" s="442">
        <f>IF($H157&lt;&gt;CX$5,0,IF(CX157&lt;0,IF(OR($J157=1,$J157=2,$J157=3,$J157=4),-$E157*$I157/12*3,IF($J157=5,-$E157*$I157/12*2,IF($J157=6,-$E157*$I157/12*1,0)))))+IF(CS$5&lt;&gt;$H157,0,IF(CS157&lt;0,IF($J157=4,-$E157*$I157/12*0,IF($J157=5,-$E157*$I157/12*1,IF($J157=6,-$E157*$I157/12*2,IF($J157&gt;=7,-$E157*$I157/12*3,0))))))</f>
        <v>0</v>
      </c>
      <c r="CV157" s="442">
        <f>IF($H157&lt;&gt;CX$5,0,IF(CX157&lt;0,IF(OR($J157=1,$J157=2,$J157=3,$J157=4,$J157=5,$J157=6,$J157=7),-$E157*$I157/12*3,IF($J157=8,-$E157*$I157/12*2,IF($J157=9,-$E157*$I157/12*1,0)))))+IF(CS$5&lt;&gt;$H157,0,IF(CS157&lt;0,IF($J157=7,-$E157*$I157/12*0,IF($J157=8,-$E157*$I157/12*1,IF($J157=9,-$E157*$I157/12*2,IF($J157&gt;=10,-$E157*$I157/12*3,0))))))</f>
        <v>0</v>
      </c>
      <c r="CW157" s="443">
        <f>IF($H157&lt;&gt;CX$5,0,IF(CX157&lt;0,IF(OR($J157=1,$J157=2,$J157=3,$J157=4,$J157=5,$J157=6,$J157=7,$J157=8,$J157=9,$J157=10),-$E157*$I157/12*3,IF($J157=11,-$E157*$I157/12*2,IF($J157=12,-$E157*$I157/12*1,0)))))+IF(CS$5&lt;&gt;$H157,0,IF(CS157&lt;0,IF($J157=10,-$E157*$I157/12*0,IF($J157=11,-$E157*$I157/12*1,IF($J157=12,-$E157*$I157/12*2,0)))))</f>
        <v>0</v>
      </c>
      <c r="CX157" s="440">
        <f>IF(AND(CS157&lt;&gt;0,CS$5=$H157),-$I157*$E157-CS157,IF(CX$5=$H157,-$I157*$E157*(12-$J157+1)/12,0))</f>
        <v>0</v>
      </c>
      <c r="CY157" s="441">
        <f>IF($H157&lt;&gt;DC$5,0,IF(DC157&lt;0,IF($J157=1,-$E157*$I157/12*3,IF($J157=2,-$E157*$I157/12*2,IF($J157=3,-$E157*$I157/12*1,0)))))+IF(CX$5&lt;&gt;$H157,0,IF(CX157&lt;0,IF($J157=1,-$E157*$I157/12*0,IF($J157=2,-$E157*$I157/12*1,IF($J157=3,-$E157*$I157/12*2,IF($J157&gt;=4,-$E157*$I157/12*3,0))))))</f>
        <v>0</v>
      </c>
      <c r="CZ157" s="442">
        <f>IF($H157&lt;&gt;DC$5,0,IF(DC157&lt;0,IF(OR($J157=1,$J157=2,$J157=3,$J157=4),-$E157*$I157/12*3,IF($J157=5,-$E157*$I157/12*2,IF($J157=6,-$E157*$I157/12*1,0)))))+IF(CX$5&lt;&gt;$H157,0,IF(CX157&lt;0,IF($J157=4,-$E157*$I157/12*0,IF($J157=5,-$E157*$I157/12*1,IF($J157=6,-$E157*$I157/12*2,IF($J157&gt;=7,-$E157*$I157/12*3,0))))))</f>
        <v>0</v>
      </c>
      <c r="DA157" s="442">
        <f>IF($H157&lt;&gt;DC$5,0,IF(DC157&lt;0,IF(OR($J157=1,$J157=2,$J157=3,$J157=4,$J157=5,$J157=6,$J157=7),-$E157*$I157/12*3,IF($J157=8,-$E157*$I157/12*2,IF($J157=9,-$E157*$I157/12*1,0)))))+IF(CX$5&lt;&gt;$H157,0,IF(CX157&lt;0,IF($J157=7,-$E157*$I157/12*0,IF($J157=8,-$E157*$I157/12*1,IF($J157=9,-$E157*$I157/12*2,IF($J157&gt;=10,-$E157*$I157/12*3,0))))))</f>
        <v>0</v>
      </c>
      <c r="DB157" s="443">
        <f>IF($H157&lt;&gt;DC$5,0,IF(DC157&lt;0,IF(OR($J157=1,$J157=2,$J157=3,$J157=4,$J157=5,$J157=6,$J157=7,$J157=8,$J157=9,$J157=10),-$E157*$I157/12*3,IF($J157=11,-$E157*$I157/12*2,IF($J157=12,-$E157*$I157/12*1,0)))))+IF(CX$5&lt;&gt;$H157,0,IF(CX157&lt;0,IF($J157=10,-$E157*$I157/12*0,IF($J157=11,-$E157*$I157/12*1,IF($J157=12,-$E157*$I157/12*2,0)))))</f>
        <v>0</v>
      </c>
      <c r="DC157" s="440">
        <f>IF(AND(CX157&lt;&gt;0,CX$5=$H157),-$I157*$E157-CX157,IF(DC$5=$H157,-$I157*$E157*(12-$J157+1)/12,0))</f>
        <v>0</v>
      </c>
      <c r="DD157" s="441">
        <f>IF($H157&lt;&gt;DH$5,0,IF(DH157&lt;0,IF($J157=1,-$E157*$I157/12*3,IF($J157=2,-$E157*$I157/12*2,IF($J157=3,-$E157*$I157/12*1,0)))))+IF(DC$5&lt;&gt;$H157,0,IF(DC157&lt;0,IF($J157=1,-$E157*$I157/12*0,IF($J157=2,-$E157*$I157/12*1,IF($J157=3,-$E157*$I157/12*2,IF($J157&gt;=4,-$E157*$I157/12*3,0))))))</f>
        <v>0</v>
      </c>
      <c r="DE157" s="442">
        <f>IF($H157&lt;&gt;DH$5,0,IF(DH157&lt;0,IF(OR($J157=1,$J157=2,$J157=3,$J157=4),-$E157*$I157/12*3,IF($J157=5,-$E157*$I157/12*2,IF($J157=6,-$E157*$I157/12*1,0)))))+IF(DC$5&lt;&gt;$H157,0,IF(DC157&lt;0,IF($J157=4,-$E157*$I157/12*0,IF($J157=5,-$E157*$I157/12*1,IF($J157=6,-$E157*$I157/12*2,IF($J157&gt;=7,-$E157*$I157/12*3,0))))))</f>
        <v>0</v>
      </c>
      <c r="DF157" s="442">
        <f>IF($H157&lt;&gt;DH$5,0,IF(DH157&lt;0,IF(OR($J157=1,$J157=2,$J157=3,$J157=4,$J157=5,$J157=6,$J157=7),-$E157*$I157/12*3,IF($J157=8,-$E157*$I157/12*2,IF($J157=9,-$E157*$I157/12*1,0)))))+IF(DC$5&lt;&gt;$H157,0,IF(DC157&lt;0,IF($J157=7,-$E157*$I157/12*0,IF($J157=8,-$E157*$I157/12*1,IF($J157=9,-$E157*$I157/12*2,IF($J157&gt;=10,-$E157*$I157/12*3,0))))))</f>
        <v>0</v>
      </c>
      <c r="DG157" s="443">
        <f>IF($H157&lt;&gt;DH$5,0,IF(DH157&lt;0,IF(OR($J157=1,$J157=2,$J157=3,$J157=4,$J157=5,$J157=6,$J157=7,$J157=8,$J157=9,$J157=10),-$E157*$I157/12*3,IF($J157=11,-$E157*$I157/12*2,IF($J157=12,-$E157*$I157/12*1,0)))))+IF(DC$5&lt;&gt;$H157,0,IF(DC157&lt;0,IF($J157=10,-$E157*$I157/12*0,IF($J157=11,-$E157*$I157/12*1,IF($J157=12,-$E157*$I157/12*2,0)))))</f>
        <v>0</v>
      </c>
      <c r="DH157" s="440">
        <f>IF(AND(DC157&lt;&gt;0,DC$5=$H157),-$I157*$E157-DC157,IF(DH$5=$H157,-$I157*$E157*(12-$J157+1)/12,0))</f>
        <v>0</v>
      </c>
      <c r="DI157" s="441">
        <f>IF($H157&lt;&gt;DM$5,0,IF(DM157&lt;0,IF($J157=1,-$E157*$I157/12*3,IF($J157=2,-$E157*$I157/12*2,IF($J157=3,-$E157*$I157/12*1,0)))))+IF(DH$5&lt;&gt;$H157,0,IF(DH157&lt;0,IF($J157=1,-$E157*$I157/12*0,IF($J157=2,-$E157*$I157/12*1,IF($J157=3,-$E157*$I157/12*2,IF($J157&gt;=4,-$E157*$I157/12*3,0))))))</f>
        <v>-0.30208333333333331</v>
      </c>
      <c r="DJ157" s="442">
        <f>IF($H157&lt;&gt;DM$5,0,IF(DM157&lt;0,IF(OR($J157=1,$J157=2,$J157=3,$J157=4),-$E157*$I157/12*3,IF($J157=5,-$E157*$I157/12*2,IF($J157=6,-$E157*$I157/12*1,0)))))+IF(DH$5&lt;&gt;$H157,0,IF(DH157&lt;0,IF($J157=4,-$E157*$I157/12*0,IF($J157=5,-$E157*$I157/12*1,IF($J157=6,-$E157*$I157/12*2,IF($J157&gt;=7,-$E157*$I157/12*3,0))))))</f>
        <v>-0.90625</v>
      </c>
      <c r="DK157" s="442">
        <f>IF($H157&lt;&gt;DM$5,0,IF(DM157&lt;0,IF(OR($J157=1,$J157=2,$J157=3,$J157=4,$J157=5,$J157=6,$J157=7),-$E157*$I157/12*3,IF($J157=8,-$E157*$I157/12*2,IF($J157=9,-$E157*$I157/12*1,0)))))+IF(DH$5&lt;&gt;$H157,0,IF(DH157&lt;0,IF($J157=7,-$E157*$I157/12*0,IF($J157=8,-$E157*$I157/12*1,IF($J157=9,-$E157*$I157/12*2,IF($J157&gt;=10,-$E157*$I157/12*3,0))))))</f>
        <v>-0.90625</v>
      </c>
      <c r="DL157" s="443">
        <f>IF($H157&lt;&gt;DM$5,0,IF(DM157&lt;0,IF(OR($J157=1,$J157=2,$J157=3,$J157=4,$J157=5,$J157=6,$J157=7,$J157=8,$J157=9,$J157=10),-$E157*$I157/12*3,IF($J157=11,-$E157*$I157/12*2,IF($J157=12,-$E157*$I157/12*1,0)))))+IF(DH$5&lt;&gt;$H157,0,IF(DH157&lt;0,IF($J157=10,-$E157*$I157/12*0,IF($J157=11,-$E157*$I157/12*1,IF($J157=12,-$E157*$I157/12*2,0)))))</f>
        <v>-0.90625</v>
      </c>
      <c r="DM157" s="440">
        <f>IF(AND(DH157&lt;&gt;0,DH$5=$H157),-$I157*$E157-DH157,IF(DM$5=$H157,-$I157*$E157*(12-$J157+1)/12,0))</f>
        <v>-3.0208333333333326</v>
      </c>
      <c r="DN157" s="441">
        <f>IF($H157&lt;&gt;DR$5,0,IF(DR157&lt;0,IF($J157=1,-$E157*$I157/12*3,IF($J157=2,-$E157*$I157/12*2,IF($J157=3,-$E157*$I157/12*1,0)))))+IF(DM$5&lt;&gt;$H157,0,IF(DM157&lt;0,IF($J157=1,-$E157*$I157/12*0,IF($J157=2,-$E157*$I157/12*1,IF($J157=3,-$E157*$I157/12*2,IF($J157&gt;=4,-$E157*$I157/12*3,0))))))</f>
        <v>-0.60416666666666663</v>
      </c>
      <c r="DO157" s="442">
        <f>IF($H157&lt;&gt;DR$5,0,IF(DR157&lt;0,IF(OR($J157=1,$J157=2,$J157=3,$J157=4),-$E157*$I157/12*3,IF($J157=5,-$E157*$I157/12*2,IF($J157=6,-$E157*$I157/12*1,0)))))+IF(DM$5&lt;&gt;$H157,0,IF(DM157&lt;0,IF($J157=4,-$E157*$I157/12*0,IF($J157=5,-$E157*$I157/12*1,IF($J157=6,-$E157*$I157/12*2,IF($J157&gt;=7,-$E157*$I157/12*3,0))))))</f>
        <v>0</v>
      </c>
      <c r="DP157" s="442">
        <f>IF($H157&lt;&gt;DR$5,0,IF(DR157&lt;0,IF(OR($J157=1,$J157=2,$J157=3,$J157=4,$J157=5,$J157=6,$J157=7),-$E157*$I157/12*3,IF($J157=8,-$E157*$I157/12*2,IF($J157=9,-$E157*$I157/12*1,0)))))+IF(DM$5&lt;&gt;$H157,0,IF(DM157&lt;0,IF($J157=7,-$E157*$I157/12*0,IF($J157=8,-$E157*$I157/12*1,IF($J157=9,-$E157*$I157/12*2,IF($J157&gt;=10,-$E157*$I157/12*3,0))))))</f>
        <v>0</v>
      </c>
      <c r="DQ157" s="443">
        <f>IF($H157&lt;&gt;DR$5,0,IF(DR157&lt;0,IF(OR($J157=1,$J157=2,$J157=3,$J157=4,$J157=5,$J157=6,$J157=7,$J157=8,$J157=9,$J157=10),-$E157*$I157/12*3,IF($J157=11,-$E157*$I157/12*2,IF($J157=12,-$E157*$I157/12*1,0)))))+IF(DM$5&lt;&gt;$H157,0,IF(DM157&lt;0,IF($J157=10,-$E157*$I157/12*0,IF($J157=11,-$E157*$I157/12*1,IF($J157=12,-$E157*$I157/12*2,0)))))</f>
        <v>0</v>
      </c>
      <c r="DR157" s="440">
        <f>IF(AND(DM157&lt;&gt;0,DM$5=$H157),-$I157*$E157-DM157,IF(DR$5=$H157,-$I157*$E157*(12-$J157+1)/12,0))</f>
        <v>-0.60416666666666696</v>
      </c>
    </row>
    <row r="158" spans="1:122">
      <c r="C158" s="1123" t="s">
        <v>750</v>
      </c>
      <c r="D158" s="395"/>
      <c r="E158" s="188">
        <f>IF(F158=0,G158,F158)</f>
        <v>300</v>
      </c>
      <c r="F158" s="1945">
        <v>300</v>
      </c>
      <c r="G158" s="1945">
        <v>300</v>
      </c>
      <c r="H158" s="1366">
        <v>2037</v>
      </c>
      <c r="I158" s="1367">
        <v>6.1500000000000006E-2</v>
      </c>
      <c r="J158" s="1357">
        <v>5</v>
      </c>
      <c r="K158" s="549"/>
      <c r="L158" s="441">
        <f t="shared" si="1964"/>
        <v>0</v>
      </c>
      <c r="M158" s="442">
        <f t="shared" si="1965"/>
        <v>0</v>
      </c>
      <c r="N158" s="442">
        <f t="shared" si="1966"/>
        <v>0</v>
      </c>
      <c r="O158" s="443">
        <f t="shared" si="1967"/>
        <v>0</v>
      </c>
      <c r="P158" s="440">
        <f t="shared" si="1968"/>
        <v>0</v>
      </c>
      <c r="Q158" s="441">
        <f t="shared" si="1969"/>
        <v>0</v>
      </c>
      <c r="R158" s="442">
        <f t="shared" si="1970"/>
        <v>0</v>
      </c>
      <c r="S158" s="442">
        <f t="shared" si="1971"/>
        <v>0</v>
      </c>
      <c r="T158" s="443">
        <f t="shared" si="1972"/>
        <v>0</v>
      </c>
      <c r="U158" s="440">
        <f t="shared" si="1973"/>
        <v>0</v>
      </c>
      <c r="V158" s="441">
        <f t="shared" si="1974"/>
        <v>0</v>
      </c>
      <c r="W158" s="442">
        <f t="shared" si="1975"/>
        <v>0</v>
      </c>
      <c r="X158" s="442">
        <f t="shared" si="1976"/>
        <v>0</v>
      </c>
      <c r="Y158" s="443">
        <f t="shared" si="1977"/>
        <v>0</v>
      </c>
      <c r="Z158" s="440">
        <f t="shared" si="1978"/>
        <v>0</v>
      </c>
      <c r="AA158" s="441">
        <f t="shared" si="1979"/>
        <v>0</v>
      </c>
      <c r="AB158" s="442">
        <f t="shared" si="1980"/>
        <v>0</v>
      </c>
      <c r="AC158" s="442">
        <f t="shared" si="1981"/>
        <v>0</v>
      </c>
      <c r="AD158" s="443">
        <f t="shared" si="1982"/>
        <v>0</v>
      </c>
      <c r="AE158" s="440">
        <f t="shared" si="1983"/>
        <v>0</v>
      </c>
      <c r="AF158" s="441">
        <f t="shared" si="1984"/>
        <v>0</v>
      </c>
      <c r="AG158" s="442">
        <f t="shared" si="1985"/>
        <v>0</v>
      </c>
      <c r="AH158" s="442">
        <f t="shared" si="1986"/>
        <v>0</v>
      </c>
      <c r="AI158" s="443">
        <f t="shared" si="1987"/>
        <v>0</v>
      </c>
      <c r="AJ158" s="440">
        <f t="shared" si="1988"/>
        <v>0</v>
      </c>
      <c r="AK158" s="441">
        <f t="shared" si="1989"/>
        <v>0</v>
      </c>
      <c r="AL158" s="442">
        <f t="shared" si="1990"/>
        <v>0</v>
      </c>
      <c r="AM158" s="442">
        <f t="shared" si="1991"/>
        <v>0</v>
      </c>
      <c r="AN158" s="443">
        <f t="shared" si="1992"/>
        <v>0</v>
      </c>
      <c r="AO158" s="440">
        <f t="shared" si="1993"/>
        <v>0</v>
      </c>
      <c r="AP158" s="441">
        <f t="shared" si="1994"/>
        <v>0</v>
      </c>
      <c r="AQ158" s="442">
        <f t="shared" si="1995"/>
        <v>0</v>
      </c>
      <c r="AR158" s="442">
        <f t="shared" si="1996"/>
        <v>0</v>
      </c>
      <c r="AS158" s="443">
        <f t="shared" si="1997"/>
        <v>0</v>
      </c>
      <c r="AT158" s="440">
        <f t="shared" si="1998"/>
        <v>0</v>
      </c>
      <c r="AU158" s="441">
        <f t="shared" si="1999"/>
        <v>0</v>
      </c>
      <c r="AV158" s="442">
        <f t="shared" si="2000"/>
        <v>0</v>
      </c>
      <c r="AW158" s="442">
        <f t="shared" si="2001"/>
        <v>0</v>
      </c>
      <c r="AX158" s="443">
        <f t="shared" si="2002"/>
        <v>0</v>
      </c>
      <c r="AY158" s="440">
        <f t="shared" si="2003"/>
        <v>0</v>
      </c>
      <c r="AZ158" s="441">
        <f t="shared" si="2004"/>
        <v>0</v>
      </c>
      <c r="BA158" s="442">
        <f t="shared" si="2005"/>
        <v>0</v>
      </c>
      <c r="BB158" s="442">
        <f t="shared" si="2006"/>
        <v>0</v>
      </c>
      <c r="BC158" s="443">
        <f t="shared" si="2007"/>
        <v>0</v>
      </c>
      <c r="BD158" s="440">
        <f t="shared" si="2008"/>
        <v>0</v>
      </c>
      <c r="BE158" s="441">
        <f t="shared" si="2009"/>
        <v>0</v>
      </c>
      <c r="BF158" s="442">
        <f t="shared" si="2010"/>
        <v>0</v>
      </c>
      <c r="BG158" s="442">
        <f t="shared" si="2011"/>
        <v>0</v>
      </c>
      <c r="BH158" s="443">
        <f t="shared" si="2012"/>
        <v>0</v>
      </c>
      <c r="BI158" s="440">
        <f t="shared" si="2013"/>
        <v>0</v>
      </c>
      <c r="BJ158" s="441">
        <f t="shared" si="2014"/>
        <v>0</v>
      </c>
      <c r="BK158" s="442">
        <f t="shared" si="2015"/>
        <v>0</v>
      </c>
      <c r="BL158" s="442">
        <f t="shared" si="2016"/>
        <v>0</v>
      </c>
      <c r="BM158" s="443">
        <f t="shared" si="2017"/>
        <v>0</v>
      </c>
      <c r="BN158" s="440">
        <f t="shared" si="2018"/>
        <v>0</v>
      </c>
      <c r="BO158" s="470"/>
      <c r="BP158" s="441">
        <f>IF($H158&lt;&gt;BT$5,0,IF(BT158&lt;0,IF($J158=1,-$E158*$I158/12*3,IF($J158=2,-$E158*$I158/12*2,IF($J158=3,-$E158*$I158/12*1,0)))))+IF(BO$5&lt;&gt;$H158,0,IF(BO158&lt;0,IF($J158=1,-$E158*$I158/12*0,IF($J158=2,-$E158*$I158/12*1,IF($J158=3,-$E158*$I158/12*2,IF($J158&gt;=4,-$E158*$I158/12*3,0))))))</f>
        <v>0</v>
      </c>
      <c r="BQ158" s="442">
        <f>IF($H158&lt;&gt;BT$5,0,IF(BT158&lt;0,IF(OR($J158=1,$J158=2,$J158=3,$J158=4),-$E158*$I158/12*3,IF($J158=5,-$E158*$I158/12*2,IF($J158=6,-$E158*$I158/12*1,0)))))+IF(BO$5&lt;&gt;$H158,0,IF(BO158&lt;0,IF($J158=4,-$E158*$I158/12*0,IF($J158=5,-$E158*$I158/12*1,IF($J158=6,-$E158*$I158/12*2,IF($J158&gt;=7,-$E158*$I158/12*3,0))))))</f>
        <v>0</v>
      </c>
      <c r="BR158" s="442">
        <f>IF($H158&lt;&gt;BT$5,0,IF(BT158&lt;0,IF(OR($J158=1,$J158=2,$J158=3,$J158=4,$J158=5,$J158=6,$J158=7),-$E158*$I158/12*3,IF($J158=8,-$E158*$I158/12*2,IF($J158=9,-$E158*$I158/12*1,0)))))+IF(BO$5&lt;&gt;$H158,0,IF(BO158&lt;0,IF($J158=7,-$E158*$I158/12*0,IF($J158=8,-$E158*$I158/12*1,IF($J158=9,-$E158*$I158/12*2,IF($J158&gt;=10,-$E158*$I158/12*3,0))))))</f>
        <v>0</v>
      </c>
      <c r="BS158" s="443">
        <f>IF($H158&lt;&gt;BT$5,0,IF(BT158&lt;0,IF(OR($J158=1,$J158=2,$J158=3,$J158=4,$J158=5,$J158=6,$J158=7,$J158=8,$J158=9,$J158=10),-$E158*$I158/12*3,IF($J158=11,-$E158*$I158/12*2,IF($J158=12,-$E158*$I158/12*1,0)))))+IF(BO$5&lt;&gt;$H158,0,IF(BO158&lt;0,IF($J158=10,-$E158*$I158/12*0,IF($J158=11,-$E158*$I158/12*1,IF($J158=12,-$E158*$I158/12*2,0)))))</f>
        <v>0</v>
      </c>
      <c r="BT158" s="440">
        <f>IF(AND(BO158&lt;&gt;0,BO$5=$H158),-$I158*$E158-BO158,IF(BT$5=$H158,-$I158*$E158*(12-$J158+1)/12,0))</f>
        <v>0</v>
      </c>
      <c r="BU158" s="441">
        <f>IF($H158&lt;&gt;BY$5,0,IF(BY158&lt;0,IF($J158=1,-$E158*$I158/12*3,IF($J158=2,-$E158*$I158/12*2,IF($J158=3,-$E158*$I158/12*1,0)))))+IF(BT$5&lt;&gt;$H158,0,IF(BT158&lt;0,IF($J158=1,-$E158*$I158/12*0,IF($J158=2,-$E158*$I158/12*1,IF($J158=3,-$E158*$I158/12*2,IF($J158&gt;=4,-$E158*$I158/12*3,0))))))</f>
        <v>0</v>
      </c>
      <c r="BV158" s="442">
        <f>IF($H158&lt;&gt;BY$5,0,IF(BY158&lt;0,IF(OR($J158=1,$J158=2,$J158=3,$J158=4),-$E158*$I158/12*3,IF($J158=5,-$E158*$I158/12*2,IF($J158=6,-$E158*$I158/12*1,0)))))+IF(BT$5&lt;&gt;$H158,0,IF(BT158&lt;0,IF($J158=4,-$E158*$I158/12*0,IF($J158=5,-$E158*$I158/12*1,IF($J158=6,-$E158*$I158/12*2,IF($J158&gt;=7,-$E158*$I158/12*3,0))))))</f>
        <v>0</v>
      </c>
      <c r="BW158" s="442">
        <f>IF($H158&lt;&gt;BY$5,0,IF(BY158&lt;0,IF(OR($J158=1,$J158=2,$J158=3,$J158=4,$J158=5,$J158=6,$J158=7),-$E158*$I158/12*3,IF($J158=8,-$E158*$I158/12*2,IF($J158=9,-$E158*$I158/12*1,0)))))+IF(BT$5&lt;&gt;$H158,0,IF(BT158&lt;0,IF($J158=7,-$E158*$I158/12*0,IF($J158=8,-$E158*$I158/12*1,IF($J158=9,-$E158*$I158/12*2,IF($J158&gt;=10,-$E158*$I158/12*3,0))))))</f>
        <v>0</v>
      </c>
      <c r="BX158" s="443">
        <f>IF($H158&lt;&gt;BY$5,0,IF(BY158&lt;0,IF(OR($J158=1,$J158=2,$J158=3,$J158=4,$J158=5,$J158=6,$J158=7,$J158=8,$J158=9,$J158=10),-$E158*$I158/12*3,IF($J158=11,-$E158*$I158/12*2,IF($J158=12,-$E158*$I158/12*1,0)))))+IF(BT$5&lt;&gt;$H158,0,IF(BT158&lt;0,IF($J158=10,-$E158*$I158/12*0,IF($J158=11,-$E158*$I158/12*1,IF($J158=12,-$E158*$I158/12*2,0)))))</f>
        <v>0</v>
      </c>
      <c r="BY158" s="440">
        <f>IF(AND(BT158&lt;&gt;0,BT$5=$H158),-$I158*$E158-BT158,IF(BY$5=$H158,-$I158*$E158*(12-$J158+1)/12,0))</f>
        <v>0</v>
      </c>
      <c r="BZ158" s="441">
        <f>IF($H158&lt;&gt;CD$5,0,IF(CD158&lt;0,IF($J158=1,-$E158*$I158/12*3,IF($J158=2,-$E158*$I158/12*2,IF($J158=3,-$E158*$I158/12*1,0)))))+IF(BY$5&lt;&gt;$H158,0,IF(BY158&lt;0,IF($J158=1,-$E158*$I158/12*0,IF($J158=2,-$E158*$I158/12*1,IF($J158=3,-$E158*$I158/12*2,IF($J158&gt;=4,-$E158*$I158/12*3,0))))))</f>
        <v>0</v>
      </c>
      <c r="CA158" s="442">
        <f>IF($H158&lt;&gt;CD$5,0,IF(CD158&lt;0,IF(OR($J158=1,$J158=2,$J158=3,$J158=4),-$E158*$I158/12*3,IF($J158=5,-$E158*$I158/12*2,IF($J158=6,-$E158*$I158/12*1,0)))))+IF(BY$5&lt;&gt;$H158,0,IF(BY158&lt;0,IF($J158=4,-$E158*$I158/12*0,IF($J158=5,-$E158*$I158/12*1,IF($J158=6,-$E158*$I158/12*2,IF($J158&gt;=7,-$E158*$I158/12*3,0))))))</f>
        <v>0</v>
      </c>
      <c r="CB158" s="442">
        <f>IF($H158&lt;&gt;CD$5,0,IF(CD158&lt;0,IF(OR($J158=1,$J158=2,$J158=3,$J158=4,$J158=5,$J158=6,$J158=7),-$E158*$I158/12*3,IF($J158=8,-$E158*$I158/12*2,IF($J158=9,-$E158*$I158/12*1,0)))))+IF(BY$5&lt;&gt;$H158,0,IF(BY158&lt;0,IF($J158=7,-$E158*$I158/12*0,IF($J158=8,-$E158*$I158/12*1,IF($J158=9,-$E158*$I158/12*2,IF($J158&gt;=10,-$E158*$I158/12*3,0))))))</f>
        <v>0</v>
      </c>
      <c r="CC158" s="443">
        <f>IF($H158&lt;&gt;CD$5,0,IF(CD158&lt;0,IF(OR($J158=1,$J158=2,$J158=3,$J158=4,$J158=5,$J158=6,$J158=7,$J158=8,$J158=9,$J158=10),-$E158*$I158/12*3,IF($J158=11,-$E158*$I158/12*2,IF($J158=12,-$E158*$I158/12*1,0)))))+IF(BY$5&lt;&gt;$H158,0,IF(BY158&lt;0,IF($J158=10,-$E158*$I158/12*0,IF($J158=11,-$E158*$I158/12*1,IF($J158=12,-$E158*$I158/12*2,0)))))</f>
        <v>0</v>
      </c>
      <c r="CD158" s="440">
        <f>IF(AND(BY158&lt;&gt;0,BY$5=$H158),-$I158*$E158-BY158,IF(CD$5=$H158,-$I158*$E158*(12-$J158+1)/12,0))</f>
        <v>0</v>
      </c>
      <c r="CE158" s="441">
        <f>IF($H158&lt;&gt;CI$5,0,IF(CI158&lt;0,IF($J158=1,-$E158*$I158/12*3,IF($J158=2,-$E158*$I158/12*2,IF($J158=3,-$E158*$I158/12*1,0)))))+IF(CD$5&lt;&gt;$H158,0,IF(CD158&lt;0,IF($J158=1,-$E158*$I158/12*0,IF($J158=2,-$E158*$I158/12*1,IF($J158=3,-$E158*$I158/12*2,IF($J158&gt;=4,-$E158*$I158/12*3,0))))))</f>
        <v>0</v>
      </c>
      <c r="CF158" s="442">
        <f>IF($H158&lt;&gt;CI$5,0,IF(CI158&lt;0,IF(OR($J158=1,$J158=2,$J158=3,$J158=4),-$E158*$I158/12*3,IF($J158=5,-$E158*$I158/12*2,IF($J158=6,-$E158*$I158/12*1,0)))))+IF(CD$5&lt;&gt;$H158,0,IF(CD158&lt;0,IF($J158=4,-$E158*$I158/12*0,IF($J158=5,-$E158*$I158/12*1,IF($J158=6,-$E158*$I158/12*2,IF($J158&gt;=7,-$E158*$I158/12*3,0))))))</f>
        <v>0</v>
      </c>
      <c r="CG158" s="442">
        <f>IF($H158&lt;&gt;CI$5,0,IF(CI158&lt;0,IF(OR($J158=1,$J158=2,$J158=3,$J158=4,$J158=5,$J158=6,$J158=7),-$E158*$I158/12*3,IF($J158=8,-$E158*$I158/12*2,IF($J158=9,-$E158*$I158/12*1,0)))))+IF(CD$5&lt;&gt;$H158,0,IF(CD158&lt;0,IF($J158=7,-$E158*$I158/12*0,IF($J158=8,-$E158*$I158/12*1,IF($J158=9,-$E158*$I158/12*2,IF($J158&gt;=10,-$E158*$I158/12*3,0))))))</f>
        <v>0</v>
      </c>
      <c r="CH158" s="443">
        <f>IF($H158&lt;&gt;CI$5,0,IF(CI158&lt;0,IF(OR($J158=1,$J158=2,$J158=3,$J158=4,$J158=5,$J158=6,$J158=7,$J158=8,$J158=9,$J158=10),-$E158*$I158/12*3,IF($J158=11,-$E158*$I158/12*2,IF($J158=12,-$E158*$I158/12*1,0)))))+IF(CD$5&lt;&gt;$H158,0,IF(CD158&lt;0,IF($J158=10,-$E158*$I158/12*0,IF($J158=11,-$E158*$I158/12*1,IF($J158=12,-$E158*$I158/12*2,0)))))</f>
        <v>0</v>
      </c>
      <c r="CI158" s="440">
        <f>IF(AND(CD158&lt;&gt;0,CD$5=$H158),-$I158*$E158-CD158,IF(CI$5=$H158,-$I158*$E158*(12-$J158+1)/12,0))</f>
        <v>0</v>
      </c>
      <c r="CJ158" s="441">
        <f>IF($H158&lt;&gt;CN$5,0,IF(CN158&lt;0,IF($J158=1,-$E158*$I158/12*3,IF($J158=2,-$E158*$I158/12*2,IF($J158=3,-$E158*$I158/12*1,0)))))+IF(CI$5&lt;&gt;$H158,0,IF(CI158&lt;0,IF($J158=1,-$E158*$I158/12*0,IF($J158=2,-$E158*$I158/12*1,IF($J158=3,-$E158*$I158/12*2,IF($J158&gt;=4,-$E158*$I158/12*3,0))))))</f>
        <v>0</v>
      </c>
      <c r="CK158" s="442">
        <f>IF($H158&lt;&gt;CN$5,0,IF(CN158&lt;0,IF(OR($J158=1,$J158=2,$J158=3,$J158=4),-$E158*$I158/12*3,IF($J158=5,-$E158*$I158/12*2,IF($J158=6,-$E158*$I158/12*1,0)))))+IF(CI$5&lt;&gt;$H158,0,IF(CI158&lt;0,IF($J158=4,-$E158*$I158/12*0,IF($J158=5,-$E158*$I158/12*1,IF($J158=6,-$E158*$I158/12*2,IF($J158&gt;=7,-$E158*$I158/12*3,0))))))</f>
        <v>0</v>
      </c>
      <c r="CL158" s="442">
        <f>IF($H158&lt;&gt;CN$5,0,IF(CN158&lt;0,IF(OR($J158=1,$J158=2,$J158=3,$J158=4,$J158=5,$J158=6,$J158=7),-$E158*$I158/12*3,IF($J158=8,-$E158*$I158/12*2,IF($J158=9,-$E158*$I158/12*1,0)))))+IF(CI$5&lt;&gt;$H158,0,IF(CI158&lt;0,IF($J158=7,-$E158*$I158/12*0,IF($J158=8,-$E158*$I158/12*1,IF($J158=9,-$E158*$I158/12*2,IF($J158&gt;=10,-$E158*$I158/12*3,0))))))</f>
        <v>0</v>
      </c>
      <c r="CM158" s="443">
        <f>IF($H158&lt;&gt;CN$5,0,IF(CN158&lt;0,IF(OR($J158=1,$J158=2,$J158=3,$J158=4,$J158=5,$J158=6,$J158=7,$J158=8,$J158=9,$J158=10),-$E158*$I158/12*3,IF($J158=11,-$E158*$I158/12*2,IF($J158=12,-$E158*$I158/12*1,0)))))+IF(CI$5&lt;&gt;$H158,0,IF(CI158&lt;0,IF($J158=10,-$E158*$I158/12*0,IF($J158=11,-$E158*$I158/12*1,IF($J158=12,-$E158*$I158/12*2,0)))))</f>
        <v>0</v>
      </c>
      <c r="CN158" s="440">
        <f>IF(AND(CI158&lt;&gt;0,CI$5=$H158),-$I158*$E158-CI158,IF(CN$5=$H158,-$I158*$E158*(12-$J158+1)/12,0))</f>
        <v>0</v>
      </c>
      <c r="CO158" s="441">
        <f>IF($H158&lt;&gt;CS$5,0,IF(CS158&lt;0,IF($J158=1,-$E158*$I158/12*3,IF($J158=2,-$E158*$I158/12*2,IF($J158=3,-$E158*$I158/12*1,0)))))+IF(CN$5&lt;&gt;$H158,0,IF(CN158&lt;0,IF($J158=1,-$E158*$I158/12*0,IF($J158=2,-$E158*$I158/12*1,IF($J158=3,-$E158*$I158/12*2,IF($J158&gt;=4,-$E158*$I158/12*3,0))))))</f>
        <v>0</v>
      </c>
      <c r="CP158" s="442">
        <f>IF($H158&lt;&gt;CS$5,0,IF(CS158&lt;0,IF(OR($J158=1,$J158=2,$J158=3,$J158=4),-$E158*$I158/12*3,IF($J158=5,-$E158*$I158/12*2,IF($J158=6,-$E158*$I158/12*1,0)))))+IF(CN$5&lt;&gt;$H158,0,IF(CN158&lt;0,IF($J158=4,-$E158*$I158/12*0,IF($J158=5,-$E158*$I158/12*1,IF($J158=6,-$E158*$I158/12*2,IF($J158&gt;=7,-$E158*$I158/12*3,0))))))</f>
        <v>0</v>
      </c>
      <c r="CQ158" s="442">
        <f>IF($H158&lt;&gt;CS$5,0,IF(CS158&lt;0,IF(OR($J158=1,$J158=2,$J158=3,$J158=4,$J158=5,$J158=6,$J158=7),-$E158*$I158/12*3,IF($J158=8,-$E158*$I158/12*2,IF($J158=9,-$E158*$I158/12*1,0)))))+IF(CN$5&lt;&gt;$H158,0,IF(CN158&lt;0,IF($J158=7,-$E158*$I158/12*0,IF($J158=8,-$E158*$I158/12*1,IF($J158=9,-$E158*$I158/12*2,IF($J158&gt;=10,-$E158*$I158/12*3,0))))))</f>
        <v>0</v>
      </c>
      <c r="CR158" s="443">
        <f>IF($H158&lt;&gt;CS$5,0,IF(CS158&lt;0,IF(OR($J158=1,$J158=2,$J158=3,$J158=4,$J158=5,$J158=6,$J158=7,$J158=8,$J158=9,$J158=10),-$E158*$I158/12*3,IF($J158=11,-$E158*$I158/12*2,IF($J158=12,-$E158*$I158/12*1,0)))))+IF(CN$5&lt;&gt;$H158,0,IF(CN158&lt;0,IF($J158=10,-$E158*$I158/12*0,IF($J158=11,-$E158*$I158/12*1,IF($J158=12,-$E158*$I158/12*2,0)))))</f>
        <v>0</v>
      </c>
      <c r="CS158" s="440">
        <f>IF(AND(CN158&lt;&gt;0,CN$5=$H158),-$I158*$E158-CN158,IF(CS$5=$H158,-$I158*$E158*(12-$J158+1)/12,0))</f>
        <v>0</v>
      </c>
      <c r="CT158" s="441">
        <f>IF($H158&lt;&gt;CX$5,0,IF(CX158&lt;0,IF($J158=1,-$E158*$I158/12*3,IF($J158=2,-$E158*$I158/12*2,IF($J158=3,-$E158*$I158/12*1,0)))))+IF(CS$5&lt;&gt;$H158,0,IF(CS158&lt;0,IF($J158=1,-$E158*$I158/12*0,IF($J158=2,-$E158*$I158/12*1,IF($J158=3,-$E158*$I158/12*2,IF($J158&gt;=4,-$E158*$I158/12*3,0))))))</f>
        <v>0</v>
      </c>
      <c r="CU158" s="442">
        <f>IF($H158&lt;&gt;CX$5,0,IF(CX158&lt;0,IF(OR($J158=1,$J158=2,$J158=3,$J158=4),-$E158*$I158/12*3,IF($J158=5,-$E158*$I158/12*2,IF($J158=6,-$E158*$I158/12*1,0)))))+IF(CS$5&lt;&gt;$H158,0,IF(CS158&lt;0,IF($J158=4,-$E158*$I158/12*0,IF($J158=5,-$E158*$I158/12*1,IF($J158=6,-$E158*$I158/12*2,IF($J158&gt;=7,-$E158*$I158/12*3,0))))))</f>
        <v>0</v>
      </c>
      <c r="CV158" s="442">
        <f>IF($H158&lt;&gt;CX$5,0,IF(CX158&lt;0,IF(OR($J158=1,$J158=2,$J158=3,$J158=4,$J158=5,$J158=6,$J158=7),-$E158*$I158/12*3,IF($J158=8,-$E158*$I158/12*2,IF($J158=9,-$E158*$I158/12*1,0)))))+IF(CS$5&lt;&gt;$H158,0,IF(CS158&lt;0,IF($J158=7,-$E158*$I158/12*0,IF($J158=8,-$E158*$I158/12*1,IF($J158=9,-$E158*$I158/12*2,IF($J158&gt;=10,-$E158*$I158/12*3,0))))))</f>
        <v>0</v>
      </c>
      <c r="CW158" s="443">
        <f>IF($H158&lt;&gt;CX$5,0,IF(CX158&lt;0,IF(OR($J158=1,$J158=2,$J158=3,$J158=4,$J158=5,$J158=6,$J158=7,$J158=8,$J158=9,$J158=10),-$E158*$I158/12*3,IF($J158=11,-$E158*$I158/12*2,IF($J158=12,-$E158*$I158/12*1,0)))))+IF(CS$5&lt;&gt;$H158,0,IF(CS158&lt;0,IF($J158=10,-$E158*$I158/12*0,IF($J158=11,-$E158*$I158/12*1,IF($J158=12,-$E158*$I158/12*2,0)))))</f>
        <v>0</v>
      </c>
      <c r="CX158" s="440">
        <f>IF(AND(CS158&lt;&gt;0,CS$5=$H158),-$I158*$E158-CS158,IF(CX$5=$H158,-$I158*$E158*(12-$J158+1)/12,0))</f>
        <v>0</v>
      </c>
      <c r="CY158" s="441">
        <f>IF($H158&lt;&gt;DC$5,0,IF(DC158&lt;0,IF($J158=1,-$E158*$I158/12*3,IF($J158=2,-$E158*$I158/12*2,IF($J158=3,-$E158*$I158/12*1,0)))))+IF(CX$5&lt;&gt;$H158,0,IF(CX158&lt;0,IF($J158=1,-$E158*$I158/12*0,IF($J158=2,-$E158*$I158/12*1,IF($J158=3,-$E158*$I158/12*2,IF($J158&gt;=4,-$E158*$I158/12*3,0))))))</f>
        <v>0</v>
      </c>
      <c r="CZ158" s="442">
        <f>IF($H158&lt;&gt;DC$5,0,IF(DC158&lt;0,IF(OR($J158=1,$J158=2,$J158=3,$J158=4),-$E158*$I158/12*3,IF($J158=5,-$E158*$I158/12*2,IF($J158=6,-$E158*$I158/12*1,0)))))+IF(CX$5&lt;&gt;$H158,0,IF(CX158&lt;0,IF($J158=4,-$E158*$I158/12*0,IF($J158=5,-$E158*$I158/12*1,IF($J158=6,-$E158*$I158/12*2,IF($J158&gt;=7,-$E158*$I158/12*3,0))))))</f>
        <v>0</v>
      </c>
      <c r="DA158" s="442">
        <f>IF($H158&lt;&gt;DC$5,0,IF(DC158&lt;0,IF(OR($J158=1,$J158=2,$J158=3,$J158=4,$J158=5,$J158=6,$J158=7),-$E158*$I158/12*3,IF($J158=8,-$E158*$I158/12*2,IF($J158=9,-$E158*$I158/12*1,0)))))+IF(CX$5&lt;&gt;$H158,0,IF(CX158&lt;0,IF($J158=7,-$E158*$I158/12*0,IF($J158=8,-$E158*$I158/12*1,IF($J158=9,-$E158*$I158/12*2,IF($J158&gt;=10,-$E158*$I158/12*3,0))))))</f>
        <v>0</v>
      </c>
      <c r="DB158" s="443">
        <f>IF($H158&lt;&gt;DC$5,0,IF(DC158&lt;0,IF(OR($J158=1,$J158=2,$J158=3,$J158=4,$J158=5,$J158=6,$J158=7,$J158=8,$J158=9,$J158=10),-$E158*$I158/12*3,IF($J158=11,-$E158*$I158/12*2,IF($J158=12,-$E158*$I158/12*1,0)))))+IF(CX$5&lt;&gt;$H158,0,IF(CX158&lt;0,IF($J158=10,-$E158*$I158/12*0,IF($J158=11,-$E158*$I158/12*1,IF($J158=12,-$E158*$I158/12*2,0)))))</f>
        <v>0</v>
      </c>
      <c r="DC158" s="440">
        <f>IF(AND(CX158&lt;&gt;0,CX$5=$H158),-$I158*$E158-CX158,IF(DC$5=$H158,-$I158*$E158*(12-$J158+1)/12,0))</f>
        <v>0</v>
      </c>
      <c r="DD158" s="441">
        <f>IF($H158&lt;&gt;DH$5,0,IF(DH158&lt;0,IF($J158=1,-$E158*$I158/12*3,IF($J158=2,-$E158*$I158/12*2,IF($J158=3,-$E158*$I158/12*1,0)))))+IF(DC$5&lt;&gt;$H158,0,IF(DC158&lt;0,IF($J158=1,-$E158*$I158/12*0,IF($J158=2,-$E158*$I158/12*1,IF($J158=3,-$E158*$I158/12*2,IF($J158&gt;=4,-$E158*$I158/12*3,0))))))</f>
        <v>0</v>
      </c>
      <c r="DE158" s="442">
        <f>IF($H158&lt;&gt;DH$5,0,IF(DH158&lt;0,IF(OR($J158=1,$J158=2,$J158=3,$J158=4),-$E158*$I158/12*3,IF($J158=5,-$E158*$I158/12*2,IF($J158=6,-$E158*$I158/12*1,0)))))+IF(DC$5&lt;&gt;$H158,0,IF(DC158&lt;0,IF($J158=4,-$E158*$I158/12*0,IF($J158=5,-$E158*$I158/12*1,IF($J158=6,-$E158*$I158/12*2,IF($J158&gt;=7,-$E158*$I158/12*3,0))))))</f>
        <v>0</v>
      </c>
      <c r="DF158" s="442">
        <f>IF($H158&lt;&gt;DH$5,0,IF(DH158&lt;0,IF(OR($J158=1,$J158=2,$J158=3,$J158=4,$J158=5,$J158=6,$J158=7),-$E158*$I158/12*3,IF($J158=8,-$E158*$I158/12*2,IF($J158=9,-$E158*$I158/12*1,0)))))+IF(DC$5&lt;&gt;$H158,0,IF(DC158&lt;0,IF($J158=7,-$E158*$I158/12*0,IF($J158=8,-$E158*$I158/12*1,IF($J158=9,-$E158*$I158/12*2,IF($J158&gt;=10,-$E158*$I158/12*3,0))))))</f>
        <v>0</v>
      </c>
      <c r="DG158" s="443">
        <f>IF($H158&lt;&gt;DH$5,0,IF(DH158&lt;0,IF(OR($J158=1,$J158=2,$J158=3,$J158=4,$J158=5,$J158=6,$J158=7,$J158=8,$J158=9,$J158=10),-$E158*$I158/12*3,IF($J158=11,-$E158*$I158/12*2,IF($J158=12,-$E158*$I158/12*1,0)))))+IF(DC$5&lt;&gt;$H158,0,IF(DC158&lt;0,IF($J158=10,-$E158*$I158/12*0,IF($J158=11,-$E158*$I158/12*1,IF($J158=12,-$E158*$I158/12*2,0)))))</f>
        <v>0</v>
      </c>
      <c r="DH158" s="440">
        <f>IF(AND(DC158&lt;&gt;0,DC$5=$H158),-$I158*$E158-DC158,IF(DH$5=$H158,-$I158*$E158*(12-$J158+1)/12,0))</f>
        <v>0</v>
      </c>
      <c r="DI158" s="441">
        <f>IF($H158&lt;&gt;DM$5,0,IF(DM158&lt;0,IF($J158=1,-$E158*$I158/12*3,IF($J158=2,-$E158*$I158/12*2,IF($J158=3,-$E158*$I158/12*1,0)))))+IF(DH$5&lt;&gt;$H158,0,IF(DH158&lt;0,IF($J158=1,-$E158*$I158/12*0,IF($J158=2,-$E158*$I158/12*1,IF($J158=3,-$E158*$I158/12*2,IF($J158&gt;=4,-$E158*$I158/12*3,0))))))</f>
        <v>0</v>
      </c>
      <c r="DJ158" s="442">
        <f>IF($H158&lt;&gt;DM$5,0,IF(DM158&lt;0,IF(OR($J158=1,$J158=2,$J158=3,$J158=4),-$E158*$I158/12*3,IF($J158=5,-$E158*$I158/12*2,IF($J158=6,-$E158*$I158/12*1,0)))))+IF(DH$5&lt;&gt;$H158,0,IF(DH158&lt;0,IF($J158=4,-$E158*$I158/12*0,IF($J158=5,-$E158*$I158/12*1,IF($J158=6,-$E158*$I158/12*2,IF($J158&gt;=7,-$E158*$I158/12*3,0))))))</f>
        <v>0</v>
      </c>
      <c r="DK158" s="442">
        <f>IF($H158&lt;&gt;DM$5,0,IF(DM158&lt;0,IF(OR($J158=1,$J158=2,$J158=3,$J158=4,$J158=5,$J158=6,$J158=7),-$E158*$I158/12*3,IF($J158=8,-$E158*$I158/12*2,IF($J158=9,-$E158*$I158/12*1,0)))))+IF(DH$5&lt;&gt;$H158,0,IF(DH158&lt;0,IF($J158=7,-$E158*$I158/12*0,IF($J158=8,-$E158*$I158/12*1,IF($J158=9,-$E158*$I158/12*2,IF($J158&gt;=10,-$E158*$I158/12*3,0))))))</f>
        <v>0</v>
      </c>
      <c r="DL158" s="443">
        <f>IF($H158&lt;&gt;DM$5,0,IF(DM158&lt;0,IF(OR($J158=1,$J158=2,$J158=3,$J158=4,$J158=5,$J158=6,$J158=7,$J158=8,$J158=9,$J158=10),-$E158*$I158/12*3,IF($J158=11,-$E158*$I158/12*2,IF($J158=12,-$E158*$I158/12*1,0)))))+IF(DH$5&lt;&gt;$H158,0,IF(DH158&lt;0,IF($J158=10,-$E158*$I158/12*0,IF($J158=11,-$E158*$I158/12*1,IF($J158=12,-$E158*$I158/12*2,0)))))</f>
        <v>0</v>
      </c>
      <c r="DM158" s="440">
        <f>IF(AND(DH158&lt;&gt;0,DH$5=$H158),-$I158*$E158-DH158,IF(DM$5=$H158,-$I158*$E158*(12-$J158+1)/12,0))</f>
        <v>0</v>
      </c>
      <c r="DN158" s="441">
        <f>IF($H158&lt;&gt;DR$5,0,IF(DR158&lt;0,IF($J158=1,-$E158*$I158/12*3,IF($J158=2,-$E158*$I158/12*2,IF($J158=3,-$E158*$I158/12*1,0)))))+IF(DM$5&lt;&gt;$H158,0,IF(DM158&lt;0,IF($J158=1,-$E158*$I158/12*0,IF($J158=2,-$E158*$I158/12*1,IF($J158=3,-$E158*$I158/12*2,IF($J158&gt;=4,-$E158*$I158/12*3,0))))))</f>
        <v>0</v>
      </c>
      <c r="DO158" s="442">
        <f>IF($H158&lt;&gt;DR$5,0,IF(DR158&lt;0,IF(OR($J158=1,$J158=2,$J158=3,$J158=4),-$E158*$I158/12*3,IF($J158=5,-$E158*$I158/12*2,IF($J158=6,-$E158*$I158/12*1,0)))))+IF(DM$5&lt;&gt;$H158,0,IF(DM158&lt;0,IF($J158=4,-$E158*$I158/12*0,IF($J158=5,-$E158*$I158/12*1,IF($J158=6,-$E158*$I158/12*2,IF($J158&gt;=7,-$E158*$I158/12*3,0))))))</f>
        <v>0</v>
      </c>
      <c r="DP158" s="442">
        <f>IF($H158&lt;&gt;DR$5,0,IF(DR158&lt;0,IF(OR($J158=1,$J158=2,$J158=3,$J158=4,$J158=5,$J158=6,$J158=7),-$E158*$I158/12*3,IF($J158=8,-$E158*$I158/12*2,IF($J158=9,-$E158*$I158/12*1,0)))))+IF(DM$5&lt;&gt;$H158,0,IF(DM158&lt;0,IF($J158=7,-$E158*$I158/12*0,IF($J158=8,-$E158*$I158/12*1,IF($J158=9,-$E158*$I158/12*2,IF($J158&gt;=10,-$E158*$I158/12*3,0))))))</f>
        <v>0</v>
      </c>
      <c r="DQ158" s="443">
        <f>IF($H158&lt;&gt;DR$5,0,IF(DR158&lt;0,IF(OR($J158=1,$J158=2,$J158=3,$J158=4,$J158=5,$J158=6,$J158=7,$J158=8,$J158=9,$J158=10),-$E158*$I158/12*3,IF($J158=11,-$E158*$I158/12*2,IF($J158=12,-$E158*$I158/12*1,0)))))+IF(DM$5&lt;&gt;$H158,0,IF(DM158&lt;0,IF($J158=10,-$E158*$I158/12*0,IF($J158=11,-$E158*$I158/12*1,IF($J158=12,-$E158*$I158/12*2,0)))))</f>
        <v>0</v>
      </c>
      <c r="DR158" s="440">
        <f>IF(AND(DM158&lt;&gt;0,DM$5=$H158),-$I158*$E158-DM158,IF(DR$5=$H158,-$I158*$E158*(12-$J158+1)/12,0))</f>
        <v>0</v>
      </c>
    </row>
    <row r="159" spans="1:122">
      <c r="C159" s="1123" t="s">
        <v>333</v>
      </c>
      <c r="D159" s="395"/>
      <c r="E159" s="188">
        <f>IF(F159=0,G159,F159)</f>
        <v>6.3195199999999998</v>
      </c>
      <c r="F159" s="1949">
        <v>6.3195199999999998</v>
      </c>
      <c r="G159" s="1949">
        <v>8.2100860000000004</v>
      </c>
      <c r="H159" s="414">
        <v>2039</v>
      </c>
      <c r="I159" s="1947">
        <v>0.05</v>
      </c>
      <c r="J159" s="656">
        <v>12</v>
      </c>
      <c r="K159" s="549"/>
      <c r="L159" s="441">
        <f t="shared" si="1964"/>
        <v>0</v>
      </c>
      <c r="M159" s="442">
        <f t="shared" si="1965"/>
        <v>0</v>
      </c>
      <c r="N159" s="442">
        <f t="shared" si="1966"/>
        <v>0</v>
      </c>
      <c r="O159" s="443">
        <f t="shared" si="1967"/>
        <v>0</v>
      </c>
      <c r="P159" s="440">
        <f t="shared" si="1968"/>
        <v>0</v>
      </c>
      <c r="Q159" s="441">
        <f t="shared" si="1969"/>
        <v>0</v>
      </c>
      <c r="R159" s="442">
        <f t="shared" si="1970"/>
        <v>0</v>
      </c>
      <c r="S159" s="442">
        <f t="shared" si="1971"/>
        <v>0</v>
      </c>
      <c r="T159" s="443">
        <f t="shared" si="1972"/>
        <v>0</v>
      </c>
      <c r="U159" s="440">
        <f t="shared" si="1973"/>
        <v>0</v>
      </c>
      <c r="V159" s="441">
        <f t="shared" si="1974"/>
        <v>0</v>
      </c>
      <c r="W159" s="442">
        <f t="shared" si="1975"/>
        <v>0</v>
      </c>
      <c r="X159" s="442">
        <f t="shared" si="1976"/>
        <v>0</v>
      </c>
      <c r="Y159" s="443">
        <f t="shared" si="1977"/>
        <v>0</v>
      </c>
      <c r="Z159" s="440">
        <f t="shared" si="1978"/>
        <v>0</v>
      </c>
      <c r="AA159" s="441">
        <f t="shared" si="1979"/>
        <v>0</v>
      </c>
      <c r="AB159" s="442">
        <f t="shared" si="1980"/>
        <v>0</v>
      </c>
      <c r="AC159" s="442">
        <f t="shared" si="1981"/>
        <v>0</v>
      </c>
      <c r="AD159" s="443">
        <f t="shared" si="1982"/>
        <v>0</v>
      </c>
      <c r="AE159" s="440">
        <f t="shared" si="1983"/>
        <v>0</v>
      </c>
      <c r="AF159" s="441">
        <f t="shared" si="1984"/>
        <v>0</v>
      </c>
      <c r="AG159" s="442">
        <f t="shared" si="1985"/>
        <v>0</v>
      </c>
      <c r="AH159" s="442">
        <f t="shared" si="1986"/>
        <v>0</v>
      </c>
      <c r="AI159" s="443">
        <f t="shared" si="1987"/>
        <v>0</v>
      </c>
      <c r="AJ159" s="440">
        <f t="shared" si="1988"/>
        <v>0</v>
      </c>
      <c r="AK159" s="441">
        <f t="shared" si="1989"/>
        <v>0</v>
      </c>
      <c r="AL159" s="442">
        <f t="shared" si="1990"/>
        <v>0</v>
      </c>
      <c r="AM159" s="442">
        <f t="shared" si="1991"/>
        <v>0</v>
      </c>
      <c r="AN159" s="443">
        <f t="shared" si="1992"/>
        <v>0</v>
      </c>
      <c r="AO159" s="440">
        <f t="shared" si="1993"/>
        <v>0</v>
      </c>
      <c r="AP159" s="441">
        <f t="shared" si="1994"/>
        <v>0</v>
      </c>
      <c r="AQ159" s="442">
        <f t="shared" si="1995"/>
        <v>0</v>
      </c>
      <c r="AR159" s="442">
        <f t="shared" si="1996"/>
        <v>0</v>
      </c>
      <c r="AS159" s="443">
        <f t="shared" si="1997"/>
        <v>0</v>
      </c>
      <c r="AT159" s="440">
        <f t="shared" si="1998"/>
        <v>0</v>
      </c>
      <c r="AU159" s="441">
        <f t="shared" si="1999"/>
        <v>0</v>
      </c>
      <c r="AV159" s="442">
        <f t="shared" si="2000"/>
        <v>0</v>
      </c>
      <c r="AW159" s="442">
        <f t="shared" si="2001"/>
        <v>0</v>
      </c>
      <c r="AX159" s="443">
        <f t="shared" si="2002"/>
        <v>0</v>
      </c>
      <c r="AY159" s="440">
        <f t="shared" si="2003"/>
        <v>0</v>
      </c>
      <c r="AZ159" s="441">
        <f t="shared" si="2004"/>
        <v>0</v>
      </c>
      <c r="BA159" s="442">
        <f t="shared" si="2005"/>
        <v>0</v>
      </c>
      <c r="BB159" s="442">
        <f t="shared" si="2006"/>
        <v>0</v>
      </c>
      <c r="BC159" s="443">
        <f t="shared" si="2007"/>
        <v>0</v>
      </c>
      <c r="BD159" s="440">
        <f t="shared" si="2008"/>
        <v>0</v>
      </c>
      <c r="BE159" s="441">
        <f t="shared" si="2009"/>
        <v>0</v>
      </c>
      <c r="BF159" s="442">
        <f t="shared" si="2010"/>
        <v>0</v>
      </c>
      <c r="BG159" s="442">
        <f t="shared" si="2011"/>
        <v>0</v>
      </c>
      <c r="BH159" s="443">
        <f t="shared" si="2012"/>
        <v>0</v>
      </c>
      <c r="BI159" s="440">
        <f t="shared" si="2013"/>
        <v>0</v>
      </c>
      <c r="BJ159" s="441">
        <f t="shared" si="2014"/>
        <v>0</v>
      </c>
      <c r="BK159" s="442">
        <f t="shared" si="2015"/>
        <v>0</v>
      </c>
      <c r="BL159" s="442">
        <f t="shared" si="2016"/>
        <v>0</v>
      </c>
      <c r="BM159" s="443">
        <f t="shared" si="2017"/>
        <v>0</v>
      </c>
      <c r="BN159" s="440">
        <f t="shared" si="2018"/>
        <v>0</v>
      </c>
      <c r="BO159" s="470"/>
      <c r="BP159" s="441">
        <f>IF($H159&lt;&gt;BT$5,0,IF(BT159&lt;0,IF($J159=1,-$E159*$I159/12*3,IF($J159=2,-$E159*$I159/12*2,IF($J159=3,-$E159*$I159/12*1,0)))))+IF(BO$5&lt;&gt;$H159,0,IF(BO159&lt;0,IF($J159=1,-$E159*$I159/12*0,IF($J159=2,-$E159*$I159/12*1,IF($J159=3,-$E159*$I159/12*2,IF($J159&gt;=4,-$E159*$I159/12*3,0))))))</f>
        <v>0</v>
      </c>
      <c r="BQ159" s="442">
        <f>IF($H159&lt;&gt;BT$5,0,IF(BT159&lt;0,IF(OR($J159=1,$J159=2,$J159=3,$J159=4),-$E159*$I159/12*3,IF($J159=5,-$E159*$I159/12*2,IF($J159=6,-$E159*$I159/12*1,0)))))+IF(BO$5&lt;&gt;$H159,0,IF(BO159&lt;0,IF($J159=4,-$E159*$I159/12*0,IF($J159=5,-$E159*$I159/12*1,IF($J159=6,-$E159*$I159/12*2,IF($J159&gt;=7,-$E159*$I159/12*3,0))))))</f>
        <v>0</v>
      </c>
      <c r="BR159" s="442">
        <f>IF($H159&lt;&gt;BT$5,0,IF(BT159&lt;0,IF(OR($J159=1,$J159=2,$J159=3,$J159=4,$J159=5,$J159=6,$J159=7),-$E159*$I159/12*3,IF($J159=8,-$E159*$I159/12*2,IF($J159=9,-$E159*$I159/12*1,0)))))+IF(BO$5&lt;&gt;$H159,0,IF(BO159&lt;0,IF($J159=7,-$E159*$I159/12*0,IF($J159=8,-$E159*$I159/12*1,IF($J159=9,-$E159*$I159/12*2,IF($J159&gt;=10,-$E159*$I159/12*3,0))))))</f>
        <v>0</v>
      </c>
      <c r="BS159" s="443">
        <f>IF($H159&lt;&gt;BT$5,0,IF(BT159&lt;0,IF(OR($J159=1,$J159=2,$J159=3,$J159=4,$J159=5,$J159=6,$J159=7,$J159=8,$J159=9,$J159=10),-$E159*$I159/12*3,IF($J159=11,-$E159*$I159/12*2,IF($J159=12,-$E159*$I159/12*1,0)))))+IF(BO$5&lt;&gt;$H159,0,IF(BO159&lt;0,IF($J159=10,-$E159*$I159/12*0,IF($J159=11,-$E159*$I159/12*1,IF($J159=12,-$E159*$I159/12*2,0)))))</f>
        <v>0</v>
      </c>
      <c r="BT159" s="440">
        <f>IF(AND(BO159&lt;&gt;0,BO$5=$H159),-$I159*$E159-BO159,IF(BT$5=$H159,-$I159*$E159*(12-$J159+1)/12,0))</f>
        <v>0</v>
      </c>
      <c r="BU159" s="441">
        <f>IF($H159&lt;&gt;BY$5,0,IF(BY159&lt;0,IF($J159=1,-$E159*$I159/12*3,IF($J159=2,-$E159*$I159/12*2,IF($J159=3,-$E159*$I159/12*1,0)))))+IF(BT$5&lt;&gt;$H159,0,IF(BT159&lt;0,IF($J159=1,-$E159*$I159/12*0,IF($J159=2,-$E159*$I159/12*1,IF($J159=3,-$E159*$I159/12*2,IF($J159&gt;=4,-$E159*$I159/12*3,0))))))</f>
        <v>0</v>
      </c>
      <c r="BV159" s="442">
        <f>IF($H159&lt;&gt;BY$5,0,IF(BY159&lt;0,IF(OR($J159=1,$J159=2,$J159=3,$J159=4),-$E159*$I159/12*3,IF($J159=5,-$E159*$I159/12*2,IF($J159=6,-$E159*$I159/12*1,0)))))+IF(BT$5&lt;&gt;$H159,0,IF(BT159&lt;0,IF($J159=4,-$E159*$I159/12*0,IF($J159=5,-$E159*$I159/12*1,IF($J159=6,-$E159*$I159/12*2,IF($J159&gt;=7,-$E159*$I159/12*3,0))))))</f>
        <v>0</v>
      </c>
      <c r="BW159" s="442">
        <f>IF($H159&lt;&gt;BY$5,0,IF(BY159&lt;0,IF(OR($J159=1,$J159=2,$J159=3,$J159=4,$J159=5,$J159=6,$J159=7),-$E159*$I159/12*3,IF($J159=8,-$E159*$I159/12*2,IF($J159=9,-$E159*$I159/12*1,0)))))+IF(BT$5&lt;&gt;$H159,0,IF(BT159&lt;0,IF($J159=7,-$E159*$I159/12*0,IF($J159=8,-$E159*$I159/12*1,IF($J159=9,-$E159*$I159/12*2,IF($J159&gt;=10,-$E159*$I159/12*3,0))))))</f>
        <v>0</v>
      </c>
      <c r="BX159" s="443">
        <f>IF($H159&lt;&gt;BY$5,0,IF(BY159&lt;0,IF(OR($J159=1,$J159=2,$J159=3,$J159=4,$J159=5,$J159=6,$J159=7,$J159=8,$J159=9,$J159=10),-$E159*$I159/12*3,IF($J159=11,-$E159*$I159/12*2,IF($J159=12,-$E159*$I159/12*1,0)))))+IF(BT$5&lt;&gt;$H159,0,IF(BT159&lt;0,IF($J159=10,-$E159*$I159/12*0,IF($J159=11,-$E159*$I159/12*1,IF($J159=12,-$E159*$I159/12*2,0)))))</f>
        <v>0</v>
      </c>
      <c r="BY159" s="440">
        <f>IF(AND(BT159&lt;&gt;0,BT$5=$H159),-$I159*$E159-BT159,IF(BY$5=$H159,-$I159*$E159*(12-$J159+1)/12,0))</f>
        <v>0</v>
      </c>
      <c r="BZ159" s="441">
        <f>IF($H159&lt;&gt;CD$5,0,IF(CD159&lt;0,IF($J159=1,-$E159*$I159/12*3,IF($J159=2,-$E159*$I159/12*2,IF($J159=3,-$E159*$I159/12*1,0)))))+IF(BY$5&lt;&gt;$H159,0,IF(BY159&lt;0,IF($J159=1,-$E159*$I159/12*0,IF($J159=2,-$E159*$I159/12*1,IF($J159=3,-$E159*$I159/12*2,IF($J159&gt;=4,-$E159*$I159/12*3,0))))))</f>
        <v>0</v>
      </c>
      <c r="CA159" s="442">
        <f>IF($H159&lt;&gt;CD$5,0,IF(CD159&lt;0,IF(OR($J159=1,$J159=2,$J159=3,$J159=4),-$E159*$I159/12*3,IF($J159=5,-$E159*$I159/12*2,IF($J159=6,-$E159*$I159/12*1,0)))))+IF(BY$5&lt;&gt;$H159,0,IF(BY159&lt;0,IF($J159=4,-$E159*$I159/12*0,IF($J159=5,-$E159*$I159/12*1,IF($J159=6,-$E159*$I159/12*2,IF($J159&gt;=7,-$E159*$I159/12*3,0))))))</f>
        <v>0</v>
      </c>
      <c r="CB159" s="442">
        <f>IF($H159&lt;&gt;CD$5,0,IF(CD159&lt;0,IF(OR($J159=1,$J159=2,$J159=3,$J159=4,$J159=5,$J159=6,$J159=7),-$E159*$I159/12*3,IF($J159=8,-$E159*$I159/12*2,IF($J159=9,-$E159*$I159/12*1,0)))))+IF(BY$5&lt;&gt;$H159,0,IF(BY159&lt;0,IF($J159=7,-$E159*$I159/12*0,IF($J159=8,-$E159*$I159/12*1,IF($J159=9,-$E159*$I159/12*2,IF($J159&gt;=10,-$E159*$I159/12*3,0))))))</f>
        <v>0</v>
      </c>
      <c r="CC159" s="443">
        <f>IF($H159&lt;&gt;CD$5,0,IF(CD159&lt;0,IF(OR($J159=1,$J159=2,$J159=3,$J159=4,$J159=5,$J159=6,$J159=7,$J159=8,$J159=9,$J159=10),-$E159*$I159/12*3,IF($J159=11,-$E159*$I159/12*2,IF($J159=12,-$E159*$I159/12*1,0)))))+IF(BY$5&lt;&gt;$H159,0,IF(BY159&lt;0,IF($J159=10,-$E159*$I159/12*0,IF($J159=11,-$E159*$I159/12*1,IF($J159=12,-$E159*$I159/12*2,0)))))</f>
        <v>0</v>
      </c>
      <c r="CD159" s="440">
        <f>IF(AND(BY159&lt;&gt;0,BY$5=$H159),-$I159*$E159-BY159,IF(CD$5=$H159,-$I159*$E159*(12-$J159+1)/12,0))</f>
        <v>0</v>
      </c>
      <c r="CE159" s="441">
        <f>IF($H159&lt;&gt;CI$5,0,IF(CI159&lt;0,IF($J159=1,-$E159*$I159/12*3,IF($J159=2,-$E159*$I159/12*2,IF($J159=3,-$E159*$I159/12*1,0)))))+IF(CD$5&lt;&gt;$H159,0,IF(CD159&lt;0,IF($J159=1,-$E159*$I159/12*0,IF($J159=2,-$E159*$I159/12*1,IF($J159=3,-$E159*$I159/12*2,IF($J159&gt;=4,-$E159*$I159/12*3,0))))))</f>
        <v>0</v>
      </c>
      <c r="CF159" s="442">
        <f>IF($H159&lt;&gt;CI$5,0,IF(CI159&lt;0,IF(OR($J159=1,$J159=2,$J159=3,$J159=4),-$E159*$I159/12*3,IF($J159=5,-$E159*$I159/12*2,IF($J159=6,-$E159*$I159/12*1,0)))))+IF(CD$5&lt;&gt;$H159,0,IF(CD159&lt;0,IF($J159=4,-$E159*$I159/12*0,IF($J159=5,-$E159*$I159/12*1,IF($J159=6,-$E159*$I159/12*2,IF($J159&gt;=7,-$E159*$I159/12*3,0))))))</f>
        <v>0</v>
      </c>
      <c r="CG159" s="442">
        <f>IF($H159&lt;&gt;CI$5,0,IF(CI159&lt;0,IF(OR($J159=1,$J159=2,$J159=3,$J159=4,$J159=5,$J159=6,$J159=7),-$E159*$I159/12*3,IF($J159=8,-$E159*$I159/12*2,IF($J159=9,-$E159*$I159/12*1,0)))))+IF(CD$5&lt;&gt;$H159,0,IF(CD159&lt;0,IF($J159=7,-$E159*$I159/12*0,IF($J159=8,-$E159*$I159/12*1,IF($J159=9,-$E159*$I159/12*2,IF($J159&gt;=10,-$E159*$I159/12*3,0))))))</f>
        <v>0</v>
      </c>
      <c r="CH159" s="443">
        <f>IF($H159&lt;&gt;CI$5,0,IF(CI159&lt;0,IF(OR($J159=1,$J159=2,$J159=3,$J159=4,$J159=5,$J159=6,$J159=7,$J159=8,$J159=9,$J159=10),-$E159*$I159/12*3,IF($J159=11,-$E159*$I159/12*2,IF($J159=12,-$E159*$I159/12*1,0)))))+IF(CD$5&lt;&gt;$H159,0,IF(CD159&lt;0,IF($J159=10,-$E159*$I159/12*0,IF($J159=11,-$E159*$I159/12*1,IF($J159=12,-$E159*$I159/12*2,0)))))</f>
        <v>0</v>
      </c>
      <c r="CI159" s="440">
        <f>IF(AND(CD159&lt;&gt;0,CD$5=$H159),-$I159*$E159-CD159,IF(CI$5=$H159,-$I159*$E159*(12-$J159+1)/12,0))</f>
        <v>0</v>
      </c>
      <c r="CJ159" s="441">
        <f>IF($H159&lt;&gt;CN$5,0,IF(CN159&lt;0,IF($J159=1,-$E159*$I159/12*3,IF($J159=2,-$E159*$I159/12*2,IF($J159=3,-$E159*$I159/12*1,0)))))+IF(CI$5&lt;&gt;$H159,0,IF(CI159&lt;0,IF($J159=1,-$E159*$I159/12*0,IF($J159=2,-$E159*$I159/12*1,IF($J159=3,-$E159*$I159/12*2,IF($J159&gt;=4,-$E159*$I159/12*3,0))))))</f>
        <v>0</v>
      </c>
      <c r="CK159" s="442">
        <f>IF($H159&lt;&gt;CN$5,0,IF(CN159&lt;0,IF(OR($J159=1,$J159=2,$J159=3,$J159=4),-$E159*$I159/12*3,IF($J159=5,-$E159*$I159/12*2,IF($J159=6,-$E159*$I159/12*1,0)))))+IF(CI$5&lt;&gt;$H159,0,IF(CI159&lt;0,IF($J159=4,-$E159*$I159/12*0,IF($J159=5,-$E159*$I159/12*1,IF($J159=6,-$E159*$I159/12*2,IF($J159&gt;=7,-$E159*$I159/12*3,0))))))</f>
        <v>0</v>
      </c>
      <c r="CL159" s="442">
        <f>IF($H159&lt;&gt;CN$5,0,IF(CN159&lt;0,IF(OR($J159=1,$J159=2,$J159=3,$J159=4,$J159=5,$J159=6,$J159=7),-$E159*$I159/12*3,IF($J159=8,-$E159*$I159/12*2,IF($J159=9,-$E159*$I159/12*1,0)))))+IF(CI$5&lt;&gt;$H159,0,IF(CI159&lt;0,IF($J159=7,-$E159*$I159/12*0,IF($J159=8,-$E159*$I159/12*1,IF($J159=9,-$E159*$I159/12*2,IF($J159&gt;=10,-$E159*$I159/12*3,0))))))</f>
        <v>0</v>
      </c>
      <c r="CM159" s="443">
        <f>IF($H159&lt;&gt;CN$5,0,IF(CN159&lt;0,IF(OR($J159=1,$J159=2,$J159=3,$J159=4,$J159=5,$J159=6,$J159=7,$J159=8,$J159=9,$J159=10),-$E159*$I159/12*3,IF($J159=11,-$E159*$I159/12*2,IF($J159=12,-$E159*$I159/12*1,0)))))+IF(CI$5&lt;&gt;$H159,0,IF(CI159&lt;0,IF($J159=10,-$E159*$I159/12*0,IF($J159=11,-$E159*$I159/12*1,IF($J159=12,-$E159*$I159/12*2,0)))))</f>
        <v>0</v>
      </c>
      <c r="CN159" s="440">
        <f>IF(AND(CI159&lt;&gt;0,CI$5=$H159),-$I159*$E159-CI159,IF(CN$5=$H159,-$I159*$E159*(12-$J159+1)/12,0))</f>
        <v>0</v>
      </c>
      <c r="CO159" s="441">
        <f>IF($H159&lt;&gt;CS$5,0,IF(CS159&lt;0,IF($J159=1,-$E159*$I159/12*3,IF($J159=2,-$E159*$I159/12*2,IF($J159=3,-$E159*$I159/12*1,0)))))+IF(CN$5&lt;&gt;$H159,0,IF(CN159&lt;0,IF($J159=1,-$E159*$I159/12*0,IF($J159=2,-$E159*$I159/12*1,IF($J159=3,-$E159*$I159/12*2,IF($J159&gt;=4,-$E159*$I159/12*3,0))))))</f>
        <v>0</v>
      </c>
      <c r="CP159" s="442">
        <f>IF($H159&lt;&gt;CS$5,0,IF(CS159&lt;0,IF(OR($J159=1,$J159=2,$J159=3,$J159=4),-$E159*$I159/12*3,IF($J159=5,-$E159*$I159/12*2,IF($J159=6,-$E159*$I159/12*1,0)))))+IF(CN$5&lt;&gt;$H159,0,IF(CN159&lt;0,IF($J159=4,-$E159*$I159/12*0,IF($J159=5,-$E159*$I159/12*1,IF($J159=6,-$E159*$I159/12*2,IF($J159&gt;=7,-$E159*$I159/12*3,0))))))</f>
        <v>0</v>
      </c>
      <c r="CQ159" s="442">
        <f>IF($H159&lt;&gt;CS$5,0,IF(CS159&lt;0,IF(OR($J159=1,$J159=2,$J159=3,$J159=4,$J159=5,$J159=6,$J159=7),-$E159*$I159/12*3,IF($J159=8,-$E159*$I159/12*2,IF($J159=9,-$E159*$I159/12*1,0)))))+IF(CN$5&lt;&gt;$H159,0,IF(CN159&lt;0,IF($J159=7,-$E159*$I159/12*0,IF($J159=8,-$E159*$I159/12*1,IF($J159=9,-$E159*$I159/12*2,IF($J159&gt;=10,-$E159*$I159/12*3,0))))))</f>
        <v>0</v>
      </c>
      <c r="CR159" s="443">
        <f>IF($H159&lt;&gt;CS$5,0,IF(CS159&lt;0,IF(OR($J159=1,$J159=2,$J159=3,$J159=4,$J159=5,$J159=6,$J159=7,$J159=8,$J159=9,$J159=10),-$E159*$I159/12*3,IF($J159=11,-$E159*$I159/12*2,IF($J159=12,-$E159*$I159/12*1,0)))))+IF(CN$5&lt;&gt;$H159,0,IF(CN159&lt;0,IF($J159=10,-$E159*$I159/12*0,IF($J159=11,-$E159*$I159/12*1,IF($J159=12,-$E159*$I159/12*2,0)))))</f>
        <v>0</v>
      </c>
      <c r="CS159" s="440">
        <f>IF(AND(CN159&lt;&gt;0,CN$5=$H159),-$I159*$E159-CN159,IF(CS$5=$H159,-$I159*$E159*(12-$J159+1)/12,0))</f>
        <v>0</v>
      </c>
      <c r="CT159" s="441">
        <f>IF($H159&lt;&gt;CX$5,0,IF(CX159&lt;0,IF($J159=1,-$E159*$I159/12*3,IF($J159=2,-$E159*$I159/12*2,IF($J159=3,-$E159*$I159/12*1,0)))))+IF(CS$5&lt;&gt;$H159,0,IF(CS159&lt;0,IF($J159=1,-$E159*$I159/12*0,IF($J159=2,-$E159*$I159/12*1,IF($J159=3,-$E159*$I159/12*2,IF($J159&gt;=4,-$E159*$I159/12*3,0))))))</f>
        <v>0</v>
      </c>
      <c r="CU159" s="442">
        <f>IF($H159&lt;&gt;CX$5,0,IF(CX159&lt;0,IF(OR($J159=1,$J159=2,$J159=3,$J159=4),-$E159*$I159/12*3,IF($J159=5,-$E159*$I159/12*2,IF($J159=6,-$E159*$I159/12*1,0)))))+IF(CS$5&lt;&gt;$H159,0,IF(CS159&lt;0,IF($J159=4,-$E159*$I159/12*0,IF($J159=5,-$E159*$I159/12*1,IF($J159=6,-$E159*$I159/12*2,IF($J159&gt;=7,-$E159*$I159/12*3,0))))))</f>
        <v>0</v>
      </c>
      <c r="CV159" s="442">
        <f>IF($H159&lt;&gt;CX$5,0,IF(CX159&lt;0,IF(OR($J159=1,$J159=2,$J159=3,$J159=4,$J159=5,$J159=6,$J159=7),-$E159*$I159/12*3,IF($J159=8,-$E159*$I159/12*2,IF($J159=9,-$E159*$I159/12*1,0)))))+IF(CS$5&lt;&gt;$H159,0,IF(CS159&lt;0,IF($J159=7,-$E159*$I159/12*0,IF($J159=8,-$E159*$I159/12*1,IF($J159=9,-$E159*$I159/12*2,IF($J159&gt;=10,-$E159*$I159/12*3,0))))))</f>
        <v>0</v>
      </c>
      <c r="CW159" s="443">
        <f>IF($H159&lt;&gt;CX$5,0,IF(CX159&lt;0,IF(OR($J159=1,$J159=2,$J159=3,$J159=4,$J159=5,$J159=6,$J159=7,$J159=8,$J159=9,$J159=10),-$E159*$I159/12*3,IF($J159=11,-$E159*$I159/12*2,IF($J159=12,-$E159*$I159/12*1,0)))))+IF(CS$5&lt;&gt;$H159,0,IF(CS159&lt;0,IF($J159=10,-$E159*$I159/12*0,IF($J159=11,-$E159*$I159/12*1,IF($J159=12,-$E159*$I159/12*2,0)))))</f>
        <v>0</v>
      </c>
      <c r="CX159" s="440">
        <f>IF(AND(CS159&lt;&gt;0,CS$5=$H159),-$I159*$E159-CS159,IF(CX$5=$H159,-$I159*$E159*(12-$J159+1)/12,0))</f>
        <v>0</v>
      </c>
      <c r="CY159" s="441">
        <f>IF($H159&lt;&gt;DC$5,0,IF(DC159&lt;0,IF($J159=1,-$E159*$I159/12*3,IF($J159=2,-$E159*$I159/12*2,IF($J159=3,-$E159*$I159/12*1,0)))))+IF(CX$5&lt;&gt;$H159,0,IF(CX159&lt;0,IF($J159=1,-$E159*$I159/12*0,IF($J159=2,-$E159*$I159/12*1,IF($J159=3,-$E159*$I159/12*2,IF($J159&gt;=4,-$E159*$I159/12*3,0))))))</f>
        <v>0</v>
      </c>
      <c r="CZ159" s="442">
        <f>IF($H159&lt;&gt;DC$5,0,IF(DC159&lt;0,IF(OR($J159=1,$J159=2,$J159=3,$J159=4),-$E159*$I159/12*3,IF($J159=5,-$E159*$I159/12*2,IF($J159=6,-$E159*$I159/12*1,0)))))+IF(CX$5&lt;&gt;$H159,0,IF(CX159&lt;0,IF($J159=4,-$E159*$I159/12*0,IF($J159=5,-$E159*$I159/12*1,IF($J159=6,-$E159*$I159/12*2,IF($J159&gt;=7,-$E159*$I159/12*3,0))))))</f>
        <v>0</v>
      </c>
      <c r="DA159" s="442">
        <f>IF($H159&lt;&gt;DC$5,0,IF(DC159&lt;0,IF(OR($J159=1,$J159=2,$J159=3,$J159=4,$J159=5,$J159=6,$J159=7),-$E159*$I159/12*3,IF($J159=8,-$E159*$I159/12*2,IF($J159=9,-$E159*$I159/12*1,0)))))+IF(CX$5&lt;&gt;$H159,0,IF(CX159&lt;0,IF($J159=7,-$E159*$I159/12*0,IF($J159=8,-$E159*$I159/12*1,IF($J159=9,-$E159*$I159/12*2,IF($J159&gt;=10,-$E159*$I159/12*3,0))))))</f>
        <v>0</v>
      </c>
      <c r="DB159" s="443">
        <f>IF($H159&lt;&gt;DC$5,0,IF(DC159&lt;0,IF(OR($J159=1,$J159=2,$J159=3,$J159=4,$J159=5,$J159=6,$J159=7,$J159=8,$J159=9,$J159=10),-$E159*$I159/12*3,IF($J159=11,-$E159*$I159/12*2,IF($J159=12,-$E159*$I159/12*1,0)))))+IF(CX$5&lt;&gt;$H159,0,IF(CX159&lt;0,IF($J159=10,-$E159*$I159/12*0,IF($J159=11,-$E159*$I159/12*1,IF($J159=12,-$E159*$I159/12*2,0)))))</f>
        <v>0</v>
      </c>
      <c r="DC159" s="440">
        <f>IF(AND(CX159&lt;&gt;0,CX$5=$H159),-$I159*$E159-CX159,IF(DC$5=$H159,-$I159*$E159*(12-$J159+1)/12,0))</f>
        <v>0</v>
      </c>
      <c r="DD159" s="441">
        <f>IF($H159&lt;&gt;DH$5,0,IF(DH159&lt;0,IF($J159=1,-$E159*$I159/12*3,IF($J159=2,-$E159*$I159/12*2,IF($J159=3,-$E159*$I159/12*1,0)))))+IF(DC$5&lt;&gt;$H159,0,IF(DC159&lt;0,IF($J159=1,-$E159*$I159/12*0,IF($J159=2,-$E159*$I159/12*1,IF($J159=3,-$E159*$I159/12*2,IF($J159&gt;=4,-$E159*$I159/12*3,0))))))</f>
        <v>0</v>
      </c>
      <c r="DE159" s="442">
        <f>IF($H159&lt;&gt;DH$5,0,IF(DH159&lt;0,IF(OR($J159=1,$J159=2,$J159=3,$J159=4),-$E159*$I159/12*3,IF($J159=5,-$E159*$I159/12*2,IF($J159=6,-$E159*$I159/12*1,0)))))+IF(DC$5&lt;&gt;$H159,0,IF(DC159&lt;0,IF($J159=4,-$E159*$I159/12*0,IF($J159=5,-$E159*$I159/12*1,IF($J159=6,-$E159*$I159/12*2,IF($J159&gt;=7,-$E159*$I159/12*3,0))))))</f>
        <v>0</v>
      </c>
      <c r="DF159" s="442">
        <f>IF($H159&lt;&gt;DH$5,0,IF(DH159&lt;0,IF(OR($J159=1,$J159=2,$J159=3,$J159=4,$J159=5,$J159=6,$J159=7),-$E159*$I159/12*3,IF($J159=8,-$E159*$I159/12*2,IF($J159=9,-$E159*$I159/12*1,0)))))+IF(DC$5&lt;&gt;$H159,0,IF(DC159&lt;0,IF($J159=7,-$E159*$I159/12*0,IF($J159=8,-$E159*$I159/12*1,IF($J159=9,-$E159*$I159/12*2,IF($J159&gt;=10,-$E159*$I159/12*3,0))))))</f>
        <v>0</v>
      </c>
      <c r="DG159" s="443">
        <f>IF($H159&lt;&gt;DH$5,0,IF(DH159&lt;0,IF(OR($J159=1,$J159=2,$J159=3,$J159=4,$J159=5,$J159=6,$J159=7,$J159=8,$J159=9,$J159=10),-$E159*$I159/12*3,IF($J159=11,-$E159*$I159/12*2,IF($J159=12,-$E159*$I159/12*1,0)))))+IF(DC$5&lt;&gt;$H159,0,IF(DC159&lt;0,IF($J159=10,-$E159*$I159/12*0,IF($J159=11,-$E159*$I159/12*1,IF($J159=12,-$E159*$I159/12*2,0)))))</f>
        <v>0</v>
      </c>
      <c r="DH159" s="440">
        <f>IF(AND(DC159&lt;&gt;0,DC$5=$H159),-$I159*$E159-DC159,IF(DH$5=$H159,-$I159*$E159*(12-$J159+1)/12,0))</f>
        <v>0</v>
      </c>
      <c r="DI159" s="441">
        <f>IF($H159&lt;&gt;DM$5,0,IF(DM159&lt;0,IF($J159=1,-$E159*$I159/12*3,IF($J159=2,-$E159*$I159/12*2,IF($J159=3,-$E159*$I159/12*1,0)))))+IF(DH$5&lt;&gt;$H159,0,IF(DH159&lt;0,IF($J159=1,-$E159*$I159/12*0,IF($J159=2,-$E159*$I159/12*1,IF($J159=3,-$E159*$I159/12*2,IF($J159&gt;=4,-$E159*$I159/12*3,0))))))</f>
        <v>0</v>
      </c>
      <c r="DJ159" s="442">
        <f>IF($H159&lt;&gt;DM$5,0,IF(DM159&lt;0,IF(OR($J159=1,$J159=2,$J159=3,$J159=4),-$E159*$I159/12*3,IF($J159=5,-$E159*$I159/12*2,IF($J159=6,-$E159*$I159/12*1,0)))))+IF(DH$5&lt;&gt;$H159,0,IF(DH159&lt;0,IF($J159=4,-$E159*$I159/12*0,IF($J159=5,-$E159*$I159/12*1,IF($J159=6,-$E159*$I159/12*2,IF($J159&gt;=7,-$E159*$I159/12*3,0))))))</f>
        <v>0</v>
      </c>
      <c r="DK159" s="442">
        <f>IF($H159&lt;&gt;DM$5,0,IF(DM159&lt;0,IF(OR($J159=1,$J159=2,$J159=3,$J159=4,$J159=5,$J159=6,$J159=7),-$E159*$I159/12*3,IF($J159=8,-$E159*$I159/12*2,IF($J159=9,-$E159*$I159/12*1,0)))))+IF(DH$5&lt;&gt;$H159,0,IF(DH159&lt;0,IF($J159=7,-$E159*$I159/12*0,IF($J159=8,-$E159*$I159/12*1,IF($J159=9,-$E159*$I159/12*2,IF($J159&gt;=10,-$E159*$I159/12*3,0))))))</f>
        <v>0</v>
      </c>
      <c r="DL159" s="443">
        <f>IF($H159&lt;&gt;DM$5,0,IF(DM159&lt;0,IF(OR($J159=1,$J159=2,$J159=3,$J159=4,$J159=5,$J159=6,$J159=7,$J159=8,$J159=9,$J159=10),-$E159*$I159/12*3,IF($J159=11,-$E159*$I159/12*2,IF($J159=12,-$E159*$I159/12*1,0)))))+IF(DH$5&lt;&gt;$H159,0,IF(DH159&lt;0,IF($J159=10,-$E159*$I159/12*0,IF($J159=11,-$E159*$I159/12*1,IF($J159=12,-$E159*$I159/12*2,0)))))</f>
        <v>0</v>
      </c>
      <c r="DM159" s="440">
        <f>IF(AND(DH159&lt;&gt;0,DH$5=$H159),-$I159*$E159-DH159,IF(DM$5=$H159,-$I159*$E159*(12-$J159+1)/12,0))</f>
        <v>0</v>
      </c>
      <c r="DN159" s="441">
        <f>IF($H159&lt;&gt;DR$5,0,IF(DR159&lt;0,IF($J159=1,-$E159*$I159/12*3,IF($J159=2,-$E159*$I159/12*2,IF($J159=3,-$E159*$I159/12*1,0)))))+IF(DM$5&lt;&gt;$H159,0,IF(DM159&lt;0,IF($J159=1,-$E159*$I159/12*0,IF($J159=2,-$E159*$I159/12*1,IF($J159=3,-$E159*$I159/12*2,IF($J159&gt;=4,-$E159*$I159/12*3,0))))))</f>
        <v>0</v>
      </c>
      <c r="DO159" s="442">
        <f>IF($H159&lt;&gt;DR$5,0,IF(DR159&lt;0,IF(OR($J159=1,$J159=2,$J159=3,$J159=4),-$E159*$I159/12*3,IF($J159=5,-$E159*$I159/12*2,IF($J159=6,-$E159*$I159/12*1,0)))))+IF(DM$5&lt;&gt;$H159,0,IF(DM159&lt;0,IF($J159=4,-$E159*$I159/12*0,IF($J159=5,-$E159*$I159/12*1,IF($J159=6,-$E159*$I159/12*2,IF($J159&gt;=7,-$E159*$I159/12*3,0))))))</f>
        <v>0</v>
      </c>
      <c r="DP159" s="442">
        <f>IF($H159&lt;&gt;DR$5,0,IF(DR159&lt;0,IF(OR($J159=1,$J159=2,$J159=3,$J159=4,$J159=5,$J159=6,$J159=7),-$E159*$I159/12*3,IF($J159=8,-$E159*$I159/12*2,IF($J159=9,-$E159*$I159/12*1,0)))))+IF(DM$5&lt;&gt;$H159,0,IF(DM159&lt;0,IF($J159=7,-$E159*$I159/12*0,IF($J159=8,-$E159*$I159/12*1,IF($J159=9,-$E159*$I159/12*2,IF($J159&gt;=10,-$E159*$I159/12*3,0))))))</f>
        <v>0</v>
      </c>
      <c r="DQ159" s="443">
        <f>IF($H159&lt;&gt;DR$5,0,IF(DR159&lt;0,IF(OR($J159=1,$J159=2,$J159=3,$J159=4,$J159=5,$J159=6,$J159=7,$J159=8,$J159=9,$J159=10),-$E159*$I159/12*3,IF($J159=11,-$E159*$I159/12*2,IF($J159=12,-$E159*$I159/12*1,0)))))+IF(DM$5&lt;&gt;$H159,0,IF(DM159&lt;0,IF($J159=10,-$E159*$I159/12*0,IF($J159=11,-$E159*$I159/12*1,IF($J159=12,-$E159*$I159/12*2,0)))))</f>
        <v>0</v>
      </c>
      <c r="DR159" s="440">
        <f>IF(AND(DM159&lt;&gt;0,DM$5=$H159),-$I159*$E159-DM159,IF(DR$5=$H159,-$I159*$E159*(12-$J159+1)/12,0))</f>
        <v>0</v>
      </c>
    </row>
    <row r="160" spans="1:122">
      <c r="C160" s="1123"/>
      <c r="D160" s="395"/>
      <c r="E160" s="188"/>
      <c r="F160" s="651"/>
      <c r="G160" s="651"/>
      <c r="H160" s="651"/>
      <c r="I160" s="650"/>
      <c r="J160" s="656"/>
      <c r="K160" s="549"/>
      <c r="L160" s="441"/>
      <c r="M160" s="442"/>
      <c r="N160" s="442"/>
      <c r="O160" s="443"/>
      <c r="P160" s="440"/>
      <c r="Q160" s="441"/>
      <c r="R160" s="442"/>
      <c r="S160" s="442"/>
      <c r="T160" s="443"/>
      <c r="U160" s="440"/>
      <c r="V160" s="441"/>
      <c r="W160" s="442"/>
      <c r="X160" s="442"/>
      <c r="Y160" s="443"/>
      <c r="Z160" s="440"/>
      <c r="AA160" s="441"/>
      <c r="AB160" s="442"/>
      <c r="AC160" s="442"/>
      <c r="AD160" s="443"/>
      <c r="AE160" s="440"/>
      <c r="AF160" s="441"/>
      <c r="AG160" s="442"/>
      <c r="AH160" s="442"/>
      <c r="AI160" s="443"/>
      <c r="AJ160" s="440"/>
      <c r="AK160" s="441"/>
      <c r="AL160" s="442"/>
      <c r="AM160" s="442"/>
      <c r="AN160" s="443"/>
      <c r="AO160" s="440"/>
      <c r="AP160" s="441"/>
      <c r="AQ160" s="442"/>
      <c r="AR160" s="442"/>
      <c r="AS160" s="443"/>
      <c r="AT160" s="440"/>
      <c r="AU160" s="441"/>
      <c r="AV160" s="442"/>
      <c r="AW160" s="442"/>
      <c r="AX160" s="443"/>
      <c r="AY160" s="440"/>
      <c r="AZ160" s="441"/>
      <c r="BA160" s="442"/>
      <c r="BB160" s="442"/>
      <c r="BC160" s="443"/>
      <c r="BD160" s="440"/>
      <c r="BE160" s="441"/>
      <c r="BF160" s="442"/>
      <c r="BG160" s="442"/>
      <c r="BH160" s="443"/>
      <c r="BI160" s="440"/>
      <c r="BJ160" s="441"/>
      <c r="BK160" s="442"/>
      <c r="BL160" s="442"/>
      <c r="BM160" s="443"/>
      <c r="BN160" s="440"/>
      <c r="BO160" s="470"/>
      <c r="BP160" s="441"/>
      <c r="BQ160" s="442"/>
      <c r="BR160" s="442"/>
      <c r="BS160" s="443"/>
      <c r="BT160" s="440"/>
      <c r="BU160" s="441"/>
      <c r="BV160" s="442"/>
      <c r="BW160" s="442"/>
      <c r="BX160" s="443"/>
      <c r="BY160" s="440"/>
      <c r="BZ160" s="441"/>
      <c r="CA160" s="442"/>
      <c r="CB160" s="442"/>
      <c r="CC160" s="443"/>
      <c r="CD160" s="440"/>
      <c r="CE160" s="441"/>
      <c r="CF160" s="442"/>
      <c r="CG160" s="442"/>
      <c r="CH160" s="443"/>
      <c r="CI160" s="440"/>
      <c r="CJ160" s="441"/>
      <c r="CK160" s="442"/>
      <c r="CL160" s="442"/>
      <c r="CM160" s="443"/>
      <c r="CN160" s="440"/>
      <c r="CO160" s="441"/>
      <c r="CP160" s="442"/>
      <c r="CQ160" s="442"/>
      <c r="CR160" s="443"/>
      <c r="CS160" s="440"/>
      <c r="CT160" s="441"/>
      <c r="CU160" s="442"/>
      <c r="CV160" s="442"/>
      <c r="CW160" s="443"/>
      <c r="CX160" s="440"/>
      <c r="CY160" s="441"/>
      <c r="CZ160" s="442"/>
      <c r="DA160" s="442"/>
      <c r="DB160" s="443"/>
      <c r="DC160" s="440"/>
      <c r="DD160" s="441"/>
      <c r="DE160" s="442"/>
      <c r="DF160" s="442"/>
      <c r="DG160" s="443"/>
      <c r="DH160" s="440"/>
      <c r="DI160" s="441"/>
      <c r="DJ160" s="442"/>
      <c r="DK160" s="442"/>
      <c r="DL160" s="443"/>
      <c r="DM160" s="440"/>
      <c r="DN160" s="441"/>
      <c r="DO160" s="442"/>
      <c r="DP160" s="442"/>
      <c r="DQ160" s="443"/>
      <c r="DR160" s="440"/>
    </row>
    <row r="161" spans="3:122">
      <c r="C161" s="1363" t="s">
        <v>995</v>
      </c>
      <c r="D161" s="395"/>
      <c r="E161" s="188"/>
      <c r="F161" s="651"/>
      <c r="G161" s="651"/>
      <c r="H161" s="414"/>
      <c r="I161" s="650"/>
      <c r="J161" s="656"/>
      <c r="K161" s="549"/>
      <c r="L161" s="441"/>
      <c r="M161" s="442"/>
      <c r="N161" s="442"/>
      <c r="O161" s="443"/>
      <c r="P161" s="440"/>
      <c r="Q161" s="441"/>
      <c r="R161" s="442"/>
      <c r="S161" s="442"/>
      <c r="T161" s="443"/>
      <c r="U161" s="440"/>
      <c r="V161" s="441"/>
      <c r="W161" s="442"/>
      <c r="X161" s="442"/>
      <c r="Y161" s="443"/>
      <c r="Z161" s="440"/>
      <c r="AA161" s="441"/>
      <c r="AB161" s="442"/>
      <c r="AC161" s="442"/>
      <c r="AD161" s="443"/>
      <c r="AE161" s="440"/>
      <c r="AF161" s="441"/>
      <c r="AG161" s="442"/>
      <c r="AH161" s="442"/>
      <c r="AI161" s="443"/>
      <c r="AJ161" s="440"/>
      <c r="AK161" s="441"/>
      <c r="AL161" s="442"/>
      <c r="AM161" s="442"/>
      <c r="AN161" s="443"/>
      <c r="AO161" s="440"/>
      <c r="AP161" s="441"/>
      <c r="AQ161" s="442"/>
      <c r="AR161" s="442"/>
      <c r="AS161" s="443"/>
      <c r="AT161" s="440"/>
      <c r="AU161" s="441"/>
      <c r="AV161" s="442"/>
      <c r="AW161" s="442"/>
      <c r="AX161" s="443"/>
      <c r="AY161" s="440"/>
      <c r="AZ161" s="441"/>
      <c r="BA161" s="442"/>
      <c r="BB161" s="442"/>
      <c r="BC161" s="443"/>
      <c r="BD161" s="440"/>
      <c r="BE161" s="441"/>
      <c r="BF161" s="442"/>
      <c r="BG161" s="442"/>
      <c r="BH161" s="443"/>
      <c r="BI161" s="440"/>
      <c r="BJ161" s="441"/>
      <c r="BK161" s="442"/>
      <c r="BL161" s="442"/>
      <c r="BM161" s="443"/>
      <c r="BN161" s="440"/>
      <c r="BO161" s="470"/>
      <c r="BP161" s="441"/>
      <c r="BQ161" s="442"/>
      <c r="BR161" s="442"/>
      <c r="BS161" s="443"/>
      <c r="BT161" s="440"/>
      <c r="BU161" s="441"/>
      <c r="BV161" s="442"/>
      <c r="BW161" s="442"/>
      <c r="BX161" s="443"/>
      <c r="BY161" s="440"/>
      <c r="BZ161" s="441"/>
      <c r="CA161" s="442"/>
      <c r="CB161" s="442"/>
      <c r="CC161" s="443"/>
      <c r="CD161" s="440"/>
      <c r="CE161" s="441"/>
      <c r="CF161" s="442"/>
      <c r="CG161" s="442"/>
      <c r="CH161" s="443"/>
      <c r="CI161" s="440"/>
      <c r="CJ161" s="441"/>
      <c r="CK161" s="442"/>
      <c r="CL161" s="442"/>
      <c r="CM161" s="443"/>
      <c r="CN161" s="440"/>
      <c r="CO161" s="441"/>
      <c r="CP161" s="442"/>
      <c r="CQ161" s="442"/>
      <c r="CR161" s="443"/>
      <c r="CS161" s="440"/>
      <c r="CT161" s="441"/>
      <c r="CU161" s="442"/>
      <c r="CV161" s="442"/>
      <c r="CW161" s="443"/>
      <c r="CX161" s="440"/>
      <c r="CY161" s="441"/>
      <c r="CZ161" s="442"/>
      <c r="DA161" s="442"/>
      <c r="DB161" s="443"/>
      <c r="DC161" s="440"/>
      <c r="DD161" s="441"/>
      <c r="DE161" s="442"/>
      <c r="DF161" s="442"/>
      <c r="DG161" s="443"/>
      <c r="DH161" s="440"/>
      <c r="DI161" s="441"/>
      <c r="DJ161" s="442"/>
      <c r="DK161" s="442"/>
      <c r="DL161" s="443"/>
      <c r="DM161" s="440"/>
      <c r="DN161" s="441"/>
      <c r="DO161" s="442"/>
      <c r="DP161" s="442"/>
      <c r="DQ161" s="443"/>
      <c r="DR161" s="440"/>
    </row>
    <row r="162" spans="3:122" ht="12.75" customHeight="1">
      <c r="C162" s="1590" t="s">
        <v>990</v>
      </c>
      <c r="D162" s="395"/>
      <c r="E162" s="188">
        <f>IF(F162=0,G162,F162)</f>
        <v>0.31979099999999999</v>
      </c>
      <c r="F162" s="1945">
        <v>0</v>
      </c>
      <c r="G162" s="1945">
        <v>0.31979099999999999</v>
      </c>
      <c r="H162" s="1366">
        <v>2017</v>
      </c>
      <c r="I162" s="1367">
        <v>6.79E-3</v>
      </c>
      <c r="J162" s="1357">
        <v>1</v>
      </c>
      <c r="K162" s="549"/>
      <c r="L162" s="441">
        <f t="shared" ref="L162:L164" si="2019">IF(P162=0,0,IF(P162&lt;0,IF($J162=3,P162,IF($J162=2,P162,IF($J162=1,P162,0)))))</f>
        <v>0</v>
      </c>
      <c r="M162" s="442">
        <f t="shared" ref="M162:M164" si="2020">IF(P162=0,0,IF(P162&lt;0,IF($J162=6,P162,IF($J162=5,P162,IF($J162=4,P162,0)))))</f>
        <v>0</v>
      </c>
      <c r="N162" s="442">
        <f t="shared" ref="N162:N164" si="2021">IF(P162=0,0,IF(P162&lt;0,IF($J162=9,P162,IF($J162=8,P162,IF($J162=7,P162,0)))))</f>
        <v>0</v>
      </c>
      <c r="O162" s="443">
        <f t="shared" ref="O162:O164" si="2022">IF(P162=0,0,IF(P162&lt;0,IF($J162=12,P162,IF($J162=11,P162,IF($J162=10,P162,0)))))</f>
        <v>0</v>
      </c>
      <c r="P162" s="440">
        <f t="shared" ref="P162:P164" si="2023">IF(P$5=$H162,-$E162,0)</f>
        <v>0</v>
      </c>
      <c r="Q162" s="441">
        <f t="shared" ref="Q162:Q164" si="2024">IF(U162=0,0,IF(U162&lt;0,IF($J162=3,U162,IF($J162=2,U162,IF($J162=1,U162,0)))))</f>
        <v>0</v>
      </c>
      <c r="R162" s="442">
        <f t="shared" ref="R162:R164" si="2025">IF(U162=0,0,IF(U162&lt;0,IF($J162=6,U162,IF($J162=5,U162,IF($J162=4,U162,0)))))</f>
        <v>0</v>
      </c>
      <c r="S162" s="442">
        <f t="shared" ref="S162:S164" si="2026">IF(U162=0,0,IF(U162&lt;0,IF($J162=9,U162,IF($J162=8,U162,IF($J162=7,U162,0)))))</f>
        <v>0</v>
      </c>
      <c r="T162" s="443">
        <f t="shared" ref="T162:T164" si="2027">IF(U162=0,0,IF(U162&lt;0,IF($J162=12,U162,IF($J162=11,U162,IF($J162=10,U162,0)))))</f>
        <v>0</v>
      </c>
      <c r="U162" s="440">
        <f t="shared" ref="U162:U164" si="2028">IF(U$5=$H162,-$E162,0)</f>
        <v>0</v>
      </c>
      <c r="V162" s="441">
        <f t="shared" ref="V162:V164" si="2029">IF(Z162=0,0,IF(Z162&lt;0,IF($J162=3,Z162,IF($J162=2,Z162,IF($J162=1,Z162,0)))))</f>
        <v>0</v>
      </c>
      <c r="W162" s="442">
        <f t="shared" ref="W162:W164" si="2030">IF(Z162=0,0,IF(Z162&lt;0,IF($J162=6,Z162,IF($J162=5,Z162,IF($J162=4,Z162,0)))))</f>
        <v>0</v>
      </c>
      <c r="X162" s="442">
        <f t="shared" ref="X162:X164" si="2031">IF(Z162=0,0,IF(Z162&lt;0,IF($J162=9,Z162,IF($J162=8,Z162,IF($J162=7,Z162,0)))))</f>
        <v>0</v>
      </c>
      <c r="Y162" s="443">
        <f t="shared" ref="Y162:Y164" si="2032">IF(Z162=0,0,IF(Z162&lt;0,IF($J162=12,Z162,IF($J162=11,Z162,IF($J162=10,Z162,0)))))</f>
        <v>0</v>
      </c>
      <c r="Z162" s="440">
        <f t="shared" ref="Z162:Z164" si="2033">IF(Z$5=$H162,-$E162,0)</f>
        <v>0</v>
      </c>
      <c r="AA162" s="441">
        <f t="shared" ref="AA162:AA164" si="2034">IF(AE162=0,0,IF(AE162&lt;0,IF($J162=3,AE162,IF($J162=2,AE162,IF($J162=1,AE162,0)))))</f>
        <v>0</v>
      </c>
      <c r="AB162" s="442">
        <f t="shared" ref="AB162:AB164" si="2035">IF(AE162=0,0,IF(AE162&lt;0,IF($J162=6,AE162,IF($J162=5,AE162,IF($J162=4,AE162,0)))))</f>
        <v>0</v>
      </c>
      <c r="AC162" s="442">
        <f t="shared" ref="AC162:AC164" si="2036">IF(AE162=0,0,IF(AE162&lt;0,IF($J162=9,AE162,IF($J162=8,AE162,IF($J162=7,AE162,0)))))</f>
        <v>0</v>
      </c>
      <c r="AD162" s="443">
        <f t="shared" ref="AD162:AD164" si="2037">IF(AE162=0,0,IF(AE162&lt;0,IF($J162=12,AE162,IF($J162=11,AE162,IF($J162=10,AE162,0)))))</f>
        <v>0</v>
      </c>
      <c r="AE162" s="440">
        <f t="shared" ref="AE162:AE164" si="2038">IF(AE$5=$H162,-$E162,0)</f>
        <v>0</v>
      </c>
      <c r="AF162" s="441">
        <f t="shared" ref="AF162:AF164" si="2039">IF(AJ162=0,0,IF(AJ162&lt;0,IF($J162=3,AJ162,IF($J162=2,AJ162,IF($J162=1,AJ162,0)))))</f>
        <v>0</v>
      </c>
      <c r="AG162" s="442">
        <f t="shared" ref="AG162:AG164" si="2040">IF(AJ162=0,0,IF(AJ162&lt;0,IF($J162=6,AJ162,IF($J162=5,AJ162,IF($J162=4,AJ162,0)))))</f>
        <v>0</v>
      </c>
      <c r="AH162" s="442">
        <f t="shared" ref="AH162:AH164" si="2041">IF(AJ162=0,0,IF(AJ162&lt;0,IF($J162=9,AJ162,IF($J162=8,AJ162,IF($J162=7,AJ162,0)))))</f>
        <v>0</v>
      </c>
      <c r="AI162" s="443">
        <f t="shared" ref="AI162:AI164" si="2042">IF(AJ162=0,0,IF(AJ162&lt;0,IF($J162=12,AJ162,IF($J162=11,AJ162,IF($J162=10,AJ162,0)))))</f>
        <v>0</v>
      </c>
      <c r="AJ162" s="440">
        <f t="shared" ref="AJ162:AJ164" si="2043">IF(AJ$5=$H162,-$E162,0)</f>
        <v>0</v>
      </c>
      <c r="AK162" s="441">
        <f t="shared" ref="AK162:AK164" si="2044">IF(AO162=0,0,IF(AO162&lt;0,IF($J162=3,AO162,IF($J162=2,AO162,IF($J162=1,AO162,0)))))</f>
        <v>0</v>
      </c>
      <c r="AL162" s="442">
        <f t="shared" ref="AL162:AL164" si="2045">IF(AO162=0,0,IF(AO162&lt;0,IF($J162=6,AO162,IF($J162=5,AO162,IF($J162=4,AO162,0)))))</f>
        <v>0</v>
      </c>
      <c r="AM162" s="442">
        <f t="shared" ref="AM162:AM164" si="2046">IF(AO162=0,0,IF(AO162&lt;0,IF($J162=9,AO162,IF($J162=8,AO162,IF($J162=7,AO162,0)))))</f>
        <v>0</v>
      </c>
      <c r="AN162" s="443">
        <f t="shared" ref="AN162:AN164" si="2047">IF(AO162=0,0,IF(AO162&lt;0,IF($J162=12,AO162,IF($J162=11,AO162,IF($J162=10,AO162,0)))))</f>
        <v>0</v>
      </c>
      <c r="AO162" s="440">
        <f t="shared" ref="AO162:AO164" si="2048">IF(AO$5=$H162,-$E162,0)</f>
        <v>0</v>
      </c>
      <c r="AP162" s="441">
        <f t="shared" ref="AP162:AP164" si="2049">IF(AT162=0,0,IF(AT162&lt;0,IF($J162=3,AT162,IF($J162=2,AT162,IF($J162=1,AT162,0)))))</f>
        <v>-0.31979099999999999</v>
      </c>
      <c r="AQ162" s="442">
        <f t="shared" ref="AQ162:AQ164" si="2050">IF(AT162=0,0,IF(AT162&lt;0,IF($J162=6,AT162,IF($J162=5,AT162,IF($J162=4,AT162,0)))))</f>
        <v>0</v>
      </c>
      <c r="AR162" s="442">
        <f t="shared" ref="AR162:AR164" si="2051">IF(AT162=0,0,IF(AT162&lt;0,IF($J162=9,AT162,IF($J162=8,AT162,IF($J162=7,AT162,0)))))</f>
        <v>0</v>
      </c>
      <c r="AS162" s="443">
        <f t="shared" ref="AS162:AS164" si="2052">IF(AT162=0,0,IF(AT162&lt;0,IF($J162=12,AT162,IF($J162=11,AT162,IF($J162=10,AT162,0)))))</f>
        <v>0</v>
      </c>
      <c r="AT162" s="440">
        <f t="shared" ref="AT162:AT164" si="2053">IF(AT$5=$H162,-$E162,0)</f>
        <v>-0.31979099999999999</v>
      </c>
      <c r="AU162" s="441">
        <f t="shared" ref="AU162:AU164" si="2054">IF(AY162=0,0,IF(AY162&lt;0,IF($J162=3,AY162,IF($J162=2,AY162,IF($J162=1,AY162,0)))))</f>
        <v>0</v>
      </c>
      <c r="AV162" s="442">
        <f t="shared" ref="AV162:AV164" si="2055">IF(AY162=0,0,IF(AY162&lt;0,IF($J162=6,AY162,IF($J162=5,AY162,IF($J162=4,AY162,0)))))</f>
        <v>0</v>
      </c>
      <c r="AW162" s="442">
        <f t="shared" ref="AW162:AW164" si="2056">IF(AY162=0,0,IF(AY162&lt;0,IF($J162=9,AY162,IF($J162=8,AY162,IF($J162=7,AY162,0)))))</f>
        <v>0</v>
      </c>
      <c r="AX162" s="443">
        <f t="shared" ref="AX162:AX164" si="2057">IF(AY162=0,0,IF(AY162&lt;0,IF($J162=12,AY162,IF($J162=11,AY162,IF($J162=10,AY162,0)))))</f>
        <v>0</v>
      </c>
      <c r="AY162" s="440">
        <f t="shared" ref="AY162:AY164" si="2058">IF(AY$5=$H162,-$E162,0)</f>
        <v>0</v>
      </c>
      <c r="AZ162" s="441">
        <f t="shared" ref="AZ162:AZ164" si="2059">IF(BD162=0,0,IF(BD162&lt;0,IF($J162=3,BD162,IF($J162=2,BD162,IF($J162=1,BD162,0)))))</f>
        <v>0</v>
      </c>
      <c r="BA162" s="442">
        <f t="shared" ref="BA162:BA164" si="2060">IF(BD162=0,0,IF(BD162&lt;0,IF($J162=6,BD162,IF($J162=5,BD162,IF($J162=4,BD162,0)))))</f>
        <v>0</v>
      </c>
      <c r="BB162" s="442">
        <f t="shared" ref="BB162:BB164" si="2061">IF(BD162=0,0,IF(BD162&lt;0,IF($J162=9,BD162,IF($J162=8,BD162,IF($J162=7,BD162,0)))))</f>
        <v>0</v>
      </c>
      <c r="BC162" s="443">
        <f t="shared" ref="BC162:BC164" si="2062">IF(BD162=0,0,IF(BD162&lt;0,IF($J162=12,BD162,IF($J162=11,BD162,IF($J162=10,BD162,0)))))</f>
        <v>0</v>
      </c>
      <c r="BD162" s="440">
        <f t="shared" ref="BD162:BD164" si="2063">IF(BD$5=$H162,-$E162,0)</f>
        <v>0</v>
      </c>
      <c r="BE162" s="441">
        <f t="shared" ref="BE162:BE164" si="2064">IF(BI162=0,0,IF(BI162&lt;0,IF($J162=3,BI162,IF($J162=2,BI162,IF($J162=1,BI162,0)))))</f>
        <v>0</v>
      </c>
      <c r="BF162" s="442">
        <f t="shared" ref="BF162:BF164" si="2065">IF(BI162=0,0,IF(BI162&lt;0,IF($J162=6,BI162,IF($J162=5,BI162,IF($J162=4,BI162,0)))))</f>
        <v>0</v>
      </c>
      <c r="BG162" s="442">
        <f t="shared" ref="BG162:BG164" si="2066">IF(BI162=0,0,IF(BI162&lt;0,IF($J162=9,BI162,IF($J162=8,BI162,IF($J162=7,BI162,0)))))</f>
        <v>0</v>
      </c>
      <c r="BH162" s="443">
        <f t="shared" ref="BH162:BH164" si="2067">IF(BI162=0,0,IF(BI162&lt;0,IF($J162=12,BI162,IF($J162=11,BI162,IF($J162=10,BI162,0)))))</f>
        <v>0</v>
      </c>
      <c r="BI162" s="440">
        <f t="shared" ref="BI162:BI164" si="2068">IF(BI$5=$H162,-$E162,0)</f>
        <v>0</v>
      </c>
      <c r="BJ162" s="441">
        <f t="shared" ref="BJ162:BJ164" si="2069">IF(BN162=0,0,IF(BN162&lt;0,IF($J162=3,BN162,IF($J162=2,BN162,IF($J162=1,BN162,0)))))</f>
        <v>0</v>
      </c>
      <c r="BK162" s="442">
        <f t="shared" ref="BK162:BK164" si="2070">IF(BN162=0,0,IF(BN162&lt;0,IF($J162=6,BN162,IF($J162=5,BN162,IF($J162=4,BN162,0)))))</f>
        <v>0</v>
      </c>
      <c r="BL162" s="442">
        <f t="shared" ref="BL162:BL164" si="2071">IF(BN162=0,0,IF(BN162&lt;0,IF($J162=9,BN162,IF($J162=8,BN162,IF($J162=7,BN162,0)))))</f>
        <v>0</v>
      </c>
      <c r="BM162" s="443">
        <f t="shared" ref="BM162:BM164" si="2072">IF(BN162=0,0,IF(BN162&lt;0,IF($J162=12,BN162,IF($J162=11,BN162,IF($J162=10,BN162,0)))))</f>
        <v>0</v>
      </c>
      <c r="BN162" s="440">
        <f t="shared" ref="BN162:BN164" si="2073">IF(BN$5=$H162,-$E162,0)</f>
        <v>0</v>
      </c>
      <c r="BO162" s="470"/>
      <c r="BP162" s="441">
        <f>IF($H162&lt;&gt;BT$5,0,IF(BT162&lt;0,IF($J162=1,-$E162*$I162/12*3,IF($J162=2,-$E162*$I162/12*2,IF($J162=3,-$E162*$I162/12*1,0)))))+IF(BO$5&lt;&gt;$H162,0,IF(BO162&lt;0,IF($J162=1,-$E162*$I162/12*0,IF($J162=2,-$E162*$I162/12*1,IF($J162=3,-$E162*$I162/12*2,IF($J162&gt;=4,-$E162*$I162/12*3,0))))))</f>
        <v>0</v>
      </c>
      <c r="BQ162" s="442">
        <f>IF($H162&lt;&gt;BT$5,0,IF(BT162&lt;0,IF(OR($J162=1,$J162=2,$J162=3,$J162=4),-$E162*$I162/12*3,IF($J162=5,-$E162*$I162/12*2,IF($J162=6,-$E162*$I162/12*1,0)))))+IF(BO$5&lt;&gt;$H162,0,IF(BO162&lt;0,IF($J162=4,-$E162*$I162/12*0,IF($J162=5,-$E162*$I162/12*1,IF($J162=6,-$E162*$I162/12*2,IF($J162&gt;=7,-$E162*$I162/12*3,0))))))</f>
        <v>0</v>
      </c>
      <c r="BR162" s="442">
        <f>IF($H162&lt;&gt;BT$5,0,IF(BT162&lt;0,IF(OR($J162=1,$J162=2,$J162=3,$J162=4,$J162=5,$J162=6,$J162=7),-$E162*$I162/12*3,IF($J162=8,-$E162*$I162/12*2,IF($J162=9,-$E162*$I162/12*1,0)))))+IF(BO$5&lt;&gt;$H162,0,IF(BO162&lt;0,IF($J162=7,-$E162*$I162/12*0,IF($J162=8,-$E162*$I162/12*1,IF($J162=9,-$E162*$I162/12*2,IF($J162&gt;=10,-$E162*$I162/12*3,0))))))</f>
        <v>0</v>
      </c>
      <c r="BS162" s="443">
        <f>IF($H162&lt;&gt;BT$5,0,IF(BT162&lt;0,IF(OR($J162=1,$J162=2,$J162=3,$J162=4,$J162=5,$J162=6,$J162=7,$J162=8,$J162=9,$J162=10),-$E162*$I162/12*3,IF($J162=11,-$E162*$I162/12*2,IF($J162=12,-$E162*$I162/12*1,0)))))+IF(BO$5&lt;&gt;$H162,0,IF(BO162&lt;0,IF($J162=10,-$E162*$I162/12*0,IF($J162=11,-$E162*$I162/12*1,IF($J162=12,-$E162*$I162/12*2,0)))))</f>
        <v>0</v>
      </c>
      <c r="BT162" s="440">
        <f>IF(AND(BO162&lt;&gt;0,BO$5=$H162),-$I162*$E162-BO162,IF(BT$5=$H162,-$I162*$E162*(12-$J162+1)/12,0))</f>
        <v>0</v>
      </c>
      <c r="BU162" s="441">
        <f>IF($H162&lt;&gt;BY$5,0,IF(BY162&lt;0,IF($J162=1,-$E162*$I162/12*3,IF($J162=2,-$E162*$I162/12*2,IF($J162=3,-$E162*$I162/12*1,0)))))+IF(BT$5&lt;&gt;$H162,0,IF(BT162&lt;0,IF($J162=1,-$E162*$I162/12*0,IF($J162=2,-$E162*$I162/12*1,IF($J162=3,-$E162*$I162/12*2,IF($J162&gt;=4,-$E162*$I162/12*3,0))))))</f>
        <v>0</v>
      </c>
      <c r="BV162" s="442">
        <f>IF($H162&lt;&gt;BY$5,0,IF(BY162&lt;0,IF(OR($J162=1,$J162=2,$J162=3,$J162=4),-$E162*$I162/12*3,IF($J162=5,-$E162*$I162/12*2,IF($J162=6,-$E162*$I162/12*1,0)))))+IF(BT$5&lt;&gt;$H162,0,IF(BT162&lt;0,IF($J162=4,-$E162*$I162/12*0,IF($J162=5,-$E162*$I162/12*1,IF($J162=6,-$E162*$I162/12*2,IF($J162&gt;=7,-$E162*$I162/12*3,0))))))</f>
        <v>0</v>
      </c>
      <c r="BW162" s="442">
        <f>IF($H162&lt;&gt;BY$5,0,IF(BY162&lt;0,IF(OR($J162=1,$J162=2,$J162=3,$J162=4,$J162=5,$J162=6,$J162=7),-$E162*$I162/12*3,IF($J162=8,-$E162*$I162/12*2,IF($J162=9,-$E162*$I162/12*1,0)))))+IF(BT$5&lt;&gt;$H162,0,IF(BT162&lt;0,IF($J162=7,-$E162*$I162/12*0,IF($J162=8,-$E162*$I162/12*1,IF($J162=9,-$E162*$I162/12*2,IF($J162&gt;=10,-$E162*$I162/12*3,0))))))</f>
        <v>0</v>
      </c>
      <c r="BX162" s="443">
        <f>IF($H162&lt;&gt;BY$5,0,IF(BY162&lt;0,IF(OR($J162=1,$J162=2,$J162=3,$J162=4,$J162=5,$J162=6,$J162=7,$J162=8,$J162=9,$J162=10),-$E162*$I162/12*3,IF($J162=11,-$E162*$I162/12*2,IF($J162=12,-$E162*$I162/12*1,0)))))+IF(BT$5&lt;&gt;$H162,0,IF(BT162&lt;0,IF($J162=10,-$E162*$I162/12*0,IF($J162=11,-$E162*$I162/12*1,IF($J162=12,-$E162*$I162/12*2,0)))))</f>
        <v>0</v>
      </c>
      <c r="BY162" s="440">
        <f>IF(AND(BT162&lt;&gt;0,BT$5=$H162),-$I162*$E162-BT162,IF(BY$5=$H162,-$I162*$E162*(12-$J162+1)/12,0))</f>
        <v>0</v>
      </c>
      <c r="BZ162" s="441">
        <f>IF($H162&lt;&gt;CD$5,0,IF(CD162&lt;0,IF($J162=1,-$E162*$I162/12*3,IF($J162=2,-$E162*$I162/12*2,IF($J162=3,-$E162*$I162/12*1,0)))))+IF(BY$5&lt;&gt;$H162,0,IF(BY162&lt;0,IF($J162=1,-$E162*$I162/12*0,IF($J162=2,-$E162*$I162/12*1,IF($J162=3,-$E162*$I162/12*2,IF($J162&gt;=4,-$E162*$I162/12*3,0))))))</f>
        <v>0</v>
      </c>
      <c r="CA162" s="442">
        <f>IF($H162&lt;&gt;CD$5,0,IF(CD162&lt;0,IF(OR($J162=1,$J162=2,$J162=3,$J162=4),-$E162*$I162/12*3,IF($J162=5,-$E162*$I162/12*2,IF($J162=6,-$E162*$I162/12*1,0)))))+IF(BY$5&lt;&gt;$H162,0,IF(BY162&lt;0,IF($J162=4,-$E162*$I162/12*0,IF($J162=5,-$E162*$I162/12*1,IF($J162=6,-$E162*$I162/12*2,IF($J162&gt;=7,-$E162*$I162/12*3,0))))))</f>
        <v>0</v>
      </c>
      <c r="CB162" s="442">
        <f>IF($H162&lt;&gt;CD$5,0,IF(CD162&lt;0,IF(OR($J162=1,$J162=2,$J162=3,$J162=4,$J162=5,$J162=6,$J162=7),-$E162*$I162/12*3,IF($J162=8,-$E162*$I162/12*2,IF($J162=9,-$E162*$I162/12*1,0)))))+IF(BY$5&lt;&gt;$H162,0,IF(BY162&lt;0,IF($J162=7,-$E162*$I162/12*0,IF($J162=8,-$E162*$I162/12*1,IF($J162=9,-$E162*$I162/12*2,IF($J162&gt;=10,-$E162*$I162/12*3,0))))))</f>
        <v>0</v>
      </c>
      <c r="CC162" s="443">
        <f>IF($H162&lt;&gt;CD$5,0,IF(CD162&lt;0,IF(OR($J162=1,$J162=2,$J162=3,$J162=4,$J162=5,$J162=6,$J162=7,$J162=8,$J162=9,$J162=10),-$E162*$I162/12*3,IF($J162=11,-$E162*$I162/12*2,IF($J162=12,-$E162*$I162/12*1,0)))))+IF(BY$5&lt;&gt;$H162,0,IF(BY162&lt;0,IF($J162=10,-$E162*$I162/12*0,IF($J162=11,-$E162*$I162/12*1,IF($J162=12,-$E162*$I162/12*2,0)))))</f>
        <v>0</v>
      </c>
      <c r="CD162" s="440">
        <f>IF(AND(BY162&lt;&gt;0,BY$5=$H162),-$I162*$E162-BY162,IF(CD$5=$H162,-$I162*$E162*(12-$J162+1)/12,0))</f>
        <v>0</v>
      </c>
      <c r="CE162" s="441">
        <f>IF($H162&lt;&gt;CI$5,0,IF(CI162&lt;0,IF($J162=1,-$E162*$I162/12*3,IF($J162=2,-$E162*$I162/12*2,IF($J162=3,-$E162*$I162/12*1,0)))))+IF(CD$5&lt;&gt;$H162,0,IF(CD162&lt;0,IF($J162=1,-$E162*$I162/12*0,IF($J162=2,-$E162*$I162/12*1,IF($J162=3,-$E162*$I162/12*2,IF($J162&gt;=4,-$E162*$I162/12*3,0))))))</f>
        <v>0</v>
      </c>
      <c r="CF162" s="442">
        <f>IF($H162&lt;&gt;CI$5,0,IF(CI162&lt;0,IF(OR($J162=1,$J162=2,$J162=3,$J162=4),-$E162*$I162/12*3,IF($J162=5,-$E162*$I162/12*2,IF($J162=6,-$E162*$I162/12*1,0)))))+IF(CD$5&lt;&gt;$H162,0,IF(CD162&lt;0,IF($J162=4,-$E162*$I162/12*0,IF($J162=5,-$E162*$I162/12*1,IF($J162=6,-$E162*$I162/12*2,IF($J162&gt;=7,-$E162*$I162/12*3,0))))))</f>
        <v>0</v>
      </c>
      <c r="CG162" s="442">
        <f>IF($H162&lt;&gt;CI$5,0,IF(CI162&lt;0,IF(OR($J162=1,$J162=2,$J162=3,$J162=4,$J162=5,$J162=6,$J162=7),-$E162*$I162/12*3,IF($J162=8,-$E162*$I162/12*2,IF($J162=9,-$E162*$I162/12*1,0)))))+IF(CD$5&lt;&gt;$H162,0,IF(CD162&lt;0,IF($J162=7,-$E162*$I162/12*0,IF($J162=8,-$E162*$I162/12*1,IF($J162=9,-$E162*$I162/12*2,IF($J162&gt;=10,-$E162*$I162/12*3,0))))))</f>
        <v>0</v>
      </c>
      <c r="CH162" s="443">
        <f>IF($H162&lt;&gt;CI$5,0,IF(CI162&lt;0,IF(OR($J162=1,$J162=2,$J162=3,$J162=4,$J162=5,$J162=6,$J162=7,$J162=8,$J162=9,$J162=10),-$E162*$I162/12*3,IF($J162=11,-$E162*$I162/12*2,IF($J162=12,-$E162*$I162/12*1,0)))))+IF(CD$5&lt;&gt;$H162,0,IF(CD162&lt;0,IF($J162=10,-$E162*$I162/12*0,IF($J162=11,-$E162*$I162/12*1,IF($J162=12,-$E162*$I162/12*2,0)))))</f>
        <v>0</v>
      </c>
      <c r="CI162" s="440">
        <f>IF(AND(CD162&lt;&gt;0,CD$5=$H162),-$I162*$E162-CD162,IF(CI$5=$H162,-$I162*$E162*(12-$J162+1)/12,0))</f>
        <v>0</v>
      </c>
      <c r="CJ162" s="441">
        <f>IF($H162&lt;&gt;CN$5,0,IF(CN162&lt;0,IF($J162=1,-$E162*$I162/12*3,IF($J162=2,-$E162*$I162/12*2,IF($J162=3,-$E162*$I162/12*1,0)))))+IF(CI$5&lt;&gt;$H162,0,IF(CI162&lt;0,IF($J162=1,-$E162*$I162/12*0,IF($J162=2,-$E162*$I162/12*1,IF($J162=3,-$E162*$I162/12*2,IF($J162&gt;=4,-$E162*$I162/12*3,0))))))</f>
        <v>0</v>
      </c>
      <c r="CK162" s="442">
        <f>IF($H162&lt;&gt;CN$5,0,IF(CN162&lt;0,IF(OR($J162=1,$J162=2,$J162=3,$J162=4),-$E162*$I162/12*3,IF($J162=5,-$E162*$I162/12*2,IF($J162=6,-$E162*$I162/12*1,0)))))+IF(CI$5&lt;&gt;$H162,0,IF(CI162&lt;0,IF($J162=4,-$E162*$I162/12*0,IF($J162=5,-$E162*$I162/12*1,IF($J162=6,-$E162*$I162/12*2,IF($J162&gt;=7,-$E162*$I162/12*3,0))))))</f>
        <v>0</v>
      </c>
      <c r="CL162" s="442">
        <f>IF($H162&lt;&gt;CN$5,0,IF(CN162&lt;0,IF(OR($J162=1,$J162=2,$J162=3,$J162=4,$J162=5,$J162=6,$J162=7),-$E162*$I162/12*3,IF($J162=8,-$E162*$I162/12*2,IF($J162=9,-$E162*$I162/12*1,0)))))+IF(CI$5&lt;&gt;$H162,0,IF(CI162&lt;0,IF($J162=7,-$E162*$I162/12*0,IF($J162=8,-$E162*$I162/12*1,IF($J162=9,-$E162*$I162/12*2,IF($J162&gt;=10,-$E162*$I162/12*3,0))))))</f>
        <v>0</v>
      </c>
      <c r="CM162" s="443">
        <f>IF($H162&lt;&gt;CN$5,0,IF(CN162&lt;0,IF(OR($J162=1,$J162=2,$J162=3,$J162=4,$J162=5,$J162=6,$J162=7,$J162=8,$J162=9,$J162=10),-$E162*$I162/12*3,IF($J162=11,-$E162*$I162/12*2,IF($J162=12,-$E162*$I162/12*1,0)))))+IF(CI$5&lt;&gt;$H162,0,IF(CI162&lt;0,IF($J162=10,-$E162*$I162/12*0,IF($J162=11,-$E162*$I162/12*1,IF($J162=12,-$E162*$I162/12*2,0)))))</f>
        <v>0</v>
      </c>
      <c r="CN162" s="440">
        <f>IF(AND(CI162&lt;&gt;0,CI$5=$H162),-$I162*$E162-CI162,IF(CN$5=$H162,-$I162*$E162*(12-$J162+1)/12,0))</f>
        <v>0</v>
      </c>
      <c r="CO162" s="441">
        <f>IF($H162&lt;&gt;CS$5,0,IF(CS162&lt;0,IF($J162=1,-$E162*$I162/12*3,IF($J162=2,-$E162*$I162/12*2,IF($J162=3,-$E162*$I162/12*1,0)))))+IF(CN$5&lt;&gt;$H162,0,IF(CN162&lt;0,IF($J162=1,-$E162*$I162/12*0,IF($J162=2,-$E162*$I162/12*1,IF($J162=3,-$E162*$I162/12*2,IF($J162&gt;=4,-$E162*$I162/12*3,0))))))</f>
        <v>0</v>
      </c>
      <c r="CP162" s="442">
        <f>IF($H162&lt;&gt;CS$5,0,IF(CS162&lt;0,IF(OR($J162=1,$J162=2,$J162=3,$J162=4),-$E162*$I162/12*3,IF($J162=5,-$E162*$I162/12*2,IF($J162=6,-$E162*$I162/12*1,0)))))+IF(CN$5&lt;&gt;$H162,0,IF(CN162&lt;0,IF($J162=4,-$E162*$I162/12*0,IF($J162=5,-$E162*$I162/12*1,IF($J162=6,-$E162*$I162/12*2,IF($J162&gt;=7,-$E162*$I162/12*3,0))))))</f>
        <v>0</v>
      </c>
      <c r="CQ162" s="442">
        <f>IF($H162&lt;&gt;CS$5,0,IF(CS162&lt;0,IF(OR($J162=1,$J162=2,$J162=3,$J162=4,$J162=5,$J162=6,$J162=7),-$E162*$I162/12*3,IF($J162=8,-$E162*$I162/12*2,IF($J162=9,-$E162*$I162/12*1,0)))))+IF(CN$5&lt;&gt;$H162,0,IF(CN162&lt;0,IF($J162=7,-$E162*$I162/12*0,IF($J162=8,-$E162*$I162/12*1,IF($J162=9,-$E162*$I162/12*2,IF($J162&gt;=10,-$E162*$I162/12*3,0))))))</f>
        <v>0</v>
      </c>
      <c r="CR162" s="443">
        <f>IF($H162&lt;&gt;CS$5,0,IF(CS162&lt;0,IF(OR($J162=1,$J162=2,$J162=3,$J162=4,$J162=5,$J162=6,$J162=7,$J162=8,$J162=9,$J162=10),-$E162*$I162/12*3,IF($J162=11,-$E162*$I162/12*2,IF($J162=12,-$E162*$I162/12*1,0)))))+IF(CN$5&lt;&gt;$H162,0,IF(CN162&lt;0,IF($J162=10,-$E162*$I162/12*0,IF($J162=11,-$E162*$I162/12*1,IF($J162=12,-$E162*$I162/12*2,0)))))</f>
        <v>0</v>
      </c>
      <c r="CS162" s="440">
        <f>IF(AND(CN162&lt;&gt;0,CN$5=$H162),-$I162*$E162-CN162,IF(CS$5=$H162,-$I162*$E162*(12-$J162+1)/12,0))</f>
        <v>0</v>
      </c>
      <c r="CT162" s="441">
        <f>IF($H162&lt;&gt;CX$5,0,IF(CX162&lt;0,IF($J162=1,-$E162*$I162/12*3,IF($J162=2,-$E162*$I162/12*2,IF($J162=3,-$E162*$I162/12*1,0)))))+IF(CS$5&lt;&gt;$H162,0,IF(CS162&lt;0,IF($J162=1,-$E162*$I162/12*0,IF($J162=2,-$E162*$I162/12*1,IF($J162=3,-$E162*$I162/12*2,IF($J162&gt;=4,-$E162*$I162/12*3,0))))))</f>
        <v>-5.428452225E-4</v>
      </c>
      <c r="CU162" s="442">
        <f>IF($H162&lt;&gt;CX$5,0,IF(CX162&lt;0,IF(OR($J162=1,$J162=2,$J162=3,$J162=4),-$E162*$I162/12*3,IF($J162=5,-$E162*$I162/12*2,IF($J162=6,-$E162*$I162/12*1,0)))))+IF(CS$5&lt;&gt;$H162,0,IF(CS162&lt;0,IF($J162=4,-$E162*$I162/12*0,IF($J162=5,-$E162*$I162/12*1,IF($J162=6,-$E162*$I162/12*2,IF($J162&gt;=7,-$E162*$I162/12*3,0))))))</f>
        <v>-5.428452225E-4</v>
      </c>
      <c r="CV162" s="442">
        <f>IF($H162&lt;&gt;CX$5,0,IF(CX162&lt;0,IF(OR($J162=1,$J162=2,$J162=3,$J162=4,$J162=5,$J162=6,$J162=7),-$E162*$I162/12*3,IF($J162=8,-$E162*$I162/12*2,IF($J162=9,-$E162*$I162/12*1,0)))))+IF(CS$5&lt;&gt;$H162,0,IF(CS162&lt;0,IF($J162=7,-$E162*$I162/12*0,IF($J162=8,-$E162*$I162/12*1,IF($J162=9,-$E162*$I162/12*2,IF($J162&gt;=10,-$E162*$I162/12*3,0))))))</f>
        <v>-5.428452225E-4</v>
      </c>
      <c r="CW162" s="443">
        <f>IF($H162&lt;&gt;CX$5,0,IF(CX162&lt;0,IF(OR($J162=1,$J162=2,$J162=3,$J162=4,$J162=5,$J162=6,$J162=7,$J162=8,$J162=9,$J162=10),-$E162*$I162/12*3,IF($J162=11,-$E162*$I162/12*2,IF($J162=12,-$E162*$I162/12*1,0)))))+IF(CS$5&lt;&gt;$H162,0,IF(CS162&lt;0,IF($J162=10,-$E162*$I162/12*0,IF($J162=11,-$E162*$I162/12*1,IF($J162=12,-$E162*$I162/12*2,0)))))</f>
        <v>-5.428452225E-4</v>
      </c>
      <c r="CX162" s="440">
        <f>IF(AND(CS162&lt;&gt;0,CS$5=$H162),-$I162*$E162-CS162,IF(CX$5=$H162,-$I162*$E162*(12-$J162+1)/12,0))</f>
        <v>-2.17138089E-3</v>
      </c>
      <c r="CY162" s="441">
        <f>IF($H162&lt;&gt;DC$5,0,IF(DC162&lt;0,IF($J162=1,-$E162*$I162/12*3,IF($J162=2,-$E162*$I162/12*2,IF($J162=3,-$E162*$I162/12*1,0)))))+IF(CX$5&lt;&gt;$H162,0,IF(CX162&lt;0,IF($J162=1,-$E162*$I162/12*0,IF($J162=2,-$E162*$I162/12*1,IF($J162=3,-$E162*$I162/12*2,IF($J162&gt;=4,-$E162*$I162/12*3,0))))))</f>
        <v>0</v>
      </c>
      <c r="CZ162" s="442">
        <f>IF($H162&lt;&gt;DC$5,0,IF(DC162&lt;0,IF(OR($J162=1,$J162=2,$J162=3,$J162=4),-$E162*$I162/12*3,IF($J162=5,-$E162*$I162/12*2,IF($J162=6,-$E162*$I162/12*1,0)))))+IF(CX$5&lt;&gt;$H162,0,IF(CX162&lt;0,IF($J162=4,-$E162*$I162/12*0,IF($J162=5,-$E162*$I162/12*1,IF($J162=6,-$E162*$I162/12*2,IF($J162&gt;=7,-$E162*$I162/12*3,0))))))</f>
        <v>0</v>
      </c>
      <c r="DA162" s="442">
        <f>IF($H162&lt;&gt;DC$5,0,IF(DC162&lt;0,IF(OR($J162=1,$J162=2,$J162=3,$J162=4,$J162=5,$J162=6,$J162=7),-$E162*$I162/12*3,IF($J162=8,-$E162*$I162/12*2,IF($J162=9,-$E162*$I162/12*1,0)))))+IF(CX$5&lt;&gt;$H162,0,IF(CX162&lt;0,IF($J162=7,-$E162*$I162/12*0,IF($J162=8,-$E162*$I162/12*1,IF($J162=9,-$E162*$I162/12*2,IF($J162&gt;=10,-$E162*$I162/12*3,0))))))</f>
        <v>0</v>
      </c>
      <c r="DB162" s="443">
        <f>IF($H162&lt;&gt;DC$5,0,IF(DC162&lt;0,IF(OR($J162=1,$J162=2,$J162=3,$J162=4,$J162=5,$J162=6,$J162=7,$J162=8,$J162=9,$J162=10),-$E162*$I162/12*3,IF($J162=11,-$E162*$I162/12*2,IF($J162=12,-$E162*$I162/12*1,0)))))+IF(CX$5&lt;&gt;$H162,0,IF(CX162&lt;0,IF($J162=10,-$E162*$I162/12*0,IF($J162=11,-$E162*$I162/12*1,IF($J162=12,-$E162*$I162/12*2,0)))))</f>
        <v>0</v>
      </c>
      <c r="DC162" s="440">
        <f>IF(AND(CX162&lt;&gt;0,CX$5=$H162),-$I162*$E162-CX162,IF(DC$5=$H162,-$I162*$E162*(12-$J162+1)/12,0))</f>
        <v>0</v>
      </c>
      <c r="DD162" s="441">
        <f>IF($H162&lt;&gt;DH$5,0,IF(DH162&lt;0,IF($J162=1,-$E162*$I162/12*3,IF($J162=2,-$E162*$I162/12*2,IF($J162=3,-$E162*$I162/12*1,0)))))+IF(DC$5&lt;&gt;$H162,0,IF(DC162&lt;0,IF($J162=1,-$E162*$I162/12*0,IF($J162=2,-$E162*$I162/12*1,IF($J162=3,-$E162*$I162/12*2,IF($J162&gt;=4,-$E162*$I162/12*3,0))))))</f>
        <v>0</v>
      </c>
      <c r="DE162" s="442">
        <f>IF($H162&lt;&gt;DH$5,0,IF(DH162&lt;0,IF(OR($J162=1,$J162=2,$J162=3,$J162=4),-$E162*$I162/12*3,IF($J162=5,-$E162*$I162/12*2,IF($J162=6,-$E162*$I162/12*1,0)))))+IF(DC$5&lt;&gt;$H162,0,IF(DC162&lt;0,IF($J162=4,-$E162*$I162/12*0,IF($J162=5,-$E162*$I162/12*1,IF($J162=6,-$E162*$I162/12*2,IF($J162&gt;=7,-$E162*$I162/12*3,0))))))</f>
        <v>0</v>
      </c>
      <c r="DF162" s="442">
        <f>IF($H162&lt;&gt;DH$5,0,IF(DH162&lt;0,IF(OR($J162=1,$J162=2,$J162=3,$J162=4,$J162=5,$J162=6,$J162=7),-$E162*$I162/12*3,IF($J162=8,-$E162*$I162/12*2,IF($J162=9,-$E162*$I162/12*1,0)))))+IF(DC$5&lt;&gt;$H162,0,IF(DC162&lt;0,IF($J162=7,-$E162*$I162/12*0,IF($J162=8,-$E162*$I162/12*1,IF($J162=9,-$E162*$I162/12*2,IF($J162&gt;=10,-$E162*$I162/12*3,0))))))</f>
        <v>0</v>
      </c>
      <c r="DG162" s="443">
        <f>IF($H162&lt;&gt;DH$5,0,IF(DH162&lt;0,IF(OR($J162=1,$J162=2,$J162=3,$J162=4,$J162=5,$J162=6,$J162=7,$J162=8,$J162=9,$J162=10),-$E162*$I162/12*3,IF($J162=11,-$E162*$I162/12*2,IF($J162=12,-$E162*$I162/12*1,0)))))+IF(DC$5&lt;&gt;$H162,0,IF(DC162&lt;0,IF($J162=10,-$E162*$I162/12*0,IF($J162=11,-$E162*$I162/12*1,IF($J162=12,-$E162*$I162/12*2,0)))))</f>
        <v>0</v>
      </c>
      <c r="DH162" s="440">
        <f>IF(AND(DC162&lt;&gt;0,DC$5=$H162),-$I162*$E162-DC162,IF(DH$5=$H162,-$I162*$E162*(12-$J162+1)/12,0))</f>
        <v>0</v>
      </c>
      <c r="DI162" s="441">
        <f>IF($H162&lt;&gt;DM$5,0,IF(DM162&lt;0,IF($J162=1,-$E162*$I162/12*3,IF($J162=2,-$E162*$I162/12*2,IF($J162=3,-$E162*$I162/12*1,0)))))+IF(DH$5&lt;&gt;$H162,0,IF(DH162&lt;0,IF($J162=1,-$E162*$I162/12*0,IF($J162=2,-$E162*$I162/12*1,IF($J162=3,-$E162*$I162/12*2,IF($J162&gt;=4,-$E162*$I162/12*3,0))))))</f>
        <v>0</v>
      </c>
      <c r="DJ162" s="442">
        <f>IF($H162&lt;&gt;DM$5,0,IF(DM162&lt;0,IF(OR($J162=1,$J162=2,$J162=3,$J162=4),-$E162*$I162/12*3,IF($J162=5,-$E162*$I162/12*2,IF($J162=6,-$E162*$I162/12*1,0)))))+IF(DH$5&lt;&gt;$H162,0,IF(DH162&lt;0,IF($J162=4,-$E162*$I162/12*0,IF($J162=5,-$E162*$I162/12*1,IF($J162=6,-$E162*$I162/12*2,IF($J162&gt;=7,-$E162*$I162/12*3,0))))))</f>
        <v>0</v>
      </c>
      <c r="DK162" s="442">
        <f>IF($H162&lt;&gt;DM$5,0,IF(DM162&lt;0,IF(OR($J162=1,$J162=2,$J162=3,$J162=4,$J162=5,$J162=6,$J162=7),-$E162*$I162/12*3,IF($J162=8,-$E162*$I162/12*2,IF($J162=9,-$E162*$I162/12*1,0)))))+IF(DH$5&lt;&gt;$H162,0,IF(DH162&lt;0,IF($J162=7,-$E162*$I162/12*0,IF($J162=8,-$E162*$I162/12*1,IF($J162=9,-$E162*$I162/12*2,IF($J162&gt;=10,-$E162*$I162/12*3,0))))))</f>
        <v>0</v>
      </c>
      <c r="DL162" s="443">
        <f>IF($H162&lt;&gt;DM$5,0,IF(DM162&lt;0,IF(OR($J162=1,$J162=2,$J162=3,$J162=4,$J162=5,$J162=6,$J162=7,$J162=8,$J162=9,$J162=10),-$E162*$I162/12*3,IF($J162=11,-$E162*$I162/12*2,IF($J162=12,-$E162*$I162/12*1,0)))))+IF(DH$5&lt;&gt;$H162,0,IF(DH162&lt;0,IF($J162=10,-$E162*$I162/12*0,IF($J162=11,-$E162*$I162/12*1,IF($J162=12,-$E162*$I162/12*2,0)))))</f>
        <v>0</v>
      </c>
      <c r="DM162" s="440">
        <f>IF(AND(DH162&lt;&gt;0,DH$5=$H162),-$I162*$E162-DH162,IF(DM$5=$H162,-$I162*$E162*(12-$J162+1)/12,0))</f>
        <v>0</v>
      </c>
      <c r="DN162" s="441">
        <f>IF($H162&lt;&gt;DR$5,0,IF(DR162&lt;0,IF($J162=1,-$E162*$I162/12*3,IF($J162=2,-$E162*$I162/12*2,IF($J162=3,-$E162*$I162/12*1,0)))))+IF(DM$5&lt;&gt;$H162,0,IF(DM162&lt;0,IF($J162=1,-$E162*$I162/12*0,IF($J162=2,-$E162*$I162/12*1,IF($J162=3,-$E162*$I162/12*2,IF($J162&gt;=4,-$E162*$I162/12*3,0))))))</f>
        <v>0</v>
      </c>
      <c r="DO162" s="442">
        <f>IF($H162&lt;&gt;DR$5,0,IF(DR162&lt;0,IF(OR($J162=1,$J162=2,$J162=3,$J162=4),-$E162*$I162/12*3,IF($J162=5,-$E162*$I162/12*2,IF($J162=6,-$E162*$I162/12*1,0)))))+IF(DM$5&lt;&gt;$H162,0,IF(DM162&lt;0,IF($J162=4,-$E162*$I162/12*0,IF($J162=5,-$E162*$I162/12*1,IF($J162=6,-$E162*$I162/12*2,IF($J162&gt;=7,-$E162*$I162/12*3,0))))))</f>
        <v>0</v>
      </c>
      <c r="DP162" s="442">
        <f>IF($H162&lt;&gt;DR$5,0,IF(DR162&lt;0,IF(OR($J162=1,$J162=2,$J162=3,$J162=4,$J162=5,$J162=6,$J162=7),-$E162*$I162/12*3,IF($J162=8,-$E162*$I162/12*2,IF($J162=9,-$E162*$I162/12*1,0)))))+IF(DM$5&lt;&gt;$H162,0,IF(DM162&lt;0,IF($J162=7,-$E162*$I162/12*0,IF($J162=8,-$E162*$I162/12*1,IF($J162=9,-$E162*$I162/12*2,IF($J162&gt;=10,-$E162*$I162/12*3,0))))))</f>
        <v>0</v>
      </c>
      <c r="DQ162" s="443">
        <f>IF($H162&lt;&gt;DR$5,0,IF(DR162&lt;0,IF(OR($J162=1,$J162=2,$J162=3,$J162=4,$J162=5,$J162=6,$J162=7,$J162=8,$J162=9,$J162=10),-$E162*$I162/12*3,IF($J162=11,-$E162*$I162/12*2,IF($J162=12,-$E162*$I162/12*1,0)))))+IF(DM$5&lt;&gt;$H162,0,IF(DM162&lt;0,IF($J162=10,-$E162*$I162/12*0,IF($J162=11,-$E162*$I162/12*1,IF($J162=12,-$E162*$I162/12*2,0)))))</f>
        <v>0</v>
      </c>
      <c r="DR162" s="440">
        <f>IF(AND(DM162&lt;&gt;0,DM$5=$H162),-$I162*$E162-DM162,IF(DR$5=$H162,-$I162*$E162*(12-$J162+1)/12,0))</f>
        <v>0</v>
      </c>
    </row>
    <row r="163" spans="3:122" ht="12.75" customHeight="1">
      <c r="C163" s="1590" t="s">
        <v>992</v>
      </c>
      <c r="D163" s="395"/>
      <c r="E163" s="188">
        <f>IF(F163=0,G163,F163)</f>
        <v>2.9386909999999999</v>
      </c>
      <c r="F163" s="1945">
        <v>2.9386909999999999</v>
      </c>
      <c r="G163" s="1945">
        <v>3.883</v>
      </c>
      <c r="H163" s="1366">
        <v>2020</v>
      </c>
      <c r="I163" s="1367">
        <v>1.7260000000000001E-2</v>
      </c>
      <c r="J163" s="1357">
        <v>1</v>
      </c>
      <c r="K163" s="549"/>
      <c r="L163" s="441">
        <f t="shared" si="2019"/>
        <v>0</v>
      </c>
      <c r="M163" s="442">
        <f t="shared" si="2020"/>
        <v>0</v>
      </c>
      <c r="N163" s="442">
        <f t="shared" si="2021"/>
        <v>0</v>
      </c>
      <c r="O163" s="443">
        <f t="shared" si="2022"/>
        <v>0</v>
      </c>
      <c r="P163" s="440">
        <f t="shared" si="2023"/>
        <v>0</v>
      </c>
      <c r="Q163" s="441">
        <f t="shared" si="2024"/>
        <v>0</v>
      </c>
      <c r="R163" s="442">
        <f t="shared" si="2025"/>
        <v>0</v>
      </c>
      <c r="S163" s="442">
        <f t="shared" si="2026"/>
        <v>0</v>
      </c>
      <c r="T163" s="443">
        <f t="shared" si="2027"/>
        <v>0</v>
      </c>
      <c r="U163" s="440">
        <f t="shared" si="2028"/>
        <v>0</v>
      </c>
      <c r="V163" s="441">
        <f t="shared" si="2029"/>
        <v>0</v>
      </c>
      <c r="W163" s="442">
        <f t="shared" si="2030"/>
        <v>0</v>
      </c>
      <c r="X163" s="442">
        <f t="shared" si="2031"/>
        <v>0</v>
      </c>
      <c r="Y163" s="443">
        <f t="shared" si="2032"/>
        <v>0</v>
      </c>
      <c r="Z163" s="440">
        <f t="shared" si="2033"/>
        <v>0</v>
      </c>
      <c r="AA163" s="441">
        <f t="shared" si="2034"/>
        <v>0</v>
      </c>
      <c r="AB163" s="442">
        <f t="shared" si="2035"/>
        <v>0</v>
      </c>
      <c r="AC163" s="442">
        <f t="shared" si="2036"/>
        <v>0</v>
      </c>
      <c r="AD163" s="443">
        <f t="shared" si="2037"/>
        <v>0</v>
      </c>
      <c r="AE163" s="440">
        <f t="shared" si="2038"/>
        <v>0</v>
      </c>
      <c r="AF163" s="441">
        <f t="shared" si="2039"/>
        <v>0</v>
      </c>
      <c r="AG163" s="442">
        <f t="shared" si="2040"/>
        <v>0</v>
      </c>
      <c r="AH163" s="442">
        <f t="shared" si="2041"/>
        <v>0</v>
      </c>
      <c r="AI163" s="443">
        <f t="shared" si="2042"/>
        <v>0</v>
      </c>
      <c r="AJ163" s="440">
        <f t="shared" si="2043"/>
        <v>0</v>
      </c>
      <c r="AK163" s="441">
        <f t="shared" si="2044"/>
        <v>0</v>
      </c>
      <c r="AL163" s="442">
        <f t="shared" si="2045"/>
        <v>0</v>
      </c>
      <c r="AM163" s="442">
        <f t="shared" si="2046"/>
        <v>0</v>
      </c>
      <c r="AN163" s="443">
        <f t="shared" si="2047"/>
        <v>0</v>
      </c>
      <c r="AO163" s="440">
        <f t="shared" si="2048"/>
        <v>0</v>
      </c>
      <c r="AP163" s="441">
        <f t="shared" si="2049"/>
        <v>0</v>
      </c>
      <c r="AQ163" s="442">
        <f t="shared" si="2050"/>
        <v>0</v>
      </c>
      <c r="AR163" s="442">
        <f t="shared" si="2051"/>
        <v>0</v>
      </c>
      <c r="AS163" s="443">
        <f t="shared" si="2052"/>
        <v>0</v>
      </c>
      <c r="AT163" s="440">
        <f t="shared" si="2053"/>
        <v>0</v>
      </c>
      <c r="AU163" s="441">
        <f t="shared" si="2054"/>
        <v>0</v>
      </c>
      <c r="AV163" s="442">
        <f t="shared" si="2055"/>
        <v>0</v>
      </c>
      <c r="AW163" s="442">
        <f t="shared" si="2056"/>
        <v>0</v>
      </c>
      <c r="AX163" s="443">
        <f t="shared" si="2057"/>
        <v>0</v>
      </c>
      <c r="AY163" s="440">
        <f t="shared" si="2058"/>
        <v>0</v>
      </c>
      <c r="AZ163" s="441">
        <f t="shared" si="2059"/>
        <v>0</v>
      </c>
      <c r="BA163" s="442">
        <f t="shared" si="2060"/>
        <v>0</v>
      </c>
      <c r="BB163" s="442">
        <f t="shared" si="2061"/>
        <v>0</v>
      </c>
      <c r="BC163" s="443">
        <f t="shared" si="2062"/>
        <v>0</v>
      </c>
      <c r="BD163" s="440">
        <f t="shared" si="2063"/>
        <v>0</v>
      </c>
      <c r="BE163" s="441">
        <f t="shared" si="2064"/>
        <v>-2.9386909999999999</v>
      </c>
      <c r="BF163" s="442">
        <f t="shared" si="2065"/>
        <v>0</v>
      </c>
      <c r="BG163" s="442">
        <f t="shared" si="2066"/>
        <v>0</v>
      </c>
      <c r="BH163" s="443">
        <f t="shared" si="2067"/>
        <v>0</v>
      </c>
      <c r="BI163" s="440">
        <f t="shared" si="2068"/>
        <v>-2.9386909999999999</v>
      </c>
      <c r="BJ163" s="441">
        <f t="shared" si="2069"/>
        <v>0</v>
      </c>
      <c r="BK163" s="442">
        <f t="shared" si="2070"/>
        <v>0</v>
      </c>
      <c r="BL163" s="442">
        <f t="shared" si="2071"/>
        <v>0</v>
      </c>
      <c r="BM163" s="443">
        <f t="shared" si="2072"/>
        <v>0</v>
      </c>
      <c r="BN163" s="440">
        <f t="shared" si="2073"/>
        <v>0</v>
      </c>
      <c r="BO163" s="470"/>
      <c r="BP163" s="441">
        <f>IF($H163&lt;&gt;BT$5,0,IF(BT163&lt;0,IF($J163=1,-$E163*$I163/12*3,IF($J163=2,-$E163*$I163/12*2,IF($J163=3,-$E163*$I163/12*1,0)))))+IF(BO$5&lt;&gt;$H163,0,IF(BO163&lt;0,IF($J163=1,-$E163*$I163/12*0,IF($J163=2,-$E163*$I163/12*1,IF($J163=3,-$E163*$I163/12*2,IF($J163&gt;=4,-$E163*$I163/12*3,0))))))</f>
        <v>0</v>
      </c>
      <c r="BQ163" s="442">
        <f>IF($H163&lt;&gt;BT$5,0,IF(BT163&lt;0,IF(OR($J163=1,$J163=2,$J163=3,$J163=4),-$E163*$I163/12*3,IF($J163=5,-$E163*$I163/12*2,IF($J163=6,-$E163*$I163/12*1,0)))))+IF(BO$5&lt;&gt;$H163,0,IF(BO163&lt;0,IF($J163=4,-$E163*$I163/12*0,IF($J163=5,-$E163*$I163/12*1,IF($J163=6,-$E163*$I163/12*2,IF($J163&gt;=7,-$E163*$I163/12*3,0))))))</f>
        <v>0</v>
      </c>
      <c r="BR163" s="442">
        <f>IF($H163&lt;&gt;BT$5,0,IF(BT163&lt;0,IF(OR($J163=1,$J163=2,$J163=3,$J163=4,$J163=5,$J163=6,$J163=7),-$E163*$I163/12*3,IF($J163=8,-$E163*$I163/12*2,IF($J163=9,-$E163*$I163/12*1,0)))))+IF(BO$5&lt;&gt;$H163,0,IF(BO163&lt;0,IF($J163=7,-$E163*$I163/12*0,IF($J163=8,-$E163*$I163/12*1,IF($J163=9,-$E163*$I163/12*2,IF($J163&gt;=10,-$E163*$I163/12*3,0))))))</f>
        <v>0</v>
      </c>
      <c r="BS163" s="443">
        <f>IF($H163&lt;&gt;BT$5,0,IF(BT163&lt;0,IF(OR($J163=1,$J163=2,$J163=3,$J163=4,$J163=5,$J163=6,$J163=7,$J163=8,$J163=9,$J163=10),-$E163*$I163/12*3,IF($J163=11,-$E163*$I163/12*2,IF($J163=12,-$E163*$I163/12*1,0)))))+IF(BO$5&lt;&gt;$H163,0,IF(BO163&lt;0,IF($J163=10,-$E163*$I163/12*0,IF($J163=11,-$E163*$I163/12*1,IF($J163=12,-$E163*$I163/12*2,0)))))</f>
        <v>0</v>
      </c>
      <c r="BT163" s="440">
        <f>IF(AND(BO163&lt;&gt;0,BO$5=$H163),-$I163*$E163-BO163,IF(BT$5=$H163,-$I163*$E163*(12-$J163+1)/12,0))</f>
        <v>0</v>
      </c>
      <c r="BU163" s="441">
        <f>IF($H163&lt;&gt;BY$5,0,IF(BY163&lt;0,IF($J163=1,-$E163*$I163/12*3,IF($J163=2,-$E163*$I163/12*2,IF($J163=3,-$E163*$I163/12*1,0)))))+IF(BT$5&lt;&gt;$H163,0,IF(BT163&lt;0,IF($J163=1,-$E163*$I163/12*0,IF($J163=2,-$E163*$I163/12*1,IF($J163=3,-$E163*$I163/12*2,IF($J163&gt;=4,-$E163*$I163/12*3,0))))))</f>
        <v>0</v>
      </c>
      <c r="BV163" s="442">
        <f>IF($H163&lt;&gt;BY$5,0,IF(BY163&lt;0,IF(OR($J163=1,$J163=2,$J163=3,$J163=4),-$E163*$I163/12*3,IF($J163=5,-$E163*$I163/12*2,IF($J163=6,-$E163*$I163/12*1,0)))))+IF(BT$5&lt;&gt;$H163,0,IF(BT163&lt;0,IF($J163=4,-$E163*$I163/12*0,IF($J163=5,-$E163*$I163/12*1,IF($J163=6,-$E163*$I163/12*2,IF($J163&gt;=7,-$E163*$I163/12*3,0))))))</f>
        <v>0</v>
      </c>
      <c r="BW163" s="442">
        <f>IF($H163&lt;&gt;BY$5,0,IF(BY163&lt;0,IF(OR($J163=1,$J163=2,$J163=3,$J163=4,$J163=5,$J163=6,$J163=7),-$E163*$I163/12*3,IF($J163=8,-$E163*$I163/12*2,IF($J163=9,-$E163*$I163/12*1,0)))))+IF(BT$5&lt;&gt;$H163,0,IF(BT163&lt;0,IF($J163=7,-$E163*$I163/12*0,IF($J163=8,-$E163*$I163/12*1,IF($J163=9,-$E163*$I163/12*2,IF($J163&gt;=10,-$E163*$I163/12*3,0))))))</f>
        <v>0</v>
      </c>
      <c r="BX163" s="443">
        <f>IF($H163&lt;&gt;BY$5,0,IF(BY163&lt;0,IF(OR($J163=1,$J163=2,$J163=3,$J163=4,$J163=5,$J163=6,$J163=7,$J163=8,$J163=9,$J163=10),-$E163*$I163/12*3,IF($J163=11,-$E163*$I163/12*2,IF($J163=12,-$E163*$I163/12*1,0)))))+IF(BT$5&lt;&gt;$H163,0,IF(BT163&lt;0,IF($J163=10,-$E163*$I163/12*0,IF($J163=11,-$E163*$I163/12*1,IF($J163=12,-$E163*$I163/12*2,0)))))</f>
        <v>0</v>
      </c>
      <c r="BY163" s="440">
        <f>IF(AND(BT163&lt;&gt;0,BT$5=$H163),-$I163*$E163-BT163,IF(BY$5=$H163,-$I163*$E163*(12-$J163+1)/12,0))</f>
        <v>0</v>
      </c>
      <c r="BZ163" s="441">
        <f>IF($H163&lt;&gt;CD$5,0,IF(CD163&lt;0,IF($J163=1,-$E163*$I163/12*3,IF($J163=2,-$E163*$I163/12*2,IF($J163=3,-$E163*$I163/12*1,0)))))+IF(BY$5&lt;&gt;$H163,0,IF(BY163&lt;0,IF($J163=1,-$E163*$I163/12*0,IF($J163=2,-$E163*$I163/12*1,IF($J163=3,-$E163*$I163/12*2,IF($J163&gt;=4,-$E163*$I163/12*3,0))))))</f>
        <v>0</v>
      </c>
      <c r="CA163" s="442">
        <f>IF($H163&lt;&gt;CD$5,0,IF(CD163&lt;0,IF(OR($J163=1,$J163=2,$J163=3,$J163=4),-$E163*$I163/12*3,IF($J163=5,-$E163*$I163/12*2,IF($J163=6,-$E163*$I163/12*1,0)))))+IF(BY$5&lt;&gt;$H163,0,IF(BY163&lt;0,IF($J163=4,-$E163*$I163/12*0,IF($J163=5,-$E163*$I163/12*1,IF($J163=6,-$E163*$I163/12*2,IF($J163&gt;=7,-$E163*$I163/12*3,0))))))</f>
        <v>0</v>
      </c>
      <c r="CB163" s="442">
        <f>IF($H163&lt;&gt;CD$5,0,IF(CD163&lt;0,IF(OR($J163=1,$J163=2,$J163=3,$J163=4,$J163=5,$J163=6,$J163=7),-$E163*$I163/12*3,IF($J163=8,-$E163*$I163/12*2,IF($J163=9,-$E163*$I163/12*1,0)))))+IF(BY$5&lt;&gt;$H163,0,IF(BY163&lt;0,IF($J163=7,-$E163*$I163/12*0,IF($J163=8,-$E163*$I163/12*1,IF($J163=9,-$E163*$I163/12*2,IF($J163&gt;=10,-$E163*$I163/12*3,0))))))</f>
        <v>0</v>
      </c>
      <c r="CC163" s="443">
        <f>IF($H163&lt;&gt;CD$5,0,IF(CD163&lt;0,IF(OR($J163=1,$J163=2,$J163=3,$J163=4,$J163=5,$J163=6,$J163=7,$J163=8,$J163=9,$J163=10),-$E163*$I163/12*3,IF($J163=11,-$E163*$I163/12*2,IF($J163=12,-$E163*$I163/12*1,0)))))+IF(BY$5&lt;&gt;$H163,0,IF(BY163&lt;0,IF($J163=10,-$E163*$I163/12*0,IF($J163=11,-$E163*$I163/12*1,IF($J163=12,-$E163*$I163/12*2,0)))))</f>
        <v>0</v>
      </c>
      <c r="CD163" s="440">
        <f>IF(AND(BY163&lt;&gt;0,BY$5=$H163),-$I163*$E163-BY163,IF(CD$5=$H163,-$I163*$E163*(12-$J163+1)/12,0))</f>
        <v>0</v>
      </c>
      <c r="CE163" s="441">
        <f>IF($H163&lt;&gt;CI$5,0,IF(CI163&lt;0,IF($J163=1,-$E163*$I163/12*3,IF($J163=2,-$E163*$I163/12*2,IF($J163=3,-$E163*$I163/12*1,0)))))+IF(CD$5&lt;&gt;$H163,0,IF(CD163&lt;0,IF($J163=1,-$E163*$I163/12*0,IF($J163=2,-$E163*$I163/12*1,IF($J163=3,-$E163*$I163/12*2,IF($J163&gt;=4,-$E163*$I163/12*3,0))))))</f>
        <v>0</v>
      </c>
      <c r="CF163" s="442">
        <f>IF($H163&lt;&gt;CI$5,0,IF(CI163&lt;0,IF(OR($J163=1,$J163=2,$J163=3,$J163=4),-$E163*$I163/12*3,IF($J163=5,-$E163*$I163/12*2,IF($J163=6,-$E163*$I163/12*1,0)))))+IF(CD$5&lt;&gt;$H163,0,IF(CD163&lt;0,IF($J163=4,-$E163*$I163/12*0,IF($J163=5,-$E163*$I163/12*1,IF($J163=6,-$E163*$I163/12*2,IF($J163&gt;=7,-$E163*$I163/12*3,0))))))</f>
        <v>0</v>
      </c>
      <c r="CG163" s="442">
        <f>IF($H163&lt;&gt;CI$5,0,IF(CI163&lt;0,IF(OR($J163=1,$J163=2,$J163=3,$J163=4,$J163=5,$J163=6,$J163=7),-$E163*$I163/12*3,IF($J163=8,-$E163*$I163/12*2,IF($J163=9,-$E163*$I163/12*1,0)))))+IF(CD$5&lt;&gt;$H163,0,IF(CD163&lt;0,IF($J163=7,-$E163*$I163/12*0,IF($J163=8,-$E163*$I163/12*1,IF($J163=9,-$E163*$I163/12*2,IF($J163&gt;=10,-$E163*$I163/12*3,0))))))</f>
        <v>0</v>
      </c>
      <c r="CH163" s="443">
        <f>IF($H163&lt;&gt;CI$5,0,IF(CI163&lt;0,IF(OR($J163=1,$J163=2,$J163=3,$J163=4,$J163=5,$J163=6,$J163=7,$J163=8,$J163=9,$J163=10),-$E163*$I163/12*3,IF($J163=11,-$E163*$I163/12*2,IF($J163=12,-$E163*$I163/12*1,0)))))+IF(CD$5&lt;&gt;$H163,0,IF(CD163&lt;0,IF($J163=10,-$E163*$I163/12*0,IF($J163=11,-$E163*$I163/12*1,IF($J163=12,-$E163*$I163/12*2,0)))))</f>
        <v>0</v>
      </c>
      <c r="CI163" s="440">
        <f>IF(AND(CD163&lt;&gt;0,CD$5=$H163),-$I163*$E163-CD163,IF(CI$5=$H163,-$I163*$E163*(12-$J163+1)/12,0))</f>
        <v>0</v>
      </c>
      <c r="CJ163" s="441">
        <f>IF($H163&lt;&gt;CN$5,0,IF(CN163&lt;0,IF($J163=1,-$E163*$I163/12*3,IF($J163=2,-$E163*$I163/12*2,IF($J163=3,-$E163*$I163/12*1,0)))))+IF(CI$5&lt;&gt;$H163,0,IF(CI163&lt;0,IF($J163=1,-$E163*$I163/12*0,IF($J163=2,-$E163*$I163/12*1,IF($J163=3,-$E163*$I163/12*2,IF($J163&gt;=4,-$E163*$I163/12*3,0))))))</f>
        <v>0</v>
      </c>
      <c r="CK163" s="442">
        <f>IF($H163&lt;&gt;CN$5,0,IF(CN163&lt;0,IF(OR($J163=1,$J163=2,$J163=3,$J163=4),-$E163*$I163/12*3,IF($J163=5,-$E163*$I163/12*2,IF($J163=6,-$E163*$I163/12*1,0)))))+IF(CI$5&lt;&gt;$H163,0,IF(CI163&lt;0,IF($J163=4,-$E163*$I163/12*0,IF($J163=5,-$E163*$I163/12*1,IF($J163=6,-$E163*$I163/12*2,IF($J163&gt;=7,-$E163*$I163/12*3,0))))))</f>
        <v>0</v>
      </c>
      <c r="CL163" s="442">
        <f>IF($H163&lt;&gt;CN$5,0,IF(CN163&lt;0,IF(OR($J163=1,$J163=2,$J163=3,$J163=4,$J163=5,$J163=6,$J163=7),-$E163*$I163/12*3,IF($J163=8,-$E163*$I163/12*2,IF($J163=9,-$E163*$I163/12*1,0)))))+IF(CI$5&lt;&gt;$H163,0,IF(CI163&lt;0,IF($J163=7,-$E163*$I163/12*0,IF($J163=8,-$E163*$I163/12*1,IF($J163=9,-$E163*$I163/12*2,IF($J163&gt;=10,-$E163*$I163/12*3,0))))))</f>
        <v>0</v>
      </c>
      <c r="CM163" s="443">
        <f>IF($H163&lt;&gt;CN$5,0,IF(CN163&lt;0,IF(OR($J163=1,$J163=2,$J163=3,$J163=4,$J163=5,$J163=6,$J163=7,$J163=8,$J163=9,$J163=10),-$E163*$I163/12*3,IF($J163=11,-$E163*$I163/12*2,IF($J163=12,-$E163*$I163/12*1,0)))))+IF(CI$5&lt;&gt;$H163,0,IF(CI163&lt;0,IF($J163=10,-$E163*$I163/12*0,IF($J163=11,-$E163*$I163/12*1,IF($J163=12,-$E163*$I163/12*2,0)))))</f>
        <v>0</v>
      </c>
      <c r="CN163" s="440">
        <f>IF(AND(CI163&lt;&gt;0,CI$5=$H163),-$I163*$E163-CI163,IF(CN$5=$H163,-$I163*$E163*(12-$J163+1)/12,0))</f>
        <v>0</v>
      </c>
      <c r="CO163" s="441">
        <f>IF($H163&lt;&gt;CS$5,0,IF(CS163&lt;0,IF($J163=1,-$E163*$I163/12*3,IF($J163=2,-$E163*$I163/12*2,IF($J163=3,-$E163*$I163/12*1,0)))))+IF(CN$5&lt;&gt;$H163,0,IF(CN163&lt;0,IF($J163=1,-$E163*$I163/12*0,IF($J163=2,-$E163*$I163/12*1,IF($J163=3,-$E163*$I163/12*2,IF($J163&gt;=4,-$E163*$I163/12*3,0))))))</f>
        <v>0</v>
      </c>
      <c r="CP163" s="442">
        <f>IF($H163&lt;&gt;CS$5,0,IF(CS163&lt;0,IF(OR($J163=1,$J163=2,$J163=3,$J163=4),-$E163*$I163/12*3,IF($J163=5,-$E163*$I163/12*2,IF($J163=6,-$E163*$I163/12*1,0)))))+IF(CN$5&lt;&gt;$H163,0,IF(CN163&lt;0,IF($J163=4,-$E163*$I163/12*0,IF($J163=5,-$E163*$I163/12*1,IF($J163=6,-$E163*$I163/12*2,IF($J163&gt;=7,-$E163*$I163/12*3,0))))))</f>
        <v>0</v>
      </c>
      <c r="CQ163" s="442">
        <f>IF($H163&lt;&gt;CS$5,0,IF(CS163&lt;0,IF(OR($J163=1,$J163=2,$J163=3,$J163=4,$J163=5,$J163=6,$J163=7),-$E163*$I163/12*3,IF($J163=8,-$E163*$I163/12*2,IF($J163=9,-$E163*$I163/12*1,0)))))+IF(CN$5&lt;&gt;$H163,0,IF(CN163&lt;0,IF($J163=7,-$E163*$I163/12*0,IF($J163=8,-$E163*$I163/12*1,IF($J163=9,-$E163*$I163/12*2,IF($J163&gt;=10,-$E163*$I163/12*3,0))))))</f>
        <v>0</v>
      </c>
      <c r="CR163" s="443">
        <f>IF($H163&lt;&gt;CS$5,0,IF(CS163&lt;0,IF(OR($J163=1,$J163=2,$J163=3,$J163=4,$J163=5,$J163=6,$J163=7,$J163=8,$J163=9,$J163=10),-$E163*$I163/12*3,IF($J163=11,-$E163*$I163/12*2,IF($J163=12,-$E163*$I163/12*1,0)))))+IF(CN$5&lt;&gt;$H163,0,IF(CN163&lt;0,IF($J163=10,-$E163*$I163/12*0,IF($J163=11,-$E163*$I163/12*1,IF($J163=12,-$E163*$I163/12*2,0)))))</f>
        <v>0</v>
      </c>
      <c r="CS163" s="440">
        <f>IF(AND(CN163&lt;&gt;0,CN$5=$H163),-$I163*$E163-CN163,IF(CS$5=$H163,-$I163*$E163*(12-$J163+1)/12,0))</f>
        <v>0</v>
      </c>
      <c r="CT163" s="441">
        <f>IF($H163&lt;&gt;CX$5,0,IF(CX163&lt;0,IF($J163=1,-$E163*$I163/12*3,IF($J163=2,-$E163*$I163/12*2,IF($J163=3,-$E163*$I163/12*1,0)))))+IF(CS$5&lt;&gt;$H163,0,IF(CS163&lt;0,IF($J163=1,-$E163*$I163/12*0,IF($J163=2,-$E163*$I163/12*1,IF($J163=3,-$E163*$I163/12*2,IF($J163&gt;=4,-$E163*$I163/12*3,0))))))</f>
        <v>0</v>
      </c>
      <c r="CU163" s="442">
        <f>IF($H163&lt;&gt;CX$5,0,IF(CX163&lt;0,IF(OR($J163=1,$J163=2,$J163=3,$J163=4),-$E163*$I163/12*3,IF($J163=5,-$E163*$I163/12*2,IF($J163=6,-$E163*$I163/12*1,0)))))+IF(CS$5&lt;&gt;$H163,0,IF(CS163&lt;0,IF($J163=4,-$E163*$I163/12*0,IF($J163=5,-$E163*$I163/12*1,IF($J163=6,-$E163*$I163/12*2,IF($J163&gt;=7,-$E163*$I163/12*3,0))))))</f>
        <v>0</v>
      </c>
      <c r="CV163" s="442">
        <f>IF($H163&lt;&gt;CX$5,0,IF(CX163&lt;0,IF(OR($J163=1,$J163=2,$J163=3,$J163=4,$J163=5,$J163=6,$J163=7),-$E163*$I163/12*3,IF($J163=8,-$E163*$I163/12*2,IF($J163=9,-$E163*$I163/12*1,0)))))+IF(CS$5&lt;&gt;$H163,0,IF(CS163&lt;0,IF($J163=7,-$E163*$I163/12*0,IF($J163=8,-$E163*$I163/12*1,IF($J163=9,-$E163*$I163/12*2,IF($J163&gt;=10,-$E163*$I163/12*3,0))))))</f>
        <v>0</v>
      </c>
      <c r="CW163" s="443">
        <f>IF($H163&lt;&gt;CX$5,0,IF(CX163&lt;0,IF(OR($J163=1,$J163=2,$J163=3,$J163=4,$J163=5,$J163=6,$J163=7,$J163=8,$J163=9,$J163=10),-$E163*$I163/12*3,IF($J163=11,-$E163*$I163/12*2,IF($J163=12,-$E163*$I163/12*1,0)))))+IF(CS$5&lt;&gt;$H163,0,IF(CS163&lt;0,IF($J163=10,-$E163*$I163/12*0,IF($J163=11,-$E163*$I163/12*1,IF($J163=12,-$E163*$I163/12*2,0)))))</f>
        <v>0</v>
      </c>
      <c r="CX163" s="440">
        <f>IF(AND(CS163&lt;&gt;0,CS$5=$H163),-$I163*$E163-CS163,IF(CX$5=$H163,-$I163*$E163*(12-$J163+1)/12,0))</f>
        <v>0</v>
      </c>
      <c r="CY163" s="441">
        <f>IF($H163&lt;&gt;DC$5,0,IF(DC163&lt;0,IF($J163=1,-$E163*$I163/12*3,IF($J163=2,-$E163*$I163/12*2,IF($J163=3,-$E163*$I163/12*1,0)))))+IF(CX$5&lt;&gt;$H163,0,IF(CX163&lt;0,IF($J163=1,-$E163*$I163/12*0,IF($J163=2,-$E163*$I163/12*1,IF($J163=3,-$E163*$I163/12*2,IF($J163&gt;=4,-$E163*$I163/12*3,0))))))</f>
        <v>0</v>
      </c>
      <c r="CZ163" s="442">
        <f>IF($H163&lt;&gt;DC$5,0,IF(DC163&lt;0,IF(OR($J163=1,$J163=2,$J163=3,$J163=4),-$E163*$I163/12*3,IF($J163=5,-$E163*$I163/12*2,IF($J163=6,-$E163*$I163/12*1,0)))))+IF(CX$5&lt;&gt;$H163,0,IF(CX163&lt;0,IF($J163=4,-$E163*$I163/12*0,IF($J163=5,-$E163*$I163/12*1,IF($J163=6,-$E163*$I163/12*2,IF($J163&gt;=7,-$E163*$I163/12*3,0))))))</f>
        <v>0</v>
      </c>
      <c r="DA163" s="442">
        <f>IF($H163&lt;&gt;DC$5,0,IF(DC163&lt;0,IF(OR($J163=1,$J163=2,$J163=3,$J163=4,$J163=5,$J163=6,$J163=7),-$E163*$I163/12*3,IF($J163=8,-$E163*$I163/12*2,IF($J163=9,-$E163*$I163/12*1,0)))))+IF(CX$5&lt;&gt;$H163,0,IF(CX163&lt;0,IF($J163=7,-$E163*$I163/12*0,IF($J163=8,-$E163*$I163/12*1,IF($J163=9,-$E163*$I163/12*2,IF($J163&gt;=10,-$E163*$I163/12*3,0))))))</f>
        <v>0</v>
      </c>
      <c r="DB163" s="443">
        <f>IF($H163&lt;&gt;DC$5,0,IF(DC163&lt;0,IF(OR($J163=1,$J163=2,$J163=3,$J163=4,$J163=5,$J163=6,$J163=7,$J163=8,$J163=9,$J163=10),-$E163*$I163/12*3,IF($J163=11,-$E163*$I163/12*2,IF($J163=12,-$E163*$I163/12*1,0)))))+IF(CX$5&lt;&gt;$H163,0,IF(CX163&lt;0,IF($J163=10,-$E163*$I163/12*0,IF($J163=11,-$E163*$I163/12*1,IF($J163=12,-$E163*$I163/12*2,0)))))</f>
        <v>0</v>
      </c>
      <c r="DC163" s="440">
        <f>IF(AND(CX163&lt;&gt;0,CX$5=$H163),-$I163*$E163-CX163,IF(DC$5=$H163,-$I163*$E163*(12-$J163+1)/12,0))</f>
        <v>0</v>
      </c>
      <c r="DD163" s="441">
        <f>IF($H163&lt;&gt;DH$5,0,IF(DH163&lt;0,IF($J163=1,-$E163*$I163/12*3,IF($J163=2,-$E163*$I163/12*2,IF($J163=3,-$E163*$I163/12*1,0)))))+IF(DC$5&lt;&gt;$H163,0,IF(DC163&lt;0,IF($J163=1,-$E163*$I163/12*0,IF($J163=2,-$E163*$I163/12*1,IF($J163=3,-$E163*$I163/12*2,IF($J163&gt;=4,-$E163*$I163/12*3,0))))))</f>
        <v>0</v>
      </c>
      <c r="DE163" s="442">
        <f>IF($H163&lt;&gt;DH$5,0,IF(DH163&lt;0,IF(OR($J163=1,$J163=2,$J163=3,$J163=4),-$E163*$I163/12*3,IF($J163=5,-$E163*$I163/12*2,IF($J163=6,-$E163*$I163/12*1,0)))))+IF(DC$5&lt;&gt;$H163,0,IF(DC163&lt;0,IF($J163=4,-$E163*$I163/12*0,IF($J163=5,-$E163*$I163/12*1,IF($J163=6,-$E163*$I163/12*2,IF($J163&gt;=7,-$E163*$I163/12*3,0))))))</f>
        <v>0</v>
      </c>
      <c r="DF163" s="442">
        <f>IF($H163&lt;&gt;DH$5,0,IF(DH163&lt;0,IF(OR($J163=1,$J163=2,$J163=3,$J163=4,$J163=5,$J163=6,$J163=7),-$E163*$I163/12*3,IF($J163=8,-$E163*$I163/12*2,IF($J163=9,-$E163*$I163/12*1,0)))))+IF(DC$5&lt;&gt;$H163,0,IF(DC163&lt;0,IF($J163=7,-$E163*$I163/12*0,IF($J163=8,-$E163*$I163/12*1,IF($J163=9,-$E163*$I163/12*2,IF($J163&gt;=10,-$E163*$I163/12*3,0))))))</f>
        <v>0</v>
      </c>
      <c r="DG163" s="443">
        <f>IF($H163&lt;&gt;DH$5,0,IF(DH163&lt;0,IF(OR($J163=1,$J163=2,$J163=3,$J163=4,$J163=5,$J163=6,$J163=7,$J163=8,$J163=9,$J163=10),-$E163*$I163/12*3,IF($J163=11,-$E163*$I163/12*2,IF($J163=12,-$E163*$I163/12*1,0)))))+IF(DC$5&lt;&gt;$H163,0,IF(DC163&lt;0,IF($J163=10,-$E163*$I163/12*0,IF($J163=11,-$E163*$I163/12*1,IF($J163=12,-$E163*$I163/12*2,0)))))</f>
        <v>0</v>
      </c>
      <c r="DH163" s="440">
        <f>IF(AND(DC163&lt;&gt;0,DC$5=$H163),-$I163*$E163-DC163,IF(DH$5=$H163,-$I163*$E163*(12-$J163+1)/12,0))</f>
        <v>0</v>
      </c>
      <c r="DI163" s="441">
        <f>IF($H163&lt;&gt;DM$5,0,IF(DM163&lt;0,IF($J163=1,-$E163*$I163/12*3,IF($J163=2,-$E163*$I163/12*2,IF($J163=3,-$E163*$I163/12*1,0)))))+IF(DH$5&lt;&gt;$H163,0,IF(DH163&lt;0,IF($J163=1,-$E163*$I163/12*0,IF($J163=2,-$E163*$I163/12*1,IF($J163=3,-$E163*$I163/12*2,IF($J163&gt;=4,-$E163*$I163/12*3,0))))))</f>
        <v>-1.2680451665E-2</v>
      </c>
      <c r="DJ163" s="442">
        <f>IF($H163&lt;&gt;DM$5,0,IF(DM163&lt;0,IF(OR($J163=1,$J163=2,$J163=3,$J163=4),-$E163*$I163/12*3,IF($J163=5,-$E163*$I163/12*2,IF($J163=6,-$E163*$I163/12*1,0)))))+IF(DH$5&lt;&gt;$H163,0,IF(DH163&lt;0,IF($J163=4,-$E163*$I163/12*0,IF($J163=5,-$E163*$I163/12*1,IF($J163=6,-$E163*$I163/12*2,IF($J163&gt;=7,-$E163*$I163/12*3,0))))))</f>
        <v>-1.2680451665E-2</v>
      </c>
      <c r="DK163" s="442">
        <f>IF($H163&lt;&gt;DM$5,0,IF(DM163&lt;0,IF(OR($J163=1,$J163=2,$J163=3,$J163=4,$J163=5,$J163=6,$J163=7),-$E163*$I163/12*3,IF($J163=8,-$E163*$I163/12*2,IF($J163=9,-$E163*$I163/12*1,0)))))+IF(DH$5&lt;&gt;$H163,0,IF(DH163&lt;0,IF($J163=7,-$E163*$I163/12*0,IF($J163=8,-$E163*$I163/12*1,IF($J163=9,-$E163*$I163/12*2,IF($J163&gt;=10,-$E163*$I163/12*3,0))))))</f>
        <v>-1.2680451665E-2</v>
      </c>
      <c r="DL163" s="443">
        <f>IF($H163&lt;&gt;DM$5,0,IF(DM163&lt;0,IF(OR($J163=1,$J163=2,$J163=3,$J163=4,$J163=5,$J163=6,$J163=7,$J163=8,$J163=9,$J163=10),-$E163*$I163/12*3,IF($J163=11,-$E163*$I163/12*2,IF($J163=12,-$E163*$I163/12*1,0)))))+IF(DH$5&lt;&gt;$H163,0,IF(DH163&lt;0,IF($J163=10,-$E163*$I163/12*0,IF($J163=11,-$E163*$I163/12*1,IF($J163=12,-$E163*$I163/12*2,0)))))</f>
        <v>-1.2680451665E-2</v>
      </c>
      <c r="DM163" s="440">
        <f>IF(AND(DH163&lt;&gt;0,DH$5=$H163),-$I163*$E163-DH163,IF(DM$5=$H163,-$I163*$E163*(12-$J163+1)/12,0))</f>
        <v>-5.072180666E-2</v>
      </c>
      <c r="DN163" s="441">
        <f>IF($H163&lt;&gt;DR$5,0,IF(DR163&lt;0,IF($J163=1,-$E163*$I163/12*3,IF($J163=2,-$E163*$I163/12*2,IF($J163=3,-$E163*$I163/12*1,0)))))+IF(DM$5&lt;&gt;$H163,0,IF(DM163&lt;0,IF($J163=1,-$E163*$I163/12*0,IF($J163=2,-$E163*$I163/12*1,IF($J163=3,-$E163*$I163/12*2,IF($J163&gt;=4,-$E163*$I163/12*3,0))))))</f>
        <v>0</v>
      </c>
      <c r="DO163" s="442">
        <f>IF($H163&lt;&gt;DR$5,0,IF(DR163&lt;0,IF(OR($J163=1,$J163=2,$J163=3,$J163=4),-$E163*$I163/12*3,IF($J163=5,-$E163*$I163/12*2,IF($J163=6,-$E163*$I163/12*1,0)))))+IF(DM$5&lt;&gt;$H163,0,IF(DM163&lt;0,IF($J163=4,-$E163*$I163/12*0,IF($J163=5,-$E163*$I163/12*1,IF($J163=6,-$E163*$I163/12*2,IF($J163&gt;=7,-$E163*$I163/12*3,0))))))</f>
        <v>0</v>
      </c>
      <c r="DP163" s="442">
        <f>IF($H163&lt;&gt;DR$5,0,IF(DR163&lt;0,IF(OR($J163=1,$J163=2,$J163=3,$J163=4,$J163=5,$J163=6,$J163=7),-$E163*$I163/12*3,IF($J163=8,-$E163*$I163/12*2,IF($J163=9,-$E163*$I163/12*1,0)))))+IF(DM$5&lt;&gt;$H163,0,IF(DM163&lt;0,IF($J163=7,-$E163*$I163/12*0,IF($J163=8,-$E163*$I163/12*1,IF($J163=9,-$E163*$I163/12*2,IF($J163&gt;=10,-$E163*$I163/12*3,0))))))</f>
        <v>0</v>
      </c>
      <c r="DQ163" s="443">
        <f>IF($H163&lt;&gt;DR$5,0,IF(DR163&lt;0,IF(OR($J163=1,$J163=2,$J163=3,$J163=4,$J163=5,$J163=6,$J163=7,$J163=8,$J163=9,$J163=10),-$E163*$I163/12*3,IF($J163=11,-$E163*$I163/12*2,IF($J163=12,-$E163*$I163/12*1,0)))))+IF(DM$5&lt;&gt;$H163,0,IF(DM163&lt;0,IF($J163=10,-$E163*$I163/12*0,IF($J163=11,-$E163*$I163/12*1,IF($J163=12,-$E163*$I163/12*2,0)))))</f>
        <v>0</v>
      </c>
      <c r="DR163" s="440">
        <f>IF(AND(DM163&lt;&gt;0,DM$5=$H163),-$I163*$E163-DM163,IF(DR$5=$H163,-$I163*$E163*(12-$J163+1)/12,0))</f>
        <v>0</v>
      </c>
    </row>
    <row r="164" spans="3:122" ht="12.75" customHeight="1">
      <c r="C164" s="1590" t="s">
        <v>991</v>
      </c>
      <c r="D164" s="395"/>
      <c r="E164" s="188">
        <f>IF(F164=0,G164,F164)</f>
        <v>35.710999999999999</v>
      </c>
      <c r="F164" s="1945">
        <v>35.710999999999999</v>
      </c>
      <c r="G164" s="1945">
        <v>35.710999999999999</v>
      </c>
      <c r="H164" s="1366">
        <v>2034</v>
      </c>
      <c r="I164" s="1367">
        <v>3.4500000000000003E-2</v>
      </c>
      <c r="J164" s="1357">
        <v>1</v>
      </c>
      <c r="K164" s="549"/>
      <c r="L164" s="441">
        <f t="shared" si="2019"/>
        <v>0</v>
      </c>
      <c r="M164" s="442">
        <f t="shared" si="2020"/>
        <v>0</v>
      </c>
      <c r="N164" s="442">
        <f t="shared" si="2021"/>
        <v>0</v>
      </c>
      <c r="O164" s="443">
        <f t="shared" si="2022"/>
        <v>0</v>
      </c>
      <c r="P164" s="440">
        <f t="shared" si="2023"/>
        <v>0</v>
      </c>
      <c r="Q164" s="441">
        <f t="shared" si="2024"/>
        <v>0</v>
      </c>
      <c r="R164" s="442">
        <f t="shared" si="2025"/>
        <v>0</v>
      </c>
      <c r="S164" s="442">
        <f t="shared" si="2026"/>
        <v>0</v>
      </c>
      <c r="T164" s="443">
        <f t="shared" si="2027"/>
        <v>0</v>
      </c>
      <c r="U164" s="440">
        <f t="shared" si="2028"/>
        <v>0</v>
      </c>
      <c r="V164" s="441">
        <f t="shared" si="2029"/>
        <v>0</v>
      </c>
      <c r="W164" s="442">
        <f t="shared" si="2030"/>
        <v>0</v>
      </c>
      <c r="X164" s="442">
        <f t="shared" si="2031"/>
        <v>0</v>
      </c>
      <c r="Y164" s="443">
        <f t="shared" si="2032"/>
        <v>0</v>
      </c>
      <c r="Z164" s="440">
        <f t="shared" si="2033"/>
        <v>0</v>
      </c>
      <c r="AA164" s="441">
        <f t="shared" si="2034"/>
        <v>0</v>
      </c>
      <c r="AB164" s="442">
        <f t="shared" si="2035"/>
        <v>0</v>
      </c>
      <c r="AC164" s="442">
        <f t="shared" si="2036"/>
        <v>0</v>
      </c>
      <c r="AD164" s="443">
        <f t="shared" si="2037"/>
        <v>0</v>
      </c>
      <c r="AE164" s="440">
        <f t="shared" si="2038"/>
        <v>0</v>
      </c>
      <c r="AF164" s="441">
        <f t="shared" si="2039"/>
        <v>0</v>
      </c>
      <c r="AG164" s="442">
        <f t="shared" si="2040"/>
        <v>0</v>
      </c>
      <c r="AH164" s="442">
        <f t="shared" si="2041"/>
        <v>0</v>
      </c>
      <c r="AI164" s="443">
        <f t="shared" si="2042"/>
        <v>0</v>
      </c>
      <c r="AJ164" s="440">
        <f t="shared" si="2043"/>
        <v>0</v>
      </c>
      <c r="AK164" s="441">
        <f t="shared" si="2044"/>
        <v>0</v>
      </c>
      <c r="AL164" s="442">
        <f t="shared" si="2045"/>
        <v>0</v>
      </c>
      <c r="AM164" s="442">
        <f t="shared" si="2046"/>
        <v>0</v>
      </c>
      <c r="AN164" s="443">
        <f t="shared" si="2047"/>
        <v>0</v>
      </c>
      <c r="AO164" s="440">
        <f t="shared" si="2048"/>
        <v>0</v>
      </c>
      <c r="AP164" s="441">
        <f t="shared" si="2049"/>
        <v>0</v>
      </c>
      <c r="AQ164" s="442">
        <f t="shared" si="2050"/>
        <v>0</v>
      </c>
      <c r="AR164" s="442">
        <f t="shared" si="2051"/>
        <v>0</v>
      </c>
      <c r="AS164" s="443">
        <f t="shared" si="2052"/>
        <v>0</v>
      </c>
      <c r="AT164" s="440">
        <f t="shared" si="2053"/>
        <v>0</v>
      </c>
      <c r="AU164" s="441">
        <f t="shared" si="2054"/>
        <v>0</v>
      </c>
      <c r="AV164" s="442">
        <f t="shared" si="2055"/>
        <v>0</v>
      </c>
      <c r="AW164" s="442">
        <f t="shared" si="2056"/>
        <v>0</v>
      </c>
      <c r="AX164" s="443">
        <f t="shared" si="2057"/>
        <v>0</v>
      </c>
      <c r="AY164" s="440">
        <f t="shared" si="2058"/>
        <v>0</v>
      </c>
      <c r="AZ164" s="441">
        <f t="shared" si="2059"/>
        <v>0</v>
      </c>
      <c r="BA164" s="442">
        <f t="shared" si="2060"/>
        <v>0</v>
      </c>
      <c r="BB164" s="442">
        <f t="shared" si="2061"/>
        <v>0</v>
      </c>
      <c r="BC164" s="443">
        <f t="shared" si="2062"/>
        <v>0</v>
      </c>
      <c r="BD164" s="440">
        <f t="shared" si="2063"/>
        <v>0</v>
      </c>
      <c r="BE164" s="441">
        <f t="shared" si="2064"/>
        <v>0</v>
      </c>
      <c r="BF164" s="442">
        <f t="shared" si="2065"/>
        <v>0</v>
      </c>
      <c r="BG164" s="442">
        <f t="shared" si="2066"/>
        <v>0</v>
      </c>
      <c r="BH164" s="443">
        <f t="shared" si="2067"/>
        <v>0</v>
      </c>
      <c r="BI164" s="440">
        <f t="shared" si="2068"/>
        <v>0</v>
      </c>
      <c r="BJ164" s="441">
        <f t="shared" si="2069"/>
        <v>0</v>
      </c>
      <c r="BK164" s="442">
        <f t="shared" si="2070"/>
        <v>0</v>
      </c>
      <c r="BL164" s="442">
        <f t="shared" si="2071"/>
        <v>0</v>
      </c>
      <c r="BM164" s="443">
        <f t="shared" si="2072"/>
        <v>0</v>
      </c>
      <c r="BN164" s="440">
        <f t="shared" si="2073"/>
        <v>0</v>
      </c>
      <c r="BO164" s="470"/>
      <c r="BP164" s="441">
        <f>IF($H164&lt;&gt;BT$5,0,IF(BT164&lt;0,IF($J164=1,-$E164*$I164/12*3,IF($J164=2,-$E164*$I164/12*2,IF($J164=3,-$E164*$I164/12*1,0)))))+IF(BO$5&lt;&gt;$H164,0,IF(BO164&lt;0,IF($J164=1,-$E164*$I164/12*0,IF($J164=2,-$E164*$I164/12*1,IF($J164=3,-$E164*$I164/12*2,IF($J164&gt;=4,-$E164*$I164/12*3,0))))))</f>
        <v>0</v>
      </c>
      <c r="BQ164" s="442">
        <f>IF($H164&lt;&gt;BT$5,0,IF(BT164&lt;0,IF(OR($J164=1,$J164=2,$J164=3,$J164=4),-$E164*$I164/12*3,IF($J164=5,-$E164*$I164/12*2,IF($J164=6,-$E164*$I164/12*1,0)))))+IF(BO$5&lt;&gt;$H164,0,IF(BO164&lt;0,IF($J164=4,-$E164*$I164/12*0,IF($J164=5,-$E164*$I164/12*1,IF($J164=6,-$E164*$I164/12*2,IF($J164&gt;=7,-$E164*$I164/12*3,0))))))</f>
        <v>0</v>
      </c>
      <c r="BR164" s="442">
        <f>IF($H164&lt;&gt;BT$5,0,IF(BT164&lt;0,IF(OR($J164=1,$J164=2,$J164=3,$J164=4,$J164=5,$J164=6,$J164=7),-$E164*$I164/12*3,IF($J164=8,-$E164*$I164/12*2,IF($J164=9,-$E164*$I164/12*1,0)))))+IF(BO$5&lt;&gt;$H164,0,IF(BO164&lt;0,IF($J164=7,-$E164*$I164/12*0,IF($J164=8,-$E164*$I164/12*1,IF($J164=9,-$E164*$I164/12*2,IF($J164&gt;=10,-$E164*$I164/12*3,0))))))</f>
        <v>0</v>
      </c>
      <c r="BS164" s="443">
        <f>IF($H164&lt;&gt;BT$5,0,IF(BT164&lt;0,IF(OR($J164=1,$J164=2,$J164=3,$J164=4,$J164=5,$J164=6,$J164=7,$J164=8,$J164=9,$J164=10),-$E164*$I164/12*3,IF($J164=11,-$E164*$I164/12*2,IF($J164=12,-$E164*$I164/12*1,0)))))+IF(BO$5&lt;&gt;$H164,0,IF(BO164&lt;0,IF($J164=10,-$E164*$I164/12*0,IF($J164=11,-$E164*$I164/12*1,IF($J164=12,-$E164*$I164/12*2,0)))))</f>
        <v>0</v>
      </c>
      <c r="BT164" s="440">
        <f>IF(AND(BO164&lt;&gt;0,BO$5=$H164),-$I164*$E164-BO164,IF(BT$5=$H164,-$I164*$E164*(12-$J164+1)/12,0))</f>
        <v>0</v>
      </c>
      <c r="BU164" s="441">
        <f>IF($H164&lt;&gt;BY$5,0,IF(BY164&lt;0,IF($J164=1,-$E164*$I164/12*3,IF($J164=2,-$E164*$I164/12*2,IF($J164=3,-$E164*$I164/12*1,0)))))+IF(BT$5&lt;&gt;$H164,0,IF(BT164&lt;0,IF($J164=1,-$E164*$I164/12*0,IF($J164=2,-$E164*$I164/12*1,IF($J164=3,-$E164*$I164/12*2,IF($J164&gt;=4,-$E164*$I164/12*3,0))))))</f>
        <v>0</v>
      </c>
      <c r="BV164" s="442">
        <f>IF($H164&lt;&gt;BY$5,0,IF(BY164&lt;0,IF(OR($J164=1,$J164=2,$J164=3,$J164=4),-$E164*$I164/12*3,IF($J164=5,-$E164*$I164/12*2,IF($J164=6,-$E164*$I164/12*1,0)))))+IF(BT$5&lt;&gt;$H164,0,IF(BT164&lt;0,IF($J164=4,-$E164*$I164/12*0,IF($J164=5,-$E164*$I164/12*1,IF($J164=6,-$E164*$I164/12*2,IF($J164&gt;=7,-$E164*$I164/12*3,0))))))</f>
        <v>0</v>
      </c>
      <c r="BW164" s="442">
        <f>IF($H164&lt;&gt;BY$5,0,IF(BY164&lt;0,IF(OR($J164=1,$J164=2,$J164=3,$J164=4,$J164=5,$J164=6,$J164=7),-$E164*$I164/12*3,IF($J164=8,-$E164*$I164/12*2,IF($J164=9,-$E164*$I164/12*1,0)))))+IF(BT$5&lt;&gt;$H164,0,IF(BT164&lt;0,IF($J164=7,-$E164*$I164/12*0,IF($J164=8,-$E164*$I164/12*1,IF($J164=9,-$E164*$I164/12*2,IF($J164&gt;=10,-$E164*$I164/12*3,0))))))</f>
        <v>0</v>
      </c>
      <c r="BX164" s="443">
        <f>IF($H164&lt;&gt;BY$5,0,IF(BY164&lt;0,IF(OR($J164=1,$J164=2,$J164=3,$J164=4,$J164=5,$J164=6,$J164=7,$J164=8,$J164=9,$J164=10),-$E164*$I164/12*3,IF($J164=11,-$E164*$I164/12*2,IF($J164=12,-$E164*$I164/12*1,0)))))+IF(BT$5&lt;&gt;$H164,0,IF(BT164&lt;0,IF($J164=10,-$E164*$I164/12*0,IF($J164=11,-$E164*$I164/12*1,IF($J164=12,-$E164*$I164/12*2,0)))))</f>
        <v>0</v>
      </c>
      <c r="BY164" s="440">
        <f>IF(AND(BT164&lt;&gt;0,BT$5=$H164),-$I164*$E164-BT164,IF(BY$5=$H164,-$I164*$E164*(12-$J164+1)/12,0))</f>
        <v>0</v>
      </c>
      <c r="BZ164" s="441">
        <f>IF($H164&lt;&gt;CD$5,0,IF(CD164&lt;0,IF($J164=1,-$E164*$I164/12*3,IF($J164=2,-$E164*$I164/12*2,IF($J164=3,-$E164*$I164/12*1,0)))))+IF(BY$5&lt;&gt;$H164,0,IF(BY164&lt;0,IF($J164=1,-$E164*$I164/12*0,IF($J164=2,-$E164*$I164/12*1,IF($J164=3,-$E164*$I164/12*2,IF($J164&gt;=4,-$E164*$I164/12*3,0))))))</f>
        <v>0</v>
      </c>
      <c r="CA164" s="442">
        <f>IF($H164&lt;&gt;CD$5,0,IF(CD164&lt;0,IF(OR($J164=1,$J164=2,$J164=3,$J164=4),-$E164*$I164/12*3,IF($J164=5,-$E164*$I164/12*2,IF($J164=6,-$E164*$I164/12*1,0)))))+IF(BY$5&lt;&gt;$H164,0,IF(BY164&lt;0,IF($J164=4,-$E164*$I164/12*0,IF($J164=5,-$E164*$I164/12*1,IF($J164=6,-$E164*$I164/12*2,IF($J164&gt;=7,-$E164*$I164/12*3,0))))))</f>
        <v>0</v>
      </c>
      <c r="CB164" s="442">
        <f>IF($H164&lt;&gt;CD$5,0,IF(CD164&lt;0,IF(OR($J164=1,$J164=2,$J164=3,$J164=4,$J164=5,$J164=6,$J164=7),-$E164*$I164/12*3,IF($J164=8,-$E164*$I164/12*2,IF($J164=9,-$E164*$I164/12*1,0)))))+IF(BY$5&lt;&gt;$H164,0,IF(BY164&lt;0,IF($J164=7,-$E164*$I164/12*0,IF($J164=8,-$E164*$I164/12*1,IF($J164=9,-$E164*$I164/12*2,IF($J164&gt;=10,-$E164*$I164/12*3,0))))))</f>
        <v>0</v>
      </c>
      <c r="CC164" s="443">
        <f>IF($H164&lt;&gt;CD$5,0,IF(CD164&lt;0,IF(OR($J164=1,$J164=2,$J164=3,$J164=4,$J164=5,$J164=6,$J164=7,$J164=8,$J164=9,$J164=10),-$E164*$I164/12*3,IF($J164=11,-$E164*$I164/12*2,IF($J164=12,-$E164*$I164/12*1,0)))))+IF(BY$5&lt;&gt;$H164,0,IF(BY164&lt;0,IF($J164=10,-$E164*$I164/12*0,IF($J164=11,-$E164*$I164/12*1,IF($J164=12,-$E164*$I164/12*2,0)))))</f>
        <v>0</v>
      </c>
      <c r="CD164" s="440">
        <f>IF(AND(BY164&lt;&gt;0,BY$5=$H164),-$I164*$E164-BY164,IF(CD$5=$H164,-$I164*$E164*(12-$J164+1)/12,0))</f>
        <v>0</v>
      </c>
      <c r="CE164" s="441">
        <f>IF($H164&lt;&gt;CI$5,0,IF(CI164&lt;0,IF($J164=1,-$E164*$I164/12*3,IF($J164=2,-$E164*$I164/12*2,IF($J164=3,-$E164*$I164/12*1,0)))))+IF(CD$5&lt;&gt;$H164,0,IF(CD164&lt;0,IF($J164=1,-$E164*$I164/12*0,IF($J164=2,-$E164*$I164/12*1,IF($J164=3,-$E164*$I164/12*2,IF($J164&gt;=4,-$E164*$I164/12*3,0))))))</f>
        <v>0</v>
      </c>
      <c r="CF164" s="442">
        <f>IF($H164&lt;&gt;CI$5,0,IF(CI164&lt;0,IF(OR($J164=1,$J164=2,$J164=3,$J164=4),-$E164*$I164/12*3,IF($J164=5,-$E164*$I164/12*2,IF($J164=6,-$E164*$I164/12*1,0)))))+IF(CD$5&lt;&gt;$H164,0,IF(CD164&lt;0,IF($J164=4,-$E164*$I164/12*0,IF($J164=5,-$E164*$I164/12*1,IF($J164=6,-$E164*$I164/12*2,IF($J164&gt;=7,-$E164*$I164/12*3,0))))))</f>
        <v>0</v>
      </c>
      <c r="CG164" s="442">
        <f>IF($H164&lt;&gt;CI$5,0,IF(CI164&lt;0,IF(OR($J164=1,$J164=2,$J164=3,$J164=4,$J164=5,$J164=6,$J164=7),-$E164*$I164/12*3,IF($J164=8,-$E164*$I164/12*2,IF($J164=9,-$E164*$I164/12*1,0)))))+IF(CD$5&lt;&gt;$H164,0,IF(CD164&lt;0,IF($J164=7,-$E164*$I164/12*0,IF($J164=8,-$E164*$I164/12*1,IF($J164=9,-$E164*$I164/12*2,IF($J164&gt;=10,-$E164*$I164/12*3,0))))))</f>
        <v>0</v>
      </c>
      <c r="CH164" s="443">
        <f>IF($H164&lt;&gt;CI$5,0,IF(CI164&lt;0,IF(OR($J164=1,$J164=2,$J164=3,$J164=4,$J164=5,$J164=6,$J164=7,$J164=8,$J164=9,$J164=10),-$E164*$I164/12*3,IF($J164=11,-$E164*$I164/12*2,IF($J164=12,-$E164*$I164/12*1,0)))))+IF(CD$5&lt;&gt;$H164,0,IF(CD164&lt;0,IF($J164=10,-$E164*$I164/12*0,IF($J164=11,-$E164*$I164/12*1,IF($J164=12,-$E164*$I164/12*2,0)))))</f>
        <v>0</v>
      </c>
      <c r="CI164" s="440">
        <f>IF(AND(CD164&lt;&gt;0,CD$5=$H164),-$I164*$E164-CD164,IF(CI$5=$H164,-$I164*$E164*(12-$J164+1)/12,0))</f>
        <v>0</v>
      </c>
      <c r="CJ164" s="441">
        <f>IF($H164&lt;&gt;CN$5,0,IF(CN164&lt;0,IF($J164=1,-$E164*$I164/12*3,IF($J164=2,-$E164*$I164/12*2,IF($J164=3,-$E164*$I164/12*1,0)))))+IF(CI$5&lt;&gt;$H164,0,IF(CI164&lt;0,IF($J164=1,-$E164*$I164/12*0,IF($J164=2,-$E164*$I164/12*1,IF($J164=3,-$E164*$I164/12*2,IF($J164&gt;=4,-$E164*$I164/12*3,0))))))</f>
        <v>0</v>
      </c>
      <c r="CK164" s="442">
        <f>IF($H164&lt;&gt;CN$5,0,IF(CN164&lt;0,IF(OR($J164=1,$J164=2,$J164=3,$J164=4),-$E164*$I164/12*3,IF($J164=5,-$E164*$I164/12*2,IF($J164=6,-$E164*$I164/12*1,0)))))+IF(CI$5&lt;&gt;$H164,0,IF(CI164&lt;0,IF($J164=4,-$E164*$I164/12*0,IF($J164=5,-$E164*$I164/12*1,IF($J164=6,-$E164*$I164/12*2,IF($J164&gt;=7,-$E164*$I164/12*3,0))))))</f>
        <v>0</v>
      </c>
      <c r="CL164" s="442">
        <f>IF($H164&lt;&gt;CN$5,0,IF(CN164&lt;0,IF(OR($J164=1,$J164=2,$J164=3,$J164=4,$J164=5,$J164=6,$J164=7),-$E164*$I164/12*3,IF($J164=8,-$E164*$I164/12*2,IF($J164=9,-$E164*$I164/12*1,0)))))+IF(CI$5&lt;&gt;$H164,0,IF(CI164&lt;0,IF($J164=7,-$E164*$I164/12*0,IF($J164=8,-$E164*$I164/12*1,IF($J164=9,-$E164*$I164/12*2,IF($J164&gt;=10,-$E164*$I164/12*3,0))))))</f>
        <v>0</v>
      </c>
      <c r="CM164" s="443">
        <f>IF($H164&lt;&gt;CN$5,0,IF(CN164&lt;0,IF(OR($J164=1,$J164=2,$J164=3,$J164=4,$J164=5,$J164=6,$J164=7,$J164=8,$J164=9,$J164=10),-$E164*$I164/12*3,IF($J164=11,-$E164*$I164/12*2,IF($J164=12,-$E164*$I164/12*1,0)))))+IF(CI$5&lt;&gt;$H164,0,IF(CI164&lt;0,IF($J164=10,-$E164*$I164/12*0,IF($J164=11,-$E164*$I164/12*1,IF($J164=12,-$E164*$I164/12*2,0)))))</f>
        <v>0</v>
      </c>
      <c r="CN164" s="440">
        <f>IF(AND(CI164&lt;&gt;0,CI$5=$H164),-$I164*$E164-CI164,IF(CN$5=$H164,-$I164*$E164*(12-$J164+1)/12,0))</f>
        <v>0</v>
      </c>
      <c r="CO164" s="441">
        <f>IF($H164&lt;&gt;CS$5,0,IF(CS164&lt;0,IF($J164=1,-$E164*$I164/12*3,IF($J164=2,-$E164*$I164/12*2,IF($J164=3,-$E164*$I164/12*1,0)))))+IF(CN$5&lt;&gt;$H164,0,IF(CN164&lt;0,IF($J164=1,-$E164*$I164/12*0,IF($J164=2,-$E164*$I164/12*1,IF($J164=3,-$E164*$I164/12*2,IF($J164&gt;=4,-$E164*$I164/12*3,0))))))</f>
        <v>0</v>
      </c>
      <c r="CP164" s="442">
        <f>IF($H164&lt;&gt;CS$5,0,IF(CS164&lt;0,IF(OR($J164=1,$J164=2,$J164=3,$J164=4),-$E164*$I164/12*3,IF($J164=5,-$E164*$I164/12*2,IF($J164=6,-$E164*$I164/12*1,0)))))+IF(CN$5&lt;&gt;$H164,0,IF(CN164&lt;0,IF($J164=4,-$E164*$I164/12*0,IF($J164=5,-$E164*$I164/12*1,IF($J164=6,-$E164*$I164/12*2,IF($J164&gt;=7,-$E164*$I164/12*3,0))))))</f>
        <v>0</v>
      </c>
      <c r="CQ164" s="442">
        <f>IF($H164&lt;&gt;CS$5,0,IF(CS164&lt;0,IF(OR($J164=1,$J164=2,$J164=3,$J164=4,$J164=5,$J164=6,$J164=7),-$E164*$I164/12*3,IF($J164=8,-$E164*$I164/12*2,IF($J164=9,-$E164*$I164/12*1,0)))))+IF(CN$5&lt;&gt;$H164,0,IF(CN164&lt;0,IF($J164=7,-$E164*$I164/12*0,IF($J164=8,-$E164*$I164/12*1,IF($J164=9,-$E164*$I164/12*2,IF($J164&gt;=10,-$E164*$I164/12*3,0))))))</f>
        <v>0</v>
      </c>
      <c r="CR164" s="443">
        <f>IF($H164&lt;&gt;CS$5,0,IF(CS164&lt;0,IF(OR($J164=1,$J164=2,$J164=3,$J164=4,$J164=5,$J164=6,$J164=7,$J164=8,$J164=9,$J164=10),-$E164*$I164/12*3,IF($J164=11,-$E164*$I164/12*2,IF($J164=12,-$E164*$I164/12*1,0)))))+IF(CN$5&lt;&gt;$H164,0,IF(CN164&lt;0,IF($J164=10,-$E164*$I164/12*0,IF($J164=11,-$E164*$I164/12*1,IF($J164=12,-$E164*$I164/12*2,0)))))</f>
        <v>0</v>
      </c>
      <c r="CS164" s="440">
        <f>IF(AND(CN164&lt;&gt;0,CN$5=$H164),-$I164*$E164-CN164,IF(CS$5=$H164,-$I164*$E164*(12-$J164+1)/12,0))</f>
        <v>0</v>
      </c>
      <c r="CT164" s="441">
        <f>IF($H164&lt;&gt;CX$5,0,IF(CX164&lt;0,IF($J164=1,-$E164*$I164/12*3,IF($J164=2,-$E164*$I164/12*2,IF($J164=3,-$E164*$I164/12*1,0)))))+IF(CS$5&lt;&gt;$H164,0,IF(CS164&lt;0,IF($J164=1,-$E164*$I164/12*0,IF($J164=2,-$E164*$I164/12*1,IF($J164=3,-$E164*$I164/12*2,IF($J164&gt;=4,-$E164*$I164/12*3,0))))))</f>
        <v>0</v>
      </c>
      <c r="CU164" s="442">
        <f>IF($H164&lt;&gt;CX$5,0,IF(CX164&lt;0,IF(OR($J164=1,$J164=2,$J164=3,$J164=4),-$E164*$I164/12*3,IF($J164=5,-$E164*$I164/12*2,IF($J164=6,-$E164*$I164/12*1,0)))))+IF(CS$5&lt;&gt;$H164,0,IF(CS164&lt;0,IF($J164=4,-$E164*$I164/12*0,IF($J164=5,-$E164*$I164/12*1,IF($J164=6,-$E164*$I164/12*2,IF($J164&gt;=7,-$E164*$I164/12*3,0))))))</f>
        <v>0</v>
      </c>
      <c r="CV164" s="442">
        <f>IF($H164&lt;&gt;CX$5,0,IF(CX164&lt;0,IF(OR($J164=1,$J164=2,$J164=3,$J164=4,$J164=5,$J164=6,$J164=7),-$E164*$I164/12*3,IF($J164=8,-$E164*$I164/12*2,IF($J164=9,-$E164*$I164/12*1,0)))))+IF(CS$5&lt;&gt;$H164,0,IF(CS164&lt;0,IF($J164=7,-$E164*$I164/12*0,IF($J164=8,-$E164*$I164/12*1,IF($J164=9,-$E164*$I164/12*2,IF($J164&gt;=10,-$E164*$I164/12*3,0))))))</f>
        <v>0</v>
      </c>
      <c r="CW164" s="443">
        <f>IF($H164&lt;&gt;CX$5,0,IF(CX164&lt;0,IF(OR($J164=1,$J164=2,$J164=3,$J164=4,$J164=5,$J164=6,$J164=7,$J164=8,$J164=9,$J164=10),-$E164*$I164/12*3,IF($J164=11,-$E164*$I164/12*2,IF($J164=12,-$E164*$I164/12*1,0)))))+IF(CS$5&lt;&gt;$H164,0,IF(CS164&lt;0,IF($J164=10,-$E164*$I164/12*0,IF($J164=11,-$E164*$I164/12*1,IF($J164=12,-$E164*$I164/12*2,0)))))</f>
        <v>0</v>
      </c>
      <c r="CX164" s="440">
        <f>IF(AND(CS164&lt;&gt;0,CS$5=$H164),-$I164*$E164-CS164,IF(CX$5=$H164,-$I164*$E164*(12-$J164+1)/12,0))</f>
        <v>0</v>
      </c>
      <c r="CY164" s="441">
        <f>IF($H164&lt;&gt;DC$5,0,IF(DC164&lt;0,IF($J164=1,-$E164*$I164/12*3,IF($J164=2,-$E164*$I164/12*2,IF($J164=3,-$E164*$I164/12*1,0)))))+IF(CX$5&lt;&gt;$H164,0,IF(CX164&lt;0,IF($J164=1,-$E164*$I164/12*0,IF($J164=2,-$E164*$I164/12*1,IF($J164=3,-$E164*$I164/12*2,IF($J164&gt;=4,-$E164*$I164/12*3,0))))))</f>
        <v>0</v>
      </c>
      <c r="CZ164" s="442">
        <f>IF($H164&lt;&gt;DC$5,0,IF(DC164&lt;0,IF(OR($J164=1,$J164=2,$J164=3,$J164=4),-$E164*$I164/12*3,IF($J164=5,-$E164*$I164/12*2,IF($J164=6,-$E164*$I164/12*1,0)))))+IF(CX$5&lt;&gt;$H164,0,IF(CX164&lt;0,IF($J164=4,-$E164*$I164/12*0,IF($J164=5,-$E164*$I164/12*1,IF($J164=6,-$E164*$I164/12*2,IF($J164&gt;=7,-$E164*$I164/12*3,0))))))</f>
        <v>0</v>
      </c>
      <c r="DA164" s="442">
        <f>IF($H164&lt;&gt;DC$5,0,IF(DC164&lt;0,IF(OR($J164=1,$J164=2,$J164=3,$J164=4,$J164=5,$J164=6,$J164=7),-$E164*$I164/12*3,IF($J164=8,-$E164*$I164/12*2,IF($J164=9,-$E164*$I164/12*1,0)))))+IF(CX$5&lt;&gt;$H164,0,IF(CX164&lt;0,IF($J164=7,-$E164*$I164/12*0,IF($J164=8,-$E164*$I164/12*1,IF($J164=9,-$E164*$I164/12*2,IF($J164&gt;=10,-$E164*$I164/12*3,0))))))</f>
        <v>0</v>
      </c>
      <c r="DB164" s="443">
        <f>IF($H164&lt;&gt;DC$5,0,IF(DC164&lt;0,IF(OR($J164=1,$J164=2,$J164=3,$J164=4,$J164=5,$J164=6,$J164=7,$J164=8,$J164=9,$J164=10),-$E164*$I164/12*3,IF($J164=11,-$E164*$I164/12*2,IF($J164=12,-$E164*$I164/12*1,0)))))+IF(CX$5&lt;&gt;$H164,0,IF(CX164&lt;0,IF($J164=10,-$E164*$I164/12*0,IF($J164=11,-$E164*$I164/12*1,IF($J164=12,-$E164*$I164/12*2,0)))))</f>
        <v>0</v>
      </c>
      <c r="DC164" s="440">
        <f>IF(AND(CX164&lt;&gt;0,CX$5=$H164),-$I164*$E164-CX164,IF(DC$5=$H164,-$I164*$E164*(12-$J164+1)/12,0))</f>
        <v>0</v>
      </c>
      <c r="DD164" s="441">
        <f>IF($H164&lt;&gt;DH$5,0,IF(DH164&lt;0,IF($J164=1,-$E164*$I164/12*3,IF($J164=2,-$E164*$I164/12*2,IF($J164=3,-$E164*$I164/12*1,0)))))+IF(DC$5&lt;&gt;$H164,0,IF(DC164&lt;0,IF($J164=1,-$E164*$I164/12*0,IF($J164=2,-$E164*$I164/12*1,IF($J164=3,-$E164*$I164/12*2,IF($J164&gt;=4,-$E164*$I164/12*3,0))))))</f>
        <v>0</v>
      </c>
      <c r="DE164" s="442">
        <f>IF($H164&lt;&gt;DH$5,0,IF(DH164&lt;0,IF(OR($J164=1,$J164=2,$J164=3,$J164=4),-$E164*$I164/12*3,IF($J164=5,-$E164*$I164/12*2,IF($J164=6,-$E164*$I164/12*1,0)))))+IF(DC$5&lt;&gt;$H164,0,IF(DC164&lt;0,IF($J164=4,-$E164*$I164/12*0,IF($J164=5,-$E164*$I164/12*1,IF($J164=6,-$E164*$I164/12*2,IF($J164&gt;=7,-$E164*$I164/12*3,0))))))</f>
        <v>0</v>
      </c>
      <c r="DF164" s="442">
        <f>IF($H164&lt;&gt;DH$5,0,IF(DH164&lt;0,IF(OR($J164=1,$J164=2,$J164=3,$J164=4,$J164=5,$J164=6,$J164=7),-$E164*$I164/12*3,IF($J164=8,-$E164*$I164/12*2,IF($J164=9,-$E164*$I164/12*1,0)))))+IF(DC$5&lt;&gt;$H164,0,IF(DC164&lt;0,IF($J164=7,-$E164*$I164/12*0,IF($J164=8,-$E164*$I164/12*1,IF($J164=9,-$E164*$I164/12*2,IF($J164&gt;=10,-$E164*$I164/12*3,0))))))</f>
        <v>0</v>
      </c>
      <c r="DG164" s="443">
        <f>IF($H164&lt;&gt;DH$5,0,IF(DH164&lt;0,IF(OR($J164=1,$J164=2,$J164=3,$J164=4,$J164=5,$J164=6,$J164=7,$J164=8,$J164=9,$J164=10),-$E164*$I164/12*3,IF($J164=11,-$E164*$I164/12*2,IF($J164=12,-$E164*$I164/12*1,0)))))+IF(DC$5&lt;&gt;$H164,0,IF(DC164&lt;0,IF($J164=10,-$E164*$I164/12*0,IF($J164=11,-$E164*$I164/12*1,IF($J164=12,-$E164*$I164/12*2,0)))))</f>
        <v>0</v>
      </c>
      <c r="DH164" s="440">
        <f>IF(AND(DC164&lt;&gt;0,DC$5=$H164),-$I164*$E164-DC164,IF(DH$5=$H164,-$I164*$E164*(12-$J164+1)/12,0))</f>
        <v>0</v>
      </c>
      <c r="DI164" s="441">
        <f>IF($H164&lt;&gt;DM$5,0,IF(DM164&lt;0,IF($J164=1,-$E164*$I164/12*3,IF($J164=2,-$E164*$I164/12*2,IF($J164=3,-$E164*$I164/12*1,0)))))+IF(DH$5&lt;&gt;$H164,0,IF(DH164&lt;0,IF($J164=1,-$E164*$I164/12*0,IF($J164=2,-$E164*$I164/12*1,IF($J164=3,-$E164*$I164/12*2,IF($J164&gt;=4,-$E164*$I164/12*3,0))))))</f>
        <v>0</v>
      </c>
      <c r="DJ164" s="442">
        <f>IF($H164&lt;&gt;DM$5,0,IF(DM164&lt;0,IF(OR($J164=1,$J164=2,$J164=3,$J164=4),-$E164*$I164/12*3,IF($J164=5,-$E164*$I164/12*2,IF($J164=6,-$E164*$I164/12*1,0)))))+IF(DH$5&lt;&gt;$H164,0,IF(DH164&lt;0,IF($J164=4,-$E164*$I164/12*0,IF($J164=5,-$E164*$I164/12*1,IF($J164=6,-$E164*$I164/12*2,IF($J164&gt;=7,-$E164*$I164/12*3,0))))))</f>
        <v>0</v>
      </c>
      <c r="DK164" s="442">
        <f>IF($H164&lt;&gt;DM$5,0,IF(DM164&lt;0,IF(OR($J164=1,$J164=2,$J164=3,$J164=4,$J164=5,$J164=6,$J164=7),-$E164*$I164/12*3,IF($J164=8,-$E164*$I164/12*2,IF($J164=9,-$E164*$I164/12*1,0)))))+IF(DH$5&lt;&gt;$H164,0,IF(DH164&lt;0,IF($J164=7,-$E164*$I164/12*0,IF($J164=8,-$E164*$I164/12*1,IF($J164=9,-$E164*$I164/12*2,IF($J164&gt;=10,-$E164*$I164/12*3,0))))))</f>
        <v>0</v>
      </c>
      <c r="DL164" s="443">
        <f>IF($H164&lt;&gt;DM$5,0,IF(DM164&lt;0,IF(OR($J164=1,$J164=2,$J164=3,$J164=4,$J164=5,$J164=6,$J164=7,$J164=8,$J164=9,$J164=10),-$E164*$I164/12*3,IF($J164=11,-$E164*$I164/12*2,IF($J164=12,-$E164*$I164/12*1,0)))))+IF(DH$5&lt;&gt;$H164,0,IF(DH164&lt;0,IF($J164=10,-$E164*$I164/12*0,IF($J164=11,-$E164*$I164/12*1,IF($J164=12,-$E164*$I164/12*2,0)))))</f>
        <v>0</v>
      </c>
      <c r="DM164" s="440">
        <f>IF(AND(DH164&lt;&gt;0,DH$5=$H164),-$I164*$E164-DH164,IF(DM$5=$H164,-$I164*$E164*(12-$J164+1)/12,0))</f>
        <v>0</v>
      </c>
      <c r="DN164" s="441">
        <f>IF($H164&lt;&gt;DR$5,0,IF(DR164&lt;0,IF($J164=1,-$E164*$I164/12*3,IF($J164=2,-$E164*$I164/12*2,IF($J164=3,-$E164*$I164/12*1,0)))))+IF(DM$5&lt;&gt;$H164,0,IF(DM164&lt;0,IF($J164=1,-$E164*$I164/12*0,IF($J164=2,-$E164*$I164/12*1,IF($J164=3,-$E164*$I164/12*2,IF($J164&gt;=4,-$E164*$I164/12*3,0))))))</f>
        <v>0</v>
      </c>
      <c r="DO164" s="442">
        <f>IF($H164&lt;&gt;DR$5,0,IF(DR164&lt;0,IF(OR($J164=1,$J164=2,$J164=3,$J164=4),-$E164*$I164/12*3,IF($J164=5,-$E164*$I164/12*2,IF($J164=6,-$E164*$I164/12*1,0)))))+IF(DM$5&lt;&gt;$H164,0,IF(DM164&lt;0,IF($J164=4,-$E164*$I164/12*0,IF($J164=5,-$E164*$I164/12*1,IF($J164=6,-$E164*$I164/12*2,IF($J164&gt;=7,-$E164*$I164/12*3,0))))))</f>
        <v>0</v>
      </c>
      <c r="DP164" s="442">
        <f>IF($H164&lt;&gt;DR$5,0,IF(DR164&lt;0,IF(OR($J164=1,$J164=2,$J164=3,$J164=4,$J164=5,$J164=6,$J164=7),-$E164*$I164/12*3,IF($J164=8,-$E164*$I164/12*2,IF($J164=9,-$E164*$I164/12*1,0)))))+IF(DM$5&lt;&gt;$H164,0,IF(DM164&lt;0,IF($J164=7,-$E164*$I164/12*0,IF($J164=8,-$E164*$I164/12*1,IF($J164=9,-$E164*$I164/12*2,IF($J164&gt;=10,-$E164*$I164/12*3,0))))))</f>
        <v>0</v>
      </c>
      <c r="DQ164" s="443">
        <f>IF($H164&lt;&gt;DR$5,0,IF(DR164&lt;0,IF(OR($J164=1,$J164=2,$J164=3,$J164=4,$J164=5,$J164=6,$J164=7,$J164=8,$J164=9,$J164=10),-$E164*$I164/12*3,IF($J164=11,-$E164*$I164/12*2,IF($J164=12,-$E164*$I164/12*1,0)))))+IF(DM$5&lt;&gt;$H164,0,IF(DM164&lt;0,IF($J164=10,-$E164*$I164/12*0,IF($J164=11,-$E164*$I164/12*1,IF($J164=12,-$E164*$I164/12*2,0)))))</f>
        <v>0</v>
      </c>
      <c r="DR164" s="440">
        <f>IF(AND(DM164&lt;&gt;0,DM$5=$H164),-$I164*$E164-DM164,IF(DR$5=$H164,-$I164*$E164*(12-$J164+1)/12,0))</f>
        <v>0</v>
      </c>
    </row>
    <row r="165" spans="3:122">
      <c r="C165" s="1123"/>
      <c r="D165" s="395"/>
      <c r="E165" s="325"/>
      <c r="F165" s="1355"/>
      <c r="G165" s="1355"/>
      <c r="H165" s="651"/>
      <c r="I165" s="650"/>
      <c r="J165" s="656"/>
      <c r="K165" s="549"/>
      <c r="L165" s="441"/>
      <c r="M165" s="442"/>
      <c r="N165" s="442"/>
      <c r="O165" s="443"/>
      <c r="P165" s="440"/>
      <c r="Q165" s="441"/>
      <c r="R165" s="442"/>
      <c r="S165" s="442"/>
      <c r="T165" s="443"/>
      <c r="U165" s="440"/>
      <c r="V165" s="441"/>
      <c r="W165" s="442"/>
      <c r="X165" s="442"/>
      <c r="Y165" s="443"/>
      <c r="Z165" s="440"/>
      <c r="AA165" s="441"/>
      <c r="AB165" s="442"/>
      <c r="AC165" s="442"/>
      <c r="AD165" s="443"/>
      <c r="AE165" s="440"/>
      <c r="AF165" s="441"/>
      <c r="AG165" s="442"/>
      <c r="AH165" s="442"/>
      <c r="AI165" s="443"/>
      <c r="AJ165" s="440"/>
      <c r="AK165" s="441"/>
      <c r="AL165" s="442"/>
      <c r="AM165" s="442"/>
      <c r="AN165" s="443"/>
      <c r="AO165" s="440"/>
      <c r="AP165" s="441"/>
      <c r="AQ165" s="442"/>
      <c r="AR165" s="442"/>
      <c r="AS165" s="443"/>
      <c r="AT165" s="440"/>
      <c r="AU165" s="441"/>
      <c r="AV165" s="442"/>
      <c r="AW165" s="442"/>
      <c r="AX165" s="443"/>
      <c r="AY165" s="440"/>
      <c r="AZ165" s="441"/>
      <c r="BA165" s="442"/>
      <c r="BB165" s="442"/>
      <c r="BC165" s="443"/>
      <c r="BD165" s="440"/>
      <c r="BE165" s="441"/>
      <c r="BF165" s="442"/>
      <c r="BG165" s="442"/>
      <c r="BH165" s="443"/>
      <c r="BI165" s="440"/>
      <c r="BJ165" s="441"/>
      <c r="BK165" s="442"/>
      <c r="BL165" s="442"/>
      <c r="BM165" s="443"/>
      <c r="BN165" s="440"/>
      <c r="BO165" s="470"/>
      <c r="BP165" s="441"/>
      <c r="BQ165" s="442"/>
      <c r="BR165" s="442"/>
      <c r="BS165" s="443"/>
      <c r="BT165" s="440"/>
      <c r="BU165" s="441"/>
      <c r="BV165" s="442"/>
      <c r="BW165" s="442"/>
      <c r="BX165" s="443"/>
      <c r="BY165" s="440"/>
      <c r="BZ165" s="441"/>
      <c r="CA165" s="442"/>
      <c r="CB165" s="442"/>
      <c r="CC165" s="443"/>
      <c r="CD165" s="440"/>
      <c r="CE165" s="441"/>
      <c r="CF165" s="442"/>
      <c r="CG165" s="442"/>
      <c r="CH165" s="443"/>
      <c r="CI165" s="440"/>
      <c r="CJ165" s="441"/>
      <c r="CK165" s="442"/>
      <c r="CL165" s="442"/>
      <c r="CM165" s="443"/>
      <c r="CN165" s="440"/>
      <c r="CO165" s="441"/>
      <c r="CP165" s="442"/>
      <c r="CQ165" s="442"/>
      <c r="CR165" s="443"/>
      <c r="CS165" s="440"/>
      <c r="CT165" s="441"/>
      <c r="CU165" s="442"/>
      <c r="CV165" s="442"/>
      <c r="CW165" s="443"/>
      <c r="CX165" s="440"/>
      <c r="CY165" s="441"/>
      <c r="CZ165" s="442"/>
      <c r="DA165" s="442"/>
      <c r="DB165" s="443"/>
      <c r="DC165" s="440"/>
      <c r="DD165" s="441"/>
      <c r="DE165" s="442"/>
      <c r="DF165" s="442"/>
      <c r="DG165" s="443"/>
      <c r="DH165" s="440"/>
      <c r="DI165" s="441"/>
      <c r="DJ165" s="442"/>
      <c r="DK165" s="442"/>
      <c r="DL165" s="443"/>
      <c r="DM165" s="440"/>
      <c r="DN165" s="441"/>
      <c r="DO165" s="442"/>
      <c r="DP165" s="442"/>
      <c r="DQ165" s="443"/>
      <c r="DR165" s="440"/>
    </row>
    <row r="166" spans="3:122" ht="12.75" customHeight="1">
      <c r="C166" s="1363" t="s">
        <v>715</v>
      </c>
      <c r="D166" s="395"/>
      <c r="E166" s="325"/>
      <c r="F166" s="1358"/>
      <c r="G166" s="1358"/>
      <c r="H166" s="414"/>
      <c r="I166" s="650"/>
      <c r="J166" s="656"/>
      <c r="K166" s="549"/>
      <c r="L166" s="441"/>
      <c r="M166" s="442"/>
      <c r="N166" s="442"/>
      <c r="O166" s="443"/>
      <c r="P166" s="440"/>
      <c r="Q166" s="441"/>
      <c r="R166" s="442"/>
      <c r="S166" s="442"/>
      <c r="T166" s="443"/>
      <c r="U166" s="440"/>
      <c r="V166" s="441"/>
      <c r="W166" s="442"/>
      <c r="X166" s="442"/>
      <c r="Y166" s="443"/>
      <c r="Z166" s="440"/>
      <c r="AA166" s="441"/>
      <c r="AB166" s="442"/>
      <c r="AC166" s="442"/>
      <c r="AD166" s="443"/>
      <c r="AE166" s="440"/>
      <c r="AF166" s="441"/>
      <c r="AG166" s="442"/>
      <c r="AH166" s="442"/>
      <c r="AI166" s="443"/>
      <c r="AJ166" s="440"/>
      <c r="AK166" s="441"/>
      <c r="AL166" s="442"/>
      <c r="AM166" s="442"/>
      <c r="AN166" s="443"/>
      <c r="AO166" s="440"/>
      <c r="AP166" s="441"/>
      <c r="AQ166" s="442"/>
      <c r="AR166" s="442"/>
      <c r="AS166" s="443"/>
      <c r="AT166" s="440"/>
      <c r="AU166" s="441"/>
      <c r="AV166" s="442"/>
      <c r="AW166" s="442"/>
      <c r="AX166" s="443"/>
      <c r="AY166" s="440"/>
      <c r="AZ166" s="441"/>
      <c r="BA166" s="442"/>
      <c r="BB166" s="442"/>
      <c r="BC166" s="443"/>
      <c r="BD166" s="440"/>
      <c r="BE166" s="441"/>
      <c r="BF166" s="442"/>
      <c r="BG166" s="442"/>
      <c r="BH166" s="443"/>
      <c r="BI166" s="440"/>
      <c r="BJ166" s="441"/>
      <c r="BK166" s="442"/>
      <c r="BL166" s="442"/>
      <c r="BM166" s="443"/>
      <c r="BN166" s="440"/>
      <c r="BO166" s="470"/>
      <c r="BP166" s="441"/>
      <c r="BQ166" s="442"/>
      <c r="BR166" s="442"/>
      <c r="BS166" s="443"/>
      <c r="BT166" s="440"/>
      <c r="BU166" s="441"/>
      <c r="BV166" s="442"/>
      <c r="BW166" s="442"/>
      <c r="BX166" s="443"/>
      <c r="BY166" s="440"/>
      <c r="BZ166" s="441"/>
      <c r="CA166" s="442"/>
      <c r="CB166" s="442"/>
      <c r="CC166" s="443"/>
      <c r="CD166" s="440"/>
      <c r="CE166" s="441"/>
      <c r="CF166" s="442"/>
      <c r="CG166" s="442"/>
      <c r="CH166" s="443"/>
      <c r="CI166" s="440"/>
      <c r="CJ166" s="441"/>
      <c r="CK166" s="442"/>
      <c r="CL166" s="442"/>
      <c r="CM166" s="443"/>
      <c r="CN166" s="440"/>
      <c r="CO166" s="441"/>
      <c r="CP166" s="442"/>
      <c r="CQ166" s="442"/>
      <c r="CR166" s="443"/>
      <c r="CS166" s="440"/>
      <c r="CT166" s="441"/>
      <c r="CU166" s="442"/>
      <c r="CV166" s="442"/>
      <c r="CW166" s="443"/>
      <c r="CX166" s="440"/>
      <c r="CY166" s="441"/>
      <c r="CZ166" s="442"/>
      <c r="DA166" s="442"/>
      <c r="DB166" s="443"/>
      <c r="DC166" s="440"/>
      <c r="DD166" s="441"/>
      <c r="DE166" s="442"/>
      <c r="DF166" s="442"/>
      <c r="DG166" s="443"/>
      <c r="DH166" s="440"/>
      <c r="DI166" s="441"/>
      <c r="DJ166" s="442"/>
      <c r="DK166" s="442"/>
      <c r="DL166" s="443"/>
      <c r="DM166" s="440"/>
      <c r="DN166" s="441"/>
      <c r="DO166" s="442"/>
      <c r="DP166" s="442"/>
      <c r="DQ166" s="443"/>
      <c r="DR166" s="440"/>
    </row>
    <row r="167" spans="3:122" ht="12.75" customHeight="1">
      <c r="C167" s="1590" t="s">
        <v>1180</v>
      </c>
      <c r="D167" s="395"/>
      <c r="E167" s="1950">
        <f>IF(F167=0,G167,F167)</f>
        <v>4.6022920000000003</v>
      </c>
      <c r="F167" s="1945">
        <v>4.6022920000000003</v>
      </c>
      <c r="G167" s="1945">
        <v>18.742806000000002</v>
      </c>
      <c r="H167" s="1366">
        <v>2018</v>
      </c>
      <c r="I167" s="1367">
        <v>5.5199999999999999E-2</v>
      </c>
      <c r="J167" s="1357">
        <v>6</v>
      </c>
      <c r="K167" s="549"/>
      <c r="L167" s="441">
        <f t="shared" ref="L167:L168" si="2074">IF(P167=0,0,IF(P167&lt;0,IF($J167=3,P167,IF($J167=2,P167,IF($J167=1,P167,0)))))</f>
        <v>0</v>
      </c>
      <c r="M167" s="442">
        <f t="shared" ref="M167:M168" si="2075">IF(P167=0,0,IF(P167&lt;0,IF($J167=6,P167,IF($J167=5,P167,IF($J167=4,P167,0)))))</f>
        <v>0</v>
      </c>
      <c r="N167" s="442">
        <f t="shared" ref="N167:N168" si="2076">IF(P167=0,0,IF(P167&lt;0,IF($J167=9,P167,IF($J167=8,P167,IF($J167=7,P167,0)))))</f>
        <v>0</v>
      </c>
      <c r="O167" s="443">
        <f t="shared" ref="O167:O168" si="2077">IF(P167=0,0,IF(P167&lt;0,IF($J167=12,P167,IF($J167=11,P167,IF($J167=10,P167,0)))))</f>
        <v>0</v>
      </c>
      <c r="P167" s="440">
        <f t="shared" ref="P167:P168" si="2078">IF(P$5=$H167,-$E167,0)</f>
        <v>0</v>
      </c>
      <c r="Q167" s="441">
        <f t="shared" ref="Q167:Q168" si="2079">IF(U167=0,0,IF(U167&lt;0,IF($J167=3,U167,IF($J167=2,U167,IF($J167=1,U167,0)))))</f>
        <v>0</v>
      </c>
      <c r="R167" s="442">
        <f t="shared" ref="R167:R168" si="2080">IF(U167=0,0,IF(U167&lt;0,IF($J167=6,U167,IF($J167=5,U167,IF($J167=4,U167,0)))))</f>
        <v>0</v>
      </c>
      <c r="S167" s="442">
        <f t="shared" ref="S167:S168" si="2081">IF(U167=0,0,IF(U167&lt;0,IF($J167=9,U167,IF($J167=8,U167,IF($J167=7,U167,0)))))</f>
        <v>0</v>
      </c>
      <c r="T167" s="443">
        <f t="shared" ref="T167:T168" si="2082">IF(U167=0,0,IF(U167&lt;0,IF($J167=12,U167,IF($J167=11,U167,IF($J167=10,U167,0)))))</f>
        <v>0</v>
      </c>
      <c r="U167" s="440">
        <f t="shared" ref="U167:U168" si="2083">IF(U$5=$H167,-$E167,0)</f>
        <v>0</v>
      </c>
      <c r="V167" s="441">
        <f t="shared" ref="V167:V168" si="2084">IF(Z167=0,0,IF(Z167&lt;0,IF($J167=3,Z167,IF($J167=2,Z167,IF($J167=1,Z167,0)))))</f>
        <v>0</v>
      </c>
      <c r="W167" s="442">
        <f t="shared" ref="W167:W168" si="2085">IF(Z167=0,0,IF(Z167&lt;0,IF($J167=6,Z167,IF($J167=5,Z167,IF($J167=4,Z167,0)))))</f>
        <v>0</v>
      </c>
      <c r="X167" s="442">
        <f t="shared" ref="X167:X168" si="2086">IF(Z167=0,0,IF(Z167&lt;0,IF($J167=9,Z167,IF($J167=8,Z167,IF($J167=7,Z167,0)))))</f>
        <v>0</v>
      </c>
      <c r="Y167" s="443">
        <f t="shared" ref="Y167:Y168" si="2087">IF(Z167=0,0,IF(Z167&lt;0,IF($J167=12,Z167,IF($J167=11,Z167,IF($J167=10,Z167,0)))))</f>
        <v>0</v>
      </c>
      <c r="Z167" s="440">
        <f t="shared" ref="Z167:Z168" si="2088">IF(Z$5=$H167,-$E167,0)</f>
        <v>0</v>
      </c>
      <c r="AA167" s="441">
        <f t="shared" ref="AA167:AA168" si="2089">IF(AE167=0,0,IF(AE167&lt;0,IF($J167=3,AE167,IF($J167=2,AE167,IF($J167=1,AE167,0)))))</f>
        <v>0</v>
      </c>
      <c r="AB167" s="442">
        <f t="shared" ref="AB167:AB168" si="2090">IF(AE167=0,0,IF(AE167&lt;0,IF($J167=6,AE167,IF($J167=5,AE167,IF($J167=4,AE167,0)))))</f>
        <v>0</v>
      </c>
      <c r="AC167" s="442">
        <f t="shared" ref="AC167:AC168" si="2091">IF(AE167=0,0,IF(AE167&lt;0,IF($J167=9,AE167,IF($J167=8,AE167,IF($J167=7,AE167,0)))))</f>
        <v>0</v>
      </c>
      <c r="AD167" s="443">
        <f t="shared" ref="AD167:AD168" si="2092">IF(AE167=0,0,IF(AE167&lt;0,IF($J167=12,AE167,IF($J167=11,AE167,IF($J167=10,AE167,0)))))</f>
        <v>0</v>
      </c>
      <c r="AE167" s="440">
        <f t="shared" ref="AE167:AE168" si="2093">IF(AE$5=$H167,-$E167,0)</f>
        <v>0</v>
      </c>
      <c r="AF167" s="441">
        <f t="shared" ref="AF167:AF168" si="2094">IF(AJ167=0,0,IF(AJ167&lt;0,IF($J167=3,AJ167,IF($J167=2,AJ167,IF($J167=1,AJ167,0)))))</f>
        <v>0</v>
      </c>
      <c r="AG167" s="442">
        <f t="shared" ref="AG167:AG168" si="2095">IF(AJ167=0,0,IF(AJ167&lt;0,IF($J167=6,AJ167,IF($J167=5,AJ167,IF($J167=4,AJ167,0)))))</f>
        <v>0</v>
      </c>
      <c r="AH167" s="442">
        <f t="shared" ref="AH167:AH168" si="2096">IF(AJ167=0,0,IF(AJ167&lt;0,IF($J167=9,AJ167,IF($J167=8,AJ167,IF($J167=7,AJ167,0)))))</f>
        <v>0</v>
      </c>
      <c r="AI167" s="443">
        <f t="shared" ref="AI167:AI168" si="2097">IF(AJ167=0,0,IF(AJ167&lt;0,IF($J167=12,AJ167,IF($J167=11,AJ167,IF($J167=10,AJ167,0)))))</f>
        <v>0</v>
      </c>
      <c r="AJ167" s="440">
        <f t="shared" ref="AJ167:AJ168" si="2098">IF(AJ$5=$H167,-$E167,0)</f>
        <v>0</v>
      </c>
      <c r="AK167" s="441">
        <f t="shared" ref="AK167:AK168" si="2099">IF(AO167=0,0,IF(AO167&lt;0,IF($J167=3,AO167,IF($J167=2,AO167,IF($J167=1,AO167,0)))))</f>
        <v>0</v>
      </c>
      <c r="AL167" s="442">
        <f t="shared" ref="AL167:AL168" si="2100">IF(AO167=0,0,IF(AO167&lt;0,IF($J167=6,AO167,IF($J167=5,AO167,IF($J167=4,AO167,0)))))</f>
        <v>0</v>
      </c>
      <c r="AM167" s="442">
        <f t="shared" ref="AM167:AM168" si="2101">IF(AO167=0,0,IF(AO167&lt;0,IF($J167=9,AO167,IF($J167=8,AO167,IF($J167=7,AO167,0)))))</f>
        <v>0</v>
      </c>
      <c r="AN167" s="443">
        <f t="shared" ref="AN167:AN168" si="2102">IF(AO167=0,0,IF(AO167&lt;0,IF($J167=12,AO167,IF($J167=11,AO167,IF($J167=10,AO167,0)))))</f>
        <v>0</v>
      </c>
      <c r="AO167" s="440">
        <f t="shared" ref="AO167:AO168" si="2103">IF(AO$5=$H167,-$E167,0)</f>
        <v>0</v>
      </c>
      <c r="AP167" s="441">
        <f t="shared" ref="AP167:AP168" si="2104">IF(AT167=0,0,IF(AT167&lt;0,IF($J167=3,AT167,IF($J167=2,AT167,IF($J167=1,AT167,0)))))</f>
        <v>0</v>
      </c>
      <c r="AQ167" s="442">
        <f t="shared" ref="AQ167:AQ168" si="2105">IF(AT167=0,0,IF(AT167&lt;0,IF($J167=6,AT167,IF($J167=5,AT167,IF($J167=4,AT167,0)))))</f>
        <v>0</v>
      </c>
      <c r="AR167" s="442">
        <f t="shared" ref="AR167:AR168" si="2106">IF(AT167=0,0,IF(AT167&lt;0,IF($J167=9,AT167,IF($J167=8,AT167,IF($J167=7,AT167,0)))))</f>
        <v>0</v>
      </c>
      <c r="AS167" s="443">
        <f t="shared" ref="AS167:AS168" si="2107">IF(AT167=0,0,IF(AT167&lt;0,IF($J167=12,AT167,IF($J167=11,AT167,IF($J167=10,AT167,0)))))</f>
        <v>0</v>
      </c>
      <c r="AT167" s="440">
        <f t="shared" ref="AT167:AT168" si="2108">IF(AT$5=$H167,-$E167,0)</f>
        <v>0</v>
      </c>
      <c r="AU167" s="441">
        <f t="shared" ref="AU167:AU168" si="2109">IF(AY167=0,0,IF(AY167&lt;0,IF($J167=3,AY167,IF($J167=2,AY167,IF($J167=1,AY167,0)))))</f>
        <v>0</v>
      </c>
      <c r="AV167" s="442">
        <f t="shared" ref="AV167:AV168" si="2110">IF(AY167=0,0,IF(AY167&lt;0,IF($J167=6,AY167,IF($J167=5,AY167,IF($J167=4,AY167,0)))))</f>
        <v>-4.6022920000000003</v>
      </c>
      <c r="AW167" s="442">
        <f t="shared" ref="AW167:AW168" si="2111">IF(AY167=0,0,IF(AY167&lt;0,IF($J167=9,AY167,IF($J167=8,AY167,IF($J167=7,AY167,0)))))</f>
        <v>0</v>
      </c>
      <c r="AX167" s="443">
        <f t="shared" ref="AX167:AX168" si="2112">IF(AY167=0,0,IF(AY167&lt;0,IF($J167=12,AY167,IF($J167=11,AY167,IF($J167=10,AY167,0)))))</f>
        <v>0</v>
      </c>
      <c r="AY167" s="440">
        <f t="shared" ref="AY167:AY168" si="2113">IF(AY$5=$H167,-$E167,0)</f>
        <v>-4.6022920000000003</v>
      </c>
      <c r="AZ167" s="441">
        <f t="shared" ref="AZ167:AZ168" si="2114">IF(BD167=0,0,IF(BD167&lt;0,IF($J167=3,BD167,IF($J167=2,BD167,IF($J167=1,BD167,0)))))</f>
        <v>0</v>
      </c>
      <c r="BA167" s="442">
        <f t="shared" ref="BA167:BA168" si="2115">IF(BD167=0,0,IF(BD167&lt;0,IF($J167=6,BD167,IF($J167=5,BD167,IF($J167=4,BD167,0)))))</f>
        <v>0</v>
      </c>
      <c r="BB167" s="442">
        <f t="shared" ref="BB167:BB168" si="2116">IF(BD167=0,0,IF(BD167&lt;0,IF($J167=9,BD167,IF($J167=8,BD167,IF($J167=7,BD167,0)))))</f>
        <v>0</v>
      </c>
      <c r="BC167" s="443">
        <f t="shared" ref="BC167:BC168" si="2117">IF(BD167=0,0,IF(BD167&lt;0,IF($J167=12,BD167,IF($J167=11,BD167,IF($J167=10,BD167,0)))))</f>
        <v>0</v>
      </c>
      <c r="BD167" s="440">
        <f t="shared" ref="BD167:BD168" si="2118">IF(BD$5=$H167,-$E167,0)</f>
        <v>0</v>
      </c>
      <c r="BE167" s="441">
        <f t="shared" ref="BE167:BE168" si="2119">IF(BI167=0,0,IF(BI167&lt;0,IF($J167=3,BI167,IF($J167=2,BI167,IF($J167=1,BI167,0)))))</f>
        <v>0</v>
      </c>
      <c r="BF167" s="442">
        <f t="shared" ref="BF167:BF168" si="2120">IF(BI167=0,0,IF(BI167&lt;0,IF($J167=6,BI167,IF($J167=5,BI167,IF($J167=4,BI167,0)))))</f>
        <v>0</v>
      </c>
      <c r="BG167" s="442">
        <f t="shared" ref="BG167:BG168" si="2121">IF(BI167=0,0,IF(BI167&lt;0,IF($J167=9,BI167,IF($J167=8,BI167,IF($J167=7,BI167,0)))))</f>
        <v>0</v>
      </c>
      <c r="BH167" s="443">
        <f t="shared" ref="BH167:BH168" si="2122">IF(BI167=0,0,IF(BI167&lt;0,IF($J167=12,BI167,IF($J167=11,BI167,IF($J167=10,BI167,0)))))</f>
        <v>0</v>
      </c>
      <c r="BI167" s="440">
        <f t="shared" ref="BI167:BI168" si="2123">IF(BI$5=$H167,-$E167,0)</f>
        <v>0</v>
      </c>
      <c r="BJ167" s="441">
        <f t="shared" ref="BJ167:BJ168" si="2124">IF(BN167=0,0,IF(BN167&lt;0,IF($J167=3,BN167,IF($J167=2,BN167,IF($J167=1,BN167,0)))))</f>
        <v>0</v>
      </c>
      <c r="BK167" s="442">
        <f t="shared" ref="BK167:BK168" si="2125">IF(BN167=0,0,IF(BN167&lt;0,IF($J167=6,BN167,IF($J167=5,BN167,IF($J167=4,BN167,0)))))</f>
        <v>0</v>
      </c>
      <c r="BL167" s="442">
        <f t="shared" ref="BL167:BL168" si="2126">IF(BN167=0,0,IF(BN167&lt;0,IF($J167=9,BN167,IF($J167=8,BN167,IF($J167=7,BN167,0)))))</f>
        <v>0</v>
      </c>
      <c r="BM167" s="443">
        <f t="shared" ref="BM167:BM168" si="2127">IF(BN167=0,0,IF(BN167&lt;0,IF($J167=12,BN167,IF($J167=11,BN167,IF($J167=10,BN167,0)))))</f>
        <v>0</v>
      </c>
      <c r="BN167" s="440">
        <f t="shared" ref="BN167:BN168" si="2128">IF(BN$5=$H167,-$E167,0)</f>
        <v>0</v>
      </c>
      <c r="BO167" s="470"/>
      <c r="BP167" s="441">
        <f>IF($H167&lt;&gt;BT$5,0,IF(BT167&lt;0,IF($J167=1,-$E167*$I167/12*3,IF($J167=2,-$E167*$I167/12*2,IF($J167=3,-$E167*$I167/12*1,0)))))+IF(BO$5&lt;&gt;$H167,0,IF(BO167&lt;0,IF($J167=1,-$E167*$I167/12*0,IF($J167=2,-$E167*$I167/12*1,IF($J167=3,-$E167*$I167/12*2,IF($J167&gt;=4,-$E167*$I167/12*3,0))))))</f>
        <v>0</v>
      </c>
      <c r="BQ167" s="442">
        <f>IF($H167&lt;&gt;BT$5,0,IF(BT167&lt;0,IF(OR($J167=1,$J167=2,$J167=3,$J167=4),-$E167*$I167/12*3,IF($J167=5,-$E167*$I167/12*2,IF($J167=6,-$E167*$I167/12*1,0)))))+IF(BO$5&lt;&gt;$H167,0,IF(BO167&lt;0,IF($J167=4,-$E167*$I167/12*0,IF($J167=5,-$E167*$I167/12*1,IF($J167=6,-$E167*$I167/12*2,IF($J167&gt;=7,-$E167*$I167/12*3,0))))))</f>
        <v>0</v>
      </c>
      <c r="BR167" s="442">
        <f>IF($H167&lt;&gt;BT$5,0,IF(BT167&lt;0,IF(OR($J167=1,$J167=2,$J167=3,$J167=4,$J167=5,$J167=6,$J167=7),-$E167*$I167/12*3,IF($J167=8,-$E167*$I167/12*2,IF($J167=9,-$E167*$I167/12*1,0)))))+IF(BO$5&lt;&gt;$H167,0,IF(BO167&lt;0,IF($J167=7,-$E167*$I167/12*0,IF($J167=8,-$E167*$I167/12*1,IF($J167=9,-$E167*$I167/12*2,IF($J167&gt;=10,-$E167*$I167/12*3,0))))))</f>
        <v>0</v>
      </c>
      <c r="BS167" s="443">
        <f>IF($H167&lt;&gt;BT$5,0,IF(BT167&lt;0,IF(OR($J167=1,$J167=2,$J167=3,$J167=4,$J167=5,$J167=6,$J167=7,$J167=8,$J167=9,$J167=10),-$E167*$I167/12*3,IF($J167=11,-$E167*$I167/12*2,IF($J167=12,-$E167*$I167/12*1,0)))))+IF(BO$5&lt;&gt;$H167,0,IF(BO167&lt;0,IF($J167=10,-$E167*$I167/12*0,IF($J167=11,-$E167*$I167/12*1,IF($J167=12,-$E167*$I167/12*2,0)))))</f>
        <v>0</v>
      </c>
      <c r="BT167" s="440">
        <f>IF(AND(BO167&lt;&gt;0,BO$5=$H167),-$I167*$E167-BO167,IF(BT$5=$H167,-$I167*$E167*(12-$J167+1)/12,0))</f>
        <v>0</v>
      </c>
      <c r="BU167" s="441">
        <f>IF($H167&lt;&gt;BY$5,0,IF(BY167&lt;0,IF($J167=1,-$E167*$I167/12*3,IF($J167=2,-$E167*$I167/12*2,IF($J167=3,-$E167*$I167/12*1,0)))))+IF(BT$5&lt;&gt;$H167,0,IF(BT167&lt;0,IF($J167=1,-$E167*$I167/12*0,IF($J167=2,-$E167*$I167/12*1,IF($J167=3,-$E167*$I167/12*2,IF($J167&gt;=4,-$E167*$I167/12*3,0))))))</f>
        <v>0</v>
      </c>
      <c r="BV167" s="442">
        <f>IF($H167&lt;&gt;BY$5,0,IF(BY167&lt;0,IF(OR($J167=1,$J167=2,$J167=3,$J167=4),-$E167*$I167/12*3,IF($J167=5,-$E167*$I167/12*2,IF($J167=6,-$E167*$I167/12*1,0)))))+IF(BT$5&lt;&gt;$H167,0,IF(BT167&lt;0,IF($J167=4,-$E167*$I167/12*0,IF($J167=5,-$E167*$I167/12*1,IF($J167=6,-$E167*$I167/12*2,IF($J167&gt;=7,-$E167*$I167/12*3,0))))))</f>
        <v>0</v>
      </c>
      <c r="BW167" s="442">
        <f>IF($H167&lt;&gt;BY$5,0,IF(BY167&lt;0,IF(OR($J167=1,$J167=2,$J167=3,$J167=4,$J167=5,$J167=6,$J167=7),-$E167*$I167/12*3,IF($J167=8,-$E167*$I167/12*2,IF($J167=9,-$E167*$I167/12*1,0)))))+IF(BT$5&lt;&gt;$H167,0,IF(BT167&lt;0,IF($J167=7,-$E167*$I167/12*0,IF($J167=8,-$E167*$I167/12*1,IF($J167=9,-$E167*$I167/12*2,IF($J167&gt;=10,-$E167*$I167/12*3,0))))))</f>
        <v>0</v>
      </c>
      <c r="BX167" s="443">
        <f>IF($H167&lt;&gt;BY$5,0,IF(BY167&lt;0,IF(OR($J167=1,$J167=2,$J167=3,$J167=4,$J167=5,$J167=6,$J167=7,$J167=8,$J167=9,$J167=10),-$E167*$I167/12*3,IF($J167=11,-$E167*$I167/12*2,IF($J167=12,-$E167*$I167/12*1,0)))))+IF(BT$5&lt;&gt;$H167,0,IF(BT167&lt;0,IF($J167=10,-$E167*$I167/12*0,IF($J167=11,-$E167*$I167/12*1,IF($J167=12,-$E167*$I167/12*2,0)))))</f>
        <v>0</v>
      </c>
      <c r="BY167" s="440">
        <f>IF(AND(BT167&lt;&gt;0,BT$5=$H167),-$I167*$E167-BT167,IF(BY$5=$H167,-$I167*$E167*(12-$J167+1)/12,0))</f>
        <v>0</v>
      </c>
      <c r="BZ167" s="441">
        <f>IF($H167&lt;&gt;CD$5,0,IF(CD167&lt;0,IF($J167=1,-$E167*$I167/12*3,IF($J167=2,-$E167*$I167/12*2,IF($J167=3,-$E167*$I167/12*1,0)))))+IF(BY$5&lt;&gt;$H167,0,IF(BY167&lt;0,IF($J167=1,-$E167*$I167/12*0,IF($J167=2,-$E167*$I167/12*1,IF($J167=3,-$E167*$I167/12*2,IF($J167&gt;=4,-$E167*$I167/12*3,0))))))</f>
        <v>0</v>
      </c>
      <c r="CA167" s="442">
        <f>IF($H167&lt;&gt;CD$5,0,IF(CD167&lt;0,IF(OR($J167=1,$J167=2,$J167=3,$J167=4),-$E167*$I167/12*3,IF($J167=5,-$E167*$I167/12*2,IF($J167=6,-$E167*$I167/12*1,0)))))+IF(BY$5&lt;&gt;$H167,0,IF(BY167&lt;0,IF($J167=4,-$E167*$I167/12*0,IF($J167=5,-$E167*$I167/12*1,IF($J167=6,-$E167*$I167/12*2,IF($J167&gt;=7,-$E167*$I167/12*3,0))))))</f>
        <v>0</v>
      </c>
      <c r="CB167" s="442">
        <f>IF($H167&lt;&gt;CD$5,0,IF(CD167&lt;0,IF(OR($J167=1,$J167=2,$J167=3,$J167=4,$J167=5,$J167=6,$J167=7),-$E167*$I167/12*3,IF($J167=8,-$E167*$I167/12*2,IF($J167=9,-$E167*$I167/12*1,0)))))+IF(BY$5&lt;&gt;$H167,0,IF(BY167&lt;0,IF($J167=7,-$E167*$I167/12*0,IF($J167=8,-$E167*$I167/12*1,IF($J167=9,-$E167*$I167/12*2,IF($J167&gt;=10,-$E167*$I167/12*3,0))))))</f>
        <v>0</v>
      </c>
      <c r="CC167" s="443">
        <f>IF($H167&lt;&gt;CD$5,0,IF(CD167&lt;0,IF(OR($J167=1,$J167=2,$J167=3,$J167=4,$J167=5,$J167=6,$J167=7,$J167=8,$J167=9,$J167=10),-$E167*$I167/12*3,IF($J167=11,-$E167*$I167/12*2,IF($J167=12,-$E167*$I167/12*1,0)))))+IF(BY$5&lt;&gt;$H167,0,IF(BY167&lt;0,IF($J167=10,-$E167*$I167/12*0,IF($J167=11,-$E167*$I167/12*1,IF($J167=12,-$E167*$I167/12*2,0)))))</f>
        <v>0</v>
      </c>
      <c r="CD167" s="440">
        <f>IF(AND(BY167&lt;&gt;0,BY$5=$H167),-$I167*$E167-BY167,IF(CD$5=$H167,-$I167*$E167*(12-$J167+1)/12,0))</f>
        <v>0</v>
      </c>
      <c r="CE167" s="441">
        <f>IF($H167&lt;&gt;CI$5,0,IF(CI167&lt;0,IF($J167=1,-$E167*$I167/12*3,IF($J167=2,-$E167*$I167/12*2,IF($J167=3,-$E167*$I167/12*1,0)))))+IF(CD$5&lt;&gt;$H167,0,IF(CD167&lt;0,IF($J167=1,-$E167*$I167/12*0,IF($J167=2,-$E167*$I167/12*1,IF($J167=3,-$E167*$I167/12*2,IF($J167&gt;=4,-$E167*$I167/12*3,0))))))</f>
        <v>0</v>
      </c>
      <c r="CF167" s="442">
        <f>IF($H167&lt;&gt;CI$5,0,IF(CI167&lt;0,IF(OR($J167=1,$J167=2,$J167=3,$J167=4),-$E167*$I167/12*3,IF($J167=5,-$E167*$I167/12*2,IF($J167=6,-$E167*$I167/12*1,0)))))+IF(CD$5&lt;&gt;$H167,0,IF(CD167&lt;0,IF($J167=4,-$E167*$I167/12*0,IF($J167=5,-$E167*$I167/12*1,IF($J167=6,-$E167*$I167/12*2,IF($J167&gt;=7,-$E167*$I167/12*3,0))))))</f>
        <v>0</v>
      </c>
      <c r="CG167" s="442">
        <f>IF($H167&lt;&gt;CI$5,0,IF(CI167&lt;0,IF(OR($J167=1,$J167=2,$J167=3,$J167=4,$J167=5,$J167=6,$J167=7),-$E167*$I167/12*3,IF($J167=8,-$E167*$I167/12*2,IF($J167=9,-$E167*$I167/12*1,0)))))+IF(CD$5&lt;&gt;$H167,0,IF(CD167&lt;0,IF($J167=7,-$E167*$I167/12*0,IF($J167=8,-$E167*$I167/12*1,IF($J167=9,-$E167*$I167/12*2,IF($J167&gt;=10,-$E167*$I167/12*3,0))))))</f>
        <v>0</v>
      </c>
      <c r="CH167" s="443">
        <f>IF($H167&lt;&gt;CI$5,0,IF(CI167&lt;0,IF(OR($J167=1,$J167=2,$J167=3,$J167=4,$J167=5,$J167=6,$J167=7,$J167=8,$J167=9,$J167=10),-$E167*$I167/12*3,IF($J167=11,-$E167*$I167/12*2,IF($J167=12,-$E167*$I167/12*1,0)))))+IF(CD$5&lt;&gt;$H167,0,IF(CD167&lt;0,IF($J167=10,-$E167*$I167/12*0,IF($J167=11,-$E167*$I167/12*1,IF($J167=12,-$E167*$I167/12*2,0)))))</f>
        <v>0</v>
      </c>
      <c r="CI167" s="440">
        <f>IF(AND(CD167&lt;&gt;0,CD$5=$H167),-$I167*$E167-CD167,IF(CI$5=$H167,-$I167*$E167*(12-$J167+1)/12,0))</f>
        <v>0</v>
      </c>
      <c r="CJ167" s="441">
        <f>IF($H167&lt;&gt;CN$5,0,IF(CN167&lt;0,IF($J167=1,-$E167*$I167/12*3,IF($J167=2,-$E167*$I167/12*2,IF($J167=3,-$E167*$I167/12*1,0)))))+IF(CI$5&lt;&gt;$H167,0,IF(CI167&lt;0,IF($J167=1,-$E167*$I167/12*0,IF($J167=2,-$E167*$I167/12*1,IF($J167=3,-$E167*$I167/12*2,IF($J167&gt;=4,-$E167*$I167/12*3,0))))))</f>
        <v>0</v>
      </c>
      <c r="CK167" s="442">
        <f>IF($H167&lt;&gt;CN$5,0,IF(CN167&lt;0,IF(OR($J167=1,$J167=2,$J167=3,$J167=4),-$E167*$I167/12*3,IF($J167=5,-$E167*$I167/12*2,IF($J167=6,-$E167*$I167/12*1,0)))))+IF(CI$5&lt;&gt;$H167,0,IF(CI167&lt;0,IF($J167=4,-$E167*$I167/12*0,IF($J167=5,-$E167*$I167/12*1,IF($J167=6,-$E167*$I167/12*2,IF($J167&gt;=7,-$E167*$I167/12*3,0))))))</f>
        <v>0</v>
      </c>
      <c r="CL167" s="442">
        <f>IF($H167&lt;&gt;CN$5,0,IF(CN167&lt;0,IF(OR($J167=1,$J167=2,$J167=3,$J167=4,$J167=5,$J167=6,$J167=7),-$E167*$I167/12*3,IF($J167=8,-$E167*$I167/12*2,IF($J167=9,-$E167*$I167/12*1,0)))))+IF(CI$5&lt;&gt;$H167,0,IF(CI167&lt;0,IF($J167=7,-$E167*$I167/12*0,IF($J167=8,-$E167*$I167/12*1,IF($J167=9,-$E167*$I167/12*2,IF($J167&gt;=10,-$E167*$I167/12*3,0))))))</f>
        <v>0</v>
      </c>
      <c r="CM167" s="443">
        <f>IF($H167&lt;&gt;CN$5,0,IF(CN167&lt;0,IF(OR($J167=1,$J167=2,$J167=3,$J167=4,$J167=5,$J167=6,$J167=7,$J167=8,$J167=9,$J167=10),-$E167*$I167/12*3,IF($J167=11,-$E167*$I167/12*2,IF($J167=12,-$E167*$I167/12*1,0)))))+IF(CI$5&lt;&gt;$H167,0,IF(CI167&lt;0,IF($J167=10,-$E167*$I167/12*0,IF($J167=11,-$E167*$I167/12*1,IF($J167=12,-$E167*$I167/12*2,0)))))</f>
        <v>0</v>
      </c>
      <c r="CN167" s="440">
        <f>IF(AND(CI167&lt;&gt;0,CI$5=$H167),-$I167*$E167-CI167,IF(CN$5=$H167,-$I167*$E167*(12-$J167+1)/12,0))</f>
        <v>0</v>
      </c>
      <c r="CO167" s="441">
        <f>IF($H167&lt;&gt;CS$5,0,IF(CS167&lt;0,IF($J167=1,-$E167*$I167/12*3,IF($J167=2,-$E167*$I167/12*2,IF($J167=3,-$E167*$I167/12*1,0)))))+IF(CN$5&lt;&gt;$H167,0,IF(CN167&lt;0,IF($J167=1,-$E167*$I167/12*0,IF($J167=2,-$E167*$I167/12*1,IF($J167=3,-$E167*$I167/12*2,IF($J167&gt;=4,-$E167*$I167/12*3,0))))))</f>
        <v>0</v>
      </c>
      <c r="CP167" s="442">
        <f>IF($H167&lt;&gt;CS$5,0,IF(CS167&lt;0,IF(OR($J167=1,$J167=2,$J167=3,$J167=4),-$E167*$I167/12*3,IF($J167=5,-$E167*$I167/12*2,IF($J167=6,-$E167*$I167/12*1,0)))))+IF(CN$5&lt;&gt;$H167,0,IF(CN167&lt;0,IF($J167=4,-$E167*$I167/12*0,IF($J167=5,-$E167*$I167/12*1,IF($J167=6,-$E167*$I167/12*2,IF($J167&gt;=7,-$E167*$I167/12*3,0))))))</f>
        <v>0</v>
      </c>
      <c r="CQ167" s="442">
        <f>IF($H167&lt;&gt;CS$5,0,IF(CS167&lt;0,IF(OR($J167=1,$J167=2,$J167=3,$J167=4,$J167=5,$J167=6,$J167=7),-$E167*$I167/12*3,IF($J167=8,-$E167*$I167/12*2,IF($J167=9,-$E167*$I167/12*1,0)))))+IF(CN$5&lt;&gt;$H167,0,IF(CN167&lt;0,IF($J167=7,-$E167*$I167/12*0,IF($J167=8,-$E167*$I167/12*1,IF($J167=9,-$E167*$I167/12*2,IF($J167&gt;=10,-$E167*$I167/12*3,0))))))</f>
        <v>0</v>
      </c>
      <c r="CR167" s="443">
        <f>IF($H167&lt;&gt;CS$5,0,IF(CS167&lt;0,IF(OR($J167=1,$J167=2,$J167=3,$J167=4,$J167=5,$J167=6,$J167=7,$J167=8,$J167=9,$J167=10),-$E167*$I167/12*3,IF($J167=11,-$E167*$I167/12*2,IF($J167=12,-$E167*$I167/12*1,0)))))+IF(CN$5&lt;&gt;$H167,0,IF(CN167&lt;0,IF($J167=10,-$E167*$I167/12*0,IF($J167=11,-$E167*$I167/12*1,IF($J167=12,-$E167*$I167/12*2,0)))))</f>
        <v>0</v>
      </c>
      <c r="CS167" s="440">
        <f>IF(AND(CN167&lt;&gt;0,CN$5=$H167),-$I167*$E167-CN167,IF(CS$5=$H167,-$I167*$E167*(12-$J167+1)/12,0))</f>
        <v>0</v>
      </c>
      <c r="CT167" s="441">
        <f>IF($H167&lt;&gt;CX$5,0,IF(CX167&lt;0,IF($J167=1,-$E167*$I167/12*3,IF($J167=2,-$E167*$I167/12*2,IF($J167=3,-$E167*$I167/12*1,0)))))+IF(CS$5&lt;&gt;$H167,0,IF(CS167&lt;0,IF($J167=1,-$E167*$I167/12*0,IF($J167=2,-$E167*$I167/12*1,IF($J167=3,-$E167*$I167/12*2,IF($J167&gt;=4,-$E167*$I167/12*3,0))))))</f>
        <v>0</v>
      </c>
      <c r="CU167" s="442">
        <f>IF($H167&lt;&gt;CX$5,0,IF(CX167&lt;0,IF(OR($J167=1,$J167=2,$J167=3,$J167=4),-$E167*$I167/12*3,IF($J167=5,-$E167*$I167/12*2,IF($J167=6,-$E167*$I167/12*1,0)))))+IF(CS$5&lt;&gt;$H167,0,IF(CS167&lt;0,IF($J167=4,-$E167*$I167/12*0,IF($J167=5,-$E167*$I167/12*1,IF($J167=6,-$E167*$I167/12*2,IF($J167&gt;=7,-$E167*$I167/12*3,0))))))</f>
        <v>0</v>
      </c>
      <c r="CV167" s="442">
        <f>IF($H167&lt;&gt;CX$5,0,IF(CX167&lt;0,IF(OR($J167=1,$J167=2,$J167=3,$J167=4,$J167=5,$J167=6,$J167=7),-$E167*$I167/12*3,IF($J167=8,-$E167*$I167/12*2,IF($J167=9,-$E167*$I167/12*1,0)))))+IF(CS$5&lt;&gt;$H167,0,IF(CS167&lt;0,IF($J167=7,-$E167*$I167/12*0,IF($J167=8,-$E167*$I167/12*1,IF($J167=9,-$E167*$I167/12*2,IF($J167&gt;=10,-$E167*$I167/12*3,0))))))</f>
        <v>0</v>
      </c>
      <c r="CW167" s="443">
        <f>IF($H167&lt;&gt;CX$5,0,IF(CX167&lt;0,IF(OR($J167=1,$J167=2,$J167=3,$J167=4,$J167=5,$J167=6,$J167=7,$J167=8,$J167=9,$J167=10),-$E167*$I167/12*3,IF($J167=11,-$E167*$I167/12*2,IF($J167=12,-$E167*$I167/12*1,0)))))+IF(CS$5&lt;&gt;$H167,0,IF(CS167&lt;0,IF($J167=10,-$E167*$I167/12*0,IF($J167=11,-$E167*$I167/12*1,IF($J167=12,-$E167*$I167/12*2,0)))))</f>
        <v>0</v>
      </c>
      <c r="CX167" s="440">
        <f>IF(AND(CS167&lt;&gt;0,CS$5=$H167),-$I167*$E167-CS167,IF(CX$5=$H167,-$I167*$E167*(12-$J167+1)/12,0))</f>
        <v>0</v>
      </c>
      <c r="CY167" s="441">
        <f>IF($H167&lt;&gt;DC$5,0,IF(DC167&lt;0,IF($J167=1,-$E167*$I167/12*3,IF($J167=2,-$E167*$I167/12*2,IF($J167=3,-$E167*$I167/12*1,0)))))+IF(CX$5&lt;&gt;$H167,0,IF(CX167&lt;0,IF($J167=1,-$E167*$I167/12*0,IF($J167=2,-$E167*$I167/12*1,IF($J167=3,-$E167*$I167/12*2,IF($J167&gt;=4,-$E167*$I167/12*3,0))))))</f>
        <v>0</v>
      </c>
      <c r="CZ167" s="442">
        <f>IF($H167&lt;&gt;DC$5,0,IF(DC167&lt;0,IF(OR($J167=1,$J167=2,$J167=3,$J167=4),-$E167*$I167/12*3,IF($J167=5,-$E167*$I167/12*2,IF($J167=6,-$E167*$I167/12*1,0)))))+IF(CX$5&lt;&gt;$H167,0,IF(CX167&lt;0,IF($J167=4,-$E167*$I167/12*0,IF($J167=5,-$E167*$I167/12*1,IF($J167=6,-$E167*$I167/12*2,IF($J167&gt;=7,-$E167*$I167/12*3,0))))))</f>
        <v>-2.1170543200000003E-2</v>
      </c>
      <c r="DA167" s="442">
        <f>IF($H167&lt;&gt;DC$5,0,IF(DC167&lt;0,IF(OR($J167=1,$J167=2,$J167=3,$J167=4,$J167=5,$J167=6,$J167=7),-$E167*$I167/12*3,IF($J167=8,-$E167*$I167/12*2,IF($J167=9,-$E167*$I167/12*1,0)))))+IF(CX$5&lt;&gt;$H167,0,IF(CX167&lt;0,IF($J167=7,-$E167*$I167/12*0,IF($J167=8,-$E167*$I167/12*1,IF($J167=9,-$E167*$I167/12*2,IF($J167&gt;=10,-$E167*$I167/12*3,0))))))</f>
        <v>-6.3511629600000008E-2</v>
      </c>
      <c r="DB167" s="443">
        <f>IF($H167&lt;&gt;DC$5,0,IF(DC167&lt;0,IF(OR($J167=1,$J167=2,$J167=3,$J167=4,$J167=5,$J167=6,$J167=7,$J167=8,$J167=9,$J167=10),-$E167*$I167/12*3,IF($J167=11,-$E167*$I167/12*2,IF($J167=12,-$E167*$I167/12*1,0)))))+IF(CX$5&lt;&gt;$H167,0,IF(CX167&lt;0,IF($J167=10,-$E167*$I167/12*0,IF($J167=11,-$E167*$I167/12*1,IF($J167=12,-$E167*$I167/12*2,0)))))</f>
        <v>-6.3511629600000008E-2</v>
      </c>
      <c r="DC167" s="440">
        <f>IF(AND(CX167&lt;&gt;0,CX$5=$H167),-$I167*$E167-CX167,IF(DC$5=$H167,-$I167*$E167*(12-$J167+1)/12,0))</f>
        <v>-0.14819380240000002</v>
      </c>
      <c r="DD167" s="441">
        <f>IF($H167&lt;&gt;DH$5,0,IF(DH167&lt;0,IF($J167=1,-$E167*$I167/12*3,IF($J167=2,-$E167*$I167/12*2,IF($J167=3,-$E167*$I167/12*1,0)))))+IF(DC$5&lt;&gt;$H167,0,IF(DC167&lt;0,IF($J167=1,-$E167*$I167/12*0,IF($J167=2,-$E167*$I167/12*1,IF($J167=3,-$E167*$I167/12*2,IF($J167&gt;=4,-$E167*$I167/12*3,0))))))</f>
        <v>-6.3511629600000008E-2</v>
      </c>
      <c r="DE167" s="442">
        <f>IF($H167&lt;&gt;DH$5,0,IF(DH167&lt;0,IF(OR($J167=1,$J167=2,$J167=3,$J167=4),-$E167*$I167/12*3,IF($J167=5,-$E167*$I167/12*2,IF($J167=6,-$E167*$I167/12*1,0)))))+IF(DC$5&lt;&gt;$H167,0,IF(DC167&lt;0,IF($J167=4,-$E167*$I167/12*0,IF($J167=5,-$E167*$I167/12*1,IF($J167=6,-$E167*$I167/12*2,IF($J167&gt;=7,-$E167*$I167/12*3,0))))))</f>
        <v>-4.2341086400000005E-2</v>
      </c>
      <c r="DF167" s="442">
        <f>IF($H167&lt;&gt;DH$5,0,IF(DH167&lt;0,IF(OR($J167=1,$J167=2,$J167=3,$J167=4,$J167=5,$J167=6,$J167=7),-$E167*$I167/12*3,IF($J167=8,-$E167*$I167/12*2,IF($J167=9,-$E167*$I167/12*1,0)))))+IF(DC$5&lt;&gt;$H167,0,IF(DC167&lt;0,IF($J167=7,-$E167*$I167/12*0,IF($J167=8,-$E167*$I167/12*1,IF($J167=9,-$E167*$I167/12*2,IF($J167&gt;=10,-$E167*$I167/12*3,0))))))</f>
        <v>0</v>
      </c>
      <c r="DG167" s="443">
        <f>IF($H167&lt;&gt;DH$5,0,IF(DH167&lt;0,IF(OR($J167=1,$J167=2,$J167=3,$J167=4,$J167=5,$J167=6,$J167=7,$J167=8,$J167=9,$J167=10),-$E167*$I167/12*3,IF($J167=11,-$E167*$I167/12*2,IF($J167=12,-$E167*$I167/12*1,0)))))+IF(DC$5&lt;&gt;$H167,0,IF(DC167&lt;0,IF($J167=10,-$E167*$I167/12*0,IF($J167=11,-$E167*$I167/12*1,IF($J167=12,-$E167*$I167/12*2,0)))))</f>
        <v>0</v>
      </c>
      <c r="DH167" s="440">
        <f>IF(AND(DC167&lt;&gt;0,DC$5=$H167),-$I167*$E167-DC167,IF(DH$5=$H167,-$I167*$E167*(12-$J167+1)/12,0))</f>
        <v>-0.10585271600000001</v>
      </c>
      <c r="DI167" s="441">
        <f>IF($H167&lt;&gt;DM$5,0,IF(DM167&lt;0,IF($J167=1,-$E167*$I167/12*3,IF($J167=2,-$E167*$I167/12*2,IF($J167=3,-$E167*$I167/12*1,0)))))+IF(DH$5&lt;&gt;$H167,0,IF(DH167&lt;0,IF($J167=1,-$E167*$I167/12*0,IF($J167=2,-$E167*$I167/12*1,IF($J167=3,-$E167*$I167/12*2,IF($J167&gt;=4,-$E167*$I167/12*3,0))))))</f>
        <v>0</v>
      </c>
      <c r="DJ167" s="442">
        <f>IF($H167&lt;&gt;DM$5,0,IF(DM167&lt;0,IF(OR($J167=1,$J167=2,$J167=3,$J167=4),-$E167*$I167/12*3,IF($J167=5,-$E167*$I167/12*2,IF($J167=6,-$E167*$I167/12*1,0)))))+IF(DH$5&lt;&gt;$H167,0,IF(DH167&lt;0,IF($J167=4,-$E167*$I167/12*0,IF($J167=5,-$E167*$I167/12*1,IF($J167=6,-$E167*$I167/12*2,IF($J167&gt;=7,-$E167*$I167/12*3,0))))))</f>
        <v>0</v>
      </c>
      <c r="DK167" s="442">
        <f>IF($H167&lt;&gt;DM$5,0,IF(DM167&lt;0,IF(OR($J167=1,$J167=2,$J167=3,$J167=4,$J167=5,$J167=6,$J167=7),-$E167*$I167/12*3,IF($J167=8,-$E167*$I167/12*2,IF($J167=9,-$E167*$I167/12*1,0)))))+IF(DH$5&lt;&gt;$H167,0,IF(DH167&lt;0,IF($J167=7,-$E167*$I167/12*0,IF($J167=8,-$E167*$I167/12*1,IF($J167=9,-$E167*$I167/12*2,IF($J167&gt;=10,-$E167*$I167/12*3,0))))))</f>
        <v>0</v>
      </c>
      <c r="DL167" s="443">
        <f>IF($H167&lt;&gt;DM$5,0,IF(DM167&lt;0,IF(OR($J167=1,$J167=2,$J167=3,$J167=4,$J167=5,$J167=6,$J167=7,$J167=8,$J167=9,$J167=10),-$E167*$I167/12*3,IF($J167=11,-$E167*$I167/12*2,IF($J167=12,-$E167*$I167/12*1,0)))))+IF(DH$5&lt;&gt;$H167,0,IF(DH167&lt;0,IF($J167=10,-$E167*$I167/12*0,IF($J167=11,-$E167*$I167/12*1,IF($J167=12,-$E167*$I167/12*2,0)))))</f>
        <v>0</v>
      </c>
      <c r="DM167" s="440">
        <f>IF(AND(DH167&lt;&gt;0,DH$5=$H167),-$I167*$E167-DH167,IF(DM$5=$H167,-$I167*$E167*(12-$J167+1)/12,0))</f>
        <v>0</v>
      </c>
      <c r="DN167" s="441">
        <f>IF($H167&lt;&gt;DR$5,0,IF(DR167&lt;0,IF($J167=1,-$E167*$I167/12*3,IF($J167=2,-$E167*$I167/12*2,IF($J167=3,-$E167*$I167/12*1,0)))))+IF(DM$5&lt;&gt;$H167,0,IF(DM167&lt;0,IF($J167=1,-$E167*$I167/12*0,IF($J167=2,-$E167*$I167/12*1,IF($J167=3,-$E167*$I167/12*2,IF($J167&gt;=4,-$E167*$I167/12*3,0))))))</f>
        <v>0</v>
      </c>
      <c r="DO167" s="442">
        <f>IF($H167&lt;&gt;DR$5,0,IF(DR167&lt;0,IF(OR($J167=1,$J167=2,$J167=3,$J167=4),-$E167*$I167/12*3,IF($J167=5,-$E167*$I167/12*2,IF($J167=6,-$E167*$I167/12*1,0)))))+IF(DM$5&lt;&gt;$H167,0,IF(DM167&lt;0,IF($J167=4,-$E167*$I167/12*0,IF($J167=5,-$E167*$I167/12*1,IF($J167=6,-$E167*$I167/12*2,IF($J167&gt;=7,-$E167*$I167/12*3,0))))))</f>
        <v>0</v>
      </c>
      <c r="DP167" s="442">
        <f>IF($H167&lt;&gt;DR$5,0,IF(DR167&lt;0,IF(OR($J167=1,$J167=2,$J167=3,$J167=4,$J167=5,$J167=6,$J167=7),-$E167*$I167/12*3,IF($J167=8,-$E167*$I167/12*2,IF($J167=9,-$E167*$I167/12*1,0)))))+IF(DM$5&lt;&gt;$H167,0,IF(DM167&lt;0,IF($J167=7,-$E167*$I167/12*0,IF($J167=8,-$E167*$I167/12*1,IF($J167=9,-$E167*$I167/12*2,IF($J167&gt;=10,-$E167*$I167/12*3,0))))))</f>
        <v>0</v>
      </c>
      <c r="DQ167" s="443">
        <f>IF($H167&lt;&gt;DR$5,0,IF(DR167&lt;0,IF(OR($J167=1,$J167=2,$J167=3,$J167=4,$J167=5,$J167=6,$J167=7,$J167=8,$J167=9,$J167=10),-$E167*$I167/12*3,IF($J167=11,-$E167*$I167/12*2,IF($J167=12,-$E167*$I167/12*1,0)))))+IF(DM$5&lt;&gt;$H167,0,IF(DM167&lt;0,IF($J167=10,-$E167*$I167/12*0,IF($J167=11,-$E167*$I167/12*1,IF($J167=12,-$E167*$I167/12*2,0)))))</f>
        <v>0</v>
      </c>
      <c r="DR167" s="440">
        <f>IF(AND(DM167&lt;&gt;0,DM$5=$H167),-$I167*$E167-DM167,IF(DR$5=$H167,-$I167*$E167*(12-$J167+1)/12,0))</f>
        <v>0</v>
      </c>
    </row>
    <row r="168" spans="3:122" ht="12.75" customHeight="1">
      <c r="C168" s="1590" t="s">
        <v>1181</v>
      </c>
      <c r="D168" s="395"/>
      <c r="E168" s="1950">
        <f>IF(F168=0,G168,F168)</f>
        <v>51.139000000000003</v>
      </c>
      <c r="F168" s="1945">
        <v>51.139000000000003</v>
      </c>
      <c r="G168" s="1945">
        <v>51.139000000000003</v>
      </c>
      <c r="H168" s="1366">
        <v>2021</v>
      </c>
      <c r="I168" s="1367">
        <v>5.6100000000000004E-2</v>
      </c>
      <c r="J168" s="1357">
        <v>6</v>
      </c>
      <c r="K168" s="549"/>
      <c r="L168" s="441">
        <f t="shared" si="2074"/>
        <v>0</v>
      </c>
      <c r="M168" s="442">
        <f t="shared" si="2075"/>
        <v>0</v>
      </c>
      <c r="N168" s="442">
        <f t="shared" si="2076"/>
        <v>0</v>
      </c>
      <c r="O168" s="443">
        <f t="shared" si="2077"/>
        <v>0</v>
      </c>
      <c r="P168" s="440">
        <f t="shared" si="2078"/>
        <v>0</v>
      </c>
      <c r="Q168" s="441">
        <f t="shared" si="2079"/>
        <v>0</v>
      </c>
      <c r="R168" s="442">
        <f t="shared" si="2080"/>
        <v>0</v>
      </c>
      <c r="S168" s="442">
        <f t="shared" si="2081"/>
        <v>0</v>
      </c>
      <c r="T168" s="443">
        <f t="shared" si="2082"/>
        <v>0</v>
      </c>
      <c r="U168" s="440">
        <f t="shared" si="2083"/>
        <v>0</v>
      </c>
      <c r="V168" s="441">
        <f t="shared" si="2084"/>
        <v>0</v>
      </c>
      <c r="W168" s="442">
        <f t="shared" si="2085"/>
        <v>0</v>
      </c>
      <c r="X168" s="442">
        <f t="shared" si="2086"/>
        <v>0</v>
      </c>
      <c r="Y168" s="443">
        <f t="shared" si="2087"/>
        <v>0</v>
      </c>
      <c r="Z168" s="440">
        <f t="shared" si="2088"/>
        <v>0</v>
      </c>
      <c r="AA168" s="441">
        <f t="shared" si="2089"/>
        <v>0</v>
      </c>
      <c r="AB168" s="442">
        <f t="shared" si="2090"/>
        <v>0</v>
      </c>
      <c r="AC168" s="442">
        <f t="shared" si="2091"/>
        <v>0</v>
      </c>
      <c r="AD168" s="443">
        <f t="shared" si="2092"/>
        <v>0</v>
      </c>
      <c r="AE168" s="440">
        <f t="shared" si="2093"/>
        <v>0</v>
      </c>
      <c r="AF168" s="441">
        <f t="shared" si="2094"/>
        <v>0</v>
      </c>
      <c r="AG168" s="442">
        <f t="shared" si="2095"/>
        <v>0</v>
      </c>
      <c r="AH168" s="442">
        <f t="shared" si="2096"/>
        <v>0</v>
      </c>
      <c r="AI168" s="443">
        <f t="shared" si="2097"/>
        <v>0</v>
      </c>
      <c r="AJ168" s="440">
        <f t="shared" si="2098"/>
        <v>0</v>
      </c>
      <c r="AK168" s="441">
        <f t="shared" si="2099"/>
        <v>0</v>
      </c>
      <c r="AL168" s="442">
        <f t="shared" si="2100"/>
        <v>0</v>
      </c>
      <c r="AM168" s="442">
        <f t="shared" si="2101"/>
        <v>0</v>
      </c>
      <c r="AN168" s="443">
        <f t="shared" si="2102"/>
        <v>0</v>
      </c>
      <c r="AO168" s="440">
        <f t="shared" si="2103"/>
        <v>0</v>
      </c>
      <c r="AP168" s="441">
        <f t="shared" si="2104"/>
        <v>0</v>
      </c>
      <c r="AQ168" s="442">
        <f t="shared" si="2105"/>
        <v>0</v>
      </c>
      <c r="AR168" s="442">
        <f t="shared" si="2106"/>
        <v>0</v>
      </c>
      <c r="AS168" s="443">
        <f t="shared" si="2107"/>
        <v>0</v>
      </c>
      <c r="AT168" s="440">
        <f t="shared" si="2108"/>
        <v>0</v>
      </c>
      <c r="AU168" s="441">
        <f t="shared" si="2109"/>
        <v>0</v>
      </c>
      <c r="AV168" s="442">
        <f t="shared" si="2110"/>
        <v>0</v>
      </c>
      <c r="AW168" s="442">
        <f t="shared" si="2111"/>
        <v>0</v>
      </c>
      <c r="AX168" s="443">
        <f t="shared" si="2112"/>
        <v>0</v>
      </c>
      <c r="AY168" s="440">
        <f t="shared" si="2113"/>
        <v>0</v>
      </c>
      <c r="AZ168" s="441">
        <f t="shared" si="2114"/>
        <v>0</v>
      </c>
      <c r="BA168" s="442">
        <f t="shared" si="2115"/>
        <v>0</v>
      </c>
      <c r="BB168" s="442">
        <f t="shared" si="2116"/>
        <v>0</v>
      </c>
      <c r="BC168" s="443">
        <f t="shared" si="2117"/>
        <v>0</v>
      </c>
      <c r="BD168" s="440">
        <f t="shared" si="2118"/>
        <v>0</v>
      </c>
      <c r="BE168" s="441">
        <f t="shared" si="2119"/>
        <v>0</v>
      </c>
      <c r="BF168" s="442">
        <f t="shared" si="2120"/>
        <v>0</v>
      </c>
      <c r="BG168" s="442">
        <f t="shared" si="2121"/>
        <v>0</v>
      </c>
      <c r="BH168" s="443">
        <f t="shared" si="2122"/>
        <v>0</v>
      </c>
      <c r="BI168" s="440">
        <f t="shared" si="2123"/>
        <v>0</v>
      </c>
      <c r="BJ168" s="441">
        <f t="shared" si="2124"/>
        <v>0</v>
      </c>
      <c r="BK168" s="442">
        <f t="shared" si="2125"/>
        <v>-51.139000000000003</v>
      </c>
      <c r="BL168" s="442">
        <f t="shared" si="2126"/>
        <v>0</v>
      </c>
      <c r="BM168" s="443">
        <f t="shared" si="2127"/>
        <v>0</v>
      </c>
      <c r="BN168" s="440">
        <f t="shared" si="2128"/>
        <v>-51.139000000000003</v>
      </c>
      <c r="BO168" s="470"/>
      <c r="BP168" s="441">
        <f>IF($H168&lt;&gt;BT$5,0,IF(BT168&lt;0,IF($J168=1,-$E168*$I168/12*3,IF($J168=2,-$E168*$I168/12*2,IF($J168=3,-$E168*$I168/12*1,0)))))+IF(BO$5&lt;&gt;$H168,0,IF(BO168&lt;0,IF($J168=1,-$E168*$I168/12*0,IF($J168=2,-$E168*$I168/12*1,IF($J168=3,-$E168*$I168/12*2,IF($J168&gt;=4,-$E168*$I168/12*3,0))))))</f>
        <v>0</v>
      </c>
      <c r="BQ168" s="442">
        <f>IF($H168&lt;&gt;BT$5,0,IF(BT168&lt;0,IF(OR($J168=1,$J168=2,$J168=3,$J168=4),-$E168*$I168/12*3,IF($J168=5,-$E168*$I168/12*2,IF($J168=6,-$E168*$I168/12*1,0)))))+IF(BO$5&lt;&gt;$H168,0,IF(BO168&lt;0,IF($J168=4,-$E168*$I168/12*0,IF($J168=5,-$E168*$I168/12*1,IF($J168=6,-$E168*$I168/12*2,IF($J168&gt;=7,-$E168*$I168/12*3,0))))))</f>
        <v>0</v>
      </c>
      <c r="BR168" s="442">
        <f>IF($H168&lt;&gt;BT$5,0,IF(BT168&lt;0,IF(OR($J168=1,$J168=2,$J168=3,$J168=4,$J168=5,$J168=6,$J168=7),-$E168*$I168/12*3,IF($J168=8,-$E168*$I168/12*2,IF($J168=9,-$E168*$I168/12*1,0)))))+IF(BO$5&lt;&gt;$H168,0,IF(BO168&lt;0,IF($J168=7,-$E168*$I168/12*0,IF($J168=8,-$E168*$I168/12*1,IF($J168=9,-$E168*$I168/12*2,IF($J168&gt;=10,-$E168*$I168/12*3,0))))))</f>
        <v>0</v>
      </c>
      <c r="BS168" s="443">
        <f>IF($H168&lt;&gt;BT$5,0,IF(BT168&lt;0,IF(OR($J168=1,$J168=2,$J168=3,$J168=4,$J168=5,$J168=6,$J168=7,$J168=8,$J168=9,$J168=10),-$E168*$I168/12*3,IF($J168=11,-$E168*$I168/12*2,IF($J168=12,-$E168*$I168/12*1,0)))))+IF(BO$5&lt;&gt;$H168,0,IF(BO168&lt;0,IF($J168=10,-$E168*$I168/12*0,IF($J168=11,-$E168*$I168/12*1,IF($J168=12,-$E168*$I168/12*2,0)))))</f>
        <v>0</v>
      </c>
      <c r="BT168" s="440">
        <f>IF(AND(BO168&lt;&gt;0,BO$5=$H168),-$I168*$E168-BO168,IF(BT$5=$H168,-$I168*$E168*(12-$J168+1)/12,0))</f>
        <v>0</v>
      </c>
      <c r="BU168" s="441">
        <f>IF($H168&lt;&gt;BY$5,0,IF(BY168&lt;0,IF($J168=1,-$E168*$I168/12*3,IF($J168=2,-$E168*$I168/12*2,IF($J168=3,-$E168*$I168/12*1,0)))))+IF(BT$5&lt;&gt;$H168,0,IF(BT168&lt;0,IF($J168=1,-$E168*$I168/12*0,IF($J168=2,-$E168*$I168/12*1,IF($J168=3,-$E168*$I168/12*2,IF($J168&gt;=4,-$E168*$I168/12*3,0))))))</f>
        <v>0</v>
      </c>
      <c r="BV168" s="442">
        <f>IF($H168&lt;&gt;BY$5,0,IF(BY168&lt;0,IF(OR($J168=1,$J168=2,$J168=3,$J168=4),-$E168*$I168/12*3,IF($J168=5,-$E168*$I168/12*2,IF($J168=6,-$E168*$I168/12*1,0)))))+IF(BT$5&lt;&gt;$H168,0,IF(BT168&lt;0,IF($J168=4,-$E168*$I168/12*0,IF($J168=5,-$E168*$I168/12*1,IF($J168=6,-$E168*$I168/12*2,IF($J168&gt;=7,-$E168*$I168/12*3,0))))))</f>
        <v>0</v>
      </c>
      <c r="BW168" s="442">
        <f>IF($H168&lt;&gt;BY$5,0,IF(BY168&lt;0,IF(OR($J168=1,$J168=2,$J168=3,$J168=4,$J168=5,$J168=6,$J168=7),-$E168*$I168/12*3,IF($J168=8,-$E168*$I168/12*2,IF($J168=9,-$E168*$I168/12*1,0)))))+IF(BT$5&lt;&gt;$H168,0,IF(BT168&lt;0,IF($J168=7,-$E168*$I168/12*0,IF($J168=8,-$E168*$I168/12*1,IF($J168=9,-$E168*$I168/12*2,IF($J168&gt;=10,-$E168*$I168/12*3,0))))))</f>
        <v>0</v>
      </c>
      <c r="BX168" s="443">
        <f>IF($H168&lt;&gt;BY$5,0,IF(BY168&lt;0,IF(OR($J168=1,$J168=2,$J168=3,$J168=4,$J168=5,$J168=6,$J168=7,$J168=8,$J168=9,$J168=10),-$E168*$I168/12*3,IF($J168=11,-$E168*$I168/12*2,IF($J168=12,-$E168*$I168/12*1,0)))))+IF(BT$5&lt;&gt;$H168,0,IF(BT168&lt;0,IF($J168=10,-$E168*$I168/12*0,IF($J168=11,-$E168*$I168/12*1,IF($J168=12,-$E168*$I168/12*2,0)))))</f>
        <v>0</v>
      </c>
      <c r="BY168" s="440">
        <f>IF(AND(BT168&lt;&gt;0,BT$5=$H168),-$I168*$E168-BT168,IF(BY$5=$H168,-$I168*$E168*(12-$J168+1)/12,0))</f>
        <v>0</v>
      </c>
      <c r="BZ168" s="441">
        <f>IF($H168&lt;&gt;CD$5,0,IF(CD168&lt;0,IF($J168=1,-$E168*$I168/12*3,IF($J168=2,-$E168*$I168/12*2,IF($J168=3,-$E168*$I168/12*1,0)))))+IF(BY$5&lt;&gt;$H168,0,IF(BY168&lt;0,IF($J168=1,-$E168*$I168/12*0,IF($J168=2,-$E168*$I168/12*1,IF($J168=3,-$E168*$I168/12*2,IF($J168&gt;=4,-$E168*$I168/12*3,0))))))</f>
        <v>0</v>
      </c>
      <c r="CA168" s="442">
        <f>IF($H168&lt;&gt;CD$5,0,IF(CD168&lt;0,IF(OR($J168=1,$J168=2,$J168=3,$J168=4),-$E168*$I168/12*3,IF($J168=5,-$E168*$I168/12*2,IF($J168=6,-$E168*$I168/12*1,0)))))+IF(BY$5&lt;&gt;$H168,0,IF(BY168&lt;0,IF($J168=4,-$E168*$I168/12*0,IF($J168=5,-$E168*$I168/12*1,IF($J168=6,-$E168*$I168/12*2,IF($J168&gt;=7,-$E168*$I168/12*3,0))))))</f>
        <v>0</v>
      </c>
      <c r="CB168" s="442">
        <f>IF($H168&lt;&gt;CD$5,0,IF(CD168&lt;0,IF(OR($J168=1,$J168=2,$J168=3,$J168=4,$J168=5,$J168=6,$J168=7),-$E168*$I168/12*3,IF($J168=8,-$E168*$I168/12*2,IF($J168=9,-$E168*$I168/12*1,0)))))+IF(BY$5&lt;&gt;$H168,0,IF(BY168&lt;0,IF($J168=7,-$E168*$I168/12*0,IF($J168=8,-$E168*$I168/12*1,IF($J168=9,-$E168*$I168/12*2,IF($J168&gt;=10,-$E168*$I168/12*3,0))))))</f>
        <v>0</v>
      </c>
      <c r="CC168" s="443">
        <f>IF($H168&lt;&gt;CD$5,0,IF(CD168&lt;0,IF(OR($J168=1,$J168=2,$J168=3,$J168=4,$J168=5,$J168=6,$J168=7,$J168=8,$J168=9,$J168=10),-$E168*$I168/12*3,IF($J168=11,-$E168*$I168/12*2,IF($J168=12,-$E168*$I168/12*1,0)))))+IF(BY$5&lt;&gt;$H168,0,IF(BY168&lt;0,IF($J168=10,-$E168*$I168/12*0,IF($J168=11,-$E168*$I168/12*1,IF($J168=12,-$E168*$I168/12*2,0)))))</f>
        <v>0</v>
      </c>
      <c r="CD168" s="440">
        <f>IF(AND(BY168&lt;&gt;0,BY$5=$H168),-$I168*$E168-BY168,IF(CD$5=$H168,-$I168*$E168*(12-$J168+1)/12,0))</f>
        <v>0</v>
      </c>
      <c r="CE168" s="441">
        <f>IF($H168&lt;&gt;CI$5,0,IF(CI168&lt;0,IF($J168=1,-$E168*$I168/12*3,IF($J168=2,-$E168*$I168/12*2,IF($J168=3,-$E168*$I168/12*1,0)))))+IF(CD$5&lt;&gt;$H168,0,IF(CD168&lt;0,IF($J168=1,-$E168*$I168/12*0,IF($J168=2,-$E168*$I168/12*1,IF($J168=3,-$E168*$I168/12*2,IF($J168&gt;=4,-$E168*$I168/12*3,0))))))</f>
        <v>0</v>
      </c>
      <c r="CF168" s="442">
        <f>IF($H168&lt;&gt;CI$5,0,IF(CI168&lt;0,IF(OR($J168=1,$J168=2,$J168=3,$J168=4),-$E168*$I168/12*3,IF($J168=5,-$E168*$I168/12*2,IF($J168=6,-$E168*$I168/12*1,0)))))+IF(CD$5&lt;&gt;$H168,0,IF(CD168&lt;0,IF($J168=4,-$E168*$I168/12*0,IF($J168=5,-$E168*$I168/12*1,IF($J168=6,-$E168*$I168/12*2,IF($J168&gt;=7,-$E168*$I168/12*3,0))))))</f>
        <v>0</v>
      </c>
      <c r="CG168" s="442">
        <f>IF($H168&lt;&gt;CI$5,0,IF(CI168&lt;0,IF(OR($J168=1,$J168=2,$J168=3,$J168=4,$J168=5,$J168=6,$J168=7),-$E168*$I168/12*3,IF($J168=8,-$E168*$I168/12*2,IF($J168=9,-$E168*$I168/12*1,0)))))+IF(CD$5&lt;&gt;$H168,0,IF(CD168&lt;0,IF($J168=7,-$E168*$I168/12*0,IF($J168=8,-$E168*$I168/12*1,IF($J168=9,-$E168*$I168/12*2,IF($J168&gt;=10,-$E168*$I168/12*3,0))))))</f>
        <v>0</v>
      </c>
      <c r="CH168" s="443">
        <f>IF($H168&lt;&gt;CI$5,0,IF(CI168&lt;0,IF(OR($J168=1,$J168=2,$J168=3,$J168=4,$J168=5,$J168=6,$J168=7,$J168=8,$J168=9,$J168=10),-$E168*$I168/12*3,IF($J168=11,-$E168*$I168/12*2,IF($J168=12,-$E168*$I168/12*1,0)))))+IF(CD$5&lt;&gt;$H168,0,IF(CD168&lt;0,IF($J168=10,-$E168*$I168/12*0,IF($J168=11,-$E168*$I168/12*1,IF($J168=12,-$E168*$I168/12*2,0)))))</f>
        <v>0</v>
      </c>
      <c r="CI168" s="440">
        <f>IF(AND(CD168&lt;&gt;0,CD$5=$H168),-$I168*$E168-CD168,IF(CI$5=$H168,-$I168*$E168*(12-$J168+1)/12,0))</f>
        <v>0</v>
      </c>
      <c r="CJ168" s="441">
        <f>IF($H168&lt;&gt;CN$5,0,IF(CN168&lt;0,IF($J168=1,-$E168*$I168/12*3,IF($J168=2,-$E168*$I168/12*2,IF($J168=3,-$E168*$I168/12*1,0)))))+IF(CI$5&lt;&gt;$H168,0,IF(CI168&lt;0,IF($J168=1,-$E168*$I168/12*0,IF($J168=2,-$E168*$I168/12*1,IF($J168=3,-$E168*$I168/12*2,IF($J168&gt;=4,-$E168*$I168/12*3,0))))))</f>
        <v>0</v>
      </c>
      <c r="CK168" s="442">
        <f>IF($H168&lt;&gt;CN$5,0,IF(CN168&lt;0,IF(OR($J168=1,$J168=2,$J168=3,$J168=4),-$E168*$I168/12*3,IF($J168=5,-$E168*$I168/12*2,IF($J168=6,-$E168*$I168/12*1,0)))))+IF(CI$5&lt;&gt;$H168,0,IF(CI168&lt;0,IF($J168=4,-$E168*$I168/12*0,IF($J168=5,-$E168*$I168/12*1,IF($J168=6,-$E168*$I168/12*2,IF($J168&gt;=7,-$E168*$I168/12*3,0))))))</f>
        <v>0</v>
      </c>
      <c r="CL168" s="442">
        <f>IF($H168&lt;&gt;CN$5,0,IF(CN168&lt;0,IF(OR($J168=1,$J168=2,$J168=3,$J168=4,$J168=5,$J168=6,$J168=7),-$E168*$I168/12*3,IF($J168=8,-$E168*$I168/12*2,IF($J168=9,-$E168*$I168/12*1,0)))))+IF(CI$5&lt;&gt;$H168,0,IF(CI168&lt;0,IF($J168=7,-$E168*$I168/12*0,IF($J168=8,-$E168*$I168/12*1,IF($J168=9,-$E168*$I168/12*2,IF($J168&gt;=10,-$E168*$I168/12*3,0))))))</f>
        <v>0</v>
      </c>
      <c r="CM168" s="443">
        <f>IF($H168&lt;&gt;CN$5,0,IF(CN168&lt;0,IF(OR($J168=1,$J168=2,$J168=3,$J168=4,$J168=5,$J168=6,$J168=7,$J168=8,$J168=9,$J168=10),-$E168*$I168/12*3,IF($J168=11,-$E168*$I168/12*2,IF($J168=12,-$E168*$I168/12*1,0)))))+IF(CI$5&lt;&gt;$H168,0,IF(CI168&lt;0,IF($J168=10,-$E168*$I168/12*0,IF($J168=11,-$E168*$I168/12*1,IF($J168=12,-$E168*$I168/12*2,0)))))</f>
        <v>0</v>
      </c>
      <c r="CN168" s="440">
        <f>IF(AND(CI168&lt;&gt;0,CI$5=$H168),-$I168*$E168-CI168,IF(CN$5=$H168,-$I168*$E168*(12-$J168+1)/12,0))</f>
        <v>0</v>
      </c>
      <c r="CO168" s="441">
        <f>IF($H168&lt;&gt;CS$5,0,IF(CS168&lt;0,IF($J168=1,-$E168*$I168/12*3,IF($J168=2,-$E168*$I168/12*2,IF($J168=3,-$E168*$I168/12*1,0)))))+IF(CN$5&lt;&gt;$H168,0,IF(CN168&lt;0,IF($J168=1,-$E168*$I168/12*0,IF($J168=2,-$E168*$I168/12*1,IF($J168=3,-$E168*$I168/12*2,IF($J168&gt;=4,-$E168*$I168/12*3,0))))))</f>
        <v>0</v>
      </c>
      <c r="CP168" s="442">
        <f>IF($H168&lt;&gt;CS$5,0,IF(CS168&lt;0,IF(OR($J168=1,$J168=2,$J168=3,$J168=4),-$E168*$I168/12*3,IF($J168=5,-$E168*$I168/12*2,IF($J168=6,-$E168*$I168/12*1,0)))))+IF(CN$5&lt;&gt;$H168,0,IF(CN168&lt;0,IF($J168=4,-$E168*$I168/12*0,IF($J168=5,-$E168*$I168/12*1,IF($J168=6,-$E168*$I168/12*2,IF($J168&gt;=7,-$E168*$I168/12*3,0))))))</f>
        <v>0</v>
      </c>
      <c r="CQ168" s="442">
        <f>IF($H168&lt;&gt;CS$5,0,IF(CS168&lt;0,IF(OR($J168=1,$J168=2,$J168=3,$J168=4,$J168=5,$J168=6,$J168=7),-$E168*$I168/12*3,IF($J168=8,-$E168*$I168/12*2,IF($J168=9,-$E168*$I168/12*1,0)))))+IF(CN$5&lt;&gt;$H168,0,IF(CN168&lt;0,IF($J168=7,-$E168*$I168/12*0,IF($J168=8,-$E168*$I168/12*1,IF($J168=9,-$E168*$I168/12*2,IF($J168&gt;=10,-$E168*$I168/12*3,0))))))</f>
        <v>0</v>
      </c>
      <c r="CR168" s="443">
        <f>IF($H168&lt;&gt;CS$5,0,IF(CS168&lt;0,IF(OR($J168=1,$J168=2,$J168=3,$J168=4,$J168=5,$J168=6,$J168=7,$J168=8,$J168=9,$J168=10),-$E168*$I168/12*3,IF($J168=11,-$E168*$I168/12*2,IF($J168=12,-$E168*$I168/12*1,0)))))+IF(CN$5&lt;&gt;$H168,0,IF(CN168&lt;0,IF($J168=10,-$E168*$I168/12*0,IF($J168=11,-$E168*$I168/12*1,IF($J168=12,-$E168*$I168/12*2,0)))))</f>
        <v>0</v>
      </c>
      <c r="CS168" s="440">
        <f>IF(AND(CN168&lt;&gt;0,CN$5=$H168),-$I168*$E168-CN168,IF(CS$5=$H168,-$I168*$E168*(12-$J168+1)/12,0))</f>
        <v>0</v>
      </c>
      <c r="CT168" s="441">
        <f>IF($H168&lt;&gt;CX$5,0,IF(CX168&lt;0,IF($J168=1,-$E168*$I168/12*3,IF($J168=2,-$E168*$I168/12*2,IF($J168=3,-$E168*$I168/12*1,0)))))+IF(CS$5&lt;&gt;$H168,0,IF(CS168&lt;0,IF($J168=1,-$E168*$I168/12*0,IF($J168=2,-$E168*$I168/12*1,IF($J168=3,-$E168*$I168/12*2,IF($J168&gt;=4,-$E168*$I168/12*3,0))))))</f>
        <v>0</v>
      </c>
      <c r="CU168" s="442">
        <f>IF($H168&lt;&gt;CX$5,0,IF(CX168&lt;0,IF(OR($J168=1,$J168=2,$J168=3,$J168=4),-$E168*$I168/12*3,IF($J168=5,-$E168*$I168/12*2,IF($J168=6,-$E168*$I168/12*1,0)))))+IF(CS$5&lt;&gt;$H168,0,IF(CS168&lt;0,IF($J168=4,-$E168*$I168/12*0,IF($J168=5,-$E168*$I168/12*1,IF($J168=6,-$E168*$I168/12*2,IF($J168&gt;=7,-$E168*$I168/12*3,0))))))</f>
        <v>0</v>
      </c>
      <c r="CV168" s="442">
        <f>IF($H168&lt;&gt;CX$5,0,IF(CX168&lt;0,IF(OR($J168=1,$J168=2,$J168=3,$J168=4,$J168=5,$J168=6,$J168=7),-$E168*$I168/12*3,IF($J168=8,-$E168*$I168/12*2,IF($J168=9,-$E168*$I168/12*1,0)))))+IF(CS$5&lt;&gt;$H168,0,IF(CS168&lt;0,IF($J168=7,-$E168*$I168/12*0,IF($J168=8,-$E168*$I168/12*1,IF($J168=9,-$E168*$I168/12*2,IF($J168&gt;=10,-$E168*$I168/12*3,0))))))</f>
        <v>0</v>
      </c>
      <c r="CW168" s="443">
        <f>IF($H168&lt;&gt;CX$5,0,IF(CX168&lt;0,IF(OR($J168=1,$J168=2,$J168=3,$J168=4,$J168=5,$J168=6,$J168=7,$J168=8,$J168=9,$J168=10),-$E168*$I168/12*3,IF($J168=11,-$E168*$I168/12*2,IF($J168=12,-$E168*$I168/12*1,0)))))+IF(CS$5&lt;&gt;$H168,0,IF(CS168&lt;0,IF($J168=10,-$E168*$I168/12*0,IF($J168=11,-$E168*$I168/12*1,IF($J168=12,-$E168*$I168/12*2,0)))))</f>
        <v>0</v>
      </c>
      <c r="CX168" s="440">
        <f>IF(AND(CS168&lt;&gt;0,CS$5=$H168),-$I168*$E168-CS168,IF(CX$5=$H168,-$I168*$E168*(12-$J168+1)/12,0))</f>
        <v>0</v>
      </c>
      <c r="CY168" s="441">
        <f>IF($H168&lt;&gt;DC$5,0,IF(DC168&lt;0,IF($J168=1,-$E168*$I168/12*3,IF($J168=2,-$E168*$I168/12*2,IF($J168=3,-$E168*$I168/12*1,0)))))+IF(CX$5&lt;&gt;$H168,0,IF(CX168&lt;0,IF($J168=1,-$E168*$I168/12*0,IF($J168=2,-$E168*$I168/12*1,IF($J168=3,-$E168*$I168/12*2,IF($J168&gt;=4,-$E168*$I168/12*3,0))))))</f>
        <v>0</v>
      </c>
      <c r="CZ168" s="442">
        <f>IF($H168&lt;&gt;DC$5,0,IF(DC168&lt;0,IF(OR($J168=1,$J168=2,$J168=3,$J168=4),-$E168*$I168/12*3,IF($J168=5,-$E168*$I168/12*2,IF($J168=6,-$E168*$I168/12*1,0)))))+IF(CX$5&lt;&gt;$H168,0,IF(CX168&lt;0,IF($J168=4,-$E168*$I168/12*0,IF($J168=5,-$E168*$I168/12*1,IF($J168=6,-$E168*$I168/12*2,IF($J168&gt;=7,-$E168*$I168/12*3,0))))))</f>
        <v>0</v>
      </c>
      <c r="DA168" s="442">
        <f>IF($H168&lt;&gt;DC$5,0,IF(DC168&lt;0,IF(OR($J168=1,$J168=2,$J168=3,$J168=4,$J168=5,$J168=6,$J168=7),-$E168*$I168/12*3,IF($J168=8,-$E168*$I168/12*2,IF($J168=9,-$E168*$I168/12*1,0)))))+IF(CX$5&lt;&gt;$H168,0,IF(CX168&lt;0,IF($J168=7,-$E168*$I168/12*0,IF($J168=8,-$E168*$I168/12*1,IF($J168=9,-$E168*$I168/12*2,IF($J168&gt;=10,-$E168*$I168/12*3,0))))))</f>
        <v>0</v>
      </c>
      <c r="DB168" s="443">
        <f>IF($H168&lt;&gt;DC$5,0,IF(DC168&lt;0,IF(OR($J168=1,$J168=2,$J168=3,$J168=4,$J168=5,$J168=6,$J168=7,$J168=8,$J168=9,$J168=10),-$E168*$I168/12*3,IF($J168=11,-$E168*$I168/12*2,IF($J168=12,-$E168*$I168/12*1,0)))))+IF(CX$5&lt;&gt;$H168,0,IF(CX168&lt;0,IF($J168=10,-$E168*$I168/12*0,IF($J168=11,-$E168*$I168/12*1,IF($J168=12,-$E168*$I168/12*2,0)))))</f>
        <v>0</v>
      </c>
      <c r="DC168" s="440">
        <f>IF(AND(CX168&lt;&gt;0,CX$5=$H168),-$I168*$E168-CX168,IF(DC$5=$H168,-$I168*$E168*(12-$J168+1)/12,0))</f>
        <v>0</v>
      </c>
      <c r="DD168" s="441">
        <f>IF($H168&lt;&gt;DH$5,0,IF(DH168&lt;0,IF($J168=1,-$E168*$I168/12*3,IF($J168=2,-$E168*$I168/12*2,IF($J168=3,-$E168*$I168/12*1,0)))))+IF(DC$5&lt;&gt;$H168,0,IF(DC168&lt;0,IF($J168=1,-$E168*$I168/12*0,IF($J168=2,-$E168*$I168/12*1,IF($J168=3,-$E168*$I168/12*2,IF($J168&gt;=4,-$E168*$I168/12*3,0))))))</f>
        <v>0</v>
      </c>
      <c r="DE168" s="442">
        <f>IF($H168&lt;&gt;DH$5,0,IF(DH168&lt;0,IF(OR($J168=1,$J168=2,$J168=3,$J168=4),-$E168*$I168/12*3,IF($J168=5,-$E168*$I168/12*2,IF($J168=6,-$E168*$I168/12*1,0)))))+IF(DC$5&lt;&gt;$H168,0,IF(DC168&lt;0,IF($J168=4,-$E168*$I168/12*0,IF($J168=5,-$E168*$I168/12*1,IF($J168=6,-$E168*$I168/12*2,IF($J168&gt;=7,-$E168*$I168/12*3,0))))))</f>
        <v>0</v>
      </c>
      <c r="DF168" s="442">
        <f>IF($H168&lt;&gt;DH$5,0,IF(DH168&lt;0,IF(OR($J168=1,$J168=2,$J168=3,$J168=4,$J168=5,$J168=6,$J168=7),-$E168*$I168/12*3,IF($J168=8,-$E168*$I168/12*2,IF($J168=9,-$E168*$I168/12*1,0)))))+IF(DC$5&lt;&gt;$H168,0,IF(DC168&lt;0,IF($J168=7,-$E168*$I168/12*0,IF($J168=8,-$E168*$I168/12*1,IF($J168=9,-$E168*$I168/12*2,IF($J168&gt;=10,-$E168*$I168/12*3,0))))))</f>
        <v>0</v>
      </c>
      <c r="DG168" s="443">
        <f>IF($H168&lt;&gt;DH$5,0,IF(DH168&lt;0,IF(OR($J168=1,$J168=2,$J168=3,$J168=4,$J168=5,$J168=6,$J168=7,$J168=8,$J168=9,$J168=10),-$E168*$I168/12*3,IF($J168=11,-$E168*$I168/12*2,IF($J168=12,-$E168*$I168/12*1,0)))))+IF(DC$5&lt;&gt;$H168,0,IF(DC168&lt;0,IF($J168=10,-$E168*$I168/12*0,IF($J168=11,-$E168*$I168/12*1,IF($J168=12,-$E168*$I168/12*2,0)))))</f>
        <v>0</v>
      </c>
      <c r="DH168" s="440">
        <f>IF(AND(DC168&lt;&gt;0,DC$5=$H168),-$I168*$E168-DC168,IF(DH$5=$H168,-$I168*$E168*(12-$J168+1)/12,0))</f>
        <v>0</v>
      </c>
      <c r="DI168" s="441">
        <f>IF($H168&lt;&gt;DM$5,0,IF(DM168&lt;0,IF($J168=1,-$E168*$I168/12*3,IF($J168=2,-$E168*$I168/12*2,IF($J168=3,-$E168*$I168/12*1,0)))))+IF(DH$5&lt;&gt;$H168,0,IF(DH168&lt;0,IF($J168=1,-$E168*$I168/12*0,IF($J168=2,-$E168*$I168/12*1,IF($J168=3,-$E168*$I168/12*2,IF($J168&gt;=4,-$E168*$I168/12*3,0))))))</f>
        <v>0</v>
      </c>
      <c r="DJ168" s="442">
        <f>IF($H168&lt;&gt;DM$5,0,IF(DM168&lt;0,IF(OR($J168=1,$J168=2,$J168=3,$J168=4),-$E168*$I168/12*3,IF($J168=5,-$E168*$I168/12*2,IF($J168=6,-$E168*$I168/12*1,0)))))+IF(DH$5&lt;&gt;$H168,0,IF(DH168&lt;0,IF($J168=4,-$E168*$I168/12*0,IF($J168=5,-$E168*$I168/12*1,IF($J168=6,-$E168*$I168/12*2,IF($J168&gt;=7,-$E168*$I168/12*3,0))))))</f>
        <v>0</v>
      </c>
      <c r="DK168" s="442">
        <f>IF($H168&lt;&gt;DM$5,0,IF(DM168&lt;0,IF(OR($J168=1,$J168=2,$J168=3,$J168=4,$J168=5,$J168=6,$J168=7),-$E168*$I168/12*3,IF($J168=8,-$E168*$I168/12*2,IF($J168=9,-$E168*$I168/12*1,0)))))+IF(DH$5&lt;&gt;$H168,0,IF(DH168&lt;0,IF($J168=7,-$E168*$I168/12*0,IF($J168=8,-$E168*$I168/12*1,IF($J168=9,-$E168*$I168/12*2,IF($J168&gt;=10,-$E168*$I168/12*3,0))))))</f>
        <v>0</v>
      </c>
      <c r="DL168" s="443">
        <f>IF($H168&lt;&gt;DM$5,0,IF(DM168&lt;0,IF(OR($J168=1,$J168=2,$J168=3,$J168=4,$J168=5,$J168=6,$J168=7,$J168=8,$J168=9,$J168=10),-$E168*$I168/12*3,IF($J168=11,-$E168*$I168/12*2,IF($J168=12,-$E168*$I168/12*1,0)))))+IF(DH$5&lt;&gt;$H168,0,IF(DH168&lt;0,IF($J168=10,-$E168*$I168/12*0,IF($J168=11,-$E168*$I168/12*1,IF($J168=12,-$E168*$I168/12*2,0)))))</f>
        <v>0</v>
      </c>
      <c r="DM168" s="440">
        <f>IF(AND(DH168&lt;&gt;0,DH$5=$H168),-$I168*$E168-DH168,IF(DM$5=$H168,-$I168*$E168*(12-$J168+1)/12,0))</f>
        <v>0</v>
      </c>
      <c r="DN168" s="441">
        <f>IF($H168&lt;&gt;DR$5,0,IF(DR168&lt;0,IF($J168=1,-$E168*$I168/12*3,IF($J168=2,-$E168*$I168/12*2,IF($J168=3,-$E168*$I168/12*1,0)))))+IF(DM$5&lt;&gt;$H168,0,IF(DM168&lt;0,IF($J168=1,-$E168*$I168/12*0,IF($J168=2,-$E168*$I168/12*1,IF($J168=3,-$E168*$I168/12*2,IF($J168&gt;=4,-$E168*$I168/12*3,0))))))</f>
        <v>0</v>
      </c>
      <c r="DO168" s="442">
        <f>IF($H168&lt;&gt;DR$5,0,IF(DR168&lt;0,IF(OR($J168=1,$J168=2,$J168=3,$J168=4),-$E168*$I168/12*3,IF($J168=5,-$E168*$I168/12*2,IF($J168=6,-$E168*$I168/12*1,0)))))+IF(DM$5&lt;&gt;$H168,0,IF(DM168&lt;0,IF($J168=4,-$E168*$I168/12*0,IF($J168=5,-$E168*$I168/12*1,IF($J168=6,-$E168*$I168/12*2,IF($J168&gt;=7,-$E168*$I168/12*3,0))))))</f>
        <v>-0.23907482500000002</v>
      </c>
      <c r="DP168" s="442">
        <f>IF($H168&lt;&gt;DR$5,0,IF(DR168&lt;0,IF(OR($J168=1,$J168=2,$J168=3,$J168=4,$J168=5,$J168=6,$J168=7),-$E168*$I168/12*3,IF($J168=8,-$E168*$I168/12*2,IF($J168=9,-$E168*$I168/12*1,0)))))+IF(DM$5&lt;&gt;$H168,0,IF(DM168&lt;0,IF($J168=7,-$E168*$I168/12*0,IF($J168=8,-$E168*$I168/12*1,IF($J168=9,-$E168*$I168/12*2,IF($J168&gt;=10,-$E168*$I168/12*3,0))))))</f>
        <v>-0.71722447500000008</v>
      </c>
      <c r="DQ168" s="443">
        <f>IF($H168&lt;&gt;DR$5,0,IF(DR168&lt;0,IF(OR($J168=1,$J168=2,$J168=3,$J168=4,$J168=5,$J168=6,$J168=7,$J168=8,$J168=9,$J168=10),-$E168*$I168/12*3,IF($J168=11,-$E168*$I168/12*2,IF($J168=12,-$E168*$I168/12*1,0)))))+IF(DM$5&lt;&gt;$H168,0,IF(DM168&lt;0,IF($J168=10,-$E168*$I168/12*0,IF($J168=11,-$E168*$I168/12*1,IF($J168=12,-$E168*$I168/12*2,0)))))</f>
        <v>-0.71722447500000008</v>
      </c>
      <c r="DR168" s="440">
        <f>IF(AND(DM168&lt;&gt;0,DM$5=$H168),-$I168*$E168-DM168,IF(DR$5=$H168,-$I168*$E168*(12-$J168+1)/12,0))</f>
        <v>-1.6735237750000003</v>
      </c>
    </row>
    <row r="169" spans="3:122" ht="12.75" customHeight="1">
      <c r="C169" s="1362"/>
      <c r="D169" s="395"/>
      <c r="E169" s="1950"/>
      <c r="F169" s="1358"/>
      <c r="G169" s="1358"/>
      <c r="H169" s="1364"/>
      <c r="I169" s="1365"/>
      <c r="J169" s="1361"/>
      <c r="K169" s="549"/>
      <c r="L169" s="441"/>
      <c r="M169" s="442"/>
      <c r="N169" s="442"/>
      <c r="O169" s="443"/>
      <c r="P169" s="440"/>
      <c r="Q169" s="441"/>
      <c r="R169" s="442"/>
      <c r="S169" s="442"/>
      <c r="T169" s="443"/>
      <c r="U169" s="440"/>
      <c r="V169" s="441"/>
      <c r="W169" s="442"/>
      <c r="X169" s="442"/>
      <c r="Y169" s="443"/>
      <c r="Z169" s="440"/>
      <c r="AA169" s="441"/>
      <c r="AB169" s="442"/>
      <c r="AC169" s="442"/>
      <c r="AD169" s="443"/>
      <c r="AE169" s="440"/>
      <c r="AF169" s="441"/>
      <c r="AG169" s="442"/>
      <c r="AH169" s="442"/>
      <c r="AI169" s="443"/>
      <c r="AJ169" s="440"/>
      <c r="AK169" s="441"/>
      <c r="AL169" s="442"/>
      <c r="AM169" s="442"/>
      <c r="AN169" s="443"/>
      <c r="AO169" s="440"/>
      <c r="AP169" s="441"/>
      <c r="AQ169" s="442"/>
      <c r="AR169" s="442"/>
      <c r="AS169" s="443"/>
      <c r="AT169" s="440"/>
      <c r="AU169" s="441"/>
      <c r="AV169" s="442"/>
      <c r="AW169" s="442"/>
      <c r="AX169" s="443"/>
      <c r="AY169" s="440"/>
      <c r="AZ169" s="441"/>
      <c r="BA169" s="442"/>
      <c r="BB169" s="442"/>
      <c r="BC169" s="443"/>
      <c r="BD169" s="440"/>
      <c r="BE169" s="441"/>
      <c r="BF169" s="442"/>
      <c r="BG169" s="442"/>
      <c r="BH169" s="443"/>
      <c r="BI169" s="440"/>
      <c r="BJ169" s="441"/>
      <c r="BK169" s="442"/>
      <c r="BL169" s="442"/>
      <c r="BM169" s="443"/>
      <c r="BN169" s="440"/>
      <c r="BO169" s="470"/>
      <c r="BP169" s="441"/>
      <c r="BQ169" s="442"/>
      <c r="BR169" s="442"/>
      <c r="BS169" s="443"/>
      <c r="BT169" s="440"/>
      <c r="BU169" s="441"/>
      <c r="BV169" s="442"/>
      <c r="BW169" s="442"/>
      <c r="BX169" s="443"/>
      <c r="BY169" s="440"/>
      <c r="BZ169" s="441"/>
      <c r="CA169" s="442"/>
      <c r="CB169" s="442"/>
      <c r="CC169" s="443"/>
      <c r="CD169" s="440"/>
      <c r="CE169" s="441"/>
      <c r="CF169" s="442"/>
      <c r="CG169" s="442"/>
      <c r="CH169" s="443"/>
      <c r="CI169" s="440"/>
      <c r="CJ169" s="441"/>
      <c r="CK169" s="442"/>
      <c r="CL169" s="442"/>
      <c r="CM169" s="443"/>
      <c r="CN169" s="440"/>
      <c r="CO169" s="441"/>
      <c r="CP169" s="442"/>
      <c r="CQ169" s="442"/>
      <c r="CR169" s="443"/>
      <c r="CS169" s="440"/>
      <c r="CT169" s="441"/>
      <c r="CU169" s="442"/>
      <c r="CV169" s="442"/>
      <c r="CW169" s="443"/>
      <c r="CX169" s="440"/>
      <c r="CY169" s="441"/>
      <c r="CZ169" s="442"/>
      <c r="DA169" s="442"/>
      <c r="DB169" s="443"/>
      <c r="DC169" s="440"/>
      <c r="DD169" s="441"/>
      <c r="DE169" s="442"/>
      <c r="DF169" s="442"/>
      <c r="DG169" s="443"/>
      <c r="DH169" s="440"/>
      <c r="DI169" s="441"/>
      <c r="DJ169" s="442"/>
      <c r="DK169" s="442"/>
      <c r="DL169" s="443"/>
      <c r="DM169" s="440"/>
      <c r="DN169" s="441"/>
      <c r="DO169" s="442"/>
      <c r="DP169" s="442"/>
      <c r="DQ169" s="443"/>
      <c r="DR169" s="440"/>
    </row>
    <row r="170" spans="3:122" ht="12.75" customHeight="1">
      <c r="C170" s="1363" t="s">
        <v>720</v>
      </c>
      <c r="D170" s="395"/>
      <c r="E170" s="1950"/>
      <c r="F170" s="1358"/>
      <c r="G170" s="1358"/>
      <c r="H170" s="1364"/>
      <c r="I170" s="1365"/>
      <c r="J170" s="1361"/>
      <c r="K170" s="549"/>
      <c r="L170" s="441"/>
      <c r="M170" s="442"/>
      <c r="N170" s="442"/>
      <c r="O170" s="443"/>
      <c r="P170" s="440"/>
      <c r="Q170" s="441"/>
      <c r="R170" s="442"/>
      <c r="S170" s="442"/>
      <c r="T170" s="443"/>
      <c r="U170" s="440"/>
      <c r="V170" s="441"/>
      <c r="W170" s="442"/>
      <c r="X170" s="442"/>
      <c r="Y170" s="443"/>
      <c r="Z170" s="440"/>
      <c r="AA170" s="441"/>
      <c r="AB170" s="442"/>
      <c r="AC170" s="442"/>
      <c r="AD170" s="443"/>
      <c r="AE170" s="440"/>
      <c r="AF170" s="441"/>
      <c r="AG170" s="442"/>
      <c r="AH170" s="442"/>
      <c r="AI170" s="443"/>
      <c r="AJ170" s="440"/>
      <c r="AK170" s="441"/>
      <c r="AL170" s="442"/>
      <c r="AM170" s="442"/>
      <c r="AN170" s="443"/>
      <c r="AO170" s="440"/>
      <c r="AP170" s="441"/>
      <c r="AQ170" s="442"/>
      <c r="AR170" s="442"/>
      <c r="AS170" s="443"/>
      <c r="AT170" s="440"/>
      <c r="AU170" s="441"/>
      <c r="AV170" s="442"/>
      <c r="AW170" s="442"/>
      <c r="AX170" s="443"/>
      <c r="AY170" s="440"/>
      <c r="AZ170" s="441"/>
      <c r="BA170" s="442"/>
      <c r="BB170" s="442"/>
      <c r="BC170" s="443"/>
      <c r="BD170" s="440"/>
      <c r="BE170" s="441"/>
      <c r="BF170" s="442"/>
      <c r="BG170" s="442"/>
      <c r="BH170" s="443"/>
      <c r="BI170" s="440"/>
      <c r="BJ170" s="441"/>
      <c r="BK170" s="442"/>
      <c r="BL170" s="442"/>
      <c r="BM170" s="443"/>
      <c r="BN170" s="440"/>
      <c r="BO170" s="470"/>
      <c r="BP170" s="441"/>
      <c r="BQ170" s="442"/>
      <c r="BR170" s="442"/>
      <c r="BS170" s="443"/>
      <c r="BT170" s="440"/>
      <c r="BU170" s="441"/>
      <c r="BV170" s="442"/>
      <c r="BW170" s="442"/>
      <c r="BX170" s="443"/>
      <c r="BY170" s="440"/>
      <c r="BZ170" s="441"/>
      <c r="CA170" s="442"/>
      <c r="CB170" s="442"/>
      <c r="CC170" s="443"/>
      <c r="CD170" s="440"/>
      <c r="CE170" s="441"/>
      <c r="CF170" s="442"/>
      <c r="CG170" s="442"/>
      <c r="CH170" s="443"/>
      <c r="CI170" s="440"/>
      <c r="CJ170" s="441"/>
      <c r="CK170" s="442"/>
      <c r="CL170" s="442"/>
      <c r="CM170" s="443"/>
      <c r="CN170" s="440"/>
      <c r="CO170" s="441"/>
      <c r="CP170" s="442"/>
      <c r="CQ170" s="442"/>
      <c r="CR170" s="443"/>
      <c r="CS170" s="440"/>
      <c r="CT170" s="441"/>
      <c r="CU170" s="442"/>
      <c r="CV170" s="442"/>
      <c r="CW170" s="443"/>
      <c r="CX170" s="440"/>
      <c r="CY170" s="441"/>
      <c r="CZ170" s="442"/>
      <c r="DA170" s="442"/>
      <c r="DB170" s="443"/>
      <c r="DC170" s="440"/>
      <c r="DD170" s="441"/>
      <c r="DE170" s="442"/>
      <c r="DF170" s="442"/>
      <c r="DG170" s="443"/>
      <c r="DH170" s="440"/>
      <c r="DI170" s="441"/>
      <c r="DJ170" s="442"/>
      <c r="DK170" s="442"/>
      <c r="DL170" s="443"/>
      <c r="DM170" s="440"/>
      <c r="DN170" s="441"/>
      <c r="DO170" s="442"/>
      <c r="DP170" s="442"/>
      <c r="DQ170" s="443"/>
      <c r="DR170" s="440"/>
    </row>
    <row r="171" spans="3:122" ht="12.75" customHeight="1">
      <c r="C171" s="1590" t="s">
        <v>1182</v>
      </c>
      <c r="D171" s="395"/>
      <c r="E171" s="1950">
        <f>IF(F171=0,G171,F171)</f>
        <v>14.681081000000001</v>
      </c>
      <c r="F171" s="1945">
        <v>0</v>
      </c>
      <c r="G171" s="1945">
        <v>14.681081000000001</v>
      </c>
      <c r="H171" s="1366">
        <v>2017</v>
      </c>
      <c r="I171" s="1367">
        <v>6.1600000000000002E-2</v>
      </c>
      <c r="J171" s="1357">
        <v>6</v>
      </c>
      <c r="K171" s="549"/>
      <c r="L171" s="441">
        <f t="shared" ref="L171" si="2129">IF(P171=0,0,IF(P171&lt;0,IF($J171=3,P171,IF($J171=2,P171,IF($J171=1,P171,0)))))</f>
        <v>0</v>
      </c>
      <c r="M171" s="442">
        <f t="shared" ref="M171" si="2130">IF(P171=0,0,IF(P171&lt;0,IF($J171=6,P171,IF($J171=5,P171,IF($J171=4,P171,0)))))</f>
        <v>0</v>
      </c>
      <c r="N171" s="442">
        <f t="shared" ref="N171" si="2131">IF(P171=0,0,IF(P171&lt;0,IF($J171=9,P171,IF($J171=8,P171,IF($J171=7,P171,0)))))</f>
        <v>0</v>
      </c>
      <c r="O171" s="443">
        <f t="shared" ref="O171" si="2132">IF(P171=0,0,IF(P171&lt;0,IF($J171=12,P171,IF($J171=11,P171,IF($J171=10,P171,0)))))</f>
        <v>0</v>
      </c>
      <c r="P171" s="440">
        <f t="shared" ref="P171" si="2133">IF(P$5=$H171,-$E171,0)</f>
        <v>0</v>
      </c>
      <c r="Q171" s="441">
        <f t="shared" ref="Q171" si="2134">IF(U171=0,0,IF(U171&lt;0,IF($J171=3,U171,IF($J171=2,U171,IF($J171=1,U171,0)))))</f>
        <v>0</v>
      </c>
      <c r="R171" s="442">
        <f t="shared" ref="R171" si="2135">IF(U171=0,0,IF(U171&lt;0,IF($J171=6,U171,IF($J171=5,U171,IF($J171=4,U171,0)))))</f>
        <v>0</v>
      </c>
      <c r="S171" s="442">
        <f t="shared" ref="S171" si="2136">IF(U171=0,0,IF(U171&lt;0,IF($J171=9,U171,IF($J171=8,U171,IF($J171=7,U171,0)))))</f>
        <v>0</v>
      </c>
      <c r="T171" s="443">
        <f t="shared" ref="T171" si="2137">IF(U171=0,0,IF(U171&lt;0,IF($J171=12,U171,IF($J171=11,U171,IF($J171=10,U171,0)))))</f>
        <v>0</v>
      </c>
      <c r="U171" s="440">
        <f t="shared" ref="U171" si="2138">IF(U$5=$H171,-$E171,0)</f>
        <v>0</v>
      </c>
      <c r="V171" s="441">
        <f t="shared" ref="V171" si="2139">IF(Z171=0,0,IF(Z171&lt;0,IF($J171=3,Z171,IF($J171=2,Z171,IF($J171=1,Z171,0)))))</f>
        <v>0</v>
      </c>
      <c r="W171" s="442">
        <f t="shared" ref="W171" si="2140">IF(Z171=0,0,IF(Z171&lt;0,IF($J171=6,Z171,IF($J171=5,Z171,IF($J171=4,Z171,0)))))</f>
        <v>0</v>
      </c>
      <c r="X171" s="442">
        <f t="shared" ref="X171" si="2141">IF(Z171=0,0,IF(Z171&lt;0,IF($J171=9,Z171,IF($J171=8,Z171,IF($J171=7,Z171,0)))))</f>
        <v>0</v>
      </c>
      <c r="Y171" s="443">
        <f t="shared" ref="Y171" si="2142">IF(Z171=0,0,IF(Z171&lt;0,IF($J171=12,Z171,IF($J171=11,Z171,IF($J171=10,Z171,0)))))</f>
        <v>0</v>
      </c>
      <c r="Z171" s="440">
        <f t="shared" ref="Z171" si="2143">IF(Z$5=$H171,-$E171,0)</f>
        <v>0</v>
      </c>
      <c r="AA171" s="441">
        <f t="shared" ref="AA171" si="2144">IF(AE171=0,0,IF(AE171&lt;0,IF($J171=3,AE171,IF($J171=2,AE171,IF($J171=1,AE171,0)))))</f>
        <v>0</v>
      </c>
      <c r="AB171" s="442">
        <f t="shared" ref="AB171" si="2145">IF(AE171=0,0,IF(AE171&lt;0,IF($J171=6,AE171,IF($J171=5,AE171,IF($J171=4,AE171,0)))))</f>
        <v>0</v>
      </c>
      <c r="AC171" s="442">
        <f t="shared" ref="AC171" si="2146">IF(AE171=0,0,IF(AE171&lt;0,IF($J171=9,AE171,IF($J171=8,AE171,IF($J171=7,AE171,0)))))</f>
        <v>0</v>
      </c>
      <c r="AD171" s="443">
        <f t="shared" ref="AD171" si="2147">IF(AE171=0,0,IF(AE171&lt;0,IF($J171=12,AE171,IF($J171=11,AE171,IF($J171=10,AE171,0)))))</f>
        <v>0</v>
      </c>
      <c r="AE171" s="440">
        <f t="shared" ref="AE171" si="2148">IF(AE$5=$H171,-$E171,0)</f>
        <v>0</v>
      </c>
      <c r="AF171" s="441">
        <f t="shared" ref="AF171" si="2149">IF(AJ171=0,0,IF(AJ171&lt;0,IF($J171=3,AJ171,IF($J171=2,AJ171,IF($J171=1,AJ171,0)))))</f>
        <v>0</v>
      </c>
      <c r="AG171" s="442">
        <f t="shared" ref="AG171" si="2150">IF(AJ171=0,0,IF(AJ171&lt;0,IF($J171=6,AJ171,IF($J171=5,AJ171,IF($J171=4,AJ171,0)))))</f>
        <v>0</v>
      </c>
      <c r="AH171" s="442">
        <f t="shared" ref="AH171" si="2151">IF(AJ171=0,0,IF(AJ171&lt;0,IF($J171=9,AJ171,IF($J171=8,AJ171,IF($J171=7,AJ171,0)))))</f>
        <v>0</v>
      </c>
      <c r="AI171" s="443">
        <f t="shared" ref="AI171" si="2152">IF(AJ171=0,0,IF(AJ171&lt;0,IF($J171=12,AJ171,IF($J171=11,AJ171,IF($J171=10,AJ171,0)))))</f>
        <v>0</v>
      </c>
      <c r="AJ171" s="440">
        <f t="shared" ref="AJ171" si="2153">IF(AJ$5=$H171,-$E171,0)</f>
        <v>0</v>
      </c>
      <c r="AK171" s="441">
        <f t="shared" ref="AK171" si="2154">IF(AO171=0,0,IF(AO171&lt;0,IF($J171=3,AO171,IF($J171=2,AO171,IF($J171=1,AO171,0)))))</f>
        <v>0</v>
      </c>
      <c r="AL171" s="442">
        <f t="shared" ref="AL171" si="2155">IF(AO171=0,0,IF(AO171&lt;0,IF($J171=6,AO171,IF($J171=5,AO171,IF($J171=4,AO171,0)))))</f>
        <v>0</v>
      </c>
      <c r="AM171" s="442">
        <f t="shared" ref="AM171" si="2156">IF(AO171=0,0,IF(AO171&lt;0,IF($J171=9,AO171,IF($J171=8,AO171,IF($J171=7,AO171,0)))))</f>
        <v>0</v>
      </c>
      <c r="AN171" s="443">
        <f t="shared" ref="AN171" si="2157">IF(AO171=0,0,IF(AO171&lt;0,IF($J171=12,AO171,IF($J171=11,AO171,IF($J171=10,AO171,0)))))</f>
        <v>0</v>
      </c>
      <c r="AO171" s="440">
        <f t="shared" ref="AO171" si="2158">IF(AO$5=$H171,-$E171,0)</f>
        <v>0</v>
      </c>
      <c r="AP171" s="441">
        <f t="shared" ref="AP171" si="2159">IF(AT171=0,0,IF(AT171&lt;0,IF($J171=3,AT171,IF($J171=2,AT171,IF($J171=1,AT171,0)))))</f>
        <v>0</v>
      </c>
      <c r="AQ171" s="442">
        <f t="shared" ref="AQ171" si="2160">IF(AT171=0,0,IF(AT171&lt;0,IF($J171=6,AT171,IF($J171=5,AT171,IF($J171=4,AT171,0)))))</f>
        <v>-14.681081000000001</v>
      </c>
      <c r="AR171" s="442">
        <f t="shared" ref="AR171" si="2161">IF(AT171=0,0,IF(AT171&lt;0,IF($J171=9,AT171,IF($J171=8,AT171,IF($J171=7,AT171,0)))))</f>
        <v>0</v>
      </c>
      <c r="AS171" s="443">
        <f t="shared" ref="AS171" si="2162">IF(AT171=0,0,IF(AT171&lt;0,IF($J171=12,AT171,IF($J171=11,AT171,IF($J171=10,AT171,0)))))</f>
        <v>0</v>
      </c>
      <c r="AT171" s="440">
        <f t="shared" ref="AT171" si="2163">IF(AT$5=$H171,-$E171,0)</f>
        <v>-14.681081000000001</v>
      </c>
      <c r="AU171" s="441">
        <f t="shared" ref="AU171" si="2164">IF(AY171=0,0,IF(AY171&lt;0,IF($J171=3,AY171,IF($J171=2,AY171,IF($J171=1,AY171,0)))))</f>
        <v>0</v>
      </c>
      <c r="AV171" s="442">
        <f t="shared" ref="AV171" si="2165">IF(AY171=0,0,IF(AY171&lt;0,IF($J171=6,AY171,IF($J171=5,AY171,IF($J171=4,AY171,0)))))</f>
        <v>0</v>
      </c>
      <c r="AW171" s="442">
        <f t="shared" ref="AW171" si="2166">IF(AY171=0,0,IF(AY171&lt;0,IF($J171=9,AY171,IF($J171=8,AY171,IF($J171=7,AY171,0)))))</f>
        <v>0</v>
      </c>
      <c r="AX171" s="443">
        <f t="shared" ref="AX171" si="2167">IF(AY171=0,0,IF(AY171&lt;0,IF($J171=12,AY171,IF($J171=11,AY171,IF($J171=10,AY171,0)))))</f>
        <v>0</v>
      </c>
      <c r="AY171" s="440">
        <f t="shared" ref="AY171" si="2168">IF(AY$5=$H171,-$E171,0)</f>
        <v>0</v>
      </c>
      <c r="AZ171" s="441">
        <f t="shared" ref="AZ171" si="2169">IF(BD171=0,0,IF(BD171&lt;0,IF($J171=3,BD171,IF($J171=2,BD171,IF($J171=1,BD171,0)))))</f>
        <v>0</v>
      </c>
      <c r="BA171" s="442">
        <f t="shared" ref="BA171" si="2170">IF(BD171=0,0,IF(BD171&lt;0,IF($J171=6,BD171,IF($J171=5,BD171,IF($J171=4,BD171,0)))))</f>
        <v>0</v>
      </c>
      <c r="BB171" s="442">
        <f t="shared" ref="BB171" si="2171">IF(BD171=0,0,IF(BD171&lt;0,IF($J171=9,BD171,IF($J171=8,BD171,IF($J171=7,BD171,0)))))</f>
        <v>0</v>
      </c>
      <c r="BC171" s="443">
        <f t="shared" ref="BC171" si="2172">IF(BD171=0,0,IF(BD171&lt;0,IF($J171=12,BD171,IF($J171=11,BD171,IF($J171=10,BD171,0)))))</f>
        <v>0</v>
      </c>
      <c r="BD171" s="440">
        <f t="shared" ref="BD171" si="2173">IF(BD$5=$H171,-$E171,0)</f>
        <v>0</v>
      </c>
      <c r="BE171" s="441">
        <f t="shared" ref="BE171" si="2174">IF(BI171=0,0,IF(BI171&lt;0,IF($J171=3,BI171,IF($J171=2,BI171,IF($J171=1,BI171,0)))))</f>
        <v>0</v>
      </c>
      <c r="BF171" s="442">
        <f t="shared" ref="BF171" si="2175">IF(BI171=0,0,IF(BI171&lt;0,IF($J171=6,BI171,IF($J171=5,BI171,IF($J171=4,BI171,0)))))</f>
        <v>0</v>
      </c>
      <c r="BG171" s="442">
        <f t="shared" ref="BG171" si="2176">IF(BI171=0,0,IF(BI171&lt;0,IF($J171=9,BI171,IF($J171=8,BI171,IF($J171=7,BI171,0)))))</f>
        <v>0</v>
      </c>
      <c r="BH171" s="443">
        <f t="shared" ref="BH171" si="2177">IF(BI171=0,0,IF(BI171&lt;0,IF($J171=12,BI171,IF($J171=11,BI171,IF($J171=10,BI171,0)))))</f>
        <v>0</v>
      </c>
      <c r="BI171" s="440">
        <f t="shared" ref="BI171" si="2178">IF(BI$5=$H171,-$E171,0)</f>
        <v>0</v>
      </c>
      <c r="BJ171" s="441">
        <f t="shared" ref="BJ171" si="2179">IF(BN171=0,0,IF(BN171&lt;0,IF($J171=3,BN171,IF($J171=2,BN171,IF($J171=1,BN171,0)))))</f>
        <v>0</v>
      </c>
      <c r="BK171" s="442">
        <f t="shared" ref="BK171" si="2180">IF(BN171=0,0,IF(BN171&lt;0,IF($J171=6,BN171,IF($J171=5,BN171,IF($J171=4,BN171,0)))))</f>
        <v>0</v>
      </c>
      <c r="BL171" s="442">
        <f t="shared" ref="BL171" si="2181">IF(BN171=0,0,IF(BN171&lt;0,IF($J171=9,BN171,IF($J171=8,BN171,IF($J171=7,BN171,0)))))</f>
        <v>0</v>
      </c>
      <c r="BM171" s="443">
        <f t="shared" ref="BM171" si="2182">IF(BN171=0,0,IF(BN171&lt;0,IF($J171=12,BN171,IF($J171=11,BN171,IF($J171=10,BN171,0)))))</f>
        <v>0</v>
      </c>
      <c r="BN171" s="440">
        <f t="shared" ref="BN171" si="2183">IF(BN$5=$H171,-$E171,0)</f>
        <v>0</v>
      </c>
      <c r="BO171" s="470"/>
      <c r="BP171" s="441">
        <f>IF($H171&lt;&gt;BT$5,0,IF(BT171&lt;0,IF($J171=1,-$E171*$I171/12*3,IF($J171=2,-$E171*$I171/12*2,IF($J171=3,-$E171*$I171/12*1,0)))))+IF(BO$5&lt;&gt;$H171,0,IF(BO171&lt;0,IF($J171=1,-$E171*$I171/12*0,IF($J171=2,-$E171*$I171/12*1,IF($J171=3,-$E171*$I171/12*2,IF($J171&gt;=4,-$E171*$I171/12*3,0))))))</f>
        <v>0</v>
      </c>
      <c r="BQ171" s="442">
        <f>IF($H171&lt;&gt;BT$5,0,IF(BT171&lt;0,IF(OR($J171=1,$J171=2,$J171=3,$J171=4),-$E171*$I171/12*3,IF($J171=5,-$E171*$I171/12*2,IF($J171=6,-$E171*$I171/12*1,0)))))+IF(BO$5&lt;&gt;$H171,0,IF(BO171&lt;0,IF($J171=4,-$E171*$I171/12*0,IF($J171=5,-$E171*$I171/12*1,IF($J171=6,-$E171*$I171/12*2,IF($J171&gt;=7,-$E171*$I171/12*3,0))))))</f>
        <v>0</v>
      </c>
      <c r="BR171" s="442">
        <f>IF($H171&lt;&gt;BT$5,0,IF(BT171&lt;0,IF(OR($J171=1,$J171=2,$J171=3,$J171=4,$J171=5,$J171=6,$J171=7),-$E171*$I171/12*3,IF($J171=8,-$E171*$I171/12*2,IF($J171=9,-$E171*$I171/12*1,0)))))+IF(BO$5&lt;&gt;$H171,0,IF(BO171&lt;0,IF($J171=7,-$E171*$I171/12*0,IF($J171=8,-$E171*$I171/12*1,IF($J171=9,-$E171*$I171/12*2,IF($J171&gt;=10,-$E171*$I171/12*3,0))))))</f>
        <v>0</v>
      </c>
      <c r="BS171" s="443">
        <f>IF($H171&lt;&gt;BT$5,0,IF(BT171&lt;0,IF(OR($J171=1,$J171=2,$J171=3,$J171=4,$J171=5,$J171=6,$J171=7,$J171=8,$J171=9,$J171=10),-$E171*$I171/12*3,IF($J171=11,-$E171*$I171/12*2,IF($J171=12,-$E171*$I171/12*1,0)))))+IF(BO$5&lt;&gt;$H171,0,IF(BO171&lt;0,IF($J171=10,-$E171*$I171/12*0,IF($J171=11,-$E171*$I171/12*1,IF($J171=12,-$E171*$I171/12*2,0)))))</f>
        <v>0</v>
      </c>
      <c r="BT171" s="440">
        <f>IF(AND(BO171&lt;&gt;0,BO$5=$H171),-$I171*$E171-BO171,IF(BT$5=$H171,-$I171*$E171*(12-$J171+1)/12,0))</f>
        <v>0</v>
      </c>
      <c r="BU171" s="441">
        <f>IF($H171&lt;&gt;BY$5,0,IF(BY171&lt;0,IF($J171=1,-$E171*$I171/12*3,IF($J171=2,-$E171*$I171/12*2,IF($J171=3,-$E171*$I171/12*1,0)))))+IF(BT$5&lt;&gt;$H171,0,IF(BT171&lt;0,IF($J171=1,-$E171*$I171/12*0,IF($J171=2,-$E171*$I171/12*1,IF($J171=3,-$E171*$I171/12*2,IF($J171&gt;=4,-$E171*$I171/12*3,0))))))</f>
        <v>0</v>
      </c>
      <c r="BV171" s="442">
        <f>IF($H171&lt;&gt;BY$5,0,IF(BY171&lt;0,IF(OR($J171=1,$J171=2,$J171=3,$J171=4),-$E171*$I171/12*3,IF($J171=5,-$E171*$I171/12*2,IF($J171=6,-$E171*$I171/12*1,0)))))+IF(BT$5&lt;&gt;$H171,0,IF(BT171&lt;0,IF($J171=4,-$E171*$I171/12*0,IF($J171=5,-$E171*$I171/12*1,IF($J171=6,-$E171*$I171/12*2,IF($J171&gt;=7,-$E171*$I171/12*3,0))))))</f>
        <v>0</v>
      </c>
      <c r="BW171" s="442">
        <f>IF($H171&lt;&gt;BY$5,0,IF(BY171&lt;0,IF(OR($J171=1,$J171=2,$J171=3,$J171=4,$J171=5,$J171=6,$J171=7),-$E171*$I171/12*3,IF($J171=8,-$E171*$I171/12*2,IF($J171=9,-$E171*$I171/12*1,0)))))+IF(BT$5&lt;&gt;$H171,0,IF(BT171&lt;0,IF($J171=7,-$E171*$I171/12*0,IF($J171=8,-$E171*$I171/12*1,IF($J171=9,-$E171*$I171/12*2,IF($J171&gt;=10,-$E171*$I171/12*3,0))))))</f>
        <v>0</v>
      </c>
      <c r="BX171" s="443">
        <f>IF($H171&lt;&gt;BY$5,0,IF(BY171&lt;0,IF(OR($J171=1,$J171=2,$J171=3,$J171=4,$J171=5,$J171=6,$J171=7,$J171=8,$J171=9,$J171=10),-$E171*$I171/12*3,IF($J171=11,-$E171*$I171/12*2,IF($J171=12,-$E171*$I171/12*1,0)))))+IF(BT$5&lt;&gt;$H171,0,IF(BT171&lt;0,IF($J171=10,-$E171*$I171/12*0,IF($J171=11,-$E171*$I171/12*1,IF($J171=12,-$E171*$I171/12*2,0)))))</f>
        <v>0</v>
      </c>
      <c r="BY171" s="440">
        <f>IF(AND(BT171&lt;&gt;0,BT$5=$H171),-$I171*$E171-BT171,IF(BY$5=$H171,-$I171*$E171*(12-$J171+1)/12,0))</f>
        <v>0</v>
      </c>
      <c r="BZ171" s="441">
        <f>IF($H171&lt;&gt;CD$5,0,IF(CD171&lt;0,IF($J171=1,-$E171*$I171/12*3,IF($J171=2,-$E171*$I171/12*2,IF($J171=3,-$E171*$I171/12*1,0)))))+IF(BY$5&lt;&gt;$H171,0,IF(BY171&lt;0,IF($J171=1,-$E171*$I171/12*0,IF($J171=2,-$E171*$I171/12*1,IF($J171=3,-$E171*$I171/12*2,IF($J171&gt;=4,-$E171*$I171/12*3,0))))))</f>
        <v>0</v>
      </c>
      <c r="CA171" s="442">
        <f>IF($H171&lt;&gt;CD$5,0,IF(CD171&lt;0,IF(OR($J171=1,$J171=2,$J171=3,$J171=4),-$E171*$I171/12*3,IF($J171=5,-$E171*$I171/12*2,IF($J171=6,-$E171*$I171/12*1,0)))))+IF(BY$5&lt;&gt;$H171,0,IF(BY171&lt;0,IF($J171=4,-$E171*$I171/12*0,IF($J171=5,-$E171*$I171/12*1,IF($J171=6,-$E171*$I171/12*2,IF($J171&gt;=7,-$E171*$I171/12*3,0))))))</f>
        <v>0</v>
      </c>
      <c r="CB171" s="442">
        <f>IF($H171&lt;&gt;CD$5,0,IF(CD171&lt;0,IF(OR($J171=1,$J171=2,$J171=3,$J171=4,$J171=5,$J171=6,$J171=7),-$E171*$I171/12*3,IF($J171=8,-$E171*$I171/12*2,IF($J171=9,-$E171*$I171/12*1,0)))))+IF(BY$5&lt;&gt;$H171,0,IF(BY171&lt;0,IF($J171=7,-$E171*$I171/12*0,IF($J171=8,-$E171*$I171/12*1,IF($J171=9,-$E171*$I171/12*2,IF($J171&gt;=10,-$E171*$I171/12*3,0))))))</f>
        <v>0</v>
      </c>
      <c r="CC171" s="443">
        <f>IF($H171&lt;&gt;CD$5,0,IF(CD171&lt;0,IF(OR($J171=1,$J171=2,$J171=3,$J171=4,$J171=5,$J171=6,$J171=7,$J171=8,$J171=9,$J171=10),-$E171*$I171/12*3,IF($J171=11,-$E171*$I171/12*2,IF($J171=12,-$E171*$I171/12*1,0)))))+IF(BY$5&lt;&gt;$H171,0,IF(BY171&lt;0,IF($J171=10,-$E171*$I171/12*0,IF($J171=11,-$E171*$I171/12*1,IF($J171=12,-$E171*$I171/12*2,0)))))</f>
        <v>0</v>
      </c>
      <c r="CD171" s="440">
        <f>IF(AND(BY171&lt;&gt;0,BY$5=$H171),-$I171*$E171-BY171,IF(CD$5=$H171,-$I171*$E171*(12-$J171+1)/12,0))</f>
        <v>0</v>
      </c>
      <c r="CE171" s="441">
        <f>IF($H171&lt;&gt;CI$5,0,IF(CI171&lt;0,IF($J171=1,-$E171*$I171/12*3,IF($J171=2,-$E171*$I171/12*2,IF($J171=3,-$E171*$I171/12*1,0)))))+IF(CD$5&lt;&gt;$H171,0,IF(CD171&lt;0,IF($J171=1,-$E171*$I171/12*0,IF($J171=2,-$E171*$I171/12*1,IF($J171=3,-$E171*$I171/12*2,IF($J171&gt;=4,-$E171*$I171/12*3,0))))))</f>
        <v>0</v>
      </c>
      <c r="CF171" s="442">
        <f>IF($H171&lt;&gt;CI$5,0,IF(CI171&lt;0,IF(OR($J171=1,$J171=2,$J171=3,$J171=4),-$E171*$I171/12*3,IF($J171=5,-$E171*$I171/12*2,IF($J171=6,-$E171*$I171/12*1,0)))))+IF(CD$5&lt;&gt;$H171,0,IF(CD171&lt;0,IF($J171=4,-$E171*$I171/12*0,IF($J171=5,-$E171*$I171/12*1,IF($J171=6,-$E171*$I171/12*2,IF($J171&gt;=7,-$E171*$I171/12*3,0))))))</f>
        <v>0</v>
      </c>
      <c r="CG171" s="442">
        <f>IF($H171&lt;&gt;CI$5,0,IF(CI171&lt;0,IF(OR($J171=1,$J171=2,$J171=3,$J171=4,$J171=5,$J171=6,$J171=7),-$E171*$I171/12*3,IF($J171=8,-$E171*$I171/12*2,IF($J171=9,-$E171*$I171/12*1,0)))))+IF(CD$5&lt;&gt;$H171,0,IF(CD171&lt;0,IF($J171=7,-$E171*$I171/12*0,IF($J171=8,-$E171*$I171/12*1,IF($J171=9,-$E171*$I171/12*2,IF($J171&gt;=10,-$E171*$I171/12*3,0))))))</f>
        <v>0</v>
      </c>
      <c r="CH171" s="443">
        <f>IF($H171&lt;&gt;CI$5,0,IF(CI171&lt;0,IF(OR($J171=1,$J171=2,$J171=3,$J171=4,$J171=5,$J171=6,$J171=7,$J171=8,$J171=9,$J171=10),-$E171*$I171/12*3,IF($J171=11,-$E171*$I171/12*2,IF($J171=12,-$E171*$I171/12*1,0)))))+IF(CD$5&lt;&gt;$H171,0,IF(CD171&lt;0,IF($J171=10,-$E171*$I171/12*0,IF($J171=11,-$E171*$I171/12*1,IF($J171=12,-$E171*$I171/12*2,0)))))</f>
        <v>0</v>
      </c>
      <c r="CI171" s="440">
        <f>IF(AND(CD171&lt;&gt;0,CD$5=$H171),-$I171*$E171-CD171,IF(CI$5=$H171,-$I171*$E171*(12-$J171+1)/12,0))</f>
        <v>0</v>
      </c>
      <c r="CJ171" s="441">
        <f>IF($H171&lt;&gt;CN$5,0,IF(CN171&lt;0,IF($J171=1,-$E171*$I171/12*3,IF($J171=2,-$E171*$I171/12*2,IF($J171=3,-$E171*$I171/12*1,0)))))+IF(CI$5&lt;&gt;$H171,0,IF(CI171&lt;0,IF($J171=1,-$E171*$I171/12*0,IF($J171=2,-$E171*$I171/12*1,IF($J171=3,-$E171*$I171/12*2,IF($J171&gt;=4,-$E171*$I171/12*3,0))))))</f>
        <v>0</v>
      </c>
      <c r="CK171" s="442">
        <f>IF($H171&lt;&gt;CN$5,0,IF(CN171&lt;0,IF(OR($J171=1,$J171=2,$J171=3,$J171=4),-$E171*$I171/12*3,IF($J171=5,-$E171*$I171/12*2,IF($J171=6,-$E171*$I171/12*1,0)))))+IF(CI$5&lt;&gt;$H171,0,IF(CI171&lt;0,IF($J171=4,-$E171*$I171/12*0,IF($J171=5,-$E171*$I171/12*1,IF($J171=6,-$E171*$I171/12*2,IF($J171&gt;=7,-$E171*$I171/12*3,0))))))</f>
        <v>0</v>
      </c>
      <c r="CL171" s="442">
        <f>IF($H171&lt;&gt;CN$5,0,IF(CN171&lt;0,IF(OR($J171=1,$J171=2,$J171=3,$J171=4,$J171=5,$J171=6,$J171=7),-$E171*$I171/12*3,IF($J171=8,-$E171*$I171/12*2,IF($J171=9,-$E171*$I171/12*1,0)))))+IF(CI$5&lt;&gt;$H171,0,IF(CI171&lt;0,IF($J171=7,-$E171*$I171/12*0,IF($J171=8,-$E171*$I171/12*1,IF($J171=9,-$E171*$I171/12*2,IF($J171&gt;=10,-$E171*$I171/12*3,0))))))</f>
        <v>0</v>
      </c>
      <c r="CM171" s="443">
        <f>IF($H171&lt;&gt;CN$5,0,IF(CN171&lt;0,IF(OR($J171=1,$J171=2,$J171=3,$J171=4,$J171=5,$J171=6,$J171=7,$J171=8,$J171=9,$J171=10),-$E171*$I171/12*3,IF($J171=11,-$E171*$I171/12*2,IF($J171=12,-$E171*$I171/12*1,0)))))+IF(CI$5&lt;&gt;$H171,0,IF(CI171&lt;0,IF($J171=10,-$E171*$I171/12*0,IF($J171=11,-$E171*$I171/12*1,IF($J171=12,-$E171*$I171/12*2,0)))))</f>
        <v>0</v>
      </c>
      <c r="CN171" s="440">
        <f>IF(AND(CI171&lt;&gt;0,CI$5=$H171),-$I171*$E171-CI171,IF(CN$5=$H171,-$I171*$E171*(12-$J171+1)/12,0))</f>
        <v>0</v>
      </c>
      <c r="CO171" s="441">
        <f>IF($H171&lt;&gt;CS$5,0,IF(CS171&lt;0,IF($J171=1,-$E171*$I171/12*3,IF($J171=2,-$E171*$I171/12*2,IF($J171=3,-$E171*$I171/12*1,0)))))+IF(CN$5&lt;&gt;$H171,0,IF(CN171&lt;0,IF($J171=1,-$E171*$I171/12*0,IF($J171=2,-$E171*$I171/12*1,IF($J171=3,-$E171*$I171/12*2,IF($J171&gt;=4,-$E171*$I171/12*3,0))))))</f>
        <v>0</v>
      </c>
      <c r="CP171" s="442">
        <f>IF($H171&lt;&gt;CS$5,0,IF(CS171&lt;0,IF(OR($J171=1,$J171=2,$J171=3,$J171=4),-$E171*$I171/12*3,IF($J171=5,-$E171*$I171/12*2,IF($J171=6,-$E171*$I171/12*1,0)))))+IF(CN$5&lt;&gt;$H171,0,IF(CN171&lt;0,IF($J171=4,-$E171*$I171/12*0,IF($J171=5,-$E171*$I171/12*1,IF($J171=6,-$E171*$I171/12*2,IF($J171&gt;=7,-$E171*$I171/12*3,0))))))</f>
        <v>0</v>
      </c>
      <c r="CQ171" s="442">
        <f>IF($H171&lt;&gt;CS$5,0,IF(CS171&lt;0,IF(OR($J171=1,$J171=2,$J171=3,$J171=4,$J171=5,$J171=6,$J171=7),-$E171*$I171/12*3,IF($J171=8,-$E171*$I171/12*2,IF($J171=9,-$E171*$I171/12*1,0)))))+IF(CN$5&lt;&gt;$H171,0,IF(CN171&lt;0,IF($J171=7,-$E171*$I171/12*0,IF($J171=8,-$E171*$I171/12*1,IF($J171=9,-$E171*$I171/12*2,IF($J171&gt;=10,-$E171*$I171/12*3,0))))))</f>
        <v>0</v>
      </c>
      <c r="CR171" s="443">
        <f>IF($H171&lt;&gt;CS$5,0,IF(CS171&lt;0,IF(OR($J171=1,$J171=2,$J171=3,$J171=4,$J171=5,$J171=6,$J171=7,$J171=8,$J171=9,$J171=10),-$E171*$I171/12*3,IF($J171=11,-$E171*$I171/12*2,IF($J171=12,-$E171*$I171/12*1,0)))))+IF(CN$5&lt;&gt;$H171,0,IF(CN171&lt;0,IF($J171=10,-$E171*$I171/12*0,IF($J171=11,-$E171*$I171/12*1,IF($J171=12,-$E171*$I171/12*2,0)))))</f>
        <v>0</v>
      </c>
      <c r="CS171" s="440">
        <f>IF(AND(CN171&lt;&gt;0,CN$5=$H171),-$I171*$E171-CN171,IF(CS$5=$H171,-$I171*$E171*(12-$J171+1)/12,0))</f>
        <v>0</v>
      </c>
      <c r="CT171" s="441">
        <f>IF($H171&lt;&gt;CX$5,0,IF(CX171&lt;0,IF($J171=1,-$E171*$I171/12*3,IF($J171=2,-$E171*$I171/12*2,IF($J171=3,-$E171*$I171/12*1,0)))))+IF(CS$5&lt;&gt;$H171,0,IF(CS171&lt;0,IF($J171=1,-$E171*$I171/12*0,IF($J171=2,-$E171*$I171/12*1,IF($J171=3,-$E171*$I171/12*2,IF($J171&gt;=4,-$E171*$I171/12*3,0))))))</f>
        <v>0</v>
      </c>
      <c r="CU171" s="442">
        <f>IF($H171&lt;&gt;CX$5,0,IF(CX171&lt;0,IF(OR($J171=1,$J171=2,$J171=3,$J171=4),-$E171*$I171/12*3,IF($J171=5,-$E171*$I171/12*2,IF($J171=6,-$E171*$I171/12*1,0)))))+IF(CS$5&lt;&gt;$H171,0,IF(CS171&lt;0,IF($J171=4,-$E171*$I171/12*0,IF($J171=5,-$E171*$I171/12*1,IF($J171=6,-$E171*$I171/12*2,IF($J171&gt;=7,-$E171*$I171/12*3,0))))))</f>
        <v>-7.536288246666667E-2</v>
      </c>
      <c r="CV171" s="442">
        <f>IF($H171&lt;&gt;CX$5,0,IF(CX171&lt;0,IF(OR($J171=1,$J171=2,$J171=3,$J171=4,$J171=5,$J171=6,$J171=7),-$E171*$I171/12*3,IF($J171=8,-$E171*$I171/12*2,IF($J171=9,-$E171*$I171/12*1,0)))))+IF(CS$5&lt;&gt;$H171,0,IF(CS171&lt;0,IF($J171=7,-$E171*$I171/12*0,IF($J171=8,-$E171*$I171/12*1,IF($J171=9,-$E171*$I171/12*2,IF($J171&gt;=10,-$E171*$I171/12*3,0))))))</f>
        <v>-0.22608864740000001</v>
      </c>
      <c r="CW171" s="443">
        <f>IF($H171&lt;&gt;CX$5,0,IF(CX171&lt;0,IF(OR($J171=1,$J171=2,$J171=3,$J171=4,$J171=5,$J171=6,$J171=7,$J171=8,$J171=9,$J171=10),-$E171*$I171/12*3,IF($J171=11,-$E171*$I171/12*2,IF($J171=12,-$E171*$I171/12*1,0)))))+IF(CS$5&lt;&gt;$H171,0,IF(CS171&lt;0,IF($J171=10,-$E171*$I171/12*0,IF($J171=11,-$E171*$I171/12*1,IF($J171=12,-$E171*$I171/12*2,0)))))</f>
        <v>-0.22608864740000001</v>
      </c>
      <c r="CX171" s="440">
        <f>IF(AND(CS171&lt;&gt;0,CS$5=$H171),-$I171*$E171-CS171,IF(CX$5=$H171,-$I171*$E171*(12-$J171+1)/12,0))</f>
        <v>-0.52754017726666669</v>
      </c>
      <c r="CY171" s="441">
        <f>IF($H171&lt;&gt;DC$5,0,IF(DC171&lt;0,IF($J171=1,-$E171*$I171/12*3,IF($J171=2,-$E171*$I171/12*2,IF($J171=3,-$E171*$I171/12*1,0)))))+IF(CX$5&lt;&gt;$H171,0,IF(CX171&lt;0,IF($J171=1,-$E171*$I171/12*0,IF($J171=2,-$E171*$I171/12*1,IF($J171=3,-$E171*$I171/12*2,IF($J171&gt;=4,-$E171*$I171/12*3,0))))))</f>
        <v>-0.22608864740000001</v>
      </c>
      <c r="CZ171" s="442">
        <f>IF($H171&lt;&gt;DC$5,0,IF(DC171&lt;0,IF(OR($J171=1,$J171=2,$J171=3,$J171=4),-$E171*$I171/12*3,IF($J171=5,-$E171*$I171/12*2,IF($J171=6,-$E171*$I171/12*1,0)))))+IF(CX$5&lt;&gt;$H171,0,IF(CX171&lt;0,IF($J171=4,-$E171*$I171/12*0,IF($J171=5,-$E171*$I171/12*1,IF($J171=6,-$E171*$I171/12*2,IF($J171&gt;=7,-$E171*$I171/12*3,0))))))</f>
        <v>-0.15072576493333334</v>
      </c>
      <c r="DA171" s="442">
        <f>IF($H171&lt;&gt;DC$5,0,IF(DC171&lt;0,IF(OR($J171=1,$J171=2,$J171=3,$J171=4,$J171=5,$J171=6,$J171=7),-$E171*$I171/12*3,IF($J171=8,-$E171*$I171/12*2,IF($J171=9,-$E171*$I171/12*1,0)))))+IF(CX$5&lt;&gt;$H171,0,IF(CX171&lt;0,IF($J171=7,-$E171*$I171/12*0,IF($J171=8,-$E171*$I171/12*1,IF($J171=9,-$E171*$I171/12*2,IF($J171&gt;=10,-$E171*$I171/12*3,0))))))</f>
        <v>0</v>
      </c>
      <c r="DB171" s="443">
        <f>IF($H171&lt;&gt;DC$5,0,IF(DC171&lt;0,IF(OR($J171=1,$J171=2,$J171=3,$J171=4,$J171=5,$J171=6,$J171=7,$J171=8,$J171=9,$J171=10),-$E171*$I171/12*3,IF($J171=11,-$E171*$I171/12*2,IF($J171=12,-$E171*$I171/12*1,0)))))+IF(CX$5&lt;&gt;$H171,0,IF(CX171&lt;0,IF($J171=10,-$E171*$I171/12*0,IF($J171=11,-$E171*$I171/12*1,IF($J171=12,-$E171*$I171/12*2,0)))))</f>
        <v>0</v>
      </c>
      <c r="DC171" s="440">
        <f>IF(AND(CX171&lt;&gt;0,CX$5=$H171),-$I171*$E171-CX171,IF(DC$5=$H171,-$I171*$E171*(12-$J171+1)/12,0))</f>
        <v>-0.37681441233333335</v>
      </c>
      <c r="DD171" s="441">
        <f>IF($H171&lt;&gt;DH$5,0,IF(DH171&lt;0,IF($J171=1,-$E171*$I171/12*3,IF($J171=2,-$E171*$I171/12*2,IF($J171=3,-$E171*$I171/12*1,0)))))+IF(DC$5&lt;&gt;$H171,0,IF(DC171&lt;0,IF($J171=1,-$E171*$I171/12*0,IF($J171=2,-$E171*$I171/12*1,IF($J171=3,-$E171*$I171/12*2,IF($J171&gt;=4,-$E171*$I171/12*3,0))))))</f>
        <v>0</v>
      </c>
      <c r="DE171" s="442">
        <f>IF($H171&lt;&gt;DH$5,0,IF(DH171&lt;0,IF(OR($J171=1,$J171=2,$J171=3,$J171=4),-$E171*$I171/12*3,IF($J171=5,-$E171*$I171/12*2,IF($J171=6,-$E171*$I171/12*1,0)))))+IF(DC$5&lt;&gt;$H171,0,IF(DC171&lt;0,IF($J171=4,-$E171*$I171/12*0,IF($J171=5,-$E171*$I171/12*1,IF($J171=6,-$E171*$I171/12*2,IF($J171&gt;=7,-$E171*$I171/12*3,0))))))</f>
        <v>0</v>
      </c>
      <c r="DF171" s="442">
        <f>IF($H171&lt;&gt;DH$5,0,IF(DH171&lt;0,IF(OR($J171=1,$J171=2,$J171=3,$J171=4,$J171=5,$J171=6,$J171=7),-$E171*$I171/12*3,IF($J171=8,-$E171*$I171/12*2,IF($J171=9,-$E171*$I171/12*1,0)))))+IF(DC$5&lt;&gt;$H171,0,IF(DC171&lt;0,IF($J171=7,-$E171*$I171/12*0,IF($J171=8,-$E171*$I171/12*1,IF($J171=9,-$E171*$I171/12*2,IF($J171&gt;=10,-$E171*$I171/12*3,0))))))</f>
        <v>0</v>
      </c>
      <c r="DG171" s="443">
        <f>IF($H171&lt;&gt;DH$5,0,IF(DH171&lt;0,IF(OR($J171=1,$J171=2,$J171=3,$J171=4,$J171=5,$J171=6,$J171=7,$J171=8,$J171=9,$J171=10),-$E171*$I171/12*3,IF($J171=11,-$E171*$I171/12*2,IF($J171=12,-$E171*$I171/12*1,0)))))+IF(DC$5&lt;&gt;$H171,0,IF(DC171&lt;0,IF($J171=10,-$E171*$I171/12*0,IF($J171=11,-$E171*$I171/12*1,IF($J171=12,-$E171*$I171/12*2,0)))))</f>
        <v>0</v>
      </c>
      <c r="DH171" s="440">
        <f>IF(AND(DC171&lt;&gt;0,DC$5=$H171),-$I171*$E171-DC171,IF(DH$5=$H171,-$I171*$E171*(12-$J171+1)/12,0))</f>
        <v>0</v>
      </c>
      <c r="DI171" s="441">
        <f>IF($H171&lt;&gt;DM$5,0,IF(DM171&lt;0,IF($J171=1,-$E171*$I171/12*3,IF($J171=2,-$E171*$I171/12*2,IF($J171=3,-$E171*$I171/12*1,0)))))+IF(DH$5&lt;&gt;$H171,0,IF(DH171&lt;0,IF($J171=1,-$E171*$I171/12*0,IF($J171=2,-$E171*$I171/12*1,IF($J171=3,-$E171*$I171/12*2,IF($J171&gt;=4,-$E171*$I171/12*3,0))))))</f>
        <v>0</v>
      </c>
      <c r="DJ171" s="442">
        <f>IF($H171&lt;&gt;DM$5,0,IF(DM171&lt;0,IF(OR($J171=1,$J171=2,$J171=3,$J171=4),-$E171*$I171/12*3,IF($J171=5,-$E171*$I171/12*2,IF($J171=6,-$E171*$I171/12*1,0)))))+IF(DH$5&lt;&gt;$H171,0,IF(DH171&lt;0,IF($J171=4,-$E171*$I171/12*0,IF($J171=5,-$E171*$I171/12*1,IF($J171=6,-$E171*$I171/12*2,IF($J171&gt;=7,-$E171*$I171/12*3,0))))))</f>
        <v>0</v>
      </c>
      <c r="DK171" s="442">
        <f>IF($H171&lt;&gt;DM$5,0,IF(DM171&lt;0,IF(OR($J171=1,$J171=2,$J171=3,$J171=4,$J171=5,$J171=6,$J171=7),-$E171*$I171/12*3,IF($J171=8,-$E171*$I171/12*2,IF($J171=9,-$E171*$I171/12*1,0)))))+IF(DH$5&lt;&gt;$H171,0,IF(DH171&lt;0,IF($J171=7,-$E171*$I171/12*0,IF($J171=8,-$E171*$I171/12*1,IF($J171=9,-$E171*$I171/12*2,IF($J171&gt;=10,-$E171*$I171/12*3,0))))))</f>
        <v>0</v>
      </c>
      <c r="DL171" s="443">
        <f>IF($H171&lt;&gt;DM$5,0,IF(DM171&lt;0,IF(OR($J171=1,$J171=2,$J171=3,$J171=4,$J171=5,$J171=6,$J171=7,$J171=8,$J171=9,$J171=10),-$E171*$I171/12*3,IF($J171=11,-$E171*$I171/12*2,IF($J171=12,-$E171*$I171/12*1,0)))))+IF(DH$5&lt;&gt;$H171,0,IF(DH171&lt;0,IF($J171=10,-$E171*$I171/12*0,IF($J171=11,-$E171*$I171/12*1,IF($J171=12,-$E171*$I171/12*2,0)))))</f>
        <v>0</v>
      </c>
      <c r="DM171" s="440">
        <f>IF(AND(DH171&lt;&gt;0,DH$5=$H171),-$I171*$E171-DH171,IF(DM$5=$H171,-$I171*$E171*(12-$J171+1)/12,0))</f>
        <v>0</v>
      </c>
      <c r="DN171" s="441">
        <f>IF($H171&lt;&gt;DR$5,0,IF(DR171&lt;0,IF($J171=1,-$E171*$I171/12*3,IF($J171=2,-$E171*$I171/12*2,IF($J171=3,-$E171*$I171/12*1,0)))))+IF(DM$5&lt;&gt;$H171,0,IF(DM171&lt;0,IF($J171=1,-$E171*$I171/12*0,IF($J171=2,-$E171*$I171/12*1,IF($J171=3,-$E171*$I171/12*2,IF($J171&gt;=4,-$E171*$I171/12*3,0))))))</f>
        <v>0</v>
      </c>
      <c r="DO171" s="442">
        <f>IF($H171&lt;&gt;DR$5,0,IF(DR171&lt;0,IF(OR($J171=1,$J171=2,$J171=3,$J171=4),-$E171*$I171/12*3,IF($J171=5,-$E171*$I171/12*2,IF($J171=6,-$E171*$I171/12*1,0)))))+IF(DM$5&lt;&gt;$H171,0,IF(DM171&lt;0,IF($J171=4,-$E171*$I171/12*0,IF($J171=5,-$E171*$I171/12*1,IF($J171=6,-$E171*$I171/12*2,IF($J171&gt;=7,-$E171*$I171/12*3,0))))))</f>
        <v>0</v>
      </c>
      <c r="DP171" s="442">
        <f>IF($H171&lt;&gt;DR$5,0,IF(DR171&lt;0,IF(OR($J171=1,$J171=2,$J171=3,$J171=4,$J171=5,$J171=6,$J171=7),-$E171*$I171/12*3,IF($J171=8,-$E171*$I171/12*2,IF($J171=9,-$E171*$I171/12*1,0)))))+IF(DM$5&lt;&gt;$H171,0,IF(DM171&lt;0,IF($J171=7,-$E171*$I171/12*0,IF($J171=8,-$E171*$I171/12*1,IF($J171=9,-$E171*$I171/12*2,IF($J171&gt;=10,-$E171*$I171/12*3,0))))))</f>
        <v>0</v>
      </c>
      <c r="DQ171" s="443">
        <f>IF($H171&lt;&gt;DR$5,0,IF(DR171&lt;0,IF(OR($J171=1,$J171=2,$J171=3,$J171=4,$J171=5,$J171=6,$J171=7,$J171=8,$J171=9,$J171=10),-$E171*$I171/12*3,IF($J171=11,-$E171*$I171/12*2,IF($J171=12,-$E171*$I171/12*1,0)))))+IF(DM$5&lt;&gt;$H171,0,IF(DM171&lt;0,IF($J171=10,-$E171*$I171/12*0,IF($J171=11,-$E171*$I171/12*1,IF($J171=12,-$E171*$I171/12*2,0)))))</f>
        <v>0</v>
      </c>
      <c r="DR171" s="440">
        <f>IF(AND(DM171&lt;&gt;0,DM$5=$H171),-$I171*$E171-DM171,IF(DR$5=$H171,-$I171*$E171*(12-$J171+1)/12,0))</f>
        <v>0</v>
      </c>
    </row>
    <row r="172" spans="3:122" ht="12.75" customHeight="1">
      <c r="C172" s="1362"/>
      <c r="D172" s="395"/>
      <c r="E172" s="325"/>
      <c r="F172" s="1358"/>
      <c r="G172" s="1358"/>
      <c r="H172" s="651"/>
      <c r="I172" s="650"/>
      <c r="J172" s="656"/>
      <c r="K172" s="549"/>
      <c r="L172" s="441"/>
      <c r="M172" s="442"/>
      <c r="N172" s="442"/>
      <c r="O172" s="443"/>
      <c r="P172" s="440"/>
      <c r="Q172" s="441"/>
      <c r="R172" s="442"/>
      <c r="S172" s="442"/>
      <c r="T172" s="443"/>
      <c r="U172" s="440"/>
      <c r="V172" s="441"/>
      <c r="W172" s="442"/>
      <c r="X172" s="442"/>
      <c r="Y172" s="443"/>
      <c r="Z172" s="440"/>
      <c r="AA172" s="441"/>
      <c r="AB172" s="442"/>
      <c r="AC172" s="442"/>
      <c r="AD172" s="443"/>
      <c r="AE172" s="440"/>
      <c r="AF172" s="441"/>
      <c r="AG172" s="442"/>
      <c r="AH172" s="442"/>
      <c r="AI172" s="443"/>
      <c r="AJ172" s="440"/>
      <c r="AK172" s="441"/>
      <c r="AL172" s="442"/>
      <c r="AM172" s="442"/>
      <c r="AN172" s="443"/>
      <c r="AO172" s="440"/>
      <c r="AP172" s="441"/>
      <c r="AQ172" s="442"/>
      <c r="AR172" s="442"/>
      <c r="AS172" s="443"/>
      <c r="AT172" s="440"/>
      <c r="AU172" s="441"/>
      <c r="AV172" s="442"/>
      <c r="AW172" s="442"/>
      <c r="AX172" s="443"/>
      <c r="AY172" s="440"/>
      <c r="AZ172" s="441"/>
      <c r="BA172" s="442"/>
      <c r="BB172" s="442"/>
      <c r="BC172" s="443"/>
      <c r="BD172" s="440"/>
      <c r="BE172" s="441"/>
      <c r="BF172" s="442"/>
      <c r="BG172" s="442"/>
      <c r="BH172" s="443"/>
      <c r="BI172" s="440"/>
      <c r="BJ172" s="441"/>
      <c r="BK172" s="442"/>
      <c r="BL172" s="442"/>
      <c r="BM172" s="443"/>
      <c r="BN172" s="440"/>
      <c r="BO172" s="470"/>
      <c r="BP172" s="441"/>
      <c r="BQ172" s="442"/>
      <c r="BR172" s="442"/>
      <c r="BS172" s="443"/>
      <c r="BT172" s="440"/>
      <c r="BU172" s="441"/>
      <c r="BV172" s="442"/>
      <c r="BW172" s="442"/>
      <c r="BX172" s="443"/>
      <c r="BY172" s="440"/>
      <c r="BZ172" s="441"/>
      <c r="CA172" s="442"/>
      <c r="CB172" s="442"/>
      <c r="CC172" s="443"/>
      <c r="CD172" s="440"/>
      <c r="CE172" s="441"/>
      <c r="CF172" s="442"/>
      <c r="CG172" s="442"/>
      <c r="CH172" s="443"/>
      <c r="CI172" s="440"/>
      <c r="CJ172" s="441"/>
      <c r="CK172" s="442"/>
      <c r="CL172" s="442"/>
      <c r="CM172" s="443"/>
      <c r="CN172" s="440"/>
      <c r="CO172" s="441"/>
      <c r="CP172" s="442"/>
      <c r="CQ172" s="442"/>
      <c r="CR172" s="443"/>
      <c r="CS172" s="440"/>
      <c r="CT172" s="441"/>
      <c r="CU172" s="442"/>
      <c r="CV172" s="442"/>
      <c r="CW172" s="443"/>
      <c r="CX172" s="440"/>
      <c r="CY172" s="441"/>
      <c r="CZ172" s="442"/>
      <c r="DA172" s="442"/>
      <c r="DB172" s="443"/>
      <c r="DC172" s="440"/>
      <c r="DD172" s="441"/>
      <c r="DE172" s="442"/>
      <c r="DF172" s="442"/>
      <c r="DG172" s="443"/>
      <c r="DH172" s="440"/>
      <c r="DI172" s="441"/>
      <c r="DJ172" s="442"/>
      <c r="DK172" s="442"/>
      <c r="DL172" s="443"/>
      <c r="DM172" s="440"/>
      <c r="DN172" s="441"/>
      <c r="DO172" s="442"/>
      <c r="DP172" s="442"/>
      <c r="DQ172" s="443"/>
      <c r="DR172" s="440"/>
    </row>
    <row r="173" spans="3:122" ht="12.75" customHeight="1">
      <c r="C173" s="1363" t="s">
        <v>321</v>
      </c>
      <c r="D173" s="395"/>
      <c r="E173" s="325"/>
      <c r="F173" s="1358"/>
      <c r="G173" s="1358"/>
      <c r="H173" s="414"/>
      <c r="I173" s="650"/>
      <c r="J173" s="656"/>
      <c r="K173" s="549"/>
      <c r="L173" s="441"/>
      <c r="M173" s="442"/>
      <c r="N173" s="442"/>
      <c r="O173" s="443"/>
      <c r="P173" s="440"/>
      <c r="Q173" s="441"/>
      <c r="R173" s="442"/>
      <c r="S173" s="442"/>
      <c r="T173" s="443"/>
      <c r="U173" s="440"/>
      <c r="V173" s="441"/>
      <c r="W173" s="442"/>
      <c r="X173" s="442"/>
      <c r="Y173" s="443"/>
      <c r="Z173" s="440"/>
      <c r="AA173" s="441"/>
      <c r="AB173" s="442"/>
      <c r="AC173" s="442"/>
      <c r="AD173" s="443"/>
      <c r="AE173" s="440"/>
      <c r="AF173" s="441"/>
      <c r="AG173" s="442"/>
      <c r="AH173" s="442"/>
      <c r="AI173" s="443"/>
      <c r="AJ173" s="440"/>
      <c r="AK173" s="441"/>
      <c r="AL173" s="442"/>
      <c r="AM173" s="442"/>
      <c r="AN173" s="443"/>
      <c r="AO173" s="440"/>
      <c r="AP173" s="441"/>
      <c r="AQ173" s="442"/>
      <c r="AR173" s="442"/>
      <c r="AS173" s="443"/>
      <c r="AT173" s="440"/>
      <c r="AU173" s="441"/>
      <c r="AV173" s="442"/>
      <c r="AW173" s="442"/>
      <c r="AX173" s="443"/>
      <c r="AY173" s="440"/>
      <c r="AZ173" s="441"/>
      <c r="BA173" s="442"/>
      <c r="BB173" s="442"/>
      <c r="BC173" s="443"/>
      <c r="BD173" s="440"/>
      <c r="BE173" s="441"/>
      <c r="BF173" s="442"/>
      <c r="BG173" s="442"/>
      <c r="BH173" s="443"/>
      <c r="BI173" s="440"/>
      <c r="BJ173" s="441"/>
      <c r="BK173" s="442"/>
      <c r="BL173" s="442"/>
      <c r="BM173" s="443"/>
      <c r="BN173" s="440"/>
      <c r="BO173" s="470"/>
      <c r="BP173" s="441"/>
      <c r="BQ173" s="442"/>
      <c r="BR173" s="442"/>
      <c r="BS173" s="443"/>
      <c r="BT173" s="440"/>
      <c r="BU173" s="441"/>
      <c r="BV173" s="442"/>
      <c r="BW173" s="442"/>
      <c r="BX173" s="443"/>
      <c r="BY173" s="440"/>
      <c r="BZ173" s="441"/>
      <c r="CA173" s="442"/>
      <c r="CB173" s="442"/>
      <c r="CC173" s="443"/>
      <c r="CD173" s="440"/>
      <c r="CE173" s="441"/>
      <c r="CF173" s="442"/>
      <c r="CG173" s="442"/>
      <c r="CH173" s="443"/>
      <c r="CI173" s="440"/>
      <c r="CJ173" s="441"/>
      <c r="CK173" s="442"/>
      <c r="CL173" s="442"/>
      <c r="CM173" s="443"/>
      <c r="CN173" s="440"/>
      <c r="CO173" s="441"/>
      <c r="CP173" s="442"/>
      <c r="CQ173" s="442"/>
      <c r="CR173" s="443"/>
      <c r="CS173" s="440"/>
      <c r="CT173" s="441"/>
      <c r="CU173" s="442"/>
      <c r="CV173" s="442"/>
      <c r="CW173" s="443"/>
      <c r="CX173" s="440"/>
      <c r="CY173" s="441"/>
      <c r="CZ173" s="442"/>
      <c r="DA173" s="442"/>
      <c r="DB173" s="443"/>
      <c r="DC173" s="440"/>
      <c r="DD173" s="441"/>
      <c r="DE173" s="442"/>
      <c r="DF173" s="442"/>
      <c r="DG173" s="443"/>
      <c r="DH173" s="440"/>
      <c r="DI173" s="441"/>
      <c r="DJ173" s="442"/>
      <c r="DK173" s="442"/>
      <c r="DL173" s="443"/>
      <c r="DM173" s="440"/>
      <c r="DN173" s="441"/>
      <c r="DO173" s="442"/>
      <c r="DP173" s="442"/>
      <c r="DQ173" s="443"/>
      <c r="DR173" s="440"/>
    </row>
    <row r="174" spans="3:122" ht="12.75" customHeight="1">
      <c r="C174" s="1123" t="s">
        <v>723</v>
      </c>
      <c r="D174" s="395"/>
      <c r="E174" s="1950">
        <f t="shared" ref="E174:E180" si="2184">IF(F174=0,G174,F174)</f>
        <v>250</v>
      </c>
      <c r="F174" s="1945">
        <v>0</v>
      </c>
      <c r="G174" s="1945">
        <v>250</v>
      </c>
      <c r="H174" s="1366">
        <v>2017</v>
      </c>
      <c r="I174" s="1367">
        <v>5.6500000000000002E-2</v>
      </c>
      <c r="J174" s="1357">
        <v>9</v>
      </c>
      <c r="K174" s="549"/>
      <c r="L174" s="441">
        <f t="shared" ref="L174:L181" si="2185">IF(P174=0,0,IF(P174&lt;0,IF($J174=3,P174,IF($J174=2,P174,IF($J174=1,P174,0)))))</f>
        <v>0</v>
      </c>
      <c r="M174" s="442">
        <f t="shared" ref="M174:M181" si="2186">IF(P174=0,0,IF(P174&lt;0,IF($J174=6,P174,IF($J174=5,P174,IF($J174=4,P174,0)))))</f>
        <v>0</v>
      </c>
      <c r="N174" s="442">
        <f t="shared" ref="N174:N181" si="2187">IF(P174=0,0,IF(P174&lt;0,IF($J174=9,P174,IF($J174=8,P174,IF($J174=7,P174,0)))))</f>
        <v>0</v>
      </c>
      <c r="O174" s="443">
        <f t="shared" ref="O174:O181" si="2188">IF(P174=0,0,IF(P174&lt;0,IF($J174=12,P174,IF($J174=11,P174,IF($J174=10,P174,0)))))</f>
        <v>0</v>
      </c>
      <c r="P174" s="440">
        <f t="shared" ref="P174:P181" si="2189">IF(P$5=$H174,-$E174,0)</f>
        <v>0</v>
      </c>
      <c r="Q174" s="441">
        <f t="shared" ref="Q174:Q181" si="2190">IF(U174=0,0,IF(U174&lt;0,IF($J174=3,U174,IF($J174=2,U174,IF($J174=1,U174,0)))))</f>
        <v>0</v>
      </c>
      <c r="R174" s="442">
        <f t="shared" ref="R174:R181" si="2191">IF(U174=0,0,IF(U174&lt;0,IF($J174=6,U174,IF($J174=5,U174,IF($J174=4,U174,0)))))</f>
        <v>0</v>
      </c>
      <c r="S174" s="442">
        <f t="shared" ref="S174:S181" si="2192">IF(U174=0,0,IF(U174&lt;0,IF($J174=9,U174,IF($J174=8,U174,IF($J174=7,U174,0)))))</f>
        <v>0</v>
      </c>
      <c r="T174" s="443">
        <f t="shared" ref="T174:T181" si="2193">IF(U174=0,0,IF(U174&lt;0,IF($J174=12,U174,IF($J174=11,U174,IF($J174=10,U174,0)))))</f>
        <v>0</v>
      </c>
      <c r="U174" s="440">
        <f t="shared" ref="U174:U181" si="2194">IF(U$5=$H174,-$E174,0)</f>
        <v>0</v>
      </c>
      <c r="V174" s="441">
        <f t="shared" ref="V174:V181" si="2195">IF(Z174=0,0,IF(Z174&lt;0,IF($J174=3,Z174,IF($J174=2,Z174,IF($J174=1,Z174,0)))))</f>
        <v>0</v>
      </c>
      <c r="W174" s="442">
        <f t="shared" ref="W174:W181" si="2196">IF(Z174=0,0,IF(Z174&lt;0,IF($J174=6,Z174,IF($J174=5,Z174,IF($J174=4,Z174,0)))))</f>
        <v>0</v>
      </c>
      <c r="X174" s="442">
        <f t="shared" ref="X174:X181" si="2197">IF(Z174=0,0,IF(Z174&lt;0,IF($J174=9,Z174,IF($J174=8,Z174,IF($J174=7,Z174,0)))))</f>
        <v>0</v>
      </c>
      <c r="Y174" s="443">
        <f t="shared" ref="Y174:Y181" si="2198">IF(Z174=0,0,IF(Z174&lt;0,IF($J174=12,Z174,IF($J174=11,Z174,IF($J174=10,Z174,0)))))</f>
        <v>0</v>
      </c>
      <c r="Z174" s="440">
        <f t="shared" ref="Z174:Z181" si="2199">IF(Z$5=$H174,-$E174,0)</f>
        <v>0</v>
      </c>
      <c r="AA174" s="441">
        <f t="shared" ref="AA174:AA181" si="2200">IF(AE174=0,0,IF(AE174&lt;0,IF($J174=3,AE174,IF($J174=2,AE174,IF($J174=1,AE174,0)))))</f>
        <v>0</v>
      </c>
      <c r="AB174" s="442">
        <f t="shared" ref="AB174:AB181" si="2201">IF(AE174=0,0,IF(AE174&lt;0,IF($J174=6,AE174,IF($J174=5,AE174,IF($J174=4,AE174,0)))))</f>
        <v>0</v>
      </c>
      <c r="AC174" s="442">
        <f t="shared" ref="AC174:AC181" si="2202">IF(AE174=0,0,IF(AE174&lt;0,IF($J174=9,AE174,IF($J174=8,AE174,IF($J174=7,AE174,0)))))</f>
        <v>0</v>
      </c>
      <c r="AD174" s="443">
        <f t="shared" ref="AD174:AD181" si="2203">IF(AE174=0,0,IF(AE174&lt;0,IF($J174=12,AE174,IF($J174=11,AE174,IF($J174=10,AE174,0)))))</f>
        <v>0</v>
      </c>
      <c r="AE174" s="440">
        <f t="shared" ref="AE174:AE181" si="2204">IF(AE$5=$H174,-$E174,0)</f>
        <v>0</v>
      </c>
      <c r="AF174" s="441">
        <f t="shared" ref="AF174:AF181" si="2205">IF(AJ174=0,0,IF(AJ174&lt;0,IF($J174=3,AJ174,IF($J174=2,AJ174,IF($J174=1,AJ174,0)))))</f>
        <v>0</v>
      </c>
      <c r="AG174" s="442">
        <f t="shared" ref="AG174:AG181" si="2206">IF(AJ174=0,0,IF(AJ174&lt;0,IF($J174=6,AJ174,IF($J174=5,AJ174,IF($J174=4,AJ174,0)))))</f>
        <v>0</v>
      </c>
      <c r="AH174" s="442">
        <f t="shared" ref="AH174:AH181" si="2207">IF(AJ174=0,0,IF(AJ174&lt;0,IF($J174=9,AJ174,IF($J174=8,AJ174,IF($J174=7,AJ174,0)))))</f>
        <v>0</v>
      </c>
      <c r="AI174" s="443">
        <f t="shared" ref="AI174:AI181" si="2208">IF(AJ174=0,0,IF(AJ174&lt;0,IF($J174=12,AJ174,IF($J174=11,AJ174,IF($J174=10,AJ174,0)))))</f>
        <v>0</v>
      </c>
      <c r="AJ174" s="440">
        <f t="shared" ref="AJ174:AJ181" si="2209">IF(AJ$5=$H174,-$E174,0)</f>
        <v>0</v>
      </c>
      <c r="AK174" s="441">
        <f t="shared" ref="AK174:AK181" si="2210">IF(AO174=0,0,IF(AO174&lt;0,IF($J174=3,AO174,IF($J174=2,AO174,IF($J174=1,AO174,0)))))</f>
        <v>0</v>
      </c>
      <c r="AL174" s="442">
        <f t="shared" ref="AL174:AL181" si="2211">IF(AO174=0,0,IF(AO174&lt;0,IF($J174=6,AO174,IF($J174=5,AO174,IF($J174=4,AO174,0)))))</f>
        <v>0</v>
      </c>
      <c r="AM174" s="442">
        <f t="shared" ref="AM174:AM181" si="2212">IF(AO174=0,0,IF(AO174&lt;0,IF($J174=9,AO174,IF($J174=8,AO174,IF($J174=7,AO174,0)))))</f>
        <v>0</v>
      </c>
      <c r="AN174" s="443">
        <f t="shared" ref="AN174:AN181" si="2213">IF(AO174=0,0,IF(AO174&lt;0,IF($J174=12,AO174,IF($J174=11,AO174,IF($J174=10,AO174,0)))))</f>
        <v>0</v>
      </c>
      <c r="AO174" s="440">
        <f t="shared" ref="AO174:AO181" si="2214">IF(AO$5=$H174,-$E174,0)</f>
        <v>0</v>
      </c>
      <c r="AP174" s="441">
        <f t="shared" ref="AP174:AP181" si="2215">IF(AT174=0,0,IF(AT174&lt;0,IF($J174=3,AT174,IF($J174=2,AT174,IF($J174=1,AT174,0)))))</f>
        <v>0</v>
      </c>
      <c r="AQ174" s="442">
        <f t="shared" ref="AQ174:AQ181" si="2216">IF(AT174=0,0,IF(AT174&lt;0,IF($J174=6,AT174,IF($J174=5,AT174,IF($J174=4,AT174,0)))))</f>
        <v>0</v>
      </c>
      <c r="AR174" s="442">
        <f t="shared" ref="AR174:AR181" si="2217">IF(AT174=0,0,IF(AT174&lt;0,IF($J174=9,AT174,IF($J174=8,AT174,IF($J174=7,AT174,0)))))</f>
        <v>-250</v>
      </c>
      <c r="AS174" s="443">
        <f t="shared" ref="AS174:AS181" si="2218">IF(AT174=0,0,IF(AT174&lt;0,IF($J174=12,AT174,IF($J174=11,AT174,IF($J174=10,AT174,0)))))</f>
        <v>0</v>
      </c>
      <c r="AT174" s="440">
        <f t="shared" ref="AT174:AT181" si="2219">IF(AT$5=$H174,-$E174,0)</f>
        <v>-250</v>
      </c>
      <c r="AU174" s="441">
        <f t="shared" ref="AU174:AU181" si="2220">IF(AY174=0,0,IF(AY174&lt;0,IF($J174=3,AY174,IF($J174=2,AY174,IF($J174=1,AY174,0)))))</f>
        <v>0</v>
      </c>
      <c r="AV174" s="442">
        <f t="shared" ref="AV174:AV181" si="2221">IF(AY174=0,0,IF(AY174&lt;0,IF($J174=6,AY174,IF($J174=5,AY174,IF($J174=4,AY174,0)))))</f>
        <v>0</v>
      </c>
      <c r="AW174" s="442">
        <f t="shared" ref="AW174:AW181" si="2222">IF(AY174=0,0,IF(AY174&lt;0,IF($J174=9,AY174,IF($J174=8,AY174,IF($J174=7,AY174,0)))))</f>
        <v>0</v>
      </c>
      <c r="AX174" s="443">
        <f t="shared" ref="AX174:AX181" si="2223">IF(AY174=0,0,IF(AY174&lt;0,IF($J174=12,AY174,IF($J174=11,AY174,IF($J174=10,AY174,0)))))</f>
        <v>0</v>
      </c>
      <c r="AY174" s="440">
        <f t="shared" ref="AY174:AY181" si="2224">IF(AY$5=$H174,-$E174,0)</f>
        <v>0</v>
      </c>
      <c r="AZ174" s="441">
        <f t="shared" ref="AZ174:AZ181" si="2225">IF(BD174=0,0,IF(BD174&lt;0,IF($J174=3,BD174,IF($J174=2,BD174,IF($J174=1,BD174,0)))))</f>
        <v>0</v>
      </c>
      <c r="BA174" s="442">
        <f t="shared" ref="BA174:BA181" si="2226">IF(BD174=0,0,IF(BD174&lt;0,IF($J174=6,BD174,IF($J174=5,BD174,IF($J174=4,BD174,0)))))</f>
        <v>0</v>
      </c>
      <c r="BB174" s="442">
        <f t="shared" ref="BB174:BB181" si="2227">IF(BD174=0,0,IF(BD174&lt;0,IF($J174=9,BD174,IF($J174=8,BD174,IF($J174=7,BD174,0)))))</f>
        <v>0</v>
      </c>
      <c r="BC174" s="443">
        <f t="shared" ref="BC174:BC181" si="2228">IF(BD174=0,0,IF(BD174&lt;0,IF($J174=12,BD174,IF($J174=11,BD174,IF($J174=10,BD174,0)))))</f>
        <v>0</v>
      </c>
      <c r="BD174" s="440">
        <f t="shared" ref="BD174:BD181" si="2229">IF(BD$5=$H174,-$E174,0)</f>
        <v>0</v>
      </c>
      <c r="BE174" s="441">
        <f t="shared" ref="BE174:BE181" si="2230">IF(BI174=0,0,IF(BI174&lt;0,IF($J174=3,BI174,IF($J174=2,BI174,IF($J174=1,BI174,0)))))</f>
        <v>0</v>
      </c>
      <c r="BF174" s="442">
        <f t="shared" ref="BF174:BF181" si="2231">IF(BI174=0,0,IF(BI174&lt;0,IF($J174=6,BI174,IF($J174=5,BI174,IF($J174=4,BI174,0)))))</f>
        <v>0</v>
      </c>
      <c r="BG174" s="442">
        <f t="shared" ref="BG174:BG181" si="2232">IF(BI174=0,0,IF(BI174&lt;0,IF($J174=9,BI174,IF($J174=8,BI174,IF($J174=7,BI174,0)))))</f>
        <v>0</v>
      </c>
      <c r="BH174" s="443">
        <f t="shared" ref="BH174:BH181" si="2233">IF(BI174=0,0,IF(BI174&lt;0,IF($J174=12,BI174,IF($J174=11,BI174,IF($J174=10,BI174,0)))))</f>
        <v>0</v>
      </c>
      <c r="BI174" s="440">
        <f t="shared" ref="BI174:BI181" si="2234">IF(BI$5=$H174,-$E174,0)</f>
        <v>0</v>
      </c>
      <c r="BJ174" s="441">
        <f t="shared" ref="BJ174:BJ181" si="2235">IF(BN174=0,0,IF(BN174&lt;0,IF($J174=3,BN174,IF($J174=2,BN174,IF($J174=1,BN174,0)))))</f>
        <v>0</v>
      </c>
      <c r="BK174" s="442">
        <f t="shared" ref="BK174:BK181" si="2236">IF(BN174=0,0,IF(BN174&lt;0,IF($J174=6,BN174,IF($J174=5,BN174,IF($J174=4,BN174,0)))))</f>
        <v>0</v>
      </c>
      <c r="BL174" s="442">
        <f t="shared" ref="BL174:BL181" si="2237">IF(BN174=0,0,IF(BN174&lt;0,IF($J174=9,BN174,IF($J174=8,BN174,IF($J174=7,BN174,0)))))</f>
        <v>0</v>
      </c>
      <c r="BM174" s="443">
        <f t="shared" ref="BM174:BM181" si="2238">IF(BN174=0,0,IF(BN174&lt;0,IF($J174=12,BN174,IF($J174=11,BN174,IF($J174=10,BN174,0)))))</f>
        <v>0</v>
      </c>
      <c r="BN174" s="440">
        <f t="shared" ref="BN174:BN181" si="2239">IF(BN$5=$H174,-$E174,0)</f>
        <v>0</v>
      </c>
      <c r="BO174" s="470"/>
      <c r="BP174" s="441">
        <f t="shared" ref="BP174:BP180" si="2240">IF($H174&lt;&gt;BT$5,0,IF(BT174&lt;0,IF($J174=1,-$E174*$I174/12*3,IF($J174=2,-$E174*$I174/12*2,IF($J174=3,-$E174*$I174/12*1,0)))))+IF(BO$5&lt;&gt;$H174,0,IF(BO174&lt;0,IF($J174=1,-$E174*$I174/12*0,IF($J174=2,-$E174*$I174/12*1,IF($J174=3,-$E174*$I174/12*2,IF($J174&gt;=4,-$E174*$I174/12*3,0))))))</f>
        <v>0</v>
      </c>
      <c r="BQ174" s="442">
        <f t="shared" ref="BQ174:BQ180" si="2241">IF($H174&lt;&gt;BT$5,0,IF(BT174&lt;0,IF(OR($J174=1,$J174=2,$J174=3,$J174=4),-$E174*$I174/12*3,IF($J174=5,-$E174*$I174/12*2,IF($J174=6,-$E174*$I174/12*1,0)))))+IF(BO$5&lt;&gt;$H174,0,IF(BO174&lt;0,IF($J174=4,-$E174*$I174/12*0,IF($J174=5,-$E174*$I174/12*1,IF($J174=6,-$E174*$I174/12*2,IF($J174&gt;=7,-$E174*$I174/12*3,0))))))</f>
        <v>0</v>
      </c>
      <c r="BR174" s="442">
        <f t="shared" ref="BR174:BR180" si="2242">IF($H174&lt;&gt;BT$5,0,IF(BT174&lt;0,IF(OR($J174=1,$J174=2,$J174=3,$J174=4,$J174=5,$J174=6,$J174=7),-$E174*$I174/12*3,IF($J174=8,-$E174*$I174/12*2,IF($J174=9,-$E174*$I174/12*1,0)))))+IF(BO$5&lt;&gt;$H174,0,IF(BO174&lt;0,IF($J174=7,-$E174*$I174/12*0,IF($J174=8,-$E174*$I174/12*1,IF($J174=9,-$E174*$I174/12*2,IF($J174&gt;=10,-$E174*$I174/12*3,0))))))</f>
        <v>0</v>
      </c>
      <c r="BS174" s="443">
        <f t="shared" ref="BS174:BS180" si="2243">IF($H174&lt;&gt;BT$5,0,IF(BT174&lt;0,IF(OR($J174=1,$J174=2,$J174=3,$J174=4,$J174=5,$J174=6,$J174=7,$J174=8,$J174=9,$J174=10),-$E174*$I174/12*3,IF($J174=11,-$E174*$I174/12*2,IF($J174=12,-$E174*$I174/12*1,0)))))+IF(BO$5&lt;&gt;$H174,0,IF(BO174&lt;0,IF($J174=10,-$E174*$I174/12*0,IF($J174=11,-$E174*$I174/12*1,IF($J174=12,-$E174*$I174/12*2,0)))))</f>
        <v>0</v>
      </c>
      <c r="BT174" s="440">
        <f t="shared" ref="BT174:BT180" si="2244">IF(AND(BO174&lt;&gt;0,BO$5=$H174),-$I174*$E174-BO174,IF(BT$5=$H174,-$I174*$E174*(12-$J174+1)/12,0))</f>
        <v>0</v>
      </c>
      <c r="BU174" s="441">
        <f t="shared" ref="BU174:BU180" si="2245">IF($H174&lt;&gt;BY$5,0,IF(BY174&lt;0,IF($J174=1,-$E174*$I174/12*3,IF($J174=2,-$E174*$I174/12*2,IF($J174=3,-$E174*$I174/12*1,0)))))+IF(BT$5&lt;&gt;$H174,0,IF(BT174&lt;0,IF($J174=1,-$E174*$I174/12*0,IF($J174=2,-$E174*$I174/12*1,IF($J174=3,-$E174*$I174/12*2,IF($J174&gt;=4,-$E174*$I174/12*3,0))))))</f>
        <v>0</v>
      </c>
      <c r="BV174" s="442">
        <f t="shared" ref="BV174:BV180" si="2246">IF($H174&lt;&gt;BY$5,0,IF(BY174&lt;0,IF(OR($J174=1,$J174=2,$J174=3,$J174=4),-$E174*$I174/12*3,IF($J174=5,-$E174*$I174/12*2,IF($J174=6,-$E174*$I174/12*1,0)))))+IF(BT$5&lt;&gt;$H174,0,IF(BT174&lt;0,IF($J174=4,-$E174*$I174/12*0,IF($J174=5,-$E174*$I174/12*1,IF($J174=6,-$E174*$I174/12*2,IF($J174&gt;=7,-$E174*$I174/12*3,0))))))</f>
        <v>0</v>
      </c>
      <c r="BW174" s="442">
        <f t="shared" ref="BW174:BW180" si="2247">IF($H174&lt;&gt;BY$5,0,IF(BY174&lt;0,IF(OR($J174=1,$J174=2,$J174=3,$J174=4,$J174=5,$J174=6,$J174=7),-$E174*$I174/12*3,IF($J174=8,-$E174*$I174/12*2,IF($J174=9,-$E174*$I174/12*1,0)))))+IF(BT$5&lt;&gt;$H174,0,IF(BT174&lt;0,IF($J174=7,-$E174*$I174/12*0,IF($J174=8,-$E174*$I174/12*1,IF($J174=9,-$E174*$I174/12*2,IF($J174&gt;=10,-$E174*$I174/12*3,0))))))</f>
        <v>0</v>
      </c>
      <c r="BX174" s="443">
        <f t="shared" ref="BX174:BX180" si="2248">IF($H174&lt;&gt;BY$5,0,IF(BY174&lt;0,IF(OR($J174=1,$J174=2,$J174=3,$J174=4,$J174=5,$J174=6,$J174=7,$J174=8,$J174=9,$J174=10),-$E174*$I174/12*3,IF($J174=11,-$E174*$I174/12*2,IF($J174=12,-$E174*$I174/12*1,0)))))+IF(BT$5&lt;&gt;$H174,0,IF(BT174&lt;0,IF($J174=10,-$E174*$I174/12*0,IF($J174=11,-$E174*$I174/12*1,IF($J174=12,-$E174*$I174/12*2,0)))))</f>
        <v>0</v>
      </c>
      <c r="BY174" s="440">
        <f t="shared" ref="BY174:BY180" si="2249">IF(AND(BT174&lt;&gt;0,BT$5=$H174),-$I174*$E174-BT174,IF(BY$5=$H174,-$I174*$E174*(12-$J174+1)/12,0))</f>
        <v>0</v>
      </c>
      <c r="BZ174" s="441">
        <f t="shared" ref="BZ174:BZ180" si="2250">IF($H174&lt;&gt;CD$5,0,IF(CD174&lt;0,IF($J174=1,-$E174*$I174/12*3,IF($J174=2,-$E174*$I174/12*2,IF($J174=3,-$E174*$I174/12*1,0)))))+IF(BY$5&lt;&gt;$H174,0,IF(BY174&lt;0,IF($J174=1,-$E174*$I174/12*0,IF($J174=2,-$E174*$I174/12*1,IF($J174=3,-$E174*$I174/12*2,IF($J174&gt;=4,-$E174*$I174/12*3,0))))))</f>
        <v>0</v>
      </c>
      <c r="CA174" s="442">
        <f t="shared" ref="CA174:CA180" si="2251">IF($H174&lt;&gt;CD$5,0,IF(CD174&lt;0,IF(OR($J174=1,$J174=2,$J174=3,$J174=4),-$E174*$I174/12*3,IF($J174=5,-$E174*$I174/12*2,IF($J174=6,-$E174*$I174/12*1,0)))))+IF(BY$5&lt;&gt;$H174,0,IF(BY174&lt;0,IF($J174=4,-$E174*$I174/12*0,IF($J174=5,-$E174*$I174/12*1,IF($J174=6,-$E174*$I174/12*2,IF($J174&gt;=7,-$E174*$I174/12*3,0))))))</f>
        <v>0</v>
      </c>
      <c r="CB174" s="442">
        <f t="shared" ref="CB174:CB180" si="2252">IF($H174&lt;&gt;CD$5,0,IF(CD174&lt;0,IF(OR($J174=1,$J174=2,$J174=3,$J174=4,$J174=5,$J174=6,$J174=7),-$E174*$I174/12*3,IF($J174=8,-$E174*$I174/12*2,IF($J174=9,-$E174*$I174/12*1,0)))))+IF(BY$5&lt;&gt;$H174,0,IF(BY174&lt;0,IF($J174=7,-$E174*$I174/12*0,IF($J174=8,-$E174*$I174/12*1,IF($J174=9,-$E174*$I174/12*2,IF($J174&gt;=10,-$E174*$I174/12*3,0))))))</f>
        <v>0</v>
      </c>
      <c r="CC174" s="443">
        <f t="shared" ref="CC174:CC180" si="2253">IF($H174&lt;&gt;CD$5,0,IF(CD174&lt;0,IF(OR($J174=1,$J174=2,$J174=3,$J174=4,$J174=5,$J174=6,$J174=7,$J174=8,$J174=9,$J174=10),-$E174*$I174/12*3,IF($J174=11,-$E174*$I174/12*2,IF($J174=12,-$E174*$I174/12*1,0)))))+IF(BY$5&lt;&gt;$H174,0,IF(BY174&lt;0,IF($J174=10,-$E174*$I174/12*0,IF($J174=11,-$E174*$I174/12*1,IF($J174=12,-$E174*$I174/12*2,0)))))</f>
        <v>0</v>
      </c>
      <c r="CD174" s="440">
        <f t="shared" ref="CD174:CD180" si="2254">IF(AND(BY174&lt;&gt;0,BY$5=$H174),-$I174*$E174-BY174,IF(CD$5=$H174,-$I174*$E174*(12-$J174+1)/12,0))</f>
        <v>0</v>
      </c>
      <c r="CE174" s="441">
        <f t="shared" ref="CE174:CE180" si="2255">IF($H174&lt;&gt;CI$5,0,IF(CI174&lt;0,IF($J174=1,-$E174*$I174/12*3,IF($J174=2,-$E174*$I174/12*2,IF($J174=3,-$E174*$I174/12*1,0)))))+IF(CD$5&lt;&gt;$H174,0,IF(CD174&lt;0,IF($J174=1,-$E174*$I174/12*0,IF($J174=2,-$E174*$I174/12*1,IF($J174=3,-$E174*$I174/12*2,IF($J174&gt;=4,-$E174*$I174/12*3,0))))))</f>
        <v>0</v>
      </c>
      <c r="CF174" s="442">
        <f t="shared" ref="CF174:CF180" si="2256">IF($H174&lt;&gt;CI$5,0,IF(CI174&lt;0,IF(OR($J174=1,$J174=2,$J174=3,$J174=4),-$E174*$I174/12*3,IF($J174=5,-$E174*$I174/12*2,IF($J174=6,-$E174*$I174/12*1,0)))))+IF(CD$5&lt;&gt;$H174,0,IF(CD174&lt;0,IF($J174=4,-$E174*$I174/12*0,IF($J174=5,-$E174*$I174/12*1,IF($J174=6,-$E174*$I174/12*2,IF($J174&gt;=7,-$E174*$I174/12*3,0))))))</f>
        <v>0</v>
      </c>
      <c r="CG174" s="442">
        <f t="shared" ref="CG174:CG180" si="2257">IF($H174&lt;&gt;CI$5,0,IF(CI174&lt;0,IF(OR($J174=1,$J174=2,$J174=3,$J174=4,$J174=5,$J174=6,$J174=7),-$E174*$I174/12*3,IF($J174=8,-$E174*$I174/12*2,IF($J174=9,-$E174*$I174/12*1,0)))))+IF(CD$5&lt;&gt;$H174,0,IF(CD174&lt;0,IF($J174=7,-$E174*$I174/12*0,IF($J174=8,-$E174*$I174/12*1,IF($J174=9,-$E174*$I174/12*2,IF($J174&gt;=10,-$E174*$I174/12*3,0))))))</f>
        <v>0</v>
      </c>
      <c r="CH174" s="443">
        <f t="shared" ref="CH174:CH180" si="2258">IF($H174&lt;&gt;CI$5,0,IF(CI174&lt;0,IF(OR($J174=1,$J174=2,$J174=3,$J174=4,$J174=5,$J174=6,$J174=7,$J174=8,$J174=9,$J174=10),-$E174*$I174/12*3,IF($J174=11,-$E174*$I174/12*2,IF($J174=12,-$E174*$I174/12*1,0)))))+IF(CD$5&lt;&gt;$H174,0,IF(CD174&lt;0,IF($J174=10,-$E174*$I174/12*0,IF($J174=11,-$E174*$I174/12*1,IF($J174=12,-$E174*$I174/12*2,0)))))</f>
        <v>0</v>
      </c>
      <c r="CI174" s="440">
        <f t="shared" ref="CI174:CI180" si="2259">IF(AND(CD174&lt;&gt;0,CD$5=$H174),-$I174*$E174-CD174,IF(CI$5=$H174,-$I174*$E174*(12-$J174+1)/12,0))</f>
        <v>0</v>
      </c>
      <c r="CJ174" s="441">
        <f t="shared" ref="CJ174:CJ180" si="2260">IF($H174&lt;&gt;CN$5,0,IF(CN174&lt;0,IF($J174=1,-$E174*$I174/12*3,IF($J174=2,-$E174*$I174/12*2,IF($J174=3,-$E174*$I174/12*1,0)))))+IF(CI$5&lt;&gt;$H174,0,IF(CI174&lt;0,IF($J174=1,-$E174*$I174/12*0,IF($J174=2,-$E174*$I174/12*1,IF($J174=3,-$E174*$I174/12*2,IF($J174&gt;=4,-$E174*$I174/12*3,0))))))</f>
        <v>0</v>
      </c>
      <c r="CK174" s="442">
        <f t="shared" ref="CK174:CK180" si="2261">IF($H174&lt;&gt;CN$5,0,IF(CN174&lt;0,IF(OR($J174=1,$J174=2,$J174=3,$J174=4),-$E174*$I174/12*3,IF($J174=5,-$E174*$I174/12*2,IF($J174=6,-$E174*$I174/12*1,0)))))+IF(CI$5&lt;&gt;$H174,0,IF(CI174&lt;0,IF($J174=4,-$E174*$I174/12*0,IF($J174=5,-$E174*$I174/12*1,IF($J174=6,-$E174*$I174/12*2,IF($J174&gt;=7,-$E174*$I174/12*3,0))))))</f>
        <v>0</v>
      </c>
      <c r="CL174" s="442">
        <f t="shared" ref="CL174:CL180" si="2262">IF($H174&lt;&gt;CN$5,0,IF(CN174&lt;0,IF(OR($J174=1,$J174=2,$J174=3,$J174=4,$J174=5,$J174=6,$J174=7),-$E174*$I174/12*3,IF($J174=8,-$E174*$I174/12*2,IF($J174=9,-$E174*$I174/12*1,0)))))+IF(CI$5&lt;&gt;$H174,0,IF(CI174&lt;0,IF($J174=7,-$E174*$I174/12*0,IF($J174=8,-$E174*$I174/12*1,IF($J174=9,-$E174*$I174/12*2,IF($J174&gt;=10,-$E174*$I174/12*3,0))))))</f>
        <v>0</v>
      </c>
      <c r="CM174" s="443">
        <f t="shared" ref="CM174:CM180" si="2263">IF($H174&lt;&gt;CN$5,0,IF(CN174&lt;0,IF(OR($J174=1,$J174=2,$J174=3,$J174=4,$J174=5,$J174=6,$J174=7,$J174=8,$J174=9,$J174=10),-$E174*$I174/12*3,IF($J174=11,-$E174*$I174/12*2,IF($J174=12,-$E174*$I174/12*1,0)))))+IF(CI$5&lt;&gt;$H174,0,IF(CI174&lt;0,IF($J174=10,-$E174*$I174/12*0,IF($J174=11,-$E174*$I174/12*1,IF($J174=12,-$E174*$I174/12*2,0)))))</f>
        <v>0</v>
      </c>
      <c r="CN174" s="440">
        <f t="shared" ref="CN174:CN180" si="2264">IF(AND(CI174&lt;&gt;0,CI$5=$H174),-$I174*$E174-CI174,IF(CN$5=$H174,-$I174*$E174*(12-$J174+1)/12,0))</f>
        <v>0</v>
      </c>
      <c r="CO174" s="441">
        <f t="shared" ref="CO174:CO180" si="2265">IF($H174&lt;&gt;CS$5,0,IF(CS174&lt;0,IF($J174=1,-$E174*$I174/12*3,IF($J174=2,-$E174*$I174/12*2,IF($J174=3,-$E174*$I174/12*1,0)))))+IF(CN$5&lt;&gt;$H174,0,IF(CN174&lt;0,IF($J174=1,-$E174*$I174/12*0,IF($J174=2,-$E174*$I174/12*1,IF($J174=3,-$E174*$I174/12*2,IF($J174&gt;=4,-$E174*$I174/12*3,0))))))</f>
        <v>0</v>
      </c>
      <c r="CP174" s="442">
        <f t="shared" ref="CP174:CP180" si="2266">IF($H174&lt;&gt;CS$5,0,IF(CS174&lt;0,IF(OR($J174=1,$J174=2,$J174=3,$J174=4),-$E174*$I174/12*3,IF($J174=5,-$E174*$I174/12*2,IF($J174=6,-$E174*$I174/12*1,0)))))+IF(CN$5&lt;&gt;$H174,0,IF(CN174&lt;0,IF($J174=4,-$E174*$I174/12*0,IF($J174=5,-$E174*$I174/12*1,IF($J174=6,-$E174*$I174/12*2,IF($J174&gt;=7,-$E174*$I174/12*3,0))))))</f>
        <v>0</v>
      </c>
      <c r="CQ174" s="442">
        <f t="shared" ref="CQ174:CQ180" si="2267">IF($H174&lt;&gt;CS$5,0,IF(CS174&lt;0,IF(OR($J174=1,$J174=2,$J174=3,$J174=4,$J174=5,$J174=6,$J174=7),-$E174*$I174/12*3,IF($J174=8,-$E174*$I174/12*2,IF($J174=9,-$E174*$I174/12*1,0)))))+IF(CN$5&lt;&gt;$H174,0,IF(CN174&lt;0,IF($J174=7,-$E174*$I174/12*0,IF($J174=8,-$E174*$I174/12*1,IF($J174=9,-$E174*$I174/12*2,IF($J174&gt;=10,-$E174*$I174/12*3,0))))))</f>
        <v>0</v>
      </c>
      <c r="CR174" s="443">
        <f t="shared" ref="CR174:CR180" si="2268">IF($H174&lt;&gt;CS$5,0,IF(CS174&lt;0,IF(OR($J174=1,$J174=2,$J174=3,$J174=4,$J174=5,$J174=6,$J174=7,$J174=8,$J174=9,$J174=10),-$E174*$I174/12*3,IF($J174=11,-$E174*$I174/12*2,IF($J174=12,-$E174*$I174/12*1,0)))))+IF(CN$5&lt;&gt;$H174,0,IF(CN174&lt;0,IF($J174=10,-$E174*$I174/12*0,IF($J174=11,-$E174*$I174/12*1,IF($J174=12,-$E174*$I174/12*2,0)))))</f>
        <v>0</v>
      </c>
      <c r="CS174" s="440">
        <f t="shared" ref="CS174:CS180" si="2269">IF(AND(CN174&lt;&gt;0,CN$5=$H174),-$I174*$E174-CN174,IF(CS$5=$H174,-$I174*$E174*(12-$J174+1)/12,0))</f>
        <v>0</v>
      </c>
      <c r="CT174" s="441">
        <f t="shared" ref="CT174:CT180" si="2270">IF($H174&lt;&gt;CX$5,0,IF(CX174&lt;0,IF($J174=1,-$E174*$I174/12*3,IF($J174=2,-$E174*$I174/12*2,IF($J174=3,-$E174*$I174/12*1,0)))))+IF(CS$5&lt;&gt;$H174,0,IF(CS174&lt;0,IF($J174=1,-$E174*$I174/12*0,IF($J174=2,-$E174*$I174/12*1,IF($J174=3,-$E174*$I174/12*2,IF($J174&gt;=4,-$E174*$I174/12*3,0))))))</f>
        <v>0</v>
      </c>
      <c r="CU174" s="442">
        <f t="shared" ref="CU174:CU180" si="2271">IF($H174&lt;&gt;CX$5,0,IF(CX174&lt;0,IF(OR($J174=1,$J174=2,$J174=3,$J174=4),-$E174*$I174/12*3,IF($J174=5,-$E174*$I174/12*2,IF($J174=6,-$E174*$I174/12*1,0)))))+IF(CS$5&lt;&gt;$H174,0,IF(CS174&lt;0,IF($J174=4,-$E174*$I174/12*0,IF($J174=5,-$E174*$I174/12*1,IF($J174=6,-$E174*$I174/12*2,IF($J174&gt;=7,-$E174*$I174/12*3,0))))))</f>
        <v>0</v>
      </c>
      <c r="CV174" s="442">
        <f t="shared" ref="CV174:CV180" si="2272">IF($H174&lt;&gt;CX$5,0,IF(CX174&lt;0,IF(OR($J174=1,$J174=2,$J174=3,$J174=4,$J174=5,$J174=6,$J174=7),-$E174*$I174/12*3,IF($J174=8,-$E174*$I174/12*2,IF($J174=9,-$E174*$I174/12*1,0)))))+IF(CS$5&lt;&gt;$H174,0,IF(CS174&lt;0,IF($J174=7,-$E174*$I174/12*0,IF($J174=8,-$E174*$I174/12*1,IF($J174=9,-$E174*$I174/12*2,IF($J174&gt;=10,-$E174*$I174/12*3,0))))))</f>
        <v>-1.1770833333333333</v>
      </c>
      <c r="CW174" s="443">
        <f t="shared" ref="CW174:CW180" si="2273">IF($H174&lt;&gt;CX$5,0,IF(CX174&lt;0,IF(OR($J174=1,$J174=2,$J174=3,$J174=4,$J174=5,$J174=6,$J174=7,$J174=8,$J174=9,$J174=10),-$E174*$I174/12*3,IF($J174=11,-$E174*$I174/12*2,IF($J174=12,-$E174*$I174/12*1,0)))))+IF(CS$5&lt;&gt;$H174,0,IF(CS174&lt;0,IF($J174=10,-$E174*$I174/12*0,IF($J174=11,-$E174*$I174/12*1,IF($J174=12,-$E174*$I174/12*2,0)))))</f>
        <v>-3.53125</v>
      </c>
      <c r="CX174" s="440">
        <f t="shared" ref="CX174:CX180" si="2274">IF(AND(CS174&lt;&gt;0,CS$5=$H174),-$I174*$E174-CS174,IF(CX$5=$H174,-$I174*$E174*(12-$J174+1)/12,0))</f>
        <v>-4.708333333333333</v>
      </c>
      <c r="CY174" s="441">
        <f t="shared" ref="CY174:CY180" si="2275">IF($H174&lt;&gt;DC$5,0,IF(DC174&lt;0,IF($J174=1,-$E174*$I174/12*3,IF($J174=2,-$E174*$I174/12*2,IF($J174=3,-$E174*$I174/12*1,0)))))+IF(CX$5&lt;&gt;$H174,0,IF(CX174&lt;0,IF($J174=1,-$E174*$I174/12*0,IF($J174=2,-$E174*$I174/12*1,IF($J174=3,-$E174*$I174/12*2,IF($J174&gt;=4,-$E174*$I174/12*3,0))))))</f>
        <v>-3.53125</v>
      </c>
      <c r="CZ174" s="442">
        <f t="shared" ref="CZ174:CZ180" si="2276">IF($H174&lt;&gt;DC$5,0,IF(DC174&lt;0,IF(OR($J174=1,$J174=2,$J174=3,$J174=4),-$E174*$I174/12*3,IF($J174=5,-$E174*$I174/12*2,IF($J174=6,-$E174*$I174/12*1,0)))))+IF(CX$5&lt;&gt;$H174,0,IF(CX174&lt;0,IF($J174=4,-$E174*$I174/12*0,IF($J174=5,-$E174*$I174/12*1,IF($J174=6,-$E174*$I174/12*2,IF($J174&gt;=7,-$E174*$I174/12*3,0))))))</f>
        <v>-3.53125</v>
      </c>
      <c r="DA174" s="442">
        <f t="shared" ref="DA174:DA180" si="2277">IF($H174&lt;&gt;DC$5,0,IF(DC174&lt;0,IF(OR($J174=1,$J174=2,$J174=3,$J174=4,$J174=5,$J174=6,$J174=7),-$E174*$I174/12*3,IF($J174=8,-$E174*$I174/12*2,IF($J174=9,-$E174*$I174/12*1,0)))))+IF(CX$5&lt;&gt;$H174,0,IF(CX174&lt;0,IF($J174=7,-$E174*$I174/12*0,IF($J174=8,-$E174*$I174/12*1,IF($J174=9,-$E174*$I174/12*2,IF($J174&gt;=10,-$E174*$I174/12*3,0))))))</f>
        <v>-2.3541666666666665</v>
      </c>
      <c r="DB174" s="443">
        <f t="shared" ref="DB174:DB180" si="2278">IF($H174&lt;&gt;DC$5,0,IF(DC174&lt;0,IF(OR($J174=1,$J174=2,$J174=3,$J174=4,$J174=5,$J174=6,$J174=7,$J174=8,$J174=9,$J174=10),-$E174*$I174/12*3,IF($J174=11,-$E174*$I174/12*2,IF($J174=12,-$E174*$I174/12*1,0)))))+IF(CX$5&lt;&gt;$H174,0,IF(CX174&lt;0,IF($J174=10,-$E174*$I174/12*0,IF($J174=11,-$E174*$I174/12*1,IF($J174=12,-$E174*$I174/12*2,0)))))</f>
        <v>0</v>
      </c>
      <c r="DC174" s="440">
        <f t="shared" ref="DC174:DC180" si="2279">IF(AND(CX174&lt;&gt;0,CX$5=$H174),-$I174*$E174-CX174,IF(DC$5=$H174,-$I174*$E174*(12-$J174+1)/12,0))</f>
        <v>-9.4166666666666679</v>
      </c>
      <c r="DD174" s="441">
        <f t="shared" ref="DD174:DD180" si="2280">IF($H174&lt;&gt;DH$5,0,IF(DH174&lt;0,IF($J174=1,-$E174*$I174/12*3,IF($J174=2,-$E174*$I174/12*2,IF($J174=3,-$E174*$I174/12*1,0)))))+IF(DC$5&lt;&gt;$H174,0,IF(DC174&lt;0,IF($J174=1,-$E174*$I174/12*0,IF($J174=2,-$E174*$I174/12*1,IF($J174=3,-$E174*$I174/12*2,IF($J174&gt;=4,-$E174*$I174/12*3,0))))))</f>
        <v>0</v>
      </c>
      <c r="DE174" s="442">
        <f t="shared" ref="DE174:DE180" si="2281">IF($H174&lt;&gt;DH$5,0,IF(DH174&lt;0,IF(OR($J174=1,$J174=2,$J174=3,$J174=4),-$E174*$I174/12*3,IF($J174=5,-$E174*$I174/12*2,IF($J174=6,-$E174*$I174/12*1,0)))))+IF(DC$5&lt;&gt;$H174,0,IF(DC174&lt;0,IF($J174=4,-$E174*$I174/12*0,IF($J174=5,-$E174*$I174/12*1,IF($J174=6,-$E174*$I174/12*2,IF($J174&gt;=7,-$E174*$I174/12*3,0))))))</f>
        <v>0</v>
      </c>
      <c r="DF174" s="442">
        <f t="shared" ref="DF174:DF180" si="2282">IF($H174&lt;&gt;DH$5,0,IF(DH174&lt;0,IF(OR($J174=1,$J174=2,$J174=3,$J174=4,$J174=5,$J174=6,$J174=7),-$E174*$I174/12*3,IF($J174=8,-$E174*$I174/12*2,IF($J174=9,-$E174*$I174/12*1,0)))))+IF(DC$5&lt;&gt;$H174,0,IF(DC174&lt;0,IF($J174=7,-$E174*$I174/12*0,IF($J174=8,-$E174*$I174/12*1,IF($J174=9,-$E174*$I174/12*2,IF($J174&gt;=10,-$E174*$I174/12*3,0))))))</f>
        <v>0</v>
      </c>
      <c r="DG174" s="443">
        <f t="shared" ref="DG174:DG180" si="2283">IF($H174&lt;&gt;DH$5,0,IF(DH174&lt;0,IF(OR($J174=1,$J174=2,$J174=3,$J174=4,$J174=5,$J174=6,$J174=7,$J174=8,$J174=9,$J174=10),-$E174*$I174/12*3,IF($J174=11,-$E174*$I174/12*2,IF($J174=12,-$E174*$I174/12*1,0)))))+IF(DC$5&lt;&gt;$H174,0,IF(DC174&lt;0,IF($J174=10,-$E174*$I174/12*0,IF($J174=11,-$E174*$I174/12*1,IF($J174=12,-$E174*$I174/12*2,0)))))</f>
        <v>0</v>
      </c>
      <c r="DH174" s="440">
        <f t="shared" ref="DH174:DH180" si="2284">IF(AND(DC174&lt;&gt;0,DC$5=$H174),-$I174*$E174-DC174,IF(DH$5=$H174,-$I174*$E174*(12-$J174+1)/12,0))</f>
        <v>0</v>
      </c>
      <c r="DI174" s="441">
        <f t="shared" ref="DI174:DI180" si="2285">IF($H174&lt;&gt;DM$5,0,IF(DM174&lt;0,IF($J174=1,-$E174*$I174/12*3,IF($J174=2,-$E174*$I174/12*2,IF($J174=3,-$E174*$I174/12*1,0)))))+IF(DH$5&lt;&gt;$H174,0,IF(DH174&lt;0,IF($J174=1,-$E174*$I174/12*0,IF($J174=2,-$E174*$I174/12*1,IF($J174=3,-$E174*$I174/12*2,IF($J174&gt;=4,-$E174*$I174/12*3,0))))))</f>
        <v>0</v>
      </c>
      <c r="DJ174" s="442">
        <f t="shared" ref="DJ174:DJ180" si="2286">IF($H174&lt;&gt;DM$5,0,IF(DM174&lt;0,IF(OR($J174=1,$J174=2,$J174=3,$J174=4),-$E174*$I174/12*3,IF($J174=5,-$E174*$I174/12*2,IF($J174=6,-$E174*$I174/12*1,0)))))+IF(DH$5&lt;&gt;$H174,0,IF(DH174&lt;0,IF($J174=4,-$E174*$I174/12*0,IF($J174=5,-$E174*$I174/12*1,IF($J174=6,-$E174*$I174/12*2,IF($J174&gt;=7,-$E174*$I174/12*3,0))))))</f>
        <v>0</v>
      </c>
      <c r="DK174" s="442">
        <f t="shared" ref="DK174:DK180" si="2287">IF($H174&lt;&gt;DM$5,0,IF(DM174&lt;0,IF(OR($J174=1,$J174=2,$J174=3,$J174=4,$J174=5,$J174=6,$J174=7),-$E174*$I174/12*3,IF($J174=8,-$E174*$I174/12*2,IF($J174=9,-$E174*$I174/12*1,0)))))+IF(DH$5&lt;&gt;$H174,0,IF(DH174&lt;0,IF($J174=7,-$E174*$I174/12*0,IF($J174=8,-$E174*$I174/12*1,IF($J174=9,-$E174*$I174/12*2,IF($J174&gt;=10,-$E174*$I174/12*3,0))))))</f>
        <v>0</v>
      </c>
      <c r="DL174" s="443">
        <f t="shared" ref="DL174:DL180" si="2288">IF($H174&lt;&gt;DM$5,0,IF(DM174&lt;0,IF(OR($J174=1,$J174=2,$J174=3,$J174=4,$J174=5,$J174=6,$J174=7,$J174=8,$J174=9,$J174=10),-$E174*$I174/12*3,IF($J174=11,-$E174*$I174/12*2,IF($J174=12,-$E174*$I174/12*1,0)))))+IF(DH$5&lt;&gt;$H174,0,IF(DH174&lt;0,IF($J174=10,-$E174*$I174/12*0,IF($J174=11,-$E174*$I174/12*1,IF($J174=12,-$E174*$I174/12*2,0)))))</f>
        <v>0</v>
      </c>
      <c r="DM174" s="440">
        <f t="shared" ref="DM174:DM180" si="2289">IF(AND(DH174&lt;&gt;0,DH$5=$H174),-$I174*$E174-DH174,IF(DM$5=$H174,-$I174*$E174*(12-$J174+1)/12,0))</f>
        <v>0</v>
      </c>
      <c r="DN174" s="441">
        <f t="shared" ref="DN174:DN180" si="2290">IF($H174&lt;&gt;DR$5,0,IF(DR174&lt;0,IF($J174=1,-$E174*$I174/12*3,IF($J174=2,-$E174*$I174/12*2,IF($J174=3,-$E174*$I174/12*1,0)))))+IF(DM$5&lt;&gt;$H174,0,IF(DM174&lt;0,IF($J174=1,-$E174*$I174/12*0,IF($J174=2,-$E174*$I174/12*1,IF($J174=3,-$E174*$I174/12*2,IF($J174&gt;=4,-$E174*$I174/12*3,0))))))</f>
        <v>0</v>
      </c>
      <c r="DO174" s="442">
        <f t="shared" ref="DO174:DO180" si="2291">IF($H174&lt;&gt;DR$5,0,IF(DR174&lt;0,IF(OR($J174=1,$J174=2,$J174=3,$J174=4),-$E174*$I174/12*3,IF($J174=5,-$E174*$I174/12*2,IF($J174=6,-$E174*$I174/12*1,0)))))+IF(DM$5&lt;&gt;$H174,0,IF(DM174&lt;0,IF($J174=4,-$E174*$I174/12*0,IF($J174=5,-$E174*$I174/12*1,IF($J174=6,-$E174*$I174/12*2,IF($J174&gt;=7,-$E174*$I174/12*3,0))))))</f>
        <v>0</v>
      </c>
      <c r="DP174" s="442">
        <f t="shared" ref="DP174:DP180" si="2292">IF($H174&lt;&gt;DR$5,0,IF(DR174&lt;0,IF(OR($J174=1,$J174=2,$J174=3,$J174=4,$J174=5,$J174=6,$J174=7),-$E174*$I174/12*3,IF($J174=8,-$E174*$I174/12*2,IF($J174=9,-$E174*$I174/12*1,0)))))+IF(DM$5&lt;&gt;$H174,0,IF(DM174&lt;0,IF($J174=7,-$E174*$I174/12*0,IF($J174=8,-$E174*$I174/12*1,IF($J174=9,-$E174*$I174/12*2,IF($J174&gt;=10,-$E174*$I174/12*3,0))))))</f>
        <v>0</v>
      </c>
      <c r="DQ174" s="443">
        <f t="shared" ref="DQ174:DQ180" si="2293">IF($H174&lt;&gt;DR$5,0,IF(DR174&lt;0,IF(OR($J174=1,$J174=2,$J174=3,$J174=4,$J174=5,$J174=6,$J174=7,$J174=8,$J174=9,$J174=10),-$E174*$I174/12*3,IF($J174=11,-$E174*$I174/12*2,IF($J174=12,-$E174*$I174/12*1,0)))))+IF(DM$5&lt;&gt;$H174,0,IF(DM174&lt;0,IF($J174=10,-$E174*$I174/12*0,IF($J174=11,-$E174*$I174/12*1,IF($J174=12,-$E174*$I174/12*2,0)))))</f>
        <v>0</v>
      </c>
      <c r="DR174" s="440">
        <f t="shared" ref="DR174:DR180" si="2294">IF(AND(DM174&lt;&gt;0,DM$5=$H174),-$I174*$E174-DM174,IF(DR$5=$H174,-$I174*$E174*(12-$J174+1)/12,0))</f>
        <v>0</v>
      </c>
    </row>
    <row r="175" spans="3:122" ht="12.75" customHeight="1">
      <c r="C175" s="1123" t="s">
        <v>725</v>
      </c>
      <c r="D175" s="395"/>
      <c r="E175" s="1950">
        <f>IF(F175=0,G175,F175)</f>
        <v>150</v>
      </c>
      <c r="F175" s="1945">
        <v>150</v>
      </c>
      <c r="G175" s="1945">
        <v>150</v>
      </c>
      <c r="H175" s="1366">
        <v>2018</v>
      </c>
      <c r="I175" s="1367">
        <v>4.8000000000000001E-2</v>
      </c>
      <c r="J175" s="1357">
        <v>6</v>
      </c>
      <c r="K175" s="549"/>
      <c r="L175" s="441">
        <f>IF(P175=0,0,IF(P175&lt;0,IF($J175=3,P175,IF($J175=2,P175,IF($J175=1,P175,0)))))</f>
        <v>0</v>
      </c>
      <c r="M175" s="442">
        <f>IF(P175=0,0,IF(P175&lt;0,IF($J175=6,P175,IF($J175=5,P175,IF($J175=4,P175,0)))))</f>
        <v>0</v>
      </c>
      <c r="N175" s="442">
        <f>IF(P175=0,0,IF(P175&lt;0,IF($J175=9,P175,IF($J175=8,P175,IF($J175=7,P175,0)))))</f>
        <v>0</v>
      </c>
      <c r="O175" s="443">
        <f>IF(P175=0,0,IF(P175&lt;0,IF($J175=12,P175,IF($J175=11,P175,IF($J175=10,P175,0)))))</f>
        <v>0</v>
      </c>
      <c r="P175" s="440">
        <f>IF(P$5=$H175,-$E175,0)</f>
        <v>0</v>
      </c>
      <c r="Q175" s="441">
        <f>IF(U175=0,0,IF(U175&lt;0,IF($J175=3,U175,IF($J175=2,U175,IF($J175=1,U175,0)))))</f>
        <v>0</v>
      </c>
      <c r="R175" s="442">
        <f>IF(U175=0,0,IF(U175&lt;0,IF($J175=6,U175,IF($J175=5,U175,IF($J175=4,U175,0)))))</f>
        <v>0</v>
      </c>
      <c r="S175" s="442">
        <f>IF(U175=0,0,IF(U175&lt;0,IF($J175=9,U175,IF($J175=8,U175,IF($J175=7,U175,0)))))</f>
        <v>0</v>
      </c>
      <c r="T175" s="443">
        <f>IF(U175=0,0,IF(U175&lt;0,IF($J175=12,U175,IF($J175=11,U175,IF($J175=10,U175,0)))))</f>
        <v>0</v>
      </c>
      <c r="U175" s="440">
        <f>IF(U$5=$H175,-$E175,0)</f>
        <v>0</v>
      </c>
      <c r="V175" s="441">
        <f>IF(Z175=0,0,IF(Z175&lt;0,IF($J175=3,Z175,IF($J175=2,Z175,IF($J175=1,Z175,0)))))</f>
        <v>0</v>
      </c>
      <c r="W175" s="442">
        <f>IF(Z175=0,0,IF(Z175&lt;0,IF($J175=6,Z175,IF($J175=5,Z175,IF($J175=4,Z175,0)))))</f>
        <v>0</v>
      </c>
      <c r="X175" s="442">
        <f>IF(Z175=0,0,IF(Z175&lt;0,IF($J175=9,Z175,IF($J175=8,Z175,IF($J175=7,Z175,0)))))</f>
        <v>0</v>
      </c>
      <c r="Y175" s="443">
        <f>IF(Z175=0,0,IF(Z175&lt;0,IF($J175=12,Z175,IF($J175=11,Z175,IF($J175=10,Z175,0)))))</f>
        <v>0</v>
      </c>
      <c r="Z175" s="440">
        <f>IF(Z$5=$H175,-$E175,0)</f>
        <v>0</v>
      </c>
      <c r="AA175" s="441">
        <f>IF(AE175=0,0,IF(AE175&lt;0,IF($J175=3,AE175,IF($J175=2,AE175,IF($J175=1,AE175,0)))))</f>
        <v>0</v>
      </c>
      <c r="AB175" s="442">
        <f>IF(AE175=0,0,IF(AE175&lt;0,IF($J175=6,AE175,IF($J175=5,AE175,IF($J175=4,AE175,0)))))</f>
        <v>0</v>
      </c>
      <c r="AC175" s="442">
        <f>IF(AE175=0,0,IF(AE175&lt;0,IF($J175=9,AE175,IF($J175=8,AE175,IF($J175=7,AE175,0)))))</f>
        <v>0</v>
      </c>
      <c r="AD175" s="443">
        <f>IF(AE175=0,0,IF(AE175&lt;0,IF($J175=12,AE175,IF($J175=11,AE175,IF($J175=10,AE175,0)))))</f>
        <v>0</v>
      </c>
      <c r="AE175" s="440">
        <f>IF(AE$5=$H175,-$E175,0)</f>
        <v>0</v>
      </c>
      <c r="AF175" s="441">
        <f>IF(AJ175=0,0,IF(AJ175&lt;0,IF($J175=3,AJ175,IF($J175=2,AJ175,IF($J175=1,AJ175,0)))))</f>
        <v>0</v>
      </c>
      <c r="AG175" s="442">
        <f>IF(AJ175=0,0,IF(AJ175&lt;0,IF($J175=6,AJ175,IF($J175=5,AJ175,IF($J175=4,AJ175,0)))))</f>
        <v>0</v>
      </c>
      <c r="AH175" s="442">
        <f>IF(AJ175=0,0,IF(AJ175&lt;0,IF($J175=9,AJ175,IF($J175=8,AJ175,IF($J175=7,AJ175,0)))))</f>
        <v>0</v>
      </c>
      <c r="AI175" s="443">
        <f>IF(AJ175=0,0,IF(AJ175&lt;0,IF($J175=12,AJ175,IF($J175=11,AJ175,IF($J175=10,AJ175,0)))))</f>
        <v>0</v>
      </c>
      <c r="AJ175" s="440">
        <f>IF(AJ$5=$H175,-$E175,0)</f>
        <v>0</v>
      </c>
      <c r="AK175" s="441">
        <f>IF(AO175=0,0,IF(AO175&lt;0,IF($J175=3,AO175,IF($J175=2,AO175,IF($J175=1,AO175,0)))))</f>
        <v>0</v>
      </c>
      <c r="AL175" s="442">
        <f>IF(AO175=0,0,IF(AO175&lt;0,IF($J175=6,AO175,IF($J175=5,AO175,IF($J175=4,AO175,0)))))</f>
        <v>0</v>
      </c>
      <c r="AM175" s="442">
        <f>IF(AO175=0,0,IF(AO175&lt;0,IF($J175=9,AO175,IF($J175=8,AO175,IF($J175=7,AO175,0)))))</f>
        <v>0</v>
      </c>
      <c r="AN175" s="443">
        <f>IF(AO175=0,0,IF(AO175&lt;0,IF($J175=12,AO175,IF($J175=11,AO175,IF($J175=10,AO175,0)))))</f>
        <v>0</v>
      </c>
      <c r="AO175" s="440">
        <f>IF(AO$5=$H175,-$E175,0)</f>
        <v>0</v>
      </c>
      <c r="AP175" s="441">
        <f>IF(AT175=0,0,IF(AT175&lt;0,IF($J175=3,AT175,IF($J175=2,AT175,IF($J175=1,AT175,0)))))</f>
        <v>0</v>
      </c>
      <c r="AQ175" s="442">
        <f>IF(AT175=0,0,IF(AT175&lt;0,IF($J175=6,AT175,IF($J175=5,AT175,IF($J175=4,AT175,0)))))</f>
        <v>0</v>
      </c>
      <c r="AR175" s="442">
        <f>IF(AT175=0,0,IF(AT175&lt;0,IF($J175=9,AT175,IF($J175=8,AT175,IF($J175=7,AT175,0)))))</f>
        <v>0</v>
      </c>
      <c r="AS175" s="443">
        <f>IF(AT175=0,0,IF(AT175&lt;0,IF($J175=12,AT175,IF($J175=11,AT175,IF($J175=10,AT175,0)))))</f>
        <v>0</v>
      </c>
      <c r="AT175" s="440">
        <f>IF(AT$5=$H175,-$E175,0)</f>
        <v>0</v>
      </c>
      <c r="AU175" s="441">
        <f>IF(AY175=0,0,IF(AY175&lt;0,IF($J175=3,AY175,IF($J175=2,AY175,IF($J175=1,AY175,0)))))</f>
        <v>0</v>
      </c>
      <c r="AV175" s="442">
        <f>IF(AY175=0,0,IF(AY175&lt;0,IF($J175=6,AY175,IF($J175=5,AY175,IF($J175=4,AY175,0)))))</f>
        <v>-150</v>
      </c>
      <c r="AW175" s="442">
        <f>IF(AY175=0,0,IF(AY175&lt;0,IF($J175=9,AY175,IF($J175=8,AY175,IF($J175=7,AY175,0)))))</f>
        <v>0</v>
      </c>
      <c r="AX175" s="443">
        <f>IF(AY175=0,0,IF(AY175&lt;0,IF($J175=12,AY175,IF($J175=11,AY175,IF($J175=10,AY175,0)))))</f>
        <v>0</v>
      </c>
      <c r="AY175" s="440">
        <f>IF(AY$5=$H175,-$E175,0)</f>
        <v>-150</v>
      </c>
      <c r="AZ175" s="441">
        <f>IF(BD175=0,0,IF(BD175&lt;0,IF($J175=3,BD175,IF($J175=2,BD175,IF($J175=1,BD175,0)))))</f>
        <v>0</v>
      </c>
      <c r="BA175" s="442">
        <f>IF(BD175=0,0,IF(BD175&lt;0,IF($J175=6,BD175,IF($J175=5,BD175,IF($J175=4,BD175,0)))))</f>
        <v>0</v>
      </c>
      <c r="BB175" s="442">
        <f>IF(BD175=0,0,IF(BD175&lt;0,IF($J175=9,BD175,IF($J175=8,BD175,IF($J175=7,BD175,0)))))</f>
        <v>0</v>
      </c>
      <c r="BC175" s="443">
        <f>IF(BD175=0,0,IF(BD175&lt;0,IF($J175=12,BD175,IF($J175=11,BD175,IF($J175=10,BD175,0)))))</f>
        <v>0</v>
      </c>
      <c r="BD175" s="440">
        <f>IF(BD$5=$H175,-$E175,0)</f>
        <v>0</v>
      </c>
      <c r="BE175" s="441">
        <f>IF(BI175=0,0,IF(BI175&lt;0,IF($J175=3,BI175,IF($J175=2,BI175,IF($J175=1,BI175,0)))))</f>
        <v>0</v>
      </c>
      <c r="BF175" s="442">
        <f>IF(BI175=0,0,IF(BI175&lt;0,IF($J175=6,BI175,IF($J175=5,BI175,IF($J175=4,BI175,0)))))</f>
        <v>0</v>
      </c>
      <c r="BG175" s="442">
        <f>IF(BI175=0,0,IF(BI175&lt;0,IF($J175=9,BI175,IF($J175=8,BI175,IF($J175=7,BI175,0)))))</f>
        <v>0</v>
      </c>
      <c r="BH175" s="443">
        <f>IF(BI175=0,0,IF(BI175&lt;0,IF($J175=12,BI175,IF($J175=11,BI175,IF($J175=10,BI175,0)))))</f>
        <v>0</v>
      </c>
      <c r="BI175" s="440">
        <f>IF(BI$5=$H175,-$E175,0)</f>
        <v>0</v>
      </c>
      <c r="BJ175" s="441">
        <f>IF(BN175=0,0,IF(BN175&lt;0,IF($J175=3,BN175,IF($J175=2,BN175,IF($J175=1,BN175,0)))))</f>
        <v>0</v>
      </c>
      <c r="BK175" s="442">
        <f>IF(BN175=0,0,IF(BN175&lt;0,IF($J175=6,BN175,IF($J175=5,BN175,IF($J175=4,BN175,0)))))</f>
        <v>0</v>
      </c>
      <c r="BL175" s="442">
        <f>IF(BN175=0,0,IF(BN175&lt;0,IF($J175=9,BN175,IF($J175=8,BN175,IF($J175=7,BN175,0)))))</f>
        <v>0</v>
      </c>
      <c r="BM175" s="443">
        <f>IF(BN175=0,0,IF(BN175&lt;0,IF($J175=12,BN175,IF($J175=11,BN175,IF($J175=10,BN175,0)))))</f>
        <v>0</v>
      </c>
      <c r="BN175" s="440">
        <f>IF(BN$5=$H175,-$E175,0)</f>
        <v>0</v>
      </c>
      <c r="BO175" s="470"/>
      <c r="BP175" s="441">
        <f>IF($H175&lt;&gt;BT$5,0,IF(BT175&lt;0,IF($J175=1,-$E175*$I175/12*3,IF($J175=2,-$E175*$I175/12*2,IF($J175=3,-$E175*$I175/12*1,0)))))+IF(BO$5&lt;&gt;$H175,0,IF(BO175&lt;0,IF($J175=1,-$E175*$I175/12*0,IF($J175=2,-$E175*$I175/12*1,IF($J175=3,-$E175*$I175/12*2,IF($J175&gt;=4,-$E175*$I175/12*3,0))))))</f>
        <v>0</v>
      </c>
      <c r="BQ175" s="442">
        <f>IF($H175&lt;&gt;BT$5,0,IF(BT175&lt;0,IF(OR($J175=1,$J175=2,$J175=3,$J175=4),-$E175*$I175/12*3,IF($J175=5,-$E175*$I175/12*2,IF($J175=6,-$E175*$I175/12*1,0)))))+IF(BO$5&lt;&gt;$H175,0,IF(BO175&lt;0,IF($J175=4,-$E175*$I175/12*0,IF($J175=5,-$E175*$I175/12*1,IF($J175=6,-$E175*$I175/12*2,IF($J175&gt;=7,-$E175*$I175/12*3,0))))))</f>
        <v>0</v>
      </c>
      <c r="BR175" s="442">
        <f>IF($H175&lt;&gt;BT$5,0,IF(BT175&lt;0,IF(OR($J175=1,$J175=2,$J175=3,$J175=4,$J175=5,$J175=6,$J175=7),-$E175*$I175/12*3,IF($J175=8,-$E175*$I175/12*2,IF($J175=9,-$E175*$I175/12*1,0)))))+IF(BO$5&lt;&gt;$H175,0,IF(BO175&lt;0,IF($J175=7,-$E175*$I175/12*0,IF($J175=8,-$E175*$I175/12*1,IF($J175=9,-$E175*$I175/12*2,IF($J175&gt;=10,-$E175*$I175/12*3,0))))))</f>
        <v>0</v>
      </c>
      <c r="BS175" s="443">
        <f>IF($H175&lt;&gt;BT$5,0,IF(BT175&lt;0,IF(OR($J175=1,$J175=2,$J175=3,$J175=4,$J175=5,$J175=6,$J175=7,$J175=8,$J175=9,$J175=10),-$E175*$I175/12*3,IF($J175=11,-$E175*$I175/12*2,IF($J175=12,-$E175*$I175/12*1,0)))))+IF(BO$5&lt;&gt;$H175,0,IF(BO175&lt;0,IF($J175=10,-$E175*$I175/12*0,IF($J175=11,-$E175*$I175/12*1,IF($J175=12,-$E175*$I175/12*2,0)))))</f>
        <v>0</v>
      </c>
      <c r="BT175" s="440">
        <f>IF(AND(BO175&lt;&gt;0,BO$5=$H175),-$I175*$E175-BO175,IF(BT$5=$H175,-$I175*$E175*(12-$J175+1)/12,0))</f>
        <v>0</v>
      </c>
      <c r="BU175" s="441">
        <f>IF($H175&lt;&gt;BY$5,0,IF(BY175&lt;0,IF($J175=1,-$E175*$I175/12*3,IF($J175=2,-$E175*$I175/12*2,IF($J175=3,-$E175*$I175/12*1,0)))))+IF(BT$5&lt;&gt;$H175,0,IF(BT175&lt;0,IF($J175=1,-$E175*$I175/12*0,IF($J175=2,-$E175*$I175/12*1,IF($J175=3,-$E175*$I175/12*2,IF($J175&gt;=4,-$E175*$I175/12*3,0))))))</f>
        <v>0</v>
      </c>
      <c r="BV175" s="442">
        <f>IF($H175&lt;&gt;BY$5,0,IF(BY175&lt;0,IF(OR($J175=1,$J175=2,$J175=3,$J175=4),-$E175*$I175/12*3,IF($J175=5,-$E175*$I175/12*2,IF($J175=6,-$E175*$I175/12*1,0)))))+IF(BT$5&lt;&gt;$H175,0,IF(BT175&lt;0,IF($J175=4,-$E175*$I175/12*0,IF($J175=5,-$E175*$I175/12*1,IF($J175=6,-$E175*$I175/12*2,IF($J175&gt;=7,-$E175*$I175/12*3,0))))))</f>
        <v>0</v>
      </c>
      <c r="BW175" s="442">
        <f>IF($H175&lt;&gt;BY$5,0,IF(BY175&lt;0,IF(OR($J175=1,$J175=2,$J175=3,$J175=4,$J175=5,$J175=6,$J175=7),-$E175*$I175/12*3,IF($J175=8,-$E175*$I175/12*2,IF($J175=9,-$E175*$I175/12*1,0)))))+IF(BT$5&lt;&gt;$H175,0,IF(BT175&lt;0,IF($J175=7,-$E175*$I175/12*0,IF($J175=8,-$E175*$I175/12*1,IF($J175=9,-$E175*$I175/12*2,IF($J175&gt;=10,-$E175*$I175/12*3,0))))))</f>
        <v>0</v>
      </c>
      <c r="BX175" s="443">
        <f>IF($H175&lt;&gt;BY$5,0,IF(BY175&lt;0,IF(OR($J175=1,$J175=2,$J175=3,$J175=4,$J175=5,$J175=6,$J175=7,$J175=8,$J175=9,$J175=10),-$E175*$I175/12*3,IF($J175=11,-$E175*$I175/12*2,IF($J175=12,-$E175*$I175/12*1,0)))))+IF(BT$5&lt;&gt;$H175,0,IF(BT175&lt;0,IF($J175=10,-$E175*$I175/12*0,IF($J175=11,-$E175*$I175/12*1,IF($J175=12,-$E175*$I175/12*2,0)))))</f>
        <v>0</v>
      </c>
      <c r="BY175" s="440">
        <f>IF(AND(BT175&lt;&gt;0,BT$5=$H175),-$I175*$E175-BT175,IF(BY$5=$H175,-$I175*$E175*(12-$J175+1)/12,0))</f>
        <v>0</v>
      </c>
      <c r="BZ175" s="441">
        <f>IF($H175&lt;&gt;CD$5,0,IF(CD175&lt;0,IF($J175=1,-$E175*$I175/12*3,IF($J175=2,-$E175*$I175/12*2,IF($J175=3,-$E175*$I175/12*1,0)))))+IF(BY$5&lt;&gt;$H175,0,IF(BY175&lt;0,IF($J175=1,-$E175*$I175/12*0,IF($J175=2,-$E175*$I175/12*1,IF($J175=3,-$E175*$I175/12*2,IF($J175&gt;=4,-$E175*$I175/12*3,0))))))</f>
        <v>0</v>
      </c>
      <c r="CA175" s="442">
        <f>IF($H175&lt;&gt;CD$5,0,IF(CD175&lt;0,IF(OR($J175=1,$J175=2,$J175=3,$J175=4),-$E175*$I175/12*3,IF($J175=5,-$E175*$I175/12*2,IF($J175=6,-$E175*$I175/12*1,0)))))+IF(BY$5&lt;&gt;$H175,0,IF(BY175&lt;0,IF($J175=4,-$E175*$I175/12*0,IF($J175=5,-$E175*$I175/12*1,IF($J175=6,-$E175*$I175/12*2,IF($J175&gt;=7,-$E175*$I175/12*3,0))))))</f>
        <v>0</v>
      </c>
      <c r="CB175" s="442">
        <f>IF($H175&lt;&gt;CD$5,0,IF(CD175&lt;0,IF(OR($J175=1,$J175=2,$J175=3,$J175=4,$J175=5,$J175=6,$J175=7),-$E175*$I175/12*3,IF($J175=8,-$E175*$I175/12*2,IF($J175=9,-$E175*$I175/12*1,0)))))+IF(BY$5&lt;&gt;$H175,0,IF(BY175&lt;0,IF($J175=7,-$E175*$I175/12*0,IF($J175=8,-$E175*$I175/12*1,IF($J175=9,-$E175*$I175/12*2,IF($J175&gt;=10,-$E175*$I175/12*3,0))))))</f>
        <v>0</v>
      </c>
      <c r="CC175" s="443">
        <f>IF($H175&lt;&gt;CD$5,0,IF(CD175&lt;0,IF(OR($J175=1,$J175=2,$J175=3,$J175=4,$J175=5,$J175=6,$J175=7,$J175=8,$J175=9,$J175=10),-$E175*$I175/12*3,IF($J175=11,-$E175*$I175/12*2,IF($J175=12,-$E175*$I175/12*1,0)))))+IF(BY$5&lt;&gt;$H175,0,IF(BY175&lt;0,IF($J175=10,-$E175*$I175/12*0,IF($J175=11,-$E175*$I175/12*1,IF($J175=12,-$E175*$I175/12*2,0)))))</f>
        <v>0</v>
      </c>
      <c r="CD175" s="440">
        <f>IF(AND(BY175&lt;&gt;0,BY$5=$H175),-$I175*$E175-BY175,IF(CD$5=$H175,-$I175*$E175*(12-$J175+1)/12,0))</f>
        <v>0</v>
      </c>
      <c r="CE175" s="441">
        <f>IF($H175&lt;&gt;CI$5,0,IF(CI175&lt;0,IF($J175=1,-$E175*$I175/12*3,IF($J175=2,-$E175*$I175/12*2,IF($J175=3,-$E175*$I175/12*1,0)))))+IF(CD$5&lt;&gt;$H175,0,IF(CD175&lt;0,IF($J175=1,-$E175*$I175/12*0,IF($J175=2,-$E175*$I175/12*1,IF($J175=3,-$E175*$I175/12*2,IF($J175&gt;=4,-$E175*$I175/12*3,0))))))</f>
        <v>0</v>
      </c>
      <c r="CF175" s="442">
        <f>IF($H175&lt;&gt;CI$5,0,IF(CI175&lt;0,IF(OR($J175=1,$J175=2,$J175=3,$J175=4),-$E175*$I175/12*3,IF($J175=5,-$E175*$I175/12*2,IF($J175=6,-$E175*$I175/12*1,0)))))+IF(CD$5&lt;&gt;$H175,0,IF(CD175&lt;0,IF($J175=4,-$E175*$I175/12*0,IF($J175=5,-$E175*$I175/12*1,IF($J175=6,-$E175*$I175/12*2,IF($J175&gt;=7,-$E175*$I175/12*3,0))))))</f>
        <v>0</v>
      </c>
      <c r="CG175" s="442">
        <f>IF($H175&lt;&gt;CI$5,0,IF(CI175&lt;0,IF(OR($J175=1,$J175=2,$J175=3,$J175=4,$J175=5,$J175=6,$J175=7),-$E175*$I175/12*3,IF($J175=8,-$E175*$I175/12*2,IF($J175=9,-$E175*$I175/12*1,0)))))+IF(CD$5&lt;&gt;$H175,0,IF(CD175&lt;0,IF($J175=7,-$E175*$I175/12*0,IF($J175=8,-$E175*$I175/12*1,IF($J175=9,-$E175*$I175/12*2,IF($J175&gt;=10,-$E175*$I175/12*3,0))))))</f>
        <v>0</v>
      </c>
      <c r="CH175" s="443">
        <f>IF($H175&lt;&gt;CI$5,0,IF(CI175&lt;0,IF(OR($J175=1,$J175=2,$J175=3,$J175=4,$J175=5,$J175=6,$J175=7,$J175=8,$J175=9,$J175=10),-$E175*$I175/12*3,IF($J175=11,-$E175*$I175/12*2,IF($J175=12,-$E175*$I175/12*1,0)))))+IF(CD$5&lt;&gt;$H175,0,IF(CD175&lt;0,IF($J175=10,-$E175*$I175/12*0,IF($J175=11,-$E175*$I175/12*1,IF($J175=12,-$E175*$I175/12*2,0)))))</f>
        <v>0</v>
      </c>
      <c r="CI175" s="440">
        <f>IF(AND(CD175&lt;&gt;0,CD$5=$H175),-$I175*$E175-CD175,IF(CI$5=$H175,-$I175*$E175*(12-$J175+1)/12,0))</f>
        <v>0</v>
      </c>
      <c r="CJ175" s="441">
        <f>IF($H175&lt;&gt;CN$5,0,IF(CN175&lt;0,IF($J175=1,-$E175*$I175/12*3,IF($J175=2,-$E175*$I175/12*2,IF($J175=3,-$E175*$I175/12*1,0)))))+IF(CI$5&lt;&gt;$H175,0,IF(CI175&lt;0,IF($J175=1,-$E175*$I175/12*0,IF($J175=2,-$E175*$I175/12*1,IF($J175=3,-$E175*$I175/12*2,IF($J175&gt;=4,-$E175*$I175/12*3,0))))))</f>
        <v>0</v>
      </c>
      <c r="CK175" s="442">
        <f>IF($H175&lt;&gt;CN$5,0,IF(CN175&lt;0,IF(OR($J175=1,$J175=2,$J175=3,$J175=4),-$E175*$I175/12*3,IF($J175=5,-$E175*$I175/12*2,IF($J175=6,-$E175*$I175/12*1,0)))))+IF(CI$5&lt;&gt;$H175,0,IF(CI175&lt;0,IF($J175=4,-$E175*$I175/12*0,IF($J175=5,-$E175*$I175/12*1,IF($J175=6,-$E175*$I175/12*2,IF($J175&gt;=7,-$E175*$I175/12*3,0))))))</f>
        <v>0</v>
      </c>
      <c r="CL175" s="442">
        <f>IF($H175&lt;&gt;CN$5,0,IF(CN175&lt;0,IF(OR($J175=1,$J175=2,$J175=3,$J175=4,$J175=5,$J175=6,$J175=7),-$E175*$I175/12*3,IF($J175=8,-$E175*$I175/12*2,IF($J175=9,-$E175*$I175/12*1,0)))))+IF(CI$5&lt;&gt;$H175,0,IF(CI175&lt;0,IF($J175=7,-$E175*$I175/12*0,IF($J175=8,-$E175*$I175/12*1,IF($J175=9,-$E175*$I175/12*2,IF($J175&gt;=10,-$E175*$I175/12*3,0))))))</f>
        <v>0</v>
      </c>
      <c r="CM175" s="443">
        <f>IF($H175&lt;&gt;CN$5,0,IF(CN175&lt;0,IF(OR($J175=1,$J175=2,$J175=3,$J175=4,$J175=5,$J175=6,$J175=7,$J175=8,$J175=9,$J175=10),-$E175*$I175/12*3,IF($J175=11,-$E175*$I175/12*2,IF($J175=12,-$E175*$I175/12*1,0)))))+IF(CI$5&lt;&gt;$H175,0,IF(CI175&lt;0,IF($J175=10,-$E175*$I175/12*0,IF($J175=11,-$E175*$I175/12*1,IF($J175=12,-$E175*$I175/12*2,0)))))</f>
        <v>0</v>
      </c>
      <c r="CN175" s="440">
        <f>IF(AND(CI175&lt;&gt;0,CI$5=$H175),-$I175*$E175-CI175,IF(CN$5=$H175,-$I175*$E175*(12-$J175+1)/12,0))</f>
        <v>0</v>
      </c>
      <c r="CO175" s="441">
        <f>IF($H175&lt;&gt;CS$5,0,IF(CS175&lt;0,IF($J175=1,-$E175*$I175/12*3,IF($J175=2,-$E175*$I175/12*2,IF($J175=3,-$E175*$I175/12*1,0)))))+IF(CN$5&lt;&gt;$H175,0,IF(CN175&lt;0,IF($J175=1,-$E175*$I175/12*0,IF($J175=2,-$E175*$I175/12*1,IF($J175=3,-$E175*$I175/12*2,IF($J175&gt;=4,-$E175*$I175/12*3,0))))))</f>
        <v>0</v>
      </c>
      <c r="CP175" s="442">
        <f>IF($H175&lt;&gt;CS$5,0,IF(CS175&lt;0,IF(OR($J175=1,$J175=2,$J175=3,$J175=4),-$E175*$I175/12*3,IF($J175=5,-$E175*$I175/12*2,IF($J175=6,-$E175*$I175/12*1,0)))))+IF(CN$5&lt;&gt;$H175,0,IF(CN175&lt;0,IF($J175=4,-$E175*$I175/12*0,IF($J175=5,-$E175*$I175/12*1,IF($J175=6,-$E175*$I175/12*2,IF($J175&gt;=7,-$E175*$I175/12*3,0))))))</f>
        <v>0</v>
      </c>
      <c r="CQ175" s="442">
        <f>IF($H175&lt;&gt;CS$5,0,IF(CS175&lt;0,IF(OR($J175=1,$J175=2,$J175=3,$J175=4,$J175=5,$J175=6,$J175=7),-$E175*$I175/12*3,IF($J175=8,-$E175*$I175/12*2,IF($J175=9,-$E175*$I175/12*1,0)))))+IF(CN$5&lt;&gt;$H175,0,IF(CN175&lt;0,IF($J175=7,-$E175*$I175/12*0,IF($J175=8,-$E175*$I175/12*1,IF($J175=9,-$E175*$I175/12*2,IF($J175&gt;=10,-$E175*$I175/12*3,0))))))</f>
        <v>0</v>
      </c>
      <c r="CR175" s="443">
        <f>IF($H175&lt;&gt;CS$5,0,IF(CS175&lt;0,IF(OR($J175=1,$J175=2,$J175=3,$J175=4,$J175=5,$J175=6,$J175=7,$J175=8,$J175=9,$J175=10),-$E175*$I175/12*3,IF($J175=11,-$E175*$I175/12*2,IF($J175=12,-$E175*$I175/12*1,0)))))+IF(CN$5&lt;&gt;$H175,0,IF(CN175&lt;0,IF($J175=10,-$E175*$I175/12*0,IF($J175=11,-$E175*$I175/12*1,IF($J175=12,-$E175*$I175/12*2,0)))))</f>
        <v>0</v>
      </c>
      <c r="CS175" s="440">
        <f>IF(AND(CN175&lt;&gt;0,CN$5=$H175),-$I175*$E175-CN175,IF(CS$5=$H175,-$I175*$E175*(12-$J175+1)/12,0))</f>
        <v>0</v>
      </c>
      <c r="CT175" s="441">
        <f>IF($H175&lt;&gt;CX$5,0,IF(CX175&lt;0,IF($J175=1,-$E175*$I175/12*3,IF($J175=2,-$E175*$I175/12*2,IF($J175=3,-$E175*$I175/12*1,0)))))+IF(CS$5&lt;&gt;$H175,0,IF(CS175&lt;0,IF($J175=1,-$E175*$I175/12*0,IF($J175=2,-$E175*$I175/12*1,IF($J175=3,-$E175*$I175/12*2,IF($J175&gt;=4,-$E175*$I175/12*3,0))))))</f>
        <v>0</v>
      </c>
      <c r="CU175" s="442">
        <f>IF($H175&lt;&gt;CX$5,0,IF(CX175&lt;0,IF(OR($J175=1,$J175=2,$J175=3,$J175=4),-$E175*$I175/12*3,IF($J175=5,-$E175*$I175/12*2,IF($J175=6,-$E175*$I175/12*1,0)))))+IF(CS$5&lt;&gt;$H175,0,IF(CS175&lt;0,IF($J175=4,-$E175*$I175/12*0,IF($J175=5,-$E175*$I175/12*1,IF($J175=6,-$E175*$I175/12*2,IF($J175&gt;=7,-$E175*$I175/12*3,0))))))</f>
        <v>0</v>
      </c>
      <c r="CV175" s="442">
        <f>IF($H175&lt;&gt;CX$5,0,IF(CX175&lt;0,IF(OR($J175=1,$J175=2,$J175=3,$J175=4,$J175=5,$J175=6,$J175=7),-$E175*$I175/12*3,IF($J175=8,-$E175*$I175/12*2,IF($J175=9,-$E175*$I175/12*1,0)))))+IF(CS$5&lt;&gt;$H175,0,IF(CS175&lt;0,IF($J175=7,-$E175*$I175/12*0,IF($J175=8,-$E175*$I175/12*1,IF($J175=9,-$E175*$I175/12*2,IF($J175&gt;=10,-$E175*$I175/12*3,0))))))</f>
        <v>0</v>
      </c>
      <c r="CW175" s="443">
        <f>IF($H175&lt;&gt;CX$5,0,IF(CX175&lt;0,IF(OR($J175=1,$J175=2,$J175=3,$J175=4,$J175=5,$J175=6,$J175=7,$J175=8,$J175=9,$J175=10),-$E175*$I175/12*3,IF($J175=11,-$E175*$I175/12*2,IF($J175=12,-$E175*$I175/12*1,0)))))+IF(CS$5&lt;&gt;$H175,0,IF(CS175&lt;0,IF($J175=10,-$E175*$I175/12*0,IF($J175=11,-$E175*$I175/12*1,IF($J175=12,-$E175*$I175/12*2,0)))))</f>
        <v>0</v>
      </c>
      <c r="CX175" s="440">
        <f>IF(AND(CS175&lt;&gt;0,CS$5=$H175),-$I175*$E175-CS175,IF(CX$5=$H175,-$I175*$E175*(12-$J175+1)/12,0))</f>
        <v>0</v>
      </c>
      <c r="CY175" s="441">
        <f>IF($H175&lt;&gt;DC$5,0,IF(DC175&lt;0,IF($J175=1,-$E175*$I175/12*3,IF($J175=2,-$E175*$I175/12*2,IF($J175=3,-$E175*$I175/12*1,0)))))+IF(CX$5&lt;&gt;$H175,0,IF(CX175&lt;0,IF($J175=1,-$E175*$I175/12*0,IF($J175=2,-$E175*$I175/12*1,IF($J175=3,-$E175*$I175/12*2,IF($J175&gt;=4,-$E175*$I175/12*3,0))))))</f>
        <v>0</v>
      </c>
      <c r="CZ175" s="442">
        <f>IF($H175&lt;&gt;DC$5,0,IF(DC175&lt;0,IF(OR($J175=1,$J175=2,$J175=3,$J175=4),-$E175*$I175/12*3,IF($J175=5,-$E175*$I175/12*2,IF($J175=6,-$E175*$I175/12*1,0)))))+IF(CX$5&lt;&gt;$H175,0,IF(CX175&lt;0,IF($J175=4,-$E175*$I175/12*0,IF($J175=5,-$E175*$I175/12*1,IF($J175=6,-$E175*$I175/12*2,IF($J175&gt;=7,-$E175*$I175/12*3,0))))))</f>
        <v>-0.6</v>
      </c>
      <c r="DA175" s="442">
        <f>IF($H175&lt;&gt;DC$5,0,IF(DC175&lt;0,IF(OR($J175=1,$J175=2,$J175=3,$J175=4,$J175=5,$J175=6,$J175=7),-$E175*$I175/12*3,IF($J175=8,-$E175*$I175/12*2,IF($J175=9,-$E175*$I175/12*1,0)))))+IF(CX$5&lt;&gt;$H175,0,IF(CX175&lt;0,IF($J175=7,-$E175*$I175/12*0,IF($J175=8,-$E175*$I175/12*1,IF($J175=9,-$E175*$I175/12*2,IF($J175&gt;=10,-$E175*$I175/12*3,0))))))</f>
        <v>-1.7999999999999998</v>
      </c>
      <c r="DB175" s="443">
        <f>IF($H175&lt;&gt;DC$5,0,IF(DC175&lt;0,IF(OR($J175=1,$J175=2,$J175=3,$J175=4,$J175=5,$J175=6,$J175=7,$J175=8,$J175=9,$J175=10),-$E175*$I175/12*3,IF($J175=11,-$E175*$I175/12*2,IF($J175=12,-$E175*$I175/12*1,0)))))+IF(CX$5&lt;&gt;$H175,0,IF(CX175&lt;0,IF($J175=10,-$E175*$I175/12*0,IF($J175=11,-$E175*$I175/12*1,IF($J175=12,-$E175*$I175/12*2,0)))))</f>
        <v>-1.7999999999999998</v>
      </c>
      <c r="DC175" s="440">
        <f>IF(AND(CX175&lt;&gt;0,CX$5=$H175),-$I175*$E175-CX175,IF(DC$5=$H175,-$I175*$E175*(12-$J175+1)/12,0))</f>
        <v>-4.2</v>
      </c>
      <c r="DD175" s="441">
        <f>IF($H175&lt;&gt;DH$5,0,IF(DH175&lt;0,IF($J175=1,-$E175*$I175/12*3,IF($J175=2,-$E175*$I175/12*2,IF($J175=3,-$E175*$I175/12*1,0)))))+IF(DC$5&lt;&gt;$H175,0,IF(DC175&lt;0,IF($J175=1,-$E175*$I175/12*0,IF($J175=2,-$E175*$I175/12*1,IF($J175=3,-$E175*$I175/12*2,IF($J175&gt;=4,-$E175*$I175/12*3,0))))))</f>
        <v>-1.7999999999999998</v>
      </c>
      <c r="DE175" s="442">
        <f>IF($H175&lt;&gt;DH$5,0,IF(DH175&lt;0,IF(OR($J175=1,$J175=2,$J175=3,$J175=4),-$E175*$I175/12*3,IF($J175=5,-$E175*$I175/12*2,IF($J175=6,-$E175*$I175/12*1,0)))))+IF(DC$5&lt;&gt;$H175,0,IF(DC175&lt;0,IF($J175=4,-$E175*$I175/12*0,IF($J175=5,-$E175*$I175/12*1,IF($J175=6,-$E175*$I175/12*2,IF($J175&gt;=7,-$E175*$I175/12*3,0))))))</f>
        <v>-1.2</v>
      </c>
      <c r="DF175" s="442">
        <f>IF($H175&lt;&gt;DH$5,0,IF(DH175&lt;0,IF(OR($J175=1,$J175=2,$J175=3,$J175=4,$J175=5,$J175=6,$J175=7),-$E175*$I175/12*3,IF($J175=8,-$E175*$I175/12*2,IF($J175=9,-$E175*$I175/12*1,0)))))+IF(DC$5&lt;&gt;$H175,0,IF(DC175&lt;0,IF($J175=7,-$E175*$I175/12*0,IF($J175=8,-$E175*$I175/12*1,IF($J175=9,-$E175*$I175/12*2,IF($J175&gt;=10,-$E175*$I175/12*3,0))))))</f>
        <v>0</v>
      </c>
      <c r="DG175" s="443">
        <f>IF($H175&lt;&gt;DH$5,0,IF(DH175&lt;0,IF(OR($J175=1,$J175=2,$J175=3,$J175=4,$J175=5,$J175=6,$J175=7,$J175=8,$J175=9,$J175=10),-$E175*$I175/12*3,IF($J175=11,-$E175*$I175/12*2,IF($J175=12,-$E175*$I175/12*1,0)))))+IF(DC$5&lt;&gt;$H175,0,IF(DC175&lt;0,IF($J175=10,-$E175*$I175/12*0,IF($J175=11,-$E175*$I175/12*1,IF($J175=12,-$E175*$I175/12*2,0)))))</f>
        <v>0</v>
      </c>
      <c r="DH175" s="440">
        <f>IF(AND(DC175&lt;&gt;0,DC$5=$H175),-$I175*$E175-DC175,IF(DH$5=$H175,-$I175*$E175*(12-$J175+1)/12,0))</f>
        <v>-3</v>
      </c>
      <c r="DI175" s="441">
        <f>IF($H175&lt;&gt;DM$5,0,IF(DM175&lt;0,IF($J175=1,-$E175*$I175/12*3,IF($J175=2,-$E175*$I175/12*2,IF($J175=3,-$E175*$I175/12*1,0)))))+IF(DH$5&lt;&gt;$H175,0,IF(DH175&lt;0,IF($J175=1,-$E175*$I175/12*0,IF($J175=2,-$E175*$I175/12*1,IF($J175=3,-$E175*$I175/12*2,IF($J175&gt;=4,-$E175*$I175/12*3,0))))))</f>
        <v>0</v>
      </c>
      <c r="DJ175" s="442">
        <f>IF($H175&lt;&gt;DM$5,0,IF(DM175&lt;0,IF(OR($J175=1,$J175=2,$J175=3,$J175=4),-$E175*$I175/12*3,IF($J175=5,-$E175*$I175/12*2,IF($J175=6,-$E175*$I175/12*1,0)))))+IF(DH$5&lt;&gt;$H175,0,IF(DH175&lt;0,IF($J175=4,-$E175*$I175/12*0,IF($J175=5,-$E175*$I175/12*1,IF($J175=6,-$E175*$I175/12*2,IF($J175&gt;=7,-$E175*$I175/12*3,0))))))</f>
        <v>0</v>
      </c>
      <c r="DK175" s="442">
        <f>IF($H175&lt;&gt;DM$5,0,IF(DM175&lt;0,IF(OR($J175=1,$J175=2,$J175=3,$J175=4,$J175=5,$J175=6,$J175=7),-$E175*$I175/12*3,IF($J175=8,-$E175*$I175/12*2,IF($J175=9,-$E175*$I175/12*1,0)))))+IF(DH$5&lt;&gt;$H175,0,IF(DH175&lt;0,IF($J175=7,-$E175*$I175/12*0,IF($J175=8,-$E175*$I175/12*1,IF($J175=9,-$E175*$I175/12*2,IF($J175&gt;=10,-$E175*$I175/12*3,0))))))</f>
        <v>0</v>
      </c>
      <c r="DL175" s="443">
        <f>IF($H175&lt;&gt;DM$5,0,IF(DM175&lt;0,IF(OR($J175=1,$J175=2,$J175=3,$J175=4,$J175=5,$J175=6,$J175=7,$J175=8,$J175=9,$J175=10),-$E175*$I175/12*3,IF($J175=11,-$E175*$I175/12*2,IF($J175=12,-$E175*$I175/12*1,0)))))+IF(DH$5&lt;&gt;$H175,0,IF(DH175&lt;0,IF($J175=10,-$E175*$I175/12*0,IF($J175=11,-$E175*$I175/12*1,IF($J175=12,-$E175*$I175/12*2,0)))))</f>
        <v>0</v>
      </c>
      <c r="DM175" s="440">
        <f>IF(AND(DH175&lt;&gt;0,DH$5=$H175),-$I175*$E175-DH175,IF(DM$5=$H175,-$I175*$E175*(12-$J175+1)/12,0))</f>
        <v>0</v>
      </c>
      <c r="DN175" s="441">
        <f>IF($H175&lt;&gt;DR$5,0,IF(DR175&lt;0,IF($J175=1,-$E175*$I175/12*3,IF($J175=2,-$E175*$I175/12*2,IF($J175=3,-$E175*$I175/12*1,0)))))+IF(DM$5&lt;&gt;$H175,0,IF(DM175&lt;0,IF($J175=1,-$E175*$I175/12*0,IF($J175=2,-$E175*$I175/12*1,IF($J175=3,-$E175*$I175/12*2,IF($J175&gt;=4,-$E175*$I175/12*3,0))))))</f>
        <v>0</v>
      </c>
      <c r="DO175" s="442">
        <f>IF($H175&lt;&gt;DR$5,0,IF(DR175&lt;0,IF(OR($J175=1,$J175=2,$J175=3,$J175=4),-$E175*$I175/12*3,IF($J175=5,-$E175*$I175/12*2,IF($J175=6,-$E175*$I175/12*1,0)))))+IF(DM$5&lt;&gt;$H175,0,IF(DM175&lt;0,IF($J175=4,-$E175*$I175/12*0,IF($J175=5,-$E175*$I175/12*1,IF($J175=6,-$E175*$I175/12*2,IF($J175&gt;=7,-$E175*$I175/12*3,0))))))</f>
        <v>0</v>
      </c>
      <c r="DP175" s="442">
        <f>IF($H175&lt;&gt;DR$5,0,IF(DR175&lt;0,IF(OR($J175=1,$J175=2,$J175=3,$J175=4,$J175=5,$J175=6,$J175=7),-$E175*$I175/12*3,IF($J175=8,-$E175*$I175/12*2,IF($J175=9,-$E175*$I175/12*1,0)))))+IF(DM$5&lt;&gt;$H175,0,IF(DM175&lt;0,IF($J175=7,-$E175*$I175/12*0,IF($J175=8,-$E175*$I175/12*1,IF($J175=9,-$E175*$I175/12*2,IF($J175&gt;=10,-$E175*$I175/12*3,0))))))</f>
        <v>0</v>
      </c>
      <c r="DQ175" s="443">
        <f>IF($H175&lt;&gt;DR$5,0,IF(DR175&lt;0,IF(OR($J175=1,$J175=2,$J175=3,$J175=4,$J175=5,$J175=6,$J175=7,$J175=8,$J175=9,$J175=10),-$E175*$I175/12*3,IF($J175=11,-$E175*$I175/12*2,IF($J175=12,-$E175*$I175/12*1,0)))))+IF(DM$5&lt;&gt;$H175,0,IF(DM175&lt;0,IF($J175=10,-$E175*$I175/12*0,IF($J175=11,-$E175*$I175/12*1,IF($J175=12,-$E175*$I175/12*2,0)))))</f>
        <v>0</v>
      </c>
      <c r="DR175" s="440">
        <f>IF(AND(DM175&lt;&gt;0,DM$5=$H175),-$I175*$E175-DM175,IF(DR$5=$H175,-$I175*$E175*(12-$J175+1)/12,0))</f>
        <v>0</v>
      </c>
    </row>
    <row r="176" spans="3:122" ht="12.75" customHeight="1">
      <c r="C176" s="1123" t="s">
        <v>722</v>
      </c>
      <c r="D176" s="395"/>
      <c r="E176" s="1950">
        <f t="shared" si="2184"/>
        <v>300</v>
      </c>
      <c r="F176" s="1945">
        <v>300</v>
      </c>
      <c r="G176" s="1945">
        <v>300</v>
      </c>
      <c r="H176" s="1366">
        <v>2037</v>
      </c>
      <c r="I176" s="1367">
        <v>6.1500000000000006E-2</v>
      </c>
      <c r="J176" s="1357">
        <v>6</v>
      </c>
      <c r="K176" s="549"/>
      <c r="L176" s="441">
        <f t="shared" si="2185"/>
        <v>0</v>
      </c>
      <c r="M176" s="442">
        <f t="shared" si="2186"/>
        <v>0</v>
      </c>
      <c r="N176" s="442">
        <f t="shared" si="2187"/>
        <v>0</v>
      </c>
      <c r="O176" s="443">
        <f t="shared" si="2188"/>
        <v>0</v>
      </c>
      <c r="P176" s="440">
        <f t="shared" si="2189"/>
        <v>0</v>
      </c>
      <c r="Q176" s="441">
        <f t="shared" si="2190"/>
        <v>0</v>
      </c>
      <c r="R176" s="442">
        <f t="shared" si="2191"/>
        <v>0</v>
      </c>
      <c r="S176" s="442">
        <f t="shared" si="2192"/>
        <v>0</v>
      </c>
      <c r="T176" s="443">
        <f t="shared" si="2193"/>
        <v>0</v>
      </c>
      <c r="U176" s="440">
        <f t="shared" si="2194"/>
        <v>0</v>
      </c>
      <c r="V176" s="441">
        <f t="shared" si="2195"/>
        <v>0</v>
      </c>
      <c r="W176" s="442">
        <f t="shared" si="2196"/>
        <v>0</v>
      </c>
      <c r="X176" s="442">
        <f t="shared" si="2197"/>
        <v>0</v>
      </c>
      <c r="Y176" s="443">
        <f t="shared" si="2198"/>
        <v>0</v>
      </c>
      <c r="Z176" s="440">
        <f t="shared" si="2199"/>
        <v>0</v>
      </c>
      <c r="AA176" s="441">
        <f t="shared" si="2200"/>
        <v>0</v>
      </c>
      <c r="AB176" s="442">
        <f t="shared" si="2201"/>
        <v>0</v>
      </c>
      <c r="AC176" s="442">
        <f t="shared" si="2202"/>
        <v>0</v>
      </c>
      <c r="AD176" s="443">
        <f t="shared" si="2203"/>
        <v>0</v>
      </c>
      <c r="AE176" s="440">
        <f t="shared" si="2204"/>
        <v>0</v>
      </c>
      <c r="AF176" s="441">
        <f t="shared" si="2205"/>
        <v>0</v>
      </c>
      <c r="AG176" s="442">
        <f t="shared" si="2206"/>
        <v>0</v>
      </c>
      <c r="AH176" s="442">
        <f t="shared" si="2207"/>
        <v>0</v>
      </c>
      <c r="AI176" s="443">
        <f t="shared" si="2208"/>
        <v>0</v>
      </c>
      <c r="AJ176" s="440">
        <f t="shared" si="2209"/>
        <v>0</v>
      </c>
      <c r="AK176" s="441">
        <f t="shared" si="2210"/>
        <v>0</v>
      </c>
      <c r="AL176" s="442">
        <f t="shared" si="2211"/>
        <v>0</v>
      </c>
      <c r="AM176" s="442">
        <f t="shared" si="2212"/>
        <v>0</v>
      </c>
      <c r="AN176" s="443">
        <f t="shared" si="2213"/>
        <v>0</v>
      </c>
      <c r="AO176" s="440">
        <f t="shared" si="2214"/>
        <v>0</v>
      </c>
      <c r="AP176" s="441">
        <f t="shared" si="2215"/>
        <v>0</v>
      </c>
      <c r="AQ176" s="442">
        <f t="shared" si="2216"/>
        <v>0</v>
      </c>
      <c r="AR176" s="442">
        <f t="shared" si="2217"/>
        <v>0</v>
      </c>
      <c r="AS176" s="443">
        <f t="shared" si="2218"/>
        <v>0</v>
      </c>
      <c r="AT176" s="440">
        <f t="shared" si="2219"/>
        <v>0</v>
      </c>
      <c r="AU176" s="441">
        <f t="shared" si="2220"/>
        <v>0</v>
      </c>
      <c r="AV176" s="442">
        <f t="shared" si="2221"/>
        <v>0</v>
      </c>
      <c r="AW176" s="442">
        <f t="shared" si="2222"/>
        <v>0</v>
      </c>
      <c r="AX176" s="443">
        <f t="shared" si="2223"/>
        <v>0</v>
      </c>
      <c r="AY176" s="440">
        <f t="shared" si="2224"/>
        <v>0</v>
      </c>
      <c r="AZ176" s="441">
        <f t="shared" si="2225"/>
        <v>0</v>
      </c>
      <c r="BA176" s="442">
        <f t="shared" si="2226"/>
        <v>0</v>
      </c>
      <c r="BB176" s="442">
        <f t="shared" si="2227"/>
        <v>0</v>
      </c>
      <c r="BC176" s="443">
        <f t="shared" si="2228"/>
        <v>0</v>
      </c>
      <c r="BD176" s="440">
        <f t="shared" si="2229"/>
        <v>0</v>
      </c>
      <c r="BE176" s="441">
        <f t="shared" si="2230"/>
        <v>0</v>
      </c>
      <c r="BF176" s="442">
        <f t="shared" si="2231"/>
        <v>0</v>
      </c>
      <c r="BG176" s="442">
        <f t="shared" si="2232"/>
        <v>0</v>
      </c>
      <c r="BH176" s="443">
        <f t="shared" si="2233"/>
        <v>0</v>
      </c>
      <c r="BI176" s="440">
        <f t="shared" si="2234"/>
        <v>0</v>
      </c>
      <c r="BJ176" s="441">
        <f t="shared" si="2235"/>
        <v>0</v>
      </c>
      <c r="BK176" s="442">
        <f t="shared" si="2236"/>
        <v>0</v>
      </c>
      <c r="BL176" s="442">
        <f t="shared" si="2237"/>
        <v>0</v>
      </c>
      <c r="BM176" s="443">
        <f t="shared" si="2238"/>
        <v>0</v>
      </c>
      <c r="BN176" s="440">
        <f t="shared" si="2239"/>
        <v>0</v>
      </c>
      <c r="BO176" s="470"/>
      <c r="BP176" s="441">
        <f t="shared" si="2240"/>
        <v>0</v>
      </c>
      <c r="BQ176" s="442">
        <f t="shared" si="2241"/>
        <v>0</v>
      </c>
      <c r="BR176" s="442">
        <f t="shared" si="2242"/>
        <v>0</v>
      </c>
      <c r="BS176" s="443">
        <f t="shared" si="2243"/>
        <v>0</v>
      </c>
      <c r="BT176" s="440">
        <f t="shared" si="2244"/>
        <v>0</v>
      </c>
      <c r="BU176" s="441">
        <f t="shared" si="2245"/>
        <v>0</v>
      </c>
      <c r="BV176" s="442">
        <f t="shared" si="2246"/>
        <v>0</v>
      </c>
      <c r="BW176" s="442">
        <f t="shared" si="2247"/>
        <v>0</v>
      </c>
      <c r="BX176" s="443">
        <f t="shared" si="2248"/>
        <v>0</v>
      </c>
      <c r="BY176" s="440">
        <f t="shared" si="2249"/>
        <v>0</v>
      </c>
      <c r="BZ176" s="441">
        <f t="shared" si="2250"/>
        <v>0</v>
      </c>
      <c r="CA176" s="442">
        <f t="shared" si="2251"/>
        <v>0</v>
      </c>
      <c r="CB176" s="442">
        <f t="shared" si="2252"/>
        <v>0</v>
      </c>
      <c r="CC176" s="443">
        <f t="shared" si="2253"/>
        <v>0</v>
      </c>
      <c r="CD176" s="440">
        <f t="shared" si="2254"/>
        <v>0</v>
      </c>
      <c r="CE176" s="441">
        <f t="shared" si="2255"/>
        <v>0</v>
      </c>
      <c r="CF176" s="442">
        <f t="shared" si="2256"/>
        <v>0</v>
      </c>
      <c r="CG176" s="442">
        <f t="shared" si="2257"/>
        <v>0</v>
      </c>
      <c r="CH176" s="443">
        <f t="shared" si="2258"/>
        <v>0</v>
      </c>
      <c r="CI176" s="440">
        <f t="shared" si="2259"/>
        <v>0</v>
      </c>
      <c r="CJ176" s="441">
        <f t="shared" si="2260"/>
        <v>0</v>
      </c>
      <c r="CK176" s="442">
        <f t="shared" si="2261"/>
        <v>0</v>
      </c>
      <c r="CL176" s="442">
        <f t="shared" si="2262"/>
        <v>0</v>
      </c>
      <c r="CM176" s="443">
        <f t="shared" si="2263"/>
        <v>0</v>
      </c>
      <c r="CN176" s="440">
        <f t="shared" si="2264"/>
        <v>0</v>
      </c>
      <c r="CO176" s="441">
        <f t="shared" si="2265"/>
        <v>0</v>
      </c>
      <c r="CP176" s="442">
        <f t="shared" si="2266"/>
        <v>0</v>
      </c>
      <c r="CQ176" s="442">
        <f t="shared" si="2267"/>
        <v>0</v>
      </c>
      <c r="CR176" s="443">
        <f t="shared" si="2268"/>
        <v>0</v>
      </c>
      <c r="CS176" s="440">
        <f t="shared" si="2269"/>
        <v>0</v>
      </c>
      <c r="CT176" s="441">
        <f t="shared" si="2270"/>
        <v>0</v>
      </c>
      <c r="CU176" s="442">
        <f t="shared" si="2271"/>
        <v>0</v>
      </c>
      <c r="CV176" s="442">
        <f t="shared" si="2272"/>
        <v>0</v>
      </c>
      <c r="CW176" s="443">
        <f t="shared" si="2273"/>
        <v>0</v>
      </c>
      <c r="CX176" s="440">
        <f t="shared" si="2274"/>
        <v>0</v>
      </c>
      <c r="CY176" s="441">
        <f t="shared" si="2275"/>
        <v>0</v>
      </c>
      <c r="CZ176" s="442">
        <f t="shared" si="2276"/>
        <v>0</v>
      </c>
      <c r="DA176" s="442">
        <f t="shared" si="2277"/>
        <v>0</v>
      </c>
      <c r="DB176" s="443">
        <f t="shared" si="2278"/>
        <v>0</v>
      </c>
      <c r="DC176" s="440">
        <f t="shared" si="2279"/>
        <v>0</v>
      </c>
      <c r="DD176" s="441">
        <f t="shared" si="2280"/>
        <v>0</v>
      </c>
      <c r="DE176" s="442">
        <f t="shared" si="2281"/>
        <v>0</v>
      </c>
      <c r="DF176" s="442">
        <f t="shared" si="2282"/>
        <v>0</v>
      </c>
      <c r="DG176" s="443">
        <f t="shared" si="2283"/>
        <v>0</v>
      </c>
      <c r="DH176" s="440">
        <f t="shared" si="2284"/>
        <v>0</v>
      </c>
      <c r="DI176" s="441">
        <f t="shared" si="2285"/>
        <v>0</v>
      </c>
      <c r="DJ176" s="442">
        <f t="shared" si="2286"/>
        <v>0</v>
      </c>
      <c r="DK176" s="442">
        <f t="shared" si="2287"/>
        <v>0</v>
      </c>
      <c r="DL176" s="443">
        <f t="shared" si="2288"/>
        <v>0</v>
      </c>
      <c r="DM176" s="440">
        <f t="shared" si="2289"/>
        <v>0</v>
      </c>
      <c r="DN176" s="441">
        <f t="shared" si="2290"/>
        <v>0</v>
      </c>
      <c r="DO176" s="442">
        <f t="shared" si="2291"/>
        <v>0</v>
      </c>
      <c r="DP176" s="442">
        <f t="shared" si="2292"/>
        <v>0</v>
      </c>
      <c r="DQ176" s="443">
        <f t="shared" si="2293"/>
        <v>0</v>
      </c>
      <c r="DR176" s="440">
        <f t="shared" si="2294"/>
        <v>0</v>
      </c>
    </row>
    <row r="177" spans="3:122" ht="12.75" customHeight="1">
      <c r="C177" s="1123" t="s">
        <v>892</v>
      </c>
      <c r="D177" s="1953"/>
      <c r="E177" s="1950">
        <f>IF(F177=0,G177,F177)</f>
        <v>500</v>
      </c>
      <c r="F177" s="1945">
        <v>500</v>
      </c>
      <c r="G177" s="1945">
        <v>500</v>
      </c>
      <c r="H177" s="1366">
        <v>2024</v>
      </c>
      <c r="I177" s="1367">
        <v>4.7E-2</v>
      </c>
      <c r="J177" s="1357">
        <v>4</v>
      </c>
      <c r="K177" s="549"/>
      <c r="L177" s="441">
        <f>IF(P177=0,0,IF(P177&lt;0,IF($J177=3,P177,IF($J177=2,P177,IF($J177=1,P177,0)))))</f>
        <v>0</v>
      </c>
      <c r="M177" s="442">
        <f>IF(P177=0,0,IF(P177&lt;0,IF($J177=6,P177,IF($J177=5,P177,IF($J177=4,P177,0)))))</f>
        <v>0</v>
      </c>
      <c r="N177" s="442">
        <f>IF(P177=0,0,IF(P177&lt;0,IF($J177=9,P177,IF($J177=8,P177,IF($J177=7,P177,0)))))</f>
        <v>0</v>
      </c>
      <c r="O177" s="443">
        <f>IF(P177=0,0,IF(P177&lt;0,IF($J177=12,P177,IF($J177=11,P177,IF($J177=10,P177,0)))))</f>
        <v>0</v>
      </c>
      <c r="P177" s="440">
        <f>IF(P$5=$H177,-$E177,0)</f>
        <v>0</v>
      </c>
      <c r="Q177" s="441">
        <f>IF(U177=0,0,IF(U177&lt;0,IF($J177=3,U177,IF($J177=2,U177,IF($J177=1,U177,0)))))</f>
        <v>0</v>
      </c>
      <c r="R177" s="442">
        <f>IF(U177=0,0,IF(U177&lt;0,IF($J177=6,U177,IF($J177=5,U177,IF($J177=4,U177,0)))))</f>
        <v>0</v>
      </c>
      <c r="S177" s="442">
        <f>IF(U177=0,0,IF(U177&lt;0,IF($J177=9,U177,IF($J177=8,U177,IF($J177=7,U177,0)))))</f>
        <v>0</v>
      </c>
      <c r="T177" s="443">
        <f>IF(U177=0,0,IF(U177&lt;0,IF($J177=12,U177,IF($J177=11,U177,IF($J177=10,U177,0)))))</f>
        <v>0</v>
      </c>
      <c r="U177" s="440">
        <f>IF(U$5=$H177,-$E177,0)</f>
        <v>0</v>
      </c>
      <c r="V177" s="441">
        <f>IF(Z177=0,0,IF(Z177&lt;0,IF($J177=3,Z177,IF($J177=2,Z177,IF($J177=1,Z177,0)))))</f>
        <v>0</v>
      </c>
      <c r="W177" s="442">
        <f>IF(Z177=0,0,IF(Z177&lt;0,IF($J177=6,Z177,IF($J177=5,Z177,IF($J177=4,Z177,0)))))</f>
        <v>0</v>
      </c>
      <c r="X177" s="442">
        <f>IF(Z177=0,0,IF(Z177&lt;0,IF($J177=9,Z177,IF($J177=8,Z177,IF($J177=7,Z177,0)))))</f>
        <v>0</v>
      </c>
      <c r="Y177" s="443">
        <f>IF(Z177=0,0,IF(Z177&lt;0,IF($J177=12,Z177,IF($J177=11,Z177,IF($J177=10,Z177,0)))))</f>
        <v>0</v>
      </c>
      <c r="Z177" s="440">
        <f>IF(Z$5=$H177,-$E177,0)</f>
        <v>0</v>
      </c>
      <c r="AA177" s="441">
        <f>IF(AE177=0,0,IF(AE177&lt;0,IF($J177=3,AE177,IF($J177=2,AE177,IF($J177=1,AE177,0)))))</f>
        <v>0</v>
      </c>
      <c r="AB177" s="442">
        <f>IF(AE177=0,0,IF(AE177&lt;0,IF($J177=6,AE177,IF($J177=5,AE177,IF($J177=4,AE177,0)))))</f>
        <v>0</v>
      </c>
      <c r="AC177" s="442">
        <f>IF(AE177=0,0,IF(AE177&lt;0,IF($J177=9,AE177,IF($J177=8,AE177,IF($J177=7,AE177,0)))))</f>
        <v>0</v>
      </c>
      <c r="AD177" s="443">
        <f>IF(AE177=0,0,IF(AE177&lt;0,IF($J177=12,AE177,IF($J177=11,AE177,IF($J177=10,AE177,0)))))</f>
        <v>0</v>
      </c>
      <c r="AE177" s="440">
        <f>IF(AE$5=$H177,-$E177,0)</f>
        <v>0</v>
      </c>
      <c r="AF177" s="441">
        <f>IF(AJ177=0,0,IF(AJ177&lt;0,IF($J177=3,AJ177,IF($J177=2,AJ177,IF($J177=1,AJ177,0)))))</f>
        <v>0</v>
      </c>
      <c r="AG177" s="442">
        <f>IF(AJ177=0,0,IF(AJ177&lt;0,IF($J177=6,AJ177,IF($J177=5,AJ177,IF($J177=4,AJ177,0)))))</f>
        <v>0</v>
      </c>
      <c r="AH177" s="442">
        <f>IF(AJ177=0,0,IF(AJ177&lt;0,IF($J177=9,AJ177,IF($J177=8,AJ177,IF($J177=7,AJ177,0)))))</f>
        <v>0</v>
      </c>
      <c r="AI177" s="443">
        <f>IF(AJ177=0,0,IF(AJ177&lt;0,IF($J177=12,AJ177,IF($J177=11,AJ177,IF($J177=10,AJ177,0)))))</f>
        <v>0</v>
      </c>
      <c r="AJ177" s="440">
        <f>IF(AJ$5=$H177,-$E177,0)</f>
        <v>0</v>
      </c>
      <c r="AK177" s="441">
        <f>IF(AO177=0,0,IF(AO177&lt;0,IF($J177=3,AO177,IF($J177=2,AO177,IF($J177=1,AO177,0)))))</f>
        <v>0</v>
      </c>
      <c r="AL177" s="442">
        <f>IF(AO177=0,0,IF(AO177&lt;0,IF($J177=6,AO177,IF($J177=5,AO177,IF($J177=4,AO177,0)))))</f>
        <v>0</v>
      </c>
      <c r="AM177" s="442">
        <f>IF(AO177=0,0,IF(AO177&lt;0,IF($J177=9,AO177,IF($J177=8,AO177,IF($J177=7,AO177,0)))))</f>
        <v>0</v>
      </c>
      <c r="AN177" s="443">
        <f>IF(AO177=0,0,IF(AO177&lt;0,IF($J177=12,AO177,IF($J177=11,AO177,IF($J177=10,AO177,0)))))</f>
        <v>0</v>
      </c>
      <c r="AO177" s="440">
        <f>IF(AO$5=$H177,-$E177,0)</f>
        <v>0</v>
      </c>
      <c r="AP177" s="441">
        <f>IF(AT177=0,0,IF(AT177&lt;0,IF($J177=3,AT177,IF($J177=2,AT177,IF($J177=1,AT177,0)))))</f>
        <v>0</v>
      </c>
      <c r="AQ177" s="442">
        <f>IF(AT177=0,0,IF(AT177&lt;0,IF($J177=6,AT177,IF($J177=5,AT177,IF($J177=4,AT177,0)))))</f>
        <v>0</v>
      </c>
      <c r="AR177" s="442">
        <f>IF(AT177=0,0,IF(AT177&lt;0,IF($J177=9,AT177,IF($J177=8,AT177,IF($J177=7,AT177,0)))))</f>
        <v>0</v>
      </c>
      <c r="AS177" s="443">
        <f>IF(AT177=0,0,IF(AT177&lt;0,IF($J177=12,AT177,IF($J177=11,AT177,IF($J177=10,AT177,0)))))</f>
        <v>0</v>
      </c>
      <c r="AT177" s="440">
        <f>IF(AT$5=$H177,-$E177,0)</f>
        <v>0</v>
      </c>
      <c r="AU177" s="441">
        <f>IF(AY177=0,0,IF(AY177&lt;0,IF($J177=3,AY177,IF($J177=2,AY177,IF($J177=1,AY177,0)))))</f>
        <v>0</v>
      </c>
      <c r="AV177" s="442">
        <f>IF(AY177=0,0,IF(AY177&lt;0,IF($J177=6,AY177,IF($J177=5,AY177,IF($J177=4,AY177,0)))))</f>
        <v>0</v>
      </c>
      <c r="AW177" s="442">
        <f>IF(AY177=0,0,IF(AY177&lt;0,IF($J177=9,AY177,IF($J177=8,AY177,IF($J177=7,AY177,0)))))</f>
        <v>0</v>
      </c>
      <c r="AX177" s="443">
        <f>IF(AY177=0,0,IF(AY177&lt;0,IF($J177=12,AY177,IF($J177=11,AY177,IF($J177=10,AY177,0)))))</f>
        <v>0</v>
      </c>
      <c r="AY177" s="440">
        <f>IF(AY$5=$H177,-$E177,0)</f>
        <v>0</v>
      </c>
      <c r="AZ177" s="441">
        <f>IF(BD177=0,0,IF(BD177&lt;0,IF($J177=3,BD177,IF($J177=2,BD177,IF($J177=1,BD177,0)))))</f>
        <v>0</v>
      </c>
      <c r="BA177" s="442">
        <f>IF(BD177=0,0,IF(BD177&lt;0,IF($J177=6,BD177,IF($J177=5,BD177,IF($J177=4,BD177,0)))))</f>
        <v>0</v>
      </c>
      <c r="BB177" s="442">
        <f>IF(BD177=0,0,IF(BD177&lt;0,IF($J177=9,BD177,IF($J177=8,BD177,IF($J177=7,BD177,0)))))</f>
        <v>0</v>
      </c>
      <c r="BC177" s="443">
        <f>IF(BD177=0,0,IF(BD177&lt;0,IF($J177=12,BD177,IF($J177=11,BD177,IF($J177=10,BD177,0)))))</f>
        <v>0</v>
      </c>
      <c r="BD177" s="440">
        <f>IF(BD$5=$H177,-$E177,0)</f>
        <v>0</v>
      </c>
      <c r="BE177" s="441">
        <f>IF(BI177=0,0,IF(BI177&lt;0,IF($J177=3,BI177,IF($J177=2,BI177,IF($J177=1,BI177,0)))))</f>
        <v>0</v>
      </c>
      <c r="BF177" s="442">
        <f>IF(BI177=0,0,IF(BI177&lt;0,IF($J177=6,BI177,IF($J177=5,BI177,IF($J177=4,BI177,0)))))</f>
        <v>0</v>
      </c>
      <c r="BG177" s="442">
        <f>IF(BI177=0,0,IF(BI177&lt;0,IF($J177=9,BI177,IF($J177=8,BI177,IF($J177=7,BI177,0)))))</f>
        <v>0</v>
      </c>
      <c r="BH177" s="443">
        <f>IF(BI177=0,0,IF(BI177&lt;0,IF($J177=12,BI177,IF($J177=11,BI177,IF($J177=10,BI177,0)))))</f>
        <v>0</v>
      </c>
      <c r="BI177" s="440">
        <f>IF(BI$5=$H177,-$E177,0)</f>
        <v>0</v>
      </c>
      <c r="BJ177" s="441">
        <f>IF(BN177=0,0,IF(BN177&lt;0,IF($J177=3,BN177,IF($J177=2,BN177,IF($J177=1,BN177,0)))))</f>
        <v>0</v>
      </c>
      <c r="BK177" s="442">
        <f>IF(BN177=0,0,IF(BN177&lt;0,IF($J177=6,BN177,IF($J177=5,BN177,IF($J177=4,BN177,0)))))</f>
        <v>0</v>
      </c>
      <c r="BL177" s="442">
        <f>IF(BN177=0,0,IF(BN177&lt;0,IF($J177=9,BN177,IF($J177=8,BN177,IF($J177=7,BN177,0)))))</f>
        <v>0</v>
      </c>
      <c r="BM177" s="443">
        <f>IF(BN177=0,0,IF(BN177&lt;0,IF($J177=12,BN177,IF($J177=11,BN177,IF($J177=10,BN177,0)))))</f>
        <v>0</v>
      </c>
      <c r="BN177" s="440">
        <f>IF(BN$5=$H177,-$E177,0)</f>
        <v>0</v>
      </c>
      <c r="BO177" s="470"/>
      <c r="BP177" s="441">
        <f>IF($H177&lt;&gt;BT$5,0,IF(BT177&lt;0,IF($J177=1,-$E177*$I177/12*3,IF($J177=2,-$E177*$I177/12*2,IF($J177=3,-$E177*$I177/12*1,0)))))+IF(BO$5&lt;&gt;$H177,0,IF(BO177&lt;0,IF($J177=1,-$E177*$I177/12*0,IF($J177=2,-$E177*$I177/12*1,IF($J177=3,-$E177*$I177/12*2,IF($J177&gt;=4,-$E177*$I177/12*3,0))))))</f>
        <v>0</v>
      </c>
      <c r="BQ177" s="442">
        <f>IF($H177&lt;&gt;BT$5,0,IF(BT177&lt;0,IF(OR($J177=1,$J177=2,$J177=3,$J177=4),-$E177*$I177/12*3,IF($J177=5,-$E177*$I177/12*2,IF($J177=6,-$E177*$I177/12*1,0)))))+IF(BO$5&lt;&gt;$H177,0,IF(BO177&lt;0,IF($J177=4,-$E177*$I177/12*0,IF($J177=5,-$E177*$I177/12*1,IF($J177=6,-$E177*$I177/12*2,IF($J177&gt;=7,-$E177*$I177/12*3,0))))))</f>
        <v>0</v>
      </c>
      <c r="BR177" s="442">
        <f>IF($H177&lt;&gt;BT$5,0,IF(BT177&lt;0,IF(OR($J177=1,$J177=2,$J177=3,$J177=4,$J177=5,$J177=6,$J177=7),-$E177*$I177/12*3,IF($J177=8,-$E177*$I177/12*2,IF($J177=9,-$E177*$I177/12*1,0)))))+IF(BO$5&lt;&gt;$H177,0,IF(BO177&lt;0,IF($J177=7,-$E177*$I177/12*0,IF($J177=8,-$E177*$I177/12*1,IF($J177=9,-$E177*$I177/12*2,IF($J177&gt;=10,-$E177*$I177/12*3,0))))))</f>
        <v>0</v>
      </c>
      <c r="BS177" s="443">
        <f>IF($H177&lt;&gt;BT$5,0,IF(BT177&lt;0,IF(OR($J177=1,$J177=2,$J177=3,$J177=4,$J177=5,$J177=6,$J177=7,$J177=8,$J177=9,$J177=10),-$E177*$I177/12*3,IF($J177=11,-$E177*$I177/12*2,IF($J177=12,-$E177*$I177/12*1,0)))))+IF(BO$5&lt;&gt;$H177,0,IF(BO177&lt;0,IF($J177=10,-$E177*$I177/12*0,IF($J177=11,-$E177*$I177/12*1,IF($J177=12,-$E177*$I177/12*2,0)))))</f>
        <v>0</v>
      </c>
      <c r="BT177" s="440">
        <f>IF(AND(BO177&lt;&gt;0,BO$5=$H177),-$I177*$E177-BO177,IF(BT$5=$H177,-$I177*$E177*(12-$J177+1)/12,0))</f>
        <v>0</v>
      </c>
      <c r="BU177" s="441">
        <f>IF($H177&lt;&gt;BY$5,0,IF(BY177&lt;0,IF($J177=1,-$E177*$I177/12*3,IF($J177=2,-$E177*$I177/12*2,IF($J177=3,-$E177*$I177/12*1,0)))))+IF(BT$5&lt;&gt;$H177,0,IF(BT177&lt;0,IF($J177=1,-$E177*$I177/12*0,IF($J177=2,-$E177*$I177/12*1,IF($J177=3,-$E177*$I177/12*2,IF($J177&gt;=4,-$E177*$I177/12*3,0))))))</f>
        <v>0</v>
      </c>
      <c r="BV177" s="442">
        <f>IF($H177&lt;&gt;BY$5,0,IF(BY177&lt;0,IF(OR($J177=1,$J177=2,$J177=3,$J177=4),-$E177*$I177/12*3,IF($J177=5,-$E177*$I177/12*2,IF($J177=6,-$E177*$I177/12*1,0)))))+IF(BT$5&lt;&gt;$H177,0,IF(BT177&lt;0,IF($J177=4,-$E177*$I177/12*0,IF($J177=5,-$E177*$I177/12*1,IF($J177=6,-$E177*$I177/12*2,IF($J177&gt;=7,-$E177*$I177/12*3,0))))))</f>
        <v>0</v>
      </c>
      <c r="BW177" s="442">
        <f>IF($H177&lt;&gt;BY$5,0,IF(BY177&lt;0,IF(OR($J177=1,$J177=2,$J177=3,$J177=4,$J177=5,$J177=6,$J177=7),-$E177*$I177/12*3,IF($J177=8,-$E177*$I177/12*2,IF($J177=9,-$E177*$I177/12*1,0)))))+IF(BT$5&lt;&gt;$H177,0,IF(BT177&lt;0,IF($J177=7,-$E177*$I177/12*0,IF($J177=8,-$E177*$I177/12*1,IF($J177=9,-$E177*$I177/12*2,IF($J177&gt;=10,-$E177*$I177/12*3,0))))))</f>
        <v>0</v>
      </c>
      <c r="BX177" s="443">
        <f>IF($H177&lt;&gt;BY$5,0,IF(BY177&lt;0,IF(OR($J177=1,$J177=2,$J177=3,$J177=4,$J177=5,$J177=6,$J177=7,$J177=8,$J177=9,$J177=10),-$E177*$I177/12*3,IF($J177=11,-$E177*$I177/12*2,IF($J177=12,-$E177*$I177/12*1,0)))))+IF(BT$5&lt;&gt;$H177,0,IF(BT177&lt;0,IF($J177=10,-$E177*$I177/12*0,IF($J177=11,-$E177*$I177/12*1,IF($J177=12,-$E177*$I177/12*2,0)))))</f>
        <v>0</v>
      </c>
      <c r="BY177" s="440">
        <f>IF(AND(BT177&lt;&gt;0,BT$5=$H177),-$I177*$E177-BT177,IF(BY$5=$H177,-$I177*$E177*(12-$J177+1)/12,0))</f>
        <v>0</v>
      </c>
      <c r="BZ177" s="441">
        <f>IF($H177&lt;&gt;CD$5,0,IF(CD177&lt;0,IF($J177=1,-$E177*$I177/12*3,IF($J177=2,-$E177*$I177/12*2,IF($J177=3,-$E177*$I177/12*1,0)))))+IF(BY$5&lt;&gt;$H177,0,IF(BY177&lt;0,IF($J177=1,-$E177*$I177/12*0,IF($J177=2,-$E177*$I177/12*1,IF($J177=3,-$E177*$I177/12*2,IF($J177&gt;=4,-$E177*$I177/12*3,0))))))</f>
        <v>0</v>
      </c>
      <c r="CA177" s="442">
        <f>IF($H177&lt;&gt;CD$5,0,IF(CD177&lt;0,IF(OR($J177=1,$J177=2,$J177=3,$J177=4),-$E177*$I177/12*3,IF($J177=5,-$E177*$I177/12*2,IF($J177=6,-$E177*$I177/12*1,0)))))+IF(BY$5&lt;&gt;$H177,0,IF(BY177&lt;0,IF($J177=4,-$E177*$I177/12*0,IF($J177=5,-$E177*$I177/12*1,IF($J177=6,-$E177*$I177/12*2,IF($J177&gt;=7,-$E177*$I177/12*3,0))))))</f>
        <v>0</v>
      </c>
      <c r="CB177" s="442">
        <f>IF($H177&lt;&gt;CD$5,0,IF(CD177&lt;0,IF(OR($J177=1,$J177=2,$J177=3,$J177=4,$J177=5,$J177=6,$J177=7),-$E177*$I177/12*3,IF($J177=8,-$E177*$I177/12*2,IF($J177=9,-$E177*$I177/12*1,0)))))+IF(BY$5&lt;&gt;$H177,0,IF(BY177&lt;0,IF($J177=7,-$E177*$I177/12*0,IF($J177=8,-$E177*$I177/12*1,IF($J177=9,-$E177*$I177/12*2,IF($J177&gt;=10,-$E177*$I177/12*3,0))))))</f>
        <v>0</v>
      </c>
      <c r="CC177" s="443">
        <f>IF($H177&lt;&gt;CD$5,0,IF(CD177&lt;0,IF(OR($J177=1,$J177=2,$J177=3,$J177=4,$J177=5,$J177=6,$J177=7,$J177=8,$J177=9,$J177=10),-$E177*$I177/12*3,IF($J177=11,-$E177*$I177/12*2,IF($J177=12,-$E177*$I177/12*1,0)))))+IF(BY$5&lt;&gt;$H177,0,IF(BY177&lt;0,IF($J177=10,-$E177*$I177/12*0,IF($J177=11,-$E177*$I177/12*1,IF($J177=12,-$E177*$I177/12*2,0)))))</f>
        <v>0</v>
      </c>
      <c r="CD177" s="440">
        <f>IF(AND(BY177&lt;&gt;0,BY$5=$H177),-$I177*$E177-BY177,IF(CD$5=$H177,-$I177*$E177*(12-$J177+1)/12,0))</f>
        <v>0</v>
      </c>
      <c r="CE177" s="441">
        <f>IF($H177&lt;&gt;CI$5,0,IF(CI177&lt;0,IF($J177=1,-$E177*$I177/12*3,IF($J177=2,-$E177*$I177/12*2,IF($J177=3,-$E177*$I177/12*1,0)))))+IF(CD$5&lt;&gt;$H177,0,IF(CD177&lt;0,IF($J177=1,-$E177*$I177/12*0,IF($J177=2,-$E177*$I177/12*1,IF($J177=3,-$E177*$I177/12*2,IF($J177&gt;=4,-$E177*$I177/12*3,0))))))</f>
        <v>0</v>
      </c>
      <c r="CF177" s="442">
        <f>IF($H177&lt;&gt;CI$5,0,IF(CI177&lt;0,IF(OR($J177=1,$J177=2,$J177=3,$J177=4),-$E177*$I177/12*3,IF($J177=5,-$E177*$I177/12*2,IF($J177=6,-$E177*$I177/12*1,0)))))+IF(CD$5&lt;&gt;$H177,0,IF(CD177&lt;0,IF($J177=4,-$E177*$I177/12*0,IF($J177=5,-$E177*$I177/12*1,IF($J177=6,-$E177*$I177/12*2,IF($J177&gt;=7,-$E177*$I177/12*3,0))))))</f>
        <v>0</v>
      </c>
      <c r="CG177" s="442">
        <f>IF($H177&lt;&gt;CI$5,0,IF(CI177&lt;0,IF(OR($J177=1,$J177=2,$J177=3,$J177=4,$J177=5,$J177=6,$J177=7),-$E177*$I177/12*3,IF($J177=8,-$E177*$I177/12*2,IF($J177=9,-$E177*$I177/12*1,0)))))+IF(CD$5&lt;&gt;$H177,0,IF(CD177&lt;0,IF($J177=7,-$E177*$I177/12*0,IF($J177=8,-$E177*$I177/12*1,IF($J177=9,-$E177*$I177/12*2,IF($J177&gt;=10,-$E177*$I177/12*3,0))))))</f>
        <v>0</v>
      </c>
      <c r="CH177" s="443">
        <f>IF($H177&lt;&gt;CI$5,0,IF(CI177&lt;0,IF(OR($J177=1,$J177=2,$J177=3,$J177=4,$J177=5,$J177=6,$J177=7,$J177=8,$J177=9,$J177=10),-$E177*$I177/12*3,IF($J177=11,-$E177*$I177/12*2,IF($J177=12,-$E177*$I177/12*1,0)))))+IF(CD$5&lt;&gt;$H177,0,IF(CD177&lt;0,IF($J177=10,-$E177*$I177/12*0,IF($J177=11,-$E177*$I177/12*1,IF($J177=12,-$E177*$I177/12*2,0)))))</f>
        <v>0</v>
      </c>
      <c r="CI177" s="440">
        <f>IF(AND(CD177&lt;&gt;0,CD$5=$H177),-$I177*$E177-CD177,IF(CI$5=$H177,-$I177*$E177*(12-$J177+1)/12,0))</f>
        <v>0</v>
      </c>
      <c r="CJ177" s="441">
        <f>IF($H177&lt;&gt;CN$5,0,IF(CN177&lt;0,IF($J177=1,-$E177*$I177/12*3,IF($J177=2,-$E177*$I177/12*2,IF($J177=3,-$E177*$I177/12*1,0)))))+IF(CI$5&lt;&gt;$H177,0,IF(CI177&lt;0,IF($J177=1,-$E177*$I177/12*0,IF($J177=2,-$E177*$I177/12*1,IF($J177=3,-$E177*$I177/12*2,IF($J177&gt;=4,-$E177*$I177/12*3,0))))))</f>
        <v>0</v>
      </c>
      <c r="CK177" s="442">
        <f>IF($H177&lt;&gt;CN$5,0,IF(CN177&lt;0,IF(OR($J177=1,$J177=2,$J177=3,$J177=4),-$E177*$I177/12*3,IF($J177=5,-$E177*$I177/12*2,IF($J177=6,-$E177*$I177/12*1,0)))))+IF(CI$5&lt;&gt;$H177,0,IF(CI177&lt;0,IF($J177=4,-$E177*$I177/12*0,IF($J177=5,-$E177*$I177/12*1,IF($J177=6,-$E177*$I177/12*2,IF($J177&gt;=7,-$E177*$I177/12*3,0))))))</f>
        <v>0</v>
      </c>
      <c r="CL177" s="442">
        <f>IF($H177&lt;&gt;CN$5,0,IF(CN177&lt;0,IF(OR($J177=1,$J177=2,$J177=3,$J177=4,$J177=5,$J177=6,$J177=7),-$E177*$I177/12*3,IF($J177=8,-$E177*$I177/12*2,IF($J177=9,-$E177*$I177/12*1,0)))))+IF(CI$5&lt;&gt;$H177,0,IF(CI177&lt;0,IF($J177=7,-$E177*$I177/12*0,IF($J177=8,-$E177*$I177/12*1,IF($J177=9,-$E177*$I177/12*2,IF($J177&gt;=10,-$E177*$I177/12*3,0))))))</f>
        <v>0</v>
      </c>
      <c r="CM177" s="443">
        <f>IF($H177&lt;&gt;CN$5,0,IF(CN177&lt;0,IF(OR($J177=1,$J177=2,$J177=3,$J177=4,$J177=5,$J177=6,$J177=7,$J177=8,$J177=9,$J177=10),-$E177*$I177/12*3,IF($J177=11,-$E177*$I177/12*2,IF($J177=12,-$E177*$I177/12*1,0)))))+IF(CI$5&lt;&gt;$H177,0,IF(CI177&lt;0,IF($J177=10,-$E177*$I177/12*0,IF($J177=11,-$E177*$I177/12*1,IF($J177=12,-$E177*$I177/12*2,0)))))</f>
        <v>0</v>
      </c>
      <c r="CN177" s="440">
        <f>IF(AND(CI177&lt;&gt;0,CI$5=$H177),-$I177*$E177-CI177,IF(CN$5=$H177,-$I177*$E177*(12-$J177+1)/12,0))</f>
        <v>0</v>
      </c>
      <c r="CO177" s="441">
        <f>IF($H177&lt;&gt;CS$5,0,IF(CS177&lt;0,IF($J177=1,-$E177*$I177/12*3,IF($J177=2,-$E177*$I177/12*2,IF($J177=3,-$E177*$I177/12*1,0)))))+IF(CN$5&lt;&gt;$H177,0,IF(CN177&lt;0,IF($J177=1,-$E177*$I177/12*0,IF($J177=2,-$E177*$I177/12*1,IF($J177=3,-$E177*$I177/12*2,IF($J177&gt;=4,-$E177*$I177/12*3,0))))))</f>
        <v>0</v>
      </c>
      <c r="CP177" s="442">
        <f>IF($H177&lt;&gt;CS$5,0,IF(CS177&lt;0,IF(OR($J177=1,$J177=2,$J177=3,$J177=4),-$E177*$I177/12*3,IF($J177=5,-$E177*$I177/12*2,IF($J177=6,-$E177*$I177/12*1,0)))))+IF(CN$5&lt;&gt;$H177,0,IF(CN177&lt;0,IF($J177=4,-$E177*$I177/12*0,IF($J177=5,-$E177*$I177/12*1,IF($J177=6,-$E177*$I177/12*2,IF($J177&gt;=7,-$E177*$I177/12*3,0))))))</f>
        <v>0</v>
      </c>
      <c r="CQ177" s="442">
        <f>IF($H177&lt;&gt;CS$5,0,IF(CS177&lt;0,IF(OR($J177=1,$J177=2,$J177=3,$J177=4,$J177=5,$J177=6,$J177=7),-$E177*$I177/12*3,IF($J177=8,-$E177*$I177/12*2,IF($J177=9,-$E177*$I177/12*1,0)))))+IF(CN$5&lt;&gt;$H177,0,IF(CN177&lt;0,IF($J177=7,-$E177*$I177/12*0,IF($J177=8,-$E177*$I177/12*1,IF($J177=9,-$E177*$I177/12*2,IF($J177&gt;=10,-$E177*$I177/12*3,0))))))</f>
        <v>0</v>
      </c>
      <c r="CR177" s="443">
        <f>IF($H177&lt;&gt;CS$5,0,IF(CS177&lt;0,IF(OR($J177=1,$J177=2,$J177=3,$J177=4,$J177=5,$J177=6,$J177=7,$J177=8,$J177=9,$J177=10),-$E177*$I177/12*3,IF($J177=11,-$E177*$I177/12*2,IF($J177=12,-$E177*$I177/12*1,0)))))+IF(CN$5&lt;&gt;$H177,0,IF(CN177&lt;0,IF($J177=10,-$E177*$I177/12*0,IF($J177=11,-$E177*$I177/12*1,IF($J177=12,-$E177*$I177/12*2,0)))))</f>
        <v>0</v>
      </c>
      <c r="CS177" s="440">
        <f>IF(AND(CN177&lt;&gt;0,CN$5=$H177),-$I177*$E177-CN177,IF(CS$5=$H177,-$I177*$E177*(12-$J177+1)/12,0))</f>
        <v>0</v>
      </c>
      <c r="CT177" s="441">
        <f>IF($H177&lt;&gt;CX$5,0,IF(CX177&lt;0,IF($J177=1,-$E177*$I177/12*3,IF($J177=2,-$E177*$I177/12*2,IF($J177=3,-$E177*$I177/12*1,0)))))+IF(CS$5&lt;&gt;$H177,0,IF(CS177&lt;0,IF($J177=1,-$E177*$I177/12*0,IF($J177=2,-$E177*$I177/12*1,IF($J177=3,-$E177*$I177/12*2,IF($J177&gt;=4,-$E177*$I177/12*3,0))))))</f>
        <v>0</v>
      </c>
      <c r="CU177" s="442">
        <f>IF($H177&lt;&gt;CX$5,0,IF(CX177&lt;0,IF(OR($J177=1,$J177=2,$J177=3,$J177=4),-$E177*$I177/12*3,IF($J177=5,-$E177*$I177/12*2,IF($J177=6,-$E177*$I177/12*1,0)))))+IF(CS$5&lt;&gt;$H177,0,IF(CS177&lt;0,IF($J177=4,-$E177*$I177/12*0,IF($J177=5,-$E177*$I177/12*1,IF($J177=6,-$E177*$I177/12*2,IF($J177&gt;=7,-$E177*$I177/12*3,0))))))</f>
        <v>0</v>
      </c>
      <c r="CV177" s="442">
        <f>IF($H177&lt;&gt;CX$5,0,IF(CX177&lt;0,IF(OR($J177=1,$J177=2,$J177=3,$J177=4,$J177=5,$J177=6,$J177=7),-$E177*$I177/12*3,IF($J177=8,-$E177*$I177/12*2,IF($J177=9,-$E177*$I177/12*1,0)))))+IF(CS$5&lt;&gt;$H177,0,IF(CS177&lt;0,IF($J177=7,-$E177*$I177/12*0,IF($J177=8,-$E177*$I177/12*1,IF($J177=9,-$E177*$I177/12*2,IF($J177&gt;=10,-$E177*$I177/12*3,0))))))</f>
        <v>0</v>
      </c>
      <c r="CW177" s="443">
        <f>IF($H177&lt;&gt;CX$5,0,IF(CX177&lt;0,IF(OR($J177=1,$J177=2,$J177=3,$J177=4,$J177=5,$J177=6,$J177=7,$J177=8,$J177=9,$J177=10),-$E177*$I177/12*3,IF($J177=11,-$E177*$I177/12*2,IF($J177=12,-$E177*$I177/12*1,0)))))+IF(CS$5&lt;&gt;$H177,0,IF(CS177&lt;0,IF($J177=10,-$E177*$I177/12*0,IF($J177=11,-$E177*$I177/12*1,IF($J177=12,-$E177*$I177/12*2,0)))))</f>
        <v>0</v>
      </c>
      <c r="CX177" s="440">
        <f>IF(AND(CS177&lt;&gt;0,CS$5=$H177),-$I177*$E177-CS177,IF(CX$5=$H177,-$I177*$E177*(12-$J177+1)/12,0))</f>
        <v>0</v>
      </c>
      <c r="CY177" s="441">
        <f>IF($H177&lt;&gt;DC$5,0,IF(DC177&lt;0,IF($J177=1,-$E177*$I177/12*3,IF($J177=2,-$E177*$I177/12*2,IF($J177=3,-$E177*$I177/12*1,0)))))+IF(CX$5&lt;&gt;$H177,0,IF(CX177&lt;0,IF($J177=1,-$E177*$I177/12*0,IF($J177=2,-$E177*$I177/12*1,IF($J177=3,-$E177*$I177/12*2,IF($J177&gt;=4,-$E177*$I177/12*3,0))))))</f>
        <v>0</v>
      </c>
      <c r="CZ177" s="442">
        <f>IF($H177&lt;&gt;DC$5,0,IF(DC177&lt;0,IF(OR($J177=1,$J177=2,$J177=3,$J177=4),-$E177*$I177/12*3,IF($J177=5,-$E177*$I177/12*2,IF($J177=6,-$E177*$I177/12*1,0)))))+IF(CX$5&lt;&gt;$H177,0,IF(CX177&lt;0,IF($J177=4,-$E177*$I177/12*0,IF($J177=5,-$E177*$I177/12*1,IF($J177=6,-$E177*$I177/12*2,IF($J177&gt;=7,-$E177*$I177/12*3,0))))))</f>
        <v>0</v>
      </c>
      <c r="DA177" s="442">
        <f>IF($H177&lt;&gt;DC$5,0,IF(DC177&lt;0,IF(OR($J177=1,$J177=2,$J177=3,$J177=4,$J177=5,$J177=6,$J177=7),-$E177*$I177/12*3,IF($J177=8,-$E177*$I177/12*2,IF($J177=9,-$E177*$I177/12*1,0)))))+IF(CX$5&lt;&gt;$H177,0,IF(CX177&lt;0,IF($J177=7,-$E177*$I177/12*0,IF($J177=8,-$E177*$I177/12*1,IF($J177=9,-$E177*$I177/12*2,IF($J177&gt;=10,-$E177*$I177/12*3,0))))))</f>
        <v>0</v>
      </c>
      <c r="DB177" s="443">
        <f>IF($H177&lt;&gt;DC$5,0,IF(DC177&lt;0,IF(OR($J177=1,$J177=2,$J177=3,$J177=4,$J177=5,$J177=6,$J177=7,$J177=8,$J177=9,$J177=10),-$E177*$I177/12*3,IF($J177=11,-$E177*$I177/12*2,IF($J177=12,-$E177*$I177/12*1,0)))))+IF(CX$5&lt;&gt;$H177,0,IF(CX177&lt;0,IF($J177=10,-$E177*$I177/12*0,IF($J177=11,-$E177*$I177/12*1,IF($J177=12,-$E177*$I177/12*2,0)))))</f>
        <v>0</v>
      </c>
      <c r="DC177" s="440">
        <f>IF(AND(CX177&lt;&gt;0,CX$5=$H177),-$I177*$E177-CX177,IF(DC$5=$H177,-$I177*$E177*(12-$J177+1)/12,0))</f>
        <v>0</v>
      </c>
      <c r="DD177" s="441">
        <f>IF($H177&lt;&gt;DH$5,0,IF(DH177&lt;0,IF($J177=1,-$E177*$I177/12*3,IF($J177=2,-$E177*$I177/12*2,IF($J177=3,-$E177*$I177/12*1,0)))))+IF(DC$5&lt;&gt;$H177,0,IF(DC177&lt;0,IF($J177=1,-$E177*$I177/12*0,IF($J177=2,-$E177*$I177/12*1,IF($J177=3,-$E177*$I177/12*2,IF($J177&gt;=4,-$E177*$I177/12*3,0))))))</f>
        <v>0</v>
      </c>
      <c r="DE177" s="442">
        <f>IF($H177&lt;&gt;DH$5,0,IF(DH177&lt;0,IF(OR($J177=1,$J177=2,$J177=3,$J177=4),-$E177*$I177/12*3,IF($J177=5,-$E177*$I177/12*2,IF($J177=6,-$E177*$I177/12*1,0)))))+IF(DC$5&lt;&gt;$H177,0,IF(DC177&lt;0,IF($J177=4,-$E177*$I177/12*0,IF($J177=5,-$E177*$I177/12*1,IF($J177=6,-$E177*$I177/12*2,IF($J177&gt;=7,-$E177*$I177/12*3,0))))))</f>
        <v>0</v>
      </c>
      <c r="DF177" s="442">
        <f>IF($H177&lt;&gt;DH$5,0,IF(DH177&lt;0,IF(OR($J177=1,$J177=2,$J177=3,$J177=4,$J177=5,$J177=6,$J177=7),-$E177*$I177/12*3,IF($J177=8,-$E177*$I177/12*2,IF($J177=9,-$E177*$I177/12*1,0)))))+IF(DC$5&lt;&gt;$H177,0,IF(DC177&lt;0,IF($J177=7,-$E177*$I177/12*0,IF($J177=8,-$E177*$I177/12*1,IF($J177=9,-$E177*$I177/12*2,IF($J177&gt;=10,-$E177*$I177/12*3,0))))))</f>
        <v>0</v>
      </c>
      <c r="DG177" s="443">
        <f>IF($H177&lt;&gt;DH$5,0,IF(DH177&lt;0,IF(OR($J177=1,$J177=2,$J177=3,$J177=4,$J177=5,$J177=6,$J177=7,$J177=8,$J177=9,$J177=10),-$E177*$I177/12*3,IF($J177=11,-$E177*$I177/12*2,IF($J177=12,-$E177*$I177/12*1,0)))))+IF(DC$5&lt;&gt;$H177,0,IF(DC177&lt;0,IF($J177=10,-$E177*$I177/12*0,IF($J177=11,-$E177*$I177/12*1,IF($J177=12,-$E177*$I177/12*2,0)))))</f>
        <v>0</v>
      </c>
      <c r="DH177" s="440">
        <f>IF(AND(DC177&lt;&gt;0,DC$5=$H177),-$I177*$E177-DC177,IF(DH$5=$H177,-$I177*$E177*(12-$J177+1)/12,0))</f>
        <v>0</v>
      </c>
      <c r="DI177" s="441">
        <f>IF($H177&lt;&gt;DM$5,0,IF(DM177&lt;0,IF($J177=1,-$E177*$I177/12*3,IF($J177=2,-$E177*$I177/12*2,IF($J177=3,-$E177*$I177/12*1,0)))))+IF(DH$5&lt;&gt;$H177,0,IF(DH177&lt;0,IF($J177=1,-$E177*$I177/12*0,IF($J177=2,-$E177*$I177/12*1,IF($J177=3,-$E177*$I177/12*2,IF($J177&gt;=4,-$E177*$I177/12*3,0))))))</f>
        <v>0</v>
      </c>
      <c r="DJ177" s="442">
        <f>IF($H177&lt;&gt;DM$5,0,IF(DM177&lt;0,IF(OR($J177=1,$J177=2,$J177=3,$J177=4),-$E177*$I177/12*3,IF($J177=5,-$E177*$I177/12*2,IF($J177=6,-$E177*$I177/12*1,0)))))+IF(DH$5&lt;&gt;$H177,0,IF(DH177&lt;0,IF($J177=4,-$E177*$I177/12*0,IF($J177=5,-$E177*$I177/12*1,IF($J177=6,-$E177*$I177/12*2,IF($J177&gt;=7,-$E177*$I177/12*3,0))))))</f>
        <v>0</v>
      </c>
      <c r="DK177" s="442">
        <f>IF($H177&lt;&gt;DM$5,0,IF(DM177&lt;0,IF(OR($J177=1,$J177=2,$J177=3,$J177=4,$J177=5,$J177=6,$J177=7),-$E177*$I177/12*3,IF($J177=8,-$E177*$I177/12*2,IF($J177=9,-$E177*$I177/12*1,0)))))+IF(DH$5&lt;&gt;$H177,0,IF(DH177&lt;0,IF($J177=7,-$E177*$I177/12*0,IF($J177=8,-$E177*$I177/12*1,IF($J177=9,-$E177*$I177/12*2,IF($J177&gt;=10,-$E177*$I177/12*3,0))))))</f>
        <v>0</v>
      </c>
      <c r="DL177" s="443">
        <f>IF($H177&lt;&gt;DM$5,0,IF(DM177&lt;0,IF(OR($J177=1,$J177=2,$J177=3,$J177=4,$J177=5,$J177=6,$J177=7,$J177=8,$J177=9,$J177=10),-$E177*$I177/12*3,IF($J177=11,-$E177*$I177/12*2,IF($J177=12,-$E177*$I177/12*1,0)))))+IF(DH$5&lt;&gt;$H177,0,IF(DH177&lt;0,IF($J177=10,-$E177*$I177/12*0,IF($J177=11,-$E177*$I177/12*1,IF($J177=12,-$E177*$I177/12*2,0)))))</f>
        <v>0</v>
      </c>
      <c r="DM177" s="440">
        <f>IF(AND(DH177&lt;&gt;0,DH$5=$H177),-$I177*$E177-DH177,IF(DM$5=$H177,-$I177*$E177*(12-$J177+1)/12,0))</f>
        <v>0</v>
      </c>
      <c r="DN177" s="441">
        <f>IF($H177&lt;&gt;DR$5,0,IF(DR177&lt;0,IF($J177=1,-$E177*$I177/12*3,IF($J177=2,-$E177*$I177/12*2,IF($J177=3,-$E177*$I177/12*1,0)))))+IF(DM$5&lt;&gt;$H177,0,IF(DM177&lt;0,IF($J177=1,-$E177*$I177/12*0,IF($J177=2,-$E177*$I177/12*1,IF($J177=3,-$E177*$I177/12*2,IF($J177&gt;=4,-$E177*$I177/12*3,0))))))</f>
        <v>0</v>
      </c>
      <c r="DO177" s="442">
        <f>IF($H177&lt;&gt;DR$5,0,IF(DR177&lt;0,IF(OR($J177=1,$J177=2,$J177=3,$J177=4),-$E177*$I177/12*3,IF($J177=5,-$E177*$I177/12*2,IF($J177=6,-$E177*$I177/12*1,0)))))+IF(DM$5&lt;&gt;$H177,0,IF(DM177&lt;0,IF($J177=4,-$E177*$I177/12*0,IF($J177=5,-$E177*$I177/12*1,IF($J177=6,-$E177*$I177/12*2,IF($J177&gt;=7,-$E177*$I177/12*3,0))))))</f>
        <v>0</v>
      </c>
      <c r="DP177" s="442">
        <f>IF($H177&lt;&gt;DR$5,0,IF(DR177&lt;0,IF(OR($J177=1,$J177=2,$J177=3,$J177=4,$J177=5,$J177=6,$J177=7),-$E177*$I177/12*3,IF($J177=8,-$E177*$I177/12*2,IF($J177=9,-$E177*$I177/12*1,0)))))+IF(DM$5&lt;&gt;$H177,0,IF(DM177&lt;0,IF($J177=7,-$E177*$I177/12*0,IF($J177=8,-$E177*$I177/12*1,IF($J177=9,-$E177*$I177/12*2,IF($J177&gt;=10,-$E177*$I177/12*3,0))))))</f>
        <v>0</v>
      </c>
      <c r="DQ177" s="443">
        <f>IF($H177&lt;&gt;DR$5,0,IF(DR177&lt;0,IF(OR($J177=1,$J177=2,$J177=3,$J177=4,$J177=5,$J177=6,$J177=7,$J177=8,$J177=9,$J177=10),-$E177*$I177/12*3,IF($J177=11,-$E177*$I177/12*2,IF($J177=12,-$E177*$I177/12*1,0)))))+IF(DM$5&lt;&gt;$H177,0,IF(DM177&lt;0,IF($J177=10,-$E177*$I177/12*0,IF($J177=11,-$E177*$I177/12*1,IF($J177=12,-$E177*$I177/12*2,0)))))</f>
        <v>0</v>
      </c>
      <c r="DR177" s="440">
        <f>IF(AND(DM177&lt;&gt;0,DM$5=$H177),-$I177*$E177-DM177,IF(DR$5=$H177,-$I177*$E177*(12-$J177+1)/12,0))</f>
        <v>0</v>
      </c>
    </row>
    <row r="178" spans="3:122" ht="12.75" customHeight="1">
      <c r="C178" s="1946" t="s">
        <v>1006</v>
      </c>
      <c r="D178" s="1953"/>
      <c r="E178" s="1950">
        <f>IF(F178=0,G178,F178)</f>
        <v>250</v>
      </c>
      <c r="F178" s="1757">
        <v>250</v>
      </c>
      <c r="G178" s="1757">
        <v>250</v>
      </c>
      <c r="H178" s="1366">
        <v>2026</v>
      </c>
      <c r="I178" s="1367">
        <v>4.2999999999999997E-2</v>
      </c>
      <c r="J178" s="1357">
        <v>1</v>
      </c>
      <c r="K178" s="549"/>
      <c r="L178" s="441">
        <f>IF(P178=0,0,IF(P178&lt;0,IF($J178=3,P178,IF($J178=2,P178,IF($J178=1,P178,0)))))</f>
        <v>0</v>
      </c>
      <c r="M178" s="442">
        <f>IF(P178=0,0,IF(P178&lt;0,IF($J178=6,P178,IF($J178=5,P178,IF($J178=4,P178,0)))))</f>
        <v>0</v>
      </c>
      <c r="N178" s="442">
        <f>IF(P178=0,0,IF(P178&lt;0,IF($J178=9,P178,IF($J178=8,P178,IF($J178=7,P178,0)))))</f>
        <v>0</v>
      </c>
      <c r="O178" s="443">
        <f>IF(P178=0,0,IF(P178&lt;0,IF($J178=12,P178,IF($J178=11,P178,IF($J178=10,P178,0)))))</f>
        <v>0</v>
      </c>
      <c r="P178" s="440">
        <f>IF(P$5=$H178,-$E178,0)</f>
        <v>0</v>
      </c>
      <c r="Q178" s="441">
        <f>IF(U178=0,0,IF(U178&lt;0,IF($J178=3,U178,IF($J178=2,U178,IF($J178=1,U178,0)))))</f>
        <v>0</v>
      </c>
      <c r="R178" s="442">
        <f>IF(U178=0,0,IF(U178&lt;0,IF($J178=6,U178,IF($J178=5,U178,IF($J178=4,U178,0)))))</f>
        <v>0</v>
      </c>
      <c r="S178" s="442">
        <f>IF(U178=0,0,IF(U178&lt;0,IF($J178=9,U178,IF($J178=8,U178,IF($J178=7,U178,0)))))</f>
        <v>0</v>
      </c>
      <c r="T178" s="443">
        <f>IF(U178=0,0,IF(U178&lt;0,IF($J178=12,U178,IF($J178=11,U178,IF($J178=10,U178,0)))))</f>
        <v>0</v>
      </c>
      <c r="U178" s="440">
        <f>IF(U$5=$H178,-$E178,0)</f>
        <v>0</v>
      </c>
      <c r="V178" s="441">
        <f>IF(Z178=0,0,IF(Z178&lt;0,IF($J178=3,Z178,IF($J178=2,Z178,IF($J178=1,Z178,0)))))</f>
        <v>0</v>
      </c>
      <c r="W178" s="442">
        <f>IF(Z178=0,0,IF(Z178&lt;0,IF($J178=6,Z178,IF($J178=5,Z178,IF($J178=4,Z178,0)))))</f>
        <v>0</v>
      </c>
      <c r="X178" s="442">
        <f>IF(Z178=0,0,IF(Z178&lt;0,IF($J178=9,Z178,IF($J178=8,Z178,IF($J178=7,Z178,0)))))</f>
        <v>0</v>
      </c>
      <c r="Y178" s="443">
        <f>IF(Z178=0,0,IF(Z178&lt;0,IF($J178=12,Z178,IF($J178=11,Z178,IF($J178=10,Z178,0)))))</f>
        <v>0</v>
      </c>
      <c r="Z178" s="440">
        <f>IF(Z$5=$H178,-$E178,0)</f>
        <v>0</v>
      </c>
      <c r="AA178" s="441">
        <f>IF(AE178=0,0,IF(AE178&lt;0,IF($J178=3,AE178,IF($J178=2,AE178,IF($J178=1,AE178,0)))))</f>
        <v>0</v>
      </c>
      <c r="AB178" s="442">
        <f>IF(AE178=0,0,IF(AE178&lt;0,IF($J178=6,AE178,IF($J178=5,AE178,IF($J178=4,AE178,0)))))</f>
        <v>0</v>
      </c>
      <c r="AC178" s="442">
        <f>IF(AE178=0,0,IF(AE178&lt;0,IF($J178=9,AE178,IF($J178=8,AE178,IF($J178=7,AE178,0)))))</f>
        <v>0</v>
      </c>
      <c r="AD178" s="443">
        <f>IF(AE178=0,0,IF(AE178&lt;0,IF($J178=12,AE178,IF($J178=11,AE178,IF($J178=10,AE178,0)))))</f>
        <v>0</v>
      </c>
      <c r="AE178" s="440">
        <f>IF(AE$5=$H178,-$E178,0)</f>
        <v>0</v>
      </c>
      <c r="AF178" s="441">
        <f>IF(AJ178=0,0,IF(AJ178&lt;0,IF($J178=3,AJ178,IF($J178=2,AJ178,IF($J178=1,AJ178,0)))))</f>
        <v>0</v>
      </c>
      <c r="AG178" s="442">
        <f>IF(AJ178=0,0,IF(AJ178&lt;0,IF($J178=6,AJ178,IF($J178=5,AJ178,IF($J178=4,AJ178,0)))))</f>
        <v>0</v>
      </c>
      <c r="AH178" s="442">
        <f>IF(AJ178=0,0,IF(AJ178&lt;0,IF($J178=9,AJ178,IF($J178=8,AJ178,IF($J178=7,AJ178,0)))))</f>
        <v>0</v>
      </c>
      <c r="AI178" s="443">
        <f>IF(AJ178=0,0,IF(AJ178&lt;0,IF($J178=12,AJ178,IF($J178=11,AJ178,IF($J178=10,AJ178,0)))))</f>
        <v>0</v>
      </c>
      <c r="AJ178" s="440">
        <f>IF(AJ$5=$H178,-$E178,0)</f>
        <v>0</v>
      </c>
      <c r="AK178" s="441">
        <f>IF(AO178=0,0,IF(AO178&lt;0,IF($J178=3,AO178,IF($J178=2,AO178,IF($J178=1,AO178,0)))))</f>
        <v>0</v>
      </c>
      <c r="AL178" s="442">
        <f>IF(AO178=0,0,IF(AO178&lt;0,IF($J178=6,AO178,IF($J178=5,AO178,IF($J178=4,AO178,0)))))</f>
        <v>0</v>
      </c>
      <c r="AM178" s="442">
        <f>IF(AO178=0,0,IF(AO178&lt;0,IF($J178=9,AO178,IF($J178=8,AO178,IF($J178=7,AO178,0)))))</f>
        <v>0</v>
      </c>
      <c r="AN178" s="443">
        <f>IF(AO178=0,0,IF(AO178&lt;0,IF($J178=12,AO178,IF($J178=11,AO178,IF($J178=10,AO178,0)))))</f>
        <v>0</v>
      </c>
      <c r="AO178" s="440">
        <f>IF(AO$5=$H178,-$E178,0)</f>
        <v>0</v>
      </c>
      <c r="AP178" s="441">
        <f>IF(AT178=0,0,IF(AT178&lt;0,IF($J178=3,AT178,IF($J178=2,AT178,IF($J178=1,AT178,0)))))</f>
        <v>0</v>
      </c>
      <c r="AQ178" s="442">
        <f>IF(AT178=0,0,IF(AT178&lt;0,IF($J178=6,AT178,IF($J178=5,AT178,IF($J178=4,AT178,0)))))</f>
        <v>0</v>
      </c>
      <c r="AR178" s="442">
        <f>IF(AT178=0,0,IF(AT178&lt;0,IF($J178=9,AT178,IF($J178=8,AT178,IF($J178=7,AT178,0)))))</f>
        <v>0</v>
      </c>
      <c r="AS178" s="443">
        <f>IF(AT178=0,0,IF(AT178&lt;0,IF($J178=12,AT178,IF($J178=11,AT178,IF($J178=10,AT178,0)))))</f>
        <v>0</v>
      </c>
      <c r="AT178" s="440">
        <f>IF(AT$5=$H178,-$E178,0)</f>
        <v>0</v>
      </c>
      <c r="AU178" s="441">
        <f>IF(AY178=0,0,IF(AY178&lt;0,IF($J178=3,AY178,IF($J178=2,AY178,IF($J178=1,AY178,0)))))</f>
        <v>0</v>
      </c>
      <c r="AV178" s="442">
        <f>IF(AY178=0,0,IF(AY178&lt;0,IF($J178=6,AY178,IF($J178=5,AY178,IF($J178=4,AY178,0)))))</f>
        <v>0</v>
      </c>
      <c r="AW178" s="442">
        <f>IF(AY178=0,0,IF(AY178&lt;0,IF($J178=9,AY178,IF($J178=8,AY178,IF($J178=7,AY178,0)))))</f>
        <v>0</v>
      </c>
      <c r="AX178" s="443">
        <f>IF(AY178=0,0,IF(AY178&lt;0,IF($J178=12,AY178,IF($J178=11,AY178,IF($J178=10,AY178,0)))))</f>
        <v>0</v>
      </c>
      <c r="AY178" s="440">
        <f>IF(AY$5=$H178,-$E178,0)</f>
        <v>0</v>
      </c>
      <c r="AZ178" s="441">
        <f>IF(BD178=0,0,IF(BD178&lt;0,IF($J178=3,BD178,IF($J178=2,BD178,IF($J178=1,BD178,0)))))</f>
        <v>0</v>
      </c>
      <c r="BA178" s="442">
        <f>IF(BD178=0,0,IF(BD178&lt;0,IF($J178=6,BD178,IF($J178=5,BD178,IF($J178=4,BD178,0)))))</f>
        <v>0</v>
      </c>
      <c r="BB178" s="442">
        <f>IF(BD178=0,0,IF(BD178&lt;0,IF($J178=9,BD178,IF($J178=8,BD178,IF($J178=7,BD178,0)))))</f>
        <v>0</v>
      </c>
      <c r="BC178" s="443">
        <f>IF(BD178=0,0,IF(BD178&lt;0,IF($J178=12,BD178,IF($J178=11,BD178,IF($J178=10,BD178,0)))))</f>
        <v>0</v>
      </c>
      <c r="BD178" s="440">
        <f>IF(BD$5=$H178,-$E178,0)</f>
        <v>0</v>
      </c>
      <c r="BE178" s="441">
        <f>IF(BI178=0,0,IF(BI178&lt;0,IF($J178=3,BI178,IF($J178=2,BI178,IF($J178=1,BI178,0)))))</f>
        <v>0</v>
      </c>
      <c r="BF178" s="442">
        <f>IF(BI178=0,0,IF(BI178&lt;0,IF($J178=6,BI178,IF($J178=5,BI178,IF($J178=4,BI178,0)))))</f>
        <v>0</v>
      </c>
      <c r="BG178" s="442">
        <f>IF(BI178=0,0,IF(BI178&lt;0,IF($J178=9,BI178,IF($J178=8,BI178,IF($J178=7,BI178,0)))))</f>
        <v>0</v>
      </c>
      <c r="BH178" s="443">
        <f>IF(BI178=0,0,IF(BI178&lt;0,IF($J178=12,BI178,IF($J178=11,BI178,IF($J178=10,BI178,0)))))</f>
        <v>0</v>
      </c>
      <c r="BI178" s="440">
        <f>IF(BI$5=$H178,-$E178,0)</f>
        <v>0</v>
      </c>
      <c r="BJ178" s="441">
        <f>IF(BN178=0,0,IF(BN178&lt;0,IF($J178=3,BN178,IF($J178=2,BN178,IF($J178=1,BN178,0)))))</f>
        <v>0</v>
      </c>
      <c r="BK178" s="442">
        <f>IF(BN178=0,0,IF(BN178&lt;0,IF($J178=6,BN178,IF($J178=5,BN178,IF($J178=4,BN178,0)))))</f>
        <v>0</v>
      </c>
      <c r="BL178" s="442">
        <f>IF(BN178=0,0,IF(BN178&lt;0,IF($J178=9,BN178,IF($J178=8,BN178,IF($J178=7,BN178,0)))))</f>
        <v>0</v>
      </c>
      <c r="BM178" s="443">
        <f>IF(BN178=0,0,IF(BN178&lt;0,IF($J178=12,BN178,IF($J178=11,BN178,IF($J178=10,BN178,0)))))</f>
        <v>0</v>
      </c>
      <c r="BN178" s="440">
        <f>IF(BN$5=$H178,-$E178,0)</f>
        <v>0</v>
      </c>
      <c r="BO178" s="470"/>
      <c r="BP178" s="441">
        <f>IF($H178&lt;&gt;BT$5,0,IF(BT178&lt;0,IF($J178=1,-$E178*$I178/12*3,IF($J178=2,-$E178*$I178/12*2,IF($J178=3,-$E178*$I178/12*1,0)))))+IF(BO$5&lt;&gt;$H178,0,IF(BO178&lt;0,IF($J178=1,-$E178*$I178/12*0,IF($J178=2,-$E178*$I178/12*1,IF($J178=3,-$E178*$I178/12*2,IF($J178&gt;=4,-$E178*$I178/12*3,0))))))</f>
        <v>0</v>
      </c>
      <c r="BQ178" s="442">
        <f>IF($H178&lt;&gt;BT$5,0,IF(BT178&lt;0,IF(OR($J178=1,$J178=2,$J178=3,$J178=4),-$E178*$I178/12*3,IF($J178=5,-$E178*$I178/12*2,IF($J178=6,-$E178*$I178/12*1,0)))))+IF(BO$5&lt;&gt;$H178,0,IF(BO178&lt;0,IF($J178=4,-$E178*$I178/12*0,IF($J178=5,-$E178*$I178/12*1,IF($J178=6,-$E178*$I178/12*2,IF($J178&gt;=7,-$E178*$I178/12*3,0))))))</f>
        <v>0</v>
      </c>
      <c r="BR178" s="442">
        <f>IF($H178&lt;&gt;BT$5,0,IF(BT178&lt;0,IF(OR($J178=1,$J178=2,$J178=3,$J178=4,$J178=5,$J178=6,$J178=7),-$E178*$I178/12*3,IF($J178=8,-$E178*$I178/12*2,IF($J178=9,-$E178*$I178/12*1,0)))))+IF(BO$5&lt;&gt;$H178,0,IF(BO178&lt;0,IF($J178=7,-$E178*$I178/12*0,IF($J178=8,-$E178*$I178/12*1,IF($J178=9,-$E178*$I178/12*2,IF($J178&gt;=10,-$E178*$I178/12*3,0))))))</f>
        <v>0</v>
      </c>
      <c r="BS178" s="443">
        <f>IF($H178&lt;&gt;BT$5,0,IF(BT178&lt;0,IF(OR($J178=1,$J178=2,$J178=3,$J178=4,$J178=5,$J178=6,$J178=7,$J178=8,$J178=9,$J178=10),-$E178*$I178/12*3,IF($J178=11,-$E178*$I178/12*2,IF($J178=12,-$E178*$I178/12*1,0)))))+IF(BO$5&lt;&gt;$H178,0,IF(BO178&lt;0,IF($J178=10,-$E178*$I178/12*0,IF($J178=11,-$E178*$I178/12*1,IF($J178=12,-$E178*$I178/12*2,0)))))</f>
        <v>0</v>
      </c>
      <c r="BT178" s="440">
        <f>IF(AND(BO178&lt;&gt;0,BO$5=$H178),-$I178*$E178-BO178,IF(BT$5=$H178,-$I178*$E178*(12-$J178+1)/12,0))</f>
        <v>0</v>
      </c>
      <c r="BU178" s="441">
        <f>IF($H178&lt;&gt;BY$5,0,IF(BY178&lt;0,IF($J178=1,-$E178*$I178/12*3,IF($J178=2,-$E178*$I178/12*2,IF($J178=3,-$E178*$I178/12*1,0)))))+IF(BT$5&lt;&gt;$H178,0,IF(BT178&lt;0,IF($J178=1,-$E178*$I178/12*0,IF($J178=2,-$E178*$I178/12*1,IF($J178=3,-$E178*$I178/12*2,IF($J178&gt;=4,-$E178*$I178/12*3,0))))))</f>
        <v>0</v>
      </c>
      <c r="BV178" s="442">
        <f>IF($H178&lt;&gt;BY$5,0,IF(BY178&lt;0,IF(OR($J178=1,$J178=2,$J178=3,$J178=4),-$E178*$I178/12*3,IF($J178=5,-$E178*$I178/12*2,IF($J178=6,-$E178*$I178/12*1,0)))))+IF(BT$5&lt;&gt;$H178,0,IF(BT178&lt;0,IF($J178=4,-$E178*$I178/12*0,IF($J178=5,-$E178*$I178/12*1,IF($J178=6,-$E178*$I178/12*2,IF($J178&gt;=7,-$E178*$I178/12*3,0))))))</f>
        <v>0</v>
      </c>
      <c r="BW178" s="442">
        <f>IF($H178&lt;&gt;BY$5,0,IF(BY178&lt;0,IF(OR($J178=1,$J178=2,$J178=3,$J178=4,$J178=5,$J178=6,$J178=7),-$E178*$I178/12*3,IF($J178=8,-$E178*$I178/12*2,IF($J178=9,-$E178*$I178/12*1,0)))))+IF(BT$5&lt;&gt;$H178,0,IF(BT178&lt;0,IF($J178=7,-$E178*$I178/12*0,IF($J178=8,-$E178*$I178/12*1,IF($J178=9,-$E178*$I178/12*2,IF($J178&gt;=10,-$E178*$I178/12*3,0))))))</f>
        <v>0</v>
      </c>
      <c r="BX178" s="443">
        <f>IF($H178&lt;&gt;BY$5,0,IF(BY178&lt;0,IF(OR($J178=1,$J178=2,$J178=3,$J178=4,$J178=5,$J178=6,$J178=7,$J178=8,$J178=9,$J178=10),-$E178*$I178/12*3,IF($J178=11,-$E178*$I178/12*2,IF($J178=12,-$E178*$I178/12*1,0)))))+IF(BT$5&lt;&gt;$H178,0,IF(BT178&lt;0,IF($J178=10,-$E178*$I178/12*0,IF($J178=11,-$E178*$I178/12*1,IF($J178=12,-$E178*$I178/12*2,0)))))</f>
        <v>0</v>
      </c>
      <c r="BY178" s="440">
        <f>IF(AND(BT178&lt;&gt;0,BT$5=$H178),-$I178*$E178-BT178,IF(BY$5=$H178,-$I178*$E178*(12-$J178+1)/12,0))</f>
        <v>0</v>
      </c>
      <c r="BZ178" s="441">
        <f>IF($H178&lt;&gt;CD$5,0,IF(CD178&lt;0,IF($J178=1,-$E178*$I178/12*3,IF($J178=2,-$E178*$I178/12*2,IF($J178=3,-$E178*$I178/12*1,0)))))+IF(BY$5&lt;&gt;$H178,0,IF(BY178&lt;0,IF($J178=1,-$E178*$I178/12*0,IF($J178=2,-$E178*$I178/12*1,IF($J178=3,-$E178*$I178/12*2,IF($J178&gt;=4,-$E178*$I178/12*3,0))))))</f>
        <v>0</v>
      </c>
      <c r="CA178" s="442">
        <f>IF($H178&lt;&gt;CD$5,0,IF(CD178&lt;0,IF(OR($J178=1,$J178=2,$J178=3,$J178=4),-$E178*$I178/12*3,IF($J178=5,-$E178*$I178/12*2,IF($J178=6,-$E178*$I178/12*1,0)))))+IF(BY$5&lt;&gt;$H178,0,IF(BY178&lt;0,IF($J178=4,-$E178*$I178/12*0,IF($J178=5,-$E178*$I178/12*1,IF($J178=6,-$E178*$I178/12*2,IF($J178&gt;=7,-$E178*$I178/12*3,0))))))</f>
        <v>0</v>
      </c>
      <c r="CB178" s="442">
        <f>IF($H178&lt;&gt;CD$5,0,IF(CD178&lt;0,IF(OR($J178=1,$J178=2,$J178=3,$J178=4,$J178=5,$J178=6,$J178=7),-$E178*$I178/12*3,IF($J178=8,-$E178*$I178/12*2,IF($J178=9,-$E178*$I178/12*1,0)))))+IF(BY$5&lt;&gt;$H178,0,IF(BY178&lt;0,IF($J178=7,-$E178*$I178/12*0,IF($J178=8,-$E178*$I178/12*1,IF($J178=9,-$E178*$I178/12*2,IF($J178&gt;=10,-$E178*$I178/12*3,0))))))</f>
        <v>0</v>
      </c>
      <c r="CC178" s="443">
        <f>IF($H178&lt;&gt;CD$5,0,IF(CD178&lt;0,IF(OR($J178=1,$J178=2,$J178=3,$J178=4,$J178=5,$J178=6,$J178=7,$J178=8,$J178=9,$J178=10),-$E178*$I178/12*3,IF($J178=11,-$E178*$I178/12*2,IF($J178=12,-$E178*$I178/12*1,0)))))+IF(BY$5&lt;&gt;$H178,0,IF(BY178&lt;0,IF($J178=10,-$E178*$I178/12*0,IF($J178=11,-$E178*$I178/12*1,IF($J178=12,-$E178*$I178/12*2,0)))))</f>
        <v>0</v>
      </c>
      <c r="CD178" s="440">
        <f>IF(AND(BY178&lt;&gt;0,BY$5=$H178),-$I178*$E178-BY178,IF(CD$5=$H178,-$I178*$E178*(12-$J178+1)/12,0))</f>
        <v>0</v>
      </c>
      <c r="CE178" s="441">
        <f>IF($H178&lt;&gt;CI$5,0,IF(CI178&lt;0,IF($J178=1,-$E178*$I178/12*3,IF($J178=2,-$E178*$I178/12*2,IF($J178=3,-$E178*$I178/12*1,0)))))+IF(CD$5&lt;&gt;$H178,0,IF(CD178&lt;0,IF($J178=1,-$E178*$I178/12*0,IF($J178=2,-$E178*$I178/12*1,IF($J178=3,-$E178*$I178/12*2,IF($J178&gt;=4,-$E178*$I178/12*3,0))))))</f>
        <v>0</v>
      </c>
      <c r="CF178" s="442">
        <f>IF($H178&lt;&gt;CI$5,0,IF(CI178&lt;0,IF(OR($J178=1,$J178=2,$J178=3,$J178=4),-$E178*$I178/12*3,IF($J178=5,-$E178*$I178/12*2,IF($J178=6,-$E178*$I178/12*1,0)))))+IF(CD$5&lt;&gt;$H178,0,IF(CD178&lt;0,IF($J178=4,-$E178*$I178/12*0,IF($J178=5,-$E178*$I178/12*1,IF($J178=6,-$E178*$I178/12*2,IF($J178&gt;=7,-$E178*$I178/12*3,0))))))</f>
        <v>0</v>
      </c>
      <c r="CG178" s="442">
        <f>IF($H178&lt;&gt;CI$5,0,IF(CI178&lt;0,IF(OR($J178=1,$J178=2,$J178=3,$J178=4,$J178=5,$J178=6,$J178=7),-$E178*$I178/12*3,IF($J178=8,-$E178*$I178/12*2,IF($J178=9,-$E178*$I178/12*1,0)))))+IF(CD$5&lt;&gt;$H178,0,IF(CD178&lt;0,IF($J178=7,-$E178*$I178/12*0,IF($J178=8,-$E178*$I178/12*1,IF($J178=9,-$E178*$I178/12*2,IF($J178&gt;=10,-$E178*$I178/12*3,0))))))</f>
        <v>0</v>
      </c>
      <c r="CH178" s="443">
        <f>IF($H178&lt;&gt;CI$5,0,IF(CI178&lt;0,IF(OR($J178=1,$J178=2,$J178=3,$J178=4,$J178=5,$J178=6,$J178=7,$J178=8,$J178=9,$J178=10),-$E178*$I178/12*3,IF($J178=11,-$E178*$I178/12*2,IF($J178=12,-$E178*$I178/12*1,0)))))+IF(CD$5&lt;&gt;$H178,0,IF(CD178&lt;0,IF($J178=10,-$E178*$I178/12*0,IF($J178=11,-$E178*$I178/12*1,IF($J178=12,-$E178*$I178/12*2,0)))))</f>
        <v>0</v>
      </c>
      <c r="CI178" s="440">
        <f>IF(AND(CD178&lt;&gt;0,CD$5=$H178),-$I178*$E178-CD178,IF(CI$5=$H178,-$I178*$E178*(12-$J178+1)/12,0))</f>
        <v>0</v>
      </c>
      <c r="CJ178" s="441">
        <f>IF($H178&lt;&gt;CN$5,0,IF(CN178&lt;0,IF($J178=1,-$E178*$I178/12*3,IF($J178=2,-$E178*$I178/12*2,IF($J178=3,-$E178*$I178/12*1,0)))))+IF(CI$5&lt;&gt;$H178,0,IF(CI178&lt;0,IF($J178=1,-$E178*$I178/12*0,IF($J178=2,-$E178*$I178/12*1,IF($J178=3,-$E178*$I178/12*2,IF($J178&gt;=4,-$E178*$I178/12*3,0))))))</f>
        <v>0</v>
      </c>
      <c r="CK178" s="442">
        <f>IF($H178&lt;&gt;CN$5,0,IF(CN178&lt;0,IF(OR($J178=1,$J178=2,$J178=3,$J178=4),-$E178*$I178/12*3,IF($J178=5,-$E178*$I178/12*2,IF($J178=6,-$E178*$I178/12*1,0)))))+IF(CI$5&lt;&gt;$H178,0,IF(CI178&lt;0,IF($J178=4,-$E178*$I178/12*0,IF($J178=5,-$E178*$I178/12*1,IF($J178=6,-$E178*$I178/12*2,IF($J178&gt;=7,-$E178*$I178/12*3,0))))))</f>
        <v>0</v>
      </c>
      <c r="CL178" s="442">
        <f>IF($H178&lt;&gt;CN$5,0,IF(CN178&lt;0,IF(OR($J178=1,$J178=2,$J178=3,$J178=4,$J178=5,$J178=6,$J178=7),-$E178*$I178/12*3,IF($J178=8,-$E178*$I178/12*2,IF($J178=9,-$E178*$I178/12*1,0)))))+IF(CI$5&lt;&gt;$H178,0,IF(CI178&lt;0,IF($J178=7,-$E178*$I178/12*0,IF($J178=8,-$E178*$I178/12*1,IF($J178=9,-$E178*$I178/12*2,IF($J178&gt;=10,-$E178*$I178/12*3,0))))))</f>
        <v>0</v>
      </c>
      <c r="CM178" s="443">
        <f>IF($H178&lt;&gt;CN$5,0,IF(CN178&lt;0,IF(OR($J178=1,$J178=2,$J178=3,$J178=4,$J178=5,$J178=6,$J178=7,$J178=8,$J178=9,$J178=10),-$E178*$I178/12*3,IF($J178=11,-$E178*$I178/12*2,IF($J178=12,-$E178*$I178/12*1,0)))))+IF(CI$5&lt;&gt;$H178,0,IF(CI178&lt;0,IF($J178=10,-$E178*$I178/12*0,IF($J178=11,-$E178*$I178/12*1,IF($J178=12,-$E178*$I178/12*2,0)))))</f>
        <v>0</v>
      </c>
      <c r="CN178" s="440">
        <f>IF(AND(CI178&lt;&gt;0,CI$5=$H178),-$I178*$E178-CI178,IF(CN$5=$H178,-$I178*$E178*(12-$J178+1)/12,0))</f>
        <v>0</v>
      </c>
      <c r="CO178" s="441">
        <f>IF($H178&lt;&gt;CS$5,0,IF(CS178&lt;0,IF($J178=1,-$E178*$I178/12*3,IF($J178=2,-$E178*$I178/12*2,IF($J178=3,-$E178*$I178/12*1,0)))))+IF(CN$5&lt;&gt;$H178,0,IF(CN178&lt;0,IF($J178=1,-$E178*$I178/12*0,IF($J178=2,-$E178*$I178/12*1,IF($J178=3,-$E178*$I178/12*2,IF($J178&gt;=4,-$E178*$I178/12*3,0))))))</f>
        <v>0</v>
      </c>
      <c r="CP178" s="442">
        <f>IF($H178&lt;&gt;CS$5,0,IF(CS178&lt;0,IF(OR($J178=1,$J178=2,$J178=3,$J178=4),-$E178*$I178/12*3,IF($J178=5,-$E178*$I178/12*2,IF($J178=6,-$E178*$I178/12*1,0)))))+IF(CN$5&lt;&gt;$H178,0,IF(CN178&lt;0,IF($J178=4,-$E178*$I178/12*0,IF($J178=5,-$E178*$I178/12*1,IF($J178=6,-$E178*$I178/12*2,IF($J178&gt;=7,-$E178*$I178/12*3,0))))))</f>
        <v>0</v>
      </c>
      <c r="CQ178" s="442">
        <f>IF($H178&lt;&gt;CS$5,0,IF(CS178&lt;0,IF(OR($J178=1,$J178=2,$J178=3,$J178=4,$J178=5,$J178=6,$J178=7),-$E178*$I178/12*3,IF($J178=8,-$E178*$I178/12*2,IF($J178=9,-$E178*$I178/12*1,0)))))+IF(CN$5&lt;&gt;$H178,0,IF(CN178&lt;0,IF($J178=7,-$E178*$I178/12*0,IF($J178=8,-$E178*$I178/12*1,IF($J178=9,-$E178*$I178/12*2,IF($J178&gt;=10,-$E178*$I178/12*3,0))))))</f>
        <v>0</v>
      </c>
      <c r="CR178" s="443">
        <f>IF($H178&lt;&gt;CS$5,0,IF(CS178&lt;0,IF(OR($J178=1,$J178=2,$J178=3,$J178=4,$J178=5,$J178=6,$J178=7,$J178=8,$J178=9,$J178=10),-$E178*$I178/12*3,IF($J178=11,-$E178*$I178/12*2,IF($J178=12,-$E178*$I178/12*1,0)))))+IF(CN$5&lt;&gt;$H178,0,IF(CN178&lt;0,IF($J178=10,-$E178*$I178/12*0,IF($J178=11,-$E178*$I178/12*1,IF($J178=12,-$E178*$I178/12*2,0)))))</f>
        <v>0</v>
      </c>
      <c r="CS178" s="440">
        <f>IF(AND(CN178&lt;&gt;0,CN$5=$H178),-$I178*$E178-CN178,IF(CS$5=$H178,-$I178*$E178*(12-$J178+1)/12,0))</f>
        <v>0</v>
      </c>
      <c r="CT178" s="441">
        <f>IF($H178&lt;&gt;CX$5,0,IF(CX178&lt;0,IF($J178=1,-$E178*$I178/12*3,IF($J178=2,-$E178*$I178/12*2,IF($J178=3,-$E178*$I178/12*1,0)))))+IF(CS$5&lt;&gt;$H178,0,IF(CS178&lt;0,IF($J178=1,-$E178*$I178/12*0,IF($J178=2,-$E178*$I178/12*1,IF($J178=3,-$E178*$I178/12*2,IF($J178&gt;=4,-$E178*$I178/12*3,0))))))</f>
        <v>0</v>
      </c>
      <c r="CU178" s="442">
        <f>IF($H178&lt;&gt;CX$5,0,IF(CX178&lt;0,IF(OR($J178=1,$J178=2,$J178=3,$J178=4),-$E178*$I178/12*3,IF($J178=5,-$E178*$I178/12*2,IF($J178=6,-$E178*$I178/12*1,0)))))+IF(CS$5&lt;&gt;$H178,0,IF(CS178&lt;0,IF($J178=4,-$E178*$I178/12*0,IF($J178=5,-$E178*$I178/12*1,IF($J178=6,-$E178*$I178/12*2,IF($J178&gt;=7,-$E178*$I178/12*3,0))))))</f>
        <v>0</v>
      </c>
      <c r="CV178" s="442">
        <f>IF($H178&lt;&gt;CX$5,0,IF(CX178&lt;0,IF(OR($J178=1,$J178=2,$J178=3,$J178=4,$J178=5,$J178=6,$J178=7),-$E178*$I178/12*3,IF($J178=8,-$E178*$I178/12*2,IF($J178=9,-$E178*$I178/12*1,0)))))+IF(CS$5&lt;&gt;$H178,0,IF(CS178&lt;0,IF($J178=7,-$E178*$I178/12*0,IF($J178=8,-$E178*$I178/12*1,IF($J178=9,-$E178*$I178/12*2,IF($J178&gt;=10,-$E178*$I178/12*3,0))))))</f>
        <v>0</v>
      </c>
      <c r="CW178" s="443">
        <f>IF($H178&lt;&gt;CX$5,0,IF(CX178&lt;0,IF(OR($J178=1,$J178=2,$J178=3,$J178=4,$J178=5,$J178=6,$J178=7,$J178=8,$J178=9,$J178=10),-$E178*$I178/12*3,IF($J178=11,-$E178*$I178/12*2,IF($J178=12,-$E178*$I178/12*1,0)))))+IF(CS$5&lt;&gt;$H178,0,IF(CS178&lt;0,IF($J178=10,-$E178*$I178/12*0,IF($J178=11,-$E178*$I178/12*1,IF($J178=12,-$E178*$I178/12*2,0)))))</f>
        <v>0</v>
      </c>
      <c r="CX178" s="440">
        <f>IF(AND(CS178&lt;&gt;0,CS$5=$H178),-$I178*$E178-CS178,IF(CX$5=$H178,-$I178*$E178*(12-$J178+1)/12,0))</f>
        <v>0</v>
      </c>
      <c r="CY178" s="441">
        <f>IF($H178&lt;&gt;DC$5,0,IF(DC178&lt;0,IF($J178=1,-$E178*$I178/12*3,IF($J178=2,-$E178*$I178/12*2,IF($J178=3,-$E178*$I178/12*1,0)))))+IF(CX$5&lt;&gt;$H178,0,IF(CX178&lt;0,IF($J178=1,-$E178*$I178/12*0,IF($J178=2,-$E178*$I178/12*1,IF($J178=3,-$E178*$I178/12*2,IF($J178&gt;=4,-$E178*$I178/12*3,0))))))</f>
        <v>0</v>
      </c>
      <c r="CZ178" s="442">
        <f>IF($H178&lt;&gt;DC$5,0,IF(DC178&lt;0,IF(OR($J178=1,$J178=2,$J178=3,$J178=4),-$E178*$I178/12*3,IF($J178=5,-$E178*$I178/12*2,IF($J178=6,-$E178*$I178/12*1,0)))))+IF(CX$5&lt;&gt;$H178,0,IF(CX178&lt;0,IF($J178=4,-$E178*$I178/12*0,IF($J178=5,-$E178*$I178/12*1,IF($J178=6,-$E178*$I178/12*2,IF($J178&gt;=7,-$E178*$I178/12*3,0))))))</f>
        <v>0</v>
      </c>
      <c r="DA178" s="442">
        <f>IF($H178&lt;&gt;DC$5,0,IF(DC178&lt;0,IF(OR($J178=1,$J178=2,$J178=3,$J178=4,$J178=5,$J178=6,$J178=7),-$E178*$I178/12*3,IF($J178=8,-$E178*$I178/12*2,IF($J178=9,-$E178*$I178/12*1,0)))))+IF(CX$5&lt;&gt;$H178,0,IF(CX178&lt;0,IF($J178=7,-$E178*$I178/12*0,IF($J178=8,-$E178*$I178/12*1,IF($J178=9,-$E178*$I178/12*2,IF($J178&gt;=10,-$E178*$I178/12*3,0))))))</f>
        <v>0</v>
      </c>
      <c r="DB178" s="443">
        <f>IF($H178&lt;&gt;DC$5,0,IF(DC178&lt;0,IF(OR($J178=1,$J178=2,$J178=3,$J178=4,$J178=5,$J178=6,$J178=7,$J178=8,$J178=9,$J178=10),-$E178*$I178/12*3,IF($J178=11,-$E178*$I178/12*2,IF($J178=12,-$E178*$I178/12*1,0)))))+IF(CX$5&lt;&gt;$H178,0,IF(CX178&lt;0,IF($J178=10,-$E178*$I178/12*0,IF($J178=11,-$E178*$I178/12*1,IF($J178=12,-$E178*$I178/12*2,0)))))</f>
        <v>0</v>
      </c>
      <c r="DC178" s="440">
        <f>IF(AND(CX178&lt;&gt;0,CX$5=$H178),-$I178*$E178-CX178,IF(DC$5=$H178,-$I178*$E178*(12-$J178+1)/12,0))</f>
        <v>0</v>
      </c>
      <c r="DD178" s="441">
        <f>IF($H178&lt;&gt;DH$5,0,IF(DH178&lt;0,IF($J178=1,-$E178*$I178/12*3,IF($J178=2,-$E178*$I178/12*2,IF($J178=3,-$E178*$I178/12*1,0)))))+IF(DC$5&lt;&gt;$H178,0,IF(DC178&lt;0,IF($J178=1,-$E178*$I178/12*0,IF($J178=2,-$E178*$I178/12*1,IF($J178=3,-$E178*$I178/12*2,IF($J178&gt;=4,-$E178*$I178/12*3,0))))))</f>
        <v>0</v>
      </c>
      <c r="DE178" s="442">
        <f>IF($H178&lt;&gt;DH$5,0,IF(DH178&lt;0,IF(OR($J178=1,$J178=2,$J178=3,$J178=4),-$E178*$I178/12*3,IF($J178=5,-$E178*$I178/12*2,IF($J178=6,-$E178*$I178/12*1,0)))))+IF(DC$5&lt;&gt;$H178,0,IF(DC178&lt;0,IF($J178=4,-$E178*$I178/12*0,IF($J178=5,-$E178*$I178/12*1,IF($J178=6,-$E178*$I178/12*2,IF($J178&gt;=7,-$E178*$I178/12*3,0))))))</f>
        <v>0</v>
      </c>
      <c r="DF178" s="442">
        <f>IF($H178&lt;&gt;DH$5,0,IF(DH178&lt;0,IF(OR($J178=1,$J178=2,$J178=3,$J178=4,$J178=5,$J178=6,$J178=7),-$E178*$I178/12*3,IF($J178=8,-$E178*$I178/12*2,IF($J178=9,-$E178*$I178/12*1,0)))))+IF(DC$5&lt;&gt;$H178,0,IF(DC178&lt;0,IF($J178=7,-$E178*$I178/12*0,IF($J178=8,-$E178*$I178/12*1,IF($J178=9,-$E178*$I178/12*2,IF($J178&gt;=10,-$E178*$I178/12*3,0))))))</f>
        <v>0</v>
      </c>
      <c r="DG178" s="443">
        <f>IF($H178&lt;&gt;DH$5,0,IF(DH178&lt;0,IF(OR($J178=1,$J178=2,$J178=3,$J178=4,$J178=5,$J178=6,$J178=7,$J178=8,$J178=9,$J178=10),-$E178*$I178/12*3,IF($J178=11,-$E178*$I178/12*2,IF($J178=12,-$E178*$I178/12*1,0)))))+IF(DC$5&lt;&gt;$H178,0,IF(DC178&lt;0,IF($J178=10,-$E178*$I178/12*0,IF($J178=11,-$E178*$I178/12*1,IF($J178=12,-$E178*$I178/12*2,0)))))</f>
        <v>0</v>
      </c>
      <c r="DH178" s="440">
        <f>IF(AND(DC178&lt;&gt;0,DC$5=$H178),-$I178*$E178-DC178,IF(DH$5=$H178,-$I178*$E178*(12-$J178+1)/12,0))</f>
        <v>0</v>
      </c>
      <c r="DI178" s="441">
        <f>IF($H178&lt;&gt;DM$5,0,IF(DM178&lt;0,IF($J178=1,-$E178*$I178/12*3,IF($J178=2,-$E178*$I178/12*2,IF($J178=3,-$E178*$I178/12*1,0)))))+IF(DH$5&lt;&gt;$H178,0,IF(DH178&lt;0,IF($J178=1,-$E178*$I178/12*0,IF($J178=2,-$E178*$I178/12*1,IF($J178=3,-$E178*$I178/12*2,IF($J178&gt;=4,-$E178*$I178/12*3,0))))))</f>
        <v>0</v>
      </c>
      <c r="DJ178" s="442">
        <f>IF($H178&lt;&gt;DM$5,0,IF(DM178&lt;0,IF(OR($J178=1,$J178=2,$J178=3,$J178=4),-$E178*$I178/12*3,IF($J178=5,-$E178*$I178/12*2,IF($J178=6,-$E178*$I178/12*1,0)))))+IF(DH$5&lt;&gt;$H178,0,IF(DH178&lt;0,IF($J178=4,-$E178*$I178/12*0,IF($J178=5,-$E178*$I178/12*1,IF($J178=6,-$E178*$I178/12*2,IF($J178&gt;=7,-$E178*$I178/12*3,0))))))</f>
        <v>0</v>
      </c>
      <c r="DK178" s="442">
        <f>IF($H178&lt;&gt;DM$5,0,IF(DM178&lt;0,IF(OR($J178=1,$J178=2,$J178=3,$J178=4,$J178=5,$J178=6,$J178=7),-$E178*$I178/12*3,IF($J178=8,-$E178*$I178/12*2,IF($J178=9,-$E178*$I178/12*1,0)))))+IF(DH$5&lt;&gt;$H178,0,IF(DH178&lt;0,IF($J178=7,-$E178*$I178/12*0,IF($J178=8,-$E178*$I178/12*1,IF($J178=9,-$E178*$I178/12*2,IF($J178&gt;=10,-$E178*$I178/12*3,0))))))</f>
        <v>0</v>
      </c>
      <c r="DL178" s="443">
        <f>IF($H178&lt;&gt;DM$5,0,IF(DM178&lt;0,IF(OR($J178=1,$J178=2,$J178=3,$J178=4,$J178=5,$J178=6,$J178=7,$J178=8,$J178=9,$J178=10),-$E178*$I178/12*3,IF($J178=11,-$E178*$I178/12*2,IF($J178=12,-$E178*$I178/12*1,0)))))+IF(DH$5&lt;&gt;$H178,0,IF(DH178&lt;0,IF($J178=10,-$E178*$I178/12*0,IF($J178=11,-$E178*$I178/12*1,IF($J178=12,-$E178*$I178/12*2,0)))))</f>
        <v>0</v>
      </c>
      <c r="DM178" s="440">
        <f>IF(AND(DH178&lt;&gt;0,DH$5=$H178),-$I178*$E178-DH178,IF(DM$5=$H178,-$I178*$E178*(12-$J178+1)/12,0))</f>
        <v>0</v>
      </c>
      <c r="DN178" s="441">
        <f>IF($H178&lt;&gt;DR$5,0,IF(DR178&lt;0,IF($J178=1,-$E178*$I178/12*3,IF($J178=2,-$E178*$I178/12*2,IF($J178=3,-$E178*$I178/12*1,0)))))+IF(DM$5&lt;&gt;$H178,0,IF(DM178&lt;0,IF($J178=1,-$E178*$I178/12*0,IF($J178=2,-$E178*$I178/12*1,IF($J178=3,-$E178*$I178/12*2,IF($J178&gt;=4,-$E178*$I178/12*3,0))))))</f>
        <v>0</v>
      </c>
      <c r="DO178" s="442">
        <f>IF($H178&lt;&gt;DR$5,0,IF(DR178&lt;0,IF(OR($J178=1,$J178=2,$J178=3,$J178=4),-$E178*$I178/12*3,IF($J178=5,-$E178*$I178/12*2,IF($J178=6,-$E178*$I178/12*1,0)))))+IF(DM$5&lt;&gt;$H178,0,IF(DM178&lt;0,IF($J178=4,-$E178*$I178/12*0,IF($J178=5,-$E178*$I178/12*1,IF($J178=6,-$E178*$I178/12*2,IF($J178&gt;=7,-$E178*$I178/12*3,0))))))</f>
        <v>0</v>
      </c>
      <c r="DP178" s="442">
        <f>IF($H178&lt;&gt;DR$5,0,IF(DR178&lt;0,IF(OR($J178=1,$J178=2,$J178=3,$J178=4,$J178=5,$J178=6,$J178=7),-$E178*$I178/12*3,IF($J178=8,-$E178*$I178/12*2,IF($J178=9,-$E178*$I178/12*1,0)))))+IF(DM$5&lt;&gt;$H178,0,IF(DM178&lt;0,IF($J178=7,-$E178*$I178/12*0,IF($J178=8,-$E178*$I178/12*1,IF($J178=9,-$E178*$I178/12*2,IF($J178&gt;=10,-$E178*$I178/12*3,0))))))</f>
        <v>0</v>
      </c>
      <c r="DQ178" s="443">
        <f>IF($H178&lt;&gt;DR$5,0,IF(DR178&lt;0,IF(OR($J178=1,$J178=2,$J178=3,$J178=4,$J178=5,$J178=6,$J178=7,$J178=8,$J178=9,$J178=10),-$E178*$I178/12*3,IF($J178=11,-$E178*$I178/12*2,IF($J178=12,-$E178*$I178/12*1,0)))))+IF(DM$5&lt;&gt;$H178,0,IF(DM178&lt;0,IF($J178=10,-$E178*$I178/12*0,IF($J178=11,-$E178*$I178/12*1,IF($J178=12,-$E178*$I178/12*2,0)))))</f>
        <v>0</v>
      </c>
      <c r="DR178" s="440">
        <f>IF(AND(DM178&lt;&gt;0,DM$5=$H178),-$I178*$E178-DM178,IF(DR$5=$H178,-$I178*$E178*(12-$J178+1)/12,0))</f>
        <v>0</v>
      </c>
    </row>
    <row r="179" spans="3:122" ht="12.75" customHeight="1">
      <c r="C179" s="1123" t="s">
        <v>724</v>
      </c>
      <c r="D179" s="395"/>
      <c r="E179" s="1950">
        <f t="shared" si="2184"/>
        <v>200</v>
      </c>
      <c r="F179" s="1945">
        <v>200</v>
      </c>
      <c r="G179" s="1945">
        <v>200</v>
      </c>
      <c r="H179" s="1366">
        <v>2036</v>
      </c>
      <c r="I179" s="1367">
        <v>6.4000000000000001E-2</v>
      </c>
      <c r="J179" s="1357">
        <v>5</v>
      </c>
      <c r="K179" s="549"/>
      <c r="L179" s="441">
        <f t="shared" si="2185"/>
        <v>0</v>
      </c>
      <c r="M179" s="442">
        <f t="shared" si="2186"/>
        <v>0</v>
      </c>
      <c r="N179" s="442">
        <f t="shared" si="2187"/>
        <v>0</v>
      </c>
      <c r="O179" s="443">
        <f t="shared" si="2188"/>
        <v>0</v>
      </c>
      <c r="P179" s="440">
        <f t="shared" si="2189"/>
        <v>0</v>
      </c>
      <c r="Q179" s="441">
        <f t="shared" si="2190"/>
        <v>0</v>
      </c>
      <c r="R179" s="442">
        <f t="shared" si="2191"/>
        <v>0</v>
      </c>
      <c r="S179" s="442">
        <f t="shared" si="2192"/>
        <v>0</v>
      </c>
      <c r="T179" s="443">
        <f t="shared" si="2193"/>
        <v>0</v>
      </c>
      <c r="U179" s="440">
        <f t="shared" si="2194"/>
        <v>0</v>
      </c>
      <c r="V179" s="441">
        <f t="shared" si="2195"/>
        <v>0</v>
      </c>
      <c r="W179" s="442">
        <f t="shared" si="2196"/>
        <v>0</v>
      </c>
      <c r="X179" s="442">
        <f t="shared" si="2197"/>
        <v>0</v>
      </c>
      <c r="Y179" s="443">
        <f t="shared" si="2198"/>
        <v>0</v>
      </c>
      <c r="Z179" s="440">
        <f t="shared" si="2199"/>
        <v>0</v>
      </c>
      <c r="AA179" s="441">
        <f t="shared" si="2200"/>
        <v>0</v>
      </c>
      <c r="AB179" s="442">
        <f t="shared" si="2201"/>
        <v>0</v>
      </c>
      <c r="AC179" s="442">
        <f t="shared" si="2202"/>
        <v>0</v>
      </c>
      <c r="AD179" s="443">
        <f t="shared" si="2203"/>
        <v>0</v>
      </c>
      <c r="AE179" s="440">
        <f t="shared" si="2204"/>
        <v>0</v>
      </c>
      <c r="AF179" s="441">
        <f t="shared" si="2205"/>
        <v>0</v>
      </c>
      <c r="AG179" s="442">
        <f t="shared" si="2206"/>
        <v>0</v>
      </c>
      <c r="AH179" s="442">
        <f t="shared" si="2207"/>
        <v>0</v>
      </c>
      <c r="AI179" s="443">
        <f t="shared" si="2208"/>
        <v>0</v>
      </c>
      <c r="AJ179" s="440">
        <f t="shared" si="2209"/>
        <v>0</v>
      </c>
      <c r="AK179" s="441">
        <f t="shared" si="2210"/>
        <v>0</v>
      </c>
      <c r="AL179" s="442">
        <f t="shared" si="2211"/>
        <v>0</v>
      </c>
      <c r="AM179" s="442">
        <f t="shared" si="2212"/>
        <v>0</v>
      </c>
      <c r="AN179" s="443">
        <f t="shared" si="2213"/>
        <v>0</v>
      </c>
      <c r="AO179" s="440">
        <f t="shared" si="2214"/>
        <v>0</v>
      </c>
      <c r="AP179" s="441">
        <f t="shared" si="2215"/>
        <v>0</v>
      </c>
      <c r="AQ179" s="442">
        <f t="shared" si="2216"/>
        <v>0</v>
      </c>
      <c r="AR179" s="442">
        <f t="shared" si="2217"/>
        <v>0</v>
      </c>
      <c r="AS179" s="443">
        <f t="shared" si="2218"/>
        <v>0</v>
      </c>
      <c r="AT179" s="440">
        <f t="shared" si="2219"/>
        <v>0</v>
      </c>
      <c r="AU179" s="441">
        <f t="shared" si="2220"/>
        <v>0</v>
      </c>
      <c r="AV179" s="442">
        <f t="shared" si="2221"/>
        <v>0</v>
      </c>
      <c r="AW179" s="442">
        <f t="shared" si="2222"/>
        <v>0</v>
      </c>
      <c r="AX179" s="443">
        <f t="shared" si="2223"/>
        <v>0</v>
      </c>
      <c r="AY179" s="440">
        <f t="shared" si="2224"/>
        <v>0</v>
      </c>
      <c r="AZ179" s="441">
        <f t="shared" si="2225"/>
        <v>0</v>
      </c>
      <c r="BA179" s="442">
        <f t="shared" si="2226"/>
        <v>0</v>
      </c>
      <c r="BB179" s="442">
        <f t="shared" si="2227"/>
        <v>0</v>
      </c>
      <c r="BC179" s="443">
        <f t="shared" si="2228"/>
        <v>0</v>
      </c>
      <c r="BD179" s="440">
        <f t="shared" si="2229"/>
        <v>0</v>
      </c>
      <c r="BE179" s="441">
        <f t="shared" si="2230"/>
        <v>0</v>
      </c>
      <c r="BF179" s="442">
        <f t="shared" si="2231"/>
        <v>0</v>
      </c>
      <c r="BG179" s="442">
        <f t="shared" si="2232"/>
        <v>0</v>
      </c>
      <c r="BH179" s="443">
        <f t="shared" si="2233"/>
        <v>0</v>
      </c>
      <c r="BI179" s="440">
        <f t="shared" si="2234"/>
        <v>0</v>
      </c>
      <c r="BJ179" s="441">
        <f t="shared" si="2235"/>
        <v>0</v>
      </c>
      <c r="BK179" s="442">
        <f t="shared" si="2236"/>
        <v>0</v>
      </c>
      <c r="BL179" s="442">
        <f t="shared" si="2237"/>
        <v>0</v>
      </c>
      <c r="BM179" s="443">
        <f t="shared" si="2238"/>
        <v>0</v>
      </c>
      <c r="BN179" s="440">
        <f t="shared" si="2239"/>
        <v>0</v>
      </c>
      <c r="BO179" s="470"/>
      <c r="BP179" s="441">
        <f t="shared" si="2240"/>
        <v>0</v>
      </c>
      <c r="BQ179" s="442">
        <f t="shared" si="2241"/>
        <v>0</v>
      </c>
      <c r="BR179" s="442">
        <f t="shared" si="2242"/>
        <v>0</v>
      </c>
      <c r="BS179" s="443">
        <f t="shared" si="2243"/>
        <v>0</v>
      </c>
      <c r="BT179" s="440">
        <f t="shared" si="2244"/>
        <v>0</v>
      </c>
      <c r="BU179" s="441">
        <f t="shared" si="2245"/>
        <v>0</v>
      </c>
      <c r="BV179" s="442">
        <f t="shared" si="2246"/>
        <v>0</v>
      </c>
      <c r="BW179" s="442">
        <f t="shared" si="2247"/>
        <v>0</v>
      </c>
      <c r="BX179" s="443">
        <f t="shared" si="2248"/>
        <v>0</v>
      </c>
      <c r="BY179" s="440">
        <f t="shared" si="2249"/>
        <v>0</v>
      </c>
      <c r="BZ179" s="441">
        <f t="shared" si="2250"/>
        <v>0</v>
      </c>
      <c r="CA179" s="442">
        <f t="shared" si="2251"/>
        <v>0</v>
      </c>
      <c r="CB179" s="442">
        <f t="shared" si="2252"/>
        <v>0</v>
      </c>
      <c r="CC179" s="443">
        <f t="shared" si="2253"/>
        <v>0</v>
      </c>
      <c r="CD179" s="440">
        <f t="shared" si="2254"/>
        <v>0</v>
      </c>
      <c r="CE179" s="441">
        <f t="shared" si="2255"/>
        <v>0</v>
      </c>
      <c r="CF179" s="442">
        <f t="shared" si="2256"/>
        <v>0</v>
      </c>
      <c r="CG179" s="442">
        <f t="shared" si="2257"/>
        <v>0</v>
      </c>
      <c r="CH179" s="443">
        <f t="shared" si="2258"/>
        <v>0</v>
      </c>
      <c r="CI179" s="440">
        <f t="shared" si="2259"/>
        <v>0</v>
      </c>
      <c r="CJ179" s="441">
        <f t="shared" si="2260"/>
        <v>0</v>
      </c>
      <c r="CK179" s="442">
        <f t="shared" si="2261"/>
        <v>0</v>
      </c>
      <c r="CL179" s="442">
        <f t="shared" si="2262"/>
        <v>0</v>
      </c>
      <c r="CM179" s="443">
        <f t="shared" si="2263"/>
        <v>0</v>
      </c>
      <c r="CN179" s="440">
        <f t="shared" si="2264"/>
        <v>0</v>
      </c>
      <c r="CO179" s="441">
        <f t="shared" si="2265"/>
        <v>0</v>
      </c>
      <c r="CP179" s="442">
        <f t="shared" si="2266"/>
        <v>0</v>
      </c>
      <c r="CQ179" s="442">
        <f t="shared" si="2267"/>
        <v>0</v>
      </c>
      <c r="CR179" s="443">
        <f t="shared" si="2268"/>
        <v>0</v>
      </c>
      <c r="CS179" s="440">
        <f t="shared" si="2269"/>
        <v>0</v>
      </c>
      <c r="CT179" s="441">
        <f t="shared" si="2270"/>
        <v>0</v>
      </c>
      <c r="CU179" s="442">
        <f t="shared" si="2271"/>
        <v>0</v>
      </c>
      <c r="CV179" s="442">
        <f t="shared" si="2272"/>
        <v>0</v>
      </c>
      <c r="CW179" s="443">
        <f t="shared" si="2273"/>
        <v>0</v>
      </c>
      <c r="CX179" s="440">
        <f t="shared" si="2274"/>
        <v>0</v>
      </c>
      <c r="CY179" s="441">
        <f t="shared" si="2275"/>
        <v>0</v>
      </c>
      <c r="CZ179" s="442">
        <f t="shared" si="2276"/>
        <v>0</v>
      </c>
      <c r="DA179" s="442">
        <f t="shared" si="2277"/>
        <v>0</v>
      </c>
      <c r="DB179" s="443">
        <f t="shared" si="2278"/>
        <v>0</v>
      </c>
      <c r="DC179" s="440">
        <f t="shared" si="2279"/>
        <v>0</v>
      </c>
      <c r="DD179" s="441">
        <f t="shared" si="2280"/>
        <v>0</v>
      </c>
      <c r="DE179" s="442">
        <f t="shared" si="2281"/>
        <v>0</v>
      </c>
      <c r="DF179" s="442">
        <f t="shared" si="2282"/>
        <v>0</v>
      </c>
      <c r="DG179" s="443">
        <f t="shared" si="2283"/>
        <v>0</v>
      </c>
      <c r="DH179" s="440">
        <f t="shared" si="2284"/>
        <v>0</v>
      </c>
      <c r="DI179" s="441">
        <f t="shared" si="2285"/>
        <v>0</v>
      </c>
      <c r="DJ179" s="442">
        <f t="shared" si="2286"/>
        <v>0</v>
      </c>
      <c r="DK179" s="442">
        <f t="shared" si="2287"/>
        <v>0</v>
      </c>
      <c r="DL179" s="443">
        <f t="shared" si="2288"/>
        <v>0</v>
      </c>
      <c r="DM179" s="440">
        <f t="shared" si="2289"/>
        <v>0</v>
      </c>
      <c r="DN179" s="441">
        <f t="shared" si="2290"/>
        <v>0</v>
      </c>
      <c r="DO179" s="442">
        <f t="shared" si="2291"/>
        <v>0</v>
      </c>
      <c r="DP179" s="442">
        <f t="shared" si="2292"/>
        <v>0</v>
      </c>
      <c r="DQ179" s="443">
        <f t="shared" si="2293"/>
        <v>0</v>
      </c>
      <c r="DR179" s="440">
        <f t="shared" si="2294"/>
        <v>0</v>
      </c>
    </row>
    <row r="180" spans="3:122" ht="12.75" customHeight="1">
      <c r="C180" s="1123" t="s">
        <v>721</v>
      </c>
      <c r="D180" s="395"/>
      <c r="E180" s="1950">
        <f t="shared" si="2184"/>
        <v>300</v>
      </c>
      <c r="F180" s="1945">
        <v>300</v>
      </c>
      <c r="G180" s="1945">
        <v>300</v>
      </c>
      <c r="H180" s="1366">
        <v>2019</v>
      </c>
      <c r="I180" s="1367">
        <v>7.3499999999999996E-2</v>
      </c>
      <c r="J180" s="1357">
        <v>2</v>
      </c>
      <c r="K180" s="549"/>
      <c r="L180" s="441">
        <f t="shared" si="2185"/>
        <v>0</v>
      </c>
      <c r="M180" s="442">
        <f t="shared" si="2186"/>
        <v>0</v>
      </c>
      <c r="N180" s="442">
        <f t="shared" si="2187"/>
        <v>0</v>
      </c>
      <c r="O180" s="443">
        <f t="shared" si="2188"/>
        <v>0</v>
      </c>
      <c r="P180" s="440">
        <f t="shared" si="2189"/>
        <v>0</v>
      </c>
      <c r="Q180" s="441">
        <f t="shared" si="2190"/>
        <v>0</v>
      </c>
      <c r="R180" s="442">
        <f t="shared" si="2191"/>
        <v>0</v>
      </c>
      <c r="S180" s="442">
        <f t="shared" si="2192"/>
        <v>0</v>
      </c>
      <c r="T180" s="443">
        <f t="shared" si="2193"/>
        <v>0</v>
      </c>
      <c r="U180" s="440">
        <f t="shared" si="2194"/>
        <v>0</v>
      </c>
      <c r="V180" s="441">
        <f t="shared" si="2195"/>
        <v>0</v>
      </c>
      <c r="W180" s="442">
        <f t="shared" si="2196"/>
        <v>0</v>
      </c>
      <c r="X180" s="442">
        <f t="shared" si="2197"/>
        <v>0</v>
      </c>
      <c r="Y180" s="443">
        <f t="shared" si="2198"/>
        <v>0</v>
      </c>
      <c r="Z180" s="440">
        <f t="shared" si="2199"/>
        <v>0</v>
      </c>
      <c r="AA180" s="441">
        <f t="shared" si="2200"/>
        <v>0</v>
      </c>
      <c r="AB180" s="442">
        <f t="shared" si="2201"/>
        <v>0</v>
      </c>
      <c r="AC180" s="442">
        <f t="shared" si="2202"/>
        <v>0</v>
      </c>
      <c r="AD180" s="443">
        <f t="shared" si="2203"/>
        <v>0</v>
      </c>
      <c r="AE180" s="440">
        <f t="shared" si="2204"/>
        <v>0</v>
      </c>
      <c r="AF180" s="441">
        <f t="shared" si="2205"/>
        <v>0</v>
      </c>
      <c r="AG180" s="442">
        <f t="shared" si="2206"/>
        <v>0</v>
      </c>
      <c r="AH180" s="442">
        <f t="shared" si="2207"/>
        <v>0</v>
      </c>
      <c r="AI180" s="443">
        <f t="shared" si="2208"/>
        <v>0</v>
      </c>
      <c r="AJ180" s="440">
        <f t="shared" si="2209"/>
        <v>0</v>
      </c>
      <c r="AK180" s="441">
        <f t="shared" si="2210"/>
        <v>0</v>
      </c>
      <c r="AL180" s="442">
        <f t="shared" si="2211"/>
        <v>0</v>
      </c>
      <c r="AM180" s="442">
        <f t="shared" si="2212"/>
        <v>0</v>
      </c>
      <c r="AN180" s="443">
        <f t="shared" si="2213"/>
        <v>0</v>
      </c>
      <c r="AO180" s="440">
        <f t="shared" si="2214"/>
        <v>0</v>
      </c>
      <c r="AP180" s="441">
        <f t="shared" si="2215"/>
        <v>0</v>
      </c>
      <c r="AQ180" s="442">
        <f t="shared" si="2216"/>
        <v>0</v>
      </c>
      <c r="AR180" s="442">
        <f t="shared" si="2217"/>
        <v>0</v>
      </c>
      <c r="AS180" s="443">
        <f t="shared" si="2218"/>
        <v>0</v>
      </c>
      <c r="AT180" s="440">
        <f t="shared" si="2219"/>
        <v>0</v>
      </c>
      <c r="AU180" s="441">
        <f t="shared" si="2220"/>
        <v>0</v>
      </c>
      <c r="AV180" s="442">
        <f t="shared" si="2221"/>
        <v>0</v>
      </c>
      <c r="AW180" s="442">
        <f t="shared" si="2222"/>
        <v>0</v>
      </c>
      <c r="AX180" s="443">
        <f t="shared" si="2223"/>
        <v>0</v>
      </c>
      <c r="AY180" s="440">
        <f t="shared" si="2224"/>
        <v>0</v>
      </c>
      <c r="AZ180" s="441">
        <f t="shared" si="2225"/>
        <v>-300</v>
      </c>
      <c r="BA180" s="442">
        <f t="shared" si="2226"/>
        <v>0</v>
      </c>
      <c r="BB180" s="442">
        <f t="shared" si="2227"/>
        <v>0</v>
      </c>
      <c r="BC180" s="443">
        <f t="shared" si="2228"/>
        <v>0</v>
      </c>
      <c r="BD180" s="440">
        <f t="shared" si="2229"/>
        <v>-300</v>
      </c>
      <c r="BE180" s="441">
        <f t="shared" si="2230"/>
        <v>0</v>
      </c>
      <c r="BF180" s="442">
        <f t="shared" si="2231"/>
        <v>0</v>
      </c>
      <c r="BG180" s="442">
        <f t="shared" si="2232"/>
        <v>0</v>
      </c>
      <c r="BH180" s="443">
        <f t="shared" si="2233"/>
        <v>0</v>
      </c>
      <c r="BI180" s="440">
        <f t="shared" si="2234"/>
        <v>0</v>
      </c>
      <c r="BJ180" s="441">
        <f t="shared" si="2235"/>
        <v>0</v>
      </c>
      <c r="BK180" s="442">
        <f t="shared" si="2236"/>
        <v>0</v>
      </c>
      <c r="BL180" s="442">
        <f t="shared" si="2237"/>
        <v>0</v>
      </c>
      <c r="BM180" s="443">
        <f t="shared" si="2238"/>
        <v>0</v>
      </c>
      <c r="BN180" s="440">
        <f t="shared" si="2239"/>
        <v>0</v>
      </c>
      <c r="BO180" s="470"/>
      <c r="BP180" s="441">
        <f t="shared" si="2240"/>
        <v>0</v>
      </c>
      <c r="BQ180" s="442">
        <f t="shared" si="2241"/>
        <v>0</v>
      </c>
      <c r="BR180" s="442">
        <f t="shared" si="2242"/>
        <v>0</v>
      </c>
      <c r="BS180" s="443">
        <f t="shared" si="2243"/>
        <v>0</v>
      </c>
      <c r="BT180" s="440">
        <f t="shared" si="2244"/>
        <v>0</v>
      </c>
      <c r="BU180" s="441">
        <f t="shared" si="2245"/>
        <v>0</v>
      </c>
      <c r="BV180" s="442">
        <f t="shared" si="2246"/>
        <v>0</v>
      </c>
      <c r="BW180" s="442">
        <f t="shared" si="2247"/>
        <v>0</v>
      </c>
      <c r="BX180" s="443">
        <f t="shared" si="2248"/>
        <v>0</v>
      </c>
      <c r="BY180" s="440">
        <f t="shared" si="2249"/>
        <v>0</v>
      </c>
      <c r="BZ180" s="441">
        <f t="shared" si="2250"/>
        <v>0</v>
      </c>
      <c r="CA180" s="442">
        <f t="shared" si="2251"/>
        <v>0</v>
      </c>
      <c r="CB180" s="442">
        <f t="shared" si="2252"/>
        <v>0</v>
      </c>
      <c r="CC180" s="443">
        <f t="shared" si="2253"/>
        <v>0</v>
      </c>
      <c r="CD180" s="440">
        <f t="shared" si="2254"/>
        <v>0</v>
      </c>
      <c r="CE180" s="441">
        <f t="shared" si="2255"/>
        <v>0</v>
      </c>
      <c r="CF180" s="442">
        <f t="shared" si="2256"/>
        <v>0</v>
      </c>
      <c r="CG180" s="442">
        <f t="shared" si="2257"/>
        <v>0</v>
      </c>
      <c r="CH180" s="443">
        <f t="shared" si="2258"/>
        <v>0</v>
      </c>
      <c r="CI180" s="440">
        <f t="shared" si="2259"/>
        <v>0</v>
      </c>
      <c r="CJ180" s="441">
        <f t="shared" si="2260"/>
        <v>0</v>
      </c>
      <c r="CK180" s="442">
        <f t="shared" si="2261"/>
        <v>0</v>
      </c>
      <c r="CL180" s="442">
        <f t="shared" si="2262"/>
        <v>0</v>
      </c>
      <c r="CM180" s="443">
        <f t="shared" si="2263"/>
        <v>0</v>
      </c>
      <c r="CN180" s="440">
        <f t="shared" si="2264"/>
        <v>0</v>
      </c>
      <c r="CO180" s="441">
        <f t="shared" si="2265"/>
        <v>0</v>
      </c>
      <c r="CP180" s="442">
        <f t="shared" si="2266"/>
        <v>0</v>
      </c>
      <c r="CQ180" s="442">
        <f t="shared" si="2267"/>
        <v>0</v>
      </c>
      <c r="CR180" s="443">
        <f t="shared" si="2268"/>
        <v>0</v>
      </c>
      <c r="CS180" s="440">
        <f t="shared" si="2269"/>
        <v>0</v>
      </c>
      <c r="CT180" s="441">
        <f t="shared" si="2270"/>
        <v>0</v>
      </c>
      <c r="CU180" s="442">
        <f t="shared" si="2271"/>
        <v>0</v>
      </c>
      <c r="CV180" s="442">
        <f t="shared" si="2272"/>
        <v>0</v>
      </c>
      <c r="CW180" s="443">
        <f t="shared" si="2273"/>
        <v>0</v>
      </c>
      <c r="CX180" s="440">
        <f t="shared" si="2274"/>
        <v>0</v>
      </c>
      <c r="CY180" s="441">
        <f t="shared" si="2275"/>
        <v>0</v>
      </c>
      <c r="CZ180" s="442">
        <f t="shared" si="2276"/>
        <v>0</v>
      </c>
      <c r="DA180" s="442">
        <f t="shared" si="2277"/>
        <v>0</v>
      </c>
      <c r="DB180" s="443">
        <f t="shared" si="2278"/>
        <v>0</v>
      </c>
      <c r="DC180" s="440">
        <f t="shared" si="2279"/>
        <v>0</v>
      </c>
      <c r="DD180" s="441">
        <f t="shared" si="2280"/>
        <v>-3.6749999999999994</v>
      </c>
      <c r="DE180" s="442">
        <f t="shared" si="2281"/>
        <v>-5.5124999999999993</v>
      </c>
      <c r="DF180" s="442">
        <f t="shared" si="2282"/>
        <v>-5.5124999999999993</v>
      </c>
      <c r="DG180" s="443">
        <f t="shared" si="2283"/>
        <v>-5.5124999999999993</v>
      </c>
      <c r="DH180" s="440">
        <f t="shared" si="2284"/>
        <v>-20.212499999999995</v>
      </c>
      <c r="DI180" s="441">
        <f t="shared" si="2285"/>
        <v>-1.8374999999999997</v>
      </c>
      <c r="DJ180" s="442">
        <f t="shared" si="2286"/>
        <v>0</v>
      </c>
      <c r="DK180" s="442">
        <f t="shared" si="2287"/>
        <v>0</v>
      </c>
      <c r="DL180" s="443">
        <f t="shared" si="2288"/>
        <v>0</v>
      </c>
      <c r="DM180" s="440">
        <f t="shared" si="2289"/>
        <v>-1.8375000000000021</v>
      </c>
      <c r="DN180" s="441">
        <f t="shared" si="2290"/>
        <v>0</v>
      </c>
      <c r="DO180" s="442">
        <f t="shared" si="2291"/>
        <v>0</v>
      </c>
      <c r="DP180" s="442">
        <f t="shared" si="2292"/>
        <v>0</v>
      </c>
      <c r="DQ180" s="443">
        <f t="shared" si="2293"/>
        <v>0</v>
      </c>
      <c r="DR180" s="440">
        <f t="shared" si="2294"/>
        <v>0</v>
      </c>
    </row>
    <row r="181" spans="3:122">
      <c r="C181" s="1123" t="s">
        <v>333</v>
      </c>
      <c r="D181" s="395"/>
      <c r="E181" s="188">
        <f>IF(F181=0,G181,F181)</f>
        <v>8.3877489999999995</v>
      </c>
      <c r="F181" s="1949">
        <v>8.3877489999999995</v>
      </c>
      <c r="G181" s="1949">
        <v>0</v>
      </c>
      <c r="H181" s="414">
        <v>2039</v>
      </c>
      <c r="I181" s="1947">
        <v>0.05</v>
      </c>
      <c r="J181" s="656">
        <v>12</v>
      </c>
      <c r="K181" s="549"/>
      <c r="L181" s="441">
        <f t="shared" si="2185"/>
        <v>0</v>
      </c>
      <c r="M181" s="442">
        <f t="shared" si="2186"/>
        <v>0</v>
      </c>
      <c r="N181" s="442">
        <f t="shared" si="2187"/>
        <v>0</v>
      </c>
      <c r="O181" s="443">
        <f t="shared" si="2188"/>
        <v>0</v>
      </c>
      <c r="P181" s="440">
        <f t="shared" si="2189"/>
        <v>0</v>
      </c>
      <c r="Q181" s="441">
        <f t="shared" si="2190"/>
        <v>0</v>
      </c>
      <c r="R181" s="442">
        <f t="shared" si="2191"/>
        <v>0</v>
      </c>
      <c r="S181" s="442">
        <f t="shared" si="2192"/>
        <v>0</v>
      </c>
      <c r="T181" s="443">
        <f t="shared" si="2193"/>
        <v>0</v>
      </c>
      <c r="U181" s="440">
        <f t="shared" si="2194"/>
        <v>0</v>
      </c>
      <c r="V181" s="441">
        <f t="shared" si="2195"/>
        <v>0</v>
      </c>
      <c r="W181" s="442">
        <f t="shared" si="2196"/>
        <v>0</v>
      </c>
      <c r="X181" s="442">
        <f t="shared" si="2197"/>
        <v>0</v>
      </c>
      <c r="Y181" s="443">
        <f t="shared" si="2198"/>
        <v>0</v>
      </c>
      <c r="Z181" s="440">
        <f t="shared" si="2199"/>
        <v>0</v>
      </c>
      <c r="AA181" s="441">
        <f t="shared" si="2200"/>
        <v>0</v>
      </c>
      <c r="AB181" s="442">
        <f t="shared" si="2201"/>
        <v>0</v>
      </c>
      <c r="AC181" s="442">
        <f t="shared" si="2202"/>
        <v>0</v>
      </c>
      <c r="AD181" s="443">
        <f t="shared" si="2203"/>
        <v>0</v>
      </c>
      <c r="AE181" s="440">
        <f t="shared" si="2204"/>
        <v>0</v>
      </c>
      <c r="AF181" s="441">
        <f t="shared" si="2205"/>
        <v>0</v>
      </c>
      <c r="AG181" s="442">
        <f t="shared" si="2206"/>
        <v>0</v>
      </c>
      <c r="AH181" s="442">
        <f t="shared" si="2207"/>
        <v>0</v>
      </c>
      <c r="AI181" s="443">
        <f t="shared" si="2208"/>
        <v>0</v>
      </c>
      <c r="AJ181" s="440">
        <f t="shared" si="2209"/>
        <v>0</v>
      </c>
      <c r="AK181" s="441">
        <f t="shared" si="2210"/>
        <v>0</v>
      </c>
      <c r="AL181" s="442">
        <f t="shared" si="2211"/>
        <v>0</v>
      </c>
      <c r="AM181" s="442">
        <f t="shared" si="2212"/>
        <v>0</v>
      </c>
      <c r="AN181" s="443">
        <f t="shared" si="2213"/>
        <v>0</v>
      </c>
      <c r="AO181" s="440">
        <f t="shared" si="2214"/>
        <v>0</v>
      </c>
      <c r="AP181" s="441">
        <f t="shared" si="2215"/>
        <v>0</v>
      </c>
      <c r="AQ181" s="442">
        <f t="shared" si="2216"/>
        <v>0</v>
      </c>
      <c r="AR181" s="442">
        <f t="shared" si="2217"/>
        <v>0</v>
      </c>
      <c r="AS181" s="443">
        <f t="shared" si="2218"/>
        <v>0</v>
      </c>
      <c r="AT181" s="440">
        <f t="shared" si="2219"/>
        <v>0</v>
      </c>
      <c r="AU181" s="441">
        <f t="shared" si="2220"/>
        <v>0</v>
      </c>
      <c r="AV181" s="442">
        <f t="shared" si="2221"/>
        <v>0</v>
      </c>
      <c r="AW181" s="442">
        <f t="shared" si="2222"/>
        <v>0</v>
      </c>
      <c r="AX181" s="443">
        <f t="shared" si="2223"/>
        <v>0</v>
      </c>
      <c r="AY181" s="440">
        <f t="shared" si="2224"/>
        <v>0</v>
      </c>
      <c r="AZ181" s="441">
        <f t="shared" si="2225"/>
        <v>0</v>
      </c>
      <c r="BA181" s="442">
        <f t="shared" si="2226"/>
        <v>0</v>
      </c>
      <c r="BB181" s="442">
        <f t="shared" si="2227"/>
        <v>0</v>
      </c>
      <c r="BC181" s="443">
        <f t="shared" si="2228"/>
        <v>0</v>
      </c>
      <c r="BD181" s="440">
        <f t="shared" si="2229"/>
        <v>0</v>
      </c>
      <c r="BE181" s="441">
        <f t="shared" si="2230"/>
        <v>0</v>
      </c>
      <c r="BF181" s="442">
        <f t="shared" si="2231"/>
        <v>0</v>
      </c>
      <c r="BG181" s="442">
        <f t="shared" si="2232"/>
        <v>0</v>
      </c>
      <c r="BH181" s="443">
        <f t="shared" si="2233"/>
        <v>0</v>
      </c>
      <c r="BI181" s="440">
        <f t="shared" si="2234"/>
        <v>0</v>
      </c>
      <c r="BJ181" s="441">
        <f t="shared" si="2235"/>
        <v>0</v>
      </c>
      <c r="BK181" s="442">
        <f t="shared" si="2236"/>
        <v>0</v>
      </c>
      <c r="BL181" s="442">
        <f t="shared" si="2237"/>
        <v>0</v>
      </c>
      <c r="BM181" s="443">
        <f t="shared" si="2238"/>
        <v>0</v>
      </c>
      <c r="BN181" s="440">
        <f t="shared" si="2239"/>
        <v>0</v>
      </c>
      <c r="BO181" s="470"/>
      <c r="BP181" s="441">
        <f>IF($H181&lt;&gt;BT$5,0,IF(BT181&lt;0,IF($J181=1,-$E181*$I181/12*3,IF($J181=2,-$E181*$I181/12*2,IF($J181=3,-$E181*$I181/12*1,0)))))+IF(BO$5&lt;&gt;$H181,0,IF(BO181&lt;0,IF($J181=1,-$E181*$I181/12*0,IF($J181=2,-$E181*$I181/12*1,IF($J181=3,-$E181*$I181/12*2,IF($J181&gt;=4,-$E181*$I181/12*3,0))))))</f>
        <v>0</v>
      </c>
      <c r="BQ181" s="442">
        <f>IF($H181&lt;&gt;BT$5,0,IF(BT181&lt;0,IF(OR($J181=1,$J181=2,$J181=3,$J181=4),-$E181*$I181/12*3,IF($J181=5,-$E181*$I181/12*2,IF($J181=6,-$E181*$I181/12*1,0)))))+IF(BO$5&lt;&gt;$H181,0,IF(BO181&lt;0,IF($J181=4,-$E181*$I181/12*0,IF($J181=5,-$E181*$I181/12*1,IF($J181=6,-$E181*$I181/12*2,IF($J181&gt;=7,-$E181*$I181/12*3,0))))))</f>
        <v>0</v>
      </c>
      <c r="BR181" s="442">
        <f>IF($H181&lt;&gt;BT$5,0,IF(BT181&lt;0,IF(OR($J181=1,$J181=2,$J181=3,$J181=4,$J181=5,$J181=6,$J181=7),-$E181*$I181/12*3,IF($J181=8,-$E181*$I181/12*2,IF($J181=9,-$E181*$I181/12*1,0)))))+IF(BO$5&lt;&gt;$H181,0,IF(BO181&lt;0,IF($J181=7,-$E181*$I181/12*0,IF($J181=8,-$E181*$I181/12*1,IF($J181=9,-$E181*$I181/12*2,IF($J181&gt;=10,-$E181*$I181/12*3,0))))))</f>
        <v>0</v>
      </c>
      <c r="BS181" s="443">
        <f>IF($H181&lt;&gt;BT$5,0,IF(BT181&lt;0,IF(OR($J181=1,$J181=2,$J181=3,$J181=4,$J181=5,$J181=6,$J181=7,$J181=8,$J181=9,$J181=10),-$E181*$I181/12*3,IF($J181=11,-$E181*$I181/12*2,IF($J181=12,-$E181*$I181/12*1,0)))))+IF(BO$5&lt;&gt;$H181,0,IF(BO181&lt;0,IF($J181=10,-$E181*$I181/12*0,IF($J181=11,-$E181*$I181/12*1,IF($J181=12,-$E181*$I181/12*2,0)))))</f>
        <v>0</v>
      </c>
      <c r="BT181" s="440">
        <f>IF(AND(BO181&lt;&gt;0,BO$5=$H181),-$I181*$E181-BO181,IF(BT$5=$H181,-$I181*$E181*(12-$J181+1)/12,0))</f>
        <v>0</v>
      </c>
      <c r="BU181" s="441">
        <f>IF($H181&lt;&gt;BY$5,0,IF(BY181&lt;0,IF($J181=1,-$E181*$I181/12*3,IF($J181=2,-$E181*$I181/12*2,IF($J181=3,-$E181*$I181/12*1,0)))))+IF(BT$5&lt;&gt;$H181,0,IF(BT181&lt;0,IF($J181=1,-$E181*$I181/12*0,IF($J181=2,-$E181*$I181/12*1,IF($J181=3,-$E181*$I181/12*2,IF($J181&gt;=4,-$E181*$I181/12*3,0))))))</f>
        <v>0</v>
      </c>
      <c r="BV181" s="442">
        <f>IF($H181&lt;&gt;BY$5,0,IF(BY181&lt;0,IF(OR($J181=1,$J181=2,$J181=3,$J181=4),-$E181*$I181/12*3,IF($J181=5,-$E181*$I181/12*2,IF($J181=6,-$E181*$I181/12*1,0)))))+IF(BT$5&lt;&gt;$H181,0,IF(BT181&lt;0,IF($J181=4,-$E181*$I181/12*0,IF($J181=5,-$E181*$I181/12*1,IF($J181=6,-$E181*$I181/12*2,IF($J181&gt;=7,-$E181*$I181/12*3,0))))))</f>
        <v>0</v>
      </c>
      <c r="BW181" s="442">
        <f>IF($H181&lt;&gt;BY$5,0,IF(BY181&lt;0,IF(OR($J181=1,$J181=2,$J181=3,$J181=4,$J181=5,$J181=6,$J181=7),-$E181*$I181/12*3,IF($J181=8,-$E181*$I181/12*2,IF($J181=9,-$E181*$I181/12*1,0)))))+IF(BT$5&lt;&gt;$H181,0,IF(BT181&lt;0,IF($J181=7,-$E181*$I181/12*0,IF($J181=8,-$E181*$I181/12*1,IF($J181=9,-$E181*$I181/12*2,IF($J181&gt;=10,-$E181*$I181/12*3,0))))))</f>
        <v>0</v>
      </c>
      <c r="BX181" s="443">
        <f>IF($H181&lt;&gt;BY$5,0,IF(BY181&lt;0,IF(OR($J181=1,$J181=2,$J181=3,$J181=4,$J181=5,$J181=6,$J181=7,$J181=8,$J181=9,$J181=10),-$E181*$I181/12*3,IF($J181=11,-$E181*$I181/12*2,IF($J181=12,-$E181*$I181/12*1,0)))))+IF(BT$5&lt;&gt;$H181,0,IF(BT181&lt;0,IF($J181=10,-$E181*$I181/12*0,IF($J181=11,-$E181*$I181/12*1,IF($J181=12,-$E181*$I181/12*2,0)))))</f>
        <v>0</v>
      </c>
      <c r="BY181" s="440">
        <f>IF(AND(BT181&lt;&gt;0,BT$5=$H181),-$I181*$E181-BT181,IF(BY$5=$H181,-$I181*$E181*(12-$J181+1)/12,0))</f>
        <v>0</v>
      </c>
      <c r="BZ181" s="441">
        <f>IF($H181&lt;&gt;CD$5,0,IF(CD181&lt;0,IF($J181=1,-$E181*$I181/12*3,IF($J181=2,-$E181*$I181/12*2,IF($J181=3,-$E181*$I181/12*1,0)))))+IF(BY$5&lt;&gt;$H181,0,IF(BY181&lt;0,IF($J181=1,-$E181*$I181/12*0,IF($J181=2,-$E181*$I181/12*1,IF($J181=3,-$E181*$I181/12*2,IF($J181&gt;=4,-$E181*$I181/12*3,0))))))</f>
        <v>0</v>
      </c>
      <c r="CA181" s="442">
        <f>IF($H181&lt;&gt;CD$5,0,IF(CD181&lt;0,IF(OR($J181=1,$J181=2,$J181=3,$J181=4),-$E181*$I181/12*3,IF($J181=5,-$E181*$I181/12*2,IF($J181=6,-$E181*$I181/12*1,0)))))+IF(BY$5&lt;&gt;$H181,0,IF(BY181&lt;0,IF($J181=4,-$E181*$I181/12*0,IF($J181=5,-$E181*$I181/12*1,IF($J181=6,-$E181*$I181/12*2,IF($J181&gt;=7,-$E181*$I181/12*3,0))))))</f>
        <v>0</v>
      </c>
      <c r="CB181" s="442">
        <f>IF($H181&lt;&gt;CD$5,0,IF(CD181&lt;0,IF(OR($J181=1,$J181=2,$J181=3,$J181=4,$J181=5,$J181=6,$J181=7),-$E181*$I181/12*3,IF($J181=8,-$E181*$I181/12*2,IF($J181=9,-$E181*$I181/12*1,0)))))+IF(BY$5&lt;&gt;$H181,0,IF(BY181&lt;0,IF($J181=7,-$E181*$I181/12*0,IF($J181=8,-$E181*$I181/12*1,IF($J181=9,-$E181*$I181/12*2,IF($J181&gt;=10,-$E181*$I181/12*3,0))))))</f>
        <v>0</v>
      </c>
      <c r="CC181" s="443">
        <f>IF($H181&lt;&gt;CD$5,0,IF(CD181&lt;0,IF(OR($J181=1,$J181=2,$J181=3,$J181=4,$J181=5,$J181=6,$J181=7,$J181=8,$J181=9,$J181=10),-$E181*$I181/12*3,IF($J181=11,-$E181*$I181/12*2,IF($J181=12,-$E181*$I181/12*1,0)))))+IF(BY$5&lt;&gt;$H181,0,IF(BY181&lt;0,IF($J181=10,-$E181*$I181/12*0,IF($J181=11,-$E181*$I181/12*1,IF($J181=12,-$E181*$I181/12*2,0)))))</f>
        <v>0</v>
      </c>
      <c r="CD181" s="440">
        <f>IF(AND(BY181&lt;&gt;0,BY$5=$H181),-$I181*$E181-BY181,IF(CD$5=$H181,-$I181*$E181*(12-$J181+1)/12,0))</f>
        <v>0</v>
      </c>
      <c r="CE181" s="441">
        <f>IF($H181&lt;&gt;CI$5,0,IF(CI181&lt;0,IF($J181=1,-$E181*$I181/12*3,IF($J181=2,-$E181*$I181/12*2,IF($J181=3,-$E181*$I181/12*1,0)))))+IF(CD$5&lt;&gt;$H181,0,IF(CD181&lt;0,IF($J181=1,-$E181*$I181/12*0,IF($J181=2,-$E181*$I181/12*1,IF($J181=3,-$E181*$I181/12*2,IF($J181&gt;=4,-$E181*$I181/12*3,0))))))</f>
        <v>0</v>
      </c>
      <c r="CF181" s="442">
        <f>IF($H181&lt;&gt;CI$5,0,IF(CI181&lt;0,IF(OR($J181=1,$J181=2,$J181=3,$J181=4),-$E181*$I181/12*3,IF($J181=5,-$E181*$I181/12*2,IF($J181=6,-$E181*$I181/12*1,0)))))+IF(CD$5&lt;&gt;$H181,0,IF(CD181&lt;0,IF($J181=4,-$E181*$I181/12*0,IF($J181=5,-$E181*$I181/12*1,IF($J181=6,-$E181*$I181/12*2,IF($J181&gt;=7,-$E181*$I181/12*3,0))))))</f>
        <v>0</v>
      </c>
      <c r="CG181" s="442">
        <f>IF($H181&lt;&gt;CI$5,0,IF(CI181&lt;0,IF(OR($J181=1,$J181=2,$J181=3,$J181=4,$J181=5,$J181=6,$J181=7),-$E181*$I181/12*3,IF($J181=8,-$E181*$I181/12*2,IF($J181=9,-$E181*$I181/12*1,0)))))+IF(CD$5&lt;&gt;$H181,0,IF(CD181&lt;0,IF($J181=7,-$E181*$I181/12*0,IF($J181=8,-$E181*$I181/12*1,IF($J181=9,-$E181*$I181/12*2,IF($J181&gt;=10,-$E181*$I181/12*3,0))))))</f>
        <v>0</v>
      </c>
      <c r="CH181" s="443">
        <f>IF($H181&lt;&gt;CI$5,0,IF(CI181&lt;0,IF(OR($J181=1,$J181=2,$J181=3,$J181=4,$J181=5,$J181=6,$J181=7,$J181=8,$J181=9,$J181=10),-$E181*$I181/12*3,IF($J181=11,-$E181*$I181/12*2,IF($J181=12,-$E181*$I181/12*1,0)))))+IF(CD$5&lt;&gt;$H181,0,IF(CD181&lt;0,IF($J181=10,-$E181*$I181/12*0,IF($J181=11,-$E181*$I181/12*1,IF($J181=12,-$E181*$I181/12*2,0)))))</f>
        <v>0</v>
      </c>
      <c r="CI181" s="440">
        <f>IF(AND(CD181&lt;&gt;0,CD$5=$H181),-$I181*$E181-CD181,IF(CI$5=$H181,-$I181*$E181*(12-$J181+1)/12,0))</f>
        <v>0</v>
      </c>
      <c r="CJ181" s="441">
        <f>IF($H181&lt;&gt;CN$5,0,IF(CN181&lt;0,IF($J181=1,-$E181*$I181/12*3,IF($J181=2,-$E181*$I181/12*2,IF($J181=3,-$E181*$I181/12*1,0)))))+IF(CI$5&lt;&gt;$H181,0,IF(CI181&lt;0,IF($J181=1,-$E181*$I181/12*0,IF($J181=2,-$E181*$I181/12*1,IF($J181=3,-$E181*$I181/12*2,IF($J181&gt;=4,-$E181*$I181/12*3,0))))))</f>
        <v>0</v>
      </c>
      <c r="CK181" s="442">
        <f>IF($H181&lt;&gt;CN$5,0,IF(CN181&lt;0,IF(OR($J181=1,$J181=2,$J181=3,$J181=4),-$E181*$I181/12*3,IF($J181=5,-$E181*$I181/12*2,IF($J181=6,-$E181*$I181/12*1,0)))))+IF(CI$5&lt;&gt;$H181,0,IF(CI181&lt;0,IF($J181=4,-$E181*$I181/12*0,IF($J181=5,-$E181*$I181/12*1,IF($J181=6,-$E181*$I181/12*2,IF($J181&gt;=7,-$E181*$I181/12*3,0))))))</f>
        <v>0</v>
      </c>
      <c r="CL181" s="442">
        <f>IF($H181&lt;&gt;CN$5,0,IF(CN181&lt;0,IF(OR($J181=1,$J181=2,$J181=3,$J181=4,$J181=5,$J181=6,$J181=7),-$E181*$I181/12*3,IF($J181=8,-$E181*$I181/12*2,IF($J181=9,-$E181*$I181/12*1,0)))))+IF(CI$5&lt;&gt;$H181,0,IF(CI181&lt;0,IF($J181=7,-$E181*$I181/12*0,IF($J181=8,-$E181*$I181/12*1,IF($J181=9,-$E181*$I181/12*2,IF($J181&gt;=10,-$E181*$I181/12*3,0))))))</f>
        <v>0</v>
      </c>
      <c r="CM181" s="443">
        <f>IF($H181&lt;&gt;CN$5,0,IF(CN181&lt;0,IF(OR($J181=1,$J181=2,$J181=3,$J181=4,$J181=5,$J181=6,$J181=7,$J181=8,$J181=9,$J181=10),-$E181*$I181/12*3,IF($J181=11,-$E181*$I181/12*2,IF($J181=12,-$E181*$I181/12*1,0)))))+IF(CI$5&lt;&gt;$H181,0,IF(CI181&lt;0,IF($J181=10,-$E181*$I181/12*0,IF($J181=11,-$E181*$I181/12*1,IF($J181=12,-$E181*$I181/12*2,0)))))</f>
        <v>0</v>
      </c>
      <c r="CN181" s="440">
        <f>IF(AND(CI181&lt;&gt;0,CI$5=$H181),-$I181*$E181-CI181,IF(CN$5=$H181,-$I181*$E181*(12-$J181+1)/12,0))</f>
        <v>0</v>
      </c>
      <c r="CO181" s="441">
        <f>IF($H181&lt;&gt;CS$5,0,IF(CS181&lt;0,IF($J181=1,-$E181*$I181/12*3,IF($J181=2,-$E181*$I181/12*2,IF($J181=3,-$E181*$I181/12*1,0)))))+IF(CN$5&lt;&gt;$H181,0,IF(CN181&lt;0,IF($J181=1,-$E181*$I181/12*0,IF($J181=2,-$E181*$I181/12*1,IF($J181=3,-$E181*$I181/12*2,IF($J181&gt;=4,-$E181*$I181/12*3,0))))))</f>
        <v>0</v>
      </c>
      <c r="CP181" s="442">
        <f>IF($H181&lt;&gt;CS$5,0,IF(CS181&lt;0,IF(OR($J181=1,$J181=2,$J181=3,$J181=4),-$E181*$I181/12*3,IF($J181=5,-$E181*$I181/12*2,IF($J181=6,-$E181*$I181/12*1,0)))))+IF(CN$5&lt;&gt;$H181,0,IF(CN181&lt;0,IF($J181=4,-$E181*$I181/12*0,IF($J181=5,-$E181*$I181/12*1,IF($J181=6,-$E181*$I181/12*2,IF($J181&gt;=7,-$E181*$I181/12*3,0))))))</f>
        <v>0</v>
      </c>
      <c r="CQ181" s="442">
        <f>IF($H181&lt;&gt;CS$5,0,IF(CS181&lt;0,IF(OR($J181=1,$J181=2,$J181=3,$J181=4,$J181=5,$J181=6,$J181=7),-$E181*$I181/12*3,IF($J181=8,-$E181*$I181/12*2,IF($J181=9,-$E181*$I181/12*1,0)))))+IF(CN$5&lt;&gt;$H181,0,IF(CN181&lt;0,IF($J181=7,-$E181*$I181/12*0,IF($J181=8,-$E181*$I181/12*1,IF($J181=9,-$E181*$I181/12*2,IF($J181&gt;=10,-$E181*$I181/12*3,0))))))</f>
        <v>0</v>
      </c>
      <c r="CR181" s="443">
        <f>IF($H181&lt;&gt;CS$5,0,IF(CS181&lt;0,IF(OR($J181=1,$J181=2,$J181=3,$J181=4,$J181=5,$J181=6,$J181=7,$J181=8,$J181=9,$J181=10),-$E181*$I181/12*3,IF($J181=11,-$E181*$I181/12*2,IF($J181=12,-$E181*$I181/12*1,0)))))+IF(CN$5&lt;&gt;$H181,0,IF(CN181&lt;0,IF($J181=10,-$E181*$I181/12*0,IF($J181=11,-$E181*$I181/12*1,IF($J181=12,-$E181*$I181/12*2,0)))))</f>
        <v>0</v>
      </c>
      <c r="CS181" s="440">
        <f>IF(AND(CN181&lt;&gt;0,CN$5=$H181),-$I181*$E181-CN181,IF(CS$5=$H181,-$I181*$E181*(12-$J181+1)/12,0))</f>
        <v>0</v>
      </c>
      <c r="CT181" s="441">
        <f>IF($H181&lt;&gt;CX$5,0,IF(CX181&lt;0,IF($J181=1,-$E181*$I181/12*3,IF($J181=2,-$E181*$I181/12*2,IF($J181=3,-$E181*$I181/12*1,0)))))+IF(CS$5&lt;&gt;$H181,0,IF(CS181&lt;0,IF($J181=1,-$E181*$I181/12*0,IF($J181=2,-$E181*$I181/12*1,IF($J181=3,-$E181*$I181/12*2,IF($J181&gt;=4,-$E181*$I181/12*3,0))))))</f>
        <v>0</v>
      </c>
      <c r="CU181" s="442">
        <f>IF($H181&lt;&gt;CX$5,0,IF(CX181&lt;0,IF(OR($J181=1,$J181=2,$J181=3,$J181=4),-$E181*$I181/12*3,IF($J181=5,-$E181*$I181/12*2,IF($J181=6,-$E181*$I181/12*1,0)))))+IF(CS$5&lt;&gt;$H181,0,IF(CS181&lt;0,IF($J181=4,-$E181*$I181/12*0,IF($J181=5,-$E181*$I181/12*1,IF($J181=6,-$E181*$I181/12*2,IF($J181&gt;=7,-$E181*$I181/12*3,0))))))</f>
        <v>0</v>
      </c>
      <c r="CV181" s="442">
        <f>IF($H181&lt;&gt;CX$5,0,IF(CX181&lt;0,IF(OR($J181=1,$J181=2,$J181=3,$J181=4,$J181=5,$J181=6,$J181=7),-$E181*$I181/12*3,IF($J181=8,-$E181*$I181/12*2,IF($J181=9,-$E181*$I181/12*1,0)))))+IF(CS$5&lt;&gt;$H181,0,IF(CS181&lt;0,IF($J181=7,-$E181*$I181/12*0,IF($J181=8,-$E181*$I181/12*1,IF($J181=9,-$E181*$I181/12*2,IF($J181&gt;=10,-$E181*$I181/12*3,0))))))</f>
        <v>0</v>
      </c>
      <c r="CW181" s="443">
        <f>IF($H181&lt;&gt;CX$5,0,IF(CX181&lt;0,IF(OR($J181=1,$J181=2,$J181=3,$J181=4,$J181=5,$J181=6,$J181=7,$J181=8,$J181=9,$J181=10),-$E181*$I181/12*3,IF($J181=11,-$E181*$I181/12*2,IF($J181=12,-$E181*$I181/12*1,0)))))+IF(CS$5&lt;&gt;$H181,0,IF(CS181&lt;0,IF($J181=10,-$E181*$I181/12*0,IF($J181=11,-$E181*$I181/12*1,IF($J181=12,-$E181*$I181/12*2,0)))))</f>
        <v>0</v>
      </c>
      <c r="CX181" s="440">
        <f>IF(AND(CS181&lt;&gt;0,CS$5=$H181),-$I181*$E181-CS181,IF(CX$5=$H181,-$I181*$E181*(12-$J181+1)/12,0))</f>
        <v>0</v>
      </c>
      <c r="CY181" s="441">
        <f>IF($H181&lt;&gt;DC$5,0,IF(DC181&lt;0,IF($J181=1,-$E181*$I181/12*3,IF($J181=2,-$E181*$I181/12*2,IF($J181=3,-$E181*$I181/12*1,0)))))+IF(CX$5&lt;&gt;$H181,0,IF(CX181&lt;0,IF($J181=1,-$E181*$I181/12*0,IF($J181=2,-$E181*$I181/12*1,IF($J181=3,-$E181*$I181/12*2,IF($J181&gt;=4,-$E181*$I181/12*3,0))))))</f>
        <v>0</v>
      </c>
      <c r="CZ181" s="442">
        <f>IF($H181&lt;&gt;DC$5,0,IF(DC181&lt;0,IF(OR($J181=1,$J181=2,$J181=3,$J181=4),-$E181*$I181/12*3,IF($J181=5,-$E181*$I181/12*2,IF($J181=6,-$E181*$I181/12*1,0)))))+IF(CX$5&lt;&gt;$H181,0,IF(CX181&lt;0,IF($J181=4,-$E181*$I181/12*0,IF($J181=5,-$E181*$I181/12*1,IF($J181=6,-$E181*$I181/12*2,IF($J181&gt;=7,-$E181*$I181/12*3,0))))))</f>
        <v>0</v>
      </c>
      <c r="DA181" s="442">
        <f>IF($H181&lt;&gt;DC$5,0,IF(DC181&lt;0,IF(OR($J181=1,$J181=2,$J181=3,$J181=4,$J181=5,$J181=6,$J181=7),-$E181*$I181/12*3,IF($J181=8,-$E181*$I181/12*2,IF($J181=9,-$E181*$I181/12*1,0)))))+IF(CX$5&lt;&gt;$H181,0,IF(CX181&lt;0,IF($J181=7,-$E181*$I181/12*0,IF($J181=8,-$E181*$I181/12*1,IF($J181=9,-$E181*$I181/12*2,IF($J181&gt;=10,-$E181*$I181/12*3,0))))))</f>
        <v>0</v>
      </c>
      <c r="DB181" s="443">
        <f>IF($H181&lt;&gt;DC$5,0,IF(DC181&lt;0,IF(OR($J181=1,$J181=2,$J181=3,$J181=4,$J181=5,$J181=6,$J181=7,$J181=8,$J181=9,$J181=10),-$E181*$I181/12*3,IF($J181=11,-$E181*$I181/12*2,IF($J181=12,-$E181*$I181/12*1,0)))))+IF(CX$5&lt;&gt;$H181,0,IF(CX181&lt;0,IF($J181=10,-$E181*$I181/12*0,IF($J181=11,-$E181*$I181/12*1,IF($J181=12,-$E181*$I181/12*2,0)))))</f>
        <v>0</v>
      </c>
      <c r="DC181" s="440">
        <f>IF(AND(CX181&lt;&gt;0,CX$5=$H181),-$I181*$E181-CX181,IF(DC$5=$H181,-$I181*$E181*(12-$J181+1)/12,0))</f>
        <v>0</v>
      </c>
      <c r="DD181" s="441">
        <f>IF($H181&lt;&gt;DH$5,0,IF(DH181&lt;0,IF($J181=1,-$E181*$I181/12*3,IF($J181=2,-$E181*$I181/12*2,IF($J181=3,-$E181*$I181/12*1,0)))))+IF(DC$5&lt;&gt;$H181,0,IF(DC181&lt;0,IF($J181=1,-$E181*$I181/12*0,IF($J181=2,-$E181*$I181/12*1,IF($J181=3,-$E181*$I181/12*2,IF($J181&gt;=4,-$E181*$I181/12*3,0))))))</f>
        <v>0</v>
      </c>
      <c r="DE181" s="442">
        <f>IF($H181&lt;&gt;DH$5,0,IF(DH181&lt;0,IF(OR($J181=1,$J181=2,$J181=3,$J181=4),-$E181*$I181/12*3,IF($J181=5,-$E181*$I181/12*2,IF($J181=6,-$E181*$I181/12*1,0)))))+IF(DC$5&lt;&gt;$H181,0,IF(DC181&lt;0,IF($J181=4,-$E181*$I181/12*0,IF($J181=5,-$E181*$I181/12*1,IF($J181=6,-$E181*$I181/12*2,IF($J181&gt;=7,-$E181*$I181/12*3,0))))))</f>
        <v>0</v>
      </c>
      <c r="DF181" s="442">
        <f>IF($H181&lt;&gt;DH$5,0,IF(DH181&lt;0,IF(OR($J181=1,$J181=2,$J181=3,$J181=4,$J181=5,$J181=6,$J181=7),-$E181*$I181/12*3,IF($J181=8,-$E181*$I181/12*2,IF($J181=9,-$E181*$I181/12*1,0)))))+IF(DC$5&lt;&gt;$H181,0,IF(DC181&lt;0,IF($J181=7,-$E181*$I181/12*0,IF($J181=8,-$E181*$I181/12*1,IF($J181=9,-$E181*$I181/12*2,IF($J181&gt;=10,-$E181*$I181/12*3,0))))))</f>
        <v>0</v>
      </c>
      <c r="DG181" s="443">
        <f>IF($H181&lt;&gt;DH$5,0,IF(DH181&lt;0,IF(OR($J181=1,$J181=2,$J181=3,$J181=4,$J181=5,$J181=6,$J181=7,$J181=8,$J181=9,$J181=10),-$E181*$I181/12*3,IF($J181=11,-$E181*$I181/12*2,IF($J181=12,-$E181*$I181/12*1,0)))))+IF(DC$5&lt;&gt;$H181,0,IF(DC181&lt;0,IF($J181=10,-$E181*$I181/12*0,IF($J181=11,-$E181*$I181/12*1,IF($J181=12,-$E181*$I181/12*2,0)))))</f>
        <v>0</v>
      </c>
      <c r="DH181" s="440">
        <f>IF(AND(DC181&lt;&gt;0,DC$5=$H181),-$I181*$E181-DC181,IF(DH$5=$H181,-$I181*$E181*(12-$J181+1)/12,0))</f>
        <v>0</v>
      </c>
      <c r="DI181" s="441">
        <f>IF($H181&lt;&gt;DM$5,0,IF(DM181&lt;0,IF($J181=1,-$E181*$I181/12*3,IF($J181=2,-$E181*$I181/12*2,IF($J181=3,-$E181*$I181/12*1,0)))))+IF(DH$5&lt;&gt;$H181,0,IF(DH181&lt;0,IF($J181=1,-$E181*$I181/12*0,IF($J181=2,-$E181*$I181/12*1,IF($J181=3,-$E181*$I181/12*2,IF($J181&gt;=4,-$E181*$I181/12*3,0))))))</f>
        <v>0</v>
      </c>
      <c r="DJ181" s="442">
        <f>IF($H181&lt;&gt;DM$5,0,IF(DM181&lt;0,IF(OR($J181=1,$J181=2,$J181=3,$J181=4),-$E181*$I181/12*3,IF($J181=5,-$E181*$I181/12*2,IF($J181=6,-$E181*$I181/12*1,0)))))+IF(DH$5&lt;&gt;$H181,0,IF(DH181&lt;0,IF($J181=4,-$E181*$I181/12*0,IF($J181=5,-$E181*$I181/12*1,IF($J181=6,-$E181*$I181/12*2,IF($J181&gt;=7,-$E181*$I181/12*3,0))))))</f>
        <v>0</v>
      </c>
      <c r="DK181" s="442">
        <f>IF($H181&lt;&gt;DM$5,0,IF(DM181&lt;0,IF(OR($J181=1,$J181=2,$J181=3,$J181=4,$J181=5,$J181=6,$J181=7),-$E181*$I181/12*3,IF($J181=8,-$E181*$I181/12*2,IF($J181=9,-$E181*$I181/12*1,0)))))+IF(DH$5&lt;&gt;$H181,0,IF(DH181&lt;0,IF($J181=7,-$E181*$I181/12*0,IF($J181=8,-$E181*$I181/12*1,IF($J181=9,-$E181*$I181/12*2,IF($J181&gt;=10,-$E181*$I181/12*3,0))))))</f>
        <v>0</v>
      </c>
      <c r="DL181" s="443">
        <f>IF($H181&lt;&gt;DM$5,0,IF(DM181&lt;0,IF(OR($J181=1,$J181=2,$J181=3,$J181=4,$J181=5,$J181=6,$J181=7,$J181=8,$J181=9,$J181=10),-$E181*$I181/12*3,IF($J181=11,-$E181*$I181/12*2,IF($J181=12,-$E181*$I181/12*1,0)))))+IF(DH$5&lt;&gt;$H181,0,IF(DH181&lt;0,IF($J181=10,-$E181*$I181/12*0,IF($J181=11,-$E181*$I181/12*1,IF($J181=12,-$E181*$I181/12*2,0)))))</f>
        <v>0</v>
      </c>
      <c r="DM181" s="440">
        <f>IF(AND(DH181&lt;&gt;0,DH$5=$H181),-$I181*$E181-DH181,IF(DM$5=$H181,-$I181*$E181*(12-$J181+1)/12,0))</f>
        <v>0</v>
      </c>
      <c r="DN181" s="441">
        <f>IF($H181&lt;&gt;DR$5,0,IF(DR181&lt;0,IF($J181=1,-$E181*$I181/12*3,IF($J181=2,-$E181*$I181/12*2,IF($J181=3,-$E181*$I181/12*1,0)))))+IF(DM$5&lt;&gt;$H181,0,IF(DM181&lt;0,IF($J181=1,-$E181*$I181/12*0,IF($J181=2,-$E181*$I181/12*1,IF($J181=3,-$E181*$I181/12*2,IF($J181&gt;=4,-$E181*$I181/12*3,0))))))</f>
        <v>0</v>
      </c>
      <c r="DO181" s="442">
        <f>IF($H181&lt;&gt;DR$5,0,IF(DR181&lt;0,IF(OR($J181=1,$J181=2,$J181=3,$J181=4),-$E181*$I181/12*3,IF($J181=5,-$E181*$I181/12*2,IF($J181=6,-$E181*$I181/12*1,0)))))+IF(DM$5&lt;&gt;$H181,0,IF(DM181&lt;0,IF($J181=4,-$E181*$I181/12*0,IF($J181=5,-$E181*$I181/12*1,IF($J181=6,-$E181*$I181/12*2,IF($J181&gt;=7,-$E181*$I181/12*3,0))))))</f>
        <v>0</v>
      </c>
      <c r="DP181" s="442">
        <f>IF($H181&lt;&gt;DR$5,0,IF(DR181&lt;0,IF(OR($J181=1,$J181=2,$J181=3,$J181=4,$J181=5,$J181=6,$J181=7),-$E181*$I181/12*3,IF($J181=8,-$E181*$I181/12*2,IF($J181=9,-$E181*$I181/12*1,0)))))+IF(DM$5&lt;&gt;$H181,0,IF(DM181&lt;0,IF($J181=7,-$E181*$I181/12*0,IF($J181=8,-$E181*$I181/12*1,IF($J181=9,-$E181*$I181/12*2,IF($J181&gt;=10,-$E181*$I181/12*3,0))))))</f>
        <v>0</v>
      </c>
      <c r="DQ181" s="443">
        <f>IF($H181&lt;&gt;DR$5,0,IF(DR181&lt;0,IF(OR($J181=1,$J181=2,$J181=3,$J181=4,$J181=5,$J181=6,$J181=7,$J181=8,$J181=9,$J181=10),-$E181*$I181/12*3,IF($J181=11,-$E181*$I181/12*2,IF($J181=12,-$E181*$I181/12*1,0)))))+IF(DM$5&lt;&gt;$H181,0,IF(DM181&lt;0,IF($J181=10,-$E181*$I181/12*0,IF($J181=11,-$E181*$I181/12*1,IF($J181=12,-$E181*$I181/12*2,0)))))</f>
        <v>0</v>
      </c>
      <c r="DR181" s="440">
        <f>IF(AND(DM181&lt;&gt;0,DM$5=$H181),-$I181*$E181-DM181,IF(DR$5=$H181,-$I181*$E181*(12-$J181+1)/12,0))</f>
        <v>0</v>
      </c>
    </row>
    <row r="182" spans="3:122" ht="12.75" customHeight="1">
      <c r="C182" s="1362"/>
      <c r="D182" s="395"/>
      <c r="E182" s="325"/>
      <c r="F182" s="1358"/>
      <c r="G182" s="1358"/>
      <c r="H182" s="651"/>
      <c r="I182" s="650"/>
      <c r="J182" s="656"/>
      <c r="K182" s="549"/>
      <c r="L182" s="441"/>
      <c r="M182" s="442"/>
      <c r="N182" s="442"/>
      <c r="O182" s="443"/>
      <c r="P182" s="440"/>
      <c r="Q182" s="441"/>
      <c r="R182" s="442"/>
      <c r="S182" s="442"/>
      <c r="T182" s="443"/>
      <c r="U182" s="440"/>
      <c r="V182" s="441"/>
      <c r="W182" s="442"/>
      <c r="X182" s="442"/>
      <c r="Y182" s="443"/>
      <c r="Z182" s="440"/>
      <c r="AA182" s="441"/>
      <c r="AB182" s="442"/>
      <c r="AC182" s="442"/>
      <c r="AD182" s="443"/>
      <c r="AE182" s="440"/>
      <c r="AF182" s="441"/>
      <c r="AG182" s="442"/>
      <c r="AH182" s="442"/>
      <c r="AI182" s="443"/>
      <c r="AJ182" s="440"/>
      <c r="AK182" s="441"/>
      <c r="AL182" s="442"/>
      <c r="AM182" s="442"/>
      <c r="AN182" s="443"/>
      <c r="AO182" s="440"/>
      <c r="AP182" s="441"/>
      <c r="AQ182" s="442"/>
      <c r="AR182" s="442"/>
      <c r="AS182" s="443"/>
      <c r="AT182" s="440"/>
      <c r="AU182" s="441"/>
      <c r="AV182" s="442"/>
      <c r="AW182" s="442"/>
      <c r="AX182" s="443"/>
      <c r="AY182" s="440"/>
      <c r="AZ182" s="441"/>
      <c r="BA182" s="442"/>
      <c r="BB182" s="442"/>
      <c r="BC182" s="443"/>
      <c r="BD182" s="440"/>
      <c r="BE182" s="441"/>
      <c r="BF182" s="442"/>
      <c r="BG182" s="442"/>
      <c r="BH182" s="443"/>
      <c r="BI182" s="440"/>
      <c r="BJ182" s="441"/>
      <c r="BK182" s="442"/>
      <c r="BL182" s="442"/>
      <c r="BM182" s="443"/>
      <c r="BN182" s="440"/>
      <c r="BO182" s="470"/>
      <c r="BP182" s="441"/>
      <c r="BQ182" s="442"/>
      <c r="BR182" s="442"/>
      <c r="BS182" s="443"/>
      <c r="BT182" s="440"/>
      <c r="BU182" s="441"/>
      <c r="BV182" s="442"/>
      <c r="BW182" s="442"/>
      <c r="BX182" s="443"/>
      <c r="BY182" s="440"/>
      <c r="BZ182" s="441"/>
      <c r="CA182" s="442"/>
      <c r="CB182" s="442"/>
      <c r="CC182" s="443"/>
      <c r="CD182" s="440"/>
      <c r="CE182" s="441"/>
      <c r="CF182" s="442"/>
      <c r="CG182" s="442"/>
      <c r="CH182" s="443"/>
      <c r="CI182" s="440"/>
      <c r="CJ182" s="441"/>
      <c r="CK182" s="442"/>
      <c r="CL182" s="442"/>
      <c r="CM182" s="443"/>
      <c r="CN182" s="440"/>
      <c r="CO182" s="441"/>
      <c r="CP182" s="442"/>
      <c r="CQ182" s="442"/>
      <c r="CR182" s="443"/>
      <c r="CS182" s="440"/>
      <c r="CT182" s="441"/>
      <c r="CU182" s="442"/>
      <c r="CV182" s="442"/>
      <c r="CW182" s="443"/>
      <c r="CX182" s="440"/>
      <c r="CY182" s="441"/>
      <c r="CZ182" s="442"/>
      <c r="DA182" s="442"/>
      <c r="DB182" s="443"/>
      <c r="DC182" s="440"/>
      <c r="DD182" s="441"/>
      <c r="DE182" s="442"/>
      <c r="DF182" s="442"/>
      <c r="DG182" s="443"/>
      <c r="DH182" s="440"/>
      <c r="DI182" s="441"/>
      <c r="DJ182" s="442"/>
      <c r="DK182" s="442"/>
      <c r="DL182" s="443"/>
      <c r="DM182" s="440"/>
      <c r="DN182" s="441"/>
      <c r="DO182" s="442"/>
      <c r="DP182" s="442"/>
      <c r="DQ182" s="443"/>
      <c r="DR182" s="440"/>
    </row>
    <row r="183" spans="3:122" ht="12.75" customHeight="1">
      <c r="C183" s="1363" t="s">
        <v>322</v>
      </c>
      <c r="D183" s="395"/>
      <c r="E183" s="325"/>
      <c r="F183" s="1358"/>
      <c r="G183" s="1358"/>
      <c r="H183" s="414"/>
      <c r="I183" s="650"/>
      <c r="J183" s="656"/>
      <c r="K183" s="549"/>
      <c r="L183" s="441"/>
      <c r="M183" s="442"/>
      <c r="N183" s="442"/>
      <c r="O183" s="443"/>
      <c r="P183" s="440"/>
      <c r="Q183" s="441"/>
      <c r="R183" s="442"/>
      <c r="S183" s="442"/>
      <c r="T183" s="443"/>
      <c r="U183" s="440"/>
      <c r="V183" s="441"/>
      <c r="W183" s="442"/>
      <c r="X183" s="442"/>
      <c r="Y183" s="443"/>
      <c r="Z183" s="440"/>
      <c r="AA183" s="441"/>
      <c r="AB183" s="442"/>
      <c r="AC183" s="442"/>
      <c r="AD183" s="443"/>
      <c r="AE183" s="440"/>
      <c r="AF183" s="441"/>
      <c r="AG183" s="442"/>
      <c r="AH183" s="442"/>
      <c r="AI183" s="443"/>
      <c r="AJ183" s="440"/>
      <c r="AK183" s="441"/>
      <c r="AL183" s="442"/>
      <c r="AM183" s="442"/>
      <c r="AN183" s="443"/>
      <c r="AO183" s="440"/>
      <c r="AP183" s="441"/>
      <c r="AQ183" s="442"/>
      <c r="AR183" s="442"/>
      <c r="AS183" s="443"/>
      <c r="AT183" s="440"/>
      <c r="AU183" s="441"/>
      <c r="AV183" s="442"/>
      <c r="AW183" s="442"/>
      <c r="AX183" s="443"/>
      <c r="AY183" s="440"/>
      <c r="AZ183" s="441"/>
      <c r="BA183" s="442"/>
      <c r="BB183" s="442"/>
      <c r="BC183" s="443"/>
      <c r="BD183" s="440"/>
      <c r="BE183" s="441"/>
      <c r="BF183" s="442"/>
      <c r="BG183" s="442"/>
      <c r="BH183" s="443"/>
      <c r="BI183" s="440"/>
      <c r="BJ183" s="441"/>
      <c r="BK183" s="442"/>
      <c r="BL183" s="442"/>
      <c r="BM183" s="443"/>
      <c r="BN183" s="440"/>
      <c r="BO183" s="470"/>
      <c r="BP183" s="441"/>
      <c r="BQ183" s="442"/>
      <c r="BR183" s="442"/>
      <c r="BS183" s="443"/>
      <c r="BT183" s="440"/>
      <c r="BU183" s="441"/>
      <c r="BV183" s="442"/>
      <c r="BW183" s="442"/>
      <c r="BX183" s="443"/>
      <c r="BY183" s="440"/>
      <c r="BZ183" s="441"/>
      <c r="CA183" s="442"/>
      <c r="CB183" s="442"/>
      <c r="CC183" s="443"/>
      <c r="CD183" s="440"/>
      <c r="CE183" s="441"/>
      <c r="CF183" s="442"/>
      <c r="CG183" s="442"/>
      <c r="CH183" s="443"/>
      <c r="CI183" s="440"/>
      <c r="CJ183" s="441"/>
      <c r="CK183" s="442"/>
      <c r="CL183" s="442"/>
      <c r="CM183" s="443"/>
      <c r="CN183" s="440"/>
      <c r="CO183" s="441"/>
      <c r="CP183" s="442"/>
      <c r="CQ183" s="442"/>
      <c r="CR183" s="443"/>
      <c r="CS183" s="440"/>
      <c r="CT183" s="441"/>
      <c r="CU183" s="442"/>
      <c r="CV183" s="442"/>
      <c r="CW183" s="443"/>
      <c r="CX183" s="440"/>
      <c r="CY183" s="441"/>
      <c r="CZ183" s="442"/>
      <c r="DA183" s="442"/>
      <c r="DB183" s="443"/>
      <c r="DC183" s="440"/>
      <c r="DD183" s="441"/>
      <c r="DE183" s="442"/>
      <c r="DF183" s="442"/>
      <c r="DG183" s="443"/>
      <c r="DH183" s="440"/>
      <c r="DI183" s="441"/>
      <c r="DJ183" s="442"/>
      <c r="DK183" s="442"/>
      <c r="DL183" s="443"/>
      <c r="DM183" s="440"/>
      <c r="DN183" s="441"/>
      <c r="DO183" s="442"/>
      <c r="DP183" s="442"/>
      <c r="DQ183" s="443"/>
      <c r="DR183" s="440"/>
    </row>
    <row r="184" spans="3:122" ht="12.75" customHeight="1">
      <c r="C184" s="1123" t="s">
        <v>726</v>
      </c>
      <c r="D184" s="395"/>
      <c r="E184" s="1951">
        <f t="shared" ref="E184:E187" si="2295">IF(F184=0,G184,F184)</f>
        <v>300</v>
      </c>
      <c r="F184" s="1945">
        <v>300</v>
      </c>
      <c r="G184" s="1945">
        <v>300</v>
      </c>
      <c r="H184" s="1366">
        <v>2019</v>
      </c>
      <c r="I184" s="1367">
        <v>7.6999999999999999E-2</v>
      </c>
      <c r="J184" s="1357">
        <v>1</v>
      </c>
      <c r="K184" s="549"/>
      <c r="L184" s="441">
        <f t="shared" ref="L184:L187" si="2296">IF(P184=0,0,IF(P184&lt;0,IF($J184=3,P184,IF($J184=2,P184,IF($J184=1,P184,0)))))</f>
        <v>0</v>
      </c>
      <c r="M184" s="442">
        <f t="shared" ref="M184:M187" si="2297">IF(P184=0,0,IF(P184&lt;0,IF($J184=6,P184,IF($J184=5,P184,IF($J184=4,P184,0)))))</f>
        <v>0</v>
      </c>
      <c r="N184" s="442">
        <f t="shared" ref="N184:N187" si="2298">IF(P184=0,0,IF(P184&lt;0,IF($J184=9,P184,IF($J184=8,P184,IF($J184=7,P184,0)))))</f>
        <v>0</v>
      </c>
      <c r="O184" s="443">
        <f t="shared" ref="O184:O187" si="2299">IF(P184=0,0,IF(P184&lt;0,IF($J184=12,P184,IF($J184=11,P184,IF($J184=10,P184,0)))))</f>
        <v>0</v>
      </c>
      <c r="P184" s="440">
        <f t="shared" ref="P184:P187" si="2300">IF(P$5=$H184,-$E184,0)</f>
        <v>0</v>
      </c>
      <c r="Q184" s="441">
        <f t="shared" ref="Q184:Q187" si="2301">IF(U184=0,0,IF(U184&lt;0,IF($J184=3,U184,IF($J184=2,U184,IF($J184=1,U184,0)))))</f>
        <v>0</v>
      </c>
      <c r="R184" s="442">
        <f t="shared" ref="R184:R187" si="2302">IF(U184=0,0,IF(U184&lt;0,IF($J184=6,U184,IF($J184=5,U184,IF($J184=4,U184,0)))))</f>
        <v>0</v>
      </c>
      <c r="S184" s="442">
        <f t="shared" ref="S184:S187" si="2303">IF(U184=0,0,IF(U184&lt;0,IF($J184=9,U184,IF($J184=8,U184,IF($J184=7,U184,0)))))</f>
        <v>0</v>
      </c>
      <c r="T184" s="443">
        <f t="shared" ref="T184:T187" si="2304">IF(U184=0,0,IF(U184&lt;0,IF($J184=12,U184,IF($J184=11,U184,IF($J184=10,U184,0)))))</f>
        <v>0</v>
      </c>
      <c r="U184" s="440">
        <f t="shared" ref="U184:U187" si="2305">IF(U$5=$H184,-$E184,0)</f>
        <v>0</v>
      </c>
      <c r="V184" s="441">
        <f t="shared" ref="V184:V187" si="2306">IF(Z184=0,0,IF(Z184&lt;0,IF($J184=3,Z184,IF($J184=2,Z184,IF($J184=1,Z184,0)))))</f>
        <v>0</v>
      </c>
      <c r="W184" s="442">
        <f t="shared" ref="W184:W187" si="2307">IF(Z184=0,0,IF(Z184&lt;0,IF($J184=6,Z184,IF($J184=5,Z184,IF($J184=4,Z184,0)))))</f>
        <v>0</v>
      </c>
      <c r="X184" s="442">
        <f t="shared" ref="X184:X187" si="2308">IF(Z184=0,0,IF(Z184&lt;0,IF($J184=9,Z184,IF($J184=8,Z184,IF($J184=7,Z184,0)))))</f>
        <v>0</v>
      </c>
      <c r="Y184" s="443">
        <f t="shared" ref="Y184:Y187" si="2309">IF(Z184=0,0,IF(Z184&lt;0,IF($J184=12,Z184,IF($J184=11,Z184,IF($J184=10,Z184,0)))))</f>
        <v>0</v>
      </c>
      <c r="Z184" s="440">
        <f t="shared" ref="Z184:Z187" si="2310">IF(Z$5=$H184,-$E184,0)</f>
        <v>0</v>
      </c>
      <c r="AA184" s="441">
        <f t="shared" ref="AA184:AA187" si="2311">IF(AE184=0,0,IF(AE184&lt;0,IF($J184=3,AE184,IF($J184=2,AE184,IF($J184=1,AE184,0)))))</f>
        <v>0</v>
      </c>
      <c r="AB184" s="442">
        <f t="shared" ref="AB184:AB187" si="2312">IF(AE184=0,0,IF(AE184&lt;0,IF($J184=6,AE184,IF($J184=5,AE184,IF($J184=4,AE184,0)))))</f>
        <v>0</v>
      </c>
      <c r="AC184" s="442">
        <f t="shared" ref="AC184:AC187" si="2313">IF(AE184=0,0,IF(AE184&lt;0,IF($J184=9,AE184,IF($J184=8,AE184,IF($J184=7,AE184,0)))))</f>
        <v>0</v>
      </c>
      <c r="AD184" s="443">
        <f t="shared" ref="AD184:AD187" si="2314">IF(AE184=0,0,IF(AE184&lt;0,IF($J184=12,AE184,IF($J184=11,AE184,IF($J184=10,AE184,0)))))</f>
        <v>0</v>
      </c>
      <c r="AE184" s="440">
        <f t="shared" ref="AE184:AE187" si="2315">IF(AE$5=$H184,-$E184,0)</f>
        <v>0</v>
      </c>
      <c r="AF184" s="441">
        <f t="shared" ref="AF184:AF187" si="2316">IF(AJ184=0,0,IF(AJ184&lt;0,IF($J184=3,AJ184,IF($J184=2,AJ184,IF($J184=1,AJ184,0)))))</f>
        <v>0</v>
      </c>
      <c r="AG184" s="442">
        <f t="shared" ref="AG184:AG187" si="2317">IF(AJ184=0,0,IF(AJ184&lt;0,IF($J184=6,AJ184,IF($J184=5,AJ184,IF($J184=4,AJ184,0)))))</f>
        <v>0</v>
      </c>
      <c r="AH184" s="442">
        <f t="shared" ref="AH184:AH187" si="2318">IF(AJ184=0,0,IF(AJ184&lt;0,IF($J184=9,AJ184,IF($J184=8,AJ184,IF($J184=7,AJ184,0)))))</f>
        <v>0</v>
      </c>
      <c r="AI184" s="443">
        <f t="shared" ref="AI184:AI187" si="2319">IF(AJ184=0,0,IF(AJ184&lt;0,IF($J184=12,AJ184,IF($J184=11,AJ184,IF($J184=10,AJ184,0)))))</f>
        <v>0</v>
      </c>
      <c r="AJ184" s="440">
        <f t="shared" ref="AJ184:AJ187" si="2320">IF(AJ$5=$H184,-$E184,0)</f>
        <v>0</v>
      </c>
      <c r="AK184" s="441">
        <f t="shared" ref="AK184:AK187" si="2321">IF(AO184=0,0,IF(AO184&lt;0,IF($J184=3,AO184,IF($J184=2,AO184,IF($J184=1,AO184,0)))))</f>
        <v>0</v>
      </c>
      <c r="AL184" s="442">
        <f t="shared" ref="AL184:AL187" si="2322">IF(AO184=0,0,IF(AO184&lt;0,IF($J184=6,AO184,IF($J184=5,AO184,IF($J184=4,AO184,0)))))</f>
        <v>0</v>
      </c>
      <c r="AM184" s="442">
        <f t="shared" ref="AM184:AM187" si="2323">IF(AO184=0,0,IF(AO184&lt;0,IF($J184=9,AO184,IF($J184=8,AO184,IF($J184=7,AO184,0)))))</f>
        <v>0</v>
      </c>
      <c r="AN184" s="443">
        <f t="shared" ref="AN184:AN187" si="2324">IF(AO184=0,0,IF(AO184&lt;0,IF($J184=12,AO184,IF($J184=11,AO184,IF($J184=10,AO184,0)))))</f>
        <v>0</v>
      </c>
      <c r="AO184" s="440">
        <f t="shared" ref="AO184:AO187" si="2325">IF(AO$5=$H184,-$E184,0)</f>
        <v>0</v>
      </c>
      <c r="AP184" s="441">
        <f t="shared" ref="AP184:AP187" si="2326">IF(AT184=0,0,IF(AT184&lt;0,IF($J184=3,AT184,IF($J184=2,AT184,IF($J184=1,AT184,0)))))</f>
        <v>0</v>
      </c>
      <c r="AQ184" s="442">
        <f t="shared" ref="AQ184:AQ187" si="2327">IF(AT184=0,0,IF(AT184&lt;0,IF($J184=6,AT184,IF($J184=5,AT184,IF($J184=4,AT184,0)))))</f>
        <v>0</v>
      </c>
      <c r="AR184" s="442">
        <f t="shared" ref="AR184:AR187" si="2328">IF(AT184=0,0,IF(AT184&lt;0,IF($J184=9,AT184,IF($J184=8,AT184,IF($J184=7,AT184,0)))))</f>
        <v>0</v>
      </c>
      <c r="AS184" s="443">
        <f t="shared" ref="AS184:AS187" si="2329">IF(AT184=0,0,IF(AT184&lt;0,IF($J184=12,AT184,IF($J184=11,AT184,IF($J184=10,AT184,0)))))</f>
        <v>0</v>
      </c>
      <c r="AT184" s="440">
        <f t="shared" ref="AT184:AT187" si="2330">IF(AT$5=$H184,-$E184,0)</f>
        <v>0</v>
      </c>
      <c r="AU184" s="441">
        <f t="shared" ref="AU184:AU187" si="2331">IF(AY184=0,0,IF(AY184&lt;0,IF($J184=3,AY184,IF($J184=2,AY184,IF($J184=1,AY184,0)))))</f>
        <v>0</v>
      </c>
      <c r="AV184" s="442">
        <f t="shared" ref="AV184:AV187" si="2332">IF(AY184=0,0,IF(AY184&lt;0,IF($J184=6,AY184,IF($J184=5,AY184,IF($J184=4,AY184,0)))))</f>
        <v>0</v>
      </c>
      <c r="AW184" s="442">
        <f t="shared" ref="AW184:AW187" si="2333">IF(AY184=0,0,IF(AY184&lt;0,IF($J184=9,AY184,IF($J184=8,AY184,IF($J184=7,AY184,0)))))</f>
        <v>0</v>
      </c>
      <c r="AX184" s="443">
        <f t="shared" ref="AX184:AX187" si="2334">IF(AY184=0,0,IF(AY184&lt;0,IF($J184=12,AY184,IF($J184=11,AY184,IF($J184=10,AY184,0)))))</f>
        <v>0</v>
      </c>
      <c r="AY184" s="440">
        <f t="shared" ref="AY184:AY187" si="2335">IF(AY$5=$H184,-$E184,0)</f>
        <v>0</v>
      </c>
      <c r="AZ184" s="441">
        <f t="shared" ref="AZ184:AZ187" si="2336">IF(BD184=0,0,IF(BD184&lt;0,IF($J184=3,BD184,IF($J184=2,BD184,IF($J184=1,BD184,0)))))</f>
        <v>-300</v>
      </c>
      <c r="BA184" s="442">
        <f t="shared" ref="BA184:BA187" si="2337">IF(BD184=0,0,IF(BD184&lt;0,IF($J184=6,BD184,IF($J184=5,BD184,IF($J184=4,BD184,0)))))</f>
        <v>0</v>
      </c>
      <c r="BB184" s="442">
        <f t="shared" ref="BB184:BB187" si="2338">IF(BD184=0,0,IF(BD184&lt;0,IF($J184=9,BD184,IF($J184=8,BD184,IF($J184=7,BD184,0)))))</f>
        <v>0</v>
      </c>
      <c r="BC184" s="443">
        <f t="shared" ref="BC184:BC187" si="2339">IF(BD184=0,0,IF(BD184&lt;0,IF($J184=12,BD184,IF($J184=11,BD184,IF($J184=10,BD184,0)))))</f>
        <v>0</v>
      </c>
      <c r="BD184" s="440">
        <f t="shared" ref="BD184:BD187" si="2340">IF(BD$5=$H184,-$E184,0)</f>
        <v>-300</v>
      </c>
      <c r="BE184" s="441">
        <f t="shared" ref="BE184:BE187" si="2341">IF(BI184=0,0,IF(BI184&lt;0,IF($J184=3,BI184,IF($J184=2,BI184,IF($J184=1,BI184,0)))))</f>
        <v>0</v>
      </c>
      <c r="BF184" s="442">
        <f t="shared" ref="BF184:BF187" si="2342">IF(BI184=0,0,IF(BI184&lt;0,IF($J184=6,BI184,IF($J184=5,BI184,IF($J184=4,BI184,0)))))</f>
        <v>0</v>
      </c>
      <c r="BG184" s="442">
        <f t="shared" ref="BG184:BG187" si="2343">IF(BI184=0,0,IF(BI184&lt;0,IF($J184=9,BI184,IF($J184=8,BI184,IF($J184=7,BI184,0)))))</f>
        <v>0</v>
      </c>
      <c r="BH184" s="443">
        <f t="shared" ref="BH184:BH187" si="2344">IF(BI184=0,0,IF(BI184&lt;0,IF($J184=12,BI184,IF($J184=11,BI184,IF($J184=10,BI184,0)))))</f>
        <v>0</v>
      </c>
      <c r="BI184" s="440">
        <f t="shared" ref="BI184:BI187" si="2345">IF(BI$5=$H184,-$E184,0)</f>
        <v>0</v>
      </c>
      <c r="BJ184" s="441">
        <f t="shared" ref="BJ184:BJ187" si="2346">IF(BN184=0,0,IF(BN184&lt;0,IF($J184=3,BN184,IF($J184=2,BN184,IF($J184=1,BN184,0)))))</f>
        <v>0</v>
      </c>
      <c r="BK184" s="442">
        <f t="shared" ref="BK184:BK187" si="2347">IF(BN184=0,0,IF(BN184&lt;0,IF($J184=6,BN184,IF($J184=5,BN184,IF($J184=4,BN184,0)))))</f>
        <v>0</v>
      </c>
      <c r="BL184" s="442">
        <f t="shared" ref="BL184:BL187" si="2348">IF(BN184=0,0,IF(BN184&lt;0,IF($J184=9,BN184,IF($J184=8,BN184,IF($J184=7,BN184,0)))))</f>
        <v>0</v>
      </c>
      <c r="BM184" s="443">
        <f t="shared" ref="BM184:BM187" si="2349">IF(BN184=0,0,IF(BN184&lt;0,IF($J184=12,BN184,IF($J184=11,BN184,IF($J184=10,BN184,0)))))</f>
        <v>0</v>
      </c>
      <c r="BN184" s="440">
        <f t="shared" ref="BN184:BN187" si="2350">IF(BN$5=$H184,-$E184,0)</f>
        <v>0</v>
      </c>
      <c r="BO184" s="470"/>
      <c r="BP184" s="441">
        <f t="shared" ref="BP184:BP187" si="2351">IF($H184&lt;&gt;BT$5,0,IF(BT184&lt;0,IF($J184=1,-$E184*$I184/12*3,IF($J184=2,-$E184*$I184/12*2,IF($J184=3,-$E184*$I184/12*1,0)))))+IF(BO$5&lt;&gt;$H184,0,IF(BO184&lt;0,IF($J184=1,-$E184*$I184/12*0,IF($J184=2,-$E184*$I184/12*1,IF($J184=3,-$E184*$I184/12*2,IF($J184&gt;=4,-$E184*$I184/12*3,0))))))</f>
        <v>0</v>
      </c>
      <c r="BQ184" s="442">
        <f t="shared" ref="BQ184:BQ187" si="2352">IF($H184&lt;&gt;BT$5,0,IF(BT184&lt;0,IF(OR($J184=1,$J184=2,$J184=3,$J184=4),-$E184*$I184/12*3,IF($J184=5,-$E184*$I184/12*2,IF($J184=6,-$E184*$I184/12*1,0)))))+IF(BO$5&lt;&gt;$H184,0,IF(BO184&lt;0,IF($J184=4,-$E184*$I184/12*0,IF($J184=5,-$E184*$I184/12*1,IF($J184=6,-$E184*$I184/12*2,IF($J184&gt;=7,-$E184*$I184/12*3,0))))))</f>
        <v>0</v>
      </c>
      <c r="BR184" s="442">
        <f t="shared" ref="BR184:BR187" si="2353">IF($H184&lt;&gt;BT$5,0,IF(BT184&lt;0,IF(OR($J184=1,$J184=2,$J184=3,$J184=4,$J184=5,$J184=6,$J184=7),-$E184*$I184/12*3,IF($J184=8,-$E184*$I184/12*2,IF($J184=9,-$E184*$I184/12*1,0)))))+IF(BO$5&lt;&gt;$H184,0,IF(BO184&lt;0,IF($J184=7,-$E184*$I184/12*0,IF($J184=8,-$E184*$I184/12*1,IF($J184=9,-$E184*$I184/12*2,IF($J184&gt;=10,-$E184*$I184/12*3,0))))))</f>
        <v>0</v>
      </c>
      <c r="BS184" s="443">
        <f t="shared" ref="BS184:BS187" si="2354">IF($H184&lt;&gt;BT$5,0,IF(BT184&lt;0,IF(OR($J184=1,$J184=2,$J184=3,$J184=4,$J184=5,$J184=6,$J184=7,$J184=8,$J184=9,$J184=10),-$E184*$I184/12*3,IF($J184=11,-$E184*$I184/12*2,IF($J184=12,-$E184*$I184/12*1,0)))))+IF(BO$5&lt;&gt;$H184,0,IF(BO184&lt;0,IF($J184=10,-$E184*$I184/12*0,IF($J184=11,-$E184*$I184/12*1,IF($J184=12,-$E184*$I184/12*2,0)))))</f>
        <v>0</v>
      </c>
      <c r="BT184" s="440">
        <f t="shared" ref="BT184:BT187" si="2355">IF(AND(BO184&lt;&gt;0,BO$5=$H184),-$I184*$E184-BO184,IF(BT$5=$H184,-$I184*$E184*(12-$J184+1)/12,0))</f>
        <v>0</v>
      </c>
      <c r="BU184" s="441">
        <f t="shared" ref="BU184:BU187" si="2356">IF($H184&lt;&gt;BY$5,0,IF(BY184&lt;0,IF($J184=1,-$E184*$I184/12*3,IF($J184=2,-$E184*$I184/12*2,IF($J184=3,-$E184*$I184/12*1,0)))))+IF(BT$5&lt;&gt;$H184,0,IF(BT184&lt;0,IF($J184=1,-$E184*$I184/12*0,IF($J184=2,-$E184*$I184/12*1,IF($J184=3,-$E184*$I184/12*2,IF($J184&gt;=4,-$E184*$I184/12*3,0))))))</f>
        <v>0</v>
      </c>
      <c r="BV184" s="442">
        <f t="shared" ref="BV184:BV187" si="2357">IF($H184&lt;&gt;BY$5,0,IF(BY184&lt;0,IF(OR($J184=1,$J184=2,$J184=3,$J184=4),-$E184*$I184/12*3,IF($J184=5,-$E184*$I184/12*2,IF($J184=6,-$E184*$I184/12*1,0)))))+IF(BT$5&lt;&gt;$H184,0,IF(BT184&lt;0,IF($J184=4,-$E184*$I184/12*0,IF($J184=5,-$E184*$I184/12*1,IF($J184=6,-$E184*$I184/12*2,IF($J184&gt;=7,-$E184*$I184/12*3,0))))))</f>
        <v>0</v>
      </c>
      <c r="BW184" s="442">
        <f t="shared" ref="BW184:BW187" si="2358">IF($H184&lt;&gt;BY$5,0,IF(BY184&lt;0,IF(OR($J184=1,$J184=2,$J184=3,$J184=4,$J184=5,$J184=6,$J184=7),-$E184*$I184/12*3,IF($J184=8,-$E184*$I184/12*2,IF($J184=9,-$E184*$I184/12*1,0)))))+IF(BT$5&lt;&gt;$H184,0,IF(BT184&lt;0,IF($J184=7,-$E184*$I184/12*0,IF($J184=8,-$E184*$I184/12*1,IF($J184=9,-$E184*$I184/12*2,IF($J184&gt;=10,-$E184*$I184/12*3,0))))))</f>
        <v>0</v>
      </c>
      <c r="BX184" s="443">
        <f t="shared" ref="BX184:BX187" si="2359">IF($H184&lt;&gt;BY$5,0,IF(BY184&lt;0,IF(OR($J184=1,$J184=2,$J184=3,$J184=4,$J184=5,$J184=6,$J184=7,$J184=8,$J184=9,$J184=10),-$E184*$I184/12*3,IF($J184=11,-$E184*$I184/12*2,IF($J184=12,-$E184*$I184/12*1,0)))))+IF(BT$5&lt;&gt;$H184,0,IF(BT184&lt;0,IF($J184=10,-$E184*$I184/12*0,IF($J184=11,-$E184*$I184/12*1,IF($J184=12,-$E184*$I184/12*2,0)))))</f>
        <v>0</v>
      </c>
      <c r="BY184" s="440">
        <f t="shared" ref="BY184:BY187" si="2360">IF(AND(BT184&lt;&gt;0,BT$5=$H184),-$I184*$E184-BT184,IF(BY$5=$H184,-$I184*$E184*(12-$J184+1)/12,0))</f>
        <v>0</v>
      </c>
      <c r="BZ184" s="441">
        <f t="shared" ref="BZ184:BZ187" si="2361">IF($H184&lt;&gt;CD$5,0,IF(CD184&lt;0,IF($J184=1,-$E184*$I184/12*3,IF($J184=2,-$E184*$I184/12*2,IF($J184=3,-$E184*$I184/12*1,0)))))+IF(BY$5&lt;&gt;$H184,0,IF(BY184&lt;0,IF($J184=1,-$E184*$I184/12*0,IF($J184=2,-$E184*$I184/12*1,IF($J184=3,-$E184*$I184/12*2,IF($J184&gt;=4,-$E184*$I184/12*3,0))))))</f>
        <v>0</v>
      </c>
      <c r="CA184" s="442">
        <f t="shared" ref="CA184:CA187" si="2362">IF($H184&lt;&gt;CD$5,0,IF(CD184&lt;0,IF(OR($J184=1,$J184=2,$J184=3,$J184=4),-$E184*$I184/12*3,IF($J184=5,-$E184*$I184/12*2,IF($J184=6,-$E184*$I184/12*1,0)))))+IF(BY$5&lt;&gt;$H184,0,IF(BY184&lt;0,IF($J184=4,-$E184*$I184/12*0,IF($J184=5,-$E184*$I184/12*1,IF($J184=6,-$E184*$I184/12*2,IF($J184&gt;=7,-$E184*$I184/12*3,0))))))</f>
        <v>0</v>
      </c>
      <c r="CB184" s="442">
        <f t="shared" ref="CB184:CB187" si="2363">IF($H184&lt;&gt;CD$5,0,IF(CD184&lt;0,IF(OR($J184=1,$J184=2,$J184=3,$J184=4,$J184=5,$J184=6,$J184=7),-$E184*$I184/12*3,IF($J184=8,-$E184*$I184/12*2,IF($J184=9,-$E184*$I184/12*1,0)))))+IF(BY$5&lt;&gt;$H184,0,IF(BY184&lt;0,IF($J184=7,-$E184*$I184/12*0,IF($J184=8,-$E184*$I184/12*1,IF($J184=9,-$E184*$I184/12*2,IF($J184&gt;=10,-$E184*$I184/12*3,0))))))</f>
        <v>0</v>
      </c>
      <c r="CC184" s="443">
        <f t="shared" ref="CC184:CC187" si="2364">IF($H184&lt;&gt;CD$5,0,IF(CD184&lt;0,IF(OR($J184=1,$J184=2,$J184=3,$J184=4,$J184=5,$J184=6,$J184=7,$J184=8,$J184=9,$J184=10),-$E184*$I184/12*3,IF($J184=11,-$E184*$I184/12*2,IF($J184=12,-$E184*$I184/12*1,0)))))+IF(BY$5&lt;&gt;$H184,0,IF(BY184&lt;0,IF($J184=10,-$E184*$I184/12*0,IF($J184=11,-$E184*$I184/12*1,IF($J184=12,-$E184*$I184/12*2,0)))))</f>
        <v>0</v>
      </c>
      <c r="CD184" s="440">
        <f t="shared" ref="CD184:CD187" si="2365">IF(AND(BY184&lt;&gt;0,BY$5=$H184),-$I184*$E184-BY184,IF(CD$5=$H184,-$I184*$E184*(12-$J184+1)/12,0))</f>
        <v>0</v>
      </c>
      <c r="CE184" s="441">
        <f t="shared" ref="CE184:CE187" si="2366">IF($H184&lt;&gt;CI$5,0,IF(CI184&lt;0,IF($J184=1,-$E184*$I184/12*3,IF($J184=2,-$E184*$I184/12*2,IF($J184=3,-$E184*$I184/12*1,0)))))+IF(CD$5&lt;&gt;$H184,0,IF(CD184&lt;0,IF($J184=1,-$E184*$I184/12*0,IF($J184=2,-$E184*$I184/12*1,IF($J184=3,-$E184*$I184/12*2,IF($J184&gt;=4,-$E184*$I184/12*3,0))))))</f>
        <v>0</v>
      </c>
      <c r="CF184" s="442">
        <f t="shared" ref="CF184:CF187" si="2367">IF($H184&lt;&gt;CI$5,0,IF(CI184&lt;0,IF(OR($J184=1,$J184=2,$J184=3,$J184=4),-$E184*$I184/12*3,IF($J184=5,-$E184*$I184/12*2,IF($J184=6,-$E184*$I184/12*1,0)))))+IF(CD$5&lt;&gt;$H184,0,IF(CD184&lt;0,IF($J184=4,-$E184*$I184/12*0,IF($J184=5,-$E184*$I184/12*1,IF($J184=6,-$E184*$I184/12*2,IF($J184&gt;=7,-$E184*$I184/12*3,0))))))</f>
        <v>0</v>
      </c>
      <c r="CG184" s="442">
        <f t="shared" ref="CG184:CG187" si="2368">IF($H184&lt;&gt;CI$5,0,IF(CI184&lt;0,IF(OR($J184=1,$J184=2,$J184=3,$J184=4,$J184=5,$J184=6,$J184=7),-$E184*$I184/12*3,IF($J184=8,-$E184*$I184/12*2,IF($J184=9,-$E184*$I184/12*1,0)))))+IF(CD$5&lt;&gt;$H184,0,IF(CD184&lt;0,IF($J184=7,-$E184*$I184/12*0,IF($J184=8,-$E184*$I184/12*1,IF($J184=9,-$E184*$I184/12*2,IF($J184&gt;=10,-$E184*$I184/12*3,0))))))</f>
        <v>0</v>
      </c>
      <c r="CH184" s="443">
        <f t="shared" ref="CH184:CH187" si="2369">IF($H184&lt;&gt;CI$5,0,IF(CI184&lt;0,IF(OR($J184=1,$J184=2,$J184=3,$J184=4,$J184=5,$J184=6,$J184=7,$J184=8,$J184=9,$J184=10),-$E184*$I184/12*3,IF($J184=11,-$E184*$I184/12*2,IF($J184=12,-$E184*$I184/12*1,0)))))+IF(CD$5&lt;&gt;$H184,0,IF(CD184&lt;0,IF($J184=10,-$E184*$I184/12*0,IF($J184=11,-$E184*$I184/12*1,IF($J184=12,-$E184*$I184/12*2,0)))))</f>
        <v>0</v>
      </c>
      <c r="CI184" s="440">
        <f t="shared" ref="CI184:CI187" si="2370">IF(AND(CD184&lt;&gt;0,CD$5=$H184),-$I184*$E184-CD184,IF(CI$5=$H184,-$I184*$E184*(12-$J184+1)/12,0))</f>
        <v>0</v>
      </c>
      <c r="CJ184" s="441">
        <f t="shared" ref="CJ184:CJ187" si="2371">IF($H184&lt;&gt;CN$5,0,IF(CN184&lt;0,IF($J184=1,-$E184*$I184/12*3,IF($J184=2,-$E184*$I184/12*2,IF($J184=3,-$E184*$I184/12*1,0)))))+IF(CI$5&lt;&gt;$H184,0,IF(CI184&lt;0,IF($J184=1,-$E184*$I184/12*0,IF($J184=2,-$E184*$I184/12*1,IF($J184=3,-$E184*$I184/12*2,IF($J184&gt;=4,-$E184*$I184/12*3,0))))))</f>
        <v>0</v>
      </c>
      <c r="CK184" s="442">
        <f t="shared" ref="CK184:CK187" si="2372">IF($H184&lt;&gt;CN$5,0,IF(CN184&lt;0,IF(OR($J184=1,$J184=2,$J184=3,$J184=4),-$E184*$I184/12*3,IF($J184=5,-$E184*$I184/12*2,IF($J184=6,-$E184*$I184/12*1,0)))))+IF(CI$5&lt;&gt;$H184,0,IF(CI184&lt;0,IF($J184=4,-$E184*$I184/12*0,IF($J184=5,-$E184*$I184/12*1,IF($J184=6,-$E184*$I184/12*2,IF($J184&gt;=7,-$E184*$I184/12*3,0))))))</f>
        <v>0</v>
      </c>
      <c r="CL184" s="442">
        <f t="shared" ref="CL184:CL187" si="2373">IF($H184&lt;&gt;CN$5,0,IF(CN184&lt;0,IF(OR($J184=1,$J184=2,$J184=3,$J184=4,$J184=5,$J184=6,$J184=7),-$E184*$I184/12*3,IF($J184=8,-$E184*$I184/12*2,IF($J184=9,-$E184*$I184/12*1,0)))))+IF(CI$5&lt;&gt;$H184,0,IF(CI184&lt;0,IF($J184=7,-$E184*$I184/12*0,IF($J184=8,-$E184*$I184/12*1,IF($J184=9,-$E184*$I184/12*2,IF($J184&gt;=10,-$E184*$I184/12*3,0))))))</f>
        <v>0</v>
      </c>
      <c r="CM184" s="443">
        <f t="shared" ref="CM184:CM187" si="2374">IF($H184&lt;&gt;CN$5,0,IF(CN184&lt;0,IF(OR($J184=1,$J184=2,$J184=3,$J184=4,$J184=5,$J184=6,$J184=7,$J184=8,$J184=9,$J184=10),-$E184*$I184/12*3,IF($J184=11,-$E184*$I184/12*2,IF($J184=12,-$E184*$I184/12*1,0)))))+IF(CI$5&lt;&gt;$H184,0,IF(CI184&lt;0,IF($J184=10,-$E184*$I184/12*0,IF($J184=11,-$E184*$I184/12*1,IF($J184=12,-$E184*$I184/12*2,0)))))</f>
        <v>0</v>
      </c>
      <c r="CN184" s="440">
        <f t="shared" ref="CN184:CN187" si="2375">IF(AND(CI184&lt;&gt;0,CI$5=$H184),-$I184*$E184-CI184,IF(CN$5=$H184,-$I184*$E184*(12-$J184+1)/12,0))</f>
        <v>0</v>
      </c>
      <c r="CO184" s="441">
        <f t="shared" ref="CO184:CO187" si="2376">IF($H184&lt;&gt;CS$5,0,IF(CS184&lt;0,IF($J184=1,-$E184*$I184/12*3,IF($J184=2,-$E184*$I184/12*2,IF($J184=3,-$E184*$I184/12*1,0)))))+IF(CN$5&lt;&gt;$H184,0,IF(CN184&lt;0,IF($J184=1,-$E184*$I184/12*0,IF($J184=2,-$E184*$I184/12*1,IF($J184=3,-$E184*$I184/12*2,IF($J184&gt;=4,-$E184*$I184/12*3,0))))))</f>
        <v>0</v>
      </c>
      <c r="CP184" s="442">
        <f t="shared" ref="CP184:CP187" si="2377">IF($H184&lt;&gt;CS$5,0,IF(CS184&lt;0,IF(OR($J184=1,$J184=2,$J184=3,$J184=4),-$E184*$I184/12*3,IF($J184=5,-$E184*$I184/12*2,IF($J184=6,-$E184*$I184/12*1,0)))))+IF(CN$5&lt;&gt;$H184,0,IF(CN184&lt;0,IF($J184=4,-$E184*$I184/12*0,IF($J184=5,-$E184*$I184/12*1,IF($J184=6,-$E184*$I184/12*2,IF($J184&gt;=7,-$E184*$I184/12*3,0))))))</f>
        <v>0</v>
      </c>
      <c r="CQ184" s="442">
        <f t="shared" ref="CQ184:CQ187" si="2378">IF($H184&lt;&gt;CS$5,0,IF(CS184&lt;0,IF(OR($J184=1,$J184=2,$J184=3,$J184=4,$J184=5,$J184=6,$J184=7),-$E184*$I184/12*3,IF($J184=8,-$E184*$I184/12*2,IF($J184=9,-$E184*$I184/12*1,0)))))+IF(CN$5&lt;&gt;$H184,0,IF(CN184&lt;0,IF($J184=7,-$E184*$I184/12*0,IF($J184=8,-$E184*$I184/12*1,IF($J184=9,-$E184*$I184/12*2,IF($J184&gt;=10,-$E184*$I184/12*3,0))))))</f>
        <v>0</v>
      </c>
      <c r="CR184" s="443">
        <f t="shared" ref="CR184:CR187" si="2379">IF($H184&lt;&gt;CS$5,0,IF(CS184&lt;0,IF(OR($J184=1,$J184=2,$J184=3,$J184=4,$J184=5,$J184=6,$J184=7,$J184=8,$J184=9,$J184=10),-$E184*$I184/12*3,IF($J184=11,-$E184*$I184/12*2,IF($J184=12,-$E184*$I184/12*1,0)))))+IF(CN$5&lt;&gt;$H184,0,IF(CN184&lt;0,IF($J184=10,-$E184*$I184/12*0,IF($J184=11,-$E184*$I184/12*1,IF($J184=12,-$E184*$I184/12*2,0)))))</f>
        <v>0</v>
      </c>
      <c r="CS184" s="440">
        <f t="shared" ref="CS184:CS187" si="2380">IF(AND(CN184&lt;&gt;0,CN$5=$H184),-$I184*$E184-CN184,IF(CS$5=$H184,-$I184*$E184*(12-$J184+1)/12,0))</f>
        <v>0</v>
      </c>
      <c r="CT184" s="441">
        <f t="shared" ref="CT184:CT187" si="2381">IF($H184&lt;&gt;CX$5,0,IF(CX184&lt;0,IF($J184=1,-$E184*$I184/12*3,IF($J184=2,-$E184*$I184/12*2,IF($J184=3,-$E184*$I184/12*1,0)))))+IF(CS$5&lt;&gt;$H184,0,IF(CS184&lt;0,IF($J184=1,-$E184*$I184/12*0,IF($J184=2,-$E184*$I184/12*1,IF($J184=3,-$E184*$I184/12*2,IF($J184&gt;=4,-$E184*$I184/12*3,0))))))</f>
        <v>0</v>
      </c>
      <c r="CU184" s="442">
        <f t="shared" ref="CU184:CU187" si="2382">IF($H184&lt;&gt;CX$5,0,IF(CX184&lt;0,IF(OR($J184=1,$J184=2,$J184=3,$J184=4),-$E184*$I184/12*3,IF($J184=5,-$E184*$I184/12*2,IF($J184=6,-$E184*$I184/12*1,0)))))+IF(CS$5&lt;&gt;$H184,0,IF(CS184&lt;0,IF($J184=4,-$E184*$I184/12*0,IF($J184=5,-$E184*$I184/12*1,IF($J184=6,-$E184*$I184/12*2,IF($J184&gt;=7,-$E184*$I184/12*3,0))))))</f>
        <v>0</v>
      </c>
      <c r="CV184" s="442">
        <f t="shared" ref="CV184:CV187" si="2383">IF($H184&lt;&gt;CX$5,0,IF(CX184&lt;0,IF(OR($J184=1,$J184=2,$J184=3,$J184=4,$J184=5,$J184=6,$J184=7),-$E184*$I184/12*3,IF($J184=8,-$E184*$I184/12*2,IF($J184=9,-$E184*$I184/12*1,0)))))+IF(CS$5&lt;&gt;$H184,0,IF(CS184&lt;0,IF($J184=7,-$E184*$I184/12*0,IF($J184=8,-$E184*$I184/12*1,IF($J184=9,-$E184*$I184/12*2,IF($J184&gt;=10,-$E184*$I184/12*3,0))))))</f>
        <v>0</v>
      </c>
      <c r="CW184" s="443">
        <f t="shared" ref="CW184:CW187" si="2384">IF($H184&lt;&gt;CX$5,0,IF(CX184&lt;0,IF(OR($J184=1,$J184=2,$J184=3,$J184=4,$J184=5,$J184=6,$J184=7,$J184=8,$J184=9,$J184=10),-$E184*$I184/12*3,IF($J184=11,-$E184*$I184/12*2,IF($J184=12,-$E184*$I184/12*1,0)))))+IF(CS$5&lt;&gt;$H184,0,IF(CS184&lt;0,IF($J184=10,-$E184*$I184/12*0,IF($J184=11,-$E184*$I184/12*1,IF($J184=12,-$E184*$I184/12*2,0)))))</f>
        <v>0</v>
      </c>
      <c r="CX184" s="440">
        <f t="shared" ref="CX184:CX187" si="2385">IF(AND(CS184&lt;&gt;0,CS$5=$H184),-$I184*$E184-CS184,IF(CX$5=$H184,-$I184*$E184*(12-$J184+1)/12,0))</f>
        <v>0</v>
      </c>
      <c r="CY184" s="441">
        <f t="shared" ref="CY184:CY187" si="2386">IF($H184&lt;&gt;DC$5,0,IF(DC184&lt;0,IF($J184=1,-$E184*$I184/12*3,IF($J184=2,-$E184*$I184/12*2,IF($J184=3,-$E184*$I184/12*1,0)))))+IF(CX$5&lt;&gt;$H184,0,IF(CX184&lt;0,IF($J184=1,-$E184*$I184/12*0,IF($J184=2,-$E184*$I184/12*1,IF($J184=3,-$E184*$I184/12*2,IF($J184&gt;=4,-$E184*$I184/12*3,0))))))</f>
        <v>0</v>
      </c>
      <c r="CZ184" s="442">
        <f t="shared" ref="CZ184:CZ187" si="2387">IF($H184&lt;&gt;DC$5,0,IF(DC184&lt;0,IF(OR($J184=1,$J184=2,$J184=3,$J184=4),-$E184*$I184/12*3,IF($J184=5,-$E184*$I184/12*2,IF($J184=6,-$E184*$I184/12*1,0)))))+IF(CX$5&lt;&gt;$H184,0,IF(CX184&lt;0,IF($J184=4,-$E184*$I184/12*0,IF($J184=5,-$E184*$I184/12*1,IF($J184=6,-$E184*$I184/12*2,IF($J184&gt;=7,-$E184*$I184/12*3,0))))))</f>
        <v>0</v>
      </c>
      <c r="DA184" s="442">
        <f t="shared" ref="DA184:DA187" si="2388">IF($H184&lt;&gt;DC$5,0,IF(DC184&lt;0,IF(OR($J184=1,$J184=2,$J184=3,$J184=4,$J184=5,$J184=6,$J184=7),-$E184*$I184/12*3,IF($J184=8,-$E184*$I184/12*2,IF($J184=9,-$E184*$I184/12*1,0)))))+IF(CX$5&lt;&gt;$H184,0,IF(CX184&lt;0,IF($J184=7,-$E184*$I184/12*0,IF($J184=8,-$E184*$I184/12*1,IF($J184=9,-$E184*$I184/12*2,IF($J184&gt;=10,-$E184*$I184/12*3,0))))))</f>
        <v>0</v>
      </c>
      <c r="DB184" s="443">
        <f t="shared" ref="DB184:DB187" si="2389">IF($H184&lt;&gt;DC$5,0,IF(DC184&lt;0,IF(OR($J184=1,$J184=2,$J184=3,$J184=4,$J184=5,$J184=6,$J184=7,$J184=8,$J184=9,$J184=10),-$E184*$I184/12*3,IF($J184=11,-$E184*$I184/12*2,IF($J184=12,-$E184*$I184/12*1,0)))))+IF(CX$5&lt;&gt;$H184,0,IF(CX184&lt;0,IF($J184=10,-$E184*$I184/12*0,IF($J184=11,-$E184*$I184/12*1,IF($J184=12,-$E184*$I184/12*2,0)))))</f>
        <v>0</v>
      </c>
      <c r="DC184" s="440">
        <f t="shared" ref="DC184:DC187" si="2390">IF(AND(CX184&lt;&gt;0,CX$5=$H184),-$I184*$E184-CX184,IF(DC$5=$H184,-$I184*$E184*(12-$J184+1)/12,0))</f>
        <v>0</v>
      </c>
      <c r="DD184" s="441">
        <f t="shared" ref="DD184:DD187" si="2391">IF($H184&lt;&gt;DH$5,0,IF(DH184&lt;0,IF($J184=1,-$E184*$I184/12*3,IF($J184=2,-$E184*$I184/12*2,IF($J184=3,-$E184*$I184/12*1,0)))))+IF(DC$5&lt;&gt;$H184,0,IF(DC184&lt;0,IF($J184=1,-$E184*$I184/12*0,IF($J184=2,-$E184*$I184/12*1,IF($J184=3,-$E184*$I184/12*2,IF($J184&gt;=4,-$E184*$I184/12*3,0))))))</f>
        <v>-5.7750000000000004</v>
      </c>
      <c r="DE184" s="442">
        <f t="shared" ref="DE184:DE187" si="2392">IF($H184&lt;&gt;DH$5,0,IF(DH184&lt;0,IF(OR($J184=1,$J184=2,$J184=3,$J184=4),-$E184*$I184/12*3,IF($J184=5,-$E184*$I184/12*2,IF($J184=6,-$E184*$I184/12*1,0)))))+IF(DC$5&lt;&gt;$H184,0,IF(DC184&lt;0,IF($J184=4,-$E184*$I184/12*0,IF($J184=5,-$E184*$I184/12*1,IF($J184=6,-$E184*$I184/12*2,IF($J184&gt;=7,-$E184*$I184/12*3,0))))))</f>
        <v>-5.7750000000000004</v>
      </c>
      <c r="DF184" s="442">
        <f t="shared" ref="DF184:DF187" si="2393">IF($H184&lt;&gt;DH$5,0,IF(DH184&lt;0,IF(OR($J184=1,$J184=2,$J184=3,$J184=4,$J184=5,$J184=6,$J184=7),-$E184*$I184/12*3,IF($J184=8,-$E184*$I184/12*2,IF($J184=9,-$E184*$I184/12*1,0)))))+IF(DC$5&lt;&gt;$H184,0,IF(DC184&lt;0,IF($J184=7,-$E184*$I184/12*0,IF($J184=8,-$E184*$I184/12*1,IF($J184=9,-$E184*$I184/12*2,IF($J184&gt;=10,-$E184*$I184/12*3,0))))))</f>
        <v>-5.7750000000000004</v>
      </c>
      <c r="DG184" s="443">
        <f t="shared" ref="DG184:DG187" si="2394">IF($H184&lt;&gt;DH$5,0,IF(DH184&lt;0,IF(OR($J184=1,$J184=2,$J184=3,$J184=4,$J184=5,$J184=6,$J184=7,$J184=8,$J184=9,$J184=10),-$E184*$I184/12*3,IF($J184=11,-$E184*$I184/12*2,IF($J184=12,-$E184*$I184/12*1,0)))))+IF(DC$5&lt;&gt;$H184,0,IF(DC184&lt;0,IF($J184=10,-$E184*$I184/12*0,IF($J184=11,-$E184*$I184/12*1,IF($J184=12,-$E184*$I184/12*2,0)))))</f>
        <v>-5.7750000000000004</v>
      </c>
      <c r="DH184" s="440">
        <f t="shared" ref="DH184:DH187" si="2395">IF(AND(DC184&lt;&gt;0,DC$5=$H184),-$I184*$E184-DC184,IF(DH$5=$H184,-$I184*$E184*(12-$J184+1)/12,0))</f>
        <v>-23.100000000000005</v>
      </c>
      <c r="DI184" s="441">
        <f t="shared" ref="DI184:DI187" si="2396">IF($H184&lt;&gt;DM$5,0,IF(DM184&lt;0,IF($J184=1,-$E184*$I184/12*3,IF($J184=2,-$E184*$I184/12*2,IF($J184=3,-$E184*$I184/12*1,0)))))+IF(DH$5&lt;&gt;$H184,0,IF(DH184&lt;0,IF($J184=1,-$E184*$I184/12*0,IF($J184=2,-$E184*$I184/12*1,IF($J184=3,-$E184*$I184/12*2,IF($J184&gt;=4,-$E184*$I184/12*3,0))))))</f>
        <v>0</v>
      </c>
      <c r="DJ184" s="442">
        <f t="shared" ref="DJ184:DJ187" si="2397">IF($H184&lt;&gt;DM$5,0,IF(DM184&lt;0,IF(OR($J184=1,$J184=2,$J184=3,$J184=4),-$E184*$I184/12*3,IF($J184=5,-$E184*$I184/12*2,IF($J184=6,-$E184*$I184/12*1,0)))))+IF(DH$5&lt;&gt;$H184,0,IF(DH184&lt;0,IF($J184=4,-$E184*$I184/12*0,IF($J184=5,-$E184*$I184/12*1,IF($J184=6,-$E184*$I184/12*2,IF($J184&gt;=7,-$E184*$I184/12*3,0))))))</f>
        <v>0</v>
      </c>
      <c r="DK184" s="442">
        <f t="shared" ref="DK184:DK187" si="2398">IF($H184&lt;&gt;DM$5,0,IF(DM184&lt;0,IF(OR($J184=1,$J184=2,$J184=3,$J184=4,$J184=5,$J184=6,$J184=7),-$E184*$I184/12*3,IF($J184=8,-$E184*$I184/12*2,IF($J184=9,-$E184*$I184/12*1,0)))))+IF(DH$5&lt;&gt;$H184,0,IF(DH184&lt;0,IF($J184=7,-$E184*$I184/12*0,IF($J184=8,-$E184*$I184/12*1,IF($J184=9,-$E184*$I184/12*2,IF($J184&gt;=10,-$E184*$I184/12*3,0))))))</f>
        <v>0</v>
      </c>
      <c r="DL184" s="443">
        <f t="shared" ref="DL184:DL187" si="2399">IF($H184&lt;&gt;DM$5,0,IF(DM184&lt;0,IF(OR($J184=1,$J184=2,$J184=3,$J184=4,$J184=5,$J184=6,$J184=7,$J184=8,$J184=9,$J184=10),-$E184*$I184/12*3,IF($J184=11,-$E184*$I184/12*2,IF($J184=12,-$E184*$I184/12*1,0)))))+IF(DH$5&lt;&gt;$H184,0,IF(DH184&lt;0,IF($J184=10,-$E184*$I184/12*0,IF($J184=11,-$E184*$I184/12*1,IF($J184=12,-$E184*$I184/12*2,0)))))</f>
        <v>0</v>
      </c>
      <c r="DM184" s="440">
        <f t="shared" ref="DM184:DM187" si="2400">IF(AND(DH184&lt;&gt;0,DH$5=$H184),-$I184*$E184-DH184,IF(DM$5=$H184,-$I184*$E184*(12-$J184+1)/12,0))</f>
        <v>3.5527136788005009E-15</v>
      </c>
      <c r="DN184" s="441">
        <f t="shared" ref="DN184:DN187" si="2401">IF($H184&lt;&gt;DR$5,0,IF(DR184&lt;0,IF($J184=1,-$E184*$I184/12*3,IF($J184=2,-$E184*$I184/12*2,IF($J184=3,-$E184*$I184/12*1,0)))))+IF(DM$5&lt;&gt;$H184,0,IF(DM184&lt;0,IF($J184=1,-$E184*$I184/12*0,IF($J184=2,-$E184*$I184/12*1,IF($J184=3,-$E184*$I184/12*2,IF($J184&gt;=4,-$E184*$I184/12*3,0))))))</f>
        <v>0</v>
      </c>
      <c r="DO184" s="442">
        <f t="shared" ref="DO184:DO187" si="2402">IF($H184&lt;&gt;DR$5,0,IF(DR184&lt;0,IF(OR($J184=1,$J184=2,$J184=3,$J184=4),-$E184*$I184/12*3,IF($J184=5,-$E184*$I184/12*2,IF($J184=6,-$E184*$I184/12*1,0)))))+IF(DM$5&lt;&gt;$H184,0,IF(DM184&lt;0,IF($J184=4,-$E184*$I184/12*0,IF($J184=5,-$E184*$I184/12*1,IF($J184=6,-$E184*$I184/12*2,IF($J184&gt;=7,-$E184*$I184/12*3,0))))))</f>
        <v>0</v>
      </c>
      <c r="DP184" s="442">
        <f t="shared" ref="DP184:DP187" si="2403">IF($H184&lt;&gt;DR$5,0,IF(DR184&lt;0,IF(OR($J184=1,$J184=2,$J184=3,$J184=4,$J184=5,$J184=6,$J184=7),-$E184*$I184/12*3,IF($J184=8,-$E184*$I184/12*2,IF($J184=9,-$E184*$I184/12*1,0)))))+IF(DM$5&lt;&gt;$H184,0,IF(DM184&lt;0,IF($J184=7,-$E184*$I184/12*0,IF($J184=8,-$E184*$I184/12*1,IF($J184=9,-$E184*$I184/12*2,IF($J184&gt;=10,-$E184*$I184/12*3,0))))))</f>
        <v>0</v>
      </c>
      <c r="DQ184" s="443">
        <f t="shared" ref="DQ184:DQ187" si="2404">IF($H184&lt;&gt;DR$5,0,IF(DR184&lt;0,IF(OR($J184=1,$J184=2,$J184=3,$J184=4,$J184=5,$J184=6,$J184=7,$J184=8,$J184=9,$J184=10),-$E184*$I184/12*3,IF($J184=11,-$E184*$I184/12*2,IF($J184=12,-$E184*$I184/12*1,0)))))+IF(DM$5&lt;&gt;$H184,0,IF(DM184&lt;0,IF($J184=10,-$E184*$I184/12*0,IF($J184=11,-$E184*$I184/12*1,IF($J184=12,-$E184*$I184/12*2,0)))))</f>
        <v>0</v>
      </c>
      <c r="DR184" s="440">
        <f t="shared" ref="DR184:DR187" si="2405">IF(AND(DM184&lt;&gt;0,DM$5=$H184),-$I184*$E184-DM184,IF(DR$5=$H184,-$I184*$E184*(12-$J184+1)/12,0))</f>
        <v>0</v>
      </c>
    </row>
    <row r="185" spans="3:122" ht="12.75" customHeight="1">
      <c r="C185" s="1123" t="s">
        <v>82</v>
      </c>
      <c r="D185" s="395"/>
      <c r="E185" s="1951">
        <f t="shared" si="2295"/>
        <v>300</v>
      </c>
      <c r="F185" s="1945">
        <v>300</v>
      </c>
      <c r="G185" s="1945">
        <v>300</v>
      </c>
      <c r="H185" s="1366">
        <v>2023</v>
      </c>
      <c r="I185" s="1367">
        <v>3.5000000000000003E-2</v>
      </c>
      <c r="J185" s="1357">
        <v>3</v>
      </c>
      <c r="K185" s="549"/>
      <c r="L185" s="441">
        <f t="shared" si="2296"/>
        <v>0</v>
      </c>
      <c r="M185" s="442">
        <f t="shared" si="2297"/>
        <v>0</v>
      </c>
      <c r="N185" s="442">
        <f t="shared" si="2298"/>
        <v>0</v>
      </c>
      <c r="O185" s="443">
        <f t="shared" si="2299"/>
        <v>0</v>
      </c>
      <c r="P185" s="440">
        <f t="shared" si="2300"/>
        <v>0</v>
      </c>
      <c r="Q185" s="441">
        <f t="shared" si="2301"/>
        <v>0</v>
      </c>
      <c r="R185" s="442">
        <f t="shared" si="2302"/>
        <v>0</v>
      </c>
      <c r="S185" s="442">
        <f t="shared" si="2303"/>
        <v>0</v>
      </c>
      <c r="T185" s="443">
        <f t="shared" si="2304"/>
        <v>0</v>
      </c>
      <c r="U185" s="440">
        <f t="shared" si="2305"/>
        <v>0</v>
      </c>
      <c r="V185" s="441">
        <f t="shared" si="2306"/>
        <v>0</v>
      </c>
      <c r="W185" s="442">
        <f t="shared" si="2307"/>
        <v>0</v>
      </c>
      <c r="X185" s="442">
        <f t="shared" si="2308"/>
        <v>0</v>
      </c>
      <c r="Y185" s="443">
        <f t="shared" si="2309"/>
        <v>0</v>
      </c>
      <c r="Z185" s="440">
        <f t="shared" si="2310"/>
        <v>0</v>
      </c>
      <c r="AA185" s="441">
        <f t="shared" si="2311"/>
        <v>0</v>
      </c>
      <c r="AB185" s="442">
        <f t="shared" si="2312"/>
        <v>0</v>
      </c>
      <c r="AC185" s="442">
        <f t="shared" si="2313"/>
        <v>0</v>
      </c>
      <c r="AD185" s="443">
        <f t="shared" si="2314"/>
        <v>0</v>
      </c>
      <c r="AE185" s="440">
        <f t="shared" si="2315"/>
        <v>0</v>
      </c>
      <c r="AF185" s="441">
        <f t="shared" si="2316"/>
        <v>0</v>
      </c>
      <c r="AG185" s="442">
        <f t="shared" si="2317"/>
        <v>0</v>
      </c>
      <c r="AH185" s="442">
        <f t="shared" si="2318"/>
        <v>0</v>
      </c>
      <c r="AI185" s="443">
        <f t="shared" si="2319"/>
        <v>0</v>
      </c>
      <c r="AJ185" s="440">
        <f t="shared" si="2320"/>
        <v>0</v>
      </c>
      <c r="AK185" s="441">
        <f t="shared" si="2321"/>
        <v>0</v>
      </c>
      <c r="AL185" s="442">
        <f t="shared" si="2322"/>
        <v>0</v>
      </c>
      <c r="AM185" s="442">
        <f t="shared" si="2323"/>
        <v>0</v>
      </c>
      <c r="AN185" s="443">
        <f t="shared" si="2324"/>
        <v>0</v>
      </c>
      <c r="AO185" s="440">
        <f t="shared" si="2325"/>
        <v>0</v>
      </c>
      <c r="AP185" s="441">
        <f t="shared" si="2326"/>
        <v>0</v>
      </c>
      <c r="AQ185" s="442">
        <f t="shared" si="2327"/>
        <v>0</v>
      </c>
      <c r="AR185" s="442">
        <f t="shared" si="2328"/>
        <v>0</v>
      </c>
      <c r="AS185" s="443">
        <f t="shared" si="2329"/>
        <v>0</v>
      </c>
      <c r="AT185" s="440">
        <f t="shared" si="2330"/>
        <v>0</v>
      </c>
      <c r="AU185" s="441">
        <f t="shared" si="2331"/>
        <v>0</v>
      </c>
      <c r="AV185" s="442">
        <f t="shared" si="2332"/>
        <v>0</v>
      </c>
      <c r="AW185" s="442">
        <f t="shared" si="2333"/>
        <v>0</v>
      </c>
      <c r="AX185" s="443">
        <f t="shared" si="2334"/>
        <v>0</v>
      </c>
      <c r="AY185" s="440">
        <f t="shared" si="2335"/>
        <v>0</v>
      </c>
      <c r="AZ185" s="441">
        <f t="shared" si="2336"/>
        <v>0</v>
      </c>
      <c r="BA185" s="442">
        <f t="shared" si="2337"/>
        <v>0</v>
      </c>
      <c r="BB185" s="442">
        <f t="shared" si="2338"/>
        <v>0</v>
      </c>
      <c r="BC185" s="443">
        <f t="shared" si="2339"/>
        <v>0</v>
      </c>
      <c r="BD185" s="440">
        <f t="shared" si="2340"/>
        <v>0</v>
      </c>
      <c r="BE185" s="441">
        <f t="shared" si="2341"/>
        <v>0</v>
      </c>
      <c r="BF185" s="442">
        <f t="shared" si="2342"/>
        <v>0</v>
      </c>
      <c r="BG185" s="442">
        <f t="shared" si="2343"/>
        <v>0</v>
      </c>
      <c r="BH185" s="443">
        <f t="shared" si="2344"/>
        <v>0</v>
      </c>
      <c r="BI185" s="440">
        <f t="shared" si="2345"/>
        <v>0</v>
      </c>
      <c r="BJ185" s="441">
        <f t="shared" si="2346"/>
        <v>0</v>
      </c>
      <c r="BK185" s="442">
        <f t="shared" si="2347"/>
        <v>0</v>
      </c>
      <c r="BL185" s="442">
        <f t="shared" si="2348"/>
        <v>0</v>
      </c>
      <c r="BM185" s="443">
        <f t="shared" si="2349"/>
        <v>0</v>
      </c>
      <c r="BN185" s="440">
        <f t="shared" si="2350"/>
        <v>0</v>
      </c>
      <c r="BO185" s="470"/>
      <c r="BP185" s="441">
        <f t="shared" si="2351"/>
        <v>0</v>
      </c>
      <c r="BQ185" s="442">
        <f t="shared" si="2352"/>
        <v>0</v>
      </c>
      <c r="BR185" s="442">
        <f t="shared" si="2353"/>
        <v>0</v>
      </c>
      <c r="BS185" s="443">
        <f t="shared" si="2354"/>
        <v>0</v>
      </c>
      <c r="BT185" s="440">
        <f t="shared" si="2355"/>
        <v>0</v>
      </c>
      <c r="BU185" s="441">
        <f t="shared" si="2356"/>
        <v>0</v>
      </c>
      <c r="BV185" s="442">
        <f t="shared" si="2357"/>
        <v>0</v>
      </c>
      <c r="BW185" s="442">
        <f t="shared" si="2358"/>
        <v>0</v>
      </c>
      <c r="BX185" s="443">
        <f t="shared" si="2359"/>
        <v>0</v>
      </c>
      <c r="BY185" s="440">
        <f t="shared" si="2360"/>
        <v>0</v>
      </c>
      <c r="BZ185" s="441">
        <f t="shared" si="2361"/>
        <v>0</v>
      </c>
      <c r="CA185" s="442">
        <f t="shared" si="2362"/>
        <v>0</v>
      </c>
      <c r="CB185" s="442">
        <f t="shared" si="2363"/>
        <v>0</v>
      </c>
      <c r="CC185" s="443">
        <f t="shared" si="2364"/>
        <v>0</v>
      </c>
      <c r="CD185" s="440">
        <f t="shared" si="2365"/>
        <v>0</v>
      </c>
      <c r="CE185" s="441">
        <f t="shared" si="2366"/>
        <v>0</v>
      </c>
      <c r="CF185" s="442">
        <f t="shared" si="2367"/>
        <v>0</v>
      </c>
      <c r="CG185" s="442">
        <f t="shared" si="2368"/>
        <v>0</v>
      </c>
      <c r="CH185" s="443">
        <f t="shared" si="2369"/>
        <v>0</v>
      </c>
      <c r="CI185" s="440">
        <f t="shared" si="2370"/>
        <v>0</v>
      </c>
      <c r="CJ185" s="441">
        <f t="shared" si="2371"/>
        <v>0</v>
      </c>
      <c r="CK185" s="442">
        <f t="shared" si="2372"/>
        <v>0</v>
      </c>
      <c r="CL185" s="442">
        <f t="shared" si="2373"/>
        <v>0</v>
      </c>
      <c r="CM185" s="443">
        <f t="shared" si="2374"/>
        <v>0</v>
      </c>
      <c r="CN185" s="440">
        <f t="shared" si="2375"/>
        <v>0</v>
      </c>
      <c r="CO185" s="441">
        <f t="shared" si="2376"/>
        <v>0</v>
      </c>
      <c r="CP185" s="442">
        <f t="shared" si="2377"/>
        <v>0</v>
      </c>
      <c r="CQ185" s="442">
        <f t="shared" si="2378"/>
        <v>0</v>
      </c>
      <c r="CR185" s="443">
        <f t="shared" si="2379"/>
        <v>0</v>
      </c>
      <c r="CS185" s="440">
        <f t="shared" si="2380"/>
        <v>0</v>
      </c>
      <c r="CT185" s="441">
        <f t="shared" si="2381"/>
        <v>0</v>
      </c>
      <c r="CU185" s="442">
        <f t="shared" si="2382"/>
        <v>0</v>
      </c>
      <c r="CV185" s="442">
        <f t="shared" si="2383"/>
        <v>0</v>
      </c>
      <c r="CW185" s="443">
        <f t="shared" si="2384"/>
        <v>0</v>
      </c>
      <c r="CX185" s="440">
        <f t="shared" si="2385"/>
        <v>0</v>
      </c>
      <c r="CY185" s="441">
        <f t="shared" si="2386"/>
        <v>0</v>
      </c>
      <c r="CZ185" s="442">
        <f t="shared" si="2387"/>
        <v>0</v>
      </c>
      <c r="DA185" s="442">
        <f t="shared" si="2388"/>
        <v>0</v>
      </c>
      <c r="DB185" s="443">
        <f t="shared" si="2389"/>
        <v>0</v>
      </c>
      <c r="DC185" s="440">
        <f t="shared" si="2390"/>
        <v>0</v>
      </c>
      <c r="DD185" s="441">
        <f t="shared" si="2391"/>
        <v>0</v>
      </c>
      <c r="DE185" s="442">
        <f t="shared" si="2392"/>
        <v>0</v>
      </c>
      <c r="DF185" s="442">
        <f t="shared" si="2393"/>
        <v>0</v>
      </c>
      <c r="DG185" s="443">
        <f t="shared" si="2394"/>
        <v>0</v>
      </c>
      <c r="DH185" s="440">
        <f t="shared" si="2395"/>
        <v>0</v>
      </c>
      <c r="DI185" s="441">
        <f t="shared" si="2396"/>
        <v>0</v>
      </c>
      <c r="DJ185" s="442">
        <f t="shared" si="2397"/>
        <v>0</v>
      </c>
      <c r="DK185" s="442">
        <f t="shared" si="2398"/>
        <v>0</v>
      </c>
      <c r="DL185" s="443">
        <f t="shared" si="2399"/>
        <v>0</v>
      </c>
      <c r="DM185" s="440">
        <f t="shared" si="2400"/>
        <v>0</v>
      </c>
      <c r="DN185" s="441">
        <f t="shared" si="2401"/>
        <v>0</v>
      </c>
      <c r="DO185" s="442">
        <f t="shared" si="2402"/>
        <v>0</v>
      </c>
      <c r="DP185" s="442">
        <f t="shared" si="2403"/>
        <v>0</v>
      </c>
      <c r="DQ185" s="443">
        <f t="shared" si="2404"/>
        <v>0</v>
      </c>
      <c r="DR185" s="440">
        <f t="shared" si="2405"/>
        <v>0</v>
      </c>
    </row>
    <row r="186" spans="3:122" ht="12.75" customHeight="1">
      <c r="C186" s="1123" t="s">
        <v>615</v>
      </c>
      <c r="D186" s="395"/>
      <c r="E186" s="1951">
        <f>IF(F186=0,G186,F186)</f>
        <v>250</v>
      </c>
      <c r="F186" s="1945">
        <v>250</v>
      </c>
      <c r="G186" s="1945">
        <v>250</v>
      </c>
      <c r="H186" s="1366">
        <v>2025</v>
      </c>
      <c r="I186" s="1367">
        <v>0.04</v>
      </c>
      <c r="J186" s="1357">
        <v>6</v>
      </c>
      <c r="K186" s="549"/>
      <c r="L186" s="441">
        <f>IF(P186=0,0,IF(P186&lt;0,IF($J186=3,P186,IF($J186=2,P186,IF($J186=1,P186,0)))))</f>
        <v>0</v>
      </c>
      <c r="M186" s="442">
        <f>IF(P186=0,0,IF(P186&lt;0,IF($J186=6,P186,IF($J186=5,P186,IF($J186=4,P186,0)))))</f>
        <v>0</v>
      </c>
      <c r="N186" s="442">
        <f>IF(P186=0,0,IF(P186&lt;0,IF($J186=9,P186,IF($J186=8,P186,IF($J186=7,P186,0)))))</f>
        <v>0</v>
      </c>
      <c r="O186" s="443">
        <f>IF(P186=0,0,IF(P186&lt;0,IF($J186=12,P186,IF($J186=11,P186,IF($J186=10,P186,0)))))</f>
        <v>0</v>
      </c>
      <c r="P186" s="440">
        <f>IF(P$5=$H186,-$E186,0)</f>
        <v>0</v>
      </c>
      <c r="Q186" s="441">
        <f>IF(U186=0,0,IF(U186&lt;0,IF($J186=3,U186,IF($J186=2,U186,IF($J186=1,U186,0)))))</f>
        <v>0</v>
      </c>
      <c r="R186" s="442">
        <f>IF(U186=0,0,IF(U186&lt;0,IF($J186=6,U186,IF($J186=5,U186,IF($J186=4,U186,0)))))</f>
        <v>0</v>
      </c>
      <c r="S186" s="442">
        <f>IF(U186=0,0,IF(U186&lt;0,IF($J186=9,U186,IF($J186=8,U186,IF($J186=7,U186,0)))))</f>
        <v>0</v>
      </c>
      <c r="T186" s="443">
        <f>IF(U186=0,0,IF(U186&lt;0,IF($J186=12,U186,IF($J186=11,U186,IF($J186=10,U186,0)))))</f>
        <v>0</v>
      </c>
      <c r="U186" s="440">
        <f>IF(U$5=$H186,-$E186,0)</f>
        <v>0</v>
      </c>
      <c r="V186" s="441">
        <f>IF(Z186=0,0,IF(Z186&lt;0,IF($J186=3,Z186,IF($J186=2,Z186,IF($J186=1,Z186,0)))))</f>
        <v>0</v>
      </c>
      <c r="W186" s="442">
        <f>IF(Z186=0,0,IF(Z186&lt;0,IF($J186=6,Z186,IF($J186=5,Z186,IF($J186=4,Z186,0)))))</f>
        <v>0</v>
      </c>
      <c r="X186" s="442">
        <f>IF(Z186=0,0,IF(Z186&lt;0,IF($J186=9,Z186,IF($J186=8,Z186,IF($J186=7,Z186,0)))))</f>
        <v>0</v>
      </c>
      <c r="Y186" s="443">
        <f>IF(Z186=0,0,IF(Z186&lt;0,IF($J186=12,Z186,IF($J186=11,Z186,IF($J186=10,Z186,0)))))</f>
        <v>0</v>
      </c>
      <c r="Z186" s="440">
        <f>IF(Z$5=$H186,-$E186,0)</f>
        <v>0</v>
      </c>
      <c r="AA186" s="441">
        <f>IF(AE186=0,0,IF(AE186&lt;0,IF($J186=3,AE186,IF($J186=2,AE186,IF($J186=1,AE186,0)))))</f>
        <v>0</v>
      </c>
      <c r="AB186" s="442">
        <f>IF(AE186=0,0,IF(AE186&lt;0,IF($J186=6,AE186,IF($J186=5,AE186,IF($J186=4,AE186,0)))))</f>
        <v>0</v>
      </c>
      <c r="AC186" s="442">
        <f>IF(AE186=0,0,IF(AE186&lt;0,IF($J186=9,AE186,IF($J186=8,AE186,IF($J186=7,AE186,0)))))</f>
        <v>0</v>
      </c>
      <c r="AD186" s="443">
        <f>IF(AE186=0,0,IF(AE186&lt;0,IF($J186=12,AE186,IF($J186=11,AE186,IF($J186=10,AE186,0)))))</f>
        <v>0</v>
      </c>
      <c r="AE186" s="440">
        <f>IF(AE$5=$H186,-$E186,0)</f>
        <v>0</v>
      </c>
      <c r="AF186" s="441">
        <f>IF(AJ186=0,0,IF(AJ186&lt;0,IF($J186=3,AJ186,IF($J186=2,AJ186,IF($J186=1,AJ186,0)))))</f>
        <v>0</v>
      </c>
      <c r="AG186" s="442">
        <f>IF(AJ186=0,0,IF(AJ186&lt;0,IF($J186=6,AJ186,IF($J186=5,AJ186,IF($J186=4,AJ186,0)))))</f>
        <v>0</v>
      </c>
      <c r="AH186" s="442">
        <f>IF(AJ186=0,0,IF(AJ186&lt;0,IF($J186=9,AJ186,IF($J186=8,AJ186,IF($J186=7,AJ186,0)))))</f>
        <v>0</v>
      </c>
      <c r="AI186" s="443">
        <f>IF(AJ186=0,0,IF(AJ186&lt;0,IF($J186=12,AJ186,IF($J186=11,AJ186,IF($J186=10,AJ186,0)))))</f>
        <v>0</v>
      </c>
      <c r="AJ186" s="440">
        <f>IF(AJ$5=$H186,-$E186,0)</f>
        <v>0</v>
      </c>
      <c r="AK186" s="441">
        <f>IF(AO186=0,0,IF(AO186&lt;0,IF($J186=3,AO186,IF($J186=2,AO186,IF($J186=1,AO186,0)))))</f>
        <v>0</v>
      </c>
      <c r="AL186" s="442">
        <f>IF(AO186=0,0,IF(AO186&lt;0,IF($J186=6,AO186,IF($J186=5,AO186,IF($J186=4,AO186,0)))))</f>
        <v>0</v>
      </c>
      <c r="AM186" s="442">
        <f>IF(AO186=0,0,IF(AO186&lt;0,IF($J186=9,AO186,IF($J186=8,AO186,IF($J186=7,AO186,0)))))</f>
        <v>0</v>
      </c>
      <c r="AN186" s="443">
        <f>IF(AO186=0,0,IF(AO186&lt;0,IF($J186=12,AO186,IF($J186=11,AO186,IF($J186=10,AO186,0)))))</f>
        <v>0</v>
      </c>
      <c r="AO186" s="440">
        <f>IF(AO$5=$H186,-$E186,0)</f>
        <v>0</v>
      </c>
      <c r="AP186" s="441">
        <f>IF(AT186=0,0,IF(AT186&lt;0,IF($J186=3,AT186,IF($J186=2,AT186,IF($J186=1,AT186,0)))))</f>
        <v>0</v>
      </c>
      <c r="AQ186" s="442">
        <f>IF(AT186=0,0,IF(AT186&lt;0,IF($J186=6,AT186,IF($J186=5,AT186,IF($J186=4,AT186,0)))))</f>
        <v>0</v>
      </c>
      <c r="AR186" s="442">
        <f>IF(AT186=0,0,IF(AT186&lt;0,IF($J186=9,AT186,IF($J186=8,AT186,IF($J186=7,AT186,0)))))</f>
        <v>0</v>
      </c>
      <c r="AS186" s="443">
        <f>IF(AT186=0,0,IF(AT186&lt;0,IF($J186=12,AT186,IF($J186=11,AT186,IF($J186=10,AT186,0)))))</f>
        <v>0</v>
      </c>
      <c r="AT186" s="440">
        <f>IF(AT$5=$H186,-$E186,0)</f>
        <v>0</v>
      </c>
      <c r="AU186" s="441">
        <f>IF(AY186=0,0,IF(AY186&lt;0,IF($J186=3,AY186,IF($J186=2,AY186,IF($J186=1,AY186,0)))))</f>
        <v>0</v>
      </c>
      <c r="AV186" s="442">
        <f>IF(AY186=0,0,IF(AY186&lt;0,IF($J186=6,AY186,IF($J186=5,AY186,IF($J186=4,AY186,0)))))</f>
        <v>0</v>
      </c>
      <c r="AW186" s="442">
        <f>IF(AY186=0,0,IF(AY186&lt;0,IF($J186=9,AY186,IF($J186=8,AY186,IF($J186=7,AY186,0)))))</f>
        <v>0</v>
      </c>
      <c r="AX186" s="443">
        <f>IF(AY186=0,0,IF(AY186&lt;0,IF($J186=12,AY186,IF($J186=11,AY186,IF($J186=10,AY186,0)))))</f>
        <v>0</v>
      </c>
      <c r="AY186" s="440">
        <f>IF(AY$5=$H186,-$E186,0)</f>
        <v>0</v>
      </c>
      <c r="AZ186" s="441">
        <f>IF(BD186=0,0,IF(BD186&lt;0,IF($J186=3,BD186,IF($J186=2,BD186,IF($J186=1,BD186,0)))))</f>
        <v>0</v>
      </c>
      <c r="BA186" s="442">
        <f>IF(BD186=0,0,IF(BD186&lt;0,IF($J186=6,BD186,IF($J186=5,BD186,IF($J186=4,BD186,0)))))</f>
        <v>0</v>
      </c>
      <c r="BB186" s="442">
        <f>IF(BD186=0,0,IF(BD186&lt;0,IF($J186=9,BD186,IF($J186=8,BD186,IF($J186=7,BD186,0)))))</f>
        <v>0</v>
      </c>
      <c r="BC186" s="443">
        <f>IF(BD186=0,0,IF(BD186&lt;0,IF($J186=12,BD186,IF($J186=11,BD186,IF($J186=10,BD186,0)))))</f>
        <v>0</v>
      </c>
      <c r="BD186" s="440">
        <f>IF(BD$5=$H186,-$E186,0)</f>
        <v>0</v>
      </c>
      <c r="BE186" s="441">
        <f>IF(BI186=0,0,IF(BI186&lt;0,IF($J186=3,BI186,IF($J186=2,BI186,IF($J186=1,BI186,0)))))</f>
        <v>0</v>
      </c>
      <c r="BF186" s="442">
        <f>IF(BI186=0,0,IF(BI186&lt;0,IF($J186=6,BI186,IF($J186=5,BI186,IF($J186=4,BI186,0)))))</f>
        <v>0</v>
      </c>
      <c r="BG186" s="442">
        <f>IF(BI186=0,0,IF(BI186&lt;0,IF($J186=9,BI186,IF($J186=8,BI186,IF($J186=7,BI186,0)))))</f>
        <v>0</v>
      </c>
      <c r="BH186" s="443">
        <f>IF(BI186=0,0,IF(BI186&lt;0,IF($J186=12,BI186,IF($J186=11,BI186,IF($J186=10,BI186,0)))))</f>
        <v>0</v>
      </c>
      <c r="BI186" s="440">
        <f>IF(BI$5=$H186,-$E186,0)</f>
        <v>0</v>
      </c>
      <c r="BJ186" s="441">
        <f>IF(BN186=0,0,IF(BN186&lt;0,IF($J186=3,BN186,IF($J186=2,BN186,IF($J186=1,BN186,0)))))</f>
        <v>0</v>
      </c>
      <c r="BK186" s="442">
        <f>IF(BN186=0,0,IF(BN186&lt;0,IF($J186=6,BN186,IF($J186=5,BN186,IF($J186=4,BN186,0)))))</f>
        <v>0</v>
      </c>
      <c r="BL186" s="442">
        <f>IF(BN186=0,0,IF(BN186&lt;0,IF($J186=9,BN186,IF($J186=8,BN186,IF($J186=7,BN186,0)))))</f>
        <v>0</v>
      </c>
      <c r="BM186" s="443">
        <f>IF(BN186=0,0,IF(BN186&lt;0,IF($J186=12,BN186,IF($J186=11,BN186,IF($J186=10,BN186,0)))))</f>
        <v>0</v>
      </c>
      <c r="BN186" s="440">
        <f>IF(BN$5=$H186,-$E186,0)</f>
        <v>0</v>
      </c>
      <c r="BO186" s="470"/>
      <c r="BP186" s="441">
        <f>IF($H186&lt;&gt;BT$5,0,IF(BT186&lt;0,IF($J186=1,-$E186*$I186/12*3,IF($J186=2,-$E186*$I186/12*2,IF($J186=3,-$E186*$I186/12*1,0)))))+IF(BO$5&lt;&gt;$H186,0,IF(BO186&lt;0,IF($J186=1,-$E186*$I186/12*0,IF($J186=2,-$E186*$I186/12*1,IF($J186=3,-$E186*$I186/12*2,IF($J186&gt;=4,-$E186*$I186/12*3,0))))))</f>
        <v>0</v>
      </c>
      <c r="BQ186" s="442">
        <f>IF($H186&lt;&gt;BT$5,0,IF(BT186&lt;0,IF(OR($J186=1,$J186=2,$J186=3,$J186=4),-$E186*$I186/12*3,IF($J186=5,-$E186*$I186/12*2,IF($J186=6,-$E186*$I186/12*1,0)))))+IF(BO$5&lt;&gt;$H186,0,IF(BO186&lt;0,IF($J186=4,-$E186*$I186/12*0,IF($J186=5,-$E186*$I186/12*1,IF($J186=6,-$E186*$I186/12*2,IF($J186&gt;=7,-$E186*$I186/12*3,0))))))</f>
        <v>0</v>
      </c>
      <c r="BR186" s="442">
        <f>IF($H186&lt;&gt;BT$5,0,IF(BT186&lt;0,IF(OR($J186=1,$J186=2,$J186=3,$J186=4,$J186=5,$J186=6,$J186=7),-$E186*$I186/12*3,IF($J186=8,-$E186*$I186/12*2,IF($J186=9,-$E186*$I186/12*1,0)))))+IF(BO$5&lt;&gt;$H186,0,IF(BO186&lt;0,IF($J186=7,-$E186*$I186/12*0,IF($J186=8,-$E186*$I186/12*1,IF($J186=9,-$E186*$I186/12*2,IF($J186&gt;=10,-$E186*$I186/12*3,0))))))</f>
        <v>0</v>
      </c>
      <c r="BS186" s="443">
        <f>IF($H186&lt;&gt;BT$5,0,IF(BT186&lt;0,IF(OR($J186=1,$J186=2,$J186=3,$J186=4,$J186=5,$J186=6,$J186=7,$J186=8,$J186=9,$J186=10),-$E186*$I186/12*3,IF($J186=11,-$E186*$I186/12*2,IF($J186=12,-$E186*$I186/12*1,0)))))+IF(BO$5&lt;&gt;$H186,0,IF(BO186&lt;0,IF($J186=10,-$E186*$I186/12*0,IF($J186=11,-$E186*$I186/12*1,IF($J186=12,-$E186*$I186/12*2,0)))))</f>
        <v>0</v>
      </c>
      <c r="BT186" s="440">
        <f>IF(AND(BO186&lt;&gt;0,BO$5=$H186),-$I186*$E186-BO186,IF(BT$5=$H186,-$I186*$E186*(12-$J186+1)/12,0))</f>
        <v>0</v>
      </c>
      <c r="BU186" s="441">
        <f>IF($H186&lt;&gt;BY$5,0,IF(BY186&lt;0,IF($J186=1,-$E186*$I186/12*3,IF($J186=2,-$E186*$I186/12*2,IF($J186=3,-$E186*$I186/12*1,0)))))+IF(BT$5&lt;&gt;$H186,0,IF(BT186&lt;0,IF($J186=1,-$E186*$I186/12*0,IF($J186=2,-$E186*$I186/12*1,IF($J186=3,-$E186*$I186/12*2,IF($J186&gt;=4,-$E186*$I186/12*3,0))))))</f>
        <v>0</v>
      </c>
      <c r="BV186" s="442">
        <f>IF($H186&lt;&gt;BY$5,0,IF(BY186&lt;0,IF(OR($J186=1,$J186=2,$J186=3,$J186=4),-$E186*$I186/12*3,IF($J186=5,-$E186*$I186/12*2,IF($J186=6,-$E186*$I186/12*1,0)))))+IF(BT$5&lt;&gt;$H186,0,IF(BT186&lt;0,IF($J186=4,-$E186*$I186/12*0,IF($J186=5,-$E186*$I186/12*1,IF($J186=6,-$E186*$I186/12*2,IF($J186&gt;=7,-$E186*$I186/12*3,0))))))</f>
        <v>0</v>
      </c>
      <c r="BW186" s="442">
        <f>IF($H186&lt;&gt;BY$5,0,IF(BY186&lt;0,IF(OR($J186=1,$J186=2,$J186=3,$J186=4,$J186=5,$J186=6,$J186=7),-$E186*$I186/12*3,IF($J186=8,-$E186*$I186/12*2,IF($J186=9,-$E186*$I186/12*1,0)))))+IF(BT$5&lt;&gt;$H186,0,IF(BT186&lt;0,IF($J186=7,-$E186*$I186/12*0,IF($J186=8,-$E186*$I186/12*1,IF($J186=9,-$E186*$I186/12*2,IF($J186&gt;=10,-$E186*$I186/12*3,0))))))</f>
        <v>0</v>
      </c>
      <c r="BX186" s="443">
        <f>IF($H186&lt;&gt;BY$5,0,IF(BY186&lt;0,IF(OR($J186=1,$J186=2,$J186=3,$J186=4,$J186=5,$J186=6,$J186=7,$J186=8,$J186=9,$J186=10),-$E186*$I186/12*3,IF($J186=11,-$E186*$I186/12*2,IF($J186=12,-$E186*$I186/12*1,0)))))+IF(BT$5&lt;&gt;$H186,0,IF(BT186&lt;0,IF($J186=10,-$E186*$I186/12*0,IF($J186=11,-$E186*$I186/12*1,IF($J186=12,-$E186*$I186/12*2,0)))))</f>
        <v>0</v>
      </c>
      <c r="BY186" s="440">
        <f>IF(AND(BT186&lt;&gt;0,BT$5=$H186),-$I186*$E186-BT186,IF(BY$5=$H186,-$I186*$E186*(12-$J186+1)/12,0))</f>
        <v>0</v>
      </c>
      <c r="BZ186" s="441">
        <f>IF($H186&lt;&gt;CD$5,0,IF(CD186&lt;0,IF($J186=1,-$E186*$I186/12*3,IF($J186=2,-$E186*$I186/12*2,IF($J186=3,-$E186*$I186/12*1,0)))))+IF(BY$5&lt;&gt;$H186,0,IF(BY186&lt;0,IF($J186=1,-$E186*$I186/12*0,IF($J186=2,-$E186*$I186/12*1,IF($J186=3,-$E186*$I186/12*2,IF($J186&gt;=4,-$E186*$I186/12*3,0))))))</f>
        <v>0</v>
      </c>
      <c r="CA186" s="442">
        <f>IF($H186&lt;&gt;CD$5,0,IF(CD186&lt;0,IF(OR($J186=1,$J186=2,$J186=3,$J186=4),-$E186*$I186/12*3,IF($J186=5,-$E186*$I186/12*2,IF($J186=6,-$E186*$I186/12*1,0)))))+IF(BY$5&lt;&gt;$H186,0,IF(BY186&lt;0,IF($J186=4,-$E186*$I186/12*0,IF($J186=5,-$E186*$I186/12*1,IF($J186=6,-$E186*$I186/12*2,IF($J186&gt;=7,-$E186*$I186/12*3,0))))))</f>
        <v>0</v>
      </c>
      <c r="CB186" s="442">
        <f>IF($H186&lt;&gt;CD$5,0,IF(CD186&lt;0,IF(OR($J186=1,$J186=2,$J186=3,$J186=4,$J186=5,$J186=6,$J186=7),-$E186*$I186/12*3,IF($J186=8,-$E186*$I186/12*2,IF($J186=9,-$E186*$I186/12*1,0)))))+IF(BY$5&lt;&gt;$H186,0,IF(BY186&lt;0,IF($J186=7,-$E186*$I186/12*0,IF($J186=8,-$E186*$I186/12*1,IF($J186=9,-$E186*$I186/12*2,IF($J186&gt;=10,-$E186*$I186/12*3,0))))))</f>
        <v>0</v>
      </c>
      <c r="CC186" s="443">
        <f>IF($H186&lt;&gt;CD$5,0,IF(CD186&lt;0,IF(OR($J186=1,$J186=2,$J186=3,$J186=4,$J186=5,$J186=6,$J186=7,$J186=8,$J186=9,$J186=10),-$E186*$I186/12*3,IF($J186=11,-$E186*$I186/12*2,IF($J186=12,-$E186*$I186/12*1,0)))))+IF(BY$5&lt;&gt;$H186,0,IF(BY186&lt;0,IF($J186=10,-$E186*$I186/12*0,IF($J186=11,-$E186*$I186/12*1,IF($J186=12,-$E186*$I186/12*2,0)))))</f>
        <v>0</v>
      </c>
      <c r="CD186" s="440">
        <f>IF(AND(BY186&lt;&gt;0,BY$5=$H186),-$I186*$E186-BY186,IF(CD$5=$H186,-$I186*$E186*(12-$J186+1)/12,0))</f>
        <v>0</v>
      </c>
      <c r="CE186" s="441">
        <f>IF($H186&lt;&gt;CI$5,0,IF(CI186&lt;0,IF($J186=1,-$E186*$I186/12*3,IF($J186=2,-$E186*$I186/12*2,IF($J186=3,-$E186*$I186/12*1,0)))))+IF(CD$5&lt;&gt;$H186,0,IF(CD186&lt;0,IF($J186=1,-$E186*$I186/12*0,IF($J186=2,-$E186*$I186/12*1,IF($J186=3,-$E186*$I186/12*2,IF($J186&gt;=4,-$E186*$I186/12*3,0))))))</f>
        <v>0</v>
      </c>
      <c r="CF186" s="442">
        <f>IF($H186&lt;&gt;CI$5,0,IF(CI186&lt;0,IF(OR($J186=1,$J186=2,$J186=3,$J186=4),-$E186*$I186/12*3,IF($J186=5,-$E186*$I186/12*2,IF($J186=6,-$E186*$I186/12*1,0)))))+IF(CD$5&lt;&gt;$H186,0,IF(CD186&lt;0,IF($J186=4,-$E186*$I186/12*0,IF($J186=5,-$E186*$I186/12*1,IF($J186=6,-$E186*$I186/12*2,IF($J186&gt;=7,-$E186*$I186/12*3,0))))))</f>
        <v>0</v>
      </c>
      <c r="CG186" s="442">
        <f>IF($H186&lt;&gt;CI$5,0,IF(CI186&lt;0,IF(OR($J186=1,$J186=2,$J186=3,$J186=4,$J186=5,$J186=6,$J186=7),-$E186*$I186/12*3,IF($J186=8,-$E186*$I186/12*2,IF($J186=9,-$E186*$I186/12*1,0)))))+IF(CD$5&lt;&gt;$H186,0,IF(CD186&lt;0,IF($J186=7,-$E186*$I186/12*0,IF($J186=8,-$E186*$I186/12*1,IF($J186=9,-$E186*$I186/12*2,IF($J186&gt;=10,-$E186*$I186/12*3,0))))))</f>
        <v>0</v>
      </c>
      <c r="CH186" s="443">
        <f>IF($H186&lt;&gt;CI$5,0,IF(CI186&lt;0,IF(OR($J186=1,$J186=2,$J186=3,$J186=4,$J186=5,$J186=6,$J186=7,$J186=8,$J186=9,$J186=10),-$E186*$I186/12*3,IF($J186=11,-$E186*$I186/12*2,IF($J186=12,-$E186*$I186/12*1,0)))))+IF(CD$5&lt;&gt;$H186,0,IF(CD186&lt;0,IF($J186=10,-$E186*$I186/12*0,IF($J186=11,-$E186*$I186/12*1,IF($J186=12,-$E186*$I186/12*2,0)))))</f>
        <v>0</v>
      </c>
      <c r="CI186" s="440">
        <f>IF(AND(CD186&lt;&gt;0,CD$5=$H186),-$I186*$E186-CD186,IF(CI$5=$H186,-$I186*$E186*(12-$J186+1)/12,0))</f>
        <v>0</v>
      </c>
      <c r="CJ186" s="441">
        <f>IF($H186&lt;&gt;CN$5,0,IF(CN186&lt;0,IF($J186=1,-$E186*$I186/12*3,IF($J186=2,-$E186*$I186/12*2,IF($J186=3,-$E186*$I186/12*1,0)))))+IF(CI$5&lt;&gt;$H186,0,IF(CI186&lt;0,IF($J186=1,-$E186*$I186/12*0,IF($J186=2,-$E186*$I186/12*1,IF($J186=3,-$E186*$I186/12*2,IF($J186&gt;=4,-$E186*$I186/12*3,0))))))</f>
        <v>0</v>
      </c>
      <c r="CK186" s="442">
        <f>IF($H186&lt;&gt;CN$5,0,IF(CN186&lt;0,IF(OR($J186=1,$J186=2,$J186=3,$J186=4),-$E186*$I186/12*3,IF($J186=5,-$E186*$I186/12*2,IF($J186=6,-$E186*$I186/12*1,0)))))+IF(CI$5&lt;&gt;$H186,0,IF(CI186&lt;0,IF($J186=4,-$E186*$I186/12*0,IF($J186=5,-$E186*$I186/12*1,IF($J186=6,-$E186*$I186/12*2,IF($J186&gt;=7,-$E186*$I186/12*3,0))))))</f>
        <v>0</v>
      </c>
      <c r="CL186" s="442">
        <f>IF($H186&lt;&gt;CN$5,0,IF(CN186&lt;0,IF(OR($J186=1,$J186=2,$J186=3,$J186=4,$J186=5,$J186=6,$J186=7),-$E186*$I186/12*3,IF($J186=8,-$E186*$I186/12*2,IF($J186=9,-$E186*$I186/12*1,0)))))+IF(CI$5&lt;&gt;$H186,0,IF(CI186&lt;0,IF($J186=7,-$E186*$I186/12*0,IF($J186=8,-$E186*$I186/12*1,IF($J186=9,-$E186*$I186/12*2,IF($J186&gt;=10,-$E186*$I186/12*3,0))))))</f>
        <v>0</v>
      </c>
      <c r="CM186" s="443">
        <f>IF($H186&lt;&gt;CN$5,0,IF(CN186&lt;0,IF(OR($J186=1,$J186=2,$J186=3,$J186=4,$J186=5,$J186=6,$J186=7,$J186=8,$J186=9,$J186=10),-$E186*$I186/12*3,IF($J186=11,-$E186*$I186/12*2,IF($J186=12,-$E186*$I186/12*1,0)))))+IF(CI$5&lt;&gt;$H186,0,IF(CI186&lt;0,IF($J186=10,-$E186*$I186/12*0,IF($J186=11,-$E186*$I186/12*1,IF($J186=12,-$E186*$I186/12*2,0)))))</f>
        <v>0</v>
      </c>
      <c r="CN186" s="440">
        <f>IF(AND(CI186&lt;&gt;0,CI$5=$H186),-$I186*$E186-CI186,IF(CN$5=$H186,-$I186*$E186*(12-$J186+1)/12,0))</f>
        <v>0</v>
      </c>
      <c r="CO186" s="441">
        <f>IF($H186&lt;&gt;CS$5,0,IF(CS186&lt;0,IF($J186=1,-$E186*$I186/12*3,IF($J186=2,-$E186*$I186/12*2,IF($J186=3,-$E186*$I186/12*1,0)))))+IF(CN$5&lt;&gt;$H186,0,IF(CN186&lt;0,IF($J186=1,-$E186*$I186/12*0,IF($J186=2,-$E186*$I186/12*1,IF($J186=3,-$E186*$I186/12*2,IF($J186&gt;=4,-$E186*$I186/12*3,0))))))</f>
        <v>0</v>
      </c>
      <c r="CP186" s="442">
        <f>IF($H186&lt;&gt;CS$5,0,IF(CS186&lt;0,IF(OR($J186=1,$J186=2,$J186=3,$J186=4),-$E186*$I186/12*3,IF($J186=5,-$E186*$I186/12*2,IF($J186=6,-$E186*$I186/12*1,0)))))+IF(CN$5&lt;&gt;$H186,0,IF(CN186&lt;0,IF($J186=4,-$E186*$I186/12*0,IF($J186=5,-$E186*$I186/12*1,IF($J186=6,-$E186*$I186/12*2,IF($J186&gt;=7,-$E186*$I186/12*3,0))))))</f>
        <v>0</v>
      </c>
      <c r="CQ186" s="442">
        <f>IF($H186&lt;&gt;CS$5,0,IF(CS186&lt;0,IF(OR($J186=1,$J186=2,$J186=3,$J186=4,$J186=5,$J186=6,$J186=7),-$E186*$I186/12*3,IF($J186=8,-$E186*$I186/12*2,IF($J186=9,-$E186*$I186/12*1,0)))))+IF(CN$5&lt;&gt;$H186,0,IF(CN186&lt;0,IF($J186=7,-$E186*$I186/12*0,IF($J186=8,-$E186*$I186/12*1,IF($J186=9,-$E186*$I186/12*2,IF($J186&gt;=10,-$E186*$I186/12*3,0))))))</f>
        <v>0</v>
      </c>
      <c r="CR186" s="443">
        <f>IF($H186&lt;&gt;CS$5,0,IF(CS186&lt;0,IF(OR($J186=1,$J186=2,$J186=3,$J186=4,$J186=5,$J186=6,$J186=7,$J186=8,$J186=9,$J186=10),-$E186*$I186/12*3,IF($J186=11,-$E186*$I186/12*2,IF($J186=12,-$E186*$I186/12*1,0)))))+IF(CN$5&lt;&gt;$H186,0,IF(CN186&lt;0,IF($J186=10,-$E186*$I186/12*0,IF($J186=11,-$E186*$I186/12*1,IF($J186=12,-$E186*$I186/12*2,0)))))</f>
        <v>0</v>
      </c>
      <c r="CS186" s="440">
        <f>IF(AND(CN186&lt;&gt;0,CN$5=$H186),-$I186*$E186-CN186,IF(CS$5=$H186,-$I186*$E186*(12-$J186+1)/12,0))</f>
        <v>0</v>
      </c>
      <c r="CT186" s="441">
        <f>IF($H186&lt;&gt;CX$5,0,IF(CX186&lt;0,IF($J186=1,-$E186*$I186/12*3,IF($J186=2,-$E186*$I186/12*2,IF($J186=3,-$E186*$I186/12*1,0)))))+IF(CS$5&lt;&gt;$H186,0,IF(CS186&lt;0,IF($J186=1,-$E186*$I186/12*0,IF($J186=2,-$E186*$I186/12*1,IF($J186=3,-$E186*$I186/12*2,IF($J186&gt;=4,-$E186*$I186/12*3,0))))))</f>
        <v>0</v>
      </c>
      <c r="CU186" s="442">
        <f>IF($H186&lt;&gt;CX$5,0,IF(CX186&lt;0,IF(OR($J186=1,$J186=2,$J186=3,$J186=4),-$E186*$I186/12*3,IF($J186=5,-$E186*$I186/12*2,IF($J186=6,-$E186*$I186/12*1,0)))))+IF(CS$5&lt;&gt;$H186,0,IF(CS186&lt;0,IF($J186=4,-$E186*$I186/12*0,IF($J186=5,-$E186*$I186/12*1,IF($J186=6,-$E186*$I186/12*2,IF($J186&gt;=7,-$E186*$I186/12*3,0))))))</f>
        <v>0</v>
      </c>
      <c r="CV186" s="442">
        <f>IF($H186&lt;&gt;CX$5,0,IF(CX186&lt;0,IF(OR($J186=1,$J186=2,$J186=3,$J186=4,$J186=5,$J186=6,$J186=7),-$E186*$I186/12*3,IF($J186=8,-$E186*$I186/12*2,IF($J186=9,-$E186*$I186/12*1,0)))))+IF(CS$5&lt;&gt;$H186,0,IF(CS186&lt;0,IF($J186=7,-$E186*$I186/12*0,IF($J186=8,-$E186*$I186/12*1,IF($J186=9,-$E186*$I186/12*2,IF($J186&gt;=10,-$E186*$I186/12*3,0))))))</f>
        <v>0</v>
      </c>
      <c r="CW186" s="443">
        <f>IF($H186&lt;&gt;CX$5,0,IF(CX186&lt;0,IF(OR($J186=1,$J186=2,$J186=3,$J186=4,$J186=5,$J186=6,$J186=7,$J186=8,$J186=9,$J186=10),-$E186*$I186/12*3,IF($J186=11,-$E186*$I186/12*2,IF($J186=12,-$E186*$I186/12*1,0)))))+IF(CS$5&lt;&gt;$H186,0,IF(CS186&lt;0,IF($J186=10,-$E186*$I186/12*0,IF($J186=11,-$E186*$I186/12*1,IF($J186=12,-$E186*$I186/12*2,0)))))</f>
        <v>0</v>
      </c>
      <c r="CX186" s="440">
        <f>IF(AND(CS186&lt;&gt;0,CS$5=$H186),-$I186*$E186-CS186,IF(CX$5=$H186,-$I186*$E186*(12-$J186+1)/12,0))</f>
        <v>0</v>
      </c>
      <c r="CY186" s="441">
        <f>IF($H186&lt;&gt;DC$5,0,IF(DC186&lt;0,IF($J186=1,-$E186*$I186/12*3,IF($J186=2,-$E186*$I186/12*2,IF($J186=3,-$E186*$I186/12*1,0)))))+IF(CX$5&lt;&gt;$H186,0,IF(CX186&lt;0,IF($J186=1,-$E186*$I186/12*0,IF($J186=2,-$E186*$I186/12*1,IF($J186=3,-$E186*$I186/12*2,IF($J186&gt;=4,-$E186*$I186/12*3,0))))))</f>
        <v>0</v>
      </c>
      <c r="CZ186" s="442">
        <f>IF($H186&lt;&gt;DC$5,0,IF(DC186&lt;0,IF(OR($J186=1,$J186=2,$J186=3,$J186=4),-$E186*$I186/12*3,IF($J186=5,-$E186*$I186/12*2,IF($J186=6,-$E186*$I186/12*1,0)))))+IF(CX$5&lt;&gt;$H186,0,IF(CX186&lt;0,IF($J186=4,-$E186*$I186/12*0,IF($J186=5,-$E186*$I186/12*1,IF($J186=6,-$E186*$I186/12*2,IF($J186&gt;=7,-$E186*$I186/12*3,0))))))</f>
        <v>0</v>
      </c>
      <c r="DA186" s="442">
        <f>IF($H186&lt;&gt;DC$5,0,IF(DC186&lt;0,IF(OR($J186=1,$J186=2,$J186=3,$J186=4,$J186=5,$J186=6,$J186=7),-$E186*$I186/12*3,IF($J186=8,-$E186*$I186/12*2,IF($J186=9,-$E186*$I186/12*1,0)))))+IF(CX$5&lt;&gt;$H186,0,IF(CX186&lt;0,IF($J186=7,-$E186*$I186/12*0,IF($J186=8,-$E186*$I186/12*1,IF($J186=9,-$E186*$I186/12*2,IF($J186&gt;=10,-$E186*$I186/12*3,0))))))</f>
        <v>0</v>
      </c>
      <c r="DB186" s="443">
        <f>IF($H186&lt;&gt;DC$5,0,IF(DC186&lt;0,IF(OR($J186=1,$J186=2,$J186=3,$J186=4,$J186=5,$J186=6,$J186=7,$J186=8,$J186=9,$J186=10),-$E186*$I186/12*3,IF($J186=11,-$E186*$I186/12*2,IF($J186=12,-$E186*$I186/12*1,0)))))+IF(CX$5&lt;&gt;$H186,0,IF(CX186&lt;0,IF($J186=10,-$E186*$I186/12*0,IF($J186=11,-$E186*$I186/12*1,IF($J186=12,-$E186*$I186/12*2,0)))))</f>
        <v>0</v>
      </c>
      <c r="DC186" s="440">
        <f>IF(AND(CX186&lt;&gt;0,CX$5=$H186),-$I186*$E186-CX186,IF(DC$5=$H186,-$I186*$E186*(12-$J186+1)/12,0))</f>
        <v>0</v>
      </c>
      <c r="DD186" s="441">
        <f>IF($H186&lt;&gt;DH$5,0,IF(DH186&lt;0,IF($J186=1,-$E186*$I186/12*3,IF($J186=2,-$E186*$I186/12*2,IF($J186=3,-$E186*$I186/12*1,0)))))+IF(DC$5&lt;&gt;$H186,0,IF(DC186&lt;0,IF($J186=1,-$E186*$I186/12*0,IF($J186=2,-$E186*$I186/12*1,IF($J186=3,-$E186*$I186/12*2,IF($J186&gt;=4,-$E186*$I186/12*3,0))))))</f>
        <v>0</v>
      </c>
      <c r="DE186" s="442">
        <f>IF($H186&lt;&gt;DH$5,0,IF(DH186&lt;0,IF(OR($J186=1,$J186=2,$J186=3,$J186=4),-$E186*$I186/12*3,IF($J186=5,-$E186*$I186/12*2,IF($J186=6,-$E186*$I186/12*1,0)))))+IF(DC$5&lt;&gt;$H186,0,IF(DC186&lt;0,IF($J186=4,-$E186*$I186/12*0,IF($J186=5,-$E186*$I186/12*1,IF($J186=6,-$E186*$I186/12*2,IF($J186&gt;=7,-$E186*$I186/12*3,0))))))</f>
        <v>0</v>
      </c>
      <c r="DF186" s="442">
        <f>IF($H186&lt;&gt;DH$5,0,IF(DH186&lt;0,IF(OR($J186=1,$J186=2,$J186=3,$J186=4,$J186=5,$J186=6,$J186=7),-$E186*$I186/12*3,IF($J186=8,-$E186*$I186/12*2,IF($J186=9,-$E186*$I186/12*1,0)))))+IF(DC$5&lt;&gt;$H186,0,IF(DC186&lt;0,IF($J186=7,-$E186*$I186/12*0,IF($J186=8,-$E186*$I186/12*1,IF($J186=9,-$E186*$I186/12*2,IF($J186&gt;=10,-$E186*$I186/12*3,0))))))</f>
        <v>0</v>
      </c>
      <c r="DG186" s="443">
        <f>IF($H186&lt;&gt;DH$5,0,IF(DH186&lt;0,IF(OR($J186=1,$J186=2,$J186=3,$J186=4,$J186=5,$J186=6,$J186=7,$J186=8,$J186=9,$J186=10),-$E186*$I186/12*3,IF($J186=11,-$E186*$I186/12*2,IF($J186=12,-$E186*$I186/12*1,0)))))+IF(DC$5&lt;&gt;$H186,0,IF(DC186&lt;0,IF($J186=10,-$E186*$I186/12*0,IF($J186=11,-$E186*$I186/12*1,IF($J186=12,-$E186*$I186/12*2,0)))))</f>
        <v>0</v>
      </c>
      <c r="DH186" s="440">
        <f>IF(AND(DC186&lt;&gt;0,DC$5=$H186),-$I186*$E186-DC186,IF(DH$5=$H186,-$I186*$E186*(12-$J186+1)/12,0))</f>
        <v>0</v>
      </c>
      <c r="DI186" s="441">
        <f>IF($H186&lt;&gt;DM$5,0,IF(DM186&lt;0,IF($J186=1,-$E186*$I186/12*3,IF($J186=2,-$E186*$I186/12*2,IF($J186=3,-$E186*$I186/12*1,0)))))+IF(DH$5&lt;&gt;$H186,0,IF(DH186&lt;0,IF($J186=1,-$E186*$I186/12*0,IF($J186=2,-$E186*$I186/12*1,IF($J186=3,-$E186*$I186/12*2,IF($J186&gt;=4,-$E186*$I186/12*3,0))))))</f>
        <v>0</v>
      </c>
      <c r="DJ186" s="442">
        <f>IF($H186&lt;&gt;DM$5,0,IF(DM186&lt;0,IF(OR($J186=1,$J186=2,$J186=3,$J186=4),-$E186*$I186/12*3,IF($J186=5,-$E186*$I186/12*2,IF($J186=6,-$E186*$I186/12*1,0)))))+IF(DH$5&lt;&gt;$H186,0,IF(DH186&lt;0,IF($J186=4,-$E186*$I186/12*0,IF($J186=5,-$E186*$I186/12*1,IF($J186=6,-$E186*$I186/12*2,IF($J186&gt;=7,-$E186*$I186/12*3,0))))))</f>
        <v>0</v>
      </c>
      <c r="DK186" s="442">
        <f>IF($H186&lt;&gt;DM$5,0,IF(DM186&lt;0,IF(OR($J186=1,$J186=2,$J186=3,$J186=4,$J186=5,$J186=6,$J186=7),-$E186*$I186/12*3,IF($J186=8,-$E186*$I186/12*2,IF($J186=9,-$E186*$I186/12*1,0)))))+IF(DH$5&lt;&gt;$H186,0,IF(DH186&lt;0,IF($J186=7,-$E186*$I186/12*0,IF($J186=8,-$E186*$I186/12*1,IF($J186=9,-$E186*$I186/12*2,IF($J186&gt;=10,-$E186*$I186/12*3,0))))))</f>
        <v>0</v>
      </c>
      <c r="DL186" s="443">
        <f>IF($H186&lt;&gt;DM$5,0,IF(DM186&lt;0,IF(OR($J186=1,$J186=2,$J186=3,$J186=4,$J186=5,$J186=6,$J186=7,$J186=8,$J186=9,$J186=10),-$E186*$I186/12*3,IF($J186=11,-$E186*$I186/12*2,IF($J186=12,-$E186*$I186/12*1,0)))))+IF(DH$5&lt;&gt;$H186,0,IF(DH186&lt;0,IF($J186=10,-$E186*$I186/12*0,IF($J186=11,-$E186*$I186/12*1,IF($J186=12,-$E186*$I186/12*2,0)))))</f>
        <v>0</v>
      </c>
      <c r="DM186" s="440">
        <f>IF(AND(DH186&lt;&gt;0,DH$5=$H186),-$I186*$E186-DH186,IF(DM$5=$H186,-$I186*$E186*(12-$J186+1)/12,0))</f>
        <v>0</v>
      </c>
      <c r="DN186" s="441">
        <f>IF($H186&lt;&gt;DR$5,0,IF(DR186&lt;0,IF($J186=1,-$E186*$I186/12*3,IF($J186=2,-$E186*$I186/12*2,IF($J186=3,-$E186*$I186/12*1,0)))))+IF(DM$5&lt;&gt;$H186,0,IF(DM186&lt;0,IF($J186=1,-$E186*$I186/12*0,IF($J186=2,-$E186*$I186/12*1,IF($J186=3,-$E186*$I186/12*2,IF($J186&gt;=4,-$E186*$I186/12*3,0))))))</f>
        <v>0</v>
      </c>
      <c r="DO186" s="442">
        <f>IF($H186&lt;&gt;DR$5,0,IF(DR186&lt;0,IF(OR($J186=1,$J186=2,$J186=3,$J186=4),-$E186*$I186/12*3,IF($J186=5,-$E186*$I186/12*2,IF($J186=6,-$E186*$I186/12*1,0)))))+IF(DM$5&lt;&gt;$H186,0,IF(DM186&lt;0,IF($J186=4,-$E186*$I186/12*0,IF($J186=5,-$E186*$I186/12*1,IF($J186=6,-$E186*$I186/12*2,IF($J186&gt;=7,-$E186*$I186/12*3,0))))))</f>
        <v>0</v>
      </c>
      <c r="DP186" s="442">
        <f>IF($H186&lt;&gt;DR$5,0,IF(DR186&lt;0,IF(OR($J186=1,$J186=2,$J186=3,$J186=4,$J186=5,$J186=6,$J186=7),-$E186*$I186/12*3,IF($J186=8,-$E186*$I186/12*2,IF($J186=9,-$E186*$I186/12*1,0)))))+IF(DM$5&lt;&gt;$H186,0,IF(DM186&lt;0,IF($J186=7,-$E186*$I186/12*0,IF($J186=8,-$E186*$I186/12*1,IF($J186=9,-$E186*$I186/12*2,IF($J186&gt;=10,-$E186*$I186/12*3,0))))))</f>
        <v>0</v>
      </c>
      <c r="DQ186" s="443">
        <f>IF($H186&lt;&gt;DR$5,0,IF(DR186&lt;0,IF(OR($J186=1,$J186=2,$J186=3,$J186=4,$J186=5,$J186=6,$J186=7,$J186=8,$J186=9,$J186=10),-$E186*$I186/12*3,IF($J186=11,-$E186*$I186/12*2,IF($J186=12,-$E186*$I186/12*1,0)))))+IF(DM$5&lt;&gt;$H186,0,IF(DM186&lt;0,IF($J186=10,-$E186*$I186/12*0,IF($J186=11,-$E186*$I186/12*1,IF($J186=12,-$E186*$I186/12*2,0)))))</f>
        <v>0</v>
      </c>
      <c r="DR186" s="440">
        <f>IF(AND(DM186&lt;&gt;0,DM$5=$H186),-$I186*$E186-DM186,IF(DR$5=$H186,-$I186*$E186*(12-$J186+1)/12,0))</f>
        <v>0</v>
      </c>
    </row>
    <row r="187" spans="3:122" ht="12.75" customHeight="1">
      <c r="C187" s="1123" t="s">
        <v>333</v>
      </c>
      <c r="D187" s="395"/>
      <c r="E187" s="1951">
        <f t="shared" si="2295"/>
        <v>10.841196999999999</v>
      </c>
      <c r="F187" s="1949">
        <v>10.841196999999999</v>
      </c>
      <c r="G187" s="1949">
        <v>13.776312000000001</v>
      </c>
      <c r="H187" s="414">
        <v>2039</v>
      </c>
      <c r="I187" s="1947">
        <v>0.05</v>
      </c>
      <c r="J187" s="656">
        <v>12</v>
      </c>
      <c r="K187" s="549"/>
      <c r="L187" s="441">
        <f t="shared" si="2296"/>
        <v>0</v>
      </c>
      <c r="M187" s="442">
        <f t="shared" si="2297"/>
        <v>0</v>
      </c>
      <c r="N187" s="442">
        <f t="shared" si="2298"/>
        <v>0</v>
      </c>
      <c r="O187" s="443">
        <f t="shared" si="2299"/>
        <v>0</v>
      </c>
      <c r="P187" s="440">
        <f t="shared" si="2300"/>
        <v>0</v>
      </c>
      <c r="Q187" s="441">
        <f t="shared" si="2301"/>
        <v>0</v>
      </c>
      <c r="R187" s="442">
        <f t="shared" si="2302"/>
        <v>0</v>
      </c>
      <c r="S187" s="442">
        <f t="shared" si="2303"/>
        <v>0</v>
      </c>
      <c r="T187" s="443">
        <f t="shared" si="2304"/>
        <v>0</v>
      </c>
      <c r="U187" s="440">
        <f t="shared" si="2305"/>
        <v>0</v>
      </c>
      <c r="V187" s="441">
        <f t="shared" si="2306"/>
        <v>0</v>
      </c>
      <c r="W187" s="442">
        <f t="shared" si="2307"/>
        <v>0</v>
      </c>
      <c r="X187" s="442">
        <f t="shared" si="2308"/>
        <v>0</v>
      </c>
      <c r="Y187" s="443">
        <f t="shared" si="2309"/>
        <v>0</v>
      </c>
      <c r="Z187" s="440">
        <f t="shared" si="2310"/>
        <v>0</v>
      </c>
      <c r="AA187" s="441">
        <f t="shared" si="2311"/>
        <v>0</v>
      </c>
      <c r="AB187" s="442">
        <f t="shared" si="2312"/>
        <v>0</v>
      </c>
      <c r="AC187" s="442">
        <f t="shared" si="2313"/>
        <v>0</v>
      </c>
      <c r="AD187" s="443">
        <f t="shared" si="2314"/>
        <v>0</v>
      </c>
      <c r="AE187" s="440">
        <f t="shared" si="2315"/>
        <v>0</v>
      </c>
      <c r="AF187" s="441">
        <f t="shared" si="2316"/>
        <v>0</v>
      </c>
      <c r="AG187" s="442">
        <f t="shared" si="2317"/>
        <v>0</v>
      </c>
      <c r="AH187" s="442">
        <f t="shared" si="2318"/>
        <v>0</v>
      </c>
      <c r="AI187" s="443">
        <f t="shared" si="2319"/>
        <v>0</v>
      </c>
      <c r="AJ187" s="440">
        <f t="shared" si="2320"/>
        <v>0</v>
      </c>
      <c r="AK187" s="441">
        <f t="shared" si="2321"/>
        <v>0</v>
      </c>
      <c r="AL187" s="442">
        <f t="shared" si="2322"/>
        <v>0</v>
      </c>
      <c r="AM187" s="442">
        <f t="shared" si="2323"/>
        <v>0</v>
      </c>
      <c r="AN187" s="443">
        <f t="shared" si="2324"/>
        <v>0</v>
      </c>
      <c r="AO187" s="440">
        <f t="shared" si="2325"/>
        <v>0</v>
      </c>
      <c r="AP187" s="441">
        <f t="shared" si="2326"/>
        <v>0</v>
      </c>
      <c r="AQ187" s="442">
        <f t="shared" si="2327"/>
        <v>0</v>
      </c>
      <c r="AR187" s="442">
        <f t="shared" si="2328"/>
        <v>0</v>
      </c>
      <c r="AS187" s="443">
        <f t="shared" si="2329"/>
        <v>0</v>
      </c>
      <c r="AT187" s="440">
        <f t="shared" si="2330"/>
        <v>0</v>
      </c>
      <c r="AU187" s="441">
        <f t="shared" si="2331"/>
        <v>0</v>
      </c>
      <c r="AV187" s="442">
        <f t="shared" si="2332"/>
        <v>0</v>
      </c>
      <c r="AW187" s="442">
        <f t="shared" si="2333"/>
        <v>0</v>
      </c>
      <c r="AX187" s="443">
        <f t="shared" si="2334"/>
        <v>0</v>
      </c>
      <c r="AY187" s="440">
        <f t="shared" si="2335"/>
        <v>0</v>
      </c>
      <c r="AZ187" s="441">
        <f t="shared" si="2336"/>
        <v>0</v>
      </c>
      <c r="BA187" s="442">
        <f t="shared" si="2337"/>
        <v>0</v>
      </c>
      <c r="BB187" s="442">
        <f t="shared" si="2338"/>
        <v>0</v>
      </c>
      <c r="BC187" s="443">
        <f t="shared" si="2339"/>
        <v>0</v>
      </c>
      <c r="BD187" s="440">
        <f t="shared" si="2340"/>
        <v>0</v>
      </c>
      <c r="BE187" s="441">
        <f t="shared" si="2341"/>
        <v>0</v>
      </c>
      <c r="BF187" s="442">
        <f t="shared" si="2342"/>
        <v>0</v>
      </c>
      <c r="BG187" s="442">
        <f t="shared" si="2343"/>
        <v>0</v>
      </c>
      <c r="BH187" s="443">
        <f t="shared" si="2344"/>
        <v>0</v>
      </c>
      <c r="BI187" s="440">
        <f t="shared" si="2345"/>
        <v>0</v>
      </c>
      <c r="BJ187" s="441">
        <f t="shared" si="2346"/>
        <v>0</v>
      </c>
      <c r="BK187" s="442">
        <f t="shared" si="2347"/>
        <v>0</v>
      </c>
      <c r="BL187" s="442">
        <f t="shared" si="2348"/>
        <v>0</v>
      </c>
      <c r="BM187" s="443">
        <f t="shared" si="2349"/>
        <v>0</v>
      </c>
      <c r="BN187" s="440">
        <f t="shared" si="2350"/>
        <v>0</v>
      </c>
      <c r="BO187" s="470"/>
      <c r="BP187" s="441">
        <f t="shared" si="2351"/>
        <v>0</v>
      </c>
      <c r="BQ187" s="442">
        <f t="shared" si="2352"/>
        <v>0</v>
      </c>
      <c r="BR187" s="442">
        <f t="shared" si="2353"/>
        <v>0</v>
      </c>
      <c r="BS187" s="443">
        <f t="shared" si="2354"/>
        <v>0</v>
      </c>
      <c r="BT187" s="440">
        <f t="shared" si="2355"/>
        <v>0</v>
      </c>
      <c r="BU187" s="441">
        <f t="shared" si="2356"/>
        <v>0</v>
      </c>
      <c r="BV187" s="442">
        <f t="shared" si="2357"/>
        <v>0</v>
      </c>
      <c r="BW187" s="442">
        <f t="shared" si="2358"/>
        <v>0</v>
      </c>
      <c r="BX187" s="443">
        <f t="shared" si="2359"/>
        <v>0</v>
      </c>
      <c r="BY187" s="440">
        <f t="shared" si="2360"/>
        <v>0</v>
      </c>
      <c r="BZ187" s="441">
        <f t="shared" si="2361"/>
        <v>0</v>
      </c>
      <c r="CA187" s="442">
        <f t="shared" si="2362"/>
        <v>0</v>
      </c>
      <c r="CB187" s="442">
        <f t="shared" si="2363"/>
        <v>0</v>
      </c>
      <c r="CC187" s="443">
        <f t="shared" si="2364"/>
        <v>0</v>
      </c>
      <c r="CD187" s="440">
        <f t="shared" si="2365"/>
        <v>0</v>
      </c>
      <c r="CE187" s="441">
        <f t="shared" si="2366"/>
        <v>0</v>
      </c>
      <c r="CF187" s="442">
        <f t="shared" si="2367"/>
        <v>0</v>
      </c>
      <c r="CG187" s="442">
        <f t="shared" si="2368"/>
        <v>0</v>
      </c>
      <c r="CH187" s="443">
        <f t="shared" si="2369"/>
        <v>0</v>
      </c>
      <c r="CI187" s="440">
        <f t="shared" si="2370"/>
        <v>0</v>
      </c>
      <c r="CJ187" s="441">
        <f t="shared" si="2371"/>
        <v>0</v>
      </c>
      <c r="CK187" s="442">
        <f t="shared" si="2372"/>
        <v>0</v>
      </c>
      <c r="CL187" s="442">
        <f t="shared" si="2373"/>
        <v>0</v>
      </c>
      <c r="CM187" s="443">
        <f t="shared" si="2374"/>
        <v>0</v>
      </c>
      <c r="CN187" s="440">
        <f t="shared" si="2375"/>
        <v>0</v>
      </c>
      <c r="CO187" s="441">
        <f t="shared" si="2376"/>
        <v>0</v>
      </c>
      <c r="CP187" s="442">
        <f t="shared" si="2377"/>
        <v>0</v>
      </c>
      <c r="CQ187" s="442">
        <f t="shared" si="2378"/>
        <v>0</v>
      </c>
      <c r="CR187" s="443">
        <f t="shared" si="2379"/>
        <v>0</v>
      </c>
      <c r="CS187" s="440">
        <f t="shared" si="2380"/>
        <v>0</v>
      </c>
      <c r="CT187" s="441">
        <f t="shared" si="2381"/>
        <v>0</v>
      </c>
      <c r="CU187" s="442">
        <f t="shared" si="2382"/>
        <v>0</v>
      </c>
      <c r="CV187" s="442">
        <f t="shared" si="2383"/>
        <v>0</v>
      </c>
      <c r="CW187" s="443">
        <f t="shared" si="2384"/>
        <v>0</v>
      </c>
      <c r="CX187" s="440">
        <f t="shared" si="2385"/>
        <v>0</v>
      </c>
      <c r="CY187" s="441">
        <f t="shared" si="2386"/>
        <v>0</v>
      </c>
      <c r="CZ187" s="442">
        <f t="shared" si="2387"/>
        <v>0</v>
      </c>
      <c r="DA187" s="442">
        <f t="shared" si="2388"/>
        <v>0</v>
      </c>
      <c r="DB187" s="443">
        <f t="shared" si="2389"/>
        <v>0</v>
      </c>
      <c r="DC187" s="440">
        <f t="shared" si="2390"/>
        <v>0</v>
      </c>
      <c r="DD187" s="441">
        <f t="shared" si="2391"/>
        <v>0</v>
      </c>
      <c r="DE187" s="442">
        <f t="shared" si="2392"/>
        <v>0</v>
      </c>
      <c r="DF187" s="442">
        <f t="shared" si="2393"/>
        <v>0</v>
      </c>
      <c r="DG187" s="443">
        <f t="shared" si="2394"/>
        <v>0</v>
      </c>
      <c r="DH187" s="440">
        <f t="shared" si="2395"/>
        <v>0</v>
      </c>
      <c r="DI187" s="441">
        <f t="shared" si="2396"/>
        <v>0</v>
      </c>
      <c r="DJ187" s="442">
        <f t="shared" si="2397"/>
        <v>0</v>
      </c>
      <c r="DK187" s="442">
        <f t="shared" si="2398"/>
        <v>0</v>
      </c>
      <c r="DL187" s="443">
        <f t="shared" si="2399"/>
        <v>0</v>
      </c>
      <c r="DM187" s="440">
        <f t="shared" si="2400"/>
        <v>0</v>
      </c>
      <c r="DN187" s="441">
        <f t="shared" si="2401"/>
        <v>0</v>
      </c>
      <c r="DO187" s="442">
        <f t="shared" si="2402"/>
        <v>0</v>
      </c>
      <c r="DP187" s="442">
        <f t="shared" si="2403"/>
        <v>0</v>
      </c>
      <c r="DQ187" s="443">
        <f t="shared" si="2404"/>
        <v>0</v>
      </c>
      <c r="DR187" s="440">
        <f t="shared" si="2405"/>
        <v>0</v>
      </c>
    </row>
    <row r="188" spans="3:122" ht="12.75" customHeight="1">
      <c r="C188" s="1362"/>
      <c r="D188" s="395"/>
      <c r="E188" s="202"/>
      <c r="F188" s="1358"/>
      <c r="G188" s="1358"/>
      <c r="H188" s="651"/>
      <c r="I188" s="650"/>
      <c r="J188" s="656"/>
      <c r="K188" s="549"/>
      <c r="L188" s="441"/>
      <c r="M188" s="442"/>
      <c r="N188" s="442"/>
      <c r="O188" s="443"/>
      <c r="P188" s="440"/>
      <c r="Q188" s="441"/>
      <c r="R188" s="442"/>
      <c r="S188" s="442"/>
      <c r="T188" s="443"/>
      <c r="U188" s="440"/>
      <c r="V188" s="441"/>
      <c r="W188" s="442"/>
      <c r="X188" s="442"/>
      <c r="Y188" s="443"/>
      <c r="Z188" s="440"/>
      <c r="AA188" s="441"/>
      <c r="AB188" s="442"/>
      <c r="AC188" s="442"/>
      <c r="AD188" s="443"/>
      <c r="AE188" s="440">
        <v>0</v>
      </c>
      <c r="AF188" s="441">
        <v>0</v>
      </c>
      <c r="AG188" s="442">
        <v>0</v>
      </c>
      <c r="AH188" s="442">
        <v>0</v>
      </c>
      <c r="AI188" s="443">
        <v>0</v>
      </c>
      <c r="AJ188" s="440">
        <v>0</v>
      </c>
      <c r="AK188" s="441">
        <v>0</v>
      </c>
      <c r="AL188" s="442">
        <v>0</v>
      </c>
      <c r="AM188" s="442">
        <v>0</v>
      </c>
      <c r="AN188" s="443">
        <v>0</v>
      </c>
      <c r="AO188" s="440">
        <v>0</v>
      </c>
      <c r="AP188" s="441">
        <v>0</v>
      </c>
      <c r="AQ188" s="442">
        <v>0</v>
      </c>
      <c r="AR188" s="442">
        <v>0</v>
      </c>
      <c r="AS188" s="443">
        <v>0</v>
      </c>
      <c r="AT188" s="440">
        <v>0</v>
      </c>
      <c r="AU188" s="441">
        <v>0</v>
      </c>
      <c r="AV188" s="442">
        <v>0</v>
      </c>
      <c r="AW188" s="442">
        <v>0</v>
      </c>
      <c r="AX188" s="443">
        <v>0</v>
      </c>
      <c r="AY188" s="440"/>
      <c r="AZ188" s="441"/>
      <c r="BA188" s="442"/>
      <c r="BB188" s="442"/>
      <c r="BC188" s="443"/>
      <c r="BD188" s="440"/>
      <c r="BE188" s="441"/>
      <c r="BF188" s="442"/>
      <c r="BG188" s="442"/>
      <c r="BH188" s="443"/>
      <c r="BI188" s="440"/>
      <c r="BJ188" s="441"/>
      <c r="BK188" s="442"/>
      <c r="BL188" s="442"/>
      <c r="BM188" s="443"/>
      <c r="BN188" s="440"/>
      <c r="BO188" s="470"/>
      <c r="BP188" s="441"/>
      <c r="BQ188" s="442"/>
      <c r="BR188" s="442"/>
      <c r="BS188" s="443"/>
      <c r="BT188" s="440"/>
      <c r="BU188" s="441"/>
      <c r="BV188" s="442"/>
      <c r="BW188" s="442"/>
      <c r="BX188" s="443"/>
      <c r="BY188" s="440"/>
      <c r="BZ188" s="441"/>
      <c r="CA188" s="442"/>
      <c r="CB188" s="442"/>
      <c r="CC188" s="443"/>
      <c r="CD188" s="440"/>
      <c r="CE188" s="441"/>
      <c r="CF188" s="442"/>
      <c r="CG188" s="442"/>
      <c r="CH188" s="443"/>
      <c r="CI188" s="440"/>
      <c r="CJ188" s="441"/>
      <c r="CK188" s="442"/>
      <c r="CL188" s="442"/>
      <c r="CM188" s="443"/>
      <c r="CN188" s="440"/>
      <c r="CO188" s="441"/>
      <c r="CP188" s="442"/>
      <c r="CQ188" s="442"/>
      <c r="CR188" s="443"/>
      <c r="CS188" s="440"/>
      <c r="CT188" s="441"/>
      <c r="CU188" s="442"/>
      <c r="CV188" s="442"/>
      <c r="CW188" s="443"/>
      <c r="CX188" s="440"/>
      <c r="CY188" s="441"/>
      <c r="CZ188" s="442"/>
      <c r="DA188" s="442"/>
      <c r="DB188" s="443"/>
      <c r="DC188" s="440"/>
      <c r="DD188" s="441"/>
      <c r="DE188" s="442"/>
      <c r="DF188" s="442"/>
      <c r="DG188" s="443"/>
      <c r="DH188" s="440"/>
      <c r="DI188" s="441"/>
      <c r="DJ188" s="442"/>
      <c r="DK188" s="442"/>
      <c r="DL188" s="443"/>
      <c r="DM188" s="440"/>
      <c r="DN188" s="441"/>
      <c r="DO188" s="442"/>
      <c r="DP188" s="442"/>
      <c r="DQ188" s="443"/>
      <c r="DR188" s="440"/>
    </row>
    <row r="189" spans="3:122">
      <c r="C189" s="1363" t="s">
        <v>325</v>
      </c>
      <c r="D189" s="395"/>
      <c r="E189" s="202"/>
      <c r="F189" s="1358"/>
      <c r="G189" s="1358"/>
      <c r="H189" s="414"/>
      <c r="I189" s="650"/>
      <c r="J189" s="656"/>
      <c r="K189" s="549"/>
      <c r="L189" s="441"/>
      <c r="M189" s="442"/>
      <c r="N189" s="442"/>
      <c r="O189" s="443"/>
      <c r="P189" s="440"/>
      <c r="Q189" s="441"/>
      <c r="R189" s="442"/>
      <c r="S189" s="442"/>
      <c r="T189" s="443"/>
      <c r="U189" s="440"/>
      <c r="V189" s="441"/>
      <c r="W189" s="442"/>
      <c r="X189" s="442"/>
      <c r="Y189" s="443"/>
      <c r="Z189" s="440"/>
      <c r="AA189" s="441"/>
      <c r="AB189" s="442"/>
      <c r="AC189" s="442"/>
      <c r="AD189" s="443"/>
      <c r="AE189" s="440">
        <v>0</v>
      </c>
      <c r="AF189" s="441">
        <v>0</v>
      </c>
      <c r="AG189" s="442">
        <v>0</v>
      </c>
      <c r="AH189" s="442">
        <v>0</v>
      </c>
      <c r="AI189" s="443">
        <v>0</v>
      </c>
      <c r="AJ189" s="440">
        <v>0</v>
      </c>
      <c r="AK189" s="441">
        <v>0</v>
      </c>
      <c r="AL189" s="442">
        <v>0</v>
      </c>
      <c r="AM189" s="442">
        <v>0</v>
      </c>
      <c r="AN189" s="443">
        <v>0</v>
      </c>
      <c r="AO189" s="440">
        <v>0</v>
      </c>
      <c r="AP189" s="441">
        <v>0</v>
      </c>
      <c r="AQ189" s="442">
        <v>0</v>
      </c>
      <c r="AR189" s="442">
        <v>0</v>
      </c>
      <c r="AS189" s="443">
        <v>0</v>
      </c>
      <c r="AT189" s="440">
        <v>0</v>
      </c>
      <c r="AU189" s="441">
        <v>0</v>
      </c>
      <c r="AV189" s="442">
        <v>0</v>
      </c>
      <c r="AW189" s="442">
        <v>0</v>
      </c>
      <c r="AX189" s="443">
        <v>0</v>
      </c>
      <c r="AY189" s="440"/>
      <c r="AZ189" s="441"/>
      <c r="BA189" s="442"/>
      <c r="BB189" s="442"/>
      <c r="BC189" s="443"/>
      <c r="BD189" s="440"/>
      <c r="BE189" s="441"/>
      <c r="BF189" s="442"/>
      <c r="BG189" s="442"/>
      <c r="BH189" s="443"/>
      <c r="BI189" s="440"/>
      <c r="BJ189" s="441"/>
      <c r="BK189" s="442"/>
      <c r="BL189" s="442"/>
      <c r="BM189" s="443"/>
      <c r="BN189" s="440"/>
      <c r="BO189" s="473"/>
      <c r="BP189" s="321"/>
      <c r="BQ189" s="322"/>
      <c r="BR189" s="322"/>
      <c r="BS189" s="323"/>
      <c r="BT189" s="472"/>
      <c r="BU189" s="321"/>
      <c r="BV189" s="322"/>
      <c r="BW189" s="322"/>
      <c r="BX189" s="323"/>
      <c r="BY189" s="472"/>
      <c r="BZ189" s="321"/>
      <c r="CA189" s="322"/>
      <c r="CB189" s="322"/>
      <c r="CC189" s="323"/>
      <c r="CD189" s="472"/>
      <c r="CE189" s="321"/>
      <c r="CF189" s="322"/>
      <c r="CG189" s="322"/>
      <c r="CH189" s="323"/>
      <c r="CI189" s="472"/>
      <c r="CJ189" s="321"/>
      <c r="CK189" s="322"/>
      <c r="CL189" s="322"/>
      <c r="CM189" s="323"/>
      <c r="CN189" s="472"/>
      <c r="CO189" s="321"/>
      <c r="CP189" s="322"/>
      <c r="CQ189" s="322"/>
      <c r="CR189" s="323"/>
      <c r="CS189" s="472"/>
      <c r="CT189" s="321"/>
      <c r="CU189" s="322"/>
      <c r="CV189" s="322"/>
      <c r="CW189" s="323"/>
      <c r="CX189" s="472"/>
      <c r="CY189" s="321"/>
      <c r="CZ189" s="322"/>
      <c r="DA189" s="322"/>
      <c r="DB189" s="323"/>
      <c r="DC189" s="472"/>
      <c r="DD189" s="321"/>
      <c r="DE189" s="322"/>
      <c r="DF189" s="322"/>
      <c r="DG189" s="323"/>
      <c r="DH189" s="472"/>
      <c r="DI189" s="321"/>
      <c r="DJ189" s="322"/>
      <c r="DK189" s="322"/>
      <c r="DL189" s="323"/>
      <c r="DM189" s="472"/>
      <c r="DN189" s="321"/>
      <c r="DO189" s="322"/>
      <c r="DP189" s="322"/>
      <c r="DQ189" s="323"/>
      <c r="DR189" s="472"/>
    </row>
    <row r="190" spans="3:122">
      <c r="C190" s="1123" t="s">
        <v>743</v>
      </c>
      <c r="D190" s="395"/>
      <c r="E190" s="1951">
        <f>IF(F190=0,G190,F190)</f>
        <v>300</v>
      </c>
      <c r="F190" s="1945">
        <v>0</v>
      </c>
      <c r="G190" s="1945">
        <v>300</v>
      </c>
      <c r="H190" s="1366">
        <v>2017</v>
      </c>
      <c r="I190" s="1367">
        <v>6.0499999999999998E-2</v>
      </c>
      <c r="J190" s="1357">
        <v>9</v>
      </c>
      <c r="K190" s="549"/>
      <c r="L190" s="441">
        <f>IF(P190=0,0,IF(P190&lt;0,IF($J190=3,P190,IF($J190=2,P190,IF($J190=1,P190,0)))))</f>
        <v>0</v>
      </c>
      <c r="M190" s="442">
        <f>IF(P190=0,0,IF(P190&lt;0,IF($J190=6,P190,IF($J190=5,P190,IF($J190=4,P190,0)))))</f>
        <v>0</v>
      </c>
      <c r="N190" s="442">
        <f>IF(P190=0,0,IF(P190&lt;0,IF($J190=9,P190,IF($J190=8,P190,IF($J190=7,P190,0)))))</f>
        <v>0</v>
      </c>
      <c r="O190" s="443">
        <f>IF(P190=0,0,IF(P190&lt;0,IF($J190=12,P190,IF($J190=11,P190,IF($J190=10,P190,0)))))</f>
        <v>0</v>
      </c>
      <c r="P190" s="440">
        <f>IF(P$5=$H190,-$E190,0)</f>
        <v>0</v>
      </c>
      <c r="Q190" s="441">
        <f>IF(U190=0,0,IF(U190&lt;0,IF($J190=3,U190,IF($J190=2,U190,IF($J190=1,U190,0)))))</f>
        <v>0</v>
      </c>
      <c r="R190" s="442">
        <f>IF(U190=0,0,IF(U190&lt;0,IF($J190=6,U190,IF($J190=5,U190,IF($J190=4,U190,0)))))</f>
        <v>0</v>
      </c>
      <c r="S190" s="442">
        <f>IF(U190=0,0,IF(U190&lt;0,IF($J190=9,U190,IF($J190=8,U190,IF($J190=7,U190,0)))))</f>
        <v>0</v>
      </c>
      <c r="T190" s="443">
        <f>IF(U190=0,0,IF(U190&lt;0,IF($J190=12,U190,IF($J190=11,U190,IF($J190=10,U190,0)))))</f>
        <v>0</v>
      </c>
      <c r="U190" s="440">
        <f>IF(U$5=$H190,-$E190,0)</f>
        <v>0</v>
      </c>
      <c r="V190" s="441">
        <f>IF(Z190=0,0,IF(Z190&lt;0,IF($J190=3,Z190,IF($J190=2,Z190,IF($J190=1,Z190,0)))))</f>
        <v>0</v>
      </c>
      <c r="W190" s="442">
        <f>IF(Z190=0,0,IF(Z190&lt;0,IF($J190=6,Z190,IF($J190=5,Z190,IF($J190=4,Z190,0)))))</f>
        <v>0</v>
      </c>
      <c r="X190" s="442">
        <f>IF(Z190=0,0,IF(Z190&lt;0,IF($J190=9,Z190,IF($J190=8,Z190,IF($J190=7,Z190,0)))))</f>
        <v>0</v>
      </c>
      <c r="Y190" s="443">
        <f>IF(Z190=0,0,IF(Z190&lt;0,IF($J190=12,Z190,IF($J190=11,Z190,IF($J190=10,Z190,0)))))</f>
        <v>0</v>
      </c>
      <c r="Z190" s="440">
        <f>IF(Z$5=$H190,-$E190,0)</f>
        <v>0</v>
      </c>
      <c r="AA190" s="441">
        <f>IF(AE190=0,0,IF(AE190&lt;0,IF($J190=3,AE190,IF($J190=2,AE190,IF($J190=1,AE190,0)))))</f>
        <v>0</v>
      </c>
      <c r="AB190" s="442">
        <f>IF(AE190=0,0,IF(AE190&lt;0,IF($J190=6,AE190,IF($J190=5,AE190,IF($J190=4,AE190,0)))))</f>
        <v>0</v>
      </c>
      <c r="AC190" s="442">
        <f>IF(AE190=0,0,IF(AE190&lt;0,IF($J190=9,AE190,IF($J190=8,AE190,IF($J190=7,AE190,0)))))</f>
        <v>0</v>
      </c>
      <c r="AD190" s="443">
        <f>IF(AE190=0,0,IF(AE190&lt;0,IF($J190=12,AE190,IF($J190=11,AE190,IF($J190=10,AE190,0)))))</f>
        <v>0</v>
      </c>
      <c r="AE190" s="440">
        <f>IF(AE$5=$H190,-$E190,0)</f>
        <v>0</v>
      </c>
      <c r="AF190" s="441">
        <f>IF(AJ190=0,0,IF(AJ190&lt;0,IF($J190=3,AJ190,IF($J190=2,AJ190,IF($J190=1,AJ190,0)))))</f>
        <v>0</v>
      </c>
      <c r="AG190" s="442">
        <f>IF(AJ190=0,0,IF(AJ190&lt;0,IF($J190=6,AJ190,IF($J190=5,AJ190,IF($J190=4,AJ190,0)))))</f>
        <v>0</v>
      </c>
      <c r="AH190" s="442">
        <f>IF(AJ190=0,0,IF(AJ190&lt;0,IF($J190=9,AJ190,IF($J190=8,AJ190,IF($J190=7,AJ190,0)))))</f>
        <v>0</v>
      </c>
      <c r="AI190" s="443">
        <f>IF(AJ190=0,0,IF(AJ190&lt;0,IF($J190=12,AJ190,IF($J190=11,AJ190,IF($J190=10,AJ190,0)))))</f>
        <v>0</v>
      </c>
      <c r="AJ190" s="440">
        <f>IF(AJ$5=$H190,-$E190,0)</f>
        <v>0</v>
      </c>
      <c r="AK190" s="441">
        <f>IF(AO190=0,0,IF(AO190&lt;0,IF($J190=3,AO190,IF($J190=2,AO190,IF($J190=1,AO190,0)))))</f>
        <v>0</v>
      </c>
      <c r="AL190" s="442">
        <f>IF(AO190=0,0,IF(AO190&lt;0,IF($J190=6,AO190,IF($J190=5,AO190,IF($J190=4,AO190,0)))))</f>
        <v>0</v>
      </c>
      <c r="AM190" s="442">
        <f>IF(AO190=0,0,IF(AO190&lt;0,IF($J190=9,AO190,IF($J190=8,AO190,IF($J190=7,AO190,0)))))</f>
        <v>0</v>
      </c>
      <c r="AN190" s="443">
        <f>IF(AO190=0,0,IF(AO190&lt;0,IF($J190=12,AO190,IF($J190=11,AO190,IF($J190=10,AO190,0)))))</f>
        <v>0</v>
      </c>
      <c r="AO190" s="440">
        <f>IF(AO$5=$H190,-$E190,0)</f>
        <v>0</v>
      </c>
      <c r="AP190" s="441">
        <f>IF(AT190=0,0,IF(AT190&lt;0,IF($J190=3,AT190,IF($J190=2,AT190,IF($J190=1,AT190,0)))))</f>
        <v>0</v>
      </c>
      <c r="AQ190" s="442">
        <f>IF(AT190=0,0,IF(AT190&lt;0,IF($J190=6,AT190,IF($J190=5,AT190,IF($J190=4,AT190,0)))))</f>
        <v>0</v>
      </c>
      <c r="AR190" s="442">
        <f>IF(AT190=0,0,IF(AT190&lt;0,IF($J190=9,AT190,IF($J190=8,AT190,IF($J190=7,AT190,0)))))</f>
        <v>-300</v>
      </c>
      <c r="AS190" s="443">
        <f>IF(AT190=0,0,IF(AT190&lt;0,IF($J190=12,AT190,IF($J190=11,AT190,IF($J190=10,AT190,0)))))</f>
        <v>0</v>
      </c>
      <c r="AT190" s="440">
        <f>IF(AT$5=$H190,-$E190,0)</f>
        <v>-300</v>
      </c>
      <c r="AU190" s="441">
        <f>IF(AY190=0,0,IF(AY190&lt;0,IF($J190=3,AY190,IF($J190=2,AY190,IF($J190=1,AY190,0)))))</f>
        <v>0</v>
      </c>
      <c r="AV190" s="442">
        <f>IF(AY190=0,0,IF(AY190&lt;0,IF($J190=6,AY190,IF($J190=5,AY190,IF($J190=4,AY190,0)))))</f>
        <v>0</v>
      </c>
      <c r="AW190" s="442">
        <f>IF(AY190=0,0,IF(AY190&lt;0,IF($J190=9,AY190,IF($J190=8,AY190,IF($J190=7,AY190,0)))))</f>
        <v>0</v>
      </c>
      <c r="AX190" s="443">
        <f>IF(AY190=0,0,IF(AY190&lt;0,IF($J190=12,AY190,IF($J190=11,AY190,IF($J190=10,AY190,0)))))</f>
        <v>0</v>
      </c>
      <c r="AY190" s="440">
        <f>IF(AY$5=$H190,-$E190,0)</f>
        <v>0</v>
      </c>
      <c r="AZ190" s="441">
        <f>IF(BD190=0,0,IF(BD190&lt;0,IF($J190=3,BD190,IF($J190=2,BD190,IF($J190=1,BD190,0)))))</f>
        <v>0</v>
      </c>
      <c r="BA190" s="442">
        <f>IF(BD190=0,0,IF(BD190&lt;0,IF($J190=6,BD190,IF($J190=5,BD190,IF($J190=4,BD190,0)))))</f>
        <v>0</v>
      </c>
      <c r="BB190" s="442">
        <f>IF(BD190=0,0,IF(BD190&lt;0,IF($J190=9,BD190,IF($J190=8,BD190,IF($J190=7,BD190,0)))))</f>
        <v>0</v>
      </c>
      <c r="BC190" s="443">
        <f>IF(BD190=0,0,IF(BD190&lt;0,IF($J190=12,BD190,IF($J190=11,BD190,IF($J190=10,BD190,0)))))</f>
        <v>0</v>
      </c>
      <c r="BD190" s="440">
        <f>IF(BD$5=$H190,-$E190,0)</f>
        <v>0</v>
      </c>
      <c r="BE190" s="441">
        <f>IF(BI190=0,0,IF(BI190&lt;0,IF($J190=3,BI190,IF($J190=2,BI190,IF($J190=1,BI190,0)))))</f>
        <v>0</v>
      </c>
      <c r="BF190" s="442">
        <f>IF(BI190=0,0,IF(BI190&lt;0,IF($J190=6,BI190,IF($J190=5,BI190,IF($J190=4,BI190,0)))))</f>
        <v>0</v>
      </c>
      <c r="BG190" s="442">
        <f>IF(BI190=0,0,IF(BI190&lt;0,IF($J190=9,BI190,IF($J190=8,BI190,IF($J190=7,BI190,0)))))</f>
        <v>0</v>
      </c>
      <c r="BH190" s="443">
        <f>IF(BI190=0,0,IF(BI190&lt;0,IF($J190=12,BI190,IF($J190=11,BI190,IF($J190=10,BI190,0)))))</f>
        <v>0</v>
      </c>
      <c r="BI190" s="440">
        <f>IF(BI$5=$H190,-$E190,0)</f>
        <v>0</v>
      </c>
      <c r="BJ190" s="441">
        <f>IF(BN190=0,0,IF(BN190&lt;0,IF($J190=3,BN190,IF($J190=2,BN190,IF($J190=1,BN190,0)))))</f>
        <v>0</v>
      </c>
      <c r="BK190" s="442">
        <f>IF(BN190=0,0,IF(BN190&lt;0,IF($J190=6,BN190,IF($J190=5,BN190,IF($J190=4,BN190,0)))))</f>
        <v>0</v>
      </c>
      <c r="BL190" s="442">
        <f>IF(BN190=0,0,IF(BN190&lt;0,IF($J190=9,BN190,IF($J190=8,BN190,IF($J190=7,BN190,0)))))</f>
        <v>0</v>
      </c>
      <c r="BM190" s="443">
        <f>IF(BN190=0,0,IF(BN190&lt;0,IF($J190=12,BN190,IF($J190=11,BN190,IF($J190=10,BN190,0)))))</f>
        <v>0</v>
      </c>
      <c r="BN190" s="440">
        <f>IF(BN$5=$H190,-$E190,0)</f>
        <v>0</v>
      </c>
      <c r="BO190" s="470"/>
      <c r="BP190" s="441">
        <f>IF($H190&lt;&gt;BT$5,0,IF(BT190&lt;0,IF($J190=1,-$E190*$I190/12*3,IF($J190=2,-$E190*$I190/12*2,IF($J190=3,-$E190*$I190/12*1,0)))))+IF(BO$5&lt;&gt;$H190,0,IF(BO190&lt;0,IF($J190=1,-$E190*$I190/12*0,IF($J190=2,-$E190*$I190/12*1,IF($J190=3,-$E190*$I190/12*2,IF($J190&gt;=4,-$E190*$I190/12*3,0))))))</f>
        <v>0</v>
      </c>
      <c r="BQ190" s="442">
        <f>IF($H190&lt;&gt;BT$5,0,IF(BT190&lt;0,IF(OR($J190=1,$J190=2,$J190=3,$J190=4),-$E190*$I190/12*3,IF($J190=5,-$E190*$I190/12*2,IF($J190=6,-$E190*$I190/12*1,0)))))+IF(BO$5&lt;&gt;$H190,0,IF(BO190&lt;0,IF($J190=4,-$E190*$I190/12*0,IF($J190=5,-$E190*$I190/12*1,IF($J190=6,-$E190*$I190/12*2,IF($J190&gt;=7,-$E190*$I190/12*3,0))))))</f>
        <v>0</v>
      </c>
      <c r="BR190" s="442">
        <f>IF($H190&lt;&gt;BT$5,0,IF(BT190&lt;0,IF(OR($J190=1,$J190=2,$J190=3,$J190=4,$J190=5,$J190=6,$J190=7),-$E190*$I190/12*3,IF($J190=8,-$E190*$I190/12*2,IF($J190=9,-$E190*$I190/12*1,0)))))+IF(BO$5&lt;&gt;$H190,0,IF(BO190&lt;0,IF($J190=7,-$E190*$I190/12*0,IF($J190=8,-$E190*$I190/12*1,IF($J190=9,-$E190*$I190/12*2,IF($J190&gt;=10,-$E190*$I190/12*3,0))))))</f>
        <v>0</v>
      </c>
      <c r="BS190" s="443">
        <f>IF($H190&lt;&gt;BT$5,0,IF(BT190&lt;0,IF(OR($J190=1,$J190=2,$J190=3,$J190=4,$J190=5,$J190=6,$J190=7,$J190=8,$J190=9,$J190=10),-$E190*$I190/12*3,IF($J190=11,-$E190*$I190/12*2,IF($J190=12,-$E190*$I190/12*1,0)))))+IF(BO$5&lt;&gt;$H190,0,IF(BO190&lt;0,IF($J190=10,-$E190*$I190/12*0,IF($J190=11,-$E190*$I190/12*1,IF($J190=12,-$E190*$I190/12*2,0)))))</f>
        <v>0</v>
      </c>
      <c r="BT190" s="440">
        <f>IF(AND(BO190&lt;&gt;0,BO$5=$H190),-$I190*$E190-BO190,IF(BT$5=$H190,-$I190*$E190*(12-$J190+1)/12,0))</f>
        <v>0</v>
      </c>
      <c r="BU190" s="441">
        <f>IF($H190&lt;&gt;BY$5,0,IF(BY190&lt;0,IF($J190=1,-$E190*$I190/12*3,IF($J190=2,-$E190*$I190/12*2,IF($J190=3,-$E190*$I190/12*1,0)))))+IF(BT$5&lt;&gt;$H190,0,IF(BT190&lt;0,IF($J190=1,-$E190*$I190/12*0,IF($J190=2,-$E190*$I190/12*1,IF($J190=3,-$E190*$I190/12*2,IF($J190&gt;=4,-$E190*$I190/12*3,0))))))</f>
        <v>0</v>
      </c>
      <c r="BV190" s="442">
        <f>IF($H190&lt;&gt;BY$5,0,IF(BY190&lt;0,IF(OR($J190=1,$J190=2,$J190=3,$J190=4),-$E190*$I190/12*3,IF($J190=5,-$E190*$I190/12*2,IF($J190=6,-$E190*$I190/12*1,0)))))+IF(BT$5&lt;&gt;$H190,0,IF(BT190&lt;0,IF($J190=4,-$E190*$I190/12*0,IF($J190=5,-$E190*$I190/12*1,IF($J190=6,-$E190*$I190/12*2,IF($J190&gt;=7,-$E190*$I190/12*3,0))))))</f>
        <v>0</v>
      </c>
      <c r="BW190" s="442">
        <f>IF($H190&lt;&gt;BY$5,0,IF(BY190&lt;0,IF(OR($J190=1,$J190=2,$J190=3,$J190=4,$J190=5,$J190=6,$J190=7),-$E190*$I190/12*3,IF($J190=8,-$E190*$I190/12*2,IF($J190=9,-$E190*$I190/12*1,0)))))+IF(BT$5&lt;&gt;$H190,0,IF(BT190&lt;0,IF($J190=7,-$E190*$I190/12*0,IF($J190=8,-$E190*$I190/12*1,IF($J190=9,-$E190*$I190/12*2,IF($J190&gt;=10,-$E190*$I190/12*3,0))))))</f>
        <v>0</v>
      </c>
      <c r="BX190" s="443">
        <f>IF($H190&lt;&gt;BY$5,0,IF(BY190&lt;0,IF(OR($J190=1,$J190=2,$J190=3,$J190=4,$J190=5,$J190=6,$J190=7,$J190=8,$J190=9,$J190=10),-$E190*$I190/12*3,IF($J190=11,-$E190*$I190/12*2,IF($J190=12,-$E190*$I190/12*1,0)))))+IF(BT$5&lt;&gt;$H190,0,IF(BT190&lt;0,IF($J190=10,-$E190*$I190/12*0,IF($J190=11,-$E190*$I190/12*1,IF($J190=12,-$E190*$I190/12*2,0)))))</f>
        <v>0</v>
      </c>
      <c r="BY190" s="440">
        <f>IF(AND(BT190&lt;&gt;0,BT$5=$H190),-$I190*$E190-BT190,IF(BY$5=$H190,-$I190*$E190*(12-$J190+1)/12,0))</f>
        <v>0</v>
      </c>
      <c r="BZ190" s="441">
        <f>IF($H190&lt;&gt;CD$5,0,IF(CD190&lt;0,IF($J190=1,-$E190*$I190/12*3,IF($J190=2,-$E190*$I190/12*2,IF($J190=3,-$E190*$I190/12*1,0)))))+IF(BY$5&lt;&gt;$H190,0,IF(BY190&lt;0,IF($J190=1,-$E190*$I190/12*0,IF($J190=2,-$E190*$I190/12*1,IF($J190=3,-$E190*$I190/12*2,IF($J190&gt;=4,-$E190*$I190/12*3,0))))))</f>
        <v>0</v>
      </c>
      <c r="CA190" s="442">
        <f>IF($H190&lt;&gt;CD$5,0,IF(CD190&lt;0,IF(OR($J190=1,$J190=2,$J190=3,$J190=4),-$E190*$I190/12*3,IF($J190=5,-$E190*$I190/12*2,IF($J190=6,-$E190*$I190/12*1,0)))))+IF(BY$5&lt;&gt;$H190,0,IF(BY190&lt;0,IF($J190=4,-$E190*$I190/12*0,IF($J190=5,-$E190*$I190/12*1,IF($J190=6,-$E190*$I190/12*2,IF($J190&gt;=7,-$E190*$I190/12*3,0))))))</f>
        <v>0</v>
      </c>
      <c r="CB190" s="442">
        <f>IF($H190&lt;&gt;CD$5,0,IF(CD190&lt;0,IF(OR($J190=1,$J190=2,$J190=3,$J190=4,$J190=5,$J190=6,$J190=7),-$E190*$I190/12*3,IF($J190=8,-$E190*$I190/12*2,IF($J190=9,-$E190*$I190/12*1,0)))))+IF(BY$5&lt;&gt;$H190,0,IF(BY190&lt;0,IF($J190=7,-$E190*$I190/12*0,IF($J190=8,-$E190*$I190/12*1,IF($J190=9,-$E190*$I190/12*2,IF($J190&gt;=10,-$E190*$I190/12*3,0))))))</f>
        <v>0</v>
      </c>
      <c r="CC190" s="443">
        <f>IF($H190&lt;&gt;CD$5,0,IF(CD190&lt;0,IF(OR($J190=1,$J190=2,$J190=3,$J190=4,$J190=5,$J190=6,$J190=7,$J190=8,$J190=9,$J190=10),-$E190*$I190/12*3,IF($J190=11,-$E190*$I190/12*2,IF($J190=12,-$E190*$I190/12*1,0)))))+IF(BY$5&lt;&gt;$H190,0,IF(BY190&lt;0,IF($J190=10,-$E190*$I190/12*0,IF($J190=11,-$E190*$I190/12*1,IF($J190=12,-$E190*$I190/12*2,0)))))</f>
        <v>0</v>
      </c>
      <c r="CD190" s="440">
        <f>IF(AND(BY190&lt;&gt;0,BY$5=$H190),-$I190*$E190-BY190,IF(CD$5=$H190,-$I190*$E190*(12-$J190+1)/12,0))</f>
        <v>0</v>
      </c>
      <c r="CE190" s="441">
        <f>IF($H190&lt;&gt;CI$5,0,IF(CI190&lt;0,IF($J190=1,-$E190*$I190/12*3,IF($J190=2,-$E190*$I190/12*2,IF($J190=3,-$E190*$I190/12*1,0)))))+IF(CD$5&lt;&gt;$H190,0,IF(CD190&lt;0,IF($J190=1,-$E190*$I190/12*0,IF($J190=2,-$E190*$I190/12*1,IF($J190=3,-$E190*$I190/12*2,IF($J190&gt;=4,-$E190*$I190/12*3,0))))))</f>
        <v>0</v>
      </c>
      <c r="CF190" s="442">
        <f>IF($H190&lt;&gt;CI$5,0,IF(CI190&lt;0,IF(OR($J190=1,$J190=2,$J190=3,$J190=4),-$E190*$I190/12*3,IF($J190=5,-$E190*$I190/12*2,IF($J190=6,-$E190*$I190/12*1,0)))))+IF(CD$5&lt;&gt;$H190,0,IF(CD190&lt;0,IF($J190=4,-$E190*$I190/12*0,IF($J190=5,-$E190*$I190/12*1,IF($J190=6,-$E190*$I190/12*2,IF($J190&gt;=7,-$E190*$I190/12*3,0))))))</f>
        <v>0</v>
      </c>
      <c r="CG190" s="442">
        <f>IF($H190&lt;&gt;CI$5,0,IF(CI190&lt;0,IF(OR($J190=1,$J190=2,$J190=3,$J190=4,$J190=5,$J190=6,$J190=7),-$E190*$I190/12*3,IF($J190=8,-$E190*$I190/12*2,IF($J190=9,-$E190*$I190/12*1,0)))))+IF(CD$5&lt;&gt;$H190,0,IF(CD190&lt;0,IF($J190=7,-$E190*$I190/12*0,IF($J190=8,-$E190*$I190/12*1,IF($J190=9,-$E190*$I190/12*2,IF($J190&gt;=10,-$E190*$I190/12*3,0))))))</f>
        <v>0</v>
      </c>
      <c r="CH190" s="443">
        <f>IF($H190&lt;&gt;CI$5,0,IF(CI190&lt;0,IF(OR($J190=1,$J190=2,$J190=3,$J190=4,$J190=5,$J190=6,$J190=7,$J190=8,$J190=9,$J190=10),-$E190*$I190/12*3,IF($J190=11,-$E190*$I190/12*2,IF($J190=12,-$E190*$I190/12*1,0)))))+IF(CD$5&lt;&gt;$H190,0,IF(CD190&lt;0,IF($J190=10,-$E190*$I190/12*0,IF($J190=11,-$E190*$I190/12*1,IF($J190=12,-$E190*$I190/12*2,0)))))</f>
        <v>0</v>
      </c>
      <c r="CI190" s="440">
        <f>IF(AND(CD190&lt;&gt;0,CD$5=$H190),-$I190*$E190-CD190,IF(CI$5=$H190,-$I190*$E190*(12-$J190+1)/12,0))</f>
        <v>0</v>
      </c>
      <c r="CJ190" s="441">
        <f>IF($H190&lt;&gt;CN$5,0,IF(CN190&lt;0,IF($J190=1,-$E190*$I190/12*3,IF($J190=2,-$E190*$I190/12*2,IF($J190=3,-$E190*$I190/12*1,0)))))+IF(CI$5&lt;&gt;$H190,0,IF(CI190&lt;0,IF($J190=1,-$E190*$I190/12*0,IF($J190=2,-$E190*$I190/12*1,IF($J190=3,-$E190*$I190/12*2,IF($J190&gt;=4,-$E190*$I190/12*3,0))))))</f>
        <v>0</v>
      </c>
      <c r="CK190" s="442">
        <f>IF($H190&lt;&gt;CN$5,0,IF(CN190&lt;0,IF(OR($J190=1,$J190=2,$J190=3,$J190=4),-$E190*$I190/12*3,IF($J190=5,-$E190*$I190/12*2,IF($J190=6,-$E190*$I190/12*1,0)))))+IF(CI$5&lt;&gt;$H190,0,IF(CI190&lt;0,IF($J190=4,-$E190*$I190/12*0,IF($J190=5,-$E190*$I190/12*1,IF($J190=6,-$E190*$I190/12*2,IF($J190&gt;=7,-$E190*$I190/12*3,0))))))</f>
        <v>0</v>
      </c>
      <c r="CL190" s="442">
        <f>IF($H190&lt;&gt;CN$5,0,IF(CN190&lt;0,IF(OR($J190=1,$J190=2,$J190=3,$J190=4,$J190=5,$J190=6,$J190=7),-$E190*$I190/12*3,IF($J190=8,-$E190*$I190/12*2,IF($J190=9,-$E190*$I190/12*1,0)))))+IF(CI$5&lt;&gt;$H190,0,IF(CI190&lt;0,IF($J190=7,-$E190*$I190/12*0,IF($J190=8,-$E190*$I190/12*1,IF($J190=9,-$E190*$I190/12*2,IF($J190&gt;=10,-$E190*$I190/12*3,0))))))</f>
        <v>0</v>
      </c>
      <c r="CM190" s="443">
        <f>IF($H190&lt;&gt;CN$5,0,IF(CN190&lt;0,IF(OR($J190=1,$J190=2,$J190=3,$J190=4,$J190=5,$J190=6,$J190=7,$J190=8,$J190=9,$J190=10),-$E190*$I190/12*3,IF($J190=11,-$E190*$I190/12*2,IF($J190=12,-$E190*$I190/12*1,0)))))+IF(CI$5&lt;&gt;$H190,0,IF(CI190&lt;0,IF($J190=10,-$E190*$I190/12*0,IF($J190=11,-$E190*$I190/12*1,IF($J190=12,-$E190*$I190/12*2,0)))))</f>
        <v>0</v>
      </c>
      <c r="CN190" s="440">
        <f>IF(AND(CI190&lt;&gt;0,CI$5=$H190),-$I190*$E190-CI190,IF(CN$5=$H190,-$I190*$E190*(12-$J190+1)/12,0))</f>
        <v>0</v>
      </c>
      <c r="CO190" s="441">
        <f>IF($H190&lt;&gt;CS$5,0,IF(CS190&lt;0,IF($J190=1,-$E190*$I190/12*3,IF($J190=2,-$E190*$I190/12*2,IF($J190=3,-$E190*$I190/12*1,0)))))+IF(CN$5&lt;&gt;$H190,0,IF(CN190&lt;0,IF($J190=1,-$E190*$I190/12*0,IF($J190=2,-$E190*$I190/12*1,IF($J190=3,-$E190*$I190/12*2,IF($J190&gt;=4,-$E190*$I190/12*3,0))))))</f>
        <v>0</v>
      </c>
      <c r="CP190" s="442">
        <f>IF($H190&lt;&gt;CS$5,0,IF(CS190&lt;0,IF(OR($J190=1,$J190=2,$J190=3,$J190=4),-$E190*$I190/12*3,IF($J190=5,-$E190*$I190/12*2,IF($J190=6,-$E190*$I190/12*1,0)))))+IF(CN$5&lt;&gt;$H190,0,IF(CN190&lt;0,IF($J190=4,-$E190*$I190/12*0,IF($J190=5,-$E190*$I190/12*1,IF($J190=6,-$E190*$I190/12*2,IF($J190&gt;=7,-$E190*$I190/12*3,0))))))</f>
        <v>0</v>
      </c>
      <c r="CQ190" s="442">
        <f>IF($H190&lt;&gt;CS$5,0,IF(CS190&lt;0,IF(OR($J190=1,$J190=2,$J190=3,$J190=4,$J190=5,$J190=6,$J190=7),-$E190*$I190/12*3,IF($J190=8,-$E190*$I190/12*2,IF($J190=9,-$E190*$I190/12*1,0)))))+IF(CN$5&lt;&gt;$H190,0,IF(CN190&lt;0,IF($J190=7,-$E190*$I190/12*0,IF($J190=8,-$E190*$I190/12*1,IF($J190=9,-$E190*$I190/12*2,IF($J190&gt;=10,-$E190*$I190/12*3,0))))))</f>
        <v>0</v>
      </c>
      <c r="CR190" s="443">
        <f>IF($H190&lt;&gt;CS$5,0,IF(CS190&lt;0,IF(OR($J190=1,$J190=2,$J190=3,$J190=4,$J190=5,$J190=6,$J190=7,$J190=8,$J190=9,$J190=10),-$E190*$I190/12*3,IF($J190=11,-$E190*$I190/12*2,IF($J190=12,-$E190*$I190/12*1,0)))))+IF(CN$5&lt;&gt;$H190,0,IF(CN190&lt;0,IF($J190=10,-$E190*$I190/12*0,IF($J190=11,-$E190*$I190/12*1,IF($J190=12,-$E190*$I190/12*2,0)))))</f>
        <v>0</v>
      </c>
      <c r="CS190" s="440">
        <f>IF(AND(CN190&lt;&gt;0,CN$5=$H190),-$I190*$E190-CN190,IF(CS$5=$H190,-$I190*$E190*(12-$J190+1)/12,0))</f>
        <v>0</v>
      </c>
      <c r="CT190" s="441">
        <f>IF($H190&lt;&gt;CX$5,0,IF(CX190&lt;0,IF($J190=1,-$E190*$I190/12*3,IF($J190=2,-$E190*$I190/12*2,IF($J190=3,-$E190*$I190/12*1,0)))))+IF(CS$5&lt;&gt;$H190,0,IF(CS190&lt;0,IF($J190=1,-$E190*$I190/12*0,IF($J190=2,-$E190*$I190/12*1,IF($J190=3,-$E190*$I190/12*2,IF($J190&gt;=4,-$E190*$I190/12*3,0))))))</f>
        <v>0</v>
      </c>
      <c r="CU190" s="442">
        <f>IF($H190&lt;&gt;CX$5,0,IF(CX190&lt;0,IF(OR($J190=1,$J190=2,$J190=3,$J190=4),-$E190*$I190/12*3,IF($J190=5,-$E190*$I190/12*2,IF($J190=6,-$E190*$I190/12*1,0)))))+IF(CS$5&lt;&gt;$H190,0,IF(CS190&lt;0,IF($J190=4,-$E190*$I190/12*0,IF($J190=5,-$E190*$I190/12*1,IF($J190=6,-$E190*$I190/12*2,IF($J190&gt;=7,-$E190*$I190/12*3,0))))))</f>
        <v>0</v>
      </c>
      <c r="CV190" s="442">
        <f>IF($H190&lt;&gt;CX$5,0,IF(CX190&lt;0,IF(OR($J190=1,$J190=2,$J190=3,$J190=4,$J190=5,$J190=6,$J190=7),-$E190*$I190/12*3,IF($J190=8,-$E190*$I190/12*2,IF($J190=9,-$E190*$I190/12*1,0)))))+IF(CS$5&lt;&gt;$H190,0,IF(CS190&lt;0,IF($J190=7,-$E190*$I190/12*0,IF($J190=8,-$E190*$I190/12*1,IF($J190=9,-$E190*$I190/12*2,IF($J190&gt;=10,-$E190*$I190/12*3,0))))))</f>
        <v>-1.5125</v>
      </c>
      <c r="CW190" s="443">
        <f>IF($H190&lt;&gt;CX$5,0,IF(CX190&lt;0,IF(OR($J190=1,$J190=2,$J190=3,$J190=4,$J190=5,$J190=6,$J190=7,$J190=8,$J190=9,$J190=10),-$E190*$I190/12*3,IF($J190=11,-$E190*$I190/12*2,IF($J190=12,-$E190*$I190/12*1,0)))))+IF(CS$5&lt;&gt;$H190,0,IF(CS190&lt;0,IF($J190=10,-$E190*$I190/12*0,IF($J190=11,-$E190*$I190/12*1,IF($J190=12,-$E190*$I190/12*2,0)))))</f>
        <v>-4.5374999999999996</v>
      </c>
      <c r="CX190" s="440">
        <f>IF(AND(CS190&lt;&gt;0,CS$5=$H190),-$I190*$E190-CS190,IF(CX$5=$H190,-$I190*$E190*(12-$J190+1)/12,0))</f>
        <v>-6.05</v>
      </c>
      <c r="CY190" s="441">
        <f>IF($H190&lt;&gt;DC$5,0,IF(DC190&lt;0,IF($J190=1,-$E190*$I190/12*3,IF($J190=2,-$E190*$I190/12*2,IF($J190=3,-$E190*$I190/12*1,0)))))+IF(CX$5&lt;&gt;$H190,0,IF(CX190&lt;0,IF($J190=1,-$E190*$I190/12*0,IF($J190=2,-$E190*$I190/12*1,IF($J190=3,-$E190*$I190/12*2,IF($J190&gt;=4,-$E190*$I190/12*3,0))))))</f>
        <v>-4.5374999999999996</v>
      </c>
      <c r="CZ190" s="442">
        <f>IF($H190&lt;&gt;DC$5,0,IF(DC190&lt;0,IF(OR($J190=1,$J190=2,$J190=3,$J190=4),-$E190*$I190/12*3,IF($J190=5,-$E190*$I190/12*2,IF($J190=6,-$E190*$I190/12*1,0)))))+IF(CX$5&lt;&gt;$H190,0,IF(CX190&lt;0,IF($J190=4,-$E190*$I190/12*0,IF($J190=5,-$E190*$I190/12*1,IF($J190=6,-$E190*$I190/12*2,IF($J190&gt;=7,-$E190*$I190/12*3,0))))))</f>
        <v>-4.5374999999999996</v>
      </c>
      <c r="DA190" s="442">
        <f>IF($H190&lt;&gt;DC$5,0,IF(DC190&lt;0,IF(OR($J190=1,$J190=2,$J190=3,$J190=4,$J190=5,$J190=6,$J190=7),-$E190*$I190/12*3,IF($J190=8,-$E190*$I190/12*2,IF($J190=9,-$E190*$I190/12*1,0)))))+IF(CX$5&lt;&gt;$H190,0,IF(CX190&lt;0,IF($J190=7,-$E190*$I190/12*0,IF($J190=8,-$E190*$I190/12*1,IF($J190=9,-$E190*$I190/12*2,IF($J190&gt;=10,-$E190*$I190/12*3,0))))))</f>
        <v>-3.0249999999999999</v>
      </c>
      <c r="DB190" s="443">
        <f>IF($H190&lt;&gt;DC$5,0,IF(DC190&lt;0,IF(OR($J190=1,$J190=2,$J190=3,$J190=4,$J190=5,$J190=6,$J190=7,$J190=8,$J190=9,$J190=10),-$E190*$I190/12*3,IF($J190=11,-$E190*$I190/12*2,IF($J190=12,-$E190*$I190/12*1,0)))))+IF(CX$5&lt;&gt;$H190,0,IF(CX190&lt;0,IF($J190=10,-$E190*$I190/12*0,IF($J190=11,-$E190*$I190/12*1,IF($J190=12,-$E190*$I190/12*2,0)))))</f>
        <v>0</v>
      </c>
      <c r="DC190" s="440">
        <f>IF(AND(CX190&lt;&gt;0,CX$5=$H190),-$I190*$E190-CX190,IF(DC$5=$H190,-$I190*$E190*(12-$J190+1)/12,0))</f>
        <v>-12.099999999999998</v>
      </c>
      <c r="DD190" s="441">
        <f>IF($H190&lt;&gt;DH$5,0,IF(DH190&lt;0,IF($J190=1,-$E190*$I190/12*3,IF($J190=2,-$E190*$I190/12*2,IF($J190=3,-$E190*$I190/12*1,0)))))+IF(DC$5&lt;&gt;$H190,0,IF(DC190&lt;0,IF($J190=1,-$E190*$I190/12*0,IF($J190=2,-$E190*$I190/12*1,IF($J190=3,-$E190*$I190/12*2,IF($J190&gt;=4,-$E190*$I190/12*3,0))))))</f>
        <v>0</v>
      </c>
      <c r="DE190" s="442">
        <f>IF($H190&lt;&gt;DH$5,0,IF(DH190&lt;0,IF(OR($J190=1,$J190=2,$J190=3,$J190=4),-$E190*$I190/12*3,IF($J190=5,-$E190*$I190/12*2,IF($J190=6,-$E190*$I190/12*1,0)))))+IF(DC$5&lt;&gt;$H190,0,IF(DC190&lt;0,IF($J190=4,-$E190*$I190/12*0,IF($J190=5,-$E190*$I190/12*1,IF($J190=6,-$E190*$I190/12*2,IF($J190&gt;=7,-$E190*$I190/12*3,0))))))</f>
        <v>0</v>
      </c>
      <c r="DF190" s="442">
        <f>IF($H190&lt;&gt;DH$5,0,IF(DH190&lt;0,IF(OR($J190=1,$J190=2,$J190=3,$J190=4,$J190=5,$J190=6,$J190=7),-$E190*$I190/12*3,IF($J190=8,-$E190*$I190/12*2,IF($J190=9,-$E190*$I190/12*1,0)))))+IF(DC$5&lt;&gt;$H190,0,IF(DC190&lt;0,IF($J190=7,-$E190*$I190/12*0,IF($J190=8,-$E190*$I190/12*1,IF($J190=9,-$E190*$I190/12*2,IF($J190&gt;=10,-$E190*$I190/12*3,0))))))</f>
        <v>0</v>
      </c>
      <c r="DG190" s="443">
        <f>IF($H190&lt;&gt;DH$5,0,IF(DH190&lt;0,IF(OR($J190=1,$J190=2,$J190=3,$J190=4,$J190=5,$J190=6,$J190=7,$J190=8,$J190=9,$J190=10),-$E190*$I190/12*3,IF($J190=11,-$E190*$I190/12*2,IF($J190=12,-$E190*$I190/12*1,0)))))+IF(DC$5&lt;&gt;$H190,0,IF(DC190&lt;0,IF($J190=10,-$E190*$I190/12*0,IF($J190=11,-$E190*$I190/12*1,IF($J190=12,-$E190*$I190/12*2,0)))))</f>
        <v>0</v>
      </c>
      <c r="DH190" s="440">
        <f>IF(AND(DC190&lt;&gt;0,DC$5=$H190),-$I190*$E190-DC190,IF(DH$5=$H190,-$I190*$E190*(12-$J190+1)/12,0))</f>
        <v>0</v>
      </c>
      <c r="DI190" s="441">
        <f>IF($H190&lt;&gt;DM$5,0,IF(DM190&lt;0,IF($J190=1,-$E190*$I190/12*3,IF($J190=2,-$E190*$I190/12*2,IF($J190=3,-$E190*$I190/12*1,0)))))+IF(DH$5&lt;&gt;$H190,0,IF(DH190&lt;0,IF($J190=1,-$E190*$I190/12*0,IF($J190=2,-$E190*$I190/12*1,IF($J190=3,-$E190*$I190/12*2,IF($J190&gt;=4,-$E190*$I190/12*3,0))))))</f>
        <v>0</v>
      </c>
      <c r="DJ190" s="442">
        <f>IF($H190&lt;&gt;DM$5,0,IF(DM190&lt;0,IF(OR($J190=1,$J190=2,$J190=3,$J190=4),-$E190*$I190/12*3,IF($J190=5,-$E190*$I190/12*2,IF($J190=6,-$E190*$I190/12*1,0)))))+IF(DH$5&lt;&gt;$H190,0,IF(DH190&lt;0,IF($J190=4,-$E190*$I190/12*0,IF($J190=5,-$E190*$I190/12*1,IF($J190=6,-$E190*$I190/12*2,IF($J190&gt;=7,-$E190*$I190/12*3,0))))))</f>
        <v>0</v>
      </c>
      <c r="DK190" s="442">
        <f>IF($H190&lt;&gt;DM$5,0,IF(DM190&lt;0,IF(OR($J190=1,$J190=2,$J190=3,$J190=4,$J190=5,$J190=6,$J190=7),-$E190*$I190/12*3,IF($J190=8,-$E190*$I190/12*2,IF($J190=9,-$E190*$I190/12*1,0)))))+IF(DH$5&lt;&gt;$H190,0,IF(DH190&lt;0,IF($J190=7,-$E190*$I190/12*0,IF($J190=8,-$E190*$I190/12*1,IF($J190=9,-$E190*$I190/12*2,IF($J190&gt;=10,-$E190*$I190/12*3,0))))))</f>
        <v>0</v>
      </c>
      <c r="DL190" s="443">
        <f>IF($H190&lt;&gt;DM$5,0,IF(DM190&lt;0,IF(OR($J190=1,$J190=2,$J190=3,$J190=4,$J190=5,$J190=6,$J190=7,$J190=8,$J190=9,$J190=10),-$E190*$I190/12*3,IF($J190=11,-$E190*$I190/12*2,IF($J190=12,-$E190*$I190/12*1,0)))))+IF(DH$5&lt;&gt;$H190,0,IF(DH190&lt;0,IF($J190=10,-$E190*$I190/12*0,IF($J190=11,-$E190*$I190/12*1,IF($J190=12,-$E190*$I190/12*2,0)))))</f>
        <v>0</v>
      </c>
      <c r="DM190" s="440">
        <f>IF(AND(DH190&lt;&gt;0,DH$5=$H190),-$I190*$E190-DH190,IF(DM$5=$H190,-$I190*$E190*(12-$J190+1)/12,0))</f>
        <v>0</v>
      </c>
      <c r="DN190" s="441">
        <f>IF($H190&lt;&gt;DR$5,0,IF(DR190&lt;0,IF($J190=1,-$E190*$I190/12*3,IF($J190=2,-$E190*$I190/12*2,IF($J190=3,-$E190*$I190/12*1,0)))))+IF(DM$5&lt;&gt;$H190,0,IF(DM190&lt;0,IF($J190=1,-$E190*$I190/12*0,IF($J190=2,-$E190*$I190/12*1,IF($J190=3,-$E190*$I190/12*2,IF($J190&gt;=4,-$E190*$I190/12*3,0))))))</f>
        <v>0</v>
      </c>
      <c r="DO190" s="442">
        <f>IF($H190&lt;&gt;DR$5,0,IF(DR190&lt;0,IF(OR($J190=1,$J190=2,$J190=3,$J190=4),-$E190*$I190/12*3,IF($J190=5,-$E190*$I190/12*2,IF($J190=6,-$E190*$I190/12*1,0)))))+IF(DM$5&lt;&gt;$H190,0,IF(DM190&lt;0,IF($J190=4,-$E190*$I190/12*0,IF($J190=5,-$E190*$I190/12*1,IF($J190=6,-$E190*$I190/12*2,IF($J190&gt;=7,-$E190*$I190/12*3,0))))))</f>
        <v>0</v>
      </c>
      <c r="DP190" s="442">
        <f>IF($H190&lt;&gt;DR$5,0,IF(DR190&lt;0,IF(OR($J190=1,$J190=2,$J190=3,$J190=4,$J190=5,$J190=6,$J190=7),-$E190*$I190/12*3,IF($J190=8,-$E190*$I190/12*2,IF($J190=9,-$E190*$I190/12*1,0)))))+IF(DM$5&lt;&gt;$H190,0,IF(DM190&lt;0,IF($J190=7,-$E190*$I190/12*0,IF($J190=8,-$E190*$I190/12*1,IF($J190=9,-$E190*$I190/12*2,IF($J190&gt;=10,-$E190*$I190/12*3,0))))))</f>
        <v>0</v>
      </c>
      <c r="DQ190" s="443">
        <f>IF($H190&lt;&gt;DR$5,0,IF(DR190&lt;0,IF(OR($J190=1,$J190=2,$J190=3,$J190=4,$J190=5,$J190=6,$J190=7,$J190=8,$J190=9,$J190=10),-$E190*$I190/12*3,IF($J190=11,-$E190*$I190/12*2,IF($J190=12,-$E190*$I190/12*1,0)))))+IF(DM$5&lt;&gt;$H190,0,IF(DM190&lt;0,IF($J190=10,-$E190*$I190/12*0,IF($J190=11,-$E190*$I190/12*1,IF($J190=12,-$E190*$I190/12*2,0)))))</f>
        <v>0</v>
      </c>
      <c r="DR190" s="440">
        <f>IF(AND(DM190&lt;&gt;0,DM$5=$H190),-$I190*$E190-DM190,IF(DR$5=$H190,-$I190*$E190*(12-$J190+1)/12,0))</f>
        <v>0</v>
      </c>
    </row>
    <row r="191" spans="3:122">
      <c r="C191" s="1123" t="s">
        <v>746</v>
      </c>
      <c r="D191" s="395"/>
      <c r="E191" s="1951">
        <f>IF(F191=0,G191,F191)</f>
        <v>125</v>
      </c>
      <c r="F191" s="1945">
        <v>125</v>
      </c>
      <c r="G191" s="1945">
        <v>125</v>
      </c>
      <c r="H191" s="1366">
        <v>2019</v>
      </c>
      <c r="I191" s="1367">
        <v>6.6250000000000003E-2</v>
      </c>
      <c r="J191" s="1357">
        <v>4</v>
      </c>
      <c r="K191" s="549"/>
      <c r="L191" s="441">
        <f>IF(P191=0,0,IF(P191&lt;0,IF($J191=3,P191,IF($J191=2,P191,IF($J191=1,P191,0)))))</f>
        <v>0</v>
      </c>
      <c r="M191" s="442">
        <f>IF(P191=0,0,IF(P191&lt;0,IF($J191=6,P191,IF($J191=5,P191,IF($J191=4,P191,0)))))</f>
        <v>0</v>
      </c>
      <c r="N191" s="442">
        <f>IF(P191=0,0,IF(P191&lt;0,IF($J191=9,P191,IF($J191=8,P191,IF($J191=7,P191,0)))))</f>
        <v>0</v>
      </c>
      <c r="O191" s="443">
        <f>IF(P191=0,0,IF(P191&lt;0,IF($J191=12,P191,IF($J191=11,P191,IF($J191=10,P191,0)))))</f>
        <v>0</v>
      </c>
      <c r="P191" s="440">
        <f>IF(P$5=$H191,-$E191,0)</f>
        <v>0</v>
      </c>
      <c r="Q191" s="441">
        <f>IF(U191=0,0,IF(U191&lt;0,IF($J191=3,U191,IF($J191=2,U191,IF($J191=1,U191,0)))))</f>
        <v>0</v>
      </c>
      <c r="R191" s="442">
        <f>IF(U191=0,0,IF(U191&lt;0,IF($J191=6,U191,IF($J191=5,U191,IF($J191=4,U191,0)))))</f>
        <v>0</v>
      </c>
      <c r="S191" s="442">
        <f>IF(U191=0,0,IF(U191&lt;0,IF($J191=9,U191,IF($J191=8,U191,IF($J191=7,U191,0)))))</f>
        <v>0</v>
      </c>
      <c r="T191" s="443">
        <f>IF(U191=0,0,IF(U191&lt;0,IF($J191=12,U191,IF($J191=11,U191,IF($J191=10,U191,0)))))</f>
        <v>0</v>
      </c>
      <c r="U191" s="440">
        <f>IF(U$5=$H191,-$E191,0)</f>
        <v>0</v>
      </c>
      <c r="V191" s="441">
        <f>IF(Z191=0,0,IF(Z191&lt;0,IF($J191=3,Z191,IF($J191=2,Z191,IF($J191=1,Z191,0)))))</f>
        <v>0</v>
      </c>
      <c r="W191" s="442">
        <f>IF(Z191=0,0,IF(Z191&lt;0,IF($J191=6,Z191,IF($J191=5,Z191,IF($J191=4,Z191,0)))))</f>
        <v>0</v>
      </c>
      <c r="X191" s="442">
        <f>IF(Z191=0,0,IF(Z191&lt;0,IF($J191=9,Z191,IF($J191=8,Z191,IF($J191=7,Z191,0)))))</f>
        <v>0</v>
      </c>
      <c r="Y191" s="443">
        <f>IF(Z191=0,0,IF(Z191&lt;0,IF($J191=12,Z191,IF($J191=11,Z191,IF($J191=10,Z191,0)))))</f>
        <v>0</v>
      </c>
      <c r="Z191" s="440">
        <f>IF(Z$5=$H191,-$E191,0)</f>
        <v>0</v>
      </c>
      <c r="AA191" s="441">
        <f>IF(AE191=0,0,IF(AE191&lt;0,IF($J191=3,AE191,IF($J191=2,AE191,IF($J191=1,AE191,0)))))</f>
        <v>0</v>
      </c>
      <c r="AB191" s="442">
        <f>IF(AE191=0,0,IF(AE191&lt;0,IF($J191=6,AE191,IF($J191=5,AE191,IF($J191=4,AE191,0)))))</f>
        <v>0</v>
      </c>
      <c r="AC191" s="442">
        <f>IF(AE191=0,0,IF(AE191&lt;0,IF($J191=9,AE191,IF($J191=8,AE191,IF($J191=7,AE191,0)))))</f>
        <v>0</v>
      </c>
      <c r="AD191" s="443">
        <f>IF(AE191=0,0,IF(AE191&lt;0,IF($J191=12,AE191,IF($J191=11,AE191,IF($J191=10,AE191,0)))))</f>
        <v>0</v>
      </c>
      <c r="AE191" s="440">
        <f>IF(AE$5=$H191,-$E191,0)</f>
        <v>0</v>
      </c>
      <c r="AF191" s="441">
        <f>IF(AJ191=0,0,IF(AJ191&lt;0,IF($J191=3,AJ191,IF($J191=2,AJ191,IF($J191=1,AJ191,0)))))</f>
        <v>0</v>
      </c>
      <c r="AG191" s="442">
        <f>IF(AJ191=0,0,IF(AJ191&lt;0,IF($J191=6,AJ191,IF($J191=5,AJ191,IF($J191=4,AJ191,0)))))</f>
        <v>0</v>
      </c>
      <c r="AH191" s="442">
        <f>IF(AJ191=0,0,IF(AJ191&lt;0,IF($J191=9,AJ191,IF($J191=8,AJ191,IF($J191=7,AJ191,0)))))</f>
        <v>0</v>
      </c>
      <c r="AI191" s="443">
        <f>IF(AJ191=0,0,IF(AJ191&lt;0,IF($J191=12,AJ191,IF($J191=11,AJ191,IF($J191=10,AJ191,0)))))</f>
        <v>0</v>
      </c>
      <c r="AJ191" s="440">
        <f>IF(AJ$5=$H191,-$E191,0)</f>
        <v>0</v>
      </c>
      <c r="AK191" s="441">
        <f>IF(AO191=0,0,IF(AO191&lt;0,IF($J191=3,AO191,IF($J191=2,AO191,IF($J191=1,AO191,0)))))</f>
        <v>0</v>
      </c>
      <c r="AL191" s="442">
        <f>IF(AO191=0,0,IF(AO191&lt;0,IF($J191=6,AO191,IF($J191=5,AO191,IF($J191=4,AO191,0)))))</f>
        <v>0</v>
      </c>
      <c r="AM191" s="442">
        <f>IF(AO191=0,0,IF(AO191&lt;0,IF($J191=9,AO191,IF($J191=8,AO191,IF($J191=7,AO191,0)))))</f>
        <v>0</v>
      </c>
      <c r="AN191" s="443">
        <f>IF(AO191=0,0,IF(AO191&lt;0,IF($J191=12,AO191,IF($J191=11,AO191,IF($J191=10,AO191,0)))))</f>
        <v>0</v>
      </c>
      <c r="AO191" s="440">
        <f>IF(AO$5=$H191,-$E191,0)</f>
        <v>0</v>
      </c>
      <c r="AP191" s="441">
        <f>IF(AT191=0,0,IF(AT191&lt;0,IF($J191=3,AT191,IF($J191=2,AT191,IF($J191=1,AT191,0)))))</f>
        <v>0</v>
      </c>
      <c r="AQ191" s="442">
        <f>IF(AT191=0,0,IF(AT191&lt;0,IF($J191=6,AT191,IF($J191=5,AT191,IF($J191=4,AT191,0)))))</f>
        <v>0</v>
      </c>
      <c r="AR191" s="442">
        <f>IF(AT191=0,0,IF(AT191&lt;0,IF($J191=9,AT191,IF($J191=8,AT191,IF($J191=7,AT191,0)))))</f>
        <v>0</v>
      </c>
      <c r="AS191" s="443">
        <f>IF(AT191=0,0,IF(AT191&lt;0,IF($J191=12,AT191,IF($J191=11,AT191,IF($J191=10,AT191,0)))))</f>
        <v>0</v>
      </c>
      <c r="AT191" s="440">
        <f>IF(AT$5=$H191,-$E191,0)</f>
        <v>0</v>
      </c>
      <c r="AU191" s="441">
        <f>IF(AY191=0,0,IF(AY191&lt;0,IF($J191=3,AY191,IF($J191=2,AY191,IF($J191=1,AY191,0)))))</f>
        <v>0</v>
      </c>
      <c r="AV191" s="442">
        <f>IF(AY191=0,0,IF(AY191&lt;0,IF($J191=6,AY191,IF($J191=5,AY191,IF($J191=4,AY191,0)))))</f>
        <v>0</v>
      </c>
      <c r="AW191" s="442">
        <f>IF(AY191=0,0,IF(AY191&lt;0,IF($J191=9,AY191,IF($J191=8,AY191,IF($J191=7,AY191,0)))))</f>
        <v>0</v>
      </c>
      <c r="AX191" s="443">
        <f>IF(AY191=0,0,IF(AY191&lt;0,IF($J191=12,AY191,IF($J191=11,AY191,IF($J191=10,AY191,0)))))</f>
        <v>0</v>
      </c>
      <c r="AY191" s="440">
        <f>IF(AY$5=$H191,-$E191,0)</f>
        <v>0</v>
      </c>
      <c r="AZ191" s="441">
        <f>IF(BD191=0,0,IF(BD191&lt;0,IF($J191=3,BD191,IF($J191=2,BD191,IF($J191=1,BD191,0)))))</f>
        <v>0</v>
      </c>
      <c r="BA191" s="442">
        <f>IF(BD191=0,0,IF(BD191&lt;0,IF($J191=6,BD191,IF($J191=5,BD191,IF($J191=4,BD191,0)))))</f>
        <v>-125</v>
      </c>
      <c r="BB191" s="442">
        <f>IF(BD191=0,0,IF(BD191&lt;0,IF($J191=9,BD191,IF($J191=8,BD191,IF($J191=7,BD191,0)))))</f>
        <v>0</v>
      </c>
      <c r="BC191" s="443">
        <f>IF(BD191=0,0,IF(BD191&lt;0,IF($J191=12,BD191,IF($J191=11,BD191,IF($J191=10,BD191,0)))))</f>
        <v>0</v>
      </c>
      <c r="BD191" s="440">
        <f>IF(BD$5=$H191,-$E191,0)</f>
        <v>-125</v>
      </c>
      <c r="BE191" s="441">
        <f>IF(BI191=0,0,IF(BI191&lt;0,IF($J191=3,BI191,IF($J191=2,BI191,IF($J191=1,BI191,0)))))</f>
        <v>0</v>
      </c>
      <c r="BF191" s="442">
        <f>IF(BI191=0,0,IF(BI191&lt;0,IF($J191=6,BI191,IF($J191=5,BI191,IF($J191=4,BI191,0)))))</f>
        <v>0</v>
      </c>
      <c r="BG191" s="442">
        <f>IF(BI191=0,0,IF(BI191&lt;0,IF($J191=9,BI191,IF($J191=8,BI191,IF($J191=7,BI191,0)))))</f>
        <v>0</v>
      </c>
      <c r="BH191" s="443">
        <f>IF(BI191=0,0,IF(BI191&lt;0,IF($J191=12,BI191,IF($J191=11,BI191,IF($J191=10,BI191,0)))))</f>
        <v>0</v>
      </c>
      <c r="BI191" s="440">
        <f>IF(BI$5=$H191,-$E191,0)</f>
        <v>0</v>
      </c>
      <c r="BJ191" s="441">
        <f>IF(BN191=0,0,IF(BN191&lt;0,IF($J191=3,BN191,IF($J191=2,BN191,IF($J191=1,BN191,0)))))</f>
        <v>0</v>
      </c>
      <c r="BK191" s="442">
        <f>IF(BN191=0,0,IF(BN191&lt;0,IF($J191=6,BN191,IF($J191=5,BN191,IF($J191=4,BN191,0)))))</f>
        <v>0</v>
      </c>
      <c r="BL191" s="442">
        <f>IF(BN191=0,0,IF(BN191&lt;0,IF($J191=9,BN191,IF($J191=8,BN191,IF($J191=7,BN191,0)))))</f>
        <v>0</v>
      </c>
      <c r="BM191" s="443">
        <f>IF(BN191=0,0,IF(BN191&lt;0,IF($J191=12,BN191,IF($J191=11,BN191,IF($J191=10,BN191,0)))))</f>
        <v>0</v>
      </c>
      <c r="BN191" s="440">
        <f>IF(BN$5=$H191,-$E191,0)</f>
        <v>0</v>
      </c>
      <c r="BO191" s="470"/>
      <c r="BP191" s="441">
        <f>IF($H191&lt;&gt;BT$5,0,IF(BT191&lt;0,IF($J191=1,-$E191*$I191/12*3,IF($J191=2,-$E191*$I191/12*2,IF($J191=3,-$E191*$I191/12*1,0)))))+IF(BO$5&lt;&gt;$H191,0,IF(BO191&lt;0,IF($J191=1,-$E191*$I191/12*0,IF($J191=2,-$E191*$I191/12*1,IF($J191=3,-$E191*$I191/12*2,IF($J191&gt;=4,-$E191*$I191/12*3,0))))))</f>
        <v>0</v>
      </c>
      <c r="BQ191" s="442">
        <f>IF($H191&lt;&gt;BT$5,0,IF(BT191&lt;0,IF(OR($J191=1,$J191=2,$J191=3,$J191=4),-$E191*$I191/12*3,IF($J191=5,-$E191*$I191/12*2,IF($J191=6,-$E191*$I191/12*1,0)))))+IF(BO$5&lt;&gt;$H191,0,IF(BO191&lt;0,IF($J191=4,-$E191*$I191/12*0,IF($J191=5,-$E191*$I191/12*1,IF($J191=6,-$E191*$I191/12*2,IF($J191&gt;=7,-$E191*$I191/12*3,0))))))</f>
        <v>0</v>
      </c>
      <c r="BR191" s="442">
        <f>IF($H191&lt;&gt;BT$5,0,IF(BT191&lt;0,IF(OR($J191=1,$J191=2,$J191=3,$J191=4,$J191=5,$J191=6,$J191=7),-$E191*$I191/12*3,IF($J191=8,-$E191*$I191/12*2,IF($J191=9,-$E191*$I191/12*1,0)))))+IF(BO$5&lt;&gt;$H191,0,IF(BO191&lt;0,IF($J191=7,-$E191*$I191/12*0,IF($J191=8,-$E191*$I191/12*1,IF($J191=9,-$E191*$I191/12*2,IF($J191&gt;=10,-$E191*$I191/12*3,0))))))</f>
        <v>0</v>
      </c>
      <c r="BS191" s="443">
        <f>IF($H191&lt;&gt;BT$5,0,IF(BT191&lt;0,IF(OR($J191=1,$J191=2,$J191=3,$J191=4,$J191=5,$J191=6,$J191=7,$J191=8,$J191=9,$J191=10),-$E191*$I191/12*3,IF($J191=11,-$E191*$I191/12*2,IF($J191=12,-$E191*$I191/12*1,0)))))+IF(BO$5&lt;&gt;$H191,0,IF(BO191&lt;0,IF($J191=10,-$E191*$I191/12*0,IF($J191=11,-$E191*$I191/12*1,IF($J191=12,-$E191*$I191/12*2,0)))))</f>
        <v>0</v>
      </c>
      <c r="BT191" s="440">
        <f>IF(AND(BO191&lt;&gt;0,BO$5=$H191),-$I191*$E191-BO191,IF(BT$5=$H191,-$I191*$E191*(12-$J191+1)/12,0))</f>
        <v>0</v>
      </c>
      <c r="BU191" s="441">
        <f>IF($H191&lt;&gt;BY$5,0,IF(BY191&lt;0,IF($J191=1,-$E191*$I191/12*3,IF($J191=2,-$E191*$I191/12*2,IF($J191=3,-$E191*$I191/12*1,0)))))+IF(BT$5&lt;&gt;$H191,0,IF(BT191&lt;0,IF($J191=1,-$E191*$I191/12*0,IF($J191=2,-$E191*$I191/12*1,IF($J191=3,-$E191*$I191/12*2,IF($J191&gt;=4,-$E191*$I191/12*3,0))))))</f>
        <v>0</v>
      </c>
      <c r="BV191" s="442">
        <f>IF($H191&lt;&gt;BY$5,0,IF(BY191&lt;0,IF(OR($J191=1,$J191=2,$J191=3,$J191=4),-$E191*$I191/12*3,IF($J191=5,-$E191*$I191/12*2,IF($J191=6,-$E191*$I191/12*1,0)))))+IF(BT$5&lt;&gt;$H191,0,IF(BT191&lt;0,IF($J191=4,-$E191*$I191/12*0,IF($J191=5,-$E191*$I191/12*1,IF($J191=6,-$E191*$I191/12*2,IF($J191&gt;=7,-$E191*$I191/12*3,0))))))</f>
        <v>0</v>
      </c>
      <c r="BW191" s="442">
        <f>IF($H191&lt;&gt;BY$5,0,IF(BY191&lt;0,IF(OR($J191=1,$J191=2,$J191=3,$J191=4,$J191=5,$J191=6,$J191=7),-$E191*$I191/12*3,IF($J191=8,-$E191*$I191/12*2,IF($J191=9,-$E191*$I191/12*1,0)))))+IF(BT$5&lt;&gt;$H191,0,IF(BT191&lt;0,IF($J191=7,-$E191*$I191/12*0,IF($J191=8,-$E191*$I191/12*1,IF($J191=9,-$E191*$I191/12*2,IF($J191&gt;=10,-$E191*$I191/12*3,0))))))</f>
        <v>0</v>
      </c>
      <c r="BX191" s="443">
        <f>IF($H191&lt;&gt;BY$5,0,IF(BY191&lt;0,IF(OR($J191=1,$J191=2,$J191=3,$J191=4,$J191=5,$J191=6,$J191=7,$J191=8,$J191=9,$J191=10),-$E191*$I191/12*3,IF($J191=11,-$E191*$I191/12*2,IF($J191=12,-$E191*$I191/12*1,0)))))+IF(BT$5&lt;&gt;$H191,0,IF(BT191&lt;0,IF($J191=10,-$E191*$I191/12*0,IF($J191=11,-$E191*$I191/12*1,IF($J191=12,-$E191*$I191/12*2,0)))))</f>
        <v>0</v>
      </c>
      <c r="BY191" s="440">
        <f>IF(AND(BT191&lt;&gt;0,BT$5=$H191),-$I191*$E191-BT191,IF(BY$5=$H191,-$I191*$E191*(12-$J191+1)/12,0))</f>
        <v>0</v>
      </c>
      <c r="BZ191" s="441">
        <f>IF($H191&lt;&gt;CD$5,0,IF(CD191&lt;0,IF($J191=1,-$E191*$I191/12*3,IF($J191=2,-$E191*$I191/12*2,IF($J191=3,-$E191*$I191/12*1,0)))))+IF(BY$5&lt;&gt;$H191,0,IF(BY191&lt;0,IF($J191=1,-$E191*$I191/12*0,IF($J191=2,-$E191*$I191/12*1,IF($J191=3,-$E191*$I191/12*2,IF($J191&gt;=4,-$E191*$I191/12*3,0))))))</f>
        <v>0</v>
      </c>
      <c r="CA191" s="442">
        <f>IF($H191&lt;&gt;CD$5,0,IF(CD191&lt;0,IF(OR($J191=1,$J191=2,$J191=3,$J191=4),-$E191*$I191/12*3,IF($J191=5,-$E191*$I191/12*2,IF($J191=6,-$E191*$I191/12*1,0)))))+IF(BY$5&lt;&gt;$H191,0,IF(BY191&lt;0,IF($J191=4,-$E191*$I191/12*0,IF($J191=5,-$E191*$I191/12*1,IF($J191=6,-$E191*$I191/12*2,IF($J191&gt;=7,-$E191*$I191/12*3,0))))))</f>
        <v>0</v>
      </c>
      <c r="CB191" s="442">
        <f>IF($H191&lt;&gt;CD$5,0,IF(CD191&lt;0,IF(OR($J191=1,$J191=2,$J191=3,$J191=4,$J191=5,$J191=6,$J191=7),-$E191*$I191/12*3,IF($J191=8,-$E191*$I191/12*2,IF($J191=9,-$E191*$I191/12*1,0)))))+IF(BY$5&lt;&gt;$H191,0,IF(BY191&lt;0,IF($J191=7,-$E191*$I191/12*0,IF($J191=8,-$E191*$I191/12*1,IF($J191=9,-$E191*$I191/12*2,IF($J191&gt;=10,-$E191*$I191/12*3,0))))))</f>
        <v>0</v>
      </c>
      <c r="CC191" s="443">
        <f>IF($H191&lt;&gt;CD$5,0,IF(CD191&lt;0,IF(OR($J191=1,$J191=2,$J191=3,$J191=4,$J191=5,$J191=6,$J191=7,$J191=8,$J191=9,$J191=10),-$E191*$I191/12*3,IF($J191=11,-$E191*$I191/12*2,IF($J191=12,-$E191*$I191/12*1,0)))))+IF(BY$5&lt;&gt;$H191,0,IF(BY191&lt;0,IF($J191=10,-$E191*$I191/12*0,IF($J191=11,-$E191*$I191/12*1,IF($J191=12,-$E191*$I191/12*2,0)))))</f>
        <v>0</v>
      </c>
      <c r="CD191" s="440">
        <f>IF(AND(BY191&lt;&gt;0,BY$5=$H191),-$I191*$E191-BY191,IF(CD$5=$H191,-$I191*$E191*(12-$J191+1)/12,0))</f>
        <v>0</v>
      </c>
      <c r="CE191" s="441">
        <f>IF($H191&lt;&gt;CI$5,0,IF(CI191&lt;0,IF($J191=1,-$E191*$I191/12*3,IF($J191=2,-$E191*$I191/12*2,IF($J191=3,-$E191*$I191/12*1,0)))))+IF(CD$5&lt;&gt;$H191,0,IF(CD191&lt;0,IF($J191=1,-$E191*$I191/12*0,IF($J191=2,-$E191*$I191/12*1,IF($J191=3,-$E191*$I191/12*2,IF($J191&gt;=4,-$E191*$I191/12*3,0))))))</f>
        <v>0</v>
      </c>
      <c r="CF191" s="442">
        <f>IF($H191&lt;&gt;CI$5,0,IF(CI191&lt;0,IF(OR($J191=1,$J191=2,$J191=3,$J191=4),-$E191*$I191/12*3,IF($J191=5,-$E191*$I191/12*2,IF($J191=6,-$E191*$I191/12*1,0)))))+IF(CD$5&lt;&gt;$H191,0,IF(CD191&lt;0,IF($J191=4,-$E191*$I191/12*0,IF($J191=5,-$E191*$I191/12*1,IF($J191=6,-$E191*$I191/12*2,IF($J191&gt;=7,-$E191*$I191/12*3,0))))))</f>
        <v>0</v>
      </c>
      <c r="CG191" s="442">
        <f>IF($H191&lt;&gt;CI$5,0,IF(CI191&lt;0,IF(OR($J191=1,$J191=2,$J191=3,$J191=4,$J191=5,$J191=6,$J191=7),-$E191*$I191/12*3,IF($J191=8,-$E191*$I191/12*2,IF($J191=9,-$E191*$I191/12*1,0)))))+IF(CD$5&lt;&gt;$H191,0,IF(CD191&lt;0,IF($J191=7,-$E191*$I191/12*0,IF($J191=8,-$E191*$I191/12*1,IF($J191=9,-$E191*$I191/12*2,IF($J191&gt;=10,-$E191*$I191/12*3,0))))))</f>
        <v>0</v>
      </c>
      <c r="CH191" s="443">
        <f>IF($H191&lt;&gt;CI$5,0,IF(CI191&lt;0,IF(OR($J191=1,$J191=2,$J191=3,$J191=4,$J191=5,$J191=6,$J191=7,$J191=8,$J191=9,$J191=10),-$E191*$I191/12*3,IF($J191=11,-$E191*$I191/12*2,IF($J191=12,-$E191*$I191/12*1,0)))))+IF(CD$5&lt;&gt;$H191,0,IF(CD191&lt;0,IF($J191=10,-$E191*$I191/12*0,IF($J191=11,-$E191*$I191/12*1,IF($J191=12,-$E191*$I191/12*2,0)))))</f>
        <v>0</v>
      </c>
      <c r="CI191" s="440">
        <f>IF(AND(CD191&lt;&gt;0,CD$5=$H191),-$I191*$E191-CD191,IF(CI$5=$H191,-$I191*$E191*(12-$J191+1)/12,0))</f>
        <v>0</v>
      </c>
      <c r="CJ191" s="441">
        <f>IF($H191&lt;&gt;CN$5,0,IF(CN191&lt;0,IF($J191=1,-$E191*$I191/12*3,IF($J191=2,-$E191*$I191/12*2,IF($J191=3,-$E191*$I191/12*1,0)))))+IF(CI$5&lt;&gt;$H191,0,IF(CI191&lt;0,IF($J191=1,-$E191*$I191/12*0,IF($J191=2,-$E191*$I191/12*1,IF($J191=3,-$E191*$I191/12*2,IF($J191&gt;=4,-$E191*$I191/12*3,0))))))</f>
        <v>0</v>
      </c>
      <c r="CK191" s="442">
        <f>IF($H191&lt;&gt;CN$5,0,IF(CN191&lt;0,IF(OR($J191=1,$J191=2,$J191=3,$J191=4),-$E191*$I191/12*3,IF($J191=5,-$E191*$I191/12*2,IF($J191=6,-$E191*$I191/12*1,0)))))+IF(CI$5&lt;&gt;$H191,0,IF(CI191&lt;0,IF($J191=4,-$E191*$I191/12*0,IF($J191=5,-$E191*$I191/12*1,IF($J191=6,-$E191*$I191/12*2,IF($J191&gt;=7,-$E191*$I191/12*3,0))))))</f>
        <v>0</v>
      </c>
      <c r="CL191" s="442">
        <f>IF($H191&lt;&gt;CN$5,0,IF(CN191&lt;0,IF(OR($J191=1,$J191=2,$J191=3,$J191=4,$J191=5,$J191=6,$J191=7),-$E191*$I191/12*3,IF($J191=8,-$E191*$I191/12*2,IF($J191=9,-$E191*$I191/12*1,0)))))+IF(CI$5&lt;&gt;$H191,0,IF(CI191&lt;0,IF($J191=7,-$E191*$I191/12*0,IF($J191=8,-$E191*$I191/12*1,IF($J191=9,-$E191*$I191/12*2,IF($J191&gt;=10,-$E191*$I191/12*3,0))))))</f>
        <v>0</v>
      </c>
      <c r="CM191" s="443">
        <f>IF($H191&lt;&gt;CN$5,0,IF(CN191&lt;0,IF(OR($J191=1,$J191=2,$J191=3,$J191=4,$J191=5,$J191=6,$J191=7,$J191=8,$J191=9,$J191=10),-$E191*$I191/12*3,IF($J191=11,-$E191*$I191/12*2,IF($J191=12,-$E191*$I191/12*1,0)))))+IF(CI$5&lt;&gt;$H191,0,IF(CI191&lt;0,IF($J191=10,-$E191*$I191/12*0,IF($J191=11,-$E191*$I191/12*1,IF($J191=12,-$E191*$I191/12*2,0)))))</f>
        <v>0</v>
      </c>
      <c r="CN191" s="440">
        <f>IF(AND(CI191&lt;&gt;0,CI$5=$H191),-$I191*$E191-CI191,IF(CN$5=$H191,-$I191*$E191*(12-$J191+1)/12,0))</f>
        <v>0</v>
      </c>
      <c r="CO191" s="441">
        <f>IF($H191&lt;&gt;CS$5,0,IF(CS191&lt;0,IF($J191=1,-$E191*$I191/12*3,IF($J191=2,-$E191*$I191/12*2,IF($J191=3,-$E191*$I191/12*1,0)))))+IF(CN$5&lt;&gt;$H191,0,IF(CN191&lt;0,IF($J191=1,-$E191*$I191/12*0,IF($J191=2,-$E191*$I191/12*1,IF($J191=3,-$E191*$I191/12*2,IF($J191&gt;=4,-$E191*$I191/12*3,0))))))</f>
        <v>0</v>
      </c>
      <c r="CP191" s="442">
        <f>IF($H191&lt;&gt;CS$5,0,IF(CS191&lt;0,IF(OR($J191=1,$J191=2,$J191=3,$J191=4),-$E191*$I191/12*3,IF($J191=5,-$E191*$I191/12*2,IF($J191=6,-$E191*$I191/12*1,0)))))+IF(CN$5&lt;&gt;$H191,0,IF(CN191&lt;0,IF($J191=4,-$E191*$I191/12*0,IF($J191=5,-$E191*$I191/12*1,IF($J191=6,-$E191*$I191/12*2,IF($J191&gt;=7,-$E191*$I191/12*3,0))))))</f>
        <v>0</v>
      </c>
      <c r="CQ191" s="442">
        <f>IF($H191&lt;&gt;CS$5,0,IF(CS191&lt;0,IF(OR($J191=1,$J191=2,$J191=3,$J191=4,$J191=5,$J191=6,$J191=7),-$E191*$I191/12*3,IF($J191=8,-$E191*$I191/12*2,IF($J191=9,-$E191*$I191/12*1,0)))))+IF(CN$5&lt;&gt;$H191,0,IF(CN191&lt;0,IF($J191=7,-$E191*$I191/12*0,IF($J191=8,-$E191*$I191/12*1,IF($J191=9,-$E191*$I191/12*2,IF($J191&gt;=10,-$E191*$I191/12*3,0))))))</f>
        <v>0</v>
      </c>
      <c r="CR191" s="443">
        <f>IF($H191&lt;&gt;CS$5,0,IF(CS191&lt;0,IF(OR($J191=1,$J191=2,$J191=3,$J191=4,$J191=5,$J191=6,$J191=7,$J191=8,$J191=9,$J191=10),-$E191*$I191/12*3,IF($J191=11,-$E191*$I191/12*2,IF($J191=12,-$E191*$I191/12*1,0)))))+IF(CN$5&lt;&gt;$H191,0,IF(CN191&lt;0,IF($J191=10,-$E191*$I191/12*0,IF($J191=11,-$E191*$I191/12*1,IF($J191=12,-$E191*$I191/12*2,0)))))</f>
        <v>0</v>
      </c>
      <c r="CS191" s="440">
        <f>IF(AND(CN191&lt;&gt;0,CN$5=$H191),-$I191*$E191-CN191,IF(CS$5=$H191,-$I191*$E191*(12-$J191+1)/12,0))</f>
        <v>0</v>
      </c>
      <c r="CT191" s="441">
        <f>IF($H191&lt;&gt;CX$5,0,IF(CX191&lt;0,IF($J191=1,-$E191*$I191/12*3,IF($J191=2,-$E191*$I191/12*2,IF($J191=3,-$E191*$I191/12*1,0)))))+IF(CS$5&lt;&gt;$H191,0,IF(CS191&lt;0,IF($J191=1,-$E191*$I191/12*0,IF($J191=2,-$E191*$I191/12*1,IF($J191=3,-$E191*$I191/12*2,IF($J191&gt;=4,-$E191*$I191/12*3,0))))))</f>
        <v>0</v>
      </c>
      <c r="CU191" s="442">
        <f>IF($H191&lt;&gt;CX$5,0,IF(CX191&lt;0,IF(OR($J191=1,$J191=2,$J191=3,$J191=4),-$E191*$I191/12*3,IF($J191=5,-$E191*$I191/12*2,IF($J191=6,-$E191*$I191/12*1,0)))))+IF(CS$5&lt;&gt;$H191,0,IF(CS191&lt;0,IF($J191=4,-$E191*$I191/12*0,IF($J191=5,-$E191*$I191/12*1,IF($J191=6,-$E191*$I191/12*2,IF($J191&gt;=7,-$E191*$I191/12*3,0))))))</f>
        <v>0</v>
      </c>
      <c r="CV191" s="442">
        <f>IF($H191&lt;&gt;CX$5,0,IF(CX191&lt;0,IF(OR($J191=1,$J191=2,$J191=3,$J191=4,$J191=5,$J191=6,$J191=7),-$E191*$I191/12*3,IF($J191=8,-$E191*$I191/12*2,IF($J191=9,-$E191*$I191/12*1,0)))))+IF(CS$5&lt;&gt;$H191,0,IF(CS191&lt;0,IF($J191=7,-$E191*$I191/12*0,IF($J191=8,-$E191*$I191/12*1,IF($J191=9,-$E191*$I191/12*2,IF($J191&gt;=10,-$E191*$I191/12*3,0))))))</f>
        <v>0</v>
      </c>
      <c r="CW191" s="443">
        <f>IF($H191&lt;&gt;CX$5,0,IF(CX191&lt;0,IF(OR($J191=1,$J191=2,$J191=3,$J191=4,$J191=5,$J191=6,$J191=7,$J191=8,$J191=9,$J191=10),-$E191*$I191/12*3,IF($J191=11,-$E191*$I191/12*2,IF($J191=12,-$E191*$I191/12*1,0)))))+IF(CS$5&lt;&gt;$H191,0,IF(CS191&lt;0,IF($J191=10,-$E191*$I191/12*0,IF($J191=11,-$E191*$I191/12*1,IF($J191=12,-$E191*$I191/12*2,0)))))</f>
        <v>0</v>
      </c>
      <c r="CX191" s="440">
        <f>IF(AND(CS191&lt;&gt;0,CS$5=$H191),-$I191*$E191-CS191,IF(CX$5=$H191,-$I191*$E191*(12-$J191+1)/12,0))</f>
        <v>0</v>
      </c>
      <c r="CY191" s="441">
        <f>IF($H191&lt;&gt;DC$5,0,IF(DC191&lt;0,IF($J191=1,-$E191*$I191/12*3,IF($J191=2,-$E191*$I191/12*2,IF($J191=3,-$E191*$I191/12*1,0)))))+IF(CX$5&lt;&gt;$H191,0,IF(CX191&lt;0,IF($J191=1,-$E191*$I191/12*0,IF($J191=2,-$E191*$I191/12*1,IF($J191=3,-$E191*$I191/12*2,IF($J191&gt;=4,-$E191*$I191/12*3,0))))))</f>
        <v>0</v>
      </c>
      <c r="CZ191" s="442">
        <f>IF($H191&lt;&gt;DC$5,0,IF(DC191&lt;0,IF(OR($J191=1,$J191=2,$J191=3,$J191=4),-$E191*$I191/12*3,IF($J191=5,-$E191*$I191/12*2,IF($J191=6,-$E191*$I191/12*1,0)))))+IF(CX$5&lt;&gt;$H191,0,IF(CX191&lt;0,IF($J191=4,-$E191*$I191/12*0,IF($J191=5,-$E191*$I191/12*1,IF($J191=6,-$E191*$I191/12*2,IF($J191&gt;=7,-$E191*$I191/12*3,0))))))</f>
        <v>0</v>
      </c>
      <c r="DA191" s="442">
        <f>IF($H191&lt;&gt;DC$5,0,IF(DC191&lt;0,IF(OR($J191=1,$J191=2,$J191=3,$J191=4,$J191=5,$J191=6,$J191=7),-$E191*$I191/12*3,IF($J191=8,-$E191*$I191/12*2,IF($J191=9,-$E191*$I191/12*1,0)))))+IF(CX$5&lt;&gt;$H191,0,IF(CX191&lt;0,IF($J191=7,-$E191*$I191/12*0,IF($J191=8,-$E191*$I191/12*1,IF($J191=9,-$E191*$I191/12*2,IF($J191&gt;=10,-$E191*$I191/12*3,0))))))</f>
        <v>0</v>
      </c>
      <c r="DB191" s="443">
        <f>IF($H191&lt;&gt;DC$5,0,IF(DC191&lt;0,IF(OR($J191=1,$J191=2,$J191=3,$J191=4,$J191=5,$J191=6,$J191=7,$J191=8,$J191=9,$J191=10),-$E191*$I191/12*3,IF($J191=11,-$E191*$I191/12*2,IF($J191=12,-$E191*$I191/12*1,0)))))+IF(CX$5&lt;&gt;$H191,0,IF(CX191&lt;0,IF($J191=10,-$E191*$I191/12*0,IF($J191=11,-$E191*$I191/12*1,IF($J191=12,-$E191*$I191/12*2,0)))))</f>
        <v>0</v>
      </c>
      <c r="DC191" s="440">
        <f>IF(AND(CX191&lt;&gt;0,CX$5=$H191),-$I191*$E191-CX191,IF(DC$5=$H191,-$I191*$E191*(12-$J191+1)/12,0))</f>
        <v>0</v>
      </c>
      <c r="DD191" s="441">
        <f>IF($H191&lt;&gt;DH$5,0,IF(DH191&lt;0,IF($J191=1,-$E191*$I191/12*3,IF($J191=2,-$E191*$I191/12*2,IF($J191=3,-$E191*$I191/12*1,0)))))+IF(DC$5&lt;&gt;$H191,0,IF(DC191&lt;0,IF($J191=1,-$E191*$I191/12*0,IF($J191=2,-$E191*$I191/12*1,IF($J191=3,-$E191*$I191/12*2,IF($J191&gt;=4,-$E191*$I191/12*3,0))))))</f>
        <v>0</v>
      </c>
      <c r="DE191" s="442">
        <f>IF($H191&lt;&gt;DH$5,0,IF(DH191&lt;0,IF(OR($J191=1,$J191=2,$J191=3,$J191=4),-$E191*$I191/12*3,IF($J191=5,-$E191*$I191/12*2,IF($J191=6,-$E191*$I191/12*1,0)))))+IF(DC$5&lt;&gt;$H191,0,IF(DC191&lt;0,IF($J191=4,-$E191*$I191/12*0,IF($J191=5,-$E191*$I191/12*1,IF($J191=6,-$E191*$I191/12*2,IF($J191&gt;=7,-$E191*$I191/12*3,0))))))</f>
        <v>-2.0703125</v>
      </c>
      <c r="DF191" s="442">
        <f>IF($H191&lt;&gt;DH$5,0,IF(DH191&lt;0,IF(OR($J191=1,$J191=2,$J191=3,$J191=4,$J191=5,$J191=6,$J191=7),-$E191*$I191/12*3,IF($J191=8,-$E191*$I191/12*2,IF($J191=9,-$E191*$I191/12*1,0)))))+IF(DC$5&lt;&gt;$H191,0,IF(DC191&lt;0,IF($J191=7,-$E191*$I191/12*0,IF($J191=8,-$E191*$I191/12*1,IF($J191=9,-$E191*$I191/12*2,IF($J191&gt;=10,-$E191*$I191/12*3,0))))))</f>
        <v>-2.0703125</v>
      </c>
      <c r="DG191" s="443">
        <f>IF($H191&lt;&gt;DH$5,0,IF(DH191&lt;0,IF(OR($J191=1,$J191=2,$J191=3,$J191=4,$J191=5,$J191=6,$J191=7,$J191=8,$J191=9,$J191=10),-$E191*$I191/12*3,IF($J191=11,-$E191*$I191/12*2,IF($J191=12,-$E191*$I191/12*1,0)))))+IF(DC$5&lt;&gt;$H191,0,IF(DC191&lt;0,IF($J191=10,-$E191*$I191/12*0,IF($J191=11,-$E191*$I191/12*1,IF($J191=12,-$E191*$I191/12*2,0)))))</f>
        <v>-2.0703125</v>
      </c>
      <c r="DH191" s="440">
        <f>IF(AND(DC191&lt;&gt;0,DC$5=$H191),-$I191*$E191-DC191,IF(DH$5=$H191,-$I191*$E191*(12-$J191+1)/12,0))</f>
        <v>-6.2109375</v>
      </c>
      <c r="DI191" s="441">
        <f>IF($H191&lt;&gt;DM$5,0,IF(DM191&lt;0,IF($J191=1,-$E191*$I191/12*3,IF($J191=2,-$E191*$I191/12*2,IF($J191=3,-$E191*$I191/12*1,0)))))+IF(DH$5&lt;&gt;$H191,0,IF(DH191&lt;0,IF($J191=1,-$E191*$I191/12*0,IF($J191=2,-$E191*$I191/12*1,IF($J191=3,-$E191*$I191/12*2,IF($J191&gt;=4,-$E191*$I191/12*3,0))))))</f>
        <v>-2.0703125</v>
      </c>
      <c r="DJ191" s="442">
        <f>IF($H191&lt;&gt;DM$5,0,IF(DM191&lt;0,IF(OR($J191=1,$J191=2,$J191=3,$J191=4),-$E191*$I191/12*3,IF($J191=5,-$E191*$I191/12*2,IF($J191=6,-$E191*$I191/12*1,0)))))+IF(DH$5&lt;&gt;$H191,0,IF(DH191&lt;0,IF($J191=4,-$E191*$I191/12*0,IF($J191=5,-$E191*$I191/12*1,IF($J191=6,-$E191*$I191/12*2,IF($J191&gt;=7,-$E191*$I191/12*3,0))))))</f>
        <v>0</v>
      </c>
      <c r="DK191" s="442">
        <f>IF($H191&lt;&gt;DM$5,0,IF(DM191&lt;0,IF(OR($J191=1,$J191=2,$J191=3,$J191=4,$J191=5,$J191=6,$J191=7),-$E191*$I191/12*3,IF($J191=8,-$E191*$I191/12*2,IF($J191=9,-$E191*$I191/12*1,0)))))+IF(DH$5&lt;&gt;$H191,0,IF(DH191&lt;0,IF($J191=7,-$E191*$I191/12*0,IF($J191=8,-$E191*$I191/12*1,IF($J191=9,-$E191*$I191/12*2,IF($J191&gt;=10,-$E191*$I191/12*3,0))))))</f>
        <v>0</v>
      </c>
      <c r="DL191" s="443">
        <f>IF($H191&lt;&gt;DM$5,0,IF(DM191&lt;0,IF(OR($J191=1,$J191=2,$J191=3,$J191=4,$J191=5,$J191=6,$J191=7,$J191=8,$J191=9,$J191=10),-$E191*$I191/12*3,IF($J191=11,-$E191*$I191/12*2,IF($J191=12,-$E191*$I191/12*1,0)))))+IF(DH$5&lt;&gt;$H191,0,IF(DH191&lt;0,IF($J191=10,-$E191*$I191/12*0,IF($J191=11,-$E191*$I191/12*1,IF($J191=12,-$E191*$I191/12*2,0)))))</f>
        <v>0</v>
      </c>
      <c r="DM191" s="440">
        <f>IF(AND(DH191&lt;&gt;0,DH$5=$H191),-$I191*$E191-DH191,IF(DM$5=$H191,-$I191*$E191*(12-$J191+1)/12,0))</f>
        <v>-2.0703125</v>
      </c>
      <c r="DN191" s="441">
        <f>IF($H191&lt;&gt;DR$5,0,IF(DR191&lt;0,IF($J191=1,-$E191*$I191/12*3,IF($J191=2,-$E191*$I191/12*2,IF($J191=3,-$E191*$I191/12*1,0)))))+IF(DM$5&lt;&gt;$H191,0,IF(DM191&lt;0,IF($J191=1,-$E191*$I191/12*0,IF($J191=2,-$E191*$I191/12*1,IF($J191=3,-$E191*$I191/12*2,IF($J191&gt;=4,-$E191*$I191/12*3,0))))))</f>
        <v>0</v>
      </c>
      <c r="DO191" s="442">
        <f>IF($H191&lt;&gt;DR$5,0,IF(DR191&lt;0,IF(OR($J191=1,$J191=2,$J191=3,$J191=4),-$E191*$I191/12*3,IF($J191=5,-$E191*$I191/12*2,IF($J191=6,-$E191*$I191/12*1,0)))))+IF(DM$5&lt;&gt;$H191,0,IF(DM191&lt;0,IF($J191=4,-$E191*$I191/12*0,IF($J191=5,-$E191*$I191/12*1,IF($J191=6,-$E191*$I191/12*2,IF($J191&gt;=7,-$E191*$I191/12*3,0))))))</f>
        <v>0</v>
      </c>
      <c r="DP191" s="442">
        <f>IF($H191&lt;&gt;DR$5,0,IF(DR191&lt;0,IF(OR($J191=1,$J191=2,$J191=3,$J191=4,$J191=5,$J191=6,$J191=7),-$E191*$I191/12*3,IF($J191=8,-$E191*$I191/12*2,IF($J191=9,-$E191*$I191/12*1,0)))))+IF(DM$5&lt;&gt;$H191,0,IF(DM191&lt;0,IF($J191=7,-$E191*$I191/12*0,IF($J191=8,-$E191*$I191/12*1,IF($J191=9,-$E191*$I191/12*2,IF($J191&gt;=10,-$E191*$I191/12*3,0))))))</f>
        <v>0</v>
      </c>
      <c r="DQ191" s="443">
        <f>IF($H191&lt;&gt;DR$5,0,IF(DR191&lt;0,IF(OR($J191=1,$J191=2,$J191=3,$J191=4,$J191=5,$J191=6,$J191=7,$J191=8,$J191=9,$J191=10),-$E191*$I191/12*3,IF($J191=11,-$E191*$I191/12*2,IF($J191=12,-$E191*$I191/12*1,0)))))+IF(DM$5&lt;&gt;$H191,0,IF(DM191&lt;0,IF($J191=10,-$E191*$I191/12*0,IF($J191=11,-$E191*$I191/12*1,IF($J191=12,-$E191*$I191/12*2,0)))))</f>
        <v>0</v>
      </c>
      <c r="DR191" s="440">
        <f>IF(AND(DM191&lt;&gt;0,DM$5=$H191),-$I191*$E191-DM191,IF(DR$5=$H191,-$I191*$E191*(12-$J191+1)/12,0))</f>
        <v>0</v>
      </c>
    </row>
    <row r="192" spans="3:122">
      <c r="C192" s="1123" t="s">
        <v>739</v>
      </c>
      <c r="D192" s="395"/>
      <c r="E192" s="1951">
        <f t="shared" ref="E192:E195" si="2406">IF(F192=0,G192,F192)</f>
        <v>250</v>
      </c>
      <c r="F192" s="1945">
        <v>250</v>
      </c>
      <c r="G192" s="1945">
        <v>250</v>
      </c>
      <c r="H192" s="1366">
        <v>2020</v>
      </c>
      <c r="I192" s="1367">
        <v>5.2000000000000005E-2</v>
      </c>
      <c r="J192" s="1357">
        <v>4</v>
      </c>
      <c r="K192" s="549"/>
      <c r="L192" s="441">
        <f t="shared" ref="L192:L195" si="2407">IF(P192=0,0,IF(P192&lt;0,IF($J192=3,P192,IF($J192=2,P192,IF($J192=1,P192,0)))))</f>
        <v>0</v>
      </c>
      <c r="M192" s="442">
        <f t="shared" ref="M192:M195" si="2408">IF(P192=0,0,IF(P192&lt;0,IF($J192=6,P192,IF($J192=5,P192,IF($J192=4,P192,0)))))</f>
        <v>0</v>
      </c>
      <c r="N192" s="442">
        <f t="shared" ref="N192:N195" si="2409">IF(P192=0,0,IF(P192&lt;0,IF($J192=9,P192,IF($J192=8,P192,IF($J192=7,P192,0)))))</f>
        <v>0</v>
      </c>
      <c r="O192" s="443">
        <f t="shared" ref="O192:O195" si="2410">IF(P192=0,0,IF(P192&lt;0,IF($J192=12,P192,IF($J192=11,P192,IF($J192=10,P192,0)))))</f>
        <v>0</v>
      </c>
      <c r="P192" s="440">
        <f t="shared" ref="P192:P195" si="2411">IF(P$5=$H192,-$E192,0)</f>
        <v>0</v>
      </c>
      <c r="Q192" s="441">
        <f t="shared" ref="Q192:Q195" si="2412">IF(U192=0,0,IF(U192&lt;0,IF($J192=3,U192,IF($J192=2,U192,IF($J192=1,U192,0)))))</f>
        <v>0</v>
      </c>
      <c r="R192" s="442">
        <f t="shared" ref="R192:R195" si="2413">IF(U192=0,0,IF(U192&lt;0,IF($J192=6,U192,IF($J192=5,U192,IF($J192=4,U192,0)))))</f>
        <v>0</v>
      </c>
      <c r="S192" s="442">
        <f t="shared" ref="S192:S195" si="2414">IF(U192=0,0,IF(U192&lt;0,IF($J192=9,U192,IF($J192=8,U192,IF($J192=7,U192,0)))))</f>
        <v>0</v>
      </c>
      <c r="T192" s="443">
        <f t="shared" ref="T192:T195" si="2415">IF(U192=0,0,IF(U192&lt;0,IF($J192=12,U192,IF($J192=11,U192,IF($J192=10,U192,0)))))</f>
        <v>0</v>
      </c>
      <c r="U192" s="440">
        <f t="shared" ref="U192:U195" si="2416">IF(U$5=$H192,-$E192,0)</f>
        <v>0</v>
      </c>
      <c r="V192" s="441">
        <f t="shared" ref="V192:V195" si="2417">IF(Z192=0,0,IF(Z192&lt;0,IF($J192=3,Z192,IF($J192=2,Z192,IF($J192=1,Z192,0)))))</f>
        <v>0</v>
      </c>
      <c r="W192" s="442">
        <f t="shared" ref="W192:W195" si="2418">IF(Z192=0,0,IF(Z192&lt;0,IF($J192=6,Z192,IF($J192=5,Z192,IF($J192=4,Z192,0)))))</f>
        <v>0</v>
      </c>
      <c r="X192" s="442">
        <f t="shared" ref="X192:X195" si="2419">IF(Z192=0,0,IF(Z192&lt;0,IF($J192=9,Z192,IF($J192=8,Z192,IF($J192=7,Z192,0)))))</f>
        <v>0</v>
      </c>
      <c r="Y192" s="443">
        <f t="shared" ref="Y192:Y195" si="2420">IF(Z192=0,0,IF(Z192&lt;0,IF($J192=12,Z192,IF($J192=11,Z192,IF($J192=10,Z192,0)))))</f>
        <v>0</v>
      </c>
      <c r="Z192" s="440">
        <f t="shared" ref="Z192:Z195" si="2421">IF(Z$5=$H192,-$E192,0)</f>
        <v>0</v>
      </c>
      <c r="AA192" s="441">
        <f t="shared" ref="AA192:AA195" si="2422">IF(AE192=0,0,IF(AE192&lt;0,IF($J192=3,AE192,IF($J192=2,AE192,IF($J192=1,AE192,0)))))</f>
        <v>0</v>
      </c>
      <c r="AB192" s="442">
        <f t="shared" ref="AB192:AB195" si="2423">IF(AE192=0,0,IF(AE192&lt;0,IF($J192=6,AE192,IF($J192=5,AE192,IF($J192=4,AE192,0)))))</f>
        <v>0</v>
      </c>
      <c r="AC192" s="442">
        <f t="shared" ref="AC192:AC195" si="2424">IF(AE192=0,0,IF(AE192&lt;0,IF($J192=9,AE192,IF($J192=8,AE192,IF($J192=7,AE192,0)))))</f>
        <v>0</v>
      </c>
      <c r="AD192" s="443">
        <f t="shared" ref="AD192:AD195" si="2425">IF(AE192=0,0,IF(AE192&lt;0,IF($J192=12,AE192,IF($J192=11,AE192,IF($J192=10,AE192,0)))))</f>
        <v>0</v>
      </c>
      <c r="AE192" s="440">
        <f t="shared" ref="AE192:AE195" si="2426">IF(AE$5=$H192,-$E192,0)</f>
        <v>0</v>
      </c>
      <c r="AF192" s="441">
        <f t="shared" ref="AF192:AF195" si="2427">IF(AJ192=0,0,IF(AJ192&lt;0,IF($J192=3,AJ192,IF($J192=2,AJ192,IF($J192=1,AJ192,0)))))</f>
        <v>0</v>
      </c>
      <c r="AG192" s="442">
        <f t="shared" ref="AG192:AG195" si="2428">IF(AJ192=0,0,IF(AJ192&lt;0,IF($J192=6,AJ192,IF($J192=5,AJ192,IF($J192=4,AJ192,0)))))</f>
        <v>0</v>
      </c>
      <c r="AH192" s="442">
        <f t="shared" ref="AH192:AH195" si="2429">IF(AJ192=0,0,IF(AJ192&lt;0,IF($J192=9,AJ192,IF($J192=8,AJ192,IF($J192=7,AJ192,0)))))</f>
        <v>0</v>
      </c>
      <c r="AI192" s="443">
        <f t="shared" ref="AI192:AI195" si="2430">IF(AJ192=0,0,IF(AJ192&lt;0,IF($J192=12,AJ192,IF($J192=11,AJ192,IF($J192=10,AJ192,0)))))</f>
        <v>0</v>
      </c>
      <c r="AJ192" s="440">
        <f t="shared" ref="AJ192:AJ195" si="2431">IF(AJ$5=$H192,-$E192,0)</f>
        <v>0</v>
      </c>
      <c r="AK192" s="441">
        <f t="shared" ref="AK192:AK195" si="2432">IF(AO192=0,0,IF(AO192&lt;0,IF($J192=3,AO192,IF($J192=2,AO192,IF($J192=1,AO192,0)))))</f>
        <v>0</v>
      </c>
      <c r="AL192" s="442">
        <f t="shared" ref="AL192:AL195" si="2433">IF(AO192=0,0,IF(AO192&lt;0,IF($J192=6,AO192,IF($J192=5,AO192,IF($J192=4,AO192,0)))))</f>
        <v>0</v>
      </c>
      <c r="AM192" s="442">
        <f t="shared" ref="AM192:AM195" si="2434">IF(AO192=0,0,IF(AO192&lt;0,IF($J192=9,AO192,IF($J192=8,AO192,IF($J192=7,AO192,0)))))</f>
        <v>0</v>
      </c>
      <c r="AN192" s="443">
        <f t="shared" ref="AN192:AN195" si="2435">IF(AO192=0,0,IF(AO192&lt;0,IF($J192=12,AO192,IF($J192=11,AO192,IF($J192=10,AO192,0)))))</f>
        <v>0</v>
      </c>
      <c r="AO192" s="440">
        <f t="shared" ref="AO192:AO195" si="2436">IF(AO$5=$H192,-$E192,0)</f>
        <v>0</v>
      </c>
      <c r="AP192" s="441">
        <f t="shared" ref="AP192:AP195" si="2437">IF(AT192=0,0,IF(AT192&lt;0,IF($J192=3,AT192,IF($J192=2,AT192,IF($J192=1,AT192,0)))))</f>
        <v>0</v>
      </c>
      <c r="AQ192" s="442">
        <f t="shared" ref="AQ192:AQ195" si="2438">IF(AT192=0,0,IF(AT192&lt;0,IF($J192=6,AT192,IF($J192=5,AT192,IF($J192=4,AT192,0)))))</f>
        <v>0</v>
      </c>
      <c r="AR192" s="442">
        <f t="shared" ref="AR192:AR195" si="2439">IF(AT192=0,0,IF(AT192&lt;0,IF($J192=9,AT192,IF($J192=8,AT192,IF($J192=7,AT192,0)))))</f>
        <v>0</v>
      </c>
      <c r="AS192" s="443">
        <f t="shared" ref="AS192:AS195" si="2440">IF(AT192=0,0,IF(AT192&lt;0,IF($J192=12,AT192,IF($J192=11,AT192,IF($J192=10,AT192,0)))))</f>
        <v>0</v>
      </c>
      <c r="AT192" s="440">
        <f t="shared" ref="AT192:AT195" si="2441">IF(AT$5=$H192,-$E192,0)</f>
        <v>0</v>
      </c>
      <c r="AU192" s="441">
        <f t="shared" ref="AU192:AU195" si="2442">IF(AY192=0,0,IF(AY192&lt;0,IF($J192=3,AY192,IF($J192=2,AY192,IF($J192=1,AY192,0)))))</f>
        <v>0</v>
      </c>
      <c r="AV192" s="442">
        <f t="shared" ref="AV192:AV195" si="2443">IF(AY192=0,0,IF(AY192&lt;0,IF($J192=6,AY192,IF($J192=5,AY192,IF($J192=4,AY192,0)))))</f>
        <v>0</v>
      </c>
      <c r="AW192" s="442">
        <f t="shared" ref="AW192:AW195" si="2444">IF(AY192=0,0,IF(AY192&lt;0,IF($J192=9,AY192,IF($J192=8,AY192,IF($J192=7,AY192,0)))))</f>
        <v>0</v>
      </c>
      <c r="AX192" s="443">
        <f t="shared" ref="AX192:AX195" si="2445">IF(AY192=0,0,IF(AY192&lt;0,IF($J192=12,AY192,IF($J192=11,AY192,IF($J192=10,AY192,0)))))</f>
        <v>0</v>
      </c>
      <c r="AY192" s="440">
        <f t="shared" ref="AY192:AY195" si="2446">IF(AY$5=$H192,-$E192,0)</f>
        <v>0</v>
      </c>
      <c r="AZ192" s="441">
        <f t="shared" ref="AZ192:AZ195" si="2447">IF(BD192=0,0,IF(BD192&lt;0,IF($J192=3,BD192,IF($J192=2,BD192,IF($J192=1,BD192,0)))))</f>
        <v>0</v>
      </c>
      <c r="BA192" s="442">
        <f t="shared" ref="BA192:BA195" si="2448">IF(BD192=0,0,IF(BD192&lt;0,IF($J192=6,BD192,IF($J192=5,BD192,IF($J192=4,BD192,0)))))</f>
        <v>0</v>
      </c>
      <c r="BB192" s="442">
        <f t="shared" ref="BB192:BB195" si="2449">IF(BD192=0,0,IF(BD192&lt;0,IF($J192=9,BD192,IF($J192=8,BD192,IF($J192=7,BD192,0)))))</f>
        <v>0</v>
      </c>
      <c r="BC192" s="443">
        <f t="shared" ref="BC192:BC195" si="2450">IF(BD192=0,0,IF(BD192&lt;0,IF($J192=12,BD192,IF($J192=11,BD192,IF($J192=10,BD192,0)))))</f>
        <v>0</v>
      </c>
      <c r="BD192" s="440">
        <f t="shared" ref="BD192:BD195" si="2451">IF(BD$5=$H192,-$E192,0)</f>
        <v>0</v>
      </c>
      <c r="BE192" s="441">
        <f t="shared" ref="BE192:BE195" si="2452">IF(BI192=0,0,IF(BI192&lt;0,IF($J192=3,BI192,IF($J192=2,BI192,IF($J192=1,BI192,0)))))</f>
        <v>0</v>
      </c>
      <c r="BF192" s="442">
        <f t="shared" ref="BF192:BF195" si="2453">IF(BI192=0,0,IF(BI192&lt;0,IF($J192=6,BI192,IF($J192=5,BI192,IF($J192=4,BI192,0)))))</f>
        <v>-250</v>
      </c>
      <c r="BG192" s="442">
        <f t="shared" ref="BG192:BG195" si="2454">IF(BI192=0,0,IF(BI192&lt;0,IF($J192=9,BI192,IF($J192=8,BI192,IF($J192=7,BI192,0)))))</f>
        <v>0</v>
      </c>
      <c r="BH192" s="443">
        <f t="shared" ref="BH192:BH195" si="2455">IF(BI192=0,0,IF(BI192&lt;0,IF($J192=12,BI192,IF($J192=11,BI192,IF($J192=10,BI192,0)))))</f>
        <v>0</v>
      </c>
      <c r="BI192" s="440">
        <f t="shared" ref="BI192:BI195" si="2456">IF(BI$5=$H192,-$E192,0)</f>
        <v>-250</v>
      </c>
      <c r="BJ192" s="441">
        <f t="shared" ref="BJ192:BJ195" si="2457">IF(BN192=0,0,IF(BN192&lt;0,IF($J192=3,BN192,IF($J192=2,BN192,IF($J192=1,BN192,0)))))</f>
        <v>0</v>
      </c>
      <c r="BK192" s="442">
        <f t="shared" ref="BK192:BK195" si="2458">IF(BN192=0,0,IF(BN192&lt;0,IF($J192=6,BN192,IF($J192=5,BN192,IF($J192=4,BN192,0)))))</f>
        <v>0</v>
      </c>
      <c r="BL192" s="442">
        <f t="shared" ref="BL192:BL195" si="2459">IF(BN192=0,0,IF(BN192&lt;0,IF($J192=9,BN192,IF($J192=8,BN192,IF($J192=7,BN192,0)))))</f>
        <v>0</v>
      </c>
      <c r="BM192" s="443">
        <f t="shared" ref="BM192:BM195" si="2460">IF(BN192=0,0,IF(BN192&lt;0,IF($J192=12,BN192,IF($J192=11,BN192,IF($J192=10,BN192,0)))))</f>
        <v>0</v>
      </c>
      <c r="BN192" s="440">
        <f t="shared" ref="BN192:BN195" si="2461">IF(BN$5=$H192,-$E192,0)</f>
        <v>0</v>
      </c>
      <c r="BO192" s="470"/>
      <c r="BP192" s="441">
        <f t="shared" ref="BP192:BP195" si="2462">IF($H192&lt;&gt;BT$5,0,IF(BT192&lt;0,IF($J192=1,-$E192*$I192/12*3,IF($J192=2,-$E192*$I192/12*2,IF($J192=3,-$E192*$I192/12*1,0)))))+IF(BO$5&lt;&gt;$H192,0,IF(BO192&lt;0,IF($J192=1,-$E192*$I192/12*0,IF($J192=2,-$E192*$I192/12*1,IF($J192=3,-$E192*$I192/12*2,IF($J192&gt;=4,-$E192*$I192/12*3,0))))))</f>
        <v>0</v>
      </c>
      <c r="BQ192" s="442">
        <f t="shared" ref="BQ192:BQ195" si="2463">IF($H192&lt;&gt;BT$5,0,IF(BT192&lt;0,IF(OR($J192=1,$J192=2,$J192=3,$J192=4),-$E192*$I192/12*3,IF($J192=5,-$E192*$I192/12*2,IF($J192=6,-$E192*$I192/12*1,0)))))+IF(BO$5&lt;&gt;$H192,0,IF(BO192&lt;0,IF($J192=4,-$E192*$I192/12*0,IF($J192=5,-$E192*$I192/12*1,IF($J192=6,-$E192*$I192/12*2,IF($J192&gt;=7,-$E192*$I192/12*3,0))))))</f>
        <v>0</v>
      </c>
      <c r="BR192" s="442">
        <f t="shared" ref="BR192:BR195" si="2464">IF($H192&lt;&gt;BT$5,0,IF(BT192&lt;0,IF(OR($J192=1,$J192=2,$J192=3,$J192=4,$J192=5,$J192=6,$J192=7),-$E192*$I192/12*3,IF($J192=8,-$E192*$I192/12*2,IF($J192=9,-$E192*$I192/12*1,0)))))+IF(BO$5&lt;&gt;$H192,0,IF(BO192&lt;0,IF($J192=7,-$E192*$I192/12*0,IF($J192=8,-$E192*$I192/12*1,IF($J192=9,-$E192*$I192/12*2,IF($J192&gt;=10,-$E192*$I192/12*3,0))))))</f>
        <v>0</v>
      </c>
      <c r="BS192" s="443">
        <f t="shared" ref="BS192:BS195" si="2465">IF($H192&lt;&gt;BT$5,0,IF(BT192&lt;0,IF(OR($J192=1,$J192=2,$J192=3,$J192=4,$J192=5,$J192=6,$J192=7,$J192=8,$J192=9,$J192=10),-$E192*$I192/12*3,IF($J192=11,-$E192*$I192/12*2,IF($J192=12,-$E192*$I192/12*1,0)))))+IF(BO$5&lt;&gt;$H192,0,IF(BO192&lt;0,IF($J192=10,-$E192*$I192/12*0,IF($J192=11,-$E192*$I192/12*1,IF($J192=12,-$E192*$I192/12*2,0)))))</f>
        <v>0</v>
      </c>
      <c r="BT192" s="440">
        <f t="shared" ref="BT192:BT195" si="2466">IF(AND(BO192&lt;&gt;0,BO$5=$H192),-$I192*$E192-BO192,IF(BT$5=$H192,-$I192*$E192*(12-$J192+1)/12,0))</f>
        <v>0</v>
      </c>
      <c r="BU192" s="441">
        <f t="shared" ref="BU192:BU195" si="2467">IF($H192&lt;&gt;BY$5,0,IF(BY192&lt;0,IF($J192=1,-$E192*$I192/12*3,IF($J192=2,-$E192*$I192/12*2,IF($J192=3,-$E192*$I192/12*1,0)))))+IF(BT$5&lt;&gt;$H192,0,IF(BT192&lt;0,IF($J192=1,-$E192*$I192/12*0,IF($J192=2,-$E192*$I192/12*1,IF($J192=3,-$E192*$I192/12*2,IF($J192&gt;=4,-$E192*$I192/12*3,0))))))</f>
        <v>0</v>
      </c>
      <c r="BV192" s="442">
        <f t="shared" ref="BV192:BV195" si="2468">IF($H192&lt;&gt;BY$5,0,IF(BY192&lt;0,IF(OR($J192=1,$J192=2,$J192=3,$J192=4),-$E192*$I192/12*3,IF($J192=5,-$E192*$I192/12*2,IF($J192=6,-$E192*$I192/12*1,0)))))+IF(BT$5&lt;&gt;$H192,0,IF(BT192&lt;0,IF($J192=4,-$E192*$I192/12*0,IF($J192=5,-$E192*$I192/12*1,IF($J192=6,-$E192*$I192/12*2,IF($J192&gt;=7,-$E192*$I192/12*3,0))))))</f>
        <v>0</v>
      </c>
      <c r="BW192" s="442">
        <f t="shared" ref="BW192:BW195" si="2469">IF($H192&lt;&gt;BY$5,0,IF(BY192&lt;0,IF(OR($J192=1,$J192=2,$J192=3,$J192=4,$J192=5,$J192=6,$J192=7),-$E192*$I192/12*3,IF($J192=8,-$E192*$I192/12*2,IF($J192=9,-$E192*$I192/12*1,0)))))+IF(BT$5&lt;&gt;$H192,0,IF(BT192&lt;0,IF($J192=7,-$E192*$I192/12*0,IF($J192=8,-$E192*$I192/12*1,IF($J192=9,-$E192*$I192/12*2,IF($J192&gt;=10,-$E192*$I192/12*3,0))))))</f>
        <v>0</v>
      </c>
      <c r="BX192" s="443">
        <f t="shared" ref="BX192:BX195" si="2470">IF($H192&lt;&gt;BY$5,0,IF(BY192&lt;0,IF(OR($J192=1,$J192=2,$J192=3,$J192=4,$J192=5,$J192=6,$J192=7,$J192=8,$J192=9,$J192=10),-$E192*$I192/12*3,IF($J192=11,-$E192*$I192/12*2,IF($J192=12,-$E192*$I192/12*1,0)))))+IF(BT$5&lt;&gt;$H192,0,IF(BT192&lt;0,IF($J192=10,-$E192*$I192/12*0,IF($J192=11,-$E192*$I192/12*1,IF($J192=12,-$E192*$I192/12*2,0)))))</f>
        <v>0</v>
      </c>
      <c r="BY192" s="440">
        <f t="shared" ref="BY192:BY195" si="2471">IF(AND(BT192&lt;&gt;0,BT$5=$H192),-$I192*$E192-BT192,IF(BY$5=$H192,-$I192*$E192*(12-$J192+1)/12,0))</f>
        <v>0</v>
      </c>
      <c r="BZ192" s="441">
        <f t="shared" ref="BZ192:BZ195" si="2472">IF($H192&lt;&gt;CD$5,0,IF(CD192&lt;0,IF($J192=1,-$E192*$I192/12*3,IF($J192=2,-$E192*$I192/12*2,IF($J192=3,-$E192*$I192/12*1,0)))))+IF(BY$5&lt;&gt;$H192,0,IF(BY192&lt;0,IF($J192=1,-$E192*$I192/12*0,IF($J192=2,-$E192*$I192/12*1,IF($J192=3,-$E192*$I192/12*2,IF($J192&gt;=4,-$E192*$I192/12*3,0))))))</f>
        <v>0</v>
      </c>
      <c r="CA192" s="442">
        <f t="shared" ref="CA192:CA195" si="2473">IF($H192&lt;&gt;CD$5,0,IF(CD192&lt;0,IF(OR($J192=1,$J192=2,$J192=3,$J192=4),-$E192*$I192/12*3,IF($J192=5,-$E192*$I192/12*2,IF($J192=6,-$E192*$I192/12*1,0)))))+IF(BY$5&lt;&gt;$H192,0,IF(BY192&lt;0,IF($J192=4,-$E192*$I192/12*0,IF($J192=5,-$E192*$I192/12*1,IF($J192=6,-$E192*$I192/12*2,IF($J192&gt;=7,-$E192*$I192/12*3,0))))))</f>
        <v>0</v>
      </c>
      <c r="CB192" s="442">
        <f t="shared" ref="CB192:CB195" si="2474">IF($H192&lt;&gt;CD$5,0,IF(CD192&lt;0,IF(OR($J192=1,$J192=2,$J192=3,$J192=4,$J192=5,$J192=6,$J192=7),-$E192*$I192/12*3,IF($J192=8,-$E192*$I192/12*2,IF($J192=9,-$E192*$I192/12*1,0)))))+IF(BY$5&lt;&gt;$H192,0,IF(BY192&lt;0,IF($J192=7,-$E192*$I192/12*0,IF($J192=8,-$E192*$I192/12*1,IF($J192=9,-$E192*$I192/12*2,IF($J192&gt;=10,-$E192*$I192/12*3,0))))))</f>
        <v>0</v>
      </c>
      <c r="CC192" s="443">
        <f t="shared" ref="CC192:CC195" si="2475">IF($H192&lt;&gt;CD$5,0,IF(CD192&lt;0,IF(OR($J192=1,$J192=2,$J192=3,$J192=4,$J192=5,$J192=6,$J192=7,$J192=8,$J192=9,$J192=10),-$E192*$I192/12*3,IF($J192=11,-$E192*$I192/12*2,IF($J192=12,-$E192*$I192/12*1,0)))))+IF(BY$5&lt;&gt;$H192,0,IF(BY192&lt;0,IF($J192=10,-$E192*$I192/12*0,IF($J192=11,-$E192*$I192/12*1,IF($J192=12,-$E192*$I192/12*2,0)))))</f>
        <v>0</v>
      </c>
      <c r="CD192" s="440">
        <f t="shared" ref="CD192:CD195" si="2476">IF(AND(BY192&lt;&gt;0,BY$5=$H192),-$I192*$E192-BY192,IF(CD$5=$H192,-$I192*$E192*(12-$J192+1)/12,0))</f>
        <v>0</v>
      </c>
      <c r="CE192" s="441">
        <f t="shared" ref="CE192:CE195" si="2477">IF($H192&lt;&gt;CI$5,0,IF(CI192&lt;0,IF($J192=1,-$E192*$I192/12*3,IF($J192=2,-$E192*$I192/12*2,IF($J192=3,-$E192*$I192/12*1,0)))))+IF(CD$5&lt;&gt;$H192,0,IF(CD192&lt;0,IF($J192=1,-$E192*$I192/12*0,IF($J192=2,-$E192*$I192/12*1,IF($J192=3,-$E192*$I192/12*2,IF($J192&gt;=4,-$E192*$I192/12*3,0))))))</f>
        <v>0</v>
      </c>
      <c r="CF192" s="442">
        <f t="shared" ref="CF192:CF195" si="2478">IF($H192&lt;&gt;CI$5,0,IF(CI192&lt;0,IF(OR($J192=1,$J192=2,$J192=3,$J192=4),-$E192*$I192/12*3,IF($J192=5,-$E192*$I192/12*2,IF($J192=6,-$E192*$I192/12*1,0)))))+IF(CD$5&lt;&gt;$H192,0,IF(CD192&lt;0,IF($J192=4,-$E192*$I192/12*0,IF($J192=5,-$E192*$I192/12*1,IF($J192=6,-$E192*$I192/12*2,IF($J192&gt;=7,-$E192*$I192/12*3,0))))))</f>
        <v>0</v>
      </c>
      <c r="CG192" s="442">
        <f t="shared" ref="CG192:CG195" si="2479">IF($H192&lt;&gt;CI$5,0,IF(CI192&lt;0,IF(OR($J192=1,$J192=2,$J192=3,$J192=4,$J192=5,$J192=6,$J192=7),-$E192*$I192/12*3,IF($J192=8,-$E192*$I192/12*2,IF($J192=9,-$E192*$I192/12*1,0)))))+IF(CD$5&lt;&gt;$H192,0,IF(CD192&lt;0,IF($J192=7,-$E192*$I192/12*0,IF($J192=8,-$E192*$I192/12*1,IF($J192=9,-$E192*$I192/12*2,IF($J192&gt;=10,-$E192*$I192/12*3,0))))))</f>
        <v>0</v>
      </c>
      <c r="CH192" s="443">
        <f t="shared" ref="CH192:CH195" si="2480">IF($H192&lt;&gt;CI$5,0,IF(CI192&lt;0,IF(OR($J192=1,$J192=2,$J192=3,$J192=4,$J192=5,$J192=6,$J192=7,$J192=8,$J192=9,$J192=10),-$E192*$I192/12*3,IF($J192=11,-$E192*$I192/12*2,IF($J192=12,-$E192*$I192/12*1,0)))))+IF(CD$5&lt;&gt;$H192,0,IF(CD192&lt;0,IF($J192=10,-$E192*$I192/12*0,IF($J192=11,-$E192*$I192/12*1,IF($J192=12,-$E192*$I192/12*2,0)))))</f>
        <v>0</v>
      </c>
      <c r="CI192" s="440">
        <f t="shared" ref="CI192:CI195" si="2481">IF(AND(CD192&lt;&gt;0,CD$5=$H192),-$I192*$E192-CD192,IF(CI$5=$H192,-$I192*$E192*(12-$J192+1)/12,0))</f>
        <v>0</v>
      </c>
      <c r="CJ192" s="441">
        <f t="shared" ref="CJ192:CJ195" si="2482">IF($H192&lt;&gt;CN$5,0,IF(CN192&lt;0,IF($J192=1,-$E192*$I192/12*3,IF($J192=2,-$E192*$I192/12*2,IF($J192=3,-$E192*$I192/12*1,0)))))+IF(CI$5&lt;&gt;$H192,0,IF(CI192&lt;0,IF($J192=1,-$E192*$I192/12*0,IF($J192=2,-$E192*$I192/12*1,IF($J192=3,-$E192*$I192/12*2,IF($J192&gt;=4,-$E192*$I192/12*3,0))))))</f>
        <v>0</v>
      </c>
      <c r="CK192" s="442">
        <f t="shared" ref="CK192:CK195" si="2483">IF($H192&lt;&gt;CN$5,0,IF(CN192&lt;0,IF(OR($J192=1,$J192=2,$J192=3,$J192=4),-$E192*$I192/12*3,IF($J192=5,-$E192*$I192/12*2,IF($J192=6,-$E192*$I192/12*1,0)))))+IF(CI$5&lt;&gt;$H192,0,IF(CI192&lt;0,IF($J192=4,-$E192*$I192/12*0,IF($J192=5,-$E192*$I192/12*1,IF($J192=6,-$E192*$I192/12*2,IF($J192&gt;=7,-$E192*$I192/12*3,0))))))</f>
        <v>0</v>
      </c>
      <c r="CL192" s="442">
        <f t="shared" ref="CL192:CL195" si="2484">IF($H192&lt;&gt;CN$5,0,IF(CN192&lt;0,IF(OR($J192=1,$J192=2,$J192=3,$J192=4,$J192=5,$J192=6,$J192=7),-$E192*$I192/12*3,IF($J192=8,-$E192*$I192/12*2,IF($J192=9,-$E192*$I192/12*1,0)))))+IF(CI$5&lt;&gt;$H192,0,IF(CI192&lt;0,IF($J192=7,-$E192*$I192/12*0,IF($J192=8,-$E192*$I192/12*1,IF($J192=9,-$E192*$I192/12*2,IF($J192&gt;=10,-$E192*$I192/12*3,0))))))</f>
        <v>0</v>
      </c>
      <c r="CM192" s="443">
        <f t="shared" ref="CM192:CM195" si="2485">IF($H192&lt;&gt;CN$5,0,IF(CN192&lt;0,IF(OR($J192=1,$J192=2,$J192=3,$J192=4,$J192=5,$J192=6,$J192=7,$J192=8,$J192=9,$J192=10),-$E192*$I192/12*3,IF($J192=11,-$E192*$I192/12*2,IF($J192=12,-$E192*$I192/12*1,0)))))+IF(CI$5&lt;&gt;$H192,0,IF(CI192&lt;0,IF($J192=10,-$E192*$I192/12*0,IF($J192=11,-$E192*$I192/12*1,IF($J192=12,-$E192*$I192/12*2,0)))))</f>
        <v>0</v>
      </c>
      <c r="CN192" s="440">
        <f t="shared" ref="CN192:CN195" si="2486">IF(AND(CI192&lt;&gt;0,CI$5=$H192),-$I192*$E192-CI192,IF(CN$5=$H192,-$I192*$E192*(12-$J192+1)/12,0))</f>
        <v>0</v>
      </c>
      <c r="CO192" s="441">
        <f t="shared" ref="CO192:CO195" si="2487">IF($H192&lt;&gt;CS$5,0,IF(CS192&lt;0,IF($J192=1,-$E192*$I192/12*3,IF($J192=2,-$E192*$I192/12*2,IF($J192=3,-$E192*$I192/12*1,0)))))+IF(CN$5&lt;&gt;$H192,0,IF(CN192&lt;0,IF($J192=1,-$E192*$I192/12*0,IF($J192=2,-$E192*$I192/12*1,IF($J192=3,-$E192*$I192/12*2,IF($J192&gt;=4,-$E192*$I192/12*3,0))))))</f>
        <v>0</v>
      </c>
      <c r="CP192" s="442">
        <f t="shared" ref="CP192:CP195" si="2488">IF($H192&lt;&gt;CS$5,0,IF(CS192&lt;0,IF(OR($J192=1,$J192=2,$J192=3,$J192=4),-$E192*$I192/12*3,IF($J192=5,-$E192*$I192/12*2,IF($J192=6,-$E192*$I192/12*1,0)))))+IF(CN$5&lt;&gt;$H192,0,IF(CN192&lt;0,IF($J192=4,-$E192*$I192/12*0,IF($J192=5,-$E192*$I192/12*1,IF($J192=6,-$E192*$I192/12*2,IF($J192&gt;=7,-$E192*$I192/12*3,0))))))</f>
        <v>0</v>
      </c>
      <c r="CQ192" s="442">
        <f t="shared" ref="CQ192:CQ195" si="2489">IF($H192&lt;&gt;CS$5,0,IF(CS192&lt;0,IF(OR($J192=1,$J192=2,$J192=3,$J192=4,$J192=5,$J192=6,$J192=7),-$E192*$I192/12*3,IF($J192=8,-$E192*$I192/12*2,IF($J192=9,-$E192*$I192/12*1,0)))))+IF(CN$5&lt;&gt;$H192,0,IF(CN192&lt;0,IF($J192=7,-$E192*$I192/12*0,IF($J192=8,-$E192*$I192/12*1,IF($J192=9,-$E192*$I192/12*2,IF($J192&gt;=10,-$E192*$I192/12*3,0))))))</f>
        <v>0</v>
      </c>
      <c r="CR192" s="443">
        <f t="shared" ref="CR192:CR195" si="2490">IF($H192&lt;&gt;CS$5,0,IF(CS192&lt;0,IF(OR($J192=1,$J192=2,$J192=3,$J192=4,$J192=5,$J192=6,$J192=7,$J192=8,$J192=9,$J192=10),-$E192*$I192/12*3,IF($J192=11,-$E192*$I192/12*2,IF($J192=12,-$E192*$I192/12*1,0)))))+IF(CN$5&lt;&gt;$H192,0,IF(CN192&lt;0,IF($J192=10,-$E192*$I192/12*0,IF($J192=11,-$E192*$I192/12*1,IF($J192=12,-$E192*$I192/12*2,0)))))</f>
        <v>0</v>
      </c>
      <c r="CS192" s="440">
        <f t="shared" ref="CS192:CS195" si="2491">IF(AND(CN192&lt;&gt;0,CN$5=$H192),-$I192*$E192-CN192,IF(CS$5=$H192,-$I192*$E192*(12-$J192+1)/12,0))</f>
        <v>0</v>
      </c>
      <c r="CT192" s="441">
        <f t="shared" ref="CT192:CT195" si="2492">IF($H192&lt;&gt;CX$5,0,IF(CX192&lt;0,IF($J192=1,-$E192*$I192/12*3,IF($J192=2,-$E192*$I192/12*2,IF($J192=3,-$E192*$I192/12*1,0)))))+IF(CS$5&lt;&gt;$H192,0,IF(CS192&lt;0,IF($J192=1,-$E192*$I192/12*0,IF($J192=2,-$E192*$I192/12*1,IF($J192=3,-$E192*$I192/12*2,IF($J192&gt;=4,-$E192*$I192/12*3,0))))))</f>
        <v>0</v>
      </c>
      <c r="CU192" s="442">
        <f t="shared" ref="CU192:CU195" si="2493">IF($H192&lt;&gt;CX$5,0,IF(CX192&lt;0,IF(OR($J192=1,$J192=2,$J192=3,$J192=4),-$E192*$I192/12*3,IF($J192=5,-$E192*$I192/12*2,IF($J192=6,-$E192*$I192/12*1,0)))))+IF(CS$5&lt;&gt;$H192,0,IF(CS192&lt;0,IF($J192=4,-$E192*$I192/12*0,IF($J192=5,-$E192*$I192/12*1,IF($J192=6,-$E192*$I192/12*2,IF($J192&gt;=7,-$E192*$I192/12*3,0))))))</f>
        <v>0</v>
      </c>
      <c r="CV192" s="442">
        <f t="shared" ref="CV192:CV195" si="2494">IF($H192&lt;&gt;CX$5,0,IF(CX192&lt;0,IF(OR($J192=1,$J192=2,$J192=3,$J192=4,$J192=5,$J192=6,$J192=7),-$E192*$I192/12*3,IF($J192=8,-$E192*$I192/12*2,IF($J192=9,-$E192*$I192/12*1,0)))))+IF(CS$5&lt;&gt;$H192,0,IF(CS192&lt;0,IF($J192=7,-$E192*$I192/12*0,IF($J192=8,-$E192*$I192/12*1,IF($J192=9,-$E192*$I192/12*2,IF($J192&gt;=10,-$E192*$I192/12*3,0))))))</f>
        <v>0</v>
      </c>
      <c r="CW192" s="443">
        <f t="shared" ref="CW192:CW195" si="2495">IF($H192&lt;&gt;CX$5,0,IF(CX192&lt;0,IF(OR($J192=1,$J192=2,$J192=3,$J192=4,$J192=5,$J192=6,$J192=7,$J192=8,$J192=9,$J192=10),-$E192*$I192/12*3,IF($J192=11,-$E192*$I192/12*2,IF($J192=12,-$E192*$I192/12*1,0)))))+IF(CS$5&lt;&gt;$H192,0,IF(CS192&lt;0,IF($J192=10,-$E192*$I192/12*0,IF($J192=11,-$E192*$I192/12*1,IF($J192=12,-$E192*$I192/12*2,0)))))</f>
        <v>0</v>
      </c>
      <c r="CX192" s="440">
        <f t="shared" ref="CX192:CX195" si="2496">IF(AND(CS192&lt;&gt;0,CS$5=$H192),-$I192*$E192-CS192,IF(CX$5=$H192,-$I192*$E192*(12-$J192+1)/12,0))</f>
        <v>0</v>
      </c>
      <c r="CY192" s="441">
        <f t="shared" ref="CY192:CY195" si="2497">IF($H192&lt;&gt;DC$5,0,IF(DC192&lt;0,IF($J192=1,-$E192*$I192/12*3,IF($J192=2,-$E192*$I192/12*2,IF($J192=3,-$E192*$I192/12*1,0)))))+IF(CX$5&lt;&gt;$H192,0,IF(CX192&lt;0,IF($J192=1,-$E192*$I192/12*0,IF($J192=2,-$E192*$I192/12*1,IF($J192=3,-$E192*$I192/12*2,IF($J192&gt;=4,-$E192*$I192/12*3,0))))))</f>
        <v>0</v>
      </c>
      <c r="CZ192" s="442">
        <f t="shared" ref="CZ192:CZ195" si="2498">IF($H192&lt;&gt;DC$5,0,IF(DC192&lt;0,IF(OR($J192=1,$J192=2,$J192=3,$J192=4),-$E192*$I192/12*3,IF($J192=5,-$E192*$I192/12*2,IF($J192=6,-$E192*$I192/12*1,0)))))+IF(CX$5&lt;&gt;$H192,0,IF(CX192&lt;0,IF($J192=4,-$E192*$I192/12*0,IF($J192=5,-$E192*$I192/12*1,IF($J192=6,-$E192*$I192/12*2,IF($J192&gt;=7,-$E192*$I192/12*3,0))))))</f>
        <v>0</v>
      </c>
      <c r="DA192" s="442">
        <f t="shared" ref="DA192:DA195" si="2499">IF($H192&lt;&gt;DC$5,0,IF(DC192&lt;0,IF(OR($J192=1,$J192=2,$J192=3,$J192=4,$J192=5,$J192=6,$J192=7),-$E192*$I192/12*3,IF($J192=8,-$E192*$I192/12*2,IF($J192=9,-$E192*$I192/12*1,0)))))+IF(CX$5&lt;&gt;$H192,0,IF(CX192&lt;0,IF($J192=7,-$E192*$I192/12*0,IF($J192=8,-$E192*$I192/12*1,IF($J192=9,-$E192*$I192/12*2,IF($J192&gt;=10,-$E192*$I192/12*3,0))))))</f>
        <v>0</v>
      </c>
      <c r="DB192" s="443">
        <f t="shared" ref="DB192:DB195" si="2500">IF($H192&lt;&gt;DC$5,0,IF(DC192&lt;0,IF(OR($J192=1,$J192=2,$J192=3,$J192=4,$J192=5,$J192=6,$J192=7,$J192=8,$J192=9,$J192=10),-$E192*$I192/12*3,IF($J192=11,-$E192*$I192/12*2,IF($J192=12,-$E192*$I192/12*1,0)))))+IF(CX$5&lt;&gt;$H192,0,IF(CX192&lt;0,IF($J192=10,-$E192*$I192/12*0,IF($J192=11,-$E192*$I192/12*1,IF($J192=12,-$E192*$I192/12*2,0)))))</f>
        <v>0</v>
      </c>
      <c r="DC192" s="440">
        <f t="shared" ref="DC192:DC195" si="2501">IF(AND(CX192&lt;&gt;0,CX$5=$H192),-$I192*$E192-CX192,IF(DC$5=$H192,-$I192*$E192*(12-$J192+1)/12,0))</f>
        <v>0</v>
      </c>
      <c r="DD192" s="441">
        <f t="shared" ref="DD192:DD195" si="2502">IF($H192&lt;&gt;DH$5,0,IF(DH192&lt;0,IF($J192=1,-$E192*$I192/12*3,IF($J192=2,-$E192*$I192/12*2,IF($J192=3,-$E192*$I192/12*1,0)))))+IF(DC$5&lt;&gt;$H192,0,IF(DC192&lt;0,IF($J192=1,-$E192*$I192/12*0,IF($J192=2,-$E192*$I192/12*1,IF($J192=3,-$E192*$I192/12*2,IF($J192&gt;=4,-$E192*$I192/12*3,0))))))</f>
        <v>0</v>
      </c>
      <c r="DE192" s="442">
        <f t="shared" ref="DE192:DE195" si="2503">IF($H192&lt;&gt;DH$5,0,IF(DH192&lt;0,IF(OR($J192=1,$J192=2,$J192=3,$J192=4),-$E192*$I192/12*3,IF($J192=5,-$E192*$I192/12*2,IF($J192=6,-$E192*$I192/12*1,0)))))+IF(DC$5&lt;&gt;$H192,0,IF(DC192&lt;0,IF($J192=4,-$E192*$I192/12*0,IF($J192=5,-$E192*$I192/12*1,IF($J192=6,-$E192*$I192/12*2,IF($J192&gt;=7,-$E192*$I192/12*3,0))))))</f>
        <v>0</v>
      </c>
      <c r="DF192" s="442">
        <f t="shared" ref="DF192:DF195" si="2504">IF($H192&lt;&gt;DH$5,0,IF(DH192&lt;0,IF(OR($J192=1,$J192=2,$J192=3,$J192=4,$J192=5,$J192=6,$J192=7),-$E192*$I192/12*3,IF($J192=8,-$E192*$I192/12*2,IF($J192=9,-$E192*$I192/12*1,0)))))+IF(DC$5&lt;&gt;$H192,0,IF(DC192&lt;0,IF($J192=7,-$E192*$I192/12*0,IF($J192=8,-$E192*$I192/12*1,IF($J192=9,-$E192*$I192/12*2,IF($J192&gt;=10,-$E192*$I192/12*3,0))))))</f>
        <v>0</v>
      </c>
      <c r="DG192" s="443">
        <f t="shared" ref="DG192:DG195" si="2505">IF($H192&lt;&gt;DH$5,0,IF(DH192&lt;0,IF(OR($J192=1,$J192=2,$J192=3,$J192=4,$J192=5,$J192=6,$J192=7,$J192=8,$J192=9,$J192=10),-$E192*$I192/12*3,IF($J192=11,-$E192*$I192/12*2,IF($J192=12,-$E192*$I192/12*1,0)))))+IF(DC$5&lt;&gt;$H192,0,IF(DC192&lt;0,IF($J192=10,-$E192*$I192/12*0,IF($J192=11,-$E192*$I192/12*1,IF($J192=12,-$E192*$I192/12*2,0)))))</f>
        <v>0</v>
      </c>
      <c r="DH192" s="440">
        <f t="shared" ref="DH192:DH195" si="2506">IF(AND(DC192&lt;&gt;0,DC$5=$H192),-$I192*$E192-DC192,IF(DH$5=$H192,-$I192*$E192*(12-$J192+1)/12,0))</f>
        <v>0</v>
      </c>
      <c r="DI192" s="441">
        <f t="shared" ref="DI192:DI195" si="2507">IF($H192&lt;&gt;DM$5,0,IF(DM192&lt;0,IF($J192=1,-$E192*$I192/12*3,IF($J192=2,-$E192*$I192/12*2,IF($J192=3,-$E192*$I192/12*1,0)))))+IF(DH$5&lt;&gt;$H192,0,IF(DH192&lt;0,IF($J192=1,-$E192*$I192/12*0,IF($J192=2,-$E192*$I192/12*1,IF($J192=3,-$E192*$I192/12*2,IF($J192&gt;=4,-$E192*$I192/12*3,0))))))</f>
        <v>0</v>
      </c>
      <c r="DJ192" s="442">
        <f t="shared" ref="DJ192:DJ195" si="2508">IF($H192&lt;&gt;DM$5,0,IF(DM192&lt;0,IF(OR($J192=1,$J192=2,$J192=3,$J192=4),-$E192*$I192/12*3,IF($J192=5,-$E192*$I192/12*2,IF($J192=6,-$E192*$I192/12*1,0)))))+IF(DH$5&lt;&gt;$H192,0,IF(DH192&lt;0,IF($J192=4,-$E192*$I192/12*0,IF($J192=5,-$E192*$I192/12*1,IF($J192=6,-$E192*$I192/12*2,IF($J192&gt;=7,-$E192*$I192/12*3,0))))))</f>
        <v>-3.2500000000000004</v>
      </c>
      <c r="DK192" s="442">
        <f t="shared" ref="DK192:DK195" si="2509">IF($H192&lt;&gt;DM$5,0,IF(DM192&lt;0,IF(OR($J192=1,$J192=2,$J192=3,$J192=4,$J192=5,$J192=6,$J192=7),-$E192*$I192/12*3,IF($J192=8,-$E192*$I192/12*2,IF($J192=9,-$E192*$I192/12*1,0)))))+IF(DH$5&lt;&gt;$H192,0,IF(DH192&lt;0,IF($J192=7,-$E192*$I192/12*0,IF($J192=8,-$E192*$I192/12*1,IF($J192=9,-$E192*$I192/12*2,IF($J192&gt;=10,-$E192*$I192/12*3,0))))))</f>
        <v>-3.2500000000000004</v>
      </c>
      <c r="DL192" s="443">
        <f t="shared" ref="DL192:DL195" si="2510">IF($H192&lt;&gt;DM$5,0,IF(DM192&lt;0,IF(OR($J192=1,$J192=2,$J192=3,$J192=4,$J192=5,$J192=6,$J192=7,$J192=8,$J192=9,$J192=10),-$E192*$I192/12*3,IF($J192=11,-$E192*$I192/12*2,IF($J192=12,-$E192*$I192/12*1,0)))))+IF(DH$5&lt;&gt;$H192,0,IF(DH192&lt;0,IF($J192=10,-$E192*$I192/12*0,IF($J192=11,-$E192*$I192/12*1,IF($J192=12,-$E192*$I192/12*2,0)))))</f>
        <v>-3.2500000000000004</v>
      </c>
      <c r="DM192" s="440">
        <f t="shared" ref="DM192:DM195" si="2511">IF(AND(DH192&lt;&gt;0,DH$5=$H192),-$I192*$E192-DH192,IF(DM$5=$H192,-$I192*$E192*(12-$J192+1)/12,0))</f>
        <v>-9.7500000000000018</v>
      </c>
      <c r="DN192" s="441">
        <f t="shared" ref="DN192:DN195" si="2512">IF($H192&lt;&gt;DR$5,0,IF(DR192&lt;0,IF($J192=1,-$E192*$I192/12*3,IF($J192=2,-$E192*$I192/12*2,IF($J192=3,-$E192*$I192/12*1,0)))))+IF(DM$5&lt;&gt;$H192,0,IF(DM192&lt;0,IF($J192=1,-$E192*$I192/12*0,IF($J192=2,-$E192*$I192/12*1,IF($J192=3,-$E192*$I192/12*2,IF($J192&gt;=4,-$E192*$I192/12*3,0))))))</f>
        <v>-3.2500000000000004</v>
      </c>
      <c r="DO192" s="442">
        <f t="shared" ref="DO192:DO195" si="2513">IF($H192&lt;&gt;DR$5,0,IF(DR192&lt;0,IF(OR($J192=1,$J192=2,$J192=3,$J192=4),-$E192*$I192/12*3,IF($J192=5,-$E192*$I192/12*2,IF($J192=6,-$E192*$I192/12*1,0)))))+IF(DM$5&lt;&gt;$H192,0,IF(DM192&lt;0,IF($J192=4,-$E192*$I192/12*0,IF($J192=5,-$E192*$I192/12*1,IF($J192=6,-$E192*$I192/12*2,IF($J192&gt;=7,-$E192*$I192/12*3,0))))))</f>
        <v>0</v>
      </c>
      <c r="DP192" s="442">
        <f t="shared" ref="DP192:DP195" si="2514">IF($H192&lt;&gt;DR$5,0,IF(DR192&lt;0,IF(OR($J192=1,$J192=2,$J192=3,$J192=4,$J192=5,$J192=6,$J192=7),-$E192*$I192/12*3,IF($J192=8,-$E192*$I192/12*2,IF($J192=9,-$E192*$I192/12*1,0)))))+IF(DM$5&lt;&gt;$H192,0,IF(DM192&lt;0,IF($J192=7,-$E192*$I192/12*0,IF($J192=8,-$E192*$I192/12*1,IF($J192=9,-$E192*$I192/12*2,IF($J192&gt;=10,-$E192*$I192/12*3,0))))))</f>
        <v>0</v>
      </c>
      <c r="DQ192" s="443">
        <f t="shared" ref="DQ192:DQ195" si="2515">IF($H192&lt;&gt;DR$5,0,IF(DR192&lt;0,IF(OR($J192=1,$J192=2,$J192=3,$J192=4,$J192=5,$J192=6,$J192=7,$J192=8,$J192=9,$J192=10),-$E192*$I192/12*3,IF($J192=11,-$E192*$I192/12*2,IF($J192=12,-$E192*$I192/12*1,0)))))+IF(DM$5&lt;&gt;$H192,0,IF(DM192&lt;0,IF($J192=10,-$E192*$I192/12*0,IF($J192=11,-$E192*$I192/12*1,IF($J192=12,-$E192*$I192/12*2,0)))))</f>
        <v>0</v>
      </c>
      <c r="DR192" s="440">
        <f t="shared" ref="DR192:DR195" si="2516">IF(AND(DM192&lt;&gt;0,DM$5=$H192),-$I192*$E192-DM192,IF(DR$5=$H192,-$I192*$E192*(12-$J192+1)/12,0))</f>
        <v>-3.25</v>
      </c>
    </row>
    <row r="193" spans="3:122">
      <c r="C193" s="1123" t="s">
        <v>616</v>
      </c>
      <c r="D193" s="395"/>
      <c r="E193" s="1951">
        <f>IF(F193=0,G193,F193)</f>
        <v>200</v>
      </c>
      <c r="F193" s="1945">
        <v>200</v>
      </c>
      <c r="G193" s="1945">
        <v>200</v>
      </c>
      <c r="H193" s="1366">
        <v>2025</v>
      </c>
      <c r="I193" s="1367">
        <v>4.1500000000000002E-2</v>
      </c>
      <c r="J193" s="1357">
        <v>4</v>
      </c>
      <c r="K193" s="549"/>
      <c r="L193" s="441">
        <f>IF(P193=0,0,IF(P193&lt;0,IF($J193=3,P193,IF($J193=2,P193,IF($J193=1,P193,0)))))</f>
        <v>0</v>
      </c>
      <c r="M193" s="442">
        <f>IF(P193=0,0,IF(P193&lt;0,IF($J193=6,P193,IF($J193=5,P193,IF($J193=4,P193,0)))))</f>
        <v>0</v>
      </c>
      <c r="N193" s="442">
        <f>IF(P193=0,0,IF(P193&lt;0,IF($J193=9,P193,IF($J193=8,P193,IF($J193=7,P193,0)))))</f>
        <v>0</v>
      </c>
      <c r="O193" s="443">
        <f>IF(P193=0,0,IF(P193&lt;0,IF($J193=12,P193,IF($J193=11,P193,IF($J193=10,P193,0)))))</f>
        <v>0</v>
      </c>
      <c r="P193" s="440">
        <f>IF(P$5=$H193,-$E193,0)</f>
        <v>0</v>
      </c>
      <c r="Q193" s="441">
        <f>IF(U193=0,0,IF(U193&lt;0,IF($J193=3,U193,IF($J193=2,U193,IF($J193=1,U193,0)))))</f>
        <v>0</v>
      </c>
      <c r="R193" s="442">
        <f>IF(U193=0,0,IF(U193&lt;0,IF($J193=6,U193,IF($J193=5,U193,IF($J193=4,U193,0)))))</f>
        <v>0</v>
      </c>
      <c r="S193" s="442">
        <f>IF(U193=0,0,IF(U193&lt;0,IF($J193=9,U193,IF($J193=8,U193,IF($J193=7,U193,0)))))</f>
        <v>0</v>
      </c>
      <c r="T193" s="443">
        <f>IF(U193=0,0,IF(U193&lt;0,IF($J193=12,U193,IF($J193=11,U193,IF($J193=10,U193,0)))))</f>
        <v>0</v>
      </c>
      <c r="U193" s="440">
        <f>IF(U$5=$H193,-$E193,0)</f>
        <v>0</v>
      </c>
      <c r="V193" s="441">
        <f>IF(Z193=0,0,IF(Z193&lt;0,IF($J193=3,Z193,IF($J193=2,Z193,IF($J193=1,Z193,0)))))</f>
        <v>0</v>
      </c>
      <c r="W193" s="442">
        <f>IF(Z193=0,0,IF(Z193&lt;0,IF($J193=6,Z193,IF($J193=5,Z193,IF($J193=4,Z193,0)))))</f>
        <v>0</v>
      </c>
      <c r="X193" s="442">
        <f>IF(Z193=0,0,IF(Z193&lt;0,IF($J193=9,Z193,IF($J193=8,Z193,IF($J193=7,Z193,0)))))</f>
        <v>0</v>
      </c>
      <c r="Y193" s="443">
        <f>IF(Z193=0,0,IF(Z193&lt;0,IF($J193=12,Z193,IF($J193=11,Z193,IF($J193=10,Z193,0)))))</f>
        <v>0</v>
      </c>
      <c r="Z193" s="440">
        <f>IF(Z$5=$H193,-$E193,0)</f>
        <v>0</v>
      </c>
      <c r="AA193" s="441">
        <f>IF(AE193=0,0,IF(AE193&lt;0,IF($J193=3,AE193,IF($J193=2,AE193,IF($J193=1,AE193,0)))))</f>
        <v>0</v>
      </c>
      <c r="AB193" s="442">
        <f>IF(AE193=0,0,IF(AE193&lt;0,IF($J193=6,AE193,IF($J193=5,AE193,IF($J193=4,AE193,0)))))</f>
        <v>0</v>
      </c>
      <c r="AC193" s="442">
        <f>IF(AE193=0,0,IF(AE193&lt;0,IF($J193=9,AE193,IF($J193=8,AE193,IF($J193=7,AE193,0)))))</f>
        <v>0</v>
      </c>
      <c r="AD193" s="443">
        <f>IF(AE193=0,0,IF(AE193&lt;0,IF($J193=12,AE193,IF($J193=11,AE193,IF($J193=10,AE193,0)))))</f>
        <v>0</v>
      </c>
      <c r="AE193" s="440">
        <f>IF(AE$5=$H193,-$E193,0)</f>
        <v>0</v>
      </c>
      <c r="AF193" s="441">
        <f>IF(AJ193=0,0,IF(AJ193&lt;0,IF($J193=3,AJ193,IF($J193=2,AJ193,IF($J193=1,AJ193,0)))))</f>
        <v>0</v>
      </c>
      <c r="AG193" s="442">
        <f>IF(AJ193=0,0,IF(AJ193&lt;0,IF($J193=6,AJ193,IF($J193=5,AJ193,IF($J193=4,AJ193,0)))))</f>
        <v>0</v>
      </c>
      <c r="AH193" s="442">
        <f>IF(AJ193=0,0,IF(AJ193&lt;0,IF($J193=9,AJ193,IF($J193=8,AJ193,IF($J193=7,AJ193,0)))))</f>
        <v>0</v>
      </c>
      <c r="AI193" s="443">
        <f>IF(AJ193=0,0,IF(AJ193&lt;0,IF($J193=12,AJ193,IF($J193=11,AJ193,IF($J193=10,AJ193,0)))))</f>
        <v>0</v>
      </c>
      <c r="AJ193" s="440">
        <f>IF(AJ$5=$H193,-$E193,0)</f>
        <v>0</v>
      </c>
      <c r="AK193" s="441">
        <f>IF(AO193=0,0,IF(AO193&lt;0,IF($J193=3,AO193,IF($J193=2,AO193,IF($J193=1,AO193,0)))))</f>
        <v>0</v>
      </c>
      <c r="AL193" s="442">
        <f>IF(AO193=0,0,IF(AO193&lt;0,IF($J193=6,AO193,IF($J193=5,AO193,IF($J193=4,AO193,0)))))</f>
        <v>0</v>
      </c>
      <c r="AM193" s="442">
        <f>IF(AO193=0,0,IF(AO193&lt;0,IF($J193=9,AO193,IF($J193=8,AO193,IF($J193=7,AO193,0)))))</f>
        <v>0</v>
      </c>
      <c r="AN193" s="443">
        <f>IF(AO193=0,0,IF(AO193&lt;0,IF($J193=12,AO193,IF($J193=11,AO193,IF($J193=10,AO193,0)))))</f>
        <v>0</v>
      </c>
      <c r="AO193" s="440">
        <f>IF(AO$5=$H193,-$E193,0)</f>
        <v>0</v>
      </c>
      <c r="AP193" s="441">
        <f>IF(AT193=0,0,IF(AT193&lt;0,IF($J193=3,AT193,IF($J193=2,AT193,IF($J193=1,AT193,0)))))</f>
        <v>0</v>
      </c>
      <c r="AQ193" s="442">
        <f>IF(AT193=0,0,IF(AT193&lt;0,IF($J193=6,AT193,IF($J193=5,AT193,IF($J193=4,AT193,0)))))</f>
        <v>0</v>
      </c>
      <c r="AR193" s="442">
        <f>IF(AT193=0,0,IF(AT193&lt;0,IF($J193=9,AT193,IF($J193=8,AT193,IF($J193=7,AT193,0)))))</f>
        <v>0</v>
      </c>
      <c r="AS193" s="443">
        <f>IF(AT193=0,0,IF(AT193&lt;0,IF($J193=12,AT193,IF($J193=11,AT193,IF($J193=10,AT193,0)))))</f>
        <v>0</v>
      </c>
      <c r="AT193" s="440">
        <f>IF(AT$5=$H193,-$E193,0)</f>
        <v>0</v>
      </c>
      <c r="AU193" s="441">
        <f>IF(AY193=0,0,IF(AY193&lt;0,IF($J193=3,AY193,IF($J193=2,AY193,IF($J193=1,AY193,0)))))</f>
        <v>0</v>
      </c>
      <c r="AV193" s="442">
        <f>IF(AY193=0,0,IF(AY193&lt;0,IF($J193=6,AY193,IF($J193=5,AY193,IF($J193=4,AY193,0)))))</f>
        <v>0</v>
      </c>
      <c r="AW193" s="442">
        <f>IF(AY193=0,0,IF(AY193&lt;0,IF($J193=9,AY193,IF($J193=8,AY193,IF($J193=7,AY193,0)))))</f>
        <v>0</v>
      </c>
      <c r="AX193" s="443">
        <f>IF(AY193=0,0,IF(AY193&lt;0,IF($J193=12,AY193,IF($J193=11,AY193,IF($J193=10,AY193,0)))))</f>
        <v>0</v>
      </c>
      <c r="AY193" s="440">
        <f>IF(AY$5=$H193,-$E193,0)</f>
        <v>0</v>
      </c>
      <c r="AZ193" s="441">
        <f>IF(BD193=0,0,IF(BD193&lt;0,IF($J193=3,BD193,IF($J193=2,BD193,IF($J193=1,BD193,0)))))</f>
        <v>0</v>
      </c>
      <c r="BA193" s="442">
        <f>IF(BD193=0,0,IF(BD193&lt;0,IF($J193=6,BD193,IF($J193=5,BD193,IF($J193=4,BD193,0)))))</f>
        <v>0</v>
      </c>
      <c r="BB193" s="442">
        <f>IF(BD193=0,0,IF(BD193&lt;0,IF($J193=9,BD193,IF($J193=8,BD193,IF($J193=7,BD193,0)))))</f>
        <v>0</v>
      </c>
      <c r="BC193" s="443">
        <f>IF(BD193=0,0,IF(BD193&lt;0,IF($J193=12,BD193,IF($J193=11,BD193,IF($J193=10,BD193,0)))))</f>
        <v>0</v>
      </c>
      <c r="BD193" s="440">
        <f>IF(BD$5=$H193,-$E193,0)</f>
        <v>0</v>
      </c>
      <c r="BE193" s="441">
        <f>IF(BI193=0,0,IF(BI193&lt;0,IF($J193=3,BI193,IF($J193=2,BI193,IF($J193=1,BI193,0)))))</f>
        <v>0</v>
      </c>
      <c r="BF193" s="442">
        <f>IF(BI193=0,0,IF(BI193&lt;0,IF($J193=6,BI193,IF($J193=5,BI193,IF($J193=4,BI193,0)))))</f>
        <v>0</v>
      </c>
      <c r="BG193" s="442">
        <f>IF(BI193=0,0,IF(BI193&lt;0,IF($J193=9,BI193,IF($J193=8,BI193,IF($J193=7,BI193,0)))))</f>
        <v>0</v>
      </c>
      <c r="BH193" s="443">
        <f>IF(BI193=0,0,IF(BI193&lt;0,IF($J193=12,BI193,IF($J193=11,BI193,IF($J193=10,BI193,0)))))</f>
        <v>0</v>
      </c>
      <c r="BI193" s="440">
        <f>IF(BI$5=$H193,-$E193,0)</f>
        <v>0</v>
      </c>
      <c r="BJ193" s="441">
        <f>IF(BN193=0,0,IF(BN193&lt;0,IF($J193=3,BN193,IF($J193=2,BN193,IF($J193=1,BN193,0)))))</f>
        <v>0</v>
      </c>
      <c r="BK193" s="442">
        <f>IF(BN193=0,0,IF(BN193&lt;0,IF($J193=6,BN193,IF($J193=5,BN193,IF($J193=4,BN193,0)))))</f>
        <v>0</v>
      </c>
      <c r="BL193" s="442">
        <f>IF(BN193=0,0,IF(BN193&lt;0,IF($J193=9,BN193,IF($J193=8,BN193,IF($J193=7,BN193,0)))))</f>
        <v>0</v>
      </c>
      <c r="BM193" s="443">
        <f>IF(BN193=0,0,IF(BN193&lt;0,IF($J193=12,BN193,IF($J193=11,BN193,IF($J193=10,BN193,0)))))</f>
        <v>0</v>
      </c>
      <c r="BN193" s="440">
        <f>IF(BN$5=$H193,-$E193,0)</f>
        <v>0</v>
      </c>
      <c r="BO193" s="470"/>
      <c r="BP193" s="441">
        <f>IF($H193&lt;&gt;BT$5,0,IF(BT193&lt;0,IF($J193=1,-$E193*$I193/12*3,IF($J193=2,-$E193*$I193/12*2,IF($J193=3,-$E193*$I193/12*1,0)))))+IF(BO$5&lt;&gt;$H193,0,IF(BO193&lt;0,IF($J193=1,-$E193*$I193/12*0,IF($J193=2,-$E193*$I193/12*1,IF($J193=3,-$E193*$I193/12*2,IF($J193&gt;=4,-$E193*$I193/12*3,0))))))</f>
        <v>0</v>
      </c>
      <c r="BQ193" s="442">
        <f>IF($H193&lt;&gt;BT$5,0,IF(BT193&lt;0,IF(OR($J193=1,$J193=2,$J193=3,$J193=4),-$E193*$I193/12*3,IF($J193=5,-$E193*$I193/12*2,IF($J193=6,-$E193*$I193/12*1,0)))))+IF(BO$5&lt;&gt;$H193,0,IF(BO193&lt;0,IF($J193=4,-$E193*$I193/12*0,IF($J193=5,-$E193*$I193/12*1,IF($J193=6,-$E193*$I193/12*2,IF($J193&gt;=7,-$E193*$I193/12*3,0))))))</f>
        <v>0</v>
      </c>
      <c r="BR193" s="442">
        <f>IF($H193&lt;&gt;BT$5,0,IF(BT193&lt;0,IF(OR($J193=1,$J193=2,$J193=3,$J193=4,$J193=5,$J193=6,$J193=7),-$E193*$I193/12*3,IF($J193=8,-$E193*$I193/12*2,IF($J193=9,-$E193*$I193/12*1,0)))))+IF(BO$5&lt;&gt;$H193,0,IF(BO193&lt;0,IF($J193=7,-$E193*$I193/12*0,IF($J193=8,-$E193*$I193/12*1,IF($J193=9,-$E193*$I193/12*2,IF($J193&gt;=10,-$E193*$I193/12*3,0))))))</f>
        <v>0</v>
      </c>
      <c r="BS193" s="443">
        <f>IF($H193&lt;&gt;BT$5,0,IF(BT193&lt;0,IF(OR($J193=1,$J193=2,$J193=3,$J193=4,$J193=5,$J193=6,$J193=7,$J193=8,$J193=9,$J193=10),-$E193*$I193/12*3,IF($J193=11,-$E193*$I193/12*2,IF($J193=12,-$E193*$I193/12*1,0)))))+IF(BO$5&lt;&gt;$H193,0,IF(BO193&lt;0,IF($J193=10,-$E193*$I193/12*0,IF($J193=11,-$E193*$I193/12*1,IF($J193=12,-$E193*$I193/12*2,0)))))</f>
        <v>0</v>
      </c>
      <c r="BT193" s="440">
        <f>IF(AND(BO193&lt;&gt;0,BO$5=$H193),-$I193*$E193-BO193,IF(BT$5=$H193,-$I193*$E193*(12-$J193+1)/12,0))</f>
        <v>0</v>
      </c>
      <c r="BU193" s="441">
        <f>IF($H193&lt;&gt;BY$5,0,IF(BY193&lt;0,IF($J193=1,-$E193*$I193/12*3,IF($J193=2,-$E193*$I193/12*2,IF($J193=3,-$E193*$I193/12*1,0)))))+IF(BT$5&lt;&gt;$H193,0,IF(BT193&lt;0,IF($J193=1,-$E193*$I193/12*0,IF($J193=2,-$E193*$I193/12*1,IF($J193=3,-$E193*$I193/12*2,IF($J193&gt;=4,-$E193*$I193/12*3,0))))))</f>
        <v>0</v>
      </c>
      <c r="BV193" s="442">
        <f>IF($H193&lt;&gt;BY$5,0,IF(BY193&lt;0,IF(OR($J193=1,$J193=2,$J193=3,$J193=4),-$E193*$I193/12*3,IF($J193=5,-$E193*$I193/12*2,IF($J193=6,-$E193*$I193/12*1,0)))))+IF(BT$5&lt;&gt;$H193,0,IF(BT193&lt;0,IF($J193=4,-$E193*$I193/12*0,IF($J193=5,-$E193*$I193/12*1,IF($J193=6,-$E193*$I193/12*2,IF($J193&gt;=7,-$E193*$I193/12*3,0))))))</f>
        <v>0</v>
      </c>
      <c r="BW193" s="442">
        <f>IF($H193&lt;&gt;BY$5,0,IF(BY193&lt;0,IF(OR($J193=1,$J193=2,$J193=3,$J193=4,$J193=5,$J193=6,$J193=7),-$E193*$I193/12*3,IF($J193=8,-$E193*$I193/12*2,IF($J193=9,-$E193*$I193/12*1,0)))))+IF(BT$5&lt;&gt;$H193,0,IF(BT193&lt;0,IF($J193=7,-$E193*$I193/12*0,IF($J193=8,-$E193*$I193/12*1,IF($J193=9,-$E193*$I193/12*2,IF($J193&gt;=10,-$E193*$I193/12*3,0))))))</f>
        <v>0</v>
      </c>
      <c r="BX193" s="443">
        <f>IF($H193&lt;&gt;BY$5,0,IF(BY193&lt;0,IF(OR($J193=1,$J193=2,$J193=3,$J193=4,$J193=5,$J193=6,$J193=7,$J193=8,$J193=9,$J193=10),-$E193*$I193/12*3,IF($J193=11,-$E193*$I193/12*2,IF($J193=12,-$E193*$I193/12*1,0)))))+IF(BT$5&lt;&gt;$H193,0,IF(BT193&lt;0,IF($J193=10,-$E193*$I193/12*0,IF($J193=11,-$E193*$I193/12*1,IF($J193=12,-$E193*$I193/12*2,0)))))</f>
        <v>0</v>
      </c>
      <c r="BY193" s="440">
        <f>IF(AND(BT193&lt;&gt;0,BT$5=$H193),-$I193*$E193-BT193,IF(BY$5=$H193,-$I193*$E193*(12-$J193+1)/12,0))</f>
        <v>0</v>
      </c>
      <c r="BZ193" s="441">
        <f>IF($H193&lt;&gt;CD$5,0,IF(CD193&lt;0,IF($J193=1,-$E193*$I193/12*3,IF($J193=2,-$E193*$I193/12*2,IF($J193=3,-$E193*$I193/12*1,0)))))+IF(BY$5&lt;&gt;$H193,0,IF(BY193&lt;0,IF($J193=1,-$E193*$I193/12*0,IF($J193=2,-$E193*$I193/12*1,IF($J193=3,-$E193*$I193/12*2,IF($J193&gt;=4,-$E193*$I193/12*3,0))))))</f>
        <v>0</v>
      </c>
      <c r="CA193" s="442">
        <f>IF($H193&lt;&gt;CD$5,0,IF(CD193&lt;0,IF(OR($J193=1,$J193=2,$J193=3,$J193=4),-$E193*$I193/12*3,IF($J193=5,-$E193*$I193/12*2,IF($J193=6,-$E193*$I193/12*1,0)))))+IF(BY$5&lt;&gt;$H193,0,IF(BY193&lt;0,IF($J193=4,-$E193*$I193/12*0,IF($J193=5,-$E193*$I193/12*1,IF($J193=6,-$E193*$I193/12*2,IF($J193&gt;=7,-$E193*$I193/12*3,0))))))</f>
        <v>0</v>
      </c>
      <c r="CB193" s="442">
        <f>IF($H193&lt;&gt;CD$5,0,IF(CD193&lt;0,IF(OR($J193=1,$J193=2,$J193=3,$J193=4,$J193=5,$J193=6,$J193=7),-$E193*$I193/12*3,IF($J193=8,-$E193*$I193/12*2,IF($J193=9,-$E193*$I193/12*1,0)))))+IF(BY$5&lt;&gt;$H193,0,IF(BY193&lt;0,IF($J193=7,-$E193*$I193/12*0,IF($J193=8,-$E193*$I193/12*1,IF($J193=9,-$E193*$I193/12*2,IF($J193&gt;=10,-$E193*$I193/12*3,0))))))</f>
        <v>0</v>
      </c>
      <c r="CC193" s="443">
        <f>IF($H193&lt;&gt;CD$5,0,IF(CD193&lt;0,IF(OR($J193=1,$J193=2,$J193=3,$J193=4,$J193=5,$J193=6,$J193=7,$J193=8,$J193=9,$J193=10),-$E193*$I193/12*3,IF($J193=11,-$E193*$I193/12*2,IF($J193=12,-$E193*$I193/12*1,0)))))+IF(BY$5&lt;&gt;$H193,0,IF(BY193&lt;0,IF($J193=10,-$E193*$I193/12*0,IF($J193=11,-$E193*$I193/12*1,IF($J193=12,-$E193*$I193/12*2,0)))))</f>
        <v>0</v>
      </c>
      <c r="CD193" s="440">
        <f>IF(AND(BY193&lt;&gt;0,BY$5=$H193),-$I193*$E193-BY193,IF(CD$5=$H193,-$I193*$E193*(12-$J193+1)/12,0))</f>
        <v>0</v>
      </c>
      <c r="CE193" s="441">
        <f>IF($H193&lt;&gt;CI$5,0,IF(CI193&lt;0,IF($J193=1,-$E193*$I193/12*3,IF($J193=2,-$E193*$I193/12*2,IF($J193=3,-$E193*$I193/12*1,0)))))+IF(CD$5&lt;&gt;$H193,0,IF(CD193&lt;0,IF($J193=1,-$E193*$I193/12*0,IF($J193=2,-$E193*$I193/12*1,IF($J193=3,-$E193*$I193/12*2,IF($J193&gt;=4,-$E193*$I193/12*3,0))))))</f>
        <v>0</v>
      </c>
      <c r="CF193" s="442">
        <f>IF($H193&lt;&gt;CI$5,0,IF(CI193&lt;0,IF(OR($J193=1,$J193=2,$J193=3,$J193=4),-$E193*$I193/12*3,IF($J193=5,-$E193*$I193/12*2,IF($J193=6,-$E193*$I193/12*1,0)))))+IF(CD$5&lt;&gt;$H193,0,IF(CD193&lt;0,IF($J193=4,-$E193*$I193/12*0,IF($J193=5,-$E193*$I193/12*1,IF($J193=6,-$E193*$I193/12*2,IF($J193&gt;=7,-$E193*$I193/12*3,0))))))</f>
        <v>0</v>
      </c>
      <c r="CG193" s="442">
        <f>IF($H193&lt;&gt;CI$5,0,IF(CI193&lt;0,IF(OR($J193=1,$J193=2,$J193=3,$J193=4,$J193=5,$J193=6,$J193=7),-$E193*$I193/12*3,IF($J193=8,-$E193*$I193/12*2,IF($J193=9,-$E193*$I193/12*1,0)))))+IF(CD$5&lt;&gt;$H193,0,IF(CD193&lt;0,IF($J193=7,-$E193*$I193/12*0,IF($J193=8,-$E193*$I193/12*1,IF($J193=9,-$E193*$I193/12*2,IF($J193&gt;=10,-$E193*$I193/12*3,0))))))</f>
        <v>0</v>
      </c>
      <c r="CH193" s="443">
        <f>IF($H193&lt;&gt;CI$5,0,IF(CI193&lt;0,IF(OR($J193=1,$J193=2,$J193=3,$J193=4,$J193=5,$J193=6,$J193=7,$J193=8,$J193=9,$J193=10),-$E193*$I193/12*3,IF($J193=11,-$E193*$I193/12*2,IF($J193=12,-$E193*$I193/12*1,0)))))+IF(CD$5&lt;&gt;$H193,0,IF(CD193&lt;0,IF($J193=10,-$E193*$I193/12*0,IF($J193=11,-$E193*$I193/12*1,IF($J193=12,-$E193*$I193/12*2,0)))))</f>
        <v>0</v>
      </c>
      <c r="CI193" s="440">
        <f>IF(AND(CD193&lt;&gt;0,CD$5=$H193),-$I193*$E193-CD193,IF(CI$5=$H193,-$I193*$E193*(12-$J193+1)/12,0))</f>
        <v>0</v>
      </c>
      <c r="CJ193" s="441">
        <f>IF($H193&lt;&gt;CN$5,0,IF(CN193&lt;0,IF($J193=1,-$E193*$I193/12*3,IF($J193=2,-$E193*$I193/12*2,IF($J193=3,-$E193*$I193/12*1,0)))))+IF(CI$5&lt;&gt;$H193,0,IF(CI193&lt;0,IF($J193=1,-$E193*$I193/12*0,IF($J193=2,-$E193*$I193/12*1,IF($J193=3,-$E193*$I193/12*2,IF($J193&gt;=4,-$E193*$I193/12*3,0))))))</f>
        <v>0</v>
      </c>
      <c r="CK193" s="442">
        <f>IF($H193&lt;&gt;CN$5,0,IF(CN193&lt;0,IF(OR($J193=1,$J193=2,$J193=3,$J193=4),-$E193*$I193/12*3,IF($J193=5,-$E193*$I193/12*2,IF($J193=6,-$E193*$I193/12*1,0)))))+IF(CI$5&lt;&gt;$H193,0,IF(CI193&lt;0,IF($J193=4,-$E193*$I193/12*0,IF($J193=5,-$E193*$I193/12*1,IF($J193=6,-$E193*$I193/12*2,IF($J193&gt;=7,-$E193*$I193/12*3,0))))))</f>
        <v>0</v>
      </c>
      <c r="CL193" s="442">
        <f>IF($H193&lt;&gt;CN$5,0,IF(CN193&lt;0,IF(OR($J193=1,$J193=2,$J193=3,$J193=4,$J193=5,$J193=6,$J193=7),-$E193*$I193/12*3,IF($J193=8,-$E193*$I193/12*2,IF($J193=9,-$E193*$I193/12*1,0)))))+IF(CI$5&lt;&gt;$H193,0,IF(CI193&lt;0,IF($J193=7,-$E193*$I193/12*0,IF($J193=8,-$E193*$I193/12*1,IF($J193=9,-$E193*$I193/12*2,IF($J193&gt;=10,-$E193*$I193/12*3,0))))))</f>
        <v>0</v>
      </c>
      <c r="CM193" s="443">
        <f>IF($H193&lt;&gt;CN$5,0,IF(CN193&lt;0,IF(OR($J193=1,$J193=2,$J193=3,$J193=4,$J193=5,$J193=6,$J193=7,$J193=8,$J193=9,$J193=10),-$E193*$I193/12*3,IF($J193=11,-$E193*$I193/12*2,IF($J193=12,-$E193*$I193/12*1,0)))))+IF(CI$5&lt;&gt;$H193,0,IF(CI193&lt;0,IF($J193=10,-$E193*$I193/12*0,IF($J193=11,-$E193*$I193/12*1,IF($J193=12,-$E193*$I193/12*2,0)))))</f>
        <v>0</v>
      </c>
      <c r="CN193" s="440">
        <f>IF(AND(CI193&lt;&gt;0,CI$5=$H193),-$I193*$E193-CI193,IF(CN$5=$H193,-$I193*$E193*(12-$J193+1)/12,0))</f>
        <v>0</v>
      </c>
      <c r="CO193" s="441">
        <f>IF($H193&lt;&gt;CS$5,0,IF(CS193&lt;0,IF($J193=1,-$E193*$I193/12*3,IF($J193=2,-$E193*$I193/12*2,IF($J193=3,-$E193*$I193/12*1,0)))))+IF(CN$5&lt;&gt;$H193,0,IF(CN193&lt;0,IF($J193=1,-$E193*$I193/12*0,IF($J193=2,-$E193*$I193/12*1,IF($J193=3,-$E193*$I193/12*2,IF($J193&gt;=4,-$E193*$I193/12*3,0))))))</f>
        <v>0</v>
      </c>
      <c r="CP193" s="442">
        <f>IF($H193&lt;&gt;CS$5,0,IF(CS193&lt;0,IF(OR($J193=1,$J193=2,$J193=3,$J193=4),-$E193*$I193/12*3,IF($J193=5,-$E193*$I193/12*2,IF($J193=6,-$E193*$I193/12*1,0)))))+IF(CN$5&lt;&gt;$H193,0,IF(CN193&lt;0,IF($J193=4,-$E193*$I193/12*0,IF($J193=5,-$E193*$I193/12*1,IF($J193=6,-$E193*$I193/12*2,IF($J193&gt;=7,-$E193*$I193/12*3,0))))))</f>
        <v>0</v>
      </c>
      <c r="CQ193" s="442">
        <f>IF($H193&lt;&gt;CS$5,0,IF(CS193&lt;0,IF(OR($J193=1,$J193=2,$J193=3,$J193=4,$J193=5,$J193=6,$J193=7),-$E193*$I193/12*3,IF($J193=8,-$E193*$I193/12*2,IF($J193=9,-$E193*$I193/12*1,0)))))+IF(CN$5&lt;&gt;$H193,0,IF(CN193&lt;0,IF($J193=7,-$E193*$I193/12*0,IF($J193=8,-$E193*$I193/12*1,IF($J193=9,-$E193*$I193/12*2,IF($J193&gt;=10,-$E193*$I193/12*3,0))))))</f>
        <v>0</v>
      </c>
      <c r="CR193" s="443">
        <f>IF($H193&lt;&gt;CS$5,0,IF(CS193&lt;0,IF(OR($J193=1,$J193=2,$J193=3,$J193=4,$J193=5,$J193=6,$J193=7,$J193=8,$J193=9,$J193=10),-$E193*$I193/12*3,IF($J193=11,-$E193*$I193/12*2,IF($J193=12,-$E193*$I193/12*1,0)))))+IF(CN$5&lt;&gt;$H193,0,IF(CN193&lt;0,IF($J193=10,-$E193*$I193/12*0,IF($J193=11,-$E193*$I193/12*1,IF($J193=12,-$E193*$I193/12*2,0)))))</f>
        <v>0</v>
      </c>
      <c r="CS193" s="440">
        <f>IF(AND(CN193&lt;&gt;0,CN$5=$H193),-$I193*$E193-CN193,IF(CS$5=$H193,-$I193*$E193*(12-$J193+1)/12,0))</f>
        <v>0</v>
      </c>
      <c r="CT193" s="441">
        <f>IF($H193&lt;&gt;CX$5,0,IF(CX193&lt;0,IF($J193=1,-$E193*$I193/12*3,IF($J193=2,-$E193*$I193/12*2,IF($J193=3,-$E193*$I193/12*1,0)))))+IF(CS$5&lt;&gt;$H193,0,IF(CS193&lt;0,IF($J193=1,-$E193*$I193/12*0,IF($J193=2,-$E193*$I193/12*1,IF($J193=3,-$E193*$I193/12*2,IF($J193&gt;=4,-$E193*$I193/12*3,0))))))</f>
        <v>0</v>
      </c>
      <c r="CU193" s="442">
        <f>IF($H193&lt;&gt;CX$5,0,IF(CX193&lt;0,IF(OR($J193=1,$J193=2,$J193=3,$J193=4),-$E193*$I193/12*3,IF($J193=5,-$E193*$I193/12*2,IF($J193=6,-$E193*$I193/12*1,0)))))+IF(CS$5&lt;&gt;$H193,0,IF(CS193&lt;0,IF($J193=4,-$E193*$I193/12*0,IF($J193=5,-$E193*$I193/12*1,IF($J193=6,-$E193*$I193/12*2,IF($J193&gt;=7,-$E193*$I193/12*3,0))))))</f>
        <v>0</v>
      </c>
      <c r="CV193" s="442">
        <f>IF($H193&lt;&gt;CX$5,0,IF(CX193&lt;0,IF(OR($J193=1,$J193=2,$J193=3,$J193=4,$J193=5,$J193=6,$J193=7),-$E193*$I193/12*3,IF($J193=8,-$E193*$I193/12*2,IF($J193=9,-$E193*$I193/12*1,0)))))+IF(CS$5&lt;&gt;$H193,0,IF(CS193&lt;0,IF($J193=7,-$E193*$I193/12*0,IF($J193=8,-$E193*$I193/12*1,IF($J193=9,-$E193*$I193/12*2,IF($J193&gt;=10,-$E193*$I193/12*3,0))))))</f>
        <v>0</v>
      </c>
      <c r="CW193" s="443">
        <f>IF($H193&lt;&gt;CX$5,0,IF(CX193&lt;0,IF(OR($J193=1,$J193=2,$J193=3,$J193=4,$J193=5,$J193=6,$J193=7,$J193=8,$J193=9,$J193=10),-$E193*$I193/12*3,IF($J193=11,-$E193*$I193/12*2,IF($J193=12,-$E193*$I193/12*1,0)))))+IF(CS$5&lt;&gt;$H193,0,IF(CS193&lt;0,IF($J193=10,-$E193*$I193/12*0,IF($J193=11,-$E193*$I193/12*1,IF($J193=12,-$E193*$I193/12*2,0)))))</f>
        <v>0</v>
      </c>
      <c r="CX193" s="440">
        <f>IF(AND(CS193&lt;&gt;0,CS$5=$H193),-$I193*$E193-CS193,IF(CX$5=$H193,-$I193*$E193*(12-$J193+1)/12,0))</f>
        <v>0</v>
      </c>
      <c r="CY193" s="441">
        <f>IF($H193&lt;&gt;DC$5,0,IF(DC193&lt;0,IF($J193=1,-$E193*$I193/12*3,IF($J193=2,-$E193*$I193/12*2,IF($J193=3,-$E193*$I193/12*1,0)))))+IF(CX$5&lt;&gt;$H193,0,IF(CX193&lt;0,IF($J193=1,-$E193*$I193/12*0,IF($J193=2,-$E193*$I193/12*1,IF($J193=3,-$E193*$I193/12*2,IF($J193&gt;=4,-$E193*$I193/12*3,0))))))</f>
        <v>0</v>
      </c>
      <c r="CZ193" s="442">
        <f>IF($H193&lt;&gt;DC$5,0,IF(DC193&lt;0,IF(OR($J193=1,$J193=2,$J193=3,$J193=4),-$E193*$I193/12*3,IF($J193=5,-$E193*$I193/12*2,IF($J193=6,-$E193*$I193/12*1,0)))))+IF(CX$5&lt;&gt;$H193,0,IF(CX193&lt;0,IF($J193=4,-$E193*$I193/12*0,IF($J193=5,-$E193*$I193/12*1,IF($J193=6,-$E193*$I193/12*2,IF($J193&gt;=7,-$E193*$I193/12*3,0))))))</f>
        <v>0</v>
      </c>
      <c r="DA193" s="442">
        <f>IF($H193&lt;&gt;DC$5,0,IF(DC193&lt;0,IF(OR($J193=1,$J193=2,$J193=3,$J193=4,$J193=5,$J193=6,$J193=7),-$E193*$I193/12*3,IF($J193=8,-$E193*$I193/12*2,IF($J193=9,-$E193*$I193/12*1,0)))))+IF(CX$5&lt;&gt;$H193,0,IF(CX193&lt;0,IF($J193=7,-$E193*$I193/12*0,IF($J193=8,-$E193*$I193/12*1,IF($J193=9,-$E193*$I193/12*2,IF($J193&gt;=10,-$E193*$I193/12*3,0))))))</f>
        <v>0</v>
      </c>
      <c r="DB193" s="443">
        <f>IF($H193&lt;&gt;DC$5,0,IF(DC193&lt;0,IF(OR($J193=1,$J193=2,$J193=3,$J193=4,$J193=5,$J193=6,$J193=7,$J193=8,$J193=9,$J193=10),-$E193*$I193/12*3,IF($J193=11,-$E193*$I193/12*2,IF($J193=12,-$E193*$I193/12*1,0)))))+IF(CX$5&lt;&gt;$H193,0,IF(CX193&lt;0,IF($J193=10,-$E193*$I193/12*0,IF($J193=11,-$E193*$I193/12*1,IF($J193=12,-$E193*$I193/12*2,0)))))</f>
        <v>0</v>
      </c>
      <c r="DC193" s="440">
        <f>IF(AND(CX193&lt;&gt;0,CX$5=$H193),-$I193*$E193-CX193,IF(DC$5=$H193,-$I193*$E193*(12-$J193+1)/12,0))</f>
        <v>0</v>
      </c>
      <c r="DD193" s="441">
        <f>IF($H193&lt;&gt;DH$5,0,IF(DH193&lt;0,IF($J193=1,-$E193*$I193/12*3,IF($J193=2,-$E193*$I193/12*2,IF($J193=3,-$E193*$I193/12*1,0)))))+IF(DC$5&lt;&gt;$H193,0,IF(DC193&lt;0,IF($J193=1,-$E193*$I193/12*0,IF($J193=2,-$E193*$I193/12*1,IF($J193=3,-$E193*$I193/12*2,IF($J193&gt;=4,-$E193*$I193/12*3,0))))))</f>
        <v>0</v>
      </c>
      <c r="DE193" s="442">
        <f>IF($H193&lt;&gt;DH$5,0,IF(DH193&lt;0,IF(OR($J193=1,$J193=2,$J193=3,$J193=4),-$E193*$I193/12*3,IF($J193=5,-$E193*$I193/12*2,IF($J193=6,-$E193*$I193/12*1,0)))))+IF(DC$5&lt;&gt;$H193,0,IF(DC193&lt;0,IF($J193=4,-$E193*$I193/12*0,IF($J193=5,-$E193*$I193/12*1,IF($J193=6,-$E193*$I193/12*2,IF($J193&gt;=7,-$E193*$I193/12*3,0))))))</f>
        <v>0</v>
      </c>
      <c r="DF193" s="442">
        <f>IF($H193&lt;&gt;DH$5,0,IF(DH193&lt;0,IF(OR($J193=1,$J193=2,$J193=3,$J193=4,$J193=5,$J193=6,$J193=7),-$E193*$I193/12*3,IF($J193=8,-$E193*$I193/12*2,IF($J193=9,-$E193*$I193/12*1,0)))))+IF(DC$5&lt;&gt;$H193,0,IF(DC193&lt;0,IF($J193=7,-$E193*$I193/12*0,IF($J193=8,-$E193*$I193/12*1,IF($J193=9,-$E193*$I193/12*2,IF($J193&gt;=10,-$E193*$I193/12*3,0))))))</f>
        <v>0</v>
      </c>
      <c r="DG193" s="443">
        <f>IF($H193&lt;&gt;DH$5,0,IF(DH193&lt;0,IF(OR($J193=1,$J193=2,$J193=3,$J193=4,$J193=5,$J193=6,$J193=7,$J193=8,$J193=9,$J193=10),-$E193*$I193/12*3,IF($J193=11,-$E193*$I193/12*2,IF($J193=12,-$E193*$I193/12*1,0)))))+IF(DC$5&lt;&gt;$H193,0,IF(DC193&lt;0,IF($J193=10,-$E193*$I193/12*0,IF($J193=11,-$E193*$I193/12*1,IF($J193=12,-$E193*$I193/12*2,0)))))</f>
        <v>0</v>
      </c>
      <c r="DH193" s="440">
        <f>IF(AND(DC193&lt;&gt;0,DC$5=$H193),-$I193*$E193-DC193,IF(DH$5=$H193,-$I193*$E193*(12-$J193+1)/12,0))</f>
        <v>0</v>
      </c>
      <c r="DI193" s="441">
        <f>IF($H193&lt;&gt;DM$5,0,IF(DM193&lt;0,IF($J193=1,-$E193*$I193/12*3,IF($J193=2,-$E193*$I193/12*2,IF($J193=3,-$E193*$I193/12*1,0)))))+IF(DH$5&lt;&gt;$H193,0,IF(DH193&lt;0,IF($J193=1,-$E193*$I193/12*0,IF($J193=2,-$E193*$I193/12*1,IF($J193=3,-$E193*$I193/12*2,IF($J193&gt;=4,-$E193*$I193/12*3,0))))))</f>
        <v>0</v>
      </c>
      <c r="DJ193" s="442">
        <f>IF($H193&lt;&gt;DM$5,0,IF(DM193&lt;0,IF(OR($J193=1,$J193=2,$J193=3,$J193=4),-$E193*$I193/12*3,IF($J193=5,-$E193*$I193/12*2,IF($J193=6,-$E193*$I193/12*1,0)))))+IF(DH$5&lt;&gt;$H193,0,IF(DH193&lt;0,IF($J193=4,-$E193*$I193/12*0,IF($J193=5,-$E193*$I193/12*1,IF($J193=6,-$E193*$I193/12*2,IF($J193&gt;=7,-$E193*$I193/12*3,0))))))</f>
        <v>0</v>
      </c>
      <c r="DK193" s="442">
        <f>IF($H193&lt;&gt;DM$5,0,IF(DM193&lt;0,IF(OR($J193=1,$J193=2,$J193=3,$J193=4,$J193=5,$J193=6,$J193=7),-$E193*$I193/12*3,IF($J193=8,-$E193*$I193/12*2,IF($J193=9,-$E193*$I193/12*1,0)))))+IF(DH$5&lt;&gt;$H193,0,IF(DH193&lt;0,IF($J193=7,-$E193*$I193/12*0,IF($J193=8,-$E193*$I193/12*1,IF($J193=9,-$E193*$I193/12*2,IF($J193&gt;=10,-$E193*$I193/12*3,0))))))</f>
        <v>0</v>
      </c>
      <c r="DL193" s="443">
        <f>IF($H193&lt;&gt;DM$5,0,IF(DM193&lt;0,IF(OR($J193=1,$J193=2,$J193=3,$J193=4,$J193=5,$J193=6,$J193=7,$J193=8,$J193=9,$J193=10),-$E193*$I193/12*3,IF($J193=11,-$E193*$I193/12*2,IF($J193=12,-$E193*$I193/12*1,0)))))+IF(DH$5&lt;&gt;$H193,0,IF(DH193&lt;0,IF($J193=10,-$E193*$I193/12*0,IF($J193=11,-$E193*$I193/12*1,IF($J193=12,-$E193*$I193/12*2,0)))))</f>
        <v>0</v>
      </c>
      <c r="DM193" s="440">
        <f>IF(AND(DH193&lt;&gt;0,DH$5=$H193),-$I193*$E193-DH193,IF(DM$5=$H193,-$I193*$E193*(12-$J193+1)/12,0))</f>
        <v>0</v>
      </c>
      <c r="DN193" s="441">
        <f>IF($H193&lt;&gt;DR$5,0,IF(DR193&lt;0,IF($J193=1,-$E193*$I193/12*3,IF($J193=2,-$E193*$I193/12*2,IF($J193=3,-$E193*$I193/12*1,0)))))+IF(DM$5&lt;&gt;$H193,0,IF(DM193&lt;0,IF($J193=1,-$E193*$I193/12*0,IF($J193=2,-$E193*$I193/12*1,IF($J193=3,-$E193*$I193/12*2,IF($J193&gt;=4,-$E193*$I193/12*3,0))))))</f>
        <v>0</v>
      </c>
      <c r="DO193" s="442">
        <f>IF($H193&lt;&gt;DR$5,0,IF(DR193&lt;0,IF(OR($J193=1,$J193=2,$J193=3,$J193=4),-$E193*$I193/12*3,IF($J193=5,-$E193*$I193/12*2,IF($J193=6,-$E193*$I193/12*1,0)))))+IF(DM$5&lt;&gt;$H193,0,IF(DM193&lt;0,IF($J193=4,-$E193*$I193/12*0,IF($J193=5,-$E193*$I193/12*1,IF($J193=6,-$E193*$I193/12*2,IF($J193&gt;=7,-$E193*$I193/12*3,0))))))</f>
        <v>0</v>
      </c>
      <c r="DP193" s="442">
        <f>IF($H193&lt;&gt;DR$5,0,IF(DR193&lt;0,IF(OR($J193=1,$J193=2,$J193=3,$J193=4,$J193=5,$J193=6,$J193=7),-$E193*$I193/12*3,IF($J193=8,-$E193*$I193/12*2,IF($J193=9,-$E193*$I193/12*1,0)))))+IF(DM$5&lt;&gt;$H193,0,IF(DM193&lt;0,IF($J193=7,-$E193*$I193/12*0,IF($J193=8,-$E193*$I193/12*1,IF($J193=9,-$E193*$I193/12*2,IF($J193&gt;=10,-$E193*$I193/12*3,0))))))</f>
        <v>0</v>
      </c>
      <c r="DQ193" s="443">
        <f>IF($H193&lt;&gt;DR$5,0,IF(DR193&lt;0,IF(OR($J193=1,$J193=2,$J193=3,$J193=4,$J193=5,$J193=6,$J193=7,$J193=8,$J193=9,$J193=10),-$E193*$I193/12*3,IF($J193=11,-$E193*$I193/12*2,IF($J193=12,-$E193*$I193/12*1,0)))))+IF(DM$5&lt;&gt;$H193,0,IF(DM193&lt;0,IF($J193=10,-$E193*$I193/12*0,IF($J193=11,-$E193*$I193/12*1,IF($J193=12,-$E193*$I193/12*2,0)))))</f>
        <v>0</v>
      </c>
      <c r="DR193" s="440">
        <f>IF(AND(DM193&lt;&gt;0,DM$5=$H193),-$I193*$E193-DM193,IF(DR$5=$H193,-$I193*$E193*(12-$J193+1)/12,0))</f>
        <v>0</v>
      </c>
    </row>
    <row r="194" spans="3:122">
      <c r="C194" s="1123" t="s">
        <v>1209</v>
      </c>
      <c r="D194" s="395"/>
      <c r="E194" s="1951">
        <f>IF(F194=0,G194,F194)</f>
        <v>300</v>
      </c>
      <c r="F194" s="1945">
        <v>300</v>
      </c>
      <c r="G194" s="1945">
        <v>0</v>
      </c>
      <c r="H194" s="1366">
        <v>2028</v>
      </c>
      <c r="I194" s="1367">
        <v>3.2500000000000001E-2</v>
      </c>
      <c r="J194" s="1357">
        <v>3</v>
      </c>
      <c r="K194" s="549"/>
      <c r="L194" s="441">
        <f>IF(P194=0,0,IF(P194&lt;0,IF($J194=3,P194,IF($J194=2,P194,IF($J194=1,P194,0)))))</f>
        <v>0</v>
      </c>
      <c r="M194" s="442">
        <f>IF(P194=0,0,IF(P194&lt;0,IF($J194=6,P194,IF($J194=5,P194,IF($J194=4,P194,0)))))</f>
        <v>0</v>
      </c>
      <c r="N194" s="442">
        <f>IF(P194=0,0,IF(P194&lt;0,IF($J194=9,P194,IF($J194=8,P194,IF($J194=7,P194,0)))))</f>
        <v>0</v>
      </c>
      <c r="O194" s="443">
        <f>IF(P194=0,0,IF(P194&lt;0,IF($J194=12,P194,IF($J194=11,P194,IF($J194=10,P194,0)))))</f>
        <v>0</v>
      </c>
      <c r="P194" s="440">
        <f>IF(P$5=$H194,-$E194,0)</f>
        <v>0</v>
      </c>
      <c r="Q194" s="441">
        <f>IF(U194=0,0,IF(U194&lt;0,IF($J194=3,U194,IF($J194=2,U194,IF($J194=1,U194,0)))))</f>
        <v>0</v>
      </c>
      <c r="R194" s="442">
        <f>IF(U194=0,0,IF(U194&lt;0,IF($J194=6,U194,IF($J194=5,U194,IF($J194=4,U194,0)))))</f>
        <v>0</v>
      </c>
      <c r="S194" s="442">
        <f>IF(U194=0,0,IF(U194&lt;0,IF($J194=9,U194,IF($J194=8,U194,IF($J194=7,U194,0)))))</f>
        <v>0</v>
      </c>
      <c r="T194" s="443">
        <f>IF(U194=0,0,IF(U194&lt;0,IF($J194=12,U194,IF($J194=11,U194,IF($J194=10,U194,0)))))</f>
        <v>0</v>
      </c>
      <c r="U194" s="440">
        <f>IF(U$5=$H194,-$E194,0)</f>
        <v>0</v>
      </c>
      <c r="V194" s="441">
        <f>IF(Z194=0,0,IF(Z194&lt;0,IF($J194=3,Z194,IF($J194=2,Z194,IF($J194=1,Z194,0)))))</f>
        <v>0</v>
      </c>
      <c r="W194" s="442">
        <f>IF(Z194=0,0,IF(Z194&lt;0,IF($J194=6,Z194,IF($J194=5,Z194,IF($J194=4,Z194,0)))))</f>
        <v>0</v>
      </c>
      <c r="X194" s="442">
        <f>IF(Z194=0,0,IF(Z194&lt;0,IF($J194=9,Z194,IF($J194=8,Z194,IF($J194=7,Z194,0)))))</f>
        <v>0</v>
      </c>
      <c r="Y194" s="443">
        <f>IF(Z194=0,0,IF(Z194&lt;0,IF($J194=12,Z194,IF($J194=11,Z194,IF($J194=10,Z194,0)))))</f>
        <v>0</v>
      </c>
      <c r="Z194" s="440">
        <f>IF(Z$5=$H194,-$E194,0)</f>
        <v>0</v>
      </c>
      <c r="AA194" s="441">
        <f>IF(AE194=0,0,IF(AE194&lt;0,IF($J194=3,AE194,IF($J194=2,AE194,IF($J194=1,AE194,0)))))</f>
        <v>0</v>
      </c>
      <c r="AB194" s="442">
        <f>IF(AE194=0,0,IF(AE194&lt;0,IF($J194=6,AE194,IF($J194=5,AE194,IF($J194=4,AE194,0)))))</f>
        <v>0</v>
      </c>
      <c r="AC194" s="442">
        <f>IF(AE194=0,0,IF(AE194&lt;0,IF($J194=9,AE194,IF($J194=8,AE194,IF($J194=7,AE194,0)))))</f>
        <v>0</v>
      </c>
      <c r="AD194" s="443">
        <f>IF(AE194=0,0,IF(AE194&lt;0,IF($J194=12,AE194,IF($J194=11,AE194,IF($J194=10,AE194,0)))))</f>
        <v>0</v>
      </c>
      <c r="AE194" s="440">
        <f>IF(AE$5=$H194,-$E194,0)</f>
        <v>0</v>
      </c>
      <c r="AF194" s="441">
        <f>IF(AJ194=0,0,IF(AJ194&lt;0,IF($J194=3,AJ194,IF($J194=2,AJ194,IF($J194=1,AJ194,0)))))</f>
        <v>0</v>
      </c>
      <c r="AG194" s="442">
        <f>IF(AJ194=0,0,IF(AJ194&lt;0,IF($J194=6,AJ194,IF($J194=5,AJ194,IF($J194=4,AJ194,0)))))</f>
        <v>0</v>
      </c>
      <c r="AH194" s="442">
        <f>IF(AJ194=0,0,IF(AJ194&lt;0,IF($J194=9,AJ194,IF($J194=8,AJ194,IF($J194=7,AJ194,0)))))</f>
        <v>0</v>
      </c>
      <c r="AI194" s="443">
        <f>IF(AJ194=0,0,IF(AJ194&lt;0,IF($J194=12,AJ194,IF($J194=11,AJ194,IF($J194=10,AJ194,0)))))</f>
        <v>0</v>
      </c>
      <c r="AJ194" s="440">
        <f>IF(AJ$5=$H194,-$E194,0)</f>
        <v>0</v>
      </c>
      <c r="AK194" s="441">
        <f>IF(AO194=0,0,IF(AO194&lt;0,IF($J194=3,AO194,IF($J194=2,AO194,IF($J194=1,AO194,0)))))</f>
        <v>0</v>
      </c>
      <c r="AL194" s="442">
        <f>IF(AO194=0,0,IF(AO194&lt;0,IF($J194=6,AO194,IF($J194=5,AO194,IF($J194=4,AO194,0)))))</f>
        <v>0</v>
      </c>
      <c r="AM194" s="442">
        <f>IF(AO194=0,0,IF(AO194&lt;0,IF($J194=9,AO194,IF($J194=8,AO194,IF($J194=7,AO194,0)))))</f>
        <v>0</v>
      </c>
      <c r="AN194" s="443">
        <f>IF(AO194=0,0,IF(AO194&lt;0,IF($J194=12,AO194,IF($J194=11,AO194,IF($J194=10,AO194,0)))))</f>
        <v>0</v>
      </c>
      <c r="AO194" s="440">
        <f>IF(AO$5=$H194,-$E194,0)</f>
        <v>0</v>
      </c>
      <c r="AP194" s="441">
        <f>IF(AT194=0,0,IF(AT194&lt;0,IF($J194=3,AT194,IF($J194=2,AT194,IF($J194=1,AT194,0)))))</f>
        <v>0</v>
      </c>
      <c r="AQ194" s="442">
        <f>IF(AT194=0,0,IF(AT194&lt;0,IF($J194=6,AT194,IF($J194=5,AT194,IF($J194=4,AT194,0)))))</f>
        <v>0</v>
      </c>
      <c r="AR194" s="442">
        <f>IF(AT194=0,0,IF(AT194&lt;0,IF($J194=9,AT194,IF($J194=8,AT194,IF($J194=7,AT194,0)))))</f>
        <v>0</v>
      </c>
      <c r="AS194" s="443">
        <f>IF(AT194=0,0,IF(AT194&lt;0,IF($J194=12,AT194,IF($J194=11,AT194,IF($J194=10,AT194,0)))))</f>
        <v>0</v>
      </c>
      <c r="AT194" s="440">
        <f>IF(AT$5=$H194,-$E194,0)</f>
        <v>0</v>
      </c>
      <c r="AU194" s="441">
        <f>IF(AY194=0,0,IF(AY194&lt;0,IF($J194=3,AY194,IF($J194=2,AY194,IF($J194=1,AY194,0)))))</f>
        <v>0</v>
      </c>
      <c r="AV194" s="442">
        <f>IF(AY194=0,0,IF(AY194&lt;0,IF($J194=6,AY194,IF($J194=5,AY194,IF($J194=4,AY194,0)))))</f>
        <v>0</v>
      </c>
      <c r="AW194" s="442">
        <f>IF(AY194=0,0,IF(AY194&lt;0,IF($J194=9,AY194,IF($J194=8,AY194,IF($J194=7,AY194,0)))))</f>
        <v>0</v>
      </c>
      <c r="AX194" s="443">
        <f>IF(AY194=0,0,IF(AY194&lt;0,IF($J194=12,AY194,IF($J194=11,AY194,IF($J194=10,AY194,0)))))</f>
        <v>0</v>
      </c>
      <c r="AY194" s="440">
        <f>IF(AY$5=$H194,-$E194,0)</f>
        <v>0</v>
      </c>
      <c r="AZ194" s="441">
        <f>IF(BD194=0,0,IF(BD194&lt;0,IF($J194=3,BD194,IF($J194=2,BD194,IF($J194=1,BD194,0)))))</f>
        <v>0</v>
      </c>
      <c r="BA194" s="442">
        <f>IF(BD194=0,0,IF(BD194&lt;0,IF($J194=6,BD194,IF($J194=5,BD194,IF($J194=4,BD194,0)))))</f>
        <v>0</v>
      </c>
      <c r="BB194" s="442">
        <f>IF(BD194=0,0,IF(BD194&lt;0,IF($J194=9,BD194,IF($J194=8,BD194,IF($J194=7,BD194,0)))))</f>
        <v>0</v>
      </c>
      <c r="BC194" s="443">
        <f>IF(BD194=0,0,IF(BD194&lt;0,IF($J194=12,BD194,IF($J194=11,BD194,IF($J194=10,BD194,0)))))</f>
        <v>0</v>
      </c>
      <c r="BD194" s="440">
        <f>IF(BD$5=$H194,-$E194,0)</f>
        <v>0</v>
      </c>
      <c r="BE194" s="441">
        <f>IF(BI194=0,0,IF(BI194&lt;0,IF($J194=3,BI194,IF($J194=2,BI194,IF($J194=1,BI194,0)))))</f>
        <v>0</v>
      </c>
      <c r="BF194" s="442">
        <f>IF(BI194=0,0,IF(BI194&lt;0,IF($J194=6,BI194,IF($J194=5,BI194,IF($J194=4,BI194,0)))))</f>
        <v>0</v>
      </c>
      <c r="BG194" s="442">
        <f>IF(BI194=0,0,IF(BI194&lt;0,IF($J194=9,BI194,IF($J194=8,BI194,IF($J194=7,BI194,0)))))</f>
        <v>0</v>
      </c>
      <c r="BH194" s="443">
        <f>IF(BI194=0,0,IF(BI194&lt;0,IF($J194=12,BI194,IF($J194=11,BI194,IF($J194=10,BI194,0)))))</f>
        <v>0</v>
      </c>
      <c r="BI194" s="440">
        <f>IF(BI$5=$H194,-$E194,0)</f>
        <v>0</v>
      </c>
      <c r="BJ194" s="441">
        <f>IF(BN194=0,0,IF(BN194&lt;0,IF($J194=3,BN194,IF($J194=2,BN194,IF($J194=1,BN194,0)))))</f>
        <v>0</v>
      </c>
      <c r="BK194" s="442">
        <f>IF(BN194=0,0,IF(BN194&lt;0,IF($J194=6,BN194,IF($J194=5,BN194,IF($J194=4,BN194,0)))))</f>
        <v>0</v>
      </c>
      <c r="BL194" s="442">
        <f>IF(BN194=0,0,IF(BN194&lt;0,IF($J194=9,BN194,IF($J194=8,BN194,IF($J194=7,BN194,0)))))</f>
        <v>0</v>
      </c>
      <c r="BM194" s="443">
        <f>IF(BN194=0,0,IF(BN194&lt;0,IF($J194=12,BN194,IF($J194=11,BN194,IF($J194=10,BN194,0)))))</f>
        <v>0</v>
      </c>
      <c r="BN194" s="440">
        <f>IF(BN$5=$H194,-$E194,0)</f>
        <v>0</v>
      </c>
      <c r="BO194" s="470"/>
      <c r="BP194" s="441">
        <f>IF($H194&lt;&gt;BT$5,0,IF(BT194&lt;0,IF($J194=1,-$E194*$I194/12*3,IF($J194=2,-$E194*$I194/12*2,IF($J194=3,-$E194*$I194/12*1,0)))))+IF(BO$5&lt;&gt;$H194,0,IF(BO194&lt;0,IF($J194=1,-$E194*$I194/12*0,IF($J194=2,-$E194*$I194/12*1,IF($J194=3,-$E194*$I194/12*2,IF($J194&gt;=4,-$E194*$I194/12*3,0))))))</f>
        <v>0</v>
      </c>
      <c r="BQ194" s="442">
        <f>IF($H194&lt;&gt;BT$5,0,IF(BT194&lt;0,IF(OR($J194=1,$J194=2,$J194=3,$J194=4),-$E194*$I194/12*3,IF($J194=5,-$E194*$I194/12*2,IF($J194=6,-$E194*$I194/12*1,0)))))+IF(BO$5&lt;&gt;$H194,0,IF(BO194&lt;0,IF($J194=4,-$E194*$I194/12*0,IF($J194=5,-$E194*$I194/12*1,IF($J194=6,-$E194*$I194/12*2,IF($J194&gt;=7,-$E194*$I194/12*3,0))))))</f>
        <v>0</v>
      </c>
      <c r="BR194" s="442">
        <f>IF($H194&lt;&gt;BT$5,0,IF(BT194&lt;0,IF(OR($J194=1,$J194=2,$J194=3,$J194=4,$J194=5,$J194=6,$J194=7),-$E194*$I194/12*3,IF($J194=8,-$E194*$I194/12*2,IF($J194=9,-$E194*$I194/12*1,0)))))+IF(BO$5&lt;&gt;$H194,0,IF(BO194&lt;0,IF($J194=7,-$E194*$I194/12*0,IF($J194=8,-$E194*$I194/12*1,IF($J194=9,-$E194*$I194/12*2,IF($J194&gt;=10,-$E194*$I194/12*3,0))))))</f>
        <v>0</v>
      </c>
      <c r="BS194" s="443">
        <f>IF($H194&lt;&gt;BT$5,0,IF(BT194&lt;0,IF(OR($J194=1,$J194=2,$J194=3,$J194=4,$J194=5,$J194=6,$J194=7,$J194=8,$J194=9,$J194=10),-$E194*$I194/12*3,IF($J194=11,-$E194*$I194/12*2,IF($J194=12,-$E194*$I194/12*1,0)))))+IF(BO$5&lt;&gt;$H194,0,IF(BO194&lt;0,IF($J194=10,-$E194*$I194/12*0,IF($J194=11,-$E194*$I194/12*1,IF($J194=12,-$E194*$I194/12*2,0)))))</f>
        <v>0</v>
      </c>
      <c r="BT194" s="440">
        <f>IF(AND(BO194&lt;&gt;0,BO$5=$H194),-$I194*$E194-BO194,IF(BT$5=$H194,-$I194*$E194*(12-$J194+1)/12,0))</f>
        <v>0</v>
      </c>
      <c r="BU194" s="441">
        <f>IF($H194&lt;&gt;BY$5,0,IF(BY194&lt;0,IF($J194=1,-$E194*$I194/12*3,IF($J194=2,-$E194*$I194/12*2,IF($J194=3,-$E194*$I194/12*1,0)))))+IF(BT$5&lt;&gt;$H194,0,IF(BT194&lt;0,IF($J194=1,-$E194*$I194/12*0,IF($J194=2,-$E194*$I194/12*1,IF($J194=3,-$E194*$I194/12*2,IF($J194&gt;=4,-$E194*$I194/12*3,0))))))</f>
        <v>0</v>
      </c>
      <c r="BV194" s="442">
        <f>IF($H194&lt;&gt;BY$5,0,IF(BY194&lt;0,IF(OR($J194=1,$J194=2,$J194=3,$J194=4),-$E194*$I194/12*3,IF($J194=5,-$E194*$I194/12*2,IF($J194=6,-$E194*$I194/12*1,0)))))+IF(BT$5&lt;&gt;$H194,0,IF(BT194&lt;0,IF($J194=4,-$E194*$I194/12*0,IF($J194=5,-$E194*$I194/12*1,IF($J194=6,-$E194*$I194/12*2,IF($J194&gt;=7,-$E194*$I194/12*3,0))))))</f>
        <v>0</v>
      </c>
      <c r="BW194" s="442">
        <f>IF($H194&lt;&gt;BY$5,0,IF(BY194&lt;0,IF(OR($J194=1,$J194=2,$J194=3,$J194=4,$J194=5,$J194=6,$J194=7),-$E194*$I194/12*3,IF($J194=8,-$E194*$I194/12*2,IF($J194=9,-$E194*$I194/12*1,0)))))+IF(BT$5&lt;&gt;$H194,0,IF(BT194&lt;0,IF($J194=7,-$E194*$I194/12*0,IF($J194=8,-$E194*$I194/12*1,IF($J194=9,-$E194*$I194/12*2,IF($J194&gt;=10,-$E194*$I194/12*3,0))))))</f>
        <v>0</v>
      </c>
      <c r="BX194" s="443">
        <f>IF($H194&lt;&gt;BY$5,0,IF(BY194&lt;0,IF(OR($J194=1,$J194=2,$J194=3,$J194=4,$J194=5,$J194=6,$J194=7,$J194=8,$J194=9,$J194=10),-$E194*$I194/12*3,IF($J194=11,-$E194*$I194/12*2,IF($J194=12,-$E194*$I194/12*1,0)))))+IF(BT$5&lt;&gt;$H194,0,IF(BT194&lt;0,IF($J194=10,-$E194*$I194/12*0,IF($J194=11,-$E194*$I194/12*1,IF($J194=12,-$E194*$I194/12*2,0)))))</f>
        <v>0</v>
      </c>
      <c r="BY194" s="440">
        <f>IF(AND(BT194&lt;&gt;0,BT$5=$H194),-$I194*$E194-BT194,IF(BY$5=$H194,-$I194*$E194*(12-$J194+1)/12,0))</f>
        <v>0</v>
      </c>
      <c r="BZ194" s="441">
        <f>IF($H194&lt;&gt;CD$5,0,IF(CD194&lt;0,IF($J194=1,-$E194*$I194/12*3,IF($J194=2,-$E194*$I194/12*2,IF($J194=3,-$E194*$I194/12*1,0)))))+IF(BY$5&lt;&gt;$H194,0,IF(BY194&lt;0,IF($J194=1,-$E194*$I194/12*0,IF($J194=2,-$E194*$I194/12*1,IF($J194=3,-$E194*$I194/12*2,IF($J194&gt;=4,-$E194*$I194/12*3,0))))))</f>
        <v>0</v>
      </c>
      <c r="CA194" s="442">
        <f>IF($H194&lt;&gt;CD$5,0,IF(CD194&lt;0,IF(OR($J194=1,$J194=2,$J194=3,$J194=4),-$E194*$I194/12*3,IF($J194=5,-$E194*$I194/12*2,IF($J194=6,-$E194*$I194/12*1,0)))))+IF(BY$5&lt;&gt;$H194,0,IF(BY194&lt;0,IF($J194=4,-$E194*$I194/12*0,IF($J194=5,-$E194*$I194/12*1,IF($J194=6,-$E194*$I194/12*2,IF($J194&gt;=7,-$E194*$I194/12*3,0))))))</f>
        <v>0</v>
      </c>
      <c r="CB194" s="442">
        <f>IF($H194&lt;&gt;CD$5,0,IF(CD194&lt;0,IF(OR($J194=1,$J194=2,$J194=3,$J194=4,$J194=5,$J194=6,$J194=7),-$E194*$I194/12*3,IF($J194=8,-$E194*$I194/12*2,IF($J194=9,-$E194*$I194/12*1,0)))))+IF(BY$5&lt;&gt;$H194,0,IF(BY194&lt;0,IF($J194=7,-$E194*$I194/12*0,IF($J194=8,-$E194*$I194/12*1,IF($J194=9,-$E194*$I194/12*2,IF($J194&gt;=10,-$E194*$I194/12*3,0))))))</f>
        <v>0</v>
      </c>
      <c r="CC194" s="443">
        <f>IF($H194&lt;&gt;CD$5,0,IF(CD194&lt;0,IF(OR($J194=1,$J194=2,$J194=3,$J194=4,$J194=5,$J194=6,$J194=7,$J194=8,$J194=9,$J194=10),-$E194*$I194/12*3,IF($J194=11,-$E194*$I194/12*2,IF($J194=12,-$E194*$I194/12*1,0)))))+IF(BY$5&lt;&gt;$H194,0,IF(BY194&lt;0,IF($J194=10,-$E194*$I194/12*0,IF($J194=11,-$E194*$I194/12*1,IF($J194=12,-$E194*$I194/12*2,0)))))</f>
        <v>0</v>
      </c>
      <c r="CD194" s="440">
        <f>IF(AND(BY194&lt;&gt;0,BY$5=$H194),-$I194*$E194-BY194,IF(CD$5=$H194,-$I194*$E194*(12-$J194+1)/12,0))</f>
        <v>0</v>
      </c>
      <c r="CE194" s="441">
        <f>IF($H194&lt;&gt;CI$5,0,IF(CI194&lt;0,IF($J194=1,-$E194*$I194/12*3,IF($J194=2,-$E194*$I194/12*2,IF($J194=3,-$E194*$I194/12*1,0)))))+IF(CD$5&lt;&gt;$H194,0,IF(CD194&lt;0,IF($J194=1,-$E194*$I194/12*0,IF($J194=2,-$E194*$I194/12*1,IF($J194=3,-$E194*$I194/12*2,IF($J194&gt;=4,-$E194*$I194/12*3,0))))))</f>
        <v>0</v>
      </c>
      <c r="CF194" s="442">
        <f>IF($H194&lt;&gt;CI$5,0,IF(CI194&lt;0,IF(OR($J194=1,$J194=2,$J194=3,$J194=4),-$E194*$I194/12*3,IF($J194=5,-$E194*$I194/12*2,IF($J194=6,-$E194*$I194/12*1,0)))))+IF(CD$5&lt;&gt;$H194,0,IF(CD194&lt;0,IF($J194=4,-$E194*$I194/12*0,IF($J194=5,-$E194*$I194/12*1,IF($J194=6,-$E194*$I194/12*2,IF($J194&gt;=7,-$E194*$I194/12*3,0))))))</f>
        <v>0</v>
      </c>
      <c r="CG194" s="442">
        <f>IF($H194&lt;&gt;CI$5,0,IF(CI194&lt;0,IF(OR($J194=1,$J194=2,$J194=3,$J194=4,$J194=5,$J194=6,$J194=7),-$E194*$I194/12*3,IF($J194=8,-$E194*$I194/12*2,IF($J194=9,-$E194*$I194/12*1,0)))))+IF(CD$5&lt;&gt;$H194,0,IF(CD194&lt;0,IF($J194=7,-$E194*$I194/12*0,IF($J194=8,-$E194*$I194/12*1,IF($J194=9,-$E194*$I194/12*2,IF($J194&gt;=10,-$E194*$I194/12*3,0))))))</f>
        <v>0</v>
      </c>
      <c r="CH194" s="443">
        <f>IF($H194&lt;&gt;CI$5,0,IF(CI194&lt;0,IF(OR($J194=1,$J194=2,$J194=3,$J194=4,$J194=5,$J194=6,$J194=7,$J194=8,$J194=9,$J194=10),-$E194*$I194/12*3,IF($J194=11,-$E194*$I194/12*2,IF($J194=12,-$E194*$I194/12*1,0)))))+IF(CD$5&lt;&gt;$H194,0,IF(CD194&lt;0,IF($J194=10,-$E194*$I194/12*0,IF($J194=11,-$E194*$I194/12*1,IF($J194=12,-$E194*$I194/12*2,0)))))</f>
        <v>0</v>
      </c>
      <c r="CI194" s="440">
        <f>IF(AND(CD194&lt;&gt;0,CD$5=$H194),-$I194*$E194-CD194,IF(CI$5=$H194,-$I194*$E194*(12-$J194+1)/12,0))</f>
        <v>0</v>
      </c>
      <c r="CJ194" s="441">
        <f>IF($H194&lt;&gt;CN$5,0,IF(CN194&lt;0,IF($J194=1,-$E194*$I194/12*3,IF($J194=2,-$E194*$I194/12*2,IF($J194=3,-$E194*$I194/12*1,0)))))+IF(CI$5&lt;&gt;$H194,0,IF(CI194&lt;0,IF($J194=1,-$E194*$I194/12*0,IF($J194=2,-$E194*$I194/12*1,IF($J194=3,-$E194*$I194/12*2,IF($J194&gt;=4,-$E194*$I194/12*3,0))))))</f>
        <v>0</v>
      </c>
      <c r="CK194" s="442">
        <f>IF($H194&lt;&gt;CN$5,0,IF(CN194&lt;0,IF(OR($J194=1,$J194=2,$J194=3,$J194=4),-$E194*$I194/12*3,IF($J194=5,-$E194*$I194/12*2,IF($J194=6,-$E194*$I194/12*1,0)))))+IF(CI$5&lt;&gt;$H194,0,IF(CI194&lt;0,IF($J194=4,-$E194*$I194/12*0,IF($J194=5,-$E194*$I194/12*1,IF($J194=6,-$E194*$I194/12*2,IF($J194&gt;=7,-$E194*$I194/12*3,0))))))</f>
        <v>0</v>
      </c>
      <c r="CL194" s="442">
        <f>IF($H194&lt;&gt;CN$5,0,IF(CN194&lt;0,IF(OR($J194=1,$J194=2,$J194=3,$J194=4,$J194=5,$J194=6,$J194=7),-$E194*$I194/12*3,IF($J194=8,-$E194*$I194/12*2,IF($J194=9,-$E194*$I194/12*1,0)))))+IF(CI$5&lt;&gt;$H194,0,IF(CI194&lt;0,IF($J194=7,-$E194*$I194/12*0,IF($J194=8,-$E194*$I194/12*1,IF($J194=9,-$E194*$I194/12*2,IF($J194&gt;=10,-$E194*$I194/12*3,0))))))</f>
        <v>0</v>
      </c>
      <c r="CM194" s="443">
        <f>IF($H194&lt;&gt;CN$5,0,IF(CN194&lt;0,IF(OR($J194=1,$J194=2,$J194=3,$J194=4,$J194=5,$J194=6,$J194=7,$J194=8,$J194=9,$J194=10),-$E194*$I194/12*3,IF($J194=11,-$E194*$I194/12*2,IF($J194=12,-$E194*$I194/12*1,0)))))+IF(CI$5&lt;&gt;$H194,0,IF(CI194&lt;0,IF($J194=10,-$E194*$I194/12*0,IF($J194=11,-$E194*$I194/12*1,IF($J194=12,-$E194*$I194/12*2,0)))))</f>
        <v>0</v>
      </c>
      <c r="CN194" s="440">
        <f>IF(AND(CI194&lt;&gt;0,CI$5=$H194),-$I194*$E194-CI194,IF(CN$5=$H194,-$I194*$E194*(12-$J194+1)/12,0))</f>
        <v>0</v>
      </c>
      <c r="CO194" s="441">
        <f>IF($H194&lt;&gt;CS$5,0,IF(CS194&lt;0,IF($J194=1,-$E194*$I194/12*3,IF($J194=2,-$E194*$I194/12*2,IF($J194=3,-$E194*$I194/12*1,0)))))+IF(CN$5&lt;&gt;$H194,0,IF(CN194&lt;0,IF($J194=1,-$E194*$I194/12*0,IF($J194=2,-$E194*$I194/12*1,IF($J194=3,-$E194*$I194/12*2,IF($J194&gt;=4,-$E194*$I194/12*3,0))))))</f>
        <v>0</v>
      </c>
      <c r="CP194" s="442">
        <f>IF($H194&lt;&gt;CS$5,0,IF(CS194&lt;0,IF(OR($J194=1,$J194=2,$J194=3,$J194=4),-$E194*$I194/12*3,IF($J194=5,-$E194*$I194/12*2,IF($J194=6,-$E194*$I194/12*1,0)))))+IF(CN$5&lt;&gt;$H194,0,IF(CN194&lt;0,IF($J194=4,-$E194*$I194/12*0,IF($J194=5,-$E194*$I194/12*1,IF($J194=6,-$E194*$I194/12*2,IF($J194&gt;=7,-$E194*$I194/12*3,0))))))</f>
        <v>0</v>
      </c>
      <c r="CQ194" s="442">
        <f>IF($H194&lt;&gt;CS$5,0,IF(CS194&lt;0,IF(OR($J194=1,$J194=2,$J194=3,$J194=4,$J194=5,$J194=6,$J194=7),-$E194*$I194/12*3,IF($J194=8,-$E194*$I194/12*2,IF($J194=9,-$E194*$I194/12*1,0)))))+IF(CN$5&lt;&gt;$H194,0,IF(CN194&lt;0,IF($J194=7,-$E194*$I194/12*0,IF($J194=8,-$E194*$I194/12*1,IF($J194=9,-$E194*$I194/12*2,IF($J194&gt;=10,-$E194*$I194/12*3,0))))))</f>
        <v>0</v>
      </c>
      <c r="CR194" s="443">
        <f>IF($H194&lt;&gt;CS$5,0,IF(CS194&lt;0,IF(OR($J194=1,$J194=2,$J194=3,$J194=4,$J194=5,$J194=6,$J194=7,$J194=8,$J194=9,$J194=10),-$E194*$I194/12*3,IF($J194=11,-$E194*$I194/12*2,IF($J194=12,-$E194*$I194/12*1,0)))))+IF(CN$5&lt;&gt;$H194,0,IF(CN194&lt;0,IF($J194=10,-$E194*$I194/12*0,IF($J194=11,-$E194*$I194/12*1,IF($J194=12,-$E194*$I194/12*2,0)))))</f>
        <v>0</v>
      </c>
      <c r="CS194" s="440">
        <f>IF(AND(CN194&lt;&gt;0,CN$5=$H194),-$I194*$E194-CN194,IF(CS$5=$H194,-$I194*$E194*(12-$J194+1)/12,0))</f>
        <v>0</v>
      </c>
      <c r="CT194" s="441">
        <f>IF($H194&lt;&gt;CX$5,0,IF(CX194&lt;0,IF($J194=1,-$E194*$I194/12*3,IF($J194=2,-$E194*$I194/12*2,IF($J194=3,-$E194*$I194/12*1,0)))))+IF(CS$5&lt;&gt;$H194,0,IF(CS194&lt;0,IF($J194=1,-$E194*$I194/12*0,IF($J194=2,-$E194*$I194/12*1,IF($J194=3,-$E194*$I194/12*2,IF($J194&gt;=4,-$E194*$I194/12*3,0))))))</f>
        <v>0</v>
      </c>
      <c r="CU194" s="442">
        <f>IF($H194&lt;&gt;CX$5,0,IF(CX194&lt;0,IF(OR($J194=1,$J194=2,$J194=3,$J194=4),-$E194*$I194/12*3,IF($J194=5,-$E194*$I194/12*2,IF($J194=6,-$E194*$I194/12*1,0)))))+IF(CS$5&lt;&gt;$H194,0,IF(CS194&lt;0,IF($J194=4,-$E194*$I194/12*0,IF($J194=5,-$E194*$I194/12*1,IF($J194=6,-$E194*$I194/12*2,IF($J194&gt;=7,-$E194*$I194/12*3,0))))))</f>
        <v>0</v>
      </c>
      <c r="CV194" s="442">
        <f>IF($H194&lt;&gt;CX$5,0,IF(CX194&lt;0,IF(OR($J194=1,$J194=2,$J194=3,$J194=4,$J194=5,$J194=6,$J194=7),-$E194*$I194/12*3,IF($J194=8,-$E194*$I194/12*2,IF($J194=9,-$E194*$I194/12*1,0)))))+IF(CS$5&lt;&gt;$H194,0,IF(CS194&lt;0,IF($J194=7,-$E194*$I194/12*0,IF($J194=8,-$E194*$I194/12*1,IF($J194=9,-$E194*$I194/12*2,IF($J194&gt;=10,-$E194*$I194/12*3,0))))))</f>
        <v>0</v>
      </c>
      <c r="CW194" s="443">
        <f>IF($H194&lt;&gt;CX$5,0,IF(CX194&lt;0,IF(OR($J194=1,$J194=2,$J194=3,$J194=4,$J194=5,$J194=6,$J194=7,$J194=8,$J194=9,$J194=10),-$E194*$I194/12*3,IF($J194=11,-$E194*$I194/12*2,IF($J194=12,-$E194*$I194/12*1,0)))))+IF(CS$5&lt;&gt;$H194,0,IF(CS194&lt;0,IF($J194=10,-$E194*$I194/12*0,IF($J194=11,-$E194*$I194/12*1,IF($J194=12,-$E194*$I194/12*2,0)))))</f>
        <v>0</v>
      </c>
      <c r="CX194" s="440">
        <f>IF(AND(CS194&lt;&gt;0,CS$5=$H194),-$I194*$E194-CS194,IF(CX$5=$H194,-$I194*$E194*(12-$J194+1)/12,0))</f>
        <v>0</v>
      </c>
      <c r="CY194" s="441">
        <f>IF($H194&lt;&gt;DC$5,0,IF(DC194&lt;0,IF($J194=1,-$E194*$I194/12*3,IF($J194=2,-$E194*$I194/12*2,IF($J194=3,-$E194*$I194/12*1,0)))))+IF(CX$5&lt;&gt;$H194,0,IF(CX194&lt;0,IF($J194=1,-$E194*$I194/12*0,IF($J194=2,-$E194*$I194/12*1,IF($J194=3,-$E194*$I194/12*2,IF($J194&gt;=4,-$E194*$I194/12*3,0))))))</f>
        <v>0</v>
      </c>
      <c r="CZ194" s="442">
        <f>IF($H194&lt;&gt;DC$5,0,IF(DC194&lt;0,IF(OR($J194=1,$J194=2,$J194=3,$J194=4),-$E194*$I194/12*3,IF($J194=5,-$E194*$I194/12*2,IF($J194=6,-$E194*$I194/12*1,0)))))+IF(CX$5&lt;&gt;$H194,0,IF(CX194&lt;0,IF($J194=4,-$E194*$I194/12*0,IF($J194=5,-$E194*$I194/12*1,IF($J194=6,-$E194*$I194/12*2,IF($J194&gt;=7,-$E194*$I194/12*3,0))))))</f>
        <v>0</v>
      </c>
      <c r="DA194" s="442">
        <f>IF($H194&lt;&gt;DC$5,0,IF(DC194&lt;0,IF(OR($J194=1,$J194=2,$J194=3,$J194=4,$J194=5,$J194=6,$J194=7),-$E194*$I194/12*3,IF($J194=8,-$E194*$I194/12*2,IF($J194=9,-$E194*$I194/12*1,0)))))+IF(CX$5&lt;&gt;$H194,0,IF(CX194&lt;0,IF($J194=7,-$E194*$I194/12*0,IF($J194=8,-$E194*$I194/12*1,IF($J194=9,-$E194*$I194/12*2,IF($J194&gt;=10,-$E194*$I194/12*3,0))))))</f>
        <v>0</v>
      </c>
      <c r="DB194" s="443">
        <f>IF($H194&lt;&gt;DC$5,0,IF(DC194&lt;0,IF(OR($J194=1,$J194=2,$J194=3,$J194=4,$J194=5,$J194=6,$J194=7,$J194=8,$J194=9,$J194=10),-$E194*$I194/12*3,IF($J194=11,-$E194*$I194/12*2,IF($J194=12,-$E194*$I194/12*1,0)))))+IF(CX$5&lt;&gt;$H194,0,IF(CX194&lt;0,IF($J194=10,-$E194*$I194/12*0,IF($J194=11,-$E194*$I194/12*1,IF($J194=12,-$E194*$I194/12*2,0)))))</f>
        <v>0</v>
      </c>
      <c r="DC194" s="440">
        <f>IF(AND(CX194&lt;&gt;0,CX$5=$H194),-$I194*$E194-CX194,IF(DC$5=$H194,-$I194*$E194*(12-$J194+1)/12,0))</f>
        <v>0</v>
      </c>
      <c r="DD194" s="441">
        <f>IF($H194&lt;&gt;DH$5,0,IF(DH194&lt;0,IF($J194=1,-$E194*$I194/12*3,IF($J194=2,-$E194*$I194/12*2,IF($J194=3,-$E194*$I194/12*1,0)))))+IF(DC$5&lt;&gt;$H194,0,IF(DC194&lt;0,IF($J194=1,-$E194*$I194/12*0,IF($J194=2,-$E194*$I194/12*1,IF($J194=3,-$E194*$I194/12*2,IF($J194&gt;=4,-$E194*$I194/12*3,0))))))</f>
        <v>0</v>
      </c>
      <c r="DE194" s="442">
        <f>IF($H194&lt;&gt;DH$5,0,IF(DH194&lt;0,IF(OR($J194=1,$J194=2,$J194=3,$J194=4),-$E194*$I194/12*3,IF($J194=5,-$E194*$I194/12*2,IF($J194=6,-$E194*$I194/12*1,0)))))+IF(DC$5&lt;&gt;$H194,0,IF(DC194&lt;0,IF($J194=4,-$E194*$I194/12*0,IF($J194=5,-$E194*$I194/12*1,IF($J194=6,-$E194*$I194/12*2,IF($J194&gt;=7,-$E194*$I194/12*3,0))))))</f>
        <v>0</v>
      </c>
      <c r="DF194" s="442">
        <f>IF($H194&lt;&gt;DH$5,0,IF(DH194&lt;0,IF(OR($J194=1,$J194=2,$J194=3,$J194=4,$J194=5,$J194=6,$J194=7),-$E194*$I194/12*3,IF($J194=8,-$E194*$I194/12*2,IF($J194=9,-$E194*$I194/12*1,0)))))+IF(DC$5&lt;&gt;$H194,0,IF(DC194&lt;0,IF($J194=7,-$E194*$I194/12*0,IF($J194=8,-$E194*$I194/12*1,IF($J194=9,-$E194*$I194/12*2,IF($J194&gt;=10,-$E194*$I194/12*3,0))))))</f>
        <v>0</v>
      </c>
      <c r="DG194" s="443">
        <f>IF($H194&lt;&gt;DH$5,0,IF(DH194&lt;0,IF(OR($J194=1,$J194=2,$J194=3,$J194=4,$J194=5,$J194=6,$J194=7,$J194=8,$J194=9,$J194=10),-$E194*$I194/12*3,IF($J194=11,-$E194*$I194/12*2,IF($J194=12,-$E194*$I194/12*1,0)))))+IF(DC$5&lt;&gt;$H194,0,IF(DC194&lt;0,IF($J194=10,-$E194*$I194/12*0,IF($J194=11,-$E194*$I194/12*1,IF($J194=12,-$E194*$I194/12*2,0)))))</f>
        <v>0</v>
      </c>
      <c r="DH194" s="440">
        <f>IF(AND(DC194&lt;&gt;0,DC$5=$H194),-$I194*$E194-DC194,IF(DH$5=$H194,-$I194*$E194*(12-$J194+1)/12,0))</f>
        <v>0</v>
      </c>
      <c r="DI194" s="441">
        <f>IF($H194&lt;&gt;DM$5,0,IF(DM194&lt;0,IF($J194=1,-$E194*$I194/12*3,IF($J194=2,-$E194*$I194/12*2,IF($J194=3,-$E194*$I194/12*1,0)))))+IF(DH$5&lt;&gt;$H194,0,IF(DH194&lt;0,IF($J194=1,-$E194*$I194/12*0,IF($J194=2,-$E194*$I194/12*1,IF($J194=3,-$E194*$I194/12*2,IF($J194&gt;=4,-$E194*$I194/12*3,0))))))</f>
        <v>0</v>
      </c>
      <c r="DJ194" s="442">
        <f>IF($H194&lt;&gt;DM$5,0,IF(DM194&lt;0,IF(OR($J194=1,$J194=2,$J194=3,$J194=4),-$E194*$I194/12*3,IF($J194=5,-$E194*$I194/12*2,IF($J194=6,-$E194*$I194/12*1,0)))))+IF(DH$5&lt;&gt;$H194,0,IF(DH194&lt;0,IF($J194=4,-$E194*$I194/12*0,IF($J194=5,-$E194*$I194/12*1,IF($J194=6,-$E194*$I194/12*2,IF($J194&gt;=7,-$E194*$I194/12*3,0))))))</f>
        <v>0</v>
      </c>
      <c r="DK194" s="442">
        <f>IF($H194&lt;&gt;DM$5,0,IF(DM194&lt;0,IF(OR($J194=1,$J194=2,$J194=3,$J194=4,$J194=5,$J194=6,$J194=7),-$E194*$I194/12*3,IF($J194=8,-$E194*$I194/12*2,IF($J194=9,-$E194*$I194/12*1,0)))))+IF(DH$5&lt;&gt;$H194,0,IF(DH194&lt;0,IF($J194=7,-$E194*$I194/12*0,IF($J194=8,-$E194*$I194/12*1,IF($J194=9,-$E194*$I194/12*2,IF($J194&gt;=10,-$E194*$I194/12*3,0))))))</f>
        <v>0</v>
      </c>
      <c r="DL194" s="443">
        <f>IF($H194&lt;&gt;DM$5,0,IF(DM194&lt;0,IF(OR($J194=1,$J194=2,$J194=3,$J194=4,$J194=5,$J194=6,$J194=7,$J194=8,$J194=9,$J194=10),-$E194*$I194/12*3,IF($J194=11,-$E194*$I194/12*2,IF($J194=12,-$E194*$I194/12*1,0)))))+IF(DH$5&lt;&gt;$H194,0,IF(DH194&lt;0,IF($J194=10,-$E194*$I194/12*0,IF($J194=11,-$E194*$I194/12*1,IF($J194=12,-$E194*$I194/12*2,0)))))</f>
        <v>0</v>
      </c>
      <c r="DM194" s="440">
        <f>IF(AND(DH194&lt;&gt;0,DH$5=$H194),-$I194*$E194-DH194,IF(DM$5=$H194,-$I194*$E194*(12-$J194+1)/12,0))</f>
        <v>0</v>
      </c>
      <c r="DN194" s="441">
        <f>IF($H194&lt;&gt;DR$5,0,IF(DR194&lt;0,IF($J194=1,-$E194*$I194/12*3,IF($J194=2,-$E194*$I194/12*2,IF($J194=3,-$E194*$I194/12*1,0)))))+IF(DM$5&lt;&gt;$H194,0,IF(DM194&lt;0,IF($J194=1,-$E194*$I194/12*0,IF($J194=2,-$E194*$I194/12*1,IF($J194=3,-$E194*$I194/12*2,IF($J194&gt;=4,-$E194*$I194/12*3,0))))))</f>
        <v>0</v>
      </c>
      <c r="DO194" s="442">
        <f>IF($H194&lt;&gt;DR$5,0,IF(DR194&lt;0,IF(OR($J194=1,$J194=2,$J194=3,$J194=4),-$E194*$I194/12*3,IF($J194=5,-$E194*$I194/12*2,IF($J194=6,-$E194*$I194/12*1,0)))))+IF(DM$5&lt;&gt;$H194,0,IF(DM194&lt;0,IF($J194=4,-$E194*$I194/12*0,IF($J194=5,-$E194*$I194/12*1,IF($J194=6,-$E194*$I194/12*2,IF($J194&gt;=7,-$E194*$I194/12*3,0))))))</f>
        <v>0</v>
      </c>
      <c r="DP194" s="442">
        <f>IF($H194&lt;&gt;DR$5,0,IF(DR194&lt;0,IF(OR($J194=1,$J194=2,$J194=3,$J194=4,$J194=5,$J194=6,$J194=7),-$E194*$I194/12*3,IF($J194=8,-$E194*$I194/12*2,IF($J194=9,-$E194*$I194/12*1,0)))))+IF(DM$5&lt;&gt;$H194,0,IF(DM194&lt;0,IF($J194=7,-$E194*$I194/12*0,IF($J194=8,-$E194*$I194/12*1,IF($J194=9,-$E194*$I194/12*2,IF($J194&gt;=10,-$E194*$I194/12*3,0))))))</f>
        <v>0</v>
      </c>
      <c r="DQ194" s="443">
        <f>IF($H194&lt;&gt;DR$5,0,IF(DR194&lt;0,IF(OR($J194=1,$J194=2,$J194=3,$J194=4,$J194=5,$J194=6,$J194=7,$J194=8,$J194=9,$J194=10),-$E194*$I194/12*3,IF($J194=11,-$E194*$I194/12*2,IF($J194=12,-$E194*$I194/12*1,0)))))+IF(DM$5&lt;&gt;$H194,0,IF(DM194&lt;0,IF($J194=10,-$E194*$I194/12*0,IF($J194=11,-$E194*$I194/12*1,IF($J194=12,-$E194*$I194/12*2,0)))))</f>
        <v>0</v>
      </c>
      <c r="DR194" s="440">
        <f>IF(AND(DM194&lt;&gt;0,DM$5=$H194),-$I194*$E194-DM194,IF(DR$5=$H194,-$I194*$E194*(12-$J194+1)/12,0))</f>
        <v>0</v>
      </c>
    </row>
    <row r="195" spans="3:122">
      <c r="C195" s="1123" t="s">
        <v>740</v>
      </c>
      <c r="D195" s="395"/>
      <c r="E195" s="1951">
        <f t="shared" si="2406"/>
        <v>250</v>
      </c>
      <c r="F195" s="1945">
        <v>250</v>
      </c>
      <c r="G195" s="1945">
        <v>250</v>
      </c>
      <c r="H195" s="1366">
        <v>2038</v>
      </c>
      <c r="I195" s="1367">
        <v>6.1500000000000006E-2</v>
      </c>
      <c r="J195" s="1357">
        <v>10</v>
      </c>
      <c r="K195" s="549"/>
      <c r="L195" s="441">
        <f t="shared" si="2407"/>
        <v>0</v>
      </c>
      <c r="M195" s="442">
        <f t="shared" si="2408"/>
        <v>0</v>
      </c>
      <c r="N195" s="442">
        <f t="shared" si="2409"/>
        <v>0</v>
      </c>
      <c r="O195" s="443">
        <f t="shared" si="2410"/>
        <v>0</v>
      </c>
      <c r="P195" s="440">
        <f t="shared" si="2411"/>
        <v>0</v>
      </c>
      <c r="Q195" s="441">
        <f t="shared" si="2412"/>
        <v>0</v>
      </c>
      <c r="R195" s="442">
        <f t="shared" si="2413"/>
        <v>0</v>
      </c>
      <c r="S195" s="442">
        <f t="shared" si="2414"/>
        <v>0</v>
      </c>
      <c r="T195" s="443">
        <f t="shared" si="2415"/>
        <v>0</v>
      </c>
      <c r="U195" s="440">
        <f t="shared" si="2416"/>
        <v>0</v>
      </c>
      <c r="V195" s="441">
        <f t="shared" si="2417"/>
        <v>0</v>
      </c>
      <c r="W195" s="442">
        <f t="shared" si="2418"/>
        <v>0</v>
      </c>
      <c r="X195" s="442">
        <f t="shared" si="2419"/>
        <v>0</v>
      </c>
      <c r="Y195" s="443">
        <f t="shared" si="2420"/>
        <v>0</v>
      </c>
      <c r="Z195" s="440">
        <f t="shared" si="2421"/>
        <v>0</v>
      </c>
      <c r="AA195" s="441">
        <f t="shared" si="2422"/>
        <v>0</v>
      </c>
      <c r="AB195" s="442">
        <f t="shared" si="2423"/>
        <v>0</v>
      </c>
      <c r="AC195" s="442">
        <f t="shared" si="2424"/>
        <v>0</v>
      </c>
      <c r="AD195" s="443">
        <f t="shared" si="2425"/>
        <v>0</v>
      </c>
      <c r="AE195" s="440">
        <f t="shared" si="2426"/>
        <v>0</v>
      </c>
      <c r="AF195" s="441">
        <f t="shared" si="2427"/>
        <v>0</v>
      </c>
      <c r="AG195" s="442">
        <f t="shared" si="2428"/>
        <v>0</v>
      </c>
      <c r="AH195" s="442">
        <f t="shared" si="2429"/>
        <v>0</v>
      </c>
      <c r="AI195" s="443">
        <f t="shared" si="2430"/>
        <v>0</v>
      </c>
      <c r="AJ195" s="440">
        <f t="shared" si="2431"/>
        <v>0</v>
      </c>
      <c r="AK195" s="441">
        <f t="shared" si="2432"/>
        <v>0</v>
      </c>
      <c r="AL195" s="442">
        <f t="shared" si="2433"/>
        <v>0</v>
      </c>
      <c r="AM195" s="442">
        <f t="shared" si="2434"/>
        <v>0</v>
      </c>
      <c r="AN195" s="443">
        <f t="shared" si="2435"/>
        <v>0</v>
      </c>
      <c r="AO195" s="440">
        <f t="shared" si="2436"/>
        <v>0</v>
      </c>
      <c r="AP195" s="441">
        <f t="shared" si="2437"/>
        <v>0</v>
      </c>
      <c r="AQ195" s="442">
        <f t="shared" si="2438"/>
        <v>0</v>
      </c>
      <c r="AR195" s="442">
        <f t="shared" si="2439"/>
        <v>0</v>
      </c>
      <c r="AS195" s="443">
        <f t="shared" si="2440"/>
        <v>0</v>
      </c>
      <c r="AT195" s="440">
        <f t="shared" si="2441"/>
        <v>0</v>
      </c>
      <c r="AU195" s="441">
        <f t="shared" si="2442"/>
        <v>0</v>
      </c>
      <c r="AV195" s="442">
        <f t="shared" si="2443"/>
        <v>0</v>
      </c>
      <c r="AW195" s="442">
        <f t="shared" si="2444"/>
        <v>0</v>
      </c>
      <c r="AX195" s="443">
        <f t="shared" si="2445"/>
        <v>0</v>
      </c>
      <c r="AY195" s="440">
        <f t="shared" si="2446"/>
        <v>0</v>
      </c>
      <c r="AZ195" s="441">
        <f t="shared" si="2447"/>
        <v>0</v>
      </c>
      <c r="BA195" s="442">
        <f t="shared" si="2448"/>
        <v>0</v>
      </c>
      <c r="BB195" s="442">
        <f t="shared" si="2449"/>
        <v>0</v>
      </c>
      <c r="BC195" s="443">
        <f t="shared" si="2450"/>
        <v>0</v>
      </c>
      <c r="BD195" s="440">
        <f t="shared" si="2451"/>
        <v>0</v>
      </c>
      <c r="BE195" s="441">
        <f t="shared" si="2452"/>
        <v>0</v>
      </c>
      <c r="BF195" s="442">
        <f t="shared" si="2453"/>
        <v>0</v>
      </c>
      <c r="BG195" s="442">
        <f t="shared" si="2454"/>
        <v>0</v>
      </c>
      <c r="BH195" s="443">
        <f t="shared" si="2455"/>
        <v>0</v>
      </c>
      <c r="BI195" s="440">
        <f t="shared" si="2456"/>
        <v>0</v>
      </c>
      <c r="BJ195" s="441">
        <f t="shared" si="2457"/>
        <v>0</v>
      </c>
      <c r="BK195" s="442">
        <f t="shared" si="2458"/>
        <v>0</v>
      </c>
      <c r="BL195" s="442">
        <f t="shared" si="2459"/>
        <v>0</v>
      </c>
      <c r="BM195" s="443">
        <f t="shared" si="2460"/>
        <v>0</v>
      </c>
      <c r="BN195" s="440">
        <f t="shared" si="2461"/>
        <v>0</v>
      </c>
      <c r="BO195" s="470"/>
      <c r="BP195" s="441">
        <f t="shared" si="2462"/>
        <v>0</v>
      </c>
      <c r="BQ195" s="442">
        <f t="shared" si="2463"/>
        <v>0</v>
      </c>
      <c r="BR195" s="442">
        <f t="shared" si="2464"/>
        <v>0</v>
      </c>
      <c r="BS195" s="443">
        <f t="shared" si="2465"/>
        <v>0</v>
      </c>
      <c r="BT195" s="440">
        <f t="shared" si="2466"/>
        <v>0</v>
      </c>
      <c r="BU195" s="441">
        <f t="shared" si="2467"/>
        <v>0</v>
      </c>
      <c r="BV195" s="442">
        <f t="shared" si="2468"/>
        <v>0</v>
      </c>
      <c r="BW195" s="442">
        <f t="shared" si="2469"/>
        <v>0</v>
      </c>
      <c r="BX195" s="443">
        <f t="shared" si="2470"/>
        <v>0</v>
      </c>
      <c r="BY195" s="440">
        <f t="shared" si="2471"/>
        <v>0</v>
      </c>
      <c r="BZ195" s="441">
        <f t="shared" si="2472"/>
        <v>0</v>
      </c>
      <c r="CA195" s="442">
        <f t="shared" si="2473"/>
        <v>0</v>
      </c>
      <c r="CB195" s="442">
        <f t="shared" si="2474"/>
        <v>0</v>
      </c>
      <c r="CC195" s="443">
        <f t="shared" si="2475"/>
        <v>0</v>
      </c>
      <c r="CD195" s="440">
        <f t="shared" si="2476"/>
        <v>0</v>
      </c>
      <c r="CE195" s="441">
        <f t="shared" si="2477"/>
        <v>0</v>
      </c>
      <c r="CF195" s="442">
        <f t="shared" si="2478"/>
        <v>0</v>
      </c>
      <c r="CG195" s="442">
        <f t="shared" si="2479"/>
        <v>0</v>
      </c>
      <c r="CH195" s="443">
        <f t="shared" si="2480"/>
        <v>0</v>
      </c>
      <c r="CI195" s="440">
        <f t="shared" si="2481"/>
        <v>0</v>
      </c>
      <c r="CJ195" s="441">
        <f t="shared" si="2482"/>
        <v>0</v>
      </c>
      <c r="CK195" s="442">
        <f t="shared" si="2483"/>
        <v>0</v>
      </c>
      <c r="CL195" s="442">
        <f t="shared" si="2484"/>
        <v>0</v>
      </c>
      <c r="CM195" s="443">
        <f t="shared" si="2485"/>
        <v>0</v>
      </c>
      <c r="CN195" s="440">
        <f t="shared" si="2486"/>
        <v>0</v>
      </c>
      <c r="CO195" s="441">
        <f t="shared" si="2487"/>
        <v>0</v>
      </c>
      <c r="CP195" s="442">
        <f t="shared" si="2488"/>
        <v>0</v>
      </c>
      <c r="CQ195" s="442">
        <f t="shared" si="2489"/>
        <v>0</v>
      </c>
      <c r="CR195" s="443">
        <f t="shared" si="2490"/>
        <v>0</v>
      </c>
      <c r="CS195" s="440">
        <f t="shared" si="2491"/>
        <v>0</v>
      </c>
      <c r="CT195" s="441">
        <f t="shared" si="2492"/>
        <v>0</v>
      </c>
      <c r="CU195" s="442">
        <f t="shared" si="2493"/>
        <v>0</v>
      </c>
      <c r="CV195" s="442">
        <f t="shared" si="2494"/>
        <v>0</v>
      </c>
      <c r="CW195" s="443">
        <f t="shared" si="2495"/>
        <v>0</v>
      </c>
      <c r="CX195" s="440">
        <f t="shared" si="2496"/>
        <v>0</v>
      </c>
      <c r="CY195" s="441">
        <f t="shared" si="2497"/>
        <v>0</v>
      </c>
      <c r="CZ195" s="442">
        <f t="shared" si="2498"/>
        <v>0</v>
      </c>
      <c r="DA195" s="442">
        <f t="shared" si="2499"/>
        <v>0</v>
      </c>
      <c r="DB195" s="443">
        <f t="shared" si="2500"/>
        <v>0</v>
      </c>
      <c r="DC195" s="440">
        <f t="shared" si="2501"/>
        <v>0</v>
      </c>
      <c r="DD195" s="441">
        <f t="shared" si="2502"/>
        <v>0</v>
      </c>
      <c r="DE195" s="442">
        <f t="shared" si="2503"/>
        <v>0</v>
      </c>
      <c r="DF195" s="442">
        <f t="shared" si="2504"/>
        <v>0</v>
      </c>
      <c r="DG195" s="443">
        <f t="shared" si="2505"/>
        <v>0</v>
      </c>
      <c r="DH195" s="440">
        <f t="shared" si="2506"/>
        <v>0</v>
      </c>
      <c r="DI195" s="441">
        <f t="shared" si="2507"/>
        <v>0</v>
      </c>
      <c r="DJ195" s="442">
        <f t="shared" si="2508"/>
        <v>0</v>
      </c>
      <c r="DK195" s="442">
        <f t="shared" si="2509"/>
        <v>0</v>
      </c>
      <c r="DL195" s="443">
        <f t="shared" si="2510"/>
        <v>0</v>
      </c>
      <c r="DM195" s="440">
        <f t="shared" si="2511"/>
        <v>0</v>
      </c>
      <c r="DN195" s="441">
        <f t="shared" si="2512"/>
        <v>0</v>
      </c>
      <c r="DO195" s="442">
        <f t="shared" si="2513"/>
        <v>0</v>
      </c>
      <c r="DP195" s="442">
        <f t="shared" si="2514"/>
        <v>0</v>
      </c>
      <c r="DQ195" s="443">
        <f t="shared" si="2515"/>
        <v>0</v>
      </c>
      <c r="DR195" s="440">
        <f t="shared" si="2516"/>
        <v>0</v>
      </c>
    </row>
    <row r="196" spans="3:122" ht="12.75" customHeight="1">
      <c r="C196" s="1123" t="s">
        <v>333</v>
      </c>
      <c r="D196" s="395"/>
      <c r="E196" s="1951">
        <f>IF(F196=0,G196,F196)</f>
        <v>16.777287999999999</v>
      </c>
      <c r="F196" s="1949">
        <v>16.777287999999999</v>
      </c>
      <c r="G196" s="1949">
        <v>20.927164999999999</v>
      </c>
      <c r="H196" s="414">
        <v>2039</v>
      </c>
      <c r="I196" s="1947">
        <v>0.05</v>
      </c>
      <c r="J196" s="656">
        <v>12</v>
      </c>
      <c r="K196" s="549"/>
      <c r="L196" s="441">
        <f>IF(P196=0,0,IF(P196&lt;0,IF($J196=3,P196,IF($J196=2,P196,IF($J196=1,P196,0)))))</f>
        <v>0</v>
      </c>
      <c r="M196" s="442">
        <f>IF(P196=0,0,IF(P196&lt;0,IF($J196=6,P196,IF($J196=5,P196,IF($J196=4,P196,0)))))</f>
        <v>0</v>
      </c>
      <c r="N196" s="442">
        <f>IF(P196=0,0,IF(P196&lt;0,IF($J196=9,P196,IF($J196=8,P196,IF($J196=7,P196,0)))))</f>
        <v>0</v>
      </c>
      <c r="O196" s="443">
        <f>IF(P196=0,0,IF(P196&lt;0,IF($J196=12,P196,IF($J196=11,P196,IF($J196=10,P196,0)))))</f>
        <v>0</v>
      </c>
      <c r="P196" s="440">
        <f>IF(P$5=$H196,-$E196,0)</f>
        <v>0</v>
      </c>
      <c r="Q196" s="441">
        <f>IF(U196=0,0,IF(U196&lt;0,IF($J196=3,U196,IF($J196=2,U196,IF($J196=1,U196,0)))))</f>
        <v>0</v>
      </c>
      <c r="R196" s="442">
        <f>IF(U196=0,0,IF(U196&lt;0,IF($J196=6,U196,IF($J196=5,U196,IF($J196=4,U196,0)))))</f>
        <v>0</v>
      </c>
      <c r="S196" s="442">
        <f>IF(U196=0,0,IF(U196&lt;0,IF($J196=9,U196,IF($J196=8,U196,IF($J196=7,U196,0)))))</f>
        <v>0</v>
      </c>
      <c r="T196" s="443">
        <f>IF(U196=0,0,IF(U196&lt;0,IF($J196=12,U196,IF($J196=11,U196,IF($J196=10,U196,0)))))</f>
        <v>0</v>
      </c>
      <c r="U196" s="440">
        <f>IF(U$5=$H196,-$E196,0)</f>
        <v>0</v>
      </c>
      <c r="V196" s="441">
        <f>IF(Z196=0,0,IF(Z196&lt;0,IF($J196=3,Z196,IF($J196=2,Z196,IF($J196=1,Z196,0)))))</f>
        <v>0</v>
      </c>
      <c r="W196" s="442">
        <f>IF(Z196=0,0,IF(Z196&lt;0,IF($J196=6,Z196,IF($J196=5,Z196,IF($J196=4,Z196,0)))))</f>
        <v>0</v>
      </c>
      <c r="X196" s="442">
        <f>IF(Z196=0,0,IF(Z196&lt;0,IF($J196=9,Z196,IF($J196=8,Z196,IF($J196=7,Z196,0)))))</f>
        <v>0</v>
      </c>
      <c r="Y196" s="443">
        <f>IF(Z196=0,0,IF(Z196&lt;0,IF($J196=12,Z196,IF($J196=11,Z196,IF($J196=10,Z196,0)))))</f>
        <v>0</v>
      </c>
      <c r="Z196" s="440">
        <f>IF(Z$5=$H196,-$E196,0)</f>
        <v>0</v>
      </c>
      <c r="AA196" s="441">
        <f>IF(AE196=0,0,IF(AE196&lt;0,IF($J196=3,AE196,IF($J196=2,AE196,IF($J196=1,AE196,0)))))</f>
        <v>0</v>
      </c>
      <c r="AB196" s="442">
        <f>IF(AE196=0,0,IF(AE196&lt;0,IF($J196=6,AE196,IF($J196=5,AE196,IF($J196=4,AE196,0)))))</f>
        <v>0</v>
      </c>
      <c r="AC196" s="442">
        <f>IF(AE196=0,0,IF(AE196&lt;0,IF($J196=9,AE196,IF($J196=8,AE196,IF($J196=7,AE196,0)))))</f>
        <v>0</v>
      </c>
      <c r="AD196" s="443">
        <f>IF(AE196=0,0,IF(AE196&lt;0,IF($J196=12,AE196,IF($J196=11,AE196,IF($J196=10,AE196,0)))))</f>
        <v>0</v>
      </c>
      <c r="AE196" s="440">
        <f>IF(AE$5=$H196,-$E196,0)</f>
        <v>0</v>
      </c>
      <c r="AF196" s="441">
        <f>IF(AJ196=0,0,IF(AJ196&lt;0,IF($J196=3,AJ196,IF($J196=2,AJ196,IF($J196=1,AJ196,0)))))</f>
        <v>0</v>
      </c>
      <c r="AG196" s="442">
        <f>IF(AJ196=0,0,IF(AJ196&lt;0,IF($J196=6,AJ196,IF($J196=5,AJ196,IF($J196=4,AJ196,0)))))</f>
        <v>0</v>
      </c>
      <c r="AH196" s="442">
        <f>IF(AJ196=0,0,IF(AJ196&lt;0,IF($J196=9,AJ196,IF($J196=8,AJ196,IF($J196=7,AJ196,0)))))</f>
        <v>0</v>
      </c>
      <c r="AI196" s="443">
        <f>IF(AJ196=0,0,IF(AJ196&lt;0,IF($J196=12,AJ196,IF($J196=11,AJ196,IF($J196=10,AJ196,0)))))</f>
        <v>0</v>
      </c>
      <c r="AJ196" s="440">
        <f>IF(AJ$5=$H196,-$E196,0)</f>
        <v>0</v>
      </c>
      <c r="AK196" s="441">
        <f>IF(AO196=0,0,IF(AO196&lt;0,IF($J196=3,AO196,IF($J196=2,AO196,IF($J196=1,AO196,0)))))</f>
        <v>0</v>
      </c>
      <c r="AL196" s="442">
        <f>IF(AO196=0,0,IF(AO196&lt;0,IF($J196=6,AO196,IF($J196=5,AO196,IF($J196=4,AO196,0)))))</f>
        <v>0</v>
      </c>
      <c r="AM196" s="442">
        <f>IF(AO196=0,0,IF(AO196&lt;0,IF($J196=9,AO196,IF($J196=8,AO196,IF($J196=7,AO196,0)))))</f>
        <v>0</v>
      </c>
      <c r="AN196" s="443">
        <f>IF(AO196=0,0,IF(AO196&lt;0,IF($J196=12,AO196,IF($J196=11,AO196,IF($J196=10,AO196,0)))))</f>
        <v>0</v>
      </c>
      <c r="AO196" s="440">
        <f>IF(AO$5=$H196,-$E196,0)</f>
        <v>0</v>
      </c>
      <c r="AP196" s="441">
        <f>IF(AT196=0,0,IF(AT196&lt;0,IF($J196=3,AT196,IF($J196=2,AT196,IF($J196=1,AT196,0)))))</f>
        <v>0</v>
      </c>
      <c r="AQ196" s="442">
        <f>IF(AT196=0,0,IF(AT196&lt;0,IF($J196=6,AT196,IF($J196=5,AT196,IF($J196=4,AT196,0)))))</f>
        <v>0</v>
      </c>
      <c r="AR196" s="442">
        <f>IF(AT196=0,0,IF(AT196&lt;0,IF($J196=9,AT196,IF($J196=8,AT196,IF($J196=7,AT196,0)))))</f>
        <v>0</v>
      </c>
      <c r="AS196" s="443">
        <f>IF(AT196=0,0,IF(AT196&lt;0,IF($J196=12,AT196,IF($J196=11,AT196,IF($J196=10,AT196,0)))))</f>
        <v>0</v>
      </c>
      <c r="AT196" s="440">
        <f>IF(AT$5=$H196,-$E196,0)</f>
        <v>0</v>
      </c>
      <c r="AU196" s="441">
        <f>IF(AY196=0,0,IF(AY196&lt;0,IF($J196=3,AY196,IF($J196=2,AY196,IF($J196=1,AY196,0)))))</f>
        <v>0</v>
      </c>
      <c r="AV196" s="442">
        <f>IF(AY196=0,0,IF(AY196&lt;0,IF($J196=6,AY196,IF($J196=5,AY196,IF($J196=4,AY196,0)))))</f>
        <v>0</v>
      </c>
      <c r="AW196" s="442">
        <f>IF(AY196=0,0,IF(AY196&lt;0,IF($J196=9,AY196,IF($J196=8,AY196,IF($J196=7,AY196,0)))))</f>
        <v>0</v>
      </c>
      <c r="AX196" s="443">
        <f>IF(AY196=0,0,IF(AY196&lt;0,IF($J196=12,AY196,IF($J196=11,AY196,IF($J196=10,AY196,0)))))</f>
        <v>0</v>
      </c>
      <c r="AY196" s="440">
        <f>IF(AY$5=$H196,-$E196,0)</f>
        <v>0</v>
      </c>
      <c r="AZ196" s="441">
        <f>IF(BD196=0,0,IF(BD196&lt;0,IF($J196=3,BD196,IF($J196=2,BD196,IF($J196=1,BD196,0)))))</f>
        <v>0</v>
      </c>
      <c r="BA196" s="442">
        <f>IF(BD196=0,0,IF(BD196&lt;0,IF($J196=6,BD196,IF($J196=5,BD196,IF($J196=4,BD196,0)))))</f>
        <v>0</v>
      </c>
      <c r="BB196" s="442">
        <f>IF(BD196=0,0,IF(BD196&lt;0,IF($J196=9,BD196,IF($J196=8,BD196,IF($J196=7,BD196,0)))))</f>
        <v>0</v>
      </c>
      <c r="BC196" s="443">
        <f>IF(BD196=0,0,IF(BD196&lt;0,IF($J196=12,BD196,IF($J196=11,BD196,IF($J196=10,BD196,0)))))</f>
        <v>0</v>
      </c>
      <c r="BD196" s="440">
        <f>IF(BD$5=$H196,-$E196,0)</f>
        <v>0</v>
      </c>
      <c r="BE196" s="441">
        <f>IF(BI196=0,0,IF(BI196&lt;0,IF($J196=3,BI196,IF($J196=2,BI196,IF($J196=1,BI196,0)))))</f>
        <v>0</v>
      </c>
      <c r="BF196" s="442">
        <f>IF(BI196=0,0,IF(BI196&lt;0,IF($J196=6,BI196,IF($J196=5,BI196,IF($J196=4,BI196,0)))))</f>
        <v>0</v>
      </c>
      <c r="BG196" s="442">
        <f>IF(BI196=0,0,IF(BI196&lt;0,IF($J196=9,BI196,IF($J196=8,BI196,IF($J196=7,BI196,0)))))</f>
        <v>0</v>
      </c>
      <c r="BH196" s="443">
        <f>IF(BI196=0,0,IF(BI196&lt;0,IF($J196=12,BI196,IF($J196=11,BI196,IF($J196=10,BI196,0)))))</f>
        <v>0</v>
      </c>
      <c r="BI196" s="440">
        <f>IF(BI$5=$H196,-$E196,0)</f>
        <v>0</v>
      </c>
      <c r="BJ196" s="441">
        <f>IF(BN196=0,0,IF(BN196&lt;0,IF($J196=3,BN196,IF($J196=2,BN196,IF($J196=1,BN196,0)))))</f>
        <v>0</v>
      </c>
      <c r="BK196" s="442">
        <f>IF(BN196=0,0,IF(BN196&lt;0,IF($J196=6,BN196,IF($J196=5,BN196,IF($J196=4,BN196,0)))))</f>
        <v>0</v>
      </c>
      <c r="BL196" s="442">
        <f>IF(BN196=0,0,IF(BN196&lt;0,IF($J196=9,BN196,IF($J196=8,BN196,IF($J196=7,BN196,0)))))</f>
        <v>0</v>
      </c>
      <c r="BM196" s="443">
        <f>IF(BN196=0,0,IF(BN196&lt;0,IF($J196=12,BN196,IF($J196=11,BN196,IF($J196=10,BN196,0)))))</f>
        <v>0</v>
      </c>
      <c r="BN196" s="440">
        <f>IF(BN$5=$H196,-$E196,0)</f>
        <v>0</v>
      </c>
      <c r="BO196" s="470"/>
      <c r="BP196" s="441">
        <f>IF($H196&lt;&gt;BT$5,0,IF(BT196&lt;0,IF($J196=1,-$E196*$I196/12*3,IF($J196=2,-$E196*$I196/12*2,IF($J196=3,-$E196*$I196/12*1,0)))))+IF(BO$5&lt;&gt;$H196,0,IF(BO196&lt;0,IF($J196=1,-$E196*$I196/12*0,IF($J196=2,-$E196*$I196/12*1,IF($J196=3,-$E196*$I196/12*2,IF($J196&gt;=4,-$E196*$I196/12*3,0))))))</f>
        <v>0</v>
      </c>
      <c r="BQ196" s="442">
        <f>IF($H196&lt;&gt;BT$5,0,IF(BT196&lt;0,IF(OR($J196=1,$J196=2,$J196=3,$J196=4),-$E196*$I196/12*3,IF($J196=5,-$E196*$I196/12*2,IF($J196=6,-$E196*$I196/12*1,0)))))+IF(BO$5&lt;&gt;$H196,0,IF(BO196&lt;0,IF($J196=4,-$E196*$I196/12*0,IF($J196=5,-$E196*$I196/12*1,IF($J196=6,-$E196*$I196/12*2,IF($J196&gt;=7,-$E196*$I196/12*3,0))))))</f>
        <v>0</v>
      </c>
      <c r="BR196" s="442">
        <f>IF($H196&lt;&gt;BT$5,0,IF(BT196&lt;0,IF(OR($J196=1,$J196=2,$J196=3,$J196=4,$J196=5,$J196=6,$J196=7),-$E196*$I196/12*3,IF($J196=8,-$E196*$I196/12*2,IF($J196=9,-$E196*$I196/12*1,0)))))+IF(BO$5&lt;&gt;$H196,0,IF(BO196&lt;0,IF($J196=7,-$E196*$I196/12*0,IF($J196=8,-$E196*$I196/12*1,IF($J196=9,-$E196*$I196/12*2,IF($J196&gt;=10,-$E196*$I196/12*3,0))))))</f>
        <v>0</v>
      </c>
      <c r="BS196" s="443">
        <f>IF($H196&lt;&gt;BT$5,0,IF(BT196&lt;0,IF(OR($J196=1,$J196=2,$J196=3,$J196=4,$J196=5,$J196=6,$J196=7,$J196=8,$J196=9,$J196=10),-$E196*$I196/12*3,IF($J196=11,-$E196*$I196/12*2,IF($J196=12,-$E196*$I196/12*1,0)))))+IF(BO$5&lt;&gt;$H196,0,IF(BO196&lt;0,IF($J196=10,-$E196*$I196/12*0,IF($J196=11,-$E196*$I196/12*1,IF($J196=12,-$E196*$I196/12*2,0)))))</f>
        <v>0</v>
      </c>
      <c r="BT196" s="440">
        <f>IF(AND(BO196&lt;&gt;0,BO$5=$H196),-$I196*$E196-BO196,IF(BT$5=$H196,-$I196*$E196*(12-$J196+1)/12,0))</f>
        <v>0</v>
      </c>
      <c r="BU196" s="441">
        <f>IF($H196&lt;&gt;BY$5,0,IF(BY196&lt;0,IF($J196=1,-$E196*$I196/12*3,IF($J196=2,-$E196*$I196/12*2,IF($J196=3,-$E196*$I196/12*1,0)))))+IF(BT$5&lt;&gt;$H196,0,IF(BT196&lt;0,IF($J196=1,-$E196*$I196/12*0,IF($J196=2,-$E196*$I196/12*1,IF($J196=3,-$E196*$I196/12*2,IF($J196&gt;=4,-$E196*$I196/12*3,0))))))</f>
        <v>0</v>
      </c>
      <c r="BV196" s="442">
        <f>IF($H196&lt;&gt;BY$5,0,IF(BY196&lt;0,IF(OR($J196=1,$J196=2,$J196=3,$J196=4),-$E196*$I196/12*3,IF($J196=5,-$E196*$I196/12*2,IF($J196=6,-$E196*$I196/12*1,0)))))+IF(BT$5&lt;&gt;$H196,0,IF(BT196&lt;0,IF($J196=4,-$E196*$I196/12*0,IF($J196=5,-$E196*$I196/12*1,IF($J196=6,-$E196*$I196/12*2,IF($J196&gt;=7,-$E196*$I196/12*3,0))))))</f>
        <v>0</v>
      </c>
      <c r="BW196" s="442">
        <f>IF($H196&lt;&gt;BY$5,0,IF(BY196&lt;0,IF(OR($J196=1,$J196=2,$J196=3,$J196=4,$J196=5,$J196=6,$J196=7),-$E196*$I196/12*3,IF($J196=8,-$E196*$I196/12*2,IF($J196=9,-$E196*$I196/12*1,0)))))+IF(BT$5&lt;&gt;$H196,0,IF(BT196&lt;0,IF($J196=7,-$E196*$I196/12*0,IF($J196=8,-$E196*$I196/12*1,IF($J196=9,-$E196*$I196/12*2,IF($J196&gt;=10,-$E196*$I196/12*3,0))))))</f>
        <v>0</v>
      </c>
      <c r="BX196" s="443">
        <f>IF($H196&lt;&gt;BY$5,0,IF(BY196&lt;0,IF(OR($J196=1,$J196=2,$J196=3,$J196=4,$J196=5,$J196=6,$J196=7,$J196=8,$J196=9,$J196=10),-$E196*$I196/12*3,IF($J196=11,-$E196*$I196/12*2,IF($J196=12,-$E196*$I196/12*1,0)))))+IF(BT$5&lt;&gt;$H196,0,IF(BT196&lt;0,IF($J196=10,-$E196*$I196/12*0,IF($J196=11,-$E196*$I196/12*1,IF($J196=12,-$E196*$I196/12*2,0)))))</f>
        <v>0</v>
      </c>
      <c r="BY196" s="440">
        <f>IF(AND(BT196&lt;&gt;0,BT$5=$H196),-$I196*$E196-BT196,IF(BY$5=$H196,-$I196*$E196*(12-$J196+1)/12,0))</f>
        <v>0</v>
      </c>
      <c r="BZ196" s="441">
        <f>IF($H196&lt;&gt;CD$5,0,IF(CD196&lt;0,IF($J196=1,-$E196*$I196/12*3,IF($J196=2,-$E196*$I196/12*2,IF($J196=3,-$E196*$I196/12*1,0)))))+IF(BY$5&lt;&gt;$H196,0,IF(BY196&lt;0,IF($J196=1,-$E196*$I196/12*0,IF($J196=2,-$E196*$I196/12*1,IF($J196=3,-$E196*$I196/12*2,IF($J196&gt;=4,-$E196*$I196/12*3,0))))))</f>
        <v>0</v>
      </c>
      <c r="CA196" s="442">
        <f>IF($H196&lt;&gt;CD$5,0,IF(CD196&lt;0,IF(OR($J196=1,$J196=2,$J196=3,$J196=4),-$E196*$I196/12*3,IF($J196=5,-$E196*$I196/12*2,IF($J196=6,-$E196*$I196/12*1,0)))))+IF(BY$5&lt;&gt;$H196,0,IF(BY196&lt;0,IF($J196=4,-$E196*$I196/12*0,IF($J196=5,-$E196*$I196/12*1,IF($J196=6,-$E196*$I196/12*2,IF($J196&gt;=7,-$E196*$I196/12*3,0))))))</f>
        <v>0</v>
      </c>
      <c r="CB196" s="442">
        <f>IF($H196&lt;&gt;CD$5,0,IF(CD196&lt;0,IF(OR($J196=1,$J196=2,$J196=3,$J196=4,$J196=5,$J196=6,$J196=7),-$E196*$I196/12*3,IF($J196=8,-$E196*$I196/12*2,IF($J196=9,-$E196*$I196/12*1,0)))))+IF(BY$5&lt;&gt;$H196,0,IF(BY196&lt;0,IF($J196=7,-$E196*$I196/12*0,IF($J196=8,-$E196*$I196/12*1,IF($J196=9,-$E196*$I196/12*2,IF($J196&gt;=10,-$E196*$I196/12*3,0))))))</f>
        <v>0</v>
      </c>
      <c r="CC196" s="443">
        <f>IF($H196&lt;&gt;CD$5,0,IF(CD196&lt;0,IF(OR($J196=1,$J196=2,$J196=3,$J196=4,$J196=5,$J196=6,$J196=7,$J196=8,$J196=9,$J196=10),-$E196*$I196/12*3,IF($J196=11,-$E196*$I196/12*2,IF($J196=12,-$E196*$I196/12*1,0)))))+IF(BY$5&lt;&gt;$H196,0,IF(BY196&lt;0,IF($J196=10,-$E196*$I196/12*0,IF($J196=11,-$E196*$I196/12*1,IF($J196=12,-$E196*$I196/12*2,0)))))</f>
        <v>0</v>
      </c>
      <c r="CD196" s="440">
        <f>IF(AND(BY196&lt;&gt;0,BY$5=$H196),-$I196*$E196-BY196,IF(CD$5=$H196,-$I196*$E196*(12-$J196+1)/12,0))</f>
        <v>0</v>
      </c>
      <c r="CE196" s="441">
        <f>IF($H196&lt;&gt;CI$5,0,IF(CI196&lt;0,IF($J196=1,-$E196*$I196/12*3,IF($J196=2,-$E196*$I196/12*2,IF($J196=3,-$E196*$I196/12*1,0)))))+IF(CD$5&lt;&gt;$H196,0,IF(CD196&lt;0,IF($J196=1,-$E196*$I196/12*0,IF($J196=2,-$E196*$I196/12*1,IF($J196=3,-$E196*$I196/12*2,IF($J196&gt;=4,-$E196*$I196/12*3,0))))))</f>
        <v>0</v>
      </c>
      <c r="CF196" s="442">
        <f>IF($H196&lt;&gt;CI$5,0,IF(CI196&lt;0,IF(OR($J196=1,$J196=2,$J196=3,$J196=4),-$E196*$I196/12*3,IF($J196=5,-$E196*$I196/12*2,IF($J196=6,-$E196*$I196/12*1,0)))))+IF(CD$5&lt;&gt;$H196,0,IF(CD196&lt;0,IF($J196=4,-$E196*$I196/12*0,IF($J196=5,-$E196*$I196/12*1,IF($J196=6,-$E196*$I196/12*2,IF($J196&gt;=7,-$E196*$I196/12*3,0))))))</f>
        <v>0</v>
      </c>
      <c r="CG196" s="442">
        <f>IF($H196&lt;&gt;CI$5,0,IF(CI196&lt;0,IF(OR($J196=1,$J196=2,$J196=3,$J196=4,$J196=5,$J196=6,$J196=7),-$E196*$I196/12*3,IF($J196=8,-$E196*$I196/12*2,IF($J196=9,-$E196*$I196/12*1,0)))))+IF(CD$5&lt;&gt;$H196,0,IF(CD196&lt;0,IF($J196=7,-$E196*$I196/12*0,IF($J196=8,-$E196*$I196/12*1,IF($J196=9,-$E196*$I196/12*2,IF($J196&gt;=10,-$E196*$I196/12*3,0))))))</f>
        <v>0</v>
      </c>
      <c r="CH196" s="443">
        <f>IF($H196&lt;&gt;CI$5,0,IF(CI196&lt;0,IF(OR($J196=1,$J196=2,$J196=3,$J196=4,$J196=5,$J196=6,$J196=7,$J196=8,$J196=9,$J196=10),-$E196*$I196/12*3,IF($J196=11,-$E196*$I196/12*2,IF($J196=12,-$E196*$I196/12*1,0)))))+IF(CD$5&lt;&gt;$H196,0,IF(CD196&lt;0,IF($J196=10,-$E196*$I196/12*0,IF($J196=11,-$E196*$I196/12*1,IF($J196=12,-$E196*$I196/12*2,0)))))</f>
        <v>0</v>
      </c>
      <c r="CI196" s="440">
        <f>IF(AND(CD196&lt;&gt;0,CD$5=$H196),-$I196*$E196-CD196,IF(CI$5=$H196,-$I196*$E196*(12-$J196+1)/12,0))</f>
        <v>0</v>
      </c>
      <c r="CJ196" s="441">
        <f>IF($H196&lt;&gt;CN$5,0,IF(CN196&lt;0,IF($J196=1,-$E196*$I196/12*3,IF($J196=2,-$E196*$I196/12*2,IF($J196=3,-$E196*$I196/12*1,0)))))+IF(CI$5&lt;&gt;$H196,0,IF(CI196&lt;0,IF($J196=1,-$E196*$I196/12*0,IF($J196=2,-$E196*$I196/12*1,IF($J196=3,-$E196*$I196/12*2,IF($J196&gt;=4,-$E196*$I196/12*3,0))))))</f>
        <v>0</v>
      </c>
      <c r="CK196" s="442">
        <f>IF($H196&lt;&gt;CN$5,0,IF(CN196&lt;0,IF(OR($J196=1,$J196=2,$J196=3,$J196=4),-$E196*$I196/12*3,IF($J196=5,-$E196*$I196/12*2,IF($J196=6,-$E196*$I196/12*1,0)))))+IF(CI$5&lt;&gt;$H196,0,IF(CI196&lt;0,IF($J196=4,-$E196*$I196/12*0,IF($J196=5,-$E196*$I196/12*1,IF($J196=6,-$E196*$I196/12*2,IF($J196&gt;=7,-$E196*$I196/12*3,0))))))</f>
        <v>0</v>
      </c>
      <c r="CL196" s="442">
        <f>IF($H196&lt;&gt;CN$5,0,IF(CN196&lt;0,IF(OR($J196=1,$J196=2,$J196=3,$J196=4,$J196=5,$J196=6,$J196=7),-$E196*$I196/12*3,IF($J196=8,-$E196*$I196/12*2,IF($J196=9,-$E196*$I196/12*1,0)))))+IF(CI$5&lt;&gt;$H196,0,IF(CI196&lt;0,IF($J196=7,-$E196*$I196/12*0,IF($J196=8,-$E196*$I196/12*1,IF($J196=9,-$E196*$I196/12*2,IF($J196&gt;=10,-$E196*$I196/12*3,0))))))</f>
        <v>0</v>
      </c>
      <c r="CM196" s="443">
        <f>IF($H196&lt;&gt;CN$5,0,IF(CN196&lt;0,IF(OR($J196=1,$J196=2,$J196=3,$J196=4,$J196=5,$J196=6,$J196=7,$J196=8,$J196=9,$J196=10),-$E196*$I196/12*3,IF($J196=11,-$E196*$I196/12*2,IF($J196=12,-$E196*$I196/12*1,0)))))+IF(CI$5&lt;&gt;$H196,0,IF(CI196&lt;0,IF($J196=10,-$E196*$I196/12*0,IF($J196=11,-$E196*$I196/12*1,IF($J196=12,-$E196*$I196/12*2,0)))))</f>
        <v>0</v>
      </c>
      <c r="CN196" s="440">
        <f>IF(AND(CI196&lt;&gt;0,CI$5=$H196),-$I196*$E196-CI196,IF(CN$5=$H196,-$I196*$E196*(12-$J196+1)/12,0))</f>
        <v>0</v>
      </c>
      <c r="CO196" s="441">
        <f>IF($H196&lt;&gt;CS$5,0,IF(CS196&lt;0,IF($J196=1,-$E196*$I196/12*3,IF($J196=2,-$E196*$I196/12*2,IF($J196=3,-$E196*$I196/12*1,0)))))+IF(CN$5&lt;&gt;$H196,0,IF(CN196&lt;0,IF($J196=1,-$E196*$I196/12*0,IF($J196=2,-$E196*$I196/12*1,IF($J196=3,-$E196*$I196/12*2,IF($J196&gt;=4,-$E196*$I196/12*3,0))))))</f>
        <v>0</v>
      </c>
      <c r="CP196" s="442">
        <f>IF($H196&lt;&gt;CS$5,0,IF(CS196&lt;0,IF(OR($J196=1,$J196=2,$J196=3,$J196=4),-$E196*$I196/12*3,IF($J196=5,-$E196*$I196/12*2,IF($J196=6,-$E196*$I196/12*1,0)))))+IF(CN$5&lt;&gt;$H196,0,IF(CN196&lt;0,IF($J196=4,-$E196*$I196/12*0,IF($J196=5,-$E196*$I196/12*1,IF($J196=6,-$E196*$I196/12*2,IF($J196&gt;=7,-$E196*$I196/12*3,0))))))</f>
        <v>0</v>
      </c>
      <c r="CQ196" s="442">
        <f>IF($H196&lt;&gt;CS$5,0,IF(CS196&lt;0,IF(OR($J196=1,$J196=2,$J196=3,$J196=4,$J196=5,$J196=6,$J196=7),-$E196*$I196/12*3,IF($J196=8,-$E196*$I196/12*2,IF($J196=9,-$E196*$I196/12*1,0)))))+IF(CN$5&lt;&gt;$H196,0,IF(CN196&lt;0,IF($J196=7,-$E196*$I196/12*0,IF($J196=8,-$E196*$I196/12*1,IF($J196=9,-$E196*$I196/12*2,IF($J196&gt;=10,-$E196*$I196/12*3,0))))))</f>
        <v>0</v>
      </c>
      <c r="CR196" s="443">
        <f>IF($H196&lt;&gt;CS$5,0,IF(CS196&lt;0,IF(OR($J196=1,$J196=2,$J196=3,$J196=4,$J196=5,$J196=6,$J196=7,$J196=8,$J196=9,$J196=10),-$E196*$I196/12*3,IF($J196=11,-$E196*$I196/12*2,IF($J196=12,-$E196*$I196/12*1,0)))))+IF(CN$5&lt;&gt;$H196,0,IF(CN196&lt;0,IF($J196=10,-$E196*$I196/12*0,IF($J196=11,-$E196*$I196/12*1,IF($J196=12,-$E196*$I196/12*2,0)))))</f>
        <v>0</v>
      </c>
      <c r="CS196" s="440">
        <f>IF(AND(CN196&lt;&gt;0,CN$5=$H196),-$I196*$E196-CN196,IF(CS$5=$H196,-$I196*$E196*(12-$J196+1)/12,0))</f>
        <v>0</v>
      </c>
      <c r="CT196" s="441">
        <f>IF($H196&lt;&gt;CX$5,0,IF(CX196&lt;0,IF($J196=1,-$E196*$I196/12*3,IF($J196=2,-$E196*$I196/12*2,IF($J196=3,-$E196*$I196/12*1,0)))))+IF(CS$5&lt;&gt;$H196,0,IF(CS196&lt;0,IF($J196=1,-$E196*$I196/12*0,IF($J196=2,-$E196*$I196/12*1,IF($J196=3,-$E196*$I196/12*2,IF($J196&gt;=4,-$E196*$I196/12*3,0))))))</f>
        <v>0</v>
      </c>
      <c r="CU196" s="442">
        <f>IF($H196&lt;&gt;CX$5,0,IF(CX196&lt;0,IF(OR($J196=1,$J196=2,$J196=3,$J196=4),-$E196*$I196/12*3,IF($J196=5,-$E196*$I196/12*2,IF($J196=6,-$E196*$I196/12*1,0)))))+IF(CS$5&lt;&gt;$H196,0,IF(CS196&lt;0,IF($J196=4,-$E196*$I196/12*0,IF($J196=5,-$E196*$I196/12*1,IF($J196=6,-$E196*$I196/12*2,IF($J196&gt;=7,-$E196*$I196/12*3,0))))))</f>
        <v>0</v>
      </c>
      <c r="CV196" s="442">
        <f>IF($H196&lt;&gt;CX$5,0,IF(CX196&lt;0,IF(OR($J196=1,$J196=2,$J196=3,$J196=4,$J196=5,$J196=6,$J196=7),-$E196*$I196/12*3,IF($J196=8,-$E196*$I196/12*2,IF($J196=9,-$E196*$I196/12*1,0)))))+IF(CS$5&lt;&gt;$H196,0,IF(CS196&lt;0,IF($J196=7,-$E196*$I196/12*0,IF($J196=8,-$E196*$I196/12*1,IF($J196=9,-$E196*$I196/12*2,IF($J196&gt;=10,-$E196*$I196/12*3,0))))))</f>
        <v>0</v>
      </c>
      <c r="CW196" s="443">
        <f>IF($H196&lt;&gt;CX$5,0,IF(CX196&lt;0,IF(OR($J196=1,$J196=2,$J196=3,$J196=4,$J196=5,$J196=6,$J196=7,$J196=8,$J196=9,$J196=10),-$E196*$I196/12*3,IF($J196=11,-$E196*$I196/12*2,IF($J196=12,-$E196*$I196/12*1,0)))))+IF(CS$5&lt;&gt;$H196,0,IF(CS196&lt;0,IF($J196=10,-$E196*$I196/12*0,IF($J196=11,-$E196*$I196/12*1,IF($J196=12,-$E196*$I196/12*2,0)))))</f>
        <v>0</v>
      </c>
      <c r="CX196" s="440">
        <f>IF(AND(CS196&lt;&gt;0,CS$5=$H196),-$I196*$E196-CS196,IF(CX$5=$H196,-$I196*$E196*(12-$J196+1)/12,0))</f>
        <v>0</v>
      </c>
      <c r="CY196" s="441">
        <f>IF($H196&lt;&gt;DC$5,0,IF(DC196&lt;0,IF($J196=1,-$E196*$I196/12*3,IF($J196=2,-$E196*$I196/12*2,IF($J196=3,-$E196*$I196/12*1,0)))))+IF(CX$5&lt;&gt;$H196,0,IF(CX196&lt;0,IF($J196=1,-$E196*$I196/12*0,IF($J196=2,-$E196*$I196/12*1,IF($J196=3,-$E196*$I196/12*2,IF($J196&gt;=4,-$E196*$I196/12*3,0))))))</f>
        <v>0</v>
      </c>
      <c r="CZ196" s="442">
        <f>IF($H196&lt;&gt;DC$5,0,IF(DC196&lt;0,IF(OR($J196=1,$J196=2,$J196=3,$J196=4),-$E196*$I196/12*3,IF($J196=5,-$E196*$I196/12*2,IF($J196=6,-$E196*$I196/12*1,0)))))+IF(CX$5&lt;&gt;$H196,0,IF(CX196&lt;0,IF($J196=4,-$E196*$I196/12*0,IF($J196=5,-$E196*$I196/12*1,IF($J196=6,-$E196*$I196/12*2,IF($J196&gt;=7,-$E196*$I196/12*3,0))))))</f>
        <v>0</v>
      </c>
      <c r="DA196" s="442">
        <f>IF($H196&lt;&gt;DC$5,0,IF(DC196&lt;0,IF(OR($J196=1,$J196=2,$J196=3,$J196=4,$J196=5,$J196=6,$J196=7),-$E196*$I196/12*3,IF($J196=8,-$E196*$I196/12*2,IF($J196=9,-$E196*$I196/12*1,0)))))+IF(CX$5&lt;&gt;$H196,0,IF(CX196&lt;0,IF($J196=7,-$E196*$I196/12*0,IF($J196=8,-$E196*$I196/12*1,IF($J196=9,-$E196*$I196/12*2,IF($J196&gt;=10,-$E196*$I196/12*3,0))))))</f>
        <v>0</v>
      </c>
      <c r="DB196" s="443">
        <f>IF($H196&lt;&gt;DC$5,0,IF(DC196&lt;0,IF(OR($J196=1,$J196=2,$J196=3,$J196=4,$J196=5,$J196=6,$J196=7,$J196=8,$J196=9,$J196=10),-$E196*$I196/12*3,IF($J196=11,-$E196*$I196/12*2,IF($J196=12,-$E196*$I196/12*1,0)))))+IF(CX$5&lt;&gt;$H196,0,IF(CX196&lt;0,IF($J196=10,-$E196*$I196/12*0,IF($J196=11,-$E196*$I196/12*1,IF($J196=12,-$E196*$I196/12*2,0)))))</f>
        <v>0</v>
      </c>
      <c r="DC196" s="440">
        <f>IF(AND(CX196&lt;&gt;0,CX$5=$H196),-$I196*$E196-CX196,IF(DC$5=$H196,-$I196*$E196*(12-$J196+1)/12,0))</f>
        <v>0</v>
      </c>
      <c r="DD196" s="441">
        <f>IF($H196&lt;&gt;DH$5,0,IF(DH196&lt;0,IF($J196=1,-$E196*$I196/12*3,IF($J196=2,-$E196*$I196/12*2,IF($J196=3,-$E196*$I196/12*1,0)))))+IF(DC$5&lt;&gt;$H196,0,IF(DC196&lt;0,IF($J196=1,-$E196*$I196/12*0,IF($J196=2,-$E196*$I196/12*1,IF($J196=3,-$E196*$I196/12*2,IF($J196&gt;=4,-$E196*$I196/12*3,0))))))</f>
        <v>0</v>
      </c>
      <c r="DE196" s="442">
        <f>IF($H196&lt;&gt;DH$5,0,IF(DH196&lt;0,IF(OR($J196=1,$J196=2,$J196=3,$J196=4),-$E196*$I196/12*3,IF($J196=5,-$E196*$I196/12*2,IF($J196=6,-$E196*$I196/12*1,0)))))+IF(DC$5&lt;&gt;$H196,0,IF(DC196&lt;0,IF($J196=4,-$E196*$I196/12*0,IF($J196=5,-$E196*$I196/12*1,IF($J196=6,-$E196*$I196/12*2,IF($J196&gt;=7,-$E196*$I196/12*3,0))))))</f>
        <v>0</v>
      </c>
      <c r="DF196" s="442">
        <f>IF($H196&lt;&gt;DH$5,0,IF(DH196&lt;0,IF(OR($J196=1,$J196=2,$J196=3,$J196=4,$J196=5,$J196=6,$J196=7),-$E196*$I196/12*3,IF($J196=8,-$E196*$I196/12*2,IF($J196=9,-$E196*$I196/12*1,0)))))+IF(DC$5&lt;&gt;$H196,0,IF(DC196&lt;0,IF($J196=7,-$E196*$I196/12*0,IF($J196=8,-$E196*$I196/12*1,IF($J196=9,-$E196*$I196/12*2,IF($J196&gt;=10,-$E196*$I196/12*3,0))))))</f>
        <v>0</v>
      </c>
      <c r="DG196" s="443">
        <f>IF($H196&lt;&gt;DH$5,0,IF(DH196&lt;0,IF(OR($J196=1,$J196=2,$J196=3,$J196=4,$J196=5,$J196=6,$J196=7,$J196=8,$J196=9,$J196=10),-$E196*$I196/12*3,IF($J196=11,-$E196*$I196/12*2,IF($J196=12,-$E196*$I196/12*1,0)))))+IF(DC$5&lt;&gt;$H196,0,IF(DC196&lt;0,IF($J196=10,-$E196*$I196/12*0,IF($J196=11,-$E196*$I196/12*1,IF($J196=12,-$E196*$I196/12*2,0)))))</f>
        <v>0</v>
      </c>
      <c r="DH196" s="440">
        <f>IF(AND(DC196&lt;&gt;0,DC$5=$H196),-$I196*$E196-DC196,IF(DH$5=$H196,-$I196*$E196*(12-$J196+1)/12,0))</f>
        <v>0</v>
      </c>
      <c r="DI196" s="441">
        <f>IF($H196&lt;&gt;DM$5,0,IF(DM196&lt;0,IF($J196=1,-$E196*$I196/12*3,IF($J196=2,-$E196*$I196/12*2,IF($J196=3,-$E196*$I196/12*1,0)))))+IF(DH$5&lt;&gt;$H196,0,IF(DH196&lt;0,IF($J196=1,-$E196*$I196/12*0,IF($J196=2,-$E196*$I196/12*1,IF($J196=3,-$E196*$I196/12*2,IF($J196&gt;=4,-$E196*$I196/12*3,0))))))</f>
        <v>0</v>
      </c>
      <c r="DJ196" s="442">
        <f>IF($H196&lt;&gt;DM$5,0,IF(DM196&lt;0,IF(OR($J196=1,$J196=2,$J196=3,$J196=4),-$E196*$I196/12*3,IF($J196=5,-$E196*$I196/12*2,IF($J196=6,-$E196*$I196/12*1,0)))))+IF(DH$5&lt;&gt;$H196,0,IF(DH196&lt;0,IF($J196=4,-$E196*$I196/12*0,IF($J196=5,-$E196*$I196/12*1,IF($J196=6,-$E196*$I196/12*2,IF($J196&gt;=7,-$E196*$I196/12*3,0))))))</f>
        <v>0</v>
      </c>
      <c r="DK196" s="442">
        <f>IF($H196&lt;&gt;DM$5,0,IF(DM196&lt;0,IF(OR($J196=1,$J196=2,$J196=3,$J196=4,$J196=5,$J196=6,$J196=7),-$E196*$I196/12*3,IF($J196=8,-$E196*$I196/12*2,IF($J196=9,-$E196*$I196/12*1,0)))))+IF(DH$5&lt;&gt;$H196,0,IF(DH196&lt;0,IF($J196=7,-$E196*$I196/12*0,IF($J196=8,-$E196*$I196/12*1,IF($J196=9,-$E196*$I196/12*2,IF($J196&gt;=10,-$E196*$I196/12*3,0))))))</f>
        <v>0</v>
      </c>
      <c r="DL196" s="443">
        <f>IF($H196&lt;&gt;DM$5,0,IF(DM196&lt;0,IF(OR($J196=1,$J196=2,$J196=3,$J196=4,$J196=5,$J196=6,$J196=7,$J196=8,$J196=9,$J196=10),-$E196*$I196/12*3,IF($J196=11,-$E196*$I196/12*2,IF($J196=12,-$E196*$I196/12*1,0)))))+IF(DH$5&lt;&gt;$H196,0,IF(DH196&lt;0,IF($J196=10,-$E196*$I196/12*0,IF($J196=11,-$E196*$I196/12*1,IF($J196=12,-$E196*$I196/12*2,0)))))</f>
        <v>0</v>
      </c>
      <c r="DM196" s="440">
        <f>IF(AND(DH196&lt;&gt;0,DH$5=$H196),-$I196*$E196-DH196,IF(DM$5=$H196,-$I196*$E196*(12-$J196+1)/12,0))</f>
        <v>0</v>
      </c>
      <c r="DN196" s="441">
        <f>IF($H196&lt;&gt;DR$5,0,IF(DR196&lt;0,IF($J196=1,-$E196*$I196/12*3,IF($J196=2,-$E196*$I196/12*2,IF($J196=3,-$E196*$I196/12*1,0)))))+IF(DM$5&lt;&gt;$H196,0,IF(DM196&lt;0,IF($J196=1,-$E196*$I196/12*0,IF($J196=2,-$E196*$I196/12*1,IF($J196=3,-$E196*$I196/12*2,IF($J196&gt;=4,-$E196*$I196/12*3,0))))))</f>
        <v>0</v>
      </c>
      <c r="DO196" s="442">
        <f>IF($H196&lt;&gt;DR$5,0,IF(DR196&lt;0,IF(OR($J196=1,$J196=2,$J196=3,$J196=4),-$E196*$I196/12*3,IF($J196=5,-$E196*$I196/12*2,IF($J196=6,-$E196*$I196/12*1,0)))))+IF(DM$5&lt;&gt;$H196,0,IF(DM196&lt;0,IF($J196=4,-$E196*$I196/12*0,IF($J196=5,-$E196*$I196/12*1,IF($J196=6,-$E196*$I196/12*2,IF($J196&gt;=7,-$E196*$I196/12*3,0))))))</f>
        <v>0</v>
      </c>
      <c r="DP196" s="442">
        <f>IF($H196&lt;&gt;DR$5,0,IF(DR196&lt;0,IF(OR($J196=1,$J196=2,$J196=3,$J196=4,$J196=5,$J196=6,$J196=7),-$E196*$I196/12*3,IF($J196=8,-$E196*$I196/12*2,IF($J196=9,-$E196*$I196/12*1,0)))))+IF(DM$5&lt;&gt;$H196,0,IF(DM196&lt;0,IF($J196=7,-$E196*$I196/12*0,IF($J196=8,-$E196*$I196/12*1,IF($J196=9,-$E196*$I196/12*2,IF($J196&gt;=10,-$E196*$I196/12*3,0))))))</f>
        <v>0</v>
      </c>
      <c r="DQ196" s="443">
        <f>IF($H196&lt;&gt;DR$5,0,IF(DR196&lt;0,IF(OR($J196=1,$J196=2,$J196=3,$J196=4,$J196=5,$J196=6,$J196=7,$J196=8,$J196=9,$J196=10),-$E196*$I196/12*3,IF($J196=11,-$E196*$I196/12*2,IF($J196=12,-$E196*$I196/12*1,0)))))+IF(DM$5&lt;&gt;$H196,0,IF(DM196&lt;0,IF($J196=10,-$E196*$I196/12*0,IF($J196=11,-$E196*$I196/12*1,IF($J196=12,-$E196*$I196/12*2,0)))))</f>
        <v>0</v>
      </c>
      <c r="DR196" s="440">
        <f>IF(AND(DM196&lt;&gt;0,DM$5=$H196),-$I196*$E196-DM196,IF(DR$5=$H196,-$I196*$E196*(12-$J196+1)/12,0))</f>
        <v>0</v>
      </c>
    </row>
    <row r="197" spans="3:122">
      <c r="C197" s="1123"/>
      <c r="D197" s="395"/>
      <c r="E197" s="325"/>
      <c r="F197" s="1355"/>
      <c r="G197" s="1355"/>
      <c r="H197" s="651"/>
      <c r="I197" s="1367"/>
      <c r="J197" s="1357"/>
      <c r="K197" s="549"/>
      <c r="L197" s="441"/>
      <c r="M197" s="442"/>
      <c r="N197" s="442"/>
      <c r="O197" s="443"/>
      <c r="P197" s="440"/>
      <c r="Q197" s="441"/>
      <c r="R197" s="442"/>
      <c r="S197" s="442"/>
      <c r="T197" s="443"/>
      <c r="U197" s="440"/>
      <c r="V197" s="441"/>
      <c r="W197" s="442"/>
      <c r="X197" s="442"/>
      <c r="Y197" s="443"/>
      <c r="Z197" s="440"/>
      <c r="AA197" s="441"/>
      <c r="AB197" s="442"/>
      <c r="AC197" s="442"/>
      <c r="AD197" s="443"/>
      <c r="AE197" s="440"/>
      <c r="AF197" s="441"/>
      <c r="AG197" s="442"/>
      <c r="AH197" s="442"/>
      <c r="AI197" s="443"/>
      <c r="AJ197" s="440"/>
      <c r="AK197" s="441"/>
      <c r="AL197" s="442"/>
      <c r="AM197" s="442"/>
      <c r="AN197" s="443"/>
      <c r="AO197" s="440"/>
      <c r="AP197" s="441"/>
      <c r="AQ197" s="442"/>
      <c r="AR197" s="442"/>
      <c r="AS197" s="443"/>
      <c r="AT197" s="440"/>
      <c r="AU197" s="441"/>
      <c r="AV197" s="442"/>
      <c r="AW197" s="442"/>
      <c r="AX197" s="443"/>
      <c r="AY197" s="440"/>
      <c r="AZ197" s="441"/>
      <c r="BA197" s="442"/>
      <c r="BB197" s="442"/>
      <c r="BC197" s="443"/>
      <c r="BD197" s="440"/>
      <c r="BE197" s="441"/>
      <c r="BF197" s="442"/>
      <c r="BG197" s="442"/>
      <c r="BH197" s="443"/>
      <c r="BI197" s="440"/>
      <c r="BJ197" s="441"/>
      <c r="BK197" s="442"/>
      <c r="BL197" s="442"/>
      <c r="BM197" s="443"/>
      <c r="BN197" s="440"/>
      <c r="BO197" s="470"/>
      <c r="BP197" s="441"/>
      <c r="BQ197" s="442"/>
      <c r="BR197" s="442"/>
      <c r="BS197" s="443"/>
      <c r="BT197" s="440"/>
      <c r="BU197" s="441"/>
      <c r="BV197" s="442"/>
      <c r="BW197" s="442"/>
      <c r="BX197" s="443"/>
      <c r="BY197" s="440"/>
      <c r="BZ197" s="441"/>
      <c r="CA197" s="442"/>
      <c r="CB197" s="442"/>
      <c r="CC197" s="443"/>
      <c r="CD197" s="440"/>
      <c r="CE197" s="441"/>
      <c r="CF197" s="442"/>
      <c r="CG197" s="442"/>
      <c r="CH197" s="443"/>
      <c r="CI197" s="440"/>
      <c r="CJ197" s="441"/>
      <c r="CK197" s="442"/>
      <c r="CL197" s="442"/>
      <c r="CM197" s="443"/>
      <c r="CN197" s="440"/>
      <c r="CO197" s="441"/>
      <c r="CP197" s="442"/>
      <c r="CQ197" s="442"/>
      <c r="CR197" s="443"/>
      <c r="CS197" s="440"/>
      <c r="CT197" s="441"/>
      <c r="CU197" s="442"/>
      <c r="CV197" s="442"/>
      <c r="CW197" s="443"/>
      <c r="CX197" s="440"/>
      <c r="CY197" s="441"/>
      <c r="CZ197" s="442"/>
      <c r="DA197" s="442"/>
      <c r="DB197" s="443"/>
      <c r="DC197" s="440"/>
      <c r="DD197" s="441"/>
      <c r="DE197" s="442"/>
      <c r="DF197" s="442"/>
      <c r="DG197" s="443"/>
      <c r="DH197" s="440"/>
      <c r="DI197" s="441"/>
      <c r="DJ197" s="442"/>
      <c r="DK197" s="442"/>
      <c r="DL197" s="443"/>
      <c r="DM197" s="440"/>
      <c r="DN197" s="441"/>
      <c r="DO197" s="442"/>
      <c r="DP197" s="442"/>
      <c r="DQ197" s="443"/>
      <c r="DR197" s="440"/>
    </row>
    <row r="198" spans="3:122" ht="12.75" customHeight="1">
      <c r="C198" s="1363" t="s">
        <v>323</v>
      </c>
      <c r="D198" s="395"/>
      <c r="E198" s="325"/>
      <c r="F198" s="1358"/>
      <c r="G198" s="1358"/>
      <c r="H198" s="414"/>
      <c r="I198" s="650"/>
      <c r="J198" s="656"/>
      <c r="K198" s="549"/>
      <c r="L198" s="441"/>
      <c r="M198" s="442"/>
      <c r="N198" s="442"/>
      <c r="O198" s="443"/>
      <c r="P198" s="440"/>
      <c r="Q198" s="441"/>
      <c r="R198" s="442"/>
      <c r="S198" s="442"/>
      <c r="T198" s="443"/>
      <c r="U198" s="440"/>
      <c r="V198" s="441"/>
      <c r="W198" s="442"/>
      <c r="X198" s="442"/>
      <c r="Y198" s="443"/>
      <c r="Z198" s="440"/>
      <c r="AA198" s="441"/>
      <c r="AB198" s="442"/>
      <c r="AC198" s="442"/>
      <c r="AD198" s="443"/>
      <c r="AE198" s="440"/>
      <c r="AF198" s="441"/>
      <c r="AG198" s="442"/>
      <c r="AH198" s="442"/>
      <c r="AI198" s="443"/>
      <c r="AJ198" s="440"/>
      <c r="AK198" s="441"/>
      <c r="AL198" s="442"/>
      <c r="AM198" s="442"/>
      <c r="AN198" s="443"/>
      <c r="AO198" s="440"/>
      <c r="AP198" s="441"/>
      <c r="AQ198" s="442"/>
      <c r="AR198" s="442"/>
      <c r="AS198" s="443"/>
      <c r="AT198" s="440"/>
      <c r="AU198" s="441"/>
      <c r="AV198" s="442"/>
      <c r="AW198" s="442"/>
      <c r="AX198" s="443"/>
      <c r="AY198" s="440"/>
      <c r="AZ198" s="441"/>
      <c r="BA198" s="442"/>
      <c r="BB198" s="442"/>
      <c r="BC198" s="443"/>
      <c r="BD198" s="440"/>
      <c r="BE198" s="441"/>
      <c r="BF198" s="442"/>
      <c r="BG198" s="442"/>
      <c r="BH198" s="443"/>
      <c r="BI198" s="440"/>
      <c r="BJ198" s="441"/>
      <c r="BK198" s="442"/>
      <c r="BL198" s="442"/>
      <c r="BM198" s="443"/>
      <c r="BN198" s="440"/>
      <c r="BO198" s="470"/>
      <c r="BP198" s="441"/>
      <c r="BQ198" s="442"/>
      <c r="BR198" s="442"/>
      <c r="BS198" s="443"/>
      <c r="BT198" s="440"/>
      <c r="BU198" s="441"/>
      <c r="BV198" s="442"/>
      <c r="BW198" s="442"/>
      <c r="BX198" s="443"/>
      <c r="BY198" s="440"/>
      <c r="BZ198" s="441"/>
      <c r="CA198" s="442"/>
      <c r="CB198" s="442"/>
      <c r="CC198" s="443"/>
      <c r="CD198" s="440"/>
      <c r="CE198" s="441"/>
      <c r="CF198" s="442"/>
      <c r="CG198" s="442"/>
      <c r="CH198" s="443"/>
      <c r="CI198" s="440"/>
      <c r="CJ198" s="441"/>
      <c r="CK198" s="442"/>
      <c r="CL198" s="442"/>
      <c r="CM198" s="443"/>
      <c r="CN198" s="440"/>
      <c r="CO198" s="441"/>
      <c r="CP198" s="442"/>
      <c r="CQ198" s="442"/>
      <c r="CR198" s="443"/>
      <c r="CS198" s="440"/>
      <c r="CT198" s="441"/>
      <c r="CU198" s="442"/>
      <c r="CV198" s="442"/>
      <c r="CW198" s="443"/>
      <c r="CX198" s="440"/>
      <c r="CY198" s="441"/>
      <c r="CZ198" s="442"/>
      <c r="DA198" s="442"/>
      <c r="DB198" s="443"/>
      <c r="DC198" s="440"/>
      <c r="DD198" s="441"/>
      <c r="DE198" s="442"/>
      <c r="DF198" s="442"/>
      <c r="DG198" s="443"/>
      <c r="DH198" s="440"/>
      <c r="DI198" s="441"/>
      <c r="DJ198" s="442"/>
      <c r="DK198" s="442"/>
      <c r="DL198" s="443"/>
      <c r="DM198" s="440"/>
      <c r="DN198" s="441"/>
      <c r="DO198" s="442"/>
      <c r="DP198" s="442"/>
      <c r="DQ198" s="443"/>
      <c r="DR198" s="440"/>
    </row>
    <row r="199" spans="3:122" ht="12.75" customHeight="1">
      <c r="C199" s="1123" t="s">
        <v>730</v>
      </c>
      <c r="D199" s="395"/>
      <c r="E199" s="1950">
        <f t="shared" ref="E199:E204" si="2517">IF(F199=0,G199,F199)</f>
        <v>150</v>
      </c>
      <c r="F199" s="1945">
        <v>0</v>
      </c>
      <c r="G199" s="1945">
        <v>150</v>
      </c>
      <c r="H199" s="1366">
        <v>2017</v>
      </c>
      <c r="I199" s="1367">
        <v>5.7000000000000002E-2</v>
      </c>
      <c r="J199" s="1357">
        <v>3</v>
      </c>
      <c r="K199" s="549"/>
      <c r="L199" s="441">
        <f t="shared" ref="L199:L204" si="2518">IF(P199=0,0,IF(P199&lt;0,IF($J199=3,P199,IF($J199=2,P199,IF($J199=1,P199,0)))))</f>
        <v>0</v>
      </c>
      <c r="M199" s="442">
        <f t="shared" ref="M199:M204" si="2519">IF(P199=0,0,IF(P199&lt;0,IF($J199=6,P199,IF($J199=5,P199,IF($J199=4,P199,0)))))</f>
        <v>0</v>
      </c>
      <c r="N199" s="442">
        <f t="shared" ref="N199:N204" si="2520">IF(P199=0,0,IF(P199&lt;0,IF($J199=9,P199,IF($J199=8,P199,IF($J199=7,P199,0)))))</f>
        <v>0</v>
      </c>
      <c r="O199" s="443">
        <f t="shared" ref="O199:O204" si="2521">IF(P199=0,0,IF(P199&lt;0,IF($J199=12,P199,IF($J199=11,P199,IF($J199=10,P199,0)))))</f>
        <v>0</v>
      </c>
      <c r="P199" s="440">
        <f t="shared" ref="P199:P204" si="2522">IF(P$5=$H199,-$E199,0)</f>
        <v>0</v>
      </c>
      <c r="Q199" s="441">
        <f t="shared" ref="Q199:Q204" si="2523">IF(U199=0,0,IF(U199&lt;0,IF($J199=3,U199,IF($J199=2,U199,IF($J199=1,U199,0)))))</f>
        <v>0</v>
      </c>
      <c r="R199" s="442">
        <f t="shared" ref="R199:R204" si="2524">IF(U199=0,0,IF(U199&lt;0,IF($J199=6,U199,IF($J199=5,U199,IF($J199=4,U199,0)))))</f>
        <v>0</v>
      </c>
      <c r="S199" s="442">
        <f t="shared" ref="S199:S204" si="2525">IF(U199=0,0,IF(U199&lt;0,IF($J199=9,U199,IF($J199=8,U199,IF($J199=7,U199,0)))))</f>
        <v>0</v>
      </c>
      <c r="T199" s="443">
        <f t="shared" ref="T199:T204" si="2526">IF(U199=0,0,IF(U199&lt;0,IF($J199=12,U199,IF($J199=11,U199,IF($J199=10,U199,0)))))</f>
        <v>0</v>
      </c>
      <c r="U199" s="440">
        <f t="shared" ref="U199:U204" si="2527">IF(U$5=$H199,-$E199,0)</f>
        <v>0</v>
      </c>
      <c r="V199" s="441">
        <f t="shared" ref="V199:V204" si="2528">IF(Z199=0,0,IF(Z199&lt;0,IF($J199=3,Z199,IF($J199=2,Z199,IF($J199=1,Z199,0)))))</f>
        <v>0</v>
      </c>
      <c r="W199" s="442">
        <f t="shared" ref="W199:W204" si="2529">IF(Z199=0,0,IF(Z199&lt;0,IF($J199=6,Z199,IF($J199=5,Z199,IF($J199=4,Z199,0)))))</f>
        <v>0</v>
      </c>
      <c r="X199" s="442">
        <f t="shared" ref="X199:X204" si="2530">IF(Z199=0,0,IF(Z199&lt;0,IF($J199=9,Z199,IF($J199=8,Z199,IF($J199=7,Z199,0)))))</f>
        <v>0</v>
      </c>
      <c r="Y199" s="443">
        <f t="shared" ref="Y199:Y204" si="2531">IF(Z199=0,0,IF(Z199&lt;0,IF($J199=12,Z199,IF($J199=11,Z199,IF($J199=10,Z199,0)))))</f>
        <v>0</v>
      </c>
      <c r="Z199" s="440">
        <f t="shared" ref="Z199:Z204" si="2532">IF(Z$5=$H199,-$E199,0)</f>
        <v>0</v>
      </c>
      <c r="AA199" s="441">
        <f t="shared" ref="AA199:AA204" si="2533">IF(AE199=0,0,IF(AE199&lt;0,IF($J199=3,AE199,IF($J199=2,AE199,IF($J199=1,AE199,0)))))</f>
        <v>0</v>
      </c>
      <c r="AB199" s="442">
        <f t="shared" ref="AB199:AB204" si="2534">IF(AE199=0,0,IF(AE199&lt;0,IF($J199=6,AE199,IF($J199=5,AE199,IF($J199=4,AE199,0)))))</f>
        <v>0</v>
      </c>
      <c r="AC199" s="442">
        <f t="shared" ref="AC199:AC204" si="2535">IF(AE199=0,0,IF(AE199&lt;0,IF($J199=9,AE199,IF($J199=8,AE199,IF($J199=7,AE199,0)))))</f>
        <v>0</v>
      </c>
      <c r="AD199" s="443">
        <f t="shared" ref="AD199:AD204" si="2536">IF(AE199=0,0,IF(AE199&lt;0,IF($J199=12,AE199,IF($J199=11,AE199,IF($J199=10,AE199,0)))))</f>
        <v>0</v>
      </c>
      <c r="AE199" s="440">
        <f t="shared" ref="AE199:AE204" si="2537">IF(AE$5=$H199,-$E199,0)</f>
        <v>0</v>
      </c>
      <c r="AF199" s="441">
        <f t="shared" ref="AF199:AF204" si="2538">IF(AJ199=0,0,IF(AJ199&lt;0,IF($J199=3,AJ199,IF($J199=2,AJ199,IF($J199=1,AJ199,0)))))</f>
        <v>0</v>
      </c>
      <c r="AG199" s="442">
        <f t="shared" ref="AG199:AG204" si="2539">IF(AJ199=0,0,IF(AJ199&lt;0,IF($J199=6,AJ199,IF($J199=5,AJ199,IF($J199=4,AJ199,0)))))</f>
        <v>0</v>
      </c>
      <c r="AH199" s="442">
        <f t="shared" ref="AH199:AH204" si="2540">IF(AJ199=0,0,IF(AJ199&lt;0,IF($J199=9,AJ199,IF($J199=8,AJ199,IF($J199=7,AJ199,0)))))</f>
        <v>0</v>
      </c>
      <c r="AI199" s="443">
        <f t="shared" ref="AI199:AI204" si="2541">IF(AJ199=0,0,IF(AJ199&lt;0,IF($J199=12,AJ199,IF($J199=11,AJ199,IF($J199=10,AJ199,0)))))</f>
        <v>0</v>
      </c>
      <c r="AJ199" s="440">
        <f t="shared" ref="AJ199:AJ204" si="2542">IF(AJ$5=$H199,-$E199,0)</f>
        <v>0</v>
      </c>
      <c r="AK199" s="441">
        <f t="shared" ref="AK199:AK204" si="2543">IF(AO199=0,0,IF(AO199&lt;0,IF($J199=3,AO199,IF($J199=2,AO199,IF($J199=1,AO199,0)))))</f>
        <v>0</v>
      </c>
      <c r="AL199" s="442">
        <f t="shared" ref="AL199:AL204" si="2544">IF(AO199=0,0,IF(AO199&lt;0,IF($J199=6,AO199,IF($J199=5,AO199,IF($J199=4,AO199,0)))))</f>
        <v>0</v>
      </c>
      <c r="AM199" s="442">
        <f t="shared" ref="AM199:AM204" si="2545">IF(AO199=0,0,IF(AO199&lt;0,IF($J199=9,AO199,IF($J199=8,AO199,IF($J199=7,AO199,0)))))</f>
        <v>0</v>
      </c>
      <c r="AN199" s="443">
        <f t="shared" ref="AN199:AN204" si="2546">IF(AO199=0,0,IF(AO199&lt;0,IF($J199=12,AO199,IF($J199=11,AO199,IF($J199=10,AO199,0)))))</f>
        <v>0</v>
      </c>
      <c r="AO199" s="440">
        <f t="shared" ref="AO199:AO204" si="2547">IF(AO$5=$H199,-$E199,0)</f>
        <v>0</v>
      </c>
      <c r="AP199" s="441">
        <f t="shared" ref="AP199:AP204" si="2548">IF(AT199=0,0,IF(AT199&lt;0,IF($J199=3,AT199,IF($J199=2,AT199,IF($J199=1,AT199,0)))))</f>
        <v>-150</v>
      </c>
      <c r="AQ199" s="442">
        <f t="shared" ref="AQ199:AQ204" si="2549">IF(AT199=0,0,IF(AT199&lt;0,IF($J199=6,AT199,IF($J199=5,AT199,IF($J199=4,AT199,0)))))</f>
        <v>0</v>
      </c>
      <c r="AR199" s="442">
        <f t="shared" ref="AR199:AR204" si="2550">IF(AT199=0,0,IF(AT199&lt;0,IF($J199=9,AT199,IF($J199=8,AT199,IF($J199=7,AT199,0)))))</f>
        <v>0</v>
      </c>
      <c r="AS199" s="443">
        <f t="shared" ref="AS199:AS204" si="2551">IF(AT199=0,0,IF(AT199&lt;0,IF($J199=12,AT199,IF($J199=11,AT199,IF($J199=10,AT199,0)))))</f>
        <v>0</v>
      </c>
      <c r="AT199" s="440">
        <f t="shared" ref="AT199:AT204" si="2552">IF(AT$5=$H199,-$E199,0)</f>
        <v>-150</v>
      </c>
      <c r="AU199" s="441">
        <f t="shared" ref="AU199:AU204" si="2553">IF(AY199=0,0,IF(AY199&lt;0,IF($J199=3,AY199,IF($J199=2,AY199,IF($J199=1,AY199,0)))))</f>
        <v>0</v>
      </c>
      <c r="AV199" s="442">
        <f t="shared" ref="AV199:AV204" si="2554">IF(AY199=0,0,IF(AY199&lt;0,IF($J199=6,AY199,IF($J199=5,AY199,IF($J199=4,AY199,0)))))</f>
        <v>0</v>
      </c>
      <c r="AW199" s="442">
        <f t="shared" ref="AW199:AW204" si="2555">IF(AY199=0,0,IF(AY199&lt;0,IF($J199=9,AY199,IF($J199=8,AY199,IF($J199=7,AY199,0)))))</f>
        <v>0</v>
      </c>
      <c r="AX199" s="443">
        <f t="shared" ref="AX199:AX204" si="2556">IF(AY199=0,0,IF(AY199&lt;0,IF($J199=12,AY199,IF($J199=11,AY199,IF($J199=10,AY199,0)))))</f>
        <v>0</v>
      </c>
      <c r="AY199" s="440">
        <f t="shared" ref="AY199:AY204" si="2557">IF(AY$5=$H199,-$E199,0)</f>
        <v>0</v>
      </c>
      <c r="AZ199" s="441">
        <f t="shared" ref="AZ199:AZ204" si="2558">IF(BD199=0,0,IF(BD199&lt;0,IF($J199=3,BD199,IF($J199=2,BD199,IF($J199=1,BD199,0)))))</f>
        <v>0</v>
      </c>
      <c r="BA199" s="442">
        <f t="shared" ref="BA199:BA204" si="2559">IF(BD199=0,0,IF(BD199&lt;0,IF($J199=6,BD199,IF($J199=5,BD199,IF($J199=4,BD199,0)))))</f>
        <v>0</v>
      </c>
      <c r="BB199" s="442">
        <f t="shared" ref="BB199:BB204" si="2560">IF(BD199=0,0,IF(BD199&lt;0,IF($J199=9,BD199,IF($J199=8,BD199,IF($J199=7,BD199,0)))))</f>
        <v>0</v>
      </c>
      <c r="BC199" s="443">
        <f t="shared" ref="BC199:BC204" si="2561">IF(BD199=0,0,IF(BD199&lt;0,IF($J199=12,BD199,IF($J199=11,BD199,IF($J199=10,BD199,0)))))</f>
        <v>0</v>
      </c>
      <c r="BD199" s="440">
        <f t="shared" ref="BD199:BD204" si="2562">IF(BD$5=$H199,-$E199,0)</f>
        <v>0</v>
      </c>
      <c r="BE199" s="441">
        <f t="shared" ref="BE199:BE204" si="2563">IF(BI199=0,0,IF(BI199&lt;0,IF($J199=3,BI199,IF($J199=2,BI199,IF($J199=1,BI199,0)))))</f>
        <v>0</v>
      </c>
      <c r="BF199" s="442">
        <f t="shared" ref="BF199:BF204" si="2564">IF(BI199=0,0,IF(BI199&lt;0,IF($J199=6,BI199,IF($J199=5,BI199,IF($J199=4,BI199,0)))))</f>
        <v>0</v>
      </c>
      <c r="BG199" s="442">
        <f t="shared" ref="BG199:BG204" si="2565">IF(BI199=0,0,IF(BI199&lt;0,IF($J199=9,BI199,IF($J199=8,BI199,IF($J199=7,BI199,0)))))</f>
        <v>0</v>
      </c>
      <c r="BH199" s="443">
        <f t="shared" ref="BH199:BH204" si="2566">IF(BI199=0,0,IF(BI199&lt;0,IF($J199=12,BI199,IF($J199=11,BI199,IF($J199=10,BI199,0)))))</f>
        <v>0</v>
      </c>
      <c r="BI199" s="440">
        <f t="shared" ref="BI199:BI204" si="2567">IF(BI$5=$H199,-$E199,0)</f>
        <v>0</v>
      </c>
      <c r="BJ199" s="441">
        <f t="shared" ref="BJ199:BJ204" si="2568">IF(BN199=0,0,IF(BN199&lt;0,IF($J199=3,BN199,IF($J199=2,BN199,IF($J199=1,BN199,0)))))</f>
        <v>0</v>
      </c>
      <c r="BK199" s="442">
        <f t="shared" ref="BK199:BK204" si="2569">IF(BN199=0,0,IF(BN199&lt;0,IF($J199=6,BN199,IF($J199=5,BN199,IF($J199=4,BN199,0)))))</f>
        <v>0</v>
      </c>
      <c r="BL199" s="442">
        <f t="shared" ref="BL199:BL204" si="2570">IF(BN199=0,0,IF(BN199&lt;0,IF($J199=9,BN199,IF($J199=8,BN199,IF($J199=7,BN199,0)))))</f>
        <v>0</v>
      </c>
      <c r="BM199" s="443">
        <f t="shared" ref="BM199:BM204" si="2571">IF(BN199=0,0,IF(BN199&lt;0,IF($J199=12,BN199,IF($J199=11,BN199,IF($J199=10,BN199,0)))))</f>
        <v>0</v>
      </c>
      <c r="BN199" s="440">
        <f t="shared" ref="BN199:BN204" si="2572">IF(BN$5=$H199,-$E199,0)</f>
        <v>0</v>
      </c>
      <c r="BO199" s="470"/>
      <c r="BP199" s="441">
        <f t="shared" ref="BP199:BP204" si="2573">IF($H199&lt;&gt;BT$5,0,IF(BT199&lt;0,IF($J199=1,-$E199*$I199/12*3,IF($J199=2,-$E199*$I199/12*2,IF($J199=3,-$E199*$I199/12*1,0)))))+IF(BO$5&lt;&gt;$H199,0,IF(BO199&lt;0,IF($J199=1,-$E199*$I199/12*0,IF($J199=2,-$E199*$I199/12*1,IF($J199=3,-$E199*$I199/12*2,IF($J199&gt;=4,-$E199*$I199/12*3,0))))))</f>
        <v>0</v>
      </c>
      <c r="BQ199" s="442">
        <f t="shared" ref="BQ199:BQ204" si="2574">IF($H199&lt;&gt;BT$5,0,IF(BT199&lt;0,IF(OR($J199=1,$J199=2,$J199=3,$J199=4),-$E199*$I199/12*3,IF($J199=5,-$E199*$I199/12*2,IF($J199=6,-$E199*$I199/12*1,0)))))+IF(BO$5&lt;&gt;$H199,0,IF(BO199&lt;0,IF($J199=4,-$E199*$I199/12*0,IF($J199=5,-$E199*$I199/12*1,IF($J199=6,-$E199*$I199/12*2,IF($J199&gt;=7,-$E199*$I199/12*3,0))))))</f>
        <v>0</v>
      </c>
      <c r="BR199" s="442">
        <f t="shared" ref="BR199:BR204" si="2575">IF($H199&lt;&gt;BT$5,0,IF(BT199&lt;0,IF(OR($J199=1,$J199=2,$J199=3,$J199=4,$J199=5,$J199=6,$J199=7),-$E199*$I199/12*3,IF($J199=8,-$E199*$I199/12*2,IF($J199=9,-$E199*$I199/12*1,0)))))+IF(BO$5&lt;&gt;$H199,0,IF(BO199&lt;0,IF($J199=7,-$E199*$I199/12*0,IF($J199=8,-$E199*$I199/12*1,IF($J199=9,-$E199*$I199/12*2,IF($J199&gt;=10,-$E199*$I199/12*3,0))))))</f>
        <v>0</v>
      </c>
      <c r="BS199" s="443">
        <f t="shared" ref="BS199:BS204" si="2576">IF($H199&lt;&gt;BT$5,0,IF(BT199&lt;0,IF(OR($J199=1,$J199=2,$J199=3,$J199=4,$J199=5,$J199=6,$J199=7,$J199=8,$J199=9,$J199=10),-$E199*$I199/12*3,IF($J199=11,-$E199*$I199/12*2,IF($J199=12,-$E199*$I199/12*1,0)))))+IF(BO$5&lt;&gt;$H199,0,IF(BO199&lt;0,IF($J199=10,-$E199*$I199/12*0,IF($J199=11,-$E199*$I199/12*1,IF($J199=12,-$E199*$I199/12*2,0)))))</f>
        <v>0</v>
      </c>
      <c r="BT199" s="440">
        <f t="shared" ref="BT199:BT204" si="2577">IF(AND(BO199&lt;&gt;0,BO$5=$H199),-$I199*$E199-BO199,IF(BT$5=$H199,-$I199*$E199*(12-$J199+1)/12,0))</f>
        <v>0</v>
      </c>
      <c r="BU199" s="441">
        <f t="shared" ref="BU199:BU204" si="2578">IF($H199&lt;&gt;BY$5,0,IF(BY199&lt;0,IF($J199=1,-$E199*$I199/12*3,IF($J199=2,-$E199*$I199/12*2,IF($J199=3,-$E199*$I199/12*1,0)))))+IF(BT$5&lt;&gt;$H199,0,IF(BT199&lt;0,IF($J199=1,-$E199*$I199/12*0,IF($J199=2,-$E199*$I199/12*1,IF($J199=3,-$E199*$I199/12*2,IF($J199&gt;=4,-$E199*$I199/12*3,0))))))</f>
        <v>0</v>
      </c>
      <c r="BV199" s="442">
        <f t="shared" ref="BV199:BV204" si="2579">IF($H199&lt;&gt;BY$5,0,IF(BY199&lt;0,IF(OR($J199=1,$J199=2,$J199=3,$J199=4),-$E199*$I199/12*3,IF($J199=5,-$E199*$I199/12*2,IF($J199=6,-$E199*$I199/12*1,0)))))+IF(BT$5&lt;&gt;$H199,0,IF(BT199&lt;0,IF($J199=4,-$E199*$I199/12*0,IF($J199=5,-$E199*$I199/12*1,IF($J199=6,-$E199*$I199/12*2,IF($J199&gt;=7,-$E199*$I199/12*3,0))))))</f>
        <v>0</v>
      </c>
      <c r="BW199" s="442">
        <f t="shared" ref="BW199:BW204" si="2580">IF($H199&lt;&gt;BY$5,0,IF(BY199&lt;0,IF(OR($J199=1,$J199=2,$J199=3,$J199=4,$J199=5,$J199=6,$J199=7),-$E199*$I199/12*3,IF($J199=8,-$E199*$I199/12*2,IF($J199=9,-$E199*$I199/12*1,0)))))+IF(BT$5&lt;&gt;$H199,0,IF(BT199&lt;0,IF($J199=7,-$E199*$I199/12*0,IF($J199=8,-$E199*$I199/12*1,IF($J199=9,-$E199*$I199/12*2,IF($J199&gt;=10,-$E199*$I199/12*3,0))))))</f>
        <v>0</v>
      </c>
      <c r="BX199" s="443">
        <f t="shared" ref="BX199:BX204" si="2581">IF($H199&lt;&gt;BY$5,0,IF(BY199&lt;0,IF(OR($J199=1,$J199=2,$J199=3,$J199=4,$J199=5,$J199=6,$J199=7,$J199=8,$J199=9,$J199=10),-$E199*$I199/12*3,IF($J199=11,-$E199*$I199/12*2,IF($J199=12,-$E199*$I199/12*1,0)))))+IF(BT$5&lt;&gt;$H199,0,IF(BT199&lt;0,IF($J199=10,-$E199*$I199/12*0,IF($J199=11,-$E199*$I199/12*1,IF($J199=12,-$E199*$I199/12*2,0)))))</f>
        <v>0</v>
      </c>
      <c r="BY199" s="440">
        <f t="shared" ref="BY199:BY204" si="2582">IF(AND(BT199&lt;&gt;0,BT$5=$H199),-$I199*$E199-BT199,IF(BY$5=$H199,-$I199*$E199*(12-$J199+1)/12,0))</f>
        <v>0</v>
      </c>
      <c r="BZ199" s="441">
        <f t="shared" ref="BZ199:BZ204" si="2583">IF($H199&lt;&gt;CD$5,0,IF(CD199&lt;0,IF($J199=1,-$E199*$I199/12*3,IF($J199=2,-$E199*$I199/12*2,IF($J199=3,-$E199*$I199/12*1,0)))))+IF(BY$5&lt;&gt;$H199,0,IF(BY199&lt;0,IF($J199=1,-$E199*$I199/12*0,IF($J199=2,-$E199*$I199/12*1,IF($J199=3,-$E199*$I199/12*2,IF($J199&gt;=4,-$E199*$I199/12*3,0))))))</f>
        <v>0</v>
      </c>
      <c r="CA199" s="442">
        <f t="shared" ref="CA199:CA204" si="2584">IF($H199&lt;&gt;CD$5,0,IF(CD199&lt;0,IF(OR($J199=1,$J199=2,$J199=3,$J199=4),-$E199*$I199/12*3,IF($J199=5,-$E199*$I199/12*2,IF($J199=6,-$E199*$I199/12*1,0)))))+IF(BY$5&lt;&gt;$H199,0,IF(BY199&lt;0,IF($J199=4,-$E199*$I199/12*0,IF($J199=5,-$E199*$I199/12*1,IF($J199=6,-$E199*$I199/12*2,IF($J199&gt;=7,-$E199*$I199/12*3,0))))))</f>
        <v>0</v>
      </c>
      <c r="CB199" s="442">
        <f t="shared" ref="CB199:CB204" si="2585">IF($H199&lt;&gt;CD$5,0,IF(CD199&lt;0,IF(OR($J199=1,$J199=2,$J199=3,$J199=4,$J199=5,$J199=6,$J199=7),-$E199*$I199/12*3,IF($J199=8,-$E199*$I199/12*2,IF($J199=9,-$E199*$I199/12*1,0)))))+IF(BY$5&lt;&gt;$H199,0,IF(BY199&lt;0,IF($J199=7,-$E199*$I199/12*0,IF($J199=8,-$E199*$I199/12*1,IF($J199=9,-$E199*$I199/12*2,IF($J199&gt;=10,-$E199*$I199/12*3,0))))))</f>
        <v>0</v>
      </c>
      <c r="CC199" s="443">
        <f t="shared" ref="CC199:CC204" si="2586">IF($H199&lt;&gt;CD$5,0,IF(CD199&lt;0,IF(OR($J199=1,$J199=2,$J199=3,$J199=4,$J199=5,$J199=6,$J199=7,$J199=8,$J199=9,$J199=10),-$E199*$I199/12*3,IF($J199=11,-$E199*$I199/12*2,IF($J199=12,-$E199*$I199/12*1,0)))))+IF(BY$5&lt;&gt;$H199,0,IF(BY199&lt;0,IF($J199=10,-$E199*$I199/12*0,IF($J199=11,-$E199*$I199/12*1,IF($J199=12,-$E199*$I199/12*2,0)))))</f>
        <v>0</v>
      </c>
      <c r="CD199" s="440">
        <f t="shared" ref="CD199:CD204" si="2587">IF(AND(BY199&lt;&gt;0,BY$5=$H199),-$I199*$E199-BY199,IF(CD$5=$H199,-$I199*$E199*(12-$J199+1)/12,0))</f>
        <v>0</v>
      </c>
      <c r="CE199" s="441">
        <f t="shared" ref="CE199:CE204" si="2588">IF($H199&lt;&gt;CI$5,0,IF(CI199&lt;0,IF($J199=1,-$E199*$I199/12*3,IF($J199=2,-$E199*$I199/12*2,IF($J199=3,-$E199*$I199/12*1,0)))))+IF(CD$5&lt;&gt;$H199,0,IF(CD199&lt;0,IF($J199=1,-$E199*$I199/12*0,IF($J199=2,-$E199*$I199/12*1,IF($J199=3,-$E199*$I199/12*2,IF($J199&gt;=4,-$E199*$I199/12*3,0))))))</f>
        <v>0</v>
      </c>
      <c r="CF199" s="442">
        <f t="shared" ref="CF199:CF204" si="2589">IF($H199&lt;&gt;CI$5,0,IF(CI199&lt;0,IF(OR($J199=1,$J199=2,$J199=3,$J199=4),-$E199*$I199/12*3,IF($J199=5,-$E199*$I199/12*2,IF($J199=6,-$E199*$I199/12*1,0)))))+IF(CD$5&lt;&gt;$H199,0,IF(CD199&lt;0,IF($J199=4,-$E199*$I199/12*0,IF($J199=5,-$E199*$I199/12*1,IF($J199=6,-$E199*$I199/12*2,IF($J199&gt;=7,-$E199*$I199/12*3,0))))))</f>
        <v>0</v>
      </c>
      <c r="CG199" s="442">
        <f t="shared" ref="CG199:CG204" si="2590">IF($H199&lt;&gt;CI$5,0,IF(CI199&lt;0,IF(OR($J199=1,$J199=2,$J199=3,$J199=4,$J199=5,$J199=6,$J199=7),-$E199*$I199/12*3,IF($J199=8,-$E199*$I199/12*2,IF($J199=9,-$E199*$I199/12*1,0)))))+IF(CD$5&lt;&gt;$H199,0,IF(CD199&lt;0,IF($J199=7,-$E199*$I199/12*0,IF($J199=8,-$E199*$I199/12*1,IF($J199=9,-$E199*$I199/12*2,IF($J199&gt;=10,-$E199*$I199/12*3,0))))))</f>
        <v>0</v>
      </c>
      <c r="CH199" s="443">
        <f t="shared" ref="CH199:CH204" si="2591">IF($H199&lt;&gt;CI$5,0,IF(CI199&lt;0,IF(OR($J199=1,$J199=2,$J199=3,$J199=4,$J199=5,$J199=6,$J199=7,$J199=8,$J199=9,$J199=10),-$E199*$I199/12*3,IF($J199=11,-$E199*$I199/12*2,IF($J199=12,-$E199*$I199/12*1,0)))))+IF(CD$5&lt;&gt;$H199,0,IF(CD199&lt;0,IF($J199=10,-$E199*$I199/12*0,IF($J199=11,-$E199*$I199/12*1,IF($J199=12,-$E199*$I199/12*2,0)))))</f>
        <v>0</v>
      </c>
      <c r="CI199" s="440">
        <f t="shared" ref="CI199:CI204" si="2592">IF(AND(CD199&lt;&gt;0,CD$5=$H199),-$I199*$E199-CD199,IF(CI$5=$H199,-$I199*$E199*(12-$J199+1)/12,0))</f>
        <v>0</v>
      </c>
      <c r="CJ199" s="441">
        <f t="shared" ref="CJ199:CJ204" si="2593">IF($H199&lt;&gt;CN$5,0,IF(CN199&lt;0,IF($J199=1,-$E199*$I199/12*3,IF($J199=2,-$E199*$I199/12*2,IF($J199=3,-$E199*$I199/12*1,0)))))+IF(CI$5&lt;&gt;$H199,0,IF(CI199&lt;0,IF($J199=1,-$E199*$I199/12*0,IF($J199=2,-$E199*$I199/12*1,IF($J199=3,-$E199*$I199/12*2,IF($J199&gt;=4,-$E199*$I199/12*3,0))))))</f>
        <v>0</v>
      </c>
      <c r="CK199" s="442">
        <f t="shared" ref="CK199:CK204" si="2594">IF($H199&lt;&gt;CN$5,0,IF(CN199&lt;0,IF(OR($J199=1,$J199=2,$J199=3,$J199=4),-$E199*$I199/12*3,IF($J199=5,-$E199*$I199/12*2,IF($J199=6,-$E199*$I199/12*1,0)))))+IF(CI$5&lt;&gt;$H199,0,IF(CI199&lt;0,IF($J199=4,-$E199*$I199/12*0,IF($J199=5,-$E199*$I199/12*1,IF($J199=6,-$E199*$I199/12*2,IF($J199&gt;=7,-$E199*$I199/12*3,0))))))</f>
        <v>0</v>
      </c>
      <c r="CL199" s="442">
        <f t="shared" ref="CL199:CL204" si="2595">IF($H199&lt;&gt;CN$5,0,IF(CN199&lt;0,IF(OR($J199=1,$J199=2,$J199=3,$J199=4,$J199=5,$J199=6,$J199=7),-$E199*$I199/12*3,IF($J199=8,-$E199*$I199/12*2,IF($J199=9,-$E199*$I199/12*1,0)))))+IF(CI$5&lt;&gt;$H199,0,IF(CI199&lt;0,IF($J199=7,-$E199*$I199/12*0,IF($J199=8,-$E199*$I199/12*1,IF($J199=9,-$E199*$I199/12*2,IF($J199&gt;=10,-$E199*$I199/12*3,0))))))</f>
        <v>0</v>
      </c>
      <c r="CM199" s="443">
        <f t="shared" ref="CM199:CM204" si="2596">IF($H199&lt;&gt;CN$5,0,IF(CN199&lt;0,IF(OR($J199=1,$J199=2,$J199=3,$J199=4,$J199=5,$J199=6,$J199=7,$J199=8,$J199=9,$J199=10),-$E199*$I199/12*3,IF($J199=11,-$E199*$I199/12*2,IF($J199=12,-$E199*$I199/12*1,0)))))+IF(CI$5&lt;&gt;$H199,0,IF(CI199&lt;0,IF($J199=10,-$E199*$I199/12*0,IF($J199=11,-$E199*$I199/12*1,IF($J199=12,-$E199*$I199/12*2,0)))))</f>
        <v>0</v>
      </c>
      <c r="CN199" s="440">
        <f t="shared" ref="CN199:CN204" si="2597">IF(AND(CI199&lt;&gt;0,CI$5=$H199),-$I199*$E199-CI199,IF(CN$5=$H199,-$I199*$E199*(12-$J199+1)/12,0))</f>
        <v>0</v>
      </c>
      <c r="CO199" s="441">
        <f t="shared" ref="CO199:CO204" si="2598">IF($H199&lt;&gt;CS$5,0,IF(CS199&lt;0,IF($J199=1,-$E199*$I199/12*3,IF($J199=2,-$E199*$I199/12*2,IF($J199=3,-$E199*$I199/12*1,0)))))+IF(CN$5&lt;&gt;$H199,0,IF(CN199&lt;0,IF($J199=1,-$E199*$I199/12*0,IF($J199=2,-$E199*$I199/12*1,IF($J199=3,-$E199*$I199/12*2,IF($J199&gt;=4,-$E199*$I199/12*3,0))))))</f>
        <v>0</v>
      </c>
      <c r="CP199" s="442">
        <f t="shared" ref="CP199:CP204" si="2599">IF($H199&lt;&gt;CS$5,0,IF(CS199&lt;0,IF(OR($J199=1,$J199=2,$J199=3,$J199=4),-$E199*$I199/12*3,IF($J199=5,-$E199*$I199/12*2,IF($J199=6,-$E199*$I199/12*1,0)))))+IF(CN$5&lt;&gt;$H199,0,IF(CN199&lt;0,IF($J199=4,-$E199*$I199/12*0,IF($J199=5,-$E199*$I199/12*1,IF($J199=6,-$E199*$I199/12*2,IF($J199&gt;=7,-$E199*$I199/12*3,0))))))</f>
        <v>0</v>
      </c>
      <c r="CQ199" s="442">
        <f t="shared" ref="CQ199:CQ204" si="2600">IF($H199&lt;&gt;CS$5,0,IF(CS199&lt;0,IF(OR($J199=1,$J199=2,$J199=3,$J199=4,$J199=5,$J199=6,$J199=7),-$E199*$I199/12*3,IF($J199=8,-$E199*$I199/12*2,IF($J199=9,-$E199*$I199/12*1,0)))))+IF(CN$5&lt;&gt;$H199,0,IF(CN199&lt;0,IF($J199=7,-$E199*$I199/12*0,IF($J199=8,-$E199*$I199/12*1,IF($J199=9,-$E199*$I199/12*2,IF($J199&gt;=10,-$E199*$I199/12*3,0))))))</f>
        <v>0</v>
      </c>
      <c r="CR199" s="443">
        <f t="shared" ref="CR199:CR204" si="2601">IF($H199&lt;&gt;CS$5,0,IF(CS199&lt;0,IF(OR($J199=1,$J199=2,$J199=3,$J199=4,$J199=5,$J199=6,$J199=7,$J199=8,$J199=9,$J199=10),-$E199*$I199/12*3,IF($J199=11,-$E199*$I199/12*2,IF($J199=12,-$E199*$I199/12*1,0)))))+IF(CN$5&lt;&gt;$H199,0,IF(CN199&lt;0,IF($J199=10,-$E199*$I199/12*0,IF($J199=11,-$E199*$I199/12*1,IF($J199=12,-$E199*$I199/12*2,0)))))</f>
        <v>0</v>
      </c>
      <c r="CS199" s="440">
        <f t="shared" ref="CS199:CS204" si="2602">IF(AND(CN199&lt;&gt;0,CN$5=$H199),-$I199*$E199-CN199,IF(CS$5=$H199,-$I199*$E199*(12-$J199+1)/12,0))</f>
        <v>0</v>
      </c>
      <c r="CT199" s="441">
        <f t="shared" ref="CT199:CT204" si="2603">IF($H199&lt;&gt;CX$5,0,IF(CX199&lt;0,IF($J199=1,-$E199*$I199/12*3,IF($J199=2,-$E199*$I199/12*2,IF($J199=3,-$E199*$I199/12*1,0)))))+IF(CS$5&lt;&gt;$H199,0,IF(CS199&lt;0,IF($J199=1,-$E199*$I199/12*0,IF($J199=2,-$E199*$I199/12*1,IF($J199=3,-$E199*$I199/12*2,IF($J199&gt;=4,-$E199*$I199/12*3,0))))))</f>
        <v>-0.71250000000000002</v>
      </c>
      <c r="CU199" s="442">
        <f t="shared" ref="CU199:CU204" si="2604">IF($H199&lt;&gt;CX$5,0,IF(CX199&lt;0,IF(OR($J199=1,$J199=2,$J199=3,$J199=4),-$E199*$I199/12*3,IF($J199=5,-$E199*$I199/12*2,IF($J199=6,-$E199*$I199/12*1,0)))))+IF(CS$5&lt;&gt;$H199,0,IF(CS199&lt;0,IF($J199=4,-$E199*$I199/12*0,IF($J199=5,-$E199*$I199/12*1,IF($J199=6,-$E199*$I199/12*2,IF($J199&gt;=7,-$E199*$I199/12*3,0))))))</f>
        <v>-2.1375000000000002</v>
      </c>
      <c r="CV199" s="442">
        <f t="shared" ref="CV199:CV204" si="2605">IF($H199&lt;&gt;CX$5,0,IF(CX199&lt;0,IF(OR($J199=1,$J199=2,$J199=3,$J199=4,$J199=5,$J199=6,$J199=7),-$E199*$I199/12*3,IF($J199=8,-$E199*$I199/12*2,IF($J199=9,-$E199*$I199/12*1,0)))))+IF(CS$5&lt;&gt;$H199,0,IF(CS199&lt;0,IF($J199=7,-$E199*$I199/12*0,IF($J199=8,-$E199*$I199/12*1,IF($J199=9,-$E199*$I199/12*2,IF($J199&gt;=10,-$E199*$I199/12*3,0))))))</f>
        <v>-2.1375000000000002</v>
      </c>
      <c r="CW199" s="443">
        <f t="shared" ref="CW199:CW204" si="2606">IF($H199&lt;&gt;CX$5,0,IF(CX199&lt;0,IF(OR($J199=1,$J199=2,$J199=3,$J199=4,$J199=5,$J199=6,$J199=7,$J199=8,$J199=9,$J199=10),-$E199*$I199/12*3,IF($J199=11,-$E199*$I199/12*2,IF($J199=12,-$E199*$I199/12*1,0)))))+IF(CS$5&lt;&gt;$H199,0,IF(CS199&lt;0,IF($J199=10,-$E199*$I199/12*0,IF($J199=11,-$E199*$I199/12*1,IF($J199=12,-$E199*$I199/12*2,0)))))</f>
        <v>-2.1375000000000002</v>
      </c>
      <c r="CX199" s="440">
        <f t="shared" ref="CX199:CX204" si="2607">IF(AND(CS199&lt;&gt;0,CS$5=$H199),-$I199*$E199-CS199,IF(CX$5=$H199,-$I199*$E199*(12-$J199+1)/12,0))</f>
        <v>-7.125</v>
      </c>
      <c r="CY199" s="441">
        <f t="shared" ref="CY199:CY204" si="2608">IF($H199&lt;&gt;DC$5,0,IF(DC199&lt;0,IF($J199=1,-$E199*$I199/12*3,IF($J199=2,-$E199*$I199/12*2,IF($J199=3,-$E199*$I199/12*1,0)))))+IF(CX$5&lt;&gt;$H199,0,IF(CX199&lt;0,IF($J199=1,-$E199*$I199/12*0,IF($J199=2,-$E199*$I199/12*1,IF($J199=3,-$E199*$I199/12*2,IF($J199&gt;=4,-$E199*$I199/12*3,0))))))</f>
        <v>-1.425</v>
      </c>
      <c r="CZ199" s="442">
        <f t="shared" ref="CZ199:CZ204" si="2609">IF($H199&lt;&gt;DC$5,0,IF(DC199&lt;0,IF(OR($J199=1,$J199=2,$J199=3,$J199=4),-$E199*$I199/12*3,IF($J199=5,-$E199*$I199/12*2,IF($J199=6,-$E199*$I199/12*1,0)))))+IF(CX$5&lt;&gt;$H199,0,IF(CX199&lt;0,IF($J199=4,-$E199*$I199/12*0,IF($J199=5,-$E199*$I199/12*1,IF($J199=6,-$E199*$I199/12*2,IF($J199&gt;=7,-$E199*$I199/12*3,0))))))</f>
        <v>0</v>
      </c>
      <c r="DA199" s="442">
        <f t="shared" ref="DA199:DA204" si="2610">IF($H199&lt;&gt;DC$5,0,IF(DC199&lt;0,IF(OR($J199=1,$J199=2,$J199=3,$J199=4,$J199=5,$J199=6,$J199=7),-$E199*$I199/12*3,IF($J199=8,-$E199*$I199/12*2,IF($J199=9,-$E199*$I199/12*1,0)))))+IF(CX$5&lt;&gt;$H199,0,IF(CX199&lt;0,IF($J199=7,-$E199*$I199/12*0,IF($J199=8,-$E199*$I199/12*1,IF($J199=9,-$E199*$I199/12*2,IF($J199&gt;=10,-$E199*$I199/12*3,0))))))</f>
        <v>0</v>
      </c>
      <c r="DB199" s="443">
        <f t="shared" ref="DB199:DB204" si="2611">IF($H199&lt;&gt;DC$5,0,IF(DC199&lt;0,IF(OR($J199=1,$J199=2,$J199=3,$J199=4,$J199=5,$J199=6,$J199=7,$J199=8,$J199=9,$J199=10),-$E199*$I199/12*3,IF($J199=11,-$E199*$I199/12*2,IF($J199=12,-$E199*$I199/12*1,0)))))+IF(CX$5&lt;&gt;$H199,0,IF(CX199&lt;0,IF($J199=10,-$E199*$I199/12*0,IF($J199=11,-$E199*$I199/12*1,IF($J199=12,-$E199*$I199/12*2,0)))))</f>
        <v>0</v>
      </c>
      <c r="DC199" s="440">
        <f t="shared" ref="DC199:DC204" si="2612">IF(AND(CX199&lt;&gt;0,CX$5=$H199),-$I199*$E199-CX199,IF(DC$5=$H199,-$I199*$E199*(12-$J199+1)/12,0))</f>
        <v>-1.4250000000000007</v>
      </c>
      <c r="DD199" s="441">
        <f t="shared" ref="DD199:DD204" si="2613">IF($H199&lt;&gt;DH$5,0,IF(DH199&lt;0,IF($J199=1,-$E199*$I199/12*3,IF($J199=2,-$E199*$I199/12*2,IF($J199=3,-$E199*$I199/12*1,0)))))+IF(DC$5&lt;&gt;$H199,0,IF(DC199&lt;0,IF($J199=1,-$E199*$I199/12*0,IF($J199=2,-$E199*$I199/12*1,IF($J199=3,-$E199*$I199/12*2,IF($J199&gt;=4,-$E199*$I199/12*3,0))))))</f>
        <v>0</v>
      </c>
      <c r="DE199" s="442">
        <f t="shared" ref="DE199:DE204" si="2614">IF($H199&lt;&gt;DH$5,0,IF(DH199&lt;0,IF(OR($J199=1,$J199=2,$J199=3,$J199=4),-$E199*$I199/12*3,IF($J199=5,-$E199*$I199/12*2,IF($J199=6,-$E199*$I199/12*1,0)))))+IF(DC$5&lt;&gt;$H199,0,IF(DC199&lt;0,IF($J199=4,-$E199*$I199/12*0,IF($J199=5,-$E199*$I199/12*1,IF($J199=6,-$E199*$I199/12*2,IF($J199&gt;=7,-$E199*$I199/12*3,0))))))</f>
        <v>0</v>
      </c>
      <c r="DF199" s="442">
        <f t="shared" ref="DF199:DF204" si="2615">IF($H199&lt;&gt;DH$5,0,IF(DH199&lt;0,IF(OR($J199=1,$J199=2,$J199=3,$J199=4,$J199=5,$J199=6,$J199=7),-$E199*$I199/12*3,IF($J199=8,-$E199*$I199/12*2,IF($J199=9,-$E199*$I199/12*1,0)))))+IF(DC$5&lt;&gt;$H199,0,IF(DC199&lt;0,IF($J199=7,-$E199*$I199/12*0,IF($J199=8,-$E199*$I199/12*1,IF($J199=9,-$E199*$I199/12*2,IF($J199&gt;=10,-$E199*$I199/12*3,0))))))</f>
        <v>0</v>
      </c>
      <c r="DG199" s="443">
        <f t="shared" ref="DG199:DG204" si="2616">IF($H199&lt;&gt;DH$5,0,IF(DH199&lt;0,IF(OR($J199=1,$J199=2,$J199=3,$J199=4,$J199=5,$J199=6,$J199=7,$J199=8,$J199=9,$J199=10),-$E199*$I199/12*3,IF($J199=11,-$E199*$I199/12*2,IF($J199=12,-$E199*$I199/12*1,0)))))+IF(DC$5&lt;&gt;$H199,0,IF(DC199&lt;0,IF($J199=10,-$E199*$I199/12*0,IF($J199=11,-$E199*$I199/12*1,IF($J199=12,-$E199*$I199/12*2,0)))))</f>
        <v>0</v>
      </c>
      <c r="DH199" s="440">
        <f t="shared" ref="DH199:DH204" si="2617">IF(AND(DC199&lt;&gt;0,DC$5=$H199),-$I199*$E199-DC199,IF(DH$5=$H199,-$I199*$E199*(12-$J199+1)/12,0))</f>
        <v>0</v>
      </c>
      <c r="DI199" s="441">
        <f t="shared" ref="DI199:DI204" si="2618">IF($H199&lt;&gt;DM$5,0,IF(DM199&lt;0,IF($J199=1,-$E199*$I199/12*3,IF($J199=2,-$E199*$I199/12*2,IF($J199=3,-$E199*$I199/12*1,0)))))+IF(DH$5&lt;&gt;$H199,0,IF(DH199&lt;0,IF($J199=1,-$E199*$I199/12*0,IF($J199=2,-$E199*$I199/12*1,IF($J199=3,-$E199*$I199/12*2,IF($J199&gt;=4,-$E199*$I199/12*3,0))))))</f>
        <v>0</v>
      </c>
      <c r="DJ199" s="442">
        <f t="shared" ref="DJ199:DJ204" si="2619">IF($H199&lt;&gt;DM$5,0,IF(DM199&lt;0,IF(OR($J199=1,$J199=2,$J199=3,$J199=4),-$E199*$I199/12*3,IF($J199=5,-$E199*$I199/12*2,IF($J199=6,-$E199*$I199/12*1,0)))))+IF(DH$5&lt;&gt;$H199,0,IF(DH199&lt;0,IF($J199=4,-$E199*$I199/12*0,IF($J199=5,-$E199*$I199/12*1,IF($J199=6,-$E199*$I199/12*2,IF($J199&gt;=7,-$E199*$I199/12*3,0))))))</f>
        <v>0</v>
      </c>
      <c r="DK199" s="442">
        <f t="shared" ref="DK199:DK204" si="2620">IF($H199&lt;&gt;DM$5,0,IF(DM199&lt;0,IF(OR($J199=1,$J199=2,$J199=3,$J199=4,$J199=5,$J199=6,$J199=7),-$E199*$I199/12*3,IF($J199=8,-$E199*$I199/12*2,IF($J199=9,-$E199*$I199/12*1,0)))))+IF(DH$5&lt;&gt;$H199,0,IF(DH199&lt;0,IF($J199=7,-$E199*$I199/12*0,IF($J199=8,-$E199*$I199/12*1,IF($J199=9,-$E199*$I199/12*2,IF($J199&gt;=10,-$E199*$I199/12*3,0))))))</f>
        <v>0</v>
      </c>
      <c r="DL199" s="443">
        <f t="shared" ref="DL199:DL204" si="2621">IF($H199&lt;&gt;DM$5,0,IF(DM199&lt;0,IF(OR($J199=1,$J199=2,$J199=3,$J199=4,$J199=5,$J199=6,$J199=7,$J199=8,$J199=9,$J199=10),-$E199*$I199/12*3,IF($J199=11,-$E199*$I199/12*2,IF($J199=12,-$E199*$I199/12*1,0)))))+IF(DH$5&lt;&gt;$H199,0,IF(DH199&lt;0,IF($J199=10,-$E199*$I199/12*0,IF($J199=11,-$E199*$I199/12*1,IF($J199=12,-$E199*$I199/12*2,0)))))</f>
        <v>0</v>
      </c>
      <c r="DM199" s="440">
        <f t="shared" ref="DM199:DM204" si="2622">IF(AND(DH199&lt;&gt;0,DH$5=$H199),-$I199*$E199-DH199,IF(DM$5=$H199,-$I199*$E199*(12-$J199+1)/12,0))</f>
        <v>0</v>
      </c>
      <c r="DN199" s="441">
        <f t="shared" ref="DN199:DN204" si="2623">IF($H199&lt;&gt;DR$5,0,IF(DR199&lt;0,IF($J199=1,-$E199*$I199/12*3,IF($J199=2,-$E199*$I199/12*2,IF($J199=3,-$E199*$I199/12*1,0)))))+IF(DM$5&lt;&gt;$H199,0,IF(DM199&lt;0,IF($J199=1,-$E199*$I199/12*0,IF($J199=2,-$E199*$I199/12*1,IF($J199=3,-$E199*$I199/12*2,IF($J199&gt;=4,-$E199*$I199/12*3,0))))))</f>
        <v>0</v>
      </c>
      <c r="DO199" s="442">
        <f t="shared" ref="DO199:DO204" si="2624">IF($H199&lt;&gt;DR$5,0,IF(DR199&lt;0,IF(OR($J199=1,$J199=2,$J199=3,$J199=4),-$E199*$I199/12*3,IF($J199=5,-$E199*$I199/12*2,IF($J199=6,-$E199*$I199/12*1,0)))))+IF(DM$5&lt;&gt;$H199,0,IF(DM199&lt;0,IF($J199=4,-$E199*$I199/12*0,IF($J199=5,-$E199*$I199/12*1,IF($J199=6,-$E199*$I199/12*2,IF($J199&gt;=7,-$E199*$I199/12*3,0))))))</f>
        <v>0</v>
      </c>
      <c r="DP199" s="442">
        <f t="shared" ref="DP199:DP204" si="2625">IF($H199&lt;&gt;DR$5,0,IF(DR199&lt;0,IF(OR($J199=1,$J199=2,$J199=3,$J199=4,$J199=5,$J199=6,$J199=7),-$E199*$I199/12*3,IF($J199=8,-$E199*$I199/12*2,IF($J199=9,-$E199*$I199/12*1,0)))))+IF(DM$5&lt;&gt;$H199,0,IF(DM199&lt;0,IF($J199=7,-$E199*$I199/12*0,IF($J199=8,-$E199*$I199/12*1,IF($J199=9,-$E199*$I199/12*2,IF($J199&gt;=10,-$E199*$I199/12*3,0))))))</f>
        <v>0</v>
      </c>
      <c r="DQ199" s="443">
        <f t="shared" ref="DQ199:DQ204" si="2626">IF($H199&lt;&gt;DR$5,0,IF(DR199&lt;0,IF(OR($J199=1,$J199=2,$J199=3,$J199=4,$J199=5,$J199=6,$J199=7,$J199=8,$J199=9,$J199=10),-$E199*$I199/12*3,IF($J199=11,-$E199*$I199/12*2,IF($J199=12,-$E199*$I199/12*1,0)))))+IF(DM$5&lt;&gt;$H199,0,IF(DM199&lt;0,IF($J199=10,-$E199*$I199/12*0,IF($J199=11,-$E199*$I199/12*1,IF($J199=12,-$E199*$I199/12*2,0)))))</f>
        <v>0</v>
      </c>
      <c r="DR199" s="440">
        <f t="shared" ref="DR199:DR204" si="2627">IF(AND(DM199&lt;&gt;0,DM$5=$H199),-$I199*$E199-DM199,IF(DR$5=$H199,-$I199*$E199*(12-$J199+1)/12,0))</f>
        <v>0</v>
      </c>
    </row>
    <row r="200" spans="3:122" ht="12.75" customHeight="1">
      <c r="C200" s="1898" t="s">
        <v>966</v>
      </c>
      <c r="D200" s="395"/>
      <c r="E200" s="1950">
        <f>IF(F200=0,G200,F200)</f>
        <v>73.5</v>
      </c>
      <c r="F200" s="1945">
        <v>73.5</v>
      </c>
      <c r="G200" s="1945">
        <v>73.5</v>
      </c>
      <c r="H200" s="1366">
        <v>2037</v>
      </c>
      <c r="I200" s="1367">
        <v>5.5E-2</v>
      </c>
      <c r="J200" s="1357">
        <v>10</v>
      </c>
      <c r="K200" s="549"/>
      <c r="L200" s="441">
        <f>IF(P200=0,0,IF(P200&lt;0,IF($J200=3,P200,IF($J200=2,P200,IF($J200=1,P200,0)))))</f>
        <v>0</v>
      </c>
      <c r="M200" s="442">
        <f>IF(P200=0,0,IF(P200&lt;0,IF($J200=6,P200,IF($J200=5,P200,IF($J200=4,P200,0)))))</f>
        <v>0</v>
      </c>
      <c r="N200" s="442">
        <f>IF(P200=0,0,IF(P200&lt;0,IF($J200=9,P200,IF($J200=8,P200,IF($J200=7,P200,0)))))</f>
        <v>0</v>
      </c>
      <c r="O200" s="443">
        <f>IF(P200=0,0,IF(P200&lt;0,IF($J200=12,P200,IF($J200=11,P200,IF($J200=10,P200,0)))))</f>
        <v>0</v>
      </c>
      <c r="P200" s="440">
        <f>IF(P$5=$H200,-$E200,0)</f>
        <v>0</v>
      </c>
      <c r="Q200" s="441">
        <f>IF(U200=0,0,IF(U200&lt;0,IF($J200=3,U200,IF($J200=2,U200,IF($J200=1,U200,0)))))</f>
        <v>0</v>
      </c>
      <c r="R200" s="442">
        <f>IF(U200=0,0,IF(U200&lt;0,IF($J200=6,U200,IF($J200=5,U200,IF($J200=4,U200,0)))))</f>
        <v>0</v>
      </c>
      <c r="S200" s="442">
        <f>IF(U200=0,0,IF(U200&lt;0,IF($J200=9,U200,IF($J200=8,U200,IF($J200=7,U200,0)))))</f>
        <v>0</v>
      </c>
      <c r="T200" s="443">
        <f>IF(U200=0,0,IF(U200&lt;0,IF($J200=12,U200,IF($J200=11,U200,IF($J200=10,U200,0)))))</f>
        <v>0</v>
      </c>
      <c r="U200" s="440">
        <f>IF(U$5=$H200,-$E200,0)</f>
        <v>0</v>
      </c>
      <c r="V200" s="441">
        <f>IF(Z200=0,0,IF(Z200&lt;0,IF($J200=3,Z200,IF($J200=2,Z200,IF($J200=1,Z200,0)))))</f>
        <v>0</v>
      </c>
      <c r="W200" s="442">
        <f>IF(Z200=0,0,IF(Z200&lt;0,IF($J200=6,Z200,IF($J200=5,Z200,IF($J200=4,Z200,0)))))</f>
        <v>0</v>
      </c>
      <c r="X200" s="442">
        <f>IF(Z200=0,0,IF(Z200&lt;0,IF($J200=9,Z200,IF($J200=8,Z200,IF($J200=7,Z200,0)))))</f>
        <v>0</v>
      </c>
      <c r="Y200" s="443">
        <f>IF(Z200=0,0,IF(Z200&lt;0,IF($J200=12,Z200,IF($J200=11,Z200,IF($J200=10,Z200,0)))))</f>
        <v>0</v>
      </c>
      <c r="Z200" s="440">
        <f>IF(Z$5=$H200,-$E200,0)</f>
        <v>0</v>
      </c>
      <c r="AA200" s="441">
        <f>IF(AE200=0,0,IF(AE200&lt;0,IF($J200=3,AE200,IF($J200=2,AE200,IF($J200=1,AE200,0)))))</f>
        <v>0</v>
      </c>
      <c r="AB200" s="442">
        <f>IF(AE200=0,0,IF(AE200&lt;0,IF($J200=6,AE200,IF($J200=5,AE200,IF($J200=4,AE200,0)))))</f>
        <v>0</v>
      </c>
      <c r="AC200" s="442">
        <f>IF(AE200=0,0,IF(AE200&lt;0,IF($J200=9,AE200,IF($J200=8,AE200,IF($J200=7,AE200,0)))))</f>
        <v>0</v>
      </c>
      <c r="AD200" s="443">
        <f>IF(AE200=0,0,IF(AE200&lt;0,IF($J200=12,AE200,IF($J200=11,AE200,IF($J200=10,AE200,0)))))</f>
        <v>0</v>
      </c>
      <c r="AE200" s="440">
        <f>IF(AE$5=$H200,-$E200,0)</f>
        <v>0</v>
      </c>
      <c r="AF200" s="441">
        <f>IF(AJ200=0,0,IF(AJ200&lt;0,IF($J200=3,AJ200,IF($J200=2,AJ200,IF($J200=1,AJ200,0)))))</f>
        <v>0</v>
      </c>
      <c r="AG200" s="442">
        <f>IF(AJ200=0,0,IF(AJ200&lt;0,IF($J200=6,AJ200,IF($J200=5,AJ200,IF($J200=4,AJ200,0)))))</f>
        <v>0</v>
      </c>
      <c r="AH200" s="442">
        <f>IF(AJ200=0,0,IF(AJ200&lt;0,IF($J200=9,AJ200,IF($J200=8,AJ200,IF($J200=7,AJ200,0)))))</f>
        <v>0</v>
      </c>
      <c r="AI200" s="443">
        <f>IF(AJ200=0,0,IF(AJ200&lt;0,IF($J200=12,AJ200,IF($J200=11,AJ200,IF($J200=10,AJ200,0)))))</f>
        <v>0</v>
      </c>
      <c r="AJ200" s="440">
        <f>IF(AJ$5=$H200,-$E200,0)</f>
        <v>0</v>
      </c>
      <c r="AK200" s="441">
        <f>IF(AO200=0,0,IF(AO200&lt;0,IF($J200=3,AO200,IF($J200=2,AO200,IF($J200=1,AO200,0)))))</f>
        <v>0</v>
      </c>
      <c r="AL200" s="442">
        <f>IF(AO200=0,0,IF(AO200&lt;0,IF($J200=6,AO200,IF($J200=5,AO200,IF($J200=4,AO200,0)))))</f>
        <v>0</v>
      </c>
      <c r="AM200" s="442">
        <f>IF(AO200=0,0,IF(AO200&lt;0,IF($J200=9,AO200,IF($J200=8,AO200,IF($J200=7,AO200,0)))))</f>
        <v>0</v>
      </c>
      <c r="AN200" s="443">
        <f>IF(AO200=0,0,IF(AO200&lt;0,IF($J200=12,AO200,IF($J200=11,AO200,IF($J200=10,AO200,0)))))</f>
        <v>0</v>
      </c>
      <c r="AO200" s="440">
        <f>IF(AO$5=$H200,-$E200,0)</f>
        <v>0</v>
      </c>
      <c r="AP200" s="441">
        <f>IF(AT200=0,0,IF(AT200&lt;0,IF($J200=3,AT200,IF($J200=2,AT200,IF($J200=1,AT200,0)))))</f>
        <v>0</v>
      </c>
      <c r="AQ200" s="442">
        <f>IF(AT200=0,0,IF(AT200&lt;0,IF($J200=6,AT200,IF($J200=5,AT200,IF($J200=4,AT200,0)))))</f>
        <v>0</v>
      </c>
      <c r="AR200" s="442">
        <f>IF(AT200=0,0,IF(AT200&lt;0,IF($J200=9,AT200,IF($J200=8,AT200,IF($J200=7,AT200,0)))))</f>
        <v>0</v>
      </c>
      <c r="AS200" s="443">
        <f>IF(AT200=0,0,IF(AT200&lt;0,IF($J200=12,AT200,IF($J200=11,AT200,IF($J200=10,AT200,0)))))</f>
        <v>0</v>
      </c>
      <c r="AT200" s="440">
        <f>IF(AT$5=$H200,-$E200,0)</f>
        <v>0</v>
      </c>
      <c r="AU200" s="441">
        <f>IF(AY200=0,0,IF(AY200&lt;0,IF($J200=3,AY200,IF($J200=2,AY200,IF($J200=1,AY200,0)))))</f>
        <v>0</v>
      </c>
      <c r="AV200" s="442">
        <f>IF(AY200=0,0,IF(AY200&lt;0,IF($J200=6,AY200,IF($J200=5,AY200,IF($J200=4,AY200,0)))))</f>
        <v>0</v>
      </c>
      <c r="AW200" s="442">
        <f>IF(AY200=0,0,IF(AY200&lt;0,IF($J200=9,AY200,IF($J200=8,AY200,IF($J200=7,AY200,0)))))</f>
        <v>0</v>
      </c>
      <c r="AX200" s="443">
        <f>IF(AY200=0,0,IF(AY200&lt;0,IF($J200=12,AY200,IF($J200=11,AY200,IF($J200=10,AY200,0)))))</f>
        <v>0</v>
      </c>
      <c r="AY200" s="440">
        <f>IF(AY$5=$H200,-$E200,0)</f>
        <v>0</v>
      </c>
      <c r="AZ200" s="441">
        <f>IF(BD200=0,0,IF(BD200&lt;0,IF($J200=3,BD200,IF($J200=2,BD200,IF($J200=1,BD200,0)))))</f>
        <v>0</v>
      </c>
      <c r="BA200" s="442">
        <f>IF(BD200=0,0,IF(BD200&lt;0,IF($J200=6,BD200,IF($J200=5,BD200,IF($J200=4,BD200,0)))))</f>
        <v>0</v>
      </c>
      <c r="BB200" s="442">
        <f>IF(BD200=0,0,IF(BD200&lt;0,IF($J200=9,BD200,IF($J200=8,BD200,IF($J200=7,BD200,0)))))</f>
        <v>0</v>
      </c>
      <c r="BC200" s="443">
        <f>IF(BD200=0,0,IF(BD200&lt;0,IF($J200=12,BD200,IF($J200=11,BD200,IF($J200=10,BD200,0)))))</f>
        <v>0</v>
      </c>
      <c r="BD200" s="440">
        <f>IF(BD$5=$H200,-$E200,0)</f>
        <v>0</v>
      </c>
      <c r="BE200" s="441">
        <f>IF(BI200=0,0,IF(BI200&lt;0,IF($J200=3,BI200,IF($J200=2,BI200,IF($J200=1,BI200,0)))))</f>
        <v>0</v>
      </c>
      <c r="BF200" s="442">
        <f>IF(BI200=0,0,IF(BI200&lt;0,IF($J200=6,BI200,IF($J200=5,BI200,IF($J200=4,BI200,0)))))</f>
        <v>0</v>
      </c>
      <c r="BG200" s="442">
        <f>IF(BI200=0,0,IF(BI200&lt;0,IF($J200=9,BI200,IF($J200=8,BI200,IF($J200=7,BI200,0)))))</f>
        <v>0</v>
      </c>
      <c r="BH200" s="443">
        <f>IF(BI200=0,0,IF(BI200&lt;0,IF($J200=12,BI200,IF($J200=11,BI200,IF($J200=10,BI200,0)))))</f>
        <v>0</v>
      </c>
      <c r="BI200" s="440">
        <f>IF(BI$5=$H200,-$E200,0)</f>
        <v>0</v>
      </c>
      <c r="BJ200" s="441">
        <f>IF(BN200=0,0,IF(BN200&lt;0,IF($J200=3,BN200,IF($J200=2,BN200,IF($J200=1,BN200,0)))))</f>
        <v>0</v>
      </c>
      <c r="BK200" s="442">
        <f>IF(BN200=0,0,IF(BN200&lt;0,IF($J200=6,BN200,IF($J200=5,BN200,IF($J200=4,BN200,0)))))</f>
        <v>0</v>
      </c>
      <c r="BL200" s="442">
        <f>IF(BN200=0,0,IF(BN200&lt;0,IF($J200=9,BN200,IF($J200=8,BN200,IF($J200=7,BN200,0)))))</f>
        <v>0</v>
      </c>
      <c r="BM200" s="443">
        <f>IF(BN200=0,0,IF(BN200&lt;0,IF($J200=12,BN200,IF($J200=11,BN200,IF($J200=10,BN200,0)))))</f>
        <v>0</v>
      </c>
      <c r="BN200" s="440">
        <f>IF(BN$5=$H200,-$E200,0)</f>
        <v>0</v>
      </c>
      <c r="BO200" s="470"/>
      <c r="BP200" s="441">
        <f>IF($H200&lt;&gt;BT$5,0,IF(BT200&lt;0,IF($J200=1,-$E200*$I200/12*3,IF($J200=2,-$E200*$I200/12*2,IF($J200=3,-$E200*$I200/12*1,0)))))+IF(BO$5&lt;&gt;$H200,0,IF(BO200&lt;0,IF($J200=1,-$E200*$I200/12*0,IF($J200=2,-$E200*$I200/12*1,IF($J200=3,-$E200*$I200/12*2,IF($J200&gt;=4,-$E200*$I200/12*3,0))))))</f>
        <v>0</v>
      </c>
      <c r="BQ200" s="442">
        <f>IF($H200&lt;&gt;BT$5,0,IF(BT200&lt;0,IF(OR($J200=1,$J200=2,$J200=3,$J200=4),-$E200*$I200/12*3,IF($J200=5,-$E200*$I200/12*2,IF($J200=6,-$E200*$I200/12*1,0)))))+IF(BO$5&lt;&gt;$H200,0,IF(BO200&lt;0,IF($J200=4,-$E200*$I200/12*0,IF($J200=5,-$E200*$I200/12*1,IF($J200=6,-$E200*$I200/12*2,IF($J200&gt;=7,-$E200*$I200/12*3,0))))))</f>
        <v>0</v>
      </c>
      <c r="BR200" s="442">
        <f>IF($H200&lt;&gt;BT$5,0,IF(BT200&lt;0,IF(OR($J200=1,$J200=2,$J200=3,$J200=4,$J200=5,$J200=6,$J200=7),-$E200*$I200/12*3,IF($J200=8,-$E200*$I200/12*2,IF($J200=9,-$E200*$I200/12*1,0)))))+IF(BO$5&lt;&gt;$H200,0,IF(BO200&lt;0,IF($J200=7,-$E200*$I200/12*0,IF($J200=8,-$E200*$I200/12*1,IF($J200=9,-$E200*$I200/12*2,IF($J200&gt;=10,-$E200*$I200/12*3,0))))))</f>
        <v>0</v>
      </c>
      <c r="BS200" s="443">
        <f>IF($H200&lt;&gt;BT$5,0,IF(BT200&lt;0,IF(OR($J200=1,$J200=2,$J200=3,$J200=4,$J200=5,$J200=6,$J200=7,$J200=8,$J200=9,$J200=10),-$E200*$I200/12*3,IF($J200=11,-$E200*$I200/12*2,IF($J200=12,-$E200*$I200/12*1,0)))))+IF(BO$5&lt;&gt;$H200,0,IF(BO200&lt;0,IF($J200=10,-$E200*$I200/12*0,IF($J200=11,-$E200*$I200/12*1,IF($J200=12,-$E200*$I200/12*2,0)))))</f>
        <v>0</v>
      </c>
      <c r="BT200" s="440">
        <f>IF(AND(BO200&lt;&gt;0,BO$5=$H200),-$I200*$E200-BO200,IF(BT$5=$H200,-$I200*$E200*(12-$J200+1)/12,0))</f>
        <v>0</v>
      </c>
      <c r="BU200" s="441">
        <f>IF($H200&lt;&gt;BY$5,0,IF(BY200&lt;0,IF($J200=1,-$E200*$I200/12*3,IF($J200=2,-$E200*$I200/12*2,IF($J200=3,-$E200*$I200/12*1,0)))))+IF(BT$5&lt;&gt;$H200,0,IF(BT200&lt;0,IF($J200=1,-$E200*$I200/12*0,IF($J200=2,-$E200*$I200/12*1,IF($J200=3,-$E200*$I200/12*2,IF($J200&gt;=4,-$E200*$I200/12*3,0))))))</f>
        <v>0</v>
      </c>
      <c r="BV200" s="442">
        <f>IF($H200&lt;&gt;BY$5,0,IF(BY200&lt;0,IF(OR($J200=1,$J200=2,$J200=3,$J200=4),-$E200*$I200/12*3,IF($J200=5,-$E200*$I200/12*2,IF($J200=6,-$E200*$I200/12*1,0)))))+IF(BT$5&lt;&gt;$H200,0,IF(BT200&lt;0,IF($J200=4,-$E200*$I200/12*0,IF($J200=5,-$E200*$I200/12*1,IF($J200=6,-$E200*$I200/12*2,IF($J200&gt;=7,-$E200*$I200/12*3,0))))))</f>
        <v>0</v>
      </c>
      <c r="BW200" s="442">
        <f>IF($H200&lt;&gt;BY$5,0,IF(BY200&lt;0,IF(OR($J200=1,$J200=2,$J200=3,$J200=4,$J200=5,$J200=6,$J200=7),-$E200*$I200/12*3,IF($J200=8,-$E200*$I200/12*2,IF($J200=9,-$E200*$I200/12*1,0)))))+IF(BT$5&lt;&gt;$H200,0,IF(BT200&lt;0,IF($J200=7,-$E200*$I200/12*0,IF($J200=8,-$E200*$I200/12*1,IF($J200=9,-$E200*$I200/12*2,IF($J200&gt;=10,-$E200*$I200/12*3,0))))))</f>
        <v>0</v>
      </c>
      <c r="BX200" s="443">
        <f>IF($H200&lt;&gt;BY$5,0,IF(BY200&lt;0,IF(OR($J200=1,$J200=2,$J200=3,$J200=4,$J200=5,$J200=6,$J200=7,$J200=8,$J200=9,$J200=10),-$E200*$I200/12*3,IF($J200=11,-$E200*$I200/12*2,IF($J200=12,-$E200*$I200/12*1,0)))))+IF(BT$5&lt;&gt;$H200,0,IF(BT200&lt;0,IF($J200=10,-$E200*$I200/12*0,IF($J200=11,-$E200*$I200/12*1,IF($J200=12,-$E200*$I200/12*2,0)))))</f>
        <v>0</v>
      </c>
      <c r="BY200" s="440">
        <f>IF(AND(BT200&lt;&gt;0,BT$5=$H200),-$I200*$E200-BT200,IF(BY$5=$H200,-$I200*$E200*(12-$J200+1)/12,0))</f>
        <v>0</v>
      </c>
      <c r="BZ200" s="441">
        <f>IF($H200&lt;&gt;CD$5,0,IF(CD200&lt;0,IF($J200=1,-$E200*$I200/12*3,IF($J200=2,-$E200*$I200/12*2,IF($J200=3,-$E200*$I200/12*1,0)))))+IF(BY$5&lt;&gt;$H200,0,IF(BY200&lt;0,IF($J200=1,-$E200*$I200/12*0,IF($J200=2,-$E200*$I200/12*1,IF($J200=3,-$E200*$I200/12*2,IF($J200&gt;=4,-$E200*$I200/12*3,0))))))</f>
        <v>0</v>
      </c>
      <c r="CA200" s="442">
        <f>IF($H200&lt;&gt;CD$5,0,IF(CD200&lt;0,IF(OR($J200=1,$J200=2,$J200=3,$J200=4),-$E200*$I200/12*3,IF($J200=5,-$E200*$I200/12*2,IF($J200=6,-$E200*$I200/12*1,0)))))+IF(BY$5&lt;&gt;$H200,0,IF(BY200&lt;0,IF($J200=4,-$E200*$I200/12*0,IF($J200=5,-$E200*$I200/12*1,IF($J200=6,-$E200*$I200/12*2,IF($J200&gt;=7,-$E200*$I200/12*3,0))))))</f>
        <v>0</v>
      </c>
      <c r="CB200" s="442">
        <f>IF($H200&lt;&gt;CD$5,0,IF(CD200&lt;0,IF(OR($J200=1,$J200=2,$J200=3,$J200=4,$J200=5,$J200=6,$J200=7),-$E200*$I200/12*3,IF($J200=8,-$E200*$I200/12*2,IF($J200=9,-$E200*$I200/12*1,0)))))+IF(BY$5&lt;&gt;$H200,0,IF(BY200&lt;0,IF($J200=7,-$E200*$I200/12*0,IF($J200=8,-$E200*$I200/12*1,IF($J200=9,-$E200*$I200/12*2,IF($J200&gt;=10,-$E200*$I200/12*3,0))))))</f>
        <v>0</v>
      </c>
      <c r="CC200" s="443">
        <f>IF($H200&lt;&gt;CD$5,0,IF(CD200&lt;0,IF(OR($J200=1,$J200=2,$J200=3,$J200=4,$J200=5,$J200=6,$J200=7,$J200=8,$J200=9,$J200=10),-$E200*$I200/12*3,IF($J200=11,-$E200*$I200/12*2,IF($J200=12,-$E200*$I200/12*1,0)))))+IF(BY$5&lt;&gt;$H200,0,IF(BY200&lt;0,IF($J200=10,-$E200*$I200/12*0,IF($J200=11,-$E200*$I200/12*1,IF($J200=12,-$E200*$I200/12*2,0)))))</f>
        <v>0</v>
      </c>
      <c r="CD200" s="440">
        <f>IF(AND(BY200&lt;&gt;0,BY$5=$H200),-$I200*$E200-BY200,IF(CD$5=$H200,-$I200*$E200*(12-$J200+1)/12,0))</f>
        <v>0</v>
      </c>
      <c r="CE200" s="441">
        <f>IF($H200&lt;&gt;CI$5,0,IF(CI200&lt;0,IF($J200=1,-$E200*$I200/12*3,IF($J200=2,-$E200*$I200/12*2,IF($J200=3,-$E200*$I200/12*1,0)))))+IF(CD$5&lt;&gt;$H200,0,IF(CD200&lt;0,IF($J200=1,-$E200*$I200/12*0,IF($J200=2,-$E200*$I200/12*1,IF($J200=3,-$E200*$I200/12*2,IF($J200&gt;=4,-$E200*$I200/12*3,0))))))</f>
        <v>0</v>
      </c>
      <c r="CF200" s="442">
        <f>IF($H200&lt;&gt;CI$5,0,IF(CI200&lt;0,IF(OR($J200=1,$J200=2,$J200=3,$J200=4),-$E200*$I200/12*3,IF($J200=5,-$E200*$I200/12*2,IF($J200=6,-$E200*$I200/12*1,0)))))+IF(CD$5&lt;&gt;$H200,0,IF(CD200&lt;0,IF($J200=4,-$E200*$I200/12*0,IF($J200=5,-$E200*$I200/12*1,IF($J200=6,-$E200*$I200/12*2,IF($J200&gt;=7,-$E200*$I200/12*3,0))))))</f>
        <v>0</v>
      </c>
      <c r="CG200" s="442">
        <f>IF($H200&lt;&gt;CI$5,0,IF(CI200&lt;0,IF(OR($J200=1,$J200=2,$J200=3,$J200=4,$J200=5,$J200=6,$J200=7),-$E200*$I200/12*3,IF($J200=8,-$E200*$I200/12*2,IF($J200=9,-$E200*$I200/12*1,0)))))+IF(CD$5&lt;&gt;$H200,0,IF(CD200&lt;0,IF($J200=7,-$E200*$I200/12*0,IF($J200=8,-$E200*$I200/12*1,IF($J200=9,-$E200*$I200/12*2,IF($J200&gt;=10,-$E200*$I200/12*3,0))))))</f>
        <v>0</v>
      </c>
      <c r="CH200" s="443">
        <f>IF($H200&lt;&gt;CI$5,0,IF(CI200&lt;0,IF(OR($J200=1,$J200=2,$J200=3,$J200=4,$J200=5,$J200=6,$J200=7,$J200=8,$J200=9,$J200=10),-$E200*$I200/12*3,IF($J200=11,-$E200*$I200/12*2,IF($J200=12,-$E200*$I200/12*1,0)))))+IF(CD$5&lt;&gt;$H200,0,IF(CD200&lt;0,IF($J200=10,-$E200*$I200/12*0,IF($J200=11,-$E200*$I200/12*1,IF($J200=12,-$E200*$I200/12*2,0)))))</f>
        <v>0</v>
      </c>
      <c r="CI200" s="440">
        <f>IF(AND(CD200&lt;&gt;0,CD$5=$H200),-$I200*$E200-CD200,IF(CI$5=$H200,-$I200*$E200*(12-$J200+1)/12,0))</f>
        <v>0</v>
      </c>
      <c r="CJ200" s="441">
        <f>IF($H200&lt;&gt;CN$5,0,IF(CN200&lt;0,IF($J200=1,-$E200*$I200/12*3,IF($J200=2,-$E200*$I200/12*2,IF($J200=3,-$E200*$I200/12*1,0)))))+IF(CI$5&lt;&gt;$H200,0,IF(CI200&lt;0,IF($J200=1,-$E200*$I200/12*0,IF($J200=2,-$E200*$I200/12*1,IF($J200=3,-$E200*$I200/12*2,IF($J200&gt;=4,-$E200*$I200/12*3,0))))))</f>
        <v>0</v>
      </c>
      <c r="CK200" s="442">
        <f>IF($H200&lt;&gt;CN$5,0,IF(CN200&lt;0,IF(OR($J200=1,$J200=2,$J200=3,$J200=4),-$E200*$I200/12*3,IF($J200=5,-$E200*$I200/12*2,IF($J200=6,-$E200*$I200/12*1,0)))))+IF(CI$5&lt;&gt;$H200,0,IF(CI200&lt;0,IF($J200=4,-$E200*$I200/12*0,IF($J200=5,-$E200*$I200/12*1,IF($J200=6,-$E200*$I200/12*2,IF($J200&gt;=7,-$E200*$I200/12*3,0))))))</f>
        <v>0</v>
      </c>
      <c r="CL200" s="442">
        <f>IF($H200&lt;&gt;CN$5,0,IF(CN200&lt;0,IF(OR($J200=1,$J200=2,$J200=3,$J200=4,$J200=5,$J200=6,$J200=7),-$E200*$I200/12*3,IF($J200=8,-$E200*$I200/12*2,IF($J200=9,-$E200*$I200/12*1,0)))))+IF(CI$5&lt;&gt;$H200,0,IF(CI200&lt;0,IF($J200=7,-$E200*$I200/12*0,IF($J200=8,-$E200*$I200/12*1,IF($J200=9,-$E200*$I200/12*2,IF($J200&gt;=10,-$E200*$I200/12*3,0))))))</f>
        <v>0</v>
      </c>
      <c r="CM200" s="443">
        <f>IF($H200&lt;&gt;CN$5,0,IF(CN200&lt;0,IF(OR($J200=1,$J200=2,$J200=3,$J200=4,$J200=5,$J200=6,$J200=7,$J200=8,$J200=9,$J200=10),-$E200*$I200/12*3,IF($J200=11,-$E200*$I200/12*2,IF($J200=12,-$E200*$I200/12*1,0)))))+IF(CI$5&lt;&gt;$H200,0,IF(CI200&lt;0,IF($J200=10,-$E200*$I200/12*0,IF($J200=11,-$E200*$I200/12*1,IF($J200=12,-$E200*$I200/12*2,0)))))</f>
        <v>0</v>
      </c>
      <c r="CN200" s="440">
        <f>IF(AND(CI200&lt;&gt;0,CI$5=$H200),-$I200*$E200-CI200,IF(CN$5=$H200,-$I200*$E200*(12-$J200+1)/12,0))</f>
        <v>0</v>
      </c>
      <c r="CO200" s="441">
        <f>IF($H200&lt;&gt;CS$5,0,IF(CS200&lt;0,IF($J200=1,-$E200*$I200/12*3,IF($J200=2,-$E200*$I200/12*2,IF($J200=3,-$E200*$I200/12*1,0)))))+IF(CN$5&lt;&gt;$H200,0,IF(CN200&lt;0,IF($J200=1,-$E200*$I200/12*0,IF($J200=2,-$E200*$I200/12*1,IF($J200=3,-$E200*$I200/12*2,IF($J200&gt;=4,-$E200*$I200/12*3,0))))))</f>
        <v>0</v>
      </c>
      <c r="CP200" s="442">
        <f>IF($H200&lt;&gt;CS$5,0,IF(CS200&lt;0,IF(OR($J200=1,$J200=2,$J200=3,$J200=4),-$E200*$I200/12*3,IF($J200=5,-$E200*$I200/12*2,IF($J200=6,-$E200*$I200/12*1,0)))))+IF(CN$5&lt;&gt;$H200,0,IF(CN200&lt;0,IF($J200=4,-$E200*$I200/12*0,IF($J200=5,-$E200*$I200/12*1,IF($J200=6,-$E200*$I200/12*2,IF($J200&gt;=7,-$E200*$I200/12*3,0))))))</f>
        <v>0</v>
      </c>
      <c r="CQ200" s="442">
        <f>IF($H200&lt;&gt;CS$5,0,IF(CS200&lt;0,IF(OR($J200=1,$J200=2,$J200=3,$J200=4,$J200=5,$J200=6,$J200=7),-$E200*$I200/12*3,IF($J200=8,-$E200*$I200/12*2,IF($J200=9,-$E200*$I200/12*1,0)))))+IF(CN$5&lt;&gt;$H200,0,IF(CN200&lt;0,IF($J200=7,-$E200*$I200/12*0,IF($J200=8,-$E200*$I200/12*1,IF($J200=9,-$E200*$I200/12*2,IF($J200&gt;=10,-$E200*$I200/12*3,0))))))</f>
        <v>0</v>
      </c>
      <c r="CR200" s="443">
        <f>IF($H200&lt;&gt;CS$5,0,IF(CS200&lt;0,IF(OR($J200=1,$J200=2,$J200=3,$J200=4,$J200=5,$J200=6,$J200=7,$J200=8,$J200=9,$J200=10),-$E200*$I200/12*3,IF($J200=11,-$E200*$I200/12*2,IF($J200=12,-$E200*$I200/12*1,0)))))+IF(CN$5&lt;&gt;$H200,0,IF(CN200&lt;0,IF($J200=10,-$E200*$I200/12*0,IF($J200=11,-$E200*$I200/12*1,IF($J200=12,-$E200*$I200/12*2,0)))))</f>
        <v>0</v>
      </c>
      <c r="CS200" s="440">
        <f>IF(AND(CN200&lt;&gt;0,CN$5=$H200),-$I200*$E200-CN200,IF(CS$5=$H200,-$I200*$E200*(12-$J200+1)/12,0))</f>
        <v>0</v>
      </c>
      <c r="CT200" s="441">
        <f>IF($H200&lt;&gt;CX$5,0,IF(CX200&lt;0,IF($J200=1,-$E200*$I200/12*3,IF($J200=2,-$E200*$I200/12*2,IF($J200=3,-$E200*$I200/12*1,0)))))+IF(CS$5&lt;&gt;$H200,0,IF(CS200&lt;0,IF($J200=1,-$E200*$I200/12*0,IF($J200=2,-$E200*$I200/12*1,IF($J200=3,-$E200*$I200/12*2,IF($J200&gt;=4,-$E200*$I200/12*3,0))))))</f>
        <v>0</v>
      </c>
      <c r="CU200" s="442">
        <f>IF($H200&lt;&gt;CX$5,0,IF(CX200&lt;0,IF(OR($J200=1,$J200=2,$J200=3,$J200=4),-$E200*$I200/12*3,IF($J200=5,-$E200*$I200/12*2,IF($J200=6,-$E200*$I200/12*1,0)))))+IF(CS$5&lt;&gt;$H200,0,IF(CS200&lt;0,IF($J200=4,-$E200*$I200/12*0,IF($J200=5,-$E200*$I200/12*1,IF($J200=6,-$E200*$I200/12*2,IF($J200&gt;=7,-$E200*$I200/12*3,0))))))</f>
        <v>0</v>
      </c>
      <c r="CV200" s="442">
        <f>IF($H200&lt;&gt;CX$5,0,IF(CX200&lt;0,IF(OR($J200=1,$J200=2,$J200=3,$J200=4,$J200=5,$J200=6,$J200=7),-$E200*$I200/12*3,IF($J200=8,-$E200*$I200/12*2,IF($J200=9,-$E200*$I200/12*1,0)))))+IF(CS$5&lt;&gt;$H200,0,IF(CS200&lt;0,IF($J200=7,-$E200*$I200/12*0,IF($J200=8,-$E200*$I200/12*1,IF($J200=9,-$E200*$I200/12*2,IF($J200&gt;=10,-$E200*$I200/12*3,0))))))</f>
        <v>0</v>
      </c>
      <c r="CW200" s="443">
        <f>IF($H200&lt;&gt;CX$5,0,IF(CX200&lt;0,IF(OR($J200=1,$J200=2,$J200=3,$J200=4,$J200=5,$J200=6,$J200=7,$J200=8,$J200=9,$J200=10),-$E200*$I200/12*3,IF($J200=11,-$E200*$I200/12*2,IF($J200=12,-$E200*$I200/12*1,0)))))+IF(CS$5&lt;&gt;$H200,0,IF(CS200&lt;0,IF($J200=10,-$E200*$I200/12*0,IF($J200=11,-$E200*$I200/12*1,IF($J200=12,-$E200*$I200/12*2,0)))))</f>
        <v>0</v>
      </c>
      <c r="CX200" s="440">
        <f>IF(AND(CS200&lt;&gt;0,CS$5=$H200),-$I200*$E200-CS200,IF(CX$5=$H200,-$I200*$E200*(12-$J200+1)/12,0))</f>
        <v>0</v>
      </c>
      <c r="CY200" s="441">
        <f>IF($H200&lt;&gt;DC$5,0,IF(DC200&lt;0,IF($J200=1,-$E200*$I200/12*3,IF($J200=2,-$E200*$I200/12*2,IF($J200=3,-$E200*$I200/12*1,0)))))+IF(CX$5&lt;&gt;$H200,0,IF(CX200&lt;0,IF($J200=1,-$E200*$I200/12*0,IF($J200=2,-$E200*$I200/12*1,IF($J200=3,-$E200*$I200/12*2,IF($J200&gt;=4,-$E200*$I200/12*3,0))))))</f>
        <v>0</v>
      </c>
      <c r="CZ200" s="442">
        <f>IF($H200&lt;&gt;DC$5,0,IF(DC200&lt;0,IF(OR($J200=1,$J200=2,$J200=3,$J200=4),-$E200*$I200/12*3,IF($J200=5,-$E200*$I200/12*2,IF($J200=6,-$E200*$I200/12*1,0)))))+IF(CX$5&lt;&gt;$H200,0,IF(CX200&lt;0,IF($J200=4,-$E200*$I200/12*0,IF($J200=5,-$E200*$I200/12*1,IF($J200=6,-$E200*$I200/12*2,IF($J200&gt;=7,-$E200*$I200/12*3,0))))))</f>
        <v>0</v>
      </c>
      <c r="DA200" s="442">
        <f>IF($H200&lt;&gt;DC$5,0,IF(DC200&lt;0,IF(OR($J200=1,$J200=2,$J200=3,$J200=4,$J200=5,$J200=6,$J200=7),-$E200*$I200/12*3,IF($J200=8,-$E200*$I200/12*2,IF($J200=9,-$E200*$I200/12*1,0)))))+IF(CX$5&lt;&gt;$H200,0,IF(CX200&lt;0,IF($J200=7,-$E200*$I200/12*0,IF($J200=8,-$E200*$I200/12*1,IF($J200=9,-$E200*$I200/12*2,IF($J200&gt;=10,-$E200*$I200/12*3,0))))))</f>
        <v>0</v>
      </c>
      <c r="DB200" s="443">
        <f>IF($H200&lt;&gt;DC$5,0,IF(DC200&lt;0,IF(OR($J200=1,$J200=2,$J200=3,$J200=4,$J200=5,$J200=6,$J200=7,$J200=8,$J200=9,$J200=10),-$E200*$I200/12*3,IF($J200=11,-$E200*$I200/12*2,IF($J200=12,-$E200*$I200/12*1,0)))))+IF(CX$5&lt;&gt;$H200,0,IF(CX200&lt;0,IF($J200=10,-$E200*$I200/12*0,IF($J200=11,-$E200*$I200/12*1,IF($J200=12,-$E200*$I200/12*2,0)))))</f>
        <v>0</v>
      </c>
      <c r="DC200" s="440">
        <f>IF(AND(CX200&lt;&gt;0,CX$5=$H200),-$I200*$E200-CX200,IF(DC$5=$H200,-$I200*$E200*(12-$J200+1)/12,0))</f>
        <v>0</v>
      </c>
      <c r="DD200" s="441">
        <f>IF($H200&lt;&gt;DH$5,0,IF(DH200&lt;0,IF($J200=1,-$E200*$I200/12*3,IF($J200=2,-$E200*$I200/12*2,IF($J200=3,-$E200*$I200/12*1,0)))))+IF(DC$5&lt;&gt;$H200,0,IF(DC200&lt;0,IF($J200=1,-$E200*$I200/12*0,IF($J200=2,-$E200*$I200/12*1,IF($J200=3,-$E200*$I200/12*2,IF($J200&gt;=4,-$E200*$I200/12*3,0))))))</f>
        <v>0</v>
      </c>
      <c r="DE200" s="442">
        <f>IF($H200&lt;&gt;DH$5,0,IF(DH200&lt;0,IF(OR($J200=1,$J200=2,$J200=3,$J200=4),-$E200*$I200/12*3,IF($J200=5,-$E200*$I200/12*2,IF($J200=6,-$E200*$I200/12*1,0)))))+IF(DC$5&lt;&gt;$H200,0,IF(DC200&lt;0,IF($J200=4,-$E200*$I200/12*0,IF($J200=5,-$E200*$I200/12*1,IF($J200=6,-$E200*$I200/12*2,IF($J200&gt;=7,-$E200*$I200/12*3,0))))))</f>
        <v>0</v>
      </c>
      <c r="DF200" s="442">
        <f>IF($H200&lt;&gt;DH$5,0,IF(DH200&lt;0,IF(OR($J200=1,$J200=2,$J200=3,$J200=4,$J200=5,$J200=6,$J200=7),-$E200*$I200/12*3,IF($J200=8,-$E200*$I200/12*2,IF($J200=9,-$E200*$I200/12*1,0)))))+IF(DC$5&lt;&gt;$H200,0,IF(DC200&lt;0,IF($J200=7,-$E200*$I200/12*0,IF($J200=8,-$E200*$I200/12*1,IF($J200=9,-$E200*$I200/12*2,IF($J200&gt;=10,-$E200*$I200/12*3,0))))))</f>
        <v>0</v>
      </c>
      <c r="DG200" s="443">
        <f>IF($H200&lt;&gt;DH$5,0,IF(DH200&lt;0,IF(OR($J200=1,$J200=2,$J200=3,$J200=4,$J200=5,$J200=6,$J200=7,$J200=8,$J200=9,$J200=10),-$E200*$I200/12*3,IF($J200=11,-$E200*$I200/12*2,IF($J200=12,-$E200*$I200/12*1,0)))))+IF(DC$5&lt;&gt;$H200,0,IF(DC200&lt;0,IF($J200=10,-$E200*$I200/12*0,IF($J200=11,-$E200*$I200/12*1,IF($J200=12,-$E200*$I200/12*2,0)))))</f>
        <v>0</v>
      </c>
      <c r="DH200" s="440">
        <f>IF(AND(DC200&lt;&gt;0,DC$5=$H200),-$I200*$E200-DC200,IF(DH$5=$H200,-$I200*$E200*(12-$J200+1)/12,0))</f>
        <v>0</v>
      </c>
      <c r="DI200" s="441">
        <f>IF($H200&lt;&gt;DM$5,0,IF(DM200&lt;0,IF($J200=1,-$E200*$I200/12*3,IF($J200=2,-$E200*$I200/12*2,IF($J200=3,-$E200*$I200/12*1,0)))))+IF(DH$5&lt;&gt;$H200,0,IF(DH200&lt;0,IF($J200=1,-$E200*$I200/12*0,IF($J200=2,-$E200*$I200/12*1,IF($J200=3,-$E200*$I200/12*2,IF($J200&gt;=4,-$E200*$I200/12*3,0))))))</f>
        <v>0</v>
      </c>
      <c r="DJ200" s="442">
        <f>IF($H200&lt;&gt;DM$5,0,IF(DM200&lt;0,IF(OR($J200=1,$J200=2,$J200=3,$J200=4),-$E200*$I200/12*3,IF($J200=5,-$E200*$I200/12*2,IF($J200=6,-$E200*$I200/12*1,0)))))+IF(DH$5&lt;&gt;$H200,0,IF(DH200&lt;0,IF($J200=4,-$E200*$I200/12*0,IF($J200=5,-$E200*$I200/12*1,IF($J200=6,-$E200*$I200/12*2,IF($J200&gt;=7,-$E200*$I200/12*3,0))))))</f>
        <v>0</v>
      </c>
      <c r="DK200" s="442">
        <f>IF($H200&lt;&gt;DM$5,0,IF(DM200&lt;0,IF(OR($J200=1,$J200=2,$J200=3,$J200=4,$J200=5,$J200=6,$J200=7),-$E200*$I200/12*3,IF($J200=8,-$E200*$I200/12*2,IF($J200=9,-$E200*$I200/12*1,0)))))+IF(DH$5&lt;&gt;$H200,0,IF(DH200&lt;0,IF($J200=7,-$E200*$I200/12*0,IF($J200=8,-$E200*$I200/12*1,IF($J200=9,-$E200*$I200/12*2,IF($J200&gt;=10,-$E200*$I200/12*3,0))))))</f>
        <v>0</v>
      </c>
      <c r="DL200" s="443">
        <f>IF($H200&lt;&gt;DM$5,0,IF(DM200&lt;0,IF(OR($J200=1,$J200=2,$J200=3,$J200=4,$J200=5,$J200=6,$J200=7,$J200=8,$J200=9,$J200=10),-$E200*$I200/12*3,IF($J200=11,-$E200*$I200/12*2,IF($J200=12,-$E200*$I200/12*1,0)))))+IF(DH$5&lt;&gt;$H200,0,IF(DH200&lt;0,IF($J200=10,-$E200*$I200/12*0,IF($J200=11,-$E200*$I200/12*1,IF($J200=12,-$E200*$I200/12*2,0)))))</f>
        <v>0</v>
      </c>
      <c r="DM200" s="440">
        <f>IF(AND(DH200&lt;&gt;0,DH$5=$H200),-$I200*$E200-DH200,IF(DM$5=$H200,-$I200*$E200*(12-$J200+1)/12,0))</f>
        <v>0</v>
      </c>
      <c r="DN200" s="441">
        <f>IF($H200&lt;&gt;DR$5,0,IF(DR200&lt;0,IF($J200=1,-$E200*$I200/12*3,IF($J200=2,-$E200*$I200/12*2,IF($J200=3,-$E200*$I200/12*1,0)))))+IF(DM$5&lt;&gt;$H200,0,IF(DM200&lt;0,IF($J200=1,-$E200*$I200/12*0,IF($J200=2,-$E200*$I200/12*1,IF($J200=3,-$E200*$I200/12*2,IF($J200&gt;=4,-$E200*$I200/12*3,0))))))</f>
        <v>0</v>
      </c>
      <c r="DO200" s="442">
        <f>IF($H200&lt;&gt;DR$5,0,IF(DR200&lt;0,IF(OR($J200=1,$J200=2,$J200=3,$J200=4),-$E200*$I200/12*3,IF($J200=5,-$E200*$I200/12*2,IF($J200=6,-$E200*$I200/12*1,0)))))+IF(DM$5&lt;&gt;$H200,0,IF(DM200&lt;0,IF($J200=4,-$E200*$I200/12*0,IF($J200=5,-$E200*$I200/12*1,IF($J200=6,-$E200*$I200/12*2,IF($J200&gt;=7,-$E200*$I200/12*3,0))))))</f>
        <v>0</v>
      </c>
      <c r="DP200" s="442">
        <f>IF($H200&lt;&gt;DR$5,0,IF(DR200&lt;0,IF(OR($J200=1,$J200=2,$J200=3,$J200=4,$J200=5,$J200=6,$J200=7),-$E200*$I200/12*3,IF($J200=8,-$E200*$I200/12*2,IF($J200=9,-$E200*$I200/12*1,0)))))+IF(DM$5&lt;&gt;$H200,0,IF(DM200&lt;0,IF($J200=7,-$E200*$I200/12*0,IF($J200=8,-$E200*$I200/12*1,IF($J200=9,-$E200*$I200/12*2,IF($J200&gt;=10,-$E200*$I200/12*3,0))))))</f>
        <v>0</v>
      </c>
      <c r="DQ200" s="443">
        <f>IF($H200&lt;&gt;DR$5,0,IF(DR200&lt;0,IF(OR($J200=1,$J200=2,$J200=3,$J200=4,$J200=5,$J200=6,$J200=7,$J200=8,$J200=9,$J200=10),-$E200*$I200/12*3,IF($J200=11,-$E200*$I200/12*2,IF($J200=12,-$E200*$I200/12*1,0)))))+IF(DM$5&lt;&gt;$H200,0,IF(DM200&lt;0,IF($J200=10,-$E200*$I200/12*0,IF($J200=11,-$E200*$I200/12*1,IF($J200=12,-$E200*$I200/12*2,0)))))</f>
        <v>0</v>
      </c>
      <c r="DR200" s="440">
        <f>IF(AND(DM200&lt;&gt;0,DM$5=$H200),-$I200*$E200-DM200,IF(DR$5=$H200,-$I200*$E200*(12-$J200+1)/12,0))</f>
        <v>0</v>
      </c>
    </row>
    <row r="201" spans="3:122" ht="12.75" customHeight="1">
      <c r="C201" s="1590" t="s">
        <v>376</v>
      </c>
      <c r="D201" s="395"/>
      <c r="E201" s="1950">
        <f>IF(F201=0,G201,F201)</f>
        <v>400</v>
      </c>
      <c r="F201" s="1945">
        <v>400</v>
      </c>
      <c r="G201" s="1945">
        <v>400</v>
      </c>
      <c r="H201" s="1366">
        <v>2024</v>
      </c>
      <c r="I201" s="1367">
        <v>4.1000000000000002E-2</v>
      </c>
      <c r="J201" s="1357">
        <v>4</v>
      </c>
      <c r="K201" s="549"/>
      <c r="L201" s="441">
        <f t="shared" si="2518"/>
        <v>0</v>
      </c>
      <c r="M201" s="442">
        <f t="shared" si="2519"/>
        <v>0</v>
      </c>
      <c r="N201" s="442">
        <f t="shared" si="2520"/>
        <v>0</v>
      </c>
      <c r="O201" s="443">
        <f t="shared" si="2521"/>
        <v>0</v>
      </c>
      <c r="P201" s="440">
        <f t="shared" si="2522"/>
        <v>0</v>
      </c>
      <c r="Q201" s="441">
        <f t="shared" si="2523"/>
        <v>0</v>
      </c>
      <c r="R201" s="442">
        <f t="shared" si="2524"/>
        <v>0</v>
      </c>
      <c r="S201" s="442">
        <f t="shared" si="2525"/>
        <v>0</v>
      </c>
      <c r="T201" s="443">
        <f t="shared" si="2526"/>
        <v>0</v>
      </c>
      <c r="U201" s="440">
        <f t="shared" si="2527"/>
        <v>0</v>
      </c>
      <c r="V201" s="441">
        <f t="shared" si="2528"/>
        <v>0</v>
      </c>
      <c r="W201" s="442">
        <f t="shared" si="2529"/>
        <v>0</v>
      </c>
      <c r="X201" s="442">
        <f t="shared" si="2530"/>
        <v>0</v>
      </c>
      <c r="Y201" s="443">
        <f t="shared" si="2531"/>
        <v>0</v>
      </c>
      <c r="Z201" s="440">
        <f t="shared" si="2532"/>
        <v>0</v>
      </c>
      <c r="AA201" s="441">
        <f t="shared" si="2533"/>
        <v>0</v>
      </c>
      <c r="AB201" s="442">
        <f t="shared" si="2534"/>
        <v>0</v>
      </c>
      <c r="AC201" s="442">
        <f t="shared" si="2535"/>
        <v>0</v>
      </c>
      <c r="AD201" s="443">
        <f t="shared" si="2536"/>
        <v>0</v>
      </c>
      <c r="AE201" s="440">
        <f t="shared" si="2537"/>
        <v>0</v>
      </c>
      <c r="AF201" s="441">
        <f t="shared" si="2538"/>
        <v>0</v>
      </c>
      <c r="AG201" s="442">
        <f t="shared" si="2539"/>
        <v>0</v>
      </c>
      <c r="AH201" s="442">
        <f t="shared" si="2540"/>
        <v>0</v>
      </c>
      <c r="AI201" s="443">
        <f t="shared" si="2541"/>
        <v>0</v>
      </c>
      <c r="AJ201" s="440">
        <f t="shared" si="2542"/>
        <v>0</v>
      </c>
      <c r="AK201" s="441">
        <f t="shared" si="2543"/>
        <v>0</v>
      </c>
      <c r="AL201" s="442">
        <f t="shared" si="2544"/>
        <v>0</v>
      </c>
      <c r="AM201" s="442">
        <f t="shared" si="2545"/>
        <v>0</v>
      </c>
      <c r="AN201" s="443">
        <f t="shared" si="2546"/>
        <v>0</v>
      </c>
      <c r="AO201" s="440">
        <f t="shared" si="2547"/>
        <v>0</v>
      </c>
      <c r="AP201" s="441">
        <f t="shared" si="2548"/>
        <v>0</v>
      </c>
      <c r="AQ201" s="442">
        <f t="shared" si="2549"/>
        <v>0</v>
      </c>
      <c r="AR201" s="442">
        <f t="shared" si="2550"/>
        <v>0</v>
      </c>
      <c r="AS201" s="443">
        <f t="shared" si="2551"/>
        <v>0</v>
      </c>
      <c r="AT201" s="440">
        <f t="shared" si="2552"/>
        <v>0</v>
      </c>
      <c r="AU201" s="441">
        <f t="shared" si="2553"/>
        <v>0</v>
      </c>
      <c r="AV201" s="442">
        <f t="shared" si="2554"/>
        <v>0</v>
      </c>
      <c r="AW201" s="442">
        <f t="shared" si="2555"/>
        <v>0</v>
      </c>
      <c r="AX201" s="443">
        <f t="shared" si="2556"/>
        <v>0</v>
      </c>
      <c r="AY201" s="440">
        <f t="shared" si="2557"/>
        <v>0</v>
      </c>
      <c r="AZ201" s="441">
        <f t="shared" si="2558"/>
        <v>0</v>
      </c>
      <c r="BA201" s="442">
        <f t="shared" si="2559"/>
        <v>0</v>
      </c>
      <c r="BB201" s="442">
        <f t="shared" si="2560"/>
        <v>0</v>
      </c>
      <c r="BC201" s="443">
        <f t="shared" si="2561"/>
        <v>0</v>
      </c>
      <c r="BD201" s="440">
        <f t="shared" si="2562"/>
        <v>0</v>
      </c>
      <c r="BE201" s="441">
        <f t="shared" si="2563"/>
        <v>0</v>
      </c>
      <c r="BF201" s="442">
        <f t="shared" si="2564"/>
        <v>0</v>
      </c>
      <c r="BG201" s="442">
        <f t="shared" si="2565"/>
        <v>0</v>
      </c>
      <c r="BH201" s="443">
        <f t="shared" si="2566"/>
        <v>0</v>
      </c>
      <c r="BI201" s="440">
        <f t="shared" si="2567"/>
        <v>0</v>
      </c>
      <c r="BJ201" s="441">
        <f t="shared" si="2568"/>
        <v>0</v>
      </c>
      <c r="BK201" s="442">
        <f t="shared" si="2569"/>
        <v>0</v>
      </c>
      <c r="BL201" s="442">
        <f t="shared" si="2570"/>
        <v>0</v>
      </c>
      <c r="BM201" s="443">
        <f t="shared" si="2571"/>
        <v>0</v>
      </c>
      <c r="BN201" s="440">
        <f t="shared" si="2572"/>
        <v>0</v>
      </c>
      <c r="BO201" s="470"/>
      <c r="BP201" s="441">
        <f>IF($H201&lt;&gt;BT$5,0,IF(BT201&lt;0,IF($J201=1,-$E201*$I201/12*3,IF($J201=2,-$E201*$I201/12*2,IF($J201=3,-$E201*$I201/12*1,0)))))+IF(BO$5&lt;&gt;$H201,0,IF(BO201&lt;0,IF($J201=1,-$E201*$I201/12*0,IF($J201=2,-$E201*$I201/12*1,IF($J201=3,-$E201*$I201/12*2,IF($J201&gt;=4,-$E201*$I201/12*3,0))))))</f>
        <v>0</v>
      </c>
      <c r="BQ201" s="442">
        <f>IF($H201&lt;&gt;BT$5,0,IF(BT201&lt;0,IF(OR($J201=1,$J201=2,$J201=3,$J201=4),-$E201*$I201/12*3,IF($J201=5,-$E201*$I201/12*2,IF($J201=6,-$E201*$I201/12*1,0)))))+IF(BO$5&lt;&gt;$H201,0,IF(BO201&lt;0,IF($J201=4,-$E201*$I201/12*0,IF($J201=5,-$E201*$I201/12*1,IF($J201=6,-$E201*$I201/12*2,IF($J201&gt;=7,-$E201*$I201/12*3,0))))))</f>
        <v>0</v>
      </c>
      <c r="BR201" s="442">
        <f>IF($H201&lt;&gt;BT$5,0,IF(BT201&lt;0,IF(OR($J201=1,$J201=2,$J201=3,$J201=4,$J201=5,$J201=6,$J201=7),-$E201*$I201/12*3,IF($J201=8,-$E201*$I201/12*2,IF($J201=9,-$E201*$I201/12*1,0)))))+IF(BO$5&lt;&gt;$H201,0,IF(BO201&lt;0,IF($J201=7,-$E201*$I201/12*0,IF($J201=8,-$E201*$I201/12*1,IF($J201=9,-$E201*$I201/12*2,IF($J201&gt;=10,-$E201*$I201/12*3,0))))))</f>
        <v>0</v>
      </c>
      <c r="BS201" s="443">
        <f>IF($H201&lt;&gt;BT$5,0,IF(BT201&lt;0,IF(OR($J201=1,$J201=2,$J201=3,$J201=4,$J201=5,$J201=6,$J201=7,$J201=8,$J201=9,$J201=10),-$E201*$I201/12*3,IF($J201=11,-$E201*$I201/12*2,IF($J201=12,-$E201*$I201/12*1,0)))))+IF(BO$5&lt;&gt;$H201,0,IF(BO201&lt;0,IF($J201=10,-$E201*$I201/12*0,IF($J201=11,-$E201*$I201/12*1,IF($J201=12,-$E201*$I201/12*2,0)))))</f>
        <v>0</v>
      </c>
      <c r="BT201" s="440">
        <f>IF(AND(BO201&lt;&gt;0,BO$5=$H201),-$I201*$E201-BO201,IF(BT$5=$H201,-$I201*$E201*(12-$J201+1)/12,0))</f>
        <v>0</v>
      </c>
      <c r="BU201" s="441">
        <f>IF($H201&lt;&gt;BY$5,0,IF(BY201&lt;0,IF($J201=1,-$E201*$I201/12*3,IF($J201=2,-$E201*$I201/12*2,IF($J201=3,-$E201*$I201/12*1,0)))))+IF(BT$5&lt;&gt;$H201,0,IF(BT201&lt;0,IF($J201=1,-$E201*$I201/12*0,IF($J201=2,-$E201*$I201/12*1,IF($J201=3,-$E201*$I201/12*2,IF($J201&gt;=4,-$E201*$I201/12*3,0))))))</f>
        <v>0</v>
      </c>
      <c r="BV201" s="442">
        <f>IF($H201&lt;&gt;BY$5,0,IF(BY201&lt;0,IF(OR($J201=1,$J201=2,$J201=3,$J201=4),-$E201*$I201/12*3,IF($J201=5,-$E201*$I201/12*2,IF($J201=6,-$E201*$I201/12*1,0)))))+IF(BT$5&lt;&gt;$H201,0,IF(BT201&lt;0,IF($J201=4,-$E201*$I201/12*0,IF($J201=5,-$E201*$I201/12*1,IF($J201=6,-$E201*$I201/12*2,IF($J201&gt;=7,-$E201*$I201/12*3,0))))))</f>
        <v>0</v>
      </c>
      <c r="BW201" s="442">
        <f>IF($H201&lt;&gt;BY$5,0,IF(BY201&lt;0,IF(OR($J201=1,$J201=2,$J201=3,$J201=4,$J201=5,$J201=6,$J201=7),-$E201*$I201/12*3,IF($J201=8,-$E201*$I201/12*2,IF($J201=9,-$E201*$I201/12*1,0)))))+IF(BT$5&lt;&gt;$H201,0,IF(BT201&lt;0,IF($J201=7,-$E201*$I201/12*0,IF($J201=8,-$E201*$I201/12*1,IF($J201=9,-$E201*$I201/12*2,IF($J201&gt;=10,-$E201*$I201/12*3,0))))))</f>
        <v>0</v>
      </c>
      <c r="BX201" s="443">
        <f>IF($H201&lt;&gt;BY$5,0,IF(BY201&lt;0,IF(OR($J201=1,$J201=2,$J201=3,$J201=4,$J201=5,$J201=6,$J201=7,$J201=8,$J201=9,$J201=10),-$E201*$I201/12*3,IF($J201=11,-$E201*$I201/12*2,IF($J201=12,-$E201*$I201/12*1,0)))))+IF(BT$5&lt;&gt;$H201,0,IF(BT201&lt;0,IF($J201=10,-$E201*$I201/12*0,IF($J201=11,-$E201*$I201/12*1,IF($J201=12,-$E201*$I201/12*2,0)))))</f>
        <v>0</v>
      </c>
      <c r="BY201" s="440">
        <f>IF(AND(BT201&lt;&gt;0,BT$5=$H201),-$I201*$E201-BT201,IF(BY$5=$H201,-$I201*$E201*(12-$J201+1)/12,0))</f>
        <v>0</v>
      </c>
      <c r="BZ201" s="441">
        <f>IF($H201&lt;&gt;CD$5,0,IF(CD201&lt;0,IF($J201=1,-$E201*$I201/12*3,IF($J201=2,-$E201*$I201/12*2,IF($J201=3,-$E201*$I201/12*1,0)))))+IF(BY$5&lt;&gt;$H201,0,IF(BY201&lt;0,IF($J201=1,-$E201*$I201/12*0,IF($J201=2,-$E201*$I201/12*1,IF($J201=3,-$E201*$I201/12*2,IF($J201&gt;=4,-$E201*$I201/12*3,0))))))</f>
        <v>0</v>
      </c>
      <c r="CA201" s="442">
        <f>IF($H201&lt;&gt;CD$5,0,IF(CD201&lt;0,IF(OR($J201=1,$J201=2,$J201=3,$J201=4),-$E201*$I201/12*3,IF($J201=5,-$E201*$I201/12*2,IF($J201=6,-$E201*$I201/12*1,0)))))+IF(BY$5&lt;&gt;$H201,0,IF(BY201&lt;0,IF($J201=4,-$E201*$I201/12*0,IF($J201=5,-$E201*$I201/12*1,IF($J201=6,-$E201*$I201/12*2,IF($J201&gt;=7,-$E201*$I201/12*3,0))))))</f>
        <v>0</v>
      </c>
      <c r="CB201" s="442">
        <f>IF($H201&lt;&gt;CD$5,0,IF(CD201&lt;0,IF(OR($J201=1,$J201=2,$J201=3,$J201=4,$J201=5,$J201=6,$J201=7),-$E201*$I201/12*3,IF($J201=8,-$E201*$I201/12*2,IF($J201=9,-$E201*$I201/12*1,0)))))+IF(BY$5&lt;&gt;$H201,0,IF(BY201&lt;0,IF($J201=7,-$E201*$I201/12*0,IF($J201=8,-$E201*$I201/12*1,IF($J201=9,-$E201*$I201/12*2,IF($J201&gt;=10,-$E201*$I201/12*3,0))))))</f>
        <v>0</v>
      </c>
      <c r="CC201" s="443">
        <f>IF($H201&lt;&gt;CD$5,0,IF(CD201&lt;0,IF(OR($J201=1,$J201=2,$J201=3,$J201=4,$J201=5,$J201=6,$J201=7,$J201=8,$J201=9,$J201=10),-$E201*$I201/12*3,IF($J201=11,-$E201*$I201/12*2,IF($J201=12,-$E201*$I201/12*1,0)))))+IF(BY$5&lt;&gt;$H201,0,IF(BY201&lt;0,IF($J201=10,-$E201*$I201/12*0,IF($J201=11,-$E201*$I201/12*1,IF($J201=12,-$E201*$I201/12*2,0)))))</f>
        <v>0</v>
      </c>
      <c r="CD201" s="440">
        <f>IF(AND(BY201&lt;&gt;0,BY$5=$H201),-$I201*$E201-BY201,IF(CD$5=$H201,-$I201*$E201*(12-$J201+1)/12,0))</f>
        <v>0</v>
      </c>
      <c r="CE201" s="441">
        <f>IF($H201&lt;&gt;CI$5,0,IF(CI201&lt;0,IF($J201=1,-$E201*$I201/12*3,IF($J201=2,-$E201*$I201/12*2,IF($J201=3,-$E201*$I201/12*1,0)))))+IF(CD$5&lt;&gt;$H201,0,IF(CD201&lt;0,IF($J201=1,-$E201*$I201/12*0,IF($J201=2,-$E201*$I201/12*1,IF($J201=3,-$E201*$I201/12*2,IF($J201&gt;=4,-$E201*$I201/12*3,0))))))</f>
        <v>0</v>
      </c>
      <c r="CF201" s="442">
        <f>IF($H201&lt;&gt;CI$5,0,IF(CI201&lt;0,IF(OR($J201=1,$J201=2,$J201=3,$J201=4),-$E201*$I201/12*3,IF($J201=5,-$E201*$I201/12*2,IF($J201=6,-$E201*$I201/12*1,0)))))+IF(CD$5&lt;&gt;$H201,0,IF(CD201&lt;0,IF($J201=4,-$E201*$I201/12*0,IF($J201=5,-$E201*$I201/12*1,IF($J201=6,-$E201*$I201/12*2,IF($J201&gt;=7,-$E201*$I201/12*3,0))))))</f>
        <v>0</v>
      </c>
      <c r="CG201" s="442">
        <f>IF($H201&lt;&gt;CI$5,0,IF(CI201&lt;0,IF(OR($J201=1,$J201=2,$J201=3,$J201=4,$J201=5,$J201=6,$J201=7),-$E201*$I201/12*3,IF($J201=8,-$E201*$I201/12*2,IF($J201=9,-$E201*$I201/12*1,0)))))+IF(CD$5&lt;&gt;$H201,0,IF(CD201&lt;0,IF($J201=7,-$E201*$I201/12*0,IF($J201=8,-$E201*$I201/12*1,IF($J201=9,-$E201*$I201/12*2,IF($J201&gt;=10,-$E201*$I201/12*3,0))))))</f>
        <v>0</v>
      </c>
      <c r="CH201" s="443">
        <f>IF($H201&lt;&gt;CI$5,0,IF(CI201&lt;0,IF(OR($J201=1,$J201=2,$J201=3,$J201=4,$J201=5,$J201=6,$J201=7,$J201=8,$J201=9,$J201=10),-$E201*$I201/12*3,IF($J201=11,-$E201*$I201/12*2,IF($J201=12,-$E201*$I201/12*1,0)))))+IF(CD$5&lt;&gt;$H201,0,IF(CD201&lt;0,IF($J201=10,-$E201*$I201/12*0,IF($J201=11,-$E201*$I201/12*1,IF($J201=12,-$E201*$I201/12*2,0)))))</f>
        <v>0</v>
      </c>
      <c r="CI201" s="440">
        <f>IF(AND(CD201&lt;&gt;0,CD$5=$H201),-$I201*$E201-CD201,IF(CI$5=$H201,-$I201*$E201*(12-$J201+1)/12,0))</f>
        <v>0</v>
      </c>
      <c r="CJ201" s="441">
        <f>IF($H201&lt;&gt;CN$5,0,IF(CN201&lt;0,IF($J201=1,-$E201*$I201/12*3,IF($J201=2,-$E201*$I201/12*2,IF($J201=3,-$E201*$I201/12*1,0)))))+IF(CI$5&lt;&gt;$H201,0,IF(CI201&lt;0,IF($J201=1,-$E201*$I201/12*0,IF($J201=2,-$E201*$I201/12*1,IF($J201=3,-$E201*$I201/12*2,IF($J201&gt;=4,-$E201*$I201/12*3,0))))))</f>
        <v>0</v>
      </c>
      <c r="CK201" s="442">
        <f>IF($H201&lt;&gt;CN$5,0,IF(CN201&lt;0,IF(OR($J201=1,$J201=2,$J201=3,$J201=4),-$E201*$I201/12*3,IF($J201=5,-$E201*$I201/12*2,IF($J201=6,-$E201*$I201/12*1,0)))))+IF(CI$5&lt;&gt;$H201,0,IF(CI201&lt;0,IF($J201=4,-$E201*$I201/12*0,IF($J201=5,-$E201*$I201/12*1,IF($J201=6,-$E201*$I201/12*2,IF($J201&gt;=7,-$E201*$I201/12*3,0))))))</f>
        <v>0</v>
      </c>
      <c r="CL201" s="442">
        <f>IF($H201&lt;&gt;CN$5,0,IF(CN201&lt;0,IF(OR($J201=1,$J201=2,$J201=3,$J201=4,$J201=5,$J201=6,$J201=7),-$E201*$I201/12*3,IF($J201=8,-$E201*$I201/12*2,IF($J201=9,-$E201*$I201/12*1,0)))))+IF(CI$5&lt;&gt;$H201,0,IF(CI201&lt;0,IF($J201=7,-$E201*$I201/12*0,IF($J201=8,-$E201*$I201/12*1,IF($J201=9,-$E201*$I201/12*2,IF($J201&gt;=10,-$E201*$I201/12*3,0))))))</f>
        <v>0</v>
      </c>
      <c r="CM201" s="443">
        <f>IF($H201&lt;&gt;CN$5,0,IF(CN201&lt;0,IF(OR($J201=1,$J201=2,$J201=3,$J201=4,$J201=5,$J201=6,$J201=7,$J201=8,$J201=9,$J201=10),-$E201*$I201/12*3,IF($J201=11,-$E201*$I201/12*2,IF($J201=12,-$E201*$I201/12*1,0)))))+IF(CI$5&lt;&gt;$H201,0,IF(CI201&lt;0,IF($J201=10,-$E201*$I201/12*0,IF($J201=11,-$E201*$I201/12*1,IF($J201=12,-$E201*$I201/12*2,0)))))</f>
        <v>0</v>
      </c>
      <c r="CN201" s="440">
        <f>IF(AND(CI201&lt;&gt;0,CI$5=$H201),-$I201*$E201-CI201,IF(CN$5=$H201,-$I201*$E201*(12-$J201+1)/12,0))</f>
        <v>0</v>
      </c>
      <c r="CO201" s="441">
        <f>IF($H201&lt;&gt;CS$5,0,IF(CS201&lt;0,IF($J201=1,-$E201*$I201/12*3,IF($J201=2,-$E201*$I201/12*2,IF($J201=3,-$E201*$I201/12*1,0)))))+IF(CN$5&lt;&gt;$H201,0,IF(CN201&lt;0,IF($J201=1,-$E201*$I201/12*0,IF($J201=2,-$E201*$I201/12*1,IF($J201=3,-$E201*$I201/12*2,IF($J201&gt;=4,-$E201*$I201/12*3,0))))))</f>
        <v>0</v>
      </c>
      <c r="CP201" s="442">
        <f>IF($H201&lt;&gt;CS$5,0,IF(CS201&lt;0,IF(OR($J201=1,$J201=2,$J201=3,$J201=4),-$E201*$I201/12*3,IF($J201=5,-$E201*$I201/12*2,IF($J201=6,-$E201*$I201/12*1,0)))))+IF(CN$5&lt;&gt;$H201,0,IF(CN201&lt;0,IF($J201=4,-$E201*$I201/12*0,IF($J201=5,-$E201*$I201/12*1,IF($J201=6,-$E201*$I201/12*2,IF($J201&gt;=7,-$E201*$I201/12*3,0))))))</f>
        <v>0</v>
      </c>
      <c r="CQ201" s="442">
        <f>IF($H201&lt;&gt;CS$5,0,IF(CS201&lt;0,IF(OR($J201=1,$J201=2,$J201=3,$J201=4,$J201=5,$J201=6,$J201=7),-$E201*$I201/12*3,IF($J201=8,-$E201*$I201/12*2,IF($J201=9,-$E201*$I201/12*1,0)))))+IF(CN$5&lt;&gt;$H201,0,IF(CN201&lt;0,IF($J201=7,-$E201*$I201/12*0,IF($J201=8,-$E201*$I201/12*1,IF($J201=9,-$E201*$I201/12*2,IF($J201&gt;=10,-$E201*$I201/12*3,0))))))</f>
        <v>0</v>
      </c>
      <c r="CR201" s="443">
        <f>IF($H201&lt;&gt;CS$5,0,IF(CS201&lt;0,IF(OR($J201=1,$J201=2,$J201=3,$J201=4,$J201=5,$J201=6,$J201=7,$J201=8,$J201=9,$J201=10),-$E201*$I201/12*3,IF($J201=11,-$E201*$I201/12*2,IF($J201=12,-$E201*$I201/12*1,0)))))+IF(CN$5&lt;&gt;$H201,0,IF(CN201&lt;0,IF($J201=10,-$E201*$I201/12*0,IF($J201=11,-$E201*$I201/12*1,IF($J201=12,-$E201*$I201/12*2,0)))))</f>
        <v>0</v>
      </c>
      <c r="CS201" s="440">
        <f>IF(AND(CN201&lt;&gt;0,CN$5=$H201),-$I201*$E201-CN201,IF(CS$5=$H201,-$I201*$E201*(12-$J201+1)/12,0))</f>
        <v>0</v>
      </c>
      <c r="CT201" s="441">
        <f>IF($H201&lt;&gt;CX$5,0,IF(CX201&lt;0,IF($J201=1,-$E201*$I201/12*3,IF($J201=2,-$E201*$I201/12*2,IF($J201=3,-$E201*$I201/12*1,0)))))+IF(CS$5&lt;&gt;$H201,0,IF(CS201&lt;0,IF($J201=1,-$E201*$I201/12*0,IF($J201=2,-$E201*$I201/12*1,IF($J201=3,-$E201*$I201/12*2,IF($J201&gt;=4,-$E201*$I201/12*3,0))))))</f>
        <v>0</v>
      </c>
      <c r="CU201" s="442">
        <f>IF($H201&lt;&gt;CX$5,0,IF(CX201&lt;0,IF(OR($J201=1,$J201=2,$J201=3,$J201=4),-$E201*$I201/12*3,IF($J201=5,-$E201*$I201/12*2,IF($J201=6,-$E201*$I201/12*1,0)))))+IF(CS$5&lt;&gt;$H201,0,IF(CS201&lt;0,IF($J201=4,-$E201*$I201/12*0,IF($J201=5,-$E201*$I201/12*1,IF($J201=6,-$E201*$I201/12*2,IF($J201&gt;=7,-$E201*$I201/12*3,0))))))</f>
        <v>0</v>
      </c>
      <c r="CV201" s="442">
        <f>IF($H201&lt;&gt;CX$5,0,IF(CX201&lt;0,IF(OR($J201=1,$J201=2,$J201=3,$J201=4,$J201=5,$J201=6,$J201=7),-$E201*$I201/12*3,IF($J201=8,-$E201*$I201/12*2,IF($J201=9,-$E201*$I201/12*1,0)))))+IF(CS$5&lt;&gt;$H201,0,IF(CS201&lt;0,IF($J201=7,-$E201*$I201/12*0,IF($J201=8,-$E201*$I201/12*1,IF($J201=9,-$E201*$I201/12*2,IF($J201&gt;=10,-$E201*$I201/12*3,0))))))</f>
        <v>0</v>
      </c>
      <c r="CW201" s="443">
        <f>IF($H201&lt;&gt;CX$5,0,IF(CX201&lt;0,IF(OR($J201=1,$J201=2,$J201=3,$J201=4,$J201=5,$J201=6,$J201=7,$J201=8,$J201=9,$J201=10),-$E201*$I201/12*3,IF($J201=11,-$E201*$I201/12*2,IF($J201=12,-$E201*$I201/12*1,0)))))+IF(CS$5&lt;&gt;$H201,0,IF(CS201&lt;0,IF($J201=10,-$E201*$I201/12*0,IF($J201=11,-$E201*$I201/12*1,IF($J201=12,-$E201*$I201/12*2,0)))))</f>
        <v>0</v>
      </c>
      <c r="CX201" s="440">
        <f>IF(AND(CS201&lt;&gt;0,CS$5=$H201),-$I201*$E201-CS201,IF(CX$5=$H201,-$I201*$E201*(12-$J201+1)/12,0))</f>
        <v>0</v>
      </c>
      <c r="CY201" s="441">
        <f t="shared" si="2608"/>
        <v>0</v>
      </c>
      <c r="CZ201" s="442">
        <f t="shared" si="2609"/>
        <v>0</v>
      </c>
      <c r="DA201" s="442">
        <f t="shared" si="2610"/>
        <v>0</v>
      </c>
      <c r="DB201" s="443">
        <f t="shared" si="2611"/>
        <v>0</v>
      </c>
      <c r="DC201" s="440">
        <f t="shared" si="2612"/>
        <v>0</v>
      </c>
      <c r="DD201" s="441">
        <f t="shared" si="2613"/>
        <v>0</v>
      </c>
      <c r="DE201" s="442">
        <f t="shared" si="2614"/>
        <v>0</v>
      </c>
      <c r="DF201" s="442">
        <f t="shared" si="2615"/>
        <v>0</v>
      </c>
      <c r="DG201" s="443">
        <f t="shared" si="2616"/>
        <v>0</v>
      </c>
      <c r="DH201" s="440">
        <f t="shared" si="2617"/>
        <v>0</v>
      </c>
      <c r="DI201" s="441">
        <f t="shared" si="2618"/>
        <v>0</v>
      </c>
      <c r="DJ201" s="442">
        <f t="shared" si="2619"/>
        <v>0</v>
      </c>
      <c r="DK201" s="442">
        <f t="shared" si="2620"/>
        <v>0</v>
      </c>
      <c r="DL201" s="443">
        <f t="shared" si="2621"/>
        <v>0</v>
      </c>
      <c r="DM201" s="440">
        <f t="shared" si="2622"/>
        <v>0</v>
      </c>
      <c r="DN201" s="441">
        <f t="shared" si="2623"/>
        <v>0</v>
      </c>
      <c r="DO201" s="442">
        <f t="shared" si="2624"/>
        <v>0</v>
      </c>
      <c r="DP201" s="442">
        <f t="shared" si="2625"/>
        <v>0</v>
      </c>
      <c r="DQ201" s="443">
        <f t="shared" si="2626"/>
        <v>0</v>
      </c>
      <c r="DR201" s="440">
        <f t="shared" si="2627"/>
        <v>0</v>
      </c>
    </row>
    <row r="202" spans="3:122" ht="12.75" customHeight="1">
      <c r="C202" s="1590" t="s">
        <v>1221</v>
      </c>
      <c r="D202" s="395"/>
      <c r="E202" s="1950">
        <f t="shared" ref="E202" si="2628">IF(F202=0,G202,F202)</f>
        <v>250</v>
      </c>
      <c r="F202" s="1945">
        <v>250</v>
      </c>
      <c r="G202" s="1945">
        <v>0</v>
      </c>
      <c r="H202" s="1366">
        <v>2027</v>
      </c>
      <c r="I202" s="1367">
        <v>3.5499999999999997E-2</v>
      </c>
      <c r="J202" s="1357">
        <v>5</v>
      </c>
      <c r="K202" s="549"/>
      <c r="L202" s="441">
        <f t="shared" si="2518"/>
        <v>0</v>
      </c>
      <c r="M202" s="442">
        <f t="shared" si="2519"/>
        <v>0</v>
      </c>
      <c r="N202" s="442">
        <f t="shared" si="2520"/>
        <v>0</v>
      </c>
      <c r="O202" s="443">
        <f t="shared" si="2521"/>
        <v>0</v>
      </c>
      <c r="P202" s="440">
        <f t="shared" si="2522"/>
        <v>0</v>
      </c>
      <c r="Q202" s="441">
        <f t="shared" si="2523"/>
        <v>0</v>
      </c>
      <c r="R202" s="442">
        <f t="shared" si="2524"/>
        <v>0</v>
      </c>
      <c r="S202" s="442">
        <f t="shared" si="2525"/>
        <v>0</v>
      </c>
      <c r="T202" s="443">
        <f t="shared" si="2526"/>
        <v>0</v>
      </c>
      <c r="U202" s="440">
        <f t="shared" si="2527"/>
        <v>0</v>
      </c>
      <c r="V202" s="441">
        <f t="shared" si="2528"/>
        <v>0</v>
      </c>
      <c r="W202" s="442">
        <f t="shared" si="2529"/>
        <v>0</v>
      </c>
      <c r="X202" s="442">
        <f t="shared" si="2530"/>
        <v>0</v>
      </c>
      <c r="Y202" s="443">
        <f t="shared" si="2531"/>
        <v>0</v>
      </c>
      <c r="Z202" s="440">
        <f t="shared" si="2532"/>
        <v>0</v>
      </c>
      <c r="AA202" s="441">
        <f t="shared" si="2533"/>
        <v>0</v>
      </c>
      <c r="AB202" s="442">
        <f t="shared" si="2534"/>
        <v>0</v>
      </c>
      <c r="AC202" s="442">
        <f t="shared" si="2535"/>
        <v>0</v>
      </c>
      <c r="AD202" s="443">
        <f t="shared" si="2536"/>
        <v>0</v>
      </c>
      <c r="AE202" s="440">
        <f t="shared" si="2537"/>
        <v>0</v>
      </c>
      <c r="AF202" s="441">
        <f t="shared" si="2538"/>
        <v>0</v>
      </c>
      <c r="AG202" s="442">
        <f t="shared" si="2539"/>
        <v>0</v>
      </c>
      <c r="AH202" s="442">
        <f t="shared" si="2540"/>
        <v>0</v>
      </c>
      <c r="AI202" s="443">
        <f t="shared" si="2541"/>
        <v>0</v>
      </c>
      <c r="AJ202" s="440">
        <f t="shared" si="2542"/>
        <v>0</v>
      </c>
      <c r="AK202" s="441">
        <f t="shared" si="2543"/>
        <v>0</v>
      </c>
      <c r="AL202" s="442">
        <f t="shared" si="2544"/>
        <v>0</v>
      </c>
      <c r="AM202" s="442">
        <f t="shared" si="2545"/>
        <v>0</v>
      </c>
      <c r="AN202" s="443">
        <f t="shared" si="2546"/>
        <v>0</v>
      </c>
      <c r="AO202" s="440">
        <f t="shared" si="2547"/>
        <v>0</v>
      </c>
      <c r="AP202" s="441">
        <f t="shared" si="2548"/>
        <v>0</v>
      </c>
      <c r="AQ202" s="442">
        <f t="shared" si="2549"/>
        <v>0</v>
      </c>
      <c r="AR202" s="442">
        <f t="shared" si="2550"/>
        <v>0</v>
      </c>
      <c r="AS202" s="443">
        <f t="shared" si="2551"/>
        <v>0</v>
      </c>
      <c r="AT202" s="440">
        <f t="shared" si="2552"/>
        <v>0</v>
      </c>
      <c r="AU202" s="441">
        <f t="shared" si="2553"/>
        <v>0</v>
      </c>
      <c r="AV202" s="442">
        <f t="shared" si="2554"/>
        <v>0</v>
      </c>
      <c r="AW202" s="442">
        <f t="shared" si="2555"/>
        <v>0</v>
      </c>
      <c r="AX202" s="443">
        <f t="shared" si="2556"/>
        <v>0</v>
      </c>
      <c r="AY202" s="440">
        <f t="shared" si="2557"/>
        <v>0</v>
      </c>
      <c r="AZ202" s="441">
        <f t="shared" si="2558"/>
        <v>0</v>
      </c>
      <c r="BA202" s="442">
        <f t="shared" si="2559"/>
        <v>0</v>
      </c>
      <c r="BB202" s="442">
        <f t="shared" si="2560"/>
        <v>0</v>
      </c>
      <c r="BC202" s="443">
        <f t="shared" si="2561"/>
        <v>0</v>
      </c>
      <c r="BD202" s="440">
        <f t="shared" si="2562"/>
        <v>0</v>
      </c>
      <c r="BE202" s="441">
        <f t="shared" si="2563"/>
        <v>0</v>
      </c>
      <c r="BF202" s="442">
        <f t="shared" si="2564"/>
        <v>0</v>
      </c>
      <c r="BG202" s="442">
        <f t="shared" si="2565"/>
        <v>0</v>
      </c>
      <c r="BH202" s="443">
        <f t="shared" si="2566"/>
        <v>0</v>
      </c>
      <c r="BI202" s="440">
        <f t="shared" si="2567"/>
        <v>0</v>
      </c>
      <c r="BJ202" s="441">
        <f t="shared" si="2568"/>
        <v>0</v>
      </c>
      <c r="BK202" s="442">
        <f t="shared" si="2569"/>
        <v>0</v>
      </c>
      <c r="BL202" s="442">
        <f t="shared" si="2570"/>
        <v>0</v>
      </c>
      <c r="BM202" s="443">
        <f t="shared" si="2571"/>
        <v>0</v>
      </c>
      <c r="BN202" s="440">
        <f t="shared" si="2572"/>
        <v>0</v>
      </c>
      <c r="BO202" s="470"/>
      <c r="BP202" s="441">
        <f t="shared" ref="BP202" si="2629">IF($H202&lt;&gt;BT$5,0,IF(BT202&lt;0,IF($J202=1,-$E202*$I202/12*3,IF($J202=2,-$E202*$I202/12*2,IF($J202=3,-$E202*$I202/12*1,0)))))+IF(BO$5&lt;&gt;$H202,0,IF(BO202&lt;0,IF($J202=1,-$E202*$I202/12*0,IF($J202=2,-$E202*$I202/12*1,IF($J202=3,-$E202*$I202/12*2,IF($J202&gt;=4,-$E202*$I202/12*3,0))))))</f>
        <v>0</v>
      </c>
      <c r="BQ202" s="442">
        <f t="shared" ref="BQ202" si="2630">IF($H202&lt;&gt;BT$5,0,IF(BT202&lt;0,IF(OR($J202=1,$J202=2,$J202=3,$J202=4),-$E202*$I202/12*3,IF($J202=5,-$E202*$I202/12*2,IF($J202=6,-$E202*$I202/12*1,0)))))+IF(BO$5&lt;&gt;$H202,0,IF(BO202&lt;0,IF($J202=4,-$E202*$I202/12*0,IF($J202=5,-$E202*$I202/12*1,IF($J202=6,-$E202*$I202/12*2,IF($J202&gt;=7,-$E202*$I202/12*3,0))))))</f>
        <v>0</v>
      </c>
      <c r="BR202" s="442">
        <f t="shared" ref="BR202" si="2631">IF($H202&lt;&gt;BT$5,0,IF(BT202&lt;0,IF(OR($J202=1,$J202=2,$J202=3,$J202=4,$J202=5,$J202=6,$J202=7),-$E202*$I202/12*3,IF($J202=8,-$E202*$I202/12*2,IF($J202=9,-$E202*$I202/12*1,0)))))+IF(BO$5&lt;&gt;$H202,0,IF(BO202&lt;0,IF($J202=7,-$E202*$I202/12*0,IF($J202=8,-$E202*$I202/12*1,IF($J202=9,-$E202*$I202/12*2,IF($J202&gt;=10,-$E202*$I202/12*3,0))))))</f>
        <v>0</v>
      </c>
      <c r="BS202" s="443">
        <f t="shared" ref="BS202" si="2632">IF($H202&lt;&gt;BT$5,0,IF(BT202&lt;0,IF(OR($J202=1,$J202=2,$J202=3,$J202=4,$J202=5,$J202=6,$J202=7,$J202=8,$J202=9,$J202=10),-$E202*$I202/12*3,IF($J202=11,-$E202*$I202/12*2,IF($J202=12,-$E202*$I202/12*1,0)))))+IF(BO$5&lt;&gt;$H202,0,IF(BO202&lt;0,IF($J202=10,-$E202*$I202/12*0,IF($J202=11,-$E202*$I202/12*1,IF($J202=12,-$E202*$I202/12*2,0)))))</f>
        <v>0</v>
      </c>
      <c r="BT202" s="440">
        <f t="shared" ref="BT202" si="2633">IF(AND(BO202&lt;&gt;0,BO$5=$H202),-$I202*$E202-BO202,IF(BT$5=$H202,-$I202*$E202*(12-$J202+1)/12,0))</f>
        <v>0</v>
      </c>
      <c r="BU202" s="441">
        <f t="shared" ref="BU202" si="2634">IF($H202&lt;&gt;BY$5,0,IF(BY202&lt;0,IF($J202=1,-$E202*$I202/12*3,IF($J202=2,-$E202*$I202/12*2,IF($J202=3,-$E202*$I202/12*1,0)))))+IF(BT$5&lt;&gt;$H202,0,IF(BT202&lt;0,IF($J202=1,-$E202*$I202/12*0,IF($J202=2,-$E202*$I202/12*1,IF($J202=3,-$E202*$I202/12*2,IF($J202&gt;=4,-$E202*$I202/12*3,0))))))</f>
        <v>0</v>
      </c>
      <c r="BV202" s="442">
        <f t="shared" ref="BV202" si="2635">IF($H202&lt;&gt;BY$5,0,IF(BY202&lt;0,IF(OR($J202=1,$J202=2,$J202=3,$J202=4),-$E202*$I202/12*3,IF($J202=5,-$E202*$I202/12*2,IF($J202=6,-$E202*$I202/12*1,0)))))+IF(BT$5&lt;&gt;$H202,0,IF(BT202&lt;0,IF($J202=4,-$E202*$I202/12*0,IF($J202=5,-$E202*$I202/12*1,IF($J202=6,-$E202*$I202/12*2,IF($J202&gt;=7,-$E202*$I202/12*3,0))))))</f>
        <v>0</v>
      </c>
      <c r="BW202" s="442">
        <f t="shared" ref="BW202" si="2636">IF($H202&lt;&gt;BY$5,0,IF(BY202&lt;0,IF(OR($J202=1,$J202=2,$J202=3,$J202=4,$J202=5,$J202=6,$J202=7),-$E202*$I202/12*3,IF($J202=8,-$E202*$I202/12*2,IF($J202=9,-$E202*$I202/12*1,0)))))+IF(BT$5&lt;&gt;$H202,0,IF(BT202&lt;0,IF($J202=7,-$E202*$I202/12*0,IF($J202=8,-$E202*$I202/12*1,IF($J202=9,-$E202*$I202/12*2,IF($J202&gt;=10,-$E202*$I202/12*3,0))))))</f>
        <v>0</v>
      </c>
      <c r="BX202" s="443">
        <f t="shared" ref="BX202" si="2637">IF($H202&lt;&gt;BY$5,0,IF(BY202&lt;0,IF(OR($J202=1,$J202=2,$J202=3,$J202=4,$J202=5,$J202=6,$J202=7,$J202=8,$J202=9,$J202=10),-$E202*$I202/12*3,IF($J202=11,-$E202*$I202/12*2,IF($J202=12,-$E202*$I202/12*1,0)))))+IF(BT$5&lt;&gt;$H202,0,IF(BT202&lt;0,IF($J202=10,-$E202*$I202/12*0,IF($J202=11,-$E202*$I202/12*1,IF($J202=12,-$E202*$I202/12*2,0)))))</f>
        <v>0</v>
      </c>
      <c r="BY202" s="440">
        <f t="shared" ref="BY202" si="2638">IF(AND(BT202&lt;&gt;0,BT$5=$H202),-$I202*$E202-BT202,IF(BY$5=$H202,-$I202*$E202*(12-$J202+1)/12,0))</f>
        <v>0</v>
      </c>
      <c r="BZ202" s="441">
        <f t="shared" ref="BZ202" si="2639">IF($H202&lt;&gt;CD$5,0,IF(CD202&lt;0,IF($J202=1,-$E202*$I202/12*3,IF($J202=2,-$E202*$I202/12*2,IF($J202=3,-$E202*$I202/12*1,0)))))+IF(BY$5&lt;&gt;$H202,0,IF(BY202&lt;0,IF($J202=1,-$E202*$I202/12*0,IF($J202=2,-$E202*$I202/12*1,IF($J202=3,-$E202*$I202/12*2,IF($J202&gt;=4,-$E202*$I202/12*3,0))))))</f>
        <v>0</v>
      </c>
      <c r="CA202" s="442">
        <f t="shared" ref="CA202" si="2640">IF($H202&lt;&gt;CD$5,0,IF(CD202&lt;0,IF(OR($J202=1,$J202=2,$J202=3,$J202=4),-$E202*$I202/12*3,IF($J202=5,-$E202*$I202/12*2,IF($J202=6,-$E202*$I202/12*1,0)))))+IF(BY$5&lt;&gt;$H202,0,IF(BY202&lt;0,IF($J202=4,-$E202*$I202/12*0,IF($J202=5,-$E202*$I202/12*1,IF($J202=6,-$E202*$I202/12*2,IF($J202&gt;=7,-$E202*$I202/12*3,0))))))</f>
        <v>0</v>
      </c>
      <c r="CB202" s="442">
        <f t="shared" ref="CB202" si="2641">IF($H202&lt;&gt;CD$5,0,IF(CD202&lt;0,IF(OR($J202=1,$J202=2,$J202=3,$J202=4,$J202=5,$J202=6,$J202=7),-$E202*$I202/12*3,IF($J202=8,-$E202*$I202/12*2,IF($J202=9,-$E202*$I202/12*1,0)))))+IF(BY$5&lt;&gt;$H202,0,IF(BY202&lt;0,IF($J202=7,-$E202*$I202/12*0,IF($J202=8,-$E202*$I202/12*1,IF($J202=9,-$E202*$I202/12*2,IF($J202&gt;=10,-$E202*$I202/12*3,0))))))</f>
        <v>0</v>
      </c>
      <c r="CC202" s="443">
        <f t="shared" ref="CC202" si="2642">IF($H202&lt;&gt;CD$5,0,IF(CD202&lt;0,IF(OR($J202=1,$J202=2,$J202=3,$J202=4,$J202=5,$J202=6,$J202=7,$J202=8,$J202=9,$J202=10),-$E202*$I202/12*3,IF($J202=11,-$E202*$I202/12*2,IF($J202=12,-$E202*$I202/12*1,0)))))+IF(BY$5&lt;&gt;$H202,0,IF(BY202&lt;0,IF($J202=10,-$E202*$I202/12*0,IF($J202=11,-$E202*$I202/12*1,IF($J202=12,-$E202*$I202/12*2,0)))))</f>
        <v>0</v>
      </c>
      <c r="CD202" s="440">
        <f t="shared" ref="CD202" si="2643">IF(AND(BY202&lt;&gt;0,BY$5=$H202),-$I202*$E202-BY202,IF(CD$5=$H202,-$I202*$E202*(12-$J202+1)/12,0))</f>
        <v>0</v>
      </c>
      <c r="CE202" s="441">
        <f t="shared" ref="CE202" si="2644">IF($H202&lt;&gt;CI$5,0,IF(CI202&lt;0,IF($J202=1,-$E202*$I202/12*3,IF($J202=2,-$E202*$I202/12*2,IF($J202=3,-$E202*$I202/12*1,0)))))+IF(CD$5&lt;&gt;$H202,0,IF(CD202&lt;0,IF($J202=1,-$E202*$I202/12*0,IF($J202=2,-$E202*$I202/12*1,IF($J202=3,-$E202*$I202/12*2,IF($J202&gt;=4,-$E202*$I202/12*3,0))))))</f>
        <v>0</v>
      </c>
      <c r="CF202" s="442">
        <f t="shared" ref="CF202" si="2645">IF($H202&lt;&gt;CI$5,0,IF(CI202&lt;0,IF(OR($J202=1,$J202=2,$J202=3,$J202=4),-$E202*$I202/12*3,IF($J202=5,-$E202*$I202/12*2,IF($J202=6,-$E202*$I202/12*1,0)))))+IF(CD$5&lt;&gt;$H202,0,IF(CD202&lt;0,IF($J202=4,-$E202*$I202/12*0,IF($J202=5,-$E202*$I202/12*1,IF($J202=6,-$E202*$I202/12*2,IF($J202&gt;=7,-$E202*$I202/12*3,0))))))</f>
        <v>0</v>
      </c>
      <c r="CG202" s="442">
        <f t="shared" ref="CG202" si="2646">IF($H202&lt;&gt;CI$5,0,IF(CI202&lt;0,IF(OR($J202=1,$J202=2,$J202=3,$J202=4,$J202=5,$J202=6,$J202=7),-$E202*$I202/12*3,IF($J202=8,-$E202*$I202/12*2,IF($J202=9,-$E202*$I202/12*1,0)))))+IF(CD$5&lt;&gt;$H202,0,IF(CD202&lt;0,IF($J202=7,-$E202*$I202/12*0,IF($J202=8,-$E202*$I202/12*1,IF($J202=9,-$E202*$I202/12*2,IF($J202&gt;=10,-$E202*$I202/12*3,0))))))</f>
        <v>0</v>
      </c>
      <c r="CH202" s="443">
        <f t="shared" ref="CH202" si="2647">IF($H202&lt;&gt;CI$5,0,IF(CI202&lt;0,IF(OR($J202=1,$J202=2,$J202=3,$J202=4,$J202=5,$J202=6,$J202=7,$J202=8,$J202=9,$J202=10),-$E202*$I202/12*3,IF($J202=11,-$E202*$I202/12*2,IF($J202=12,-$E202*$I202/12*1,0)))))+IF(CD$5&lt;&gt;$H202,0,IF(CD202&lt;0,IF($J202=10,-$E202*$I202/12*0,IF($J202=11,-$E202*$I202/12*1,IF($J202=12,-$E202*$I202/12*2,0)))))</f>
        <v>0</v>
      </c>
      <c r="CI202" s="440">
        <f t="shared" ref="CI202" si="2648">IF(AND(CD202&lt;&gt;0,CD$5=$H202),-$I202*$E202-CD202,IF(CI$5=$H202,-$I202*$E202*(12-$J202+1)/12,0))</f>
        <v>0</v>
      </c>
      <c r="CJ202" s="441">
        <f t="shared" ref="CJ202" si="2649">IF($H202&lt;&gt;CN$5,0,IF(CN202&lt;0,IF($J202=1,-$E202*$I202/12*3,IF($J202=2,-$E202*$I202/12*2,IF($J202=3,-$E202*$I202/12*1,0)))))+IF(CI$5&lt;&gt;$H202,0,IF(CI202&lt;0,IF($J202=1,-$E202*$I202/12*0,IF($J202=2,-$E202*$I202/12*1,IF($J202=3,-$E202*$I202/12*2,IF($J202&gt;=4,-$E202*$I202/12*3,0))))))</f>
        <v>0</v>
      </c>
      <c r="CK202" s="442">
        <f t="shared" ref="CK202" si="2650">IF($H202&lt;&gt;CN$5,0,IF(CN202&lt;0,IF(OR($J202=1,$J202=2,$J202=3,$J202=4),-$E202*$I202/12*3,IF($J202=5,-$E202*$I202/12*2,IF($J202=6,-$E202*$I202/12*1,0)))))+IF(CI$5&lt;&gt;$H202,0,IF(CI202&lt;0,IF($J202=4,-$E202*$I202/12*0,IF($J202=5,-$E202*$I202/12*1,IF($J202=6,-$E202*$I202/12*2,IF($J202&gt;=7,-$E202*$I202/12*3,0))))))</f>
        <v>0</v>
      </c>
      <c r="CL202" s="442">
        <f t="shared" ref="CL202" si="2651">IF($H202&lt;&gt;CN$5,0,IF(CN202&lt;0,IF(OR($J202=1,$J202=2,$J202=3,$J202=4,$J202=5,$J202=6,$J202=7),-$E202*$I202/12*3,IF($J202=8,-$E202*$I202/12*2,IF($J202=9,-$E202*$I202/12*1,0)))))+IF(CI$5&lt;&gt;$H202,0,IF(CI202&lt;0,IF($J202=7,-$E202*$I202/12*0,IF($J202=8,-$E202*$I202/12*1,IF($J202=9,-$E202*$I202/12*2,IF($J202&gt;=10,-$E202*$I202/12*3,0))))))</f>
        <v>0</v>
      </c>
      <c r="CM202" s="443">
        <f t="shared" ref="CM202" si="2652">IF($H202&lt;&gt;CN$5,0,IF(CN202&lt;0,IF(OR($J202=1,$J202=2,$J202=3,$J202=4,$J202=5,$J202=6,$J202=7,$J202=8,$J202=9,$J202=10),-$E202*$I202/12*3,IF($J202=11,-$E202*$I202/12*2,IF($J202=12,-$E202*$I202/12*1,0)))))+IF(CI$5&lt;&gt;$H202,0,IF(CI202&lt;0,IF($J202=10,-$E202*$I202/12*0,IF($J202=11,-$E202*$I202/12*1,IF($J202=12,-$E202*$I202/12*2,0)))))</f>
        <v>0</v>
      </c>
      <c r="CN202" s="440">
        <f t="shared" ref="CN202" si="2653">IF(AND(CI202&lt;&gt;0,CI$5=$H202),-$I202*$E202-CI202,IF(CN$5=$H202,-$I202*$E202*(12-$J202+1)/12,0))</f>
        <v>0</v>
      </c>
      <c r="CO202" s="441">
        <f t="shared" ref="CO202" si="2654">IF($H202&lt;&gt;CS$5,0,IF(CS202&lt;0,IF($J202=1,-$E202*$I202/12*3,IF($J202=2,-$E202*$I202/12*2,IF($J202=3,-$E202*$I202/12*1,0)))))+IF(CN$5&lt;&gt;$H202,0,IF(CN202&lt;0,IF($J202=1,-$E202*$I202/12*0,IF($J202=2,-$E202*$I202/12*1,IF($J202=3,-$E202*$I202/12*2,IF($J202&gt;=4,-$E202*$I202/12*3,0))))))</f>
        <v>0</v>
      </c>
      <c r="CP202" s="442">
        <f t="shared" ref="CP202" si="2655">IF($H202&lt;&gt;CS$5,0,IF(CS202&lt;0,IF(OR($J202=1,$J202=2,$J202=3,$J202=4),-$E202*$I202/12*3,IF($J202=5,-$E202*$I202/12*2,IF($J202=6,-$E202*$I202/12*1,0)))))+IF(CN$5&lt;&gt;$H202,0,IF(CN202&lt;0,IF($J202=4,-$E202*$I202/12*0,IF($J202=5,-$E202*$I202/12*1,IF($J202=6,-$E202*$I202/12*2,IF($J202&gt;=7,-$E202*$I202/12*3,0))))))</f>
        <v>0</v>
      </c>
      <c r="CQ202" s="442">
        <f t="shared" ref="CQ202" si="2656">IF($H202&lt;&gt;CS$5,0,IF(CS202&lt;0,IF(OR($J202=1,$J202=2,$J202=3,$J202=4,$J202=5,$J202=6,$J202=7),-$E202*$I202/12*3,IF($J202=8,-$E202*$I202/12*2,IF($J202=9,-$E202*$I202/12*1,0)))))+IF(CN$5&lt;&gt;$H202,0,IF(CN202&lt;0,IF($J202=7,-$E202*$I202/12*0,IF($J202=8,-$E202*$I202/12*1,IF($J202=9,-$E202*$I202/12*2,IF($J202&gt;=10,-$E202*$I202/12*3,0))))))</f>
        <v>0</v>
      </c>
      <c r="CR202" s="443">
        <f t="shared" ref="CR202" si="2657">IF($H202&lt;&gt;CS$5,0,IF(CS202&lt;0,IF(OR($J202=1,$J202=2,$J202=3,$J202=4,$J202=5,$J202=6,$J202=7,$J202=8,$J202=9,$J202=10),-$E202*$I202/12*3,IF($J202=11,-$E202*$I202/12*2,IF($J202=12,-$E202*$I202/12*1,0)))))+IF(CN$5&lt;&gt;$H202,0,IF(CN202&lt;0,IF($J202=10,-$E202*$I202/12*0,IF($J202=11,-$E202*$I202/12*1,IF($J202=12,-$E202*$I202/12*2,0)))))</f>
        <v>0</v>
      </c>
      <c r="CS202" s="440">
        <f t="shared" ref="CS202" si="2658">IF(AND(CN202&lt;&gt;0,CN$5=$H202),-$I202*$E202-CN202,IF(CS$5=$H202,-$I202*$E202*(12-$J202+1)/12,0))</f>
        <v>0</v>
      </c>
      <c r="CT202" s="441">
        <f t="shared" ref="CT202" si="2659">IF($H202&lt;&gt;CX$5,0,IF(CX202&lt;0,IF($J202=1,-$E202*$I202/12*3,IF($J202=2,-$E202*$I202/12*2,IF($J202=3,-$E202*$I202/12*1,0)))))+IF(CS$5&lt;&gt;$H202,0,IF(CS202&lt;0,IF($J202=1,-$E202*$I202/12*0,IF($J202=2,-$E202*$I202/12*1,IF($J202=3,-$E202*$I202/12*2,IF($J202&gt;=4,-$E202*$I202/12*3,0))))))</f>
        <v>0</v>
      </c>
      <c r="CU202" s="442">
        <f t="shared" ref="CU202" si="2660">IF($H202&lt;&gt;CX$5,0,IF(CX202&lt;0,IF(OR($J202=1,$J202=2,$J202=3,$J202=4),-$E202*$I202/12*3,IF($J202=5,-$E202*$I202/12*2,IF($J202=6,-$E202*$I202/12*1,0)))))+IF(CS$5&lt;&gt;$H202,0,IF(CS202&lt;0,IF($J202=4,-$E202*$I202/12*0,IF($J202=5,-$E202*$I202/12*1,IF($J202=6,-$E202*$I202/12*2,IF($J202&gt;=7,-$E202*$I202/12*3,0))))))</f>
        <v>0</v>
      </c>
      <c r="CV202" s="442">
        <f t="shared" ref="CV202" si="2661">IF($H202&lt;&gt;CX$5,0,IF(CX202&lt;0,IF(OR($J202=1,$J202=2,$J202=3,$J202=4,$J202=5,$J202=6,$J202=7),-$E202*$I202/12*3,IF($J202=8,-$E202*$I202/12*2,IF($J202=9,-$E202*$I202/12*1,0)))))+IF(CS$5&lt;&gt;$H202,0,IF(CS202&lt;0,IF($J202=7,-$E202*$I202/12*0,IF($J202=8,-$E202*$I202/12*1,IF($J202=9,-$E202*$I202/12*2,IF($J202&gt;=10,-$E202*$I202/12*3,0))))))</f>
        <v>0</v>
      </c>
      <c r="CW202" s="443">
        <f t="shared" ref="CW202" si="2662">IF($H202&lt;&gt;CX$5,0,IF(CX202&lt;0,IF(OR($J202=1,$J202=2,$J202=3,$J202=4,$J202=5,$J202=6,$J202=7,$J202=8,$J202=9,$J202=10),-$E202*$I202/12*3,IF($J202=11,-$E202*$I202/12*2,IF($J202=12,-$E202*$I202/12*1,0)))))+IF(CS$5&lt;&gt;$H202,0,IF(CS202&lt;0,IF($J202=10,-$E202*$I202/12*0,IF($J202=11,-$E202*$I202/12*1,IF($J202=12,-$E202*$I202/12*2,0)))))</f>
        <v>0</v>
      </c>
      <c r="CX202" s="440">
        <f t="shared" ref="CX202" si="2663">IF(AND(CS202&lt;&gt;0,CS$5=$H202),-$I202*$E202-CS202,IF(CX$5=$H202,-$I202*$E202*(12-$J202+1)/12,0))</f>
        <v>0</v>
      </c>
      <c r="CY202" s="441">
        <f t="shared" si="2608"/>
        <v>0</v>
      </c>
      <c r="CZ202" s="442">
        <f t="shared" si="2609"/>
        <v>0</v>
      </c>
      <c r="DA202" s="442">
        <f t="shared" si="2610"/>
        <v>0</v>
      </c>
      <c r="DB202" s="443">
        <f t="shared" si="2611"/>
        <v>0</v>
      </c>
      <c r="DC202" s="440">
        <f t="shared" si="2612"/>
        <v>0</v>
      </c>
      <c r="DD202" s="441">
        <f t="shared" si="2613"/>
        <v>0</v>
      </c>
      <c r="DE202" s="442">
        <f t="shared" si="2614"/>
        <v>0</v>
      </c>
      <c r="DF202" s="442">
        <f t="shared" si="2615"/>
        <v>0</v>
      </c>
      <c r="DG202" s="443">
        <f t="shared" si="2616"/>
        <v>0</v>
      </c>
      <c r="DH202" s="440">
        <f t="shared" si="2617"/>
        <v>0</v>
      </c>
      <c r="DI202" s="441">
        <f t="shared" si="2618"/>
        <v>0</v>
      </c>
      <c r="DJ202" s="442">
        <f t="shared" si="2619"/>
        <v>0</v>
      </c>
      <c r="DK202" s="442">
        <f t="shared" si="2620"/>
        <v>0</v>
      </c>
      <c r="DL202" s="443">
        <f t="shared" si="2621"/>
        <v>0</v>
      </c>
      <c r="DM202" s="440">
        <f t="shared" si="2622"/>
        <v>0</v>
      </c>
      <c r="DN202" s="441">
        <f t="shared" si="2623"/>
        <v>0</v>
      </c>
      <c r="DO202" s="442">
        <f t="shared" si="2624"/>
        <v>0</v>
      </c>
      <c r="DP202" s="442">
        <f t="shared" si="2625"/>
        <v>0</v>
      </c>
      <c r="DQ202" s="443">
        <f t="shared" si="2626"/>
        <v>0</v>
      </c>
      <c r="DR202" s="440">
        <f t="shared" si="2627"/>
        <v>0</v>
      </c>
    </row>
    <row r="203" spans="3:122" ht="12.75" customHeight="1">
      <c r="C203" s="1590" t="s">
        <v>377</v>
      </c>
      <c r="D203" s="395"/>
      <c r="E203" s="1950">
        <f>IF(F203=0,G203,F203)</f>
        <v>600</v>
      </c>
      <c r="F203" s="1945">
        <v>600</v>
      </c>
      <c r="G203" s="1945">
        <v>600</v>
      </c>
      <c r="H203" s="1366">
        <v>2043</v>
      </c>
      <c r="I203" s="1367">
        <v>5.3999999999999999E-2</v>
      </c>
      <c r="J203" s="1357">
        <v>12</v>
      </c>
      <c r="K203" s="549"/>
      <c r="L203" s="441">
        <f t="shared" si="2518"/>
        <v>0</v>
      </c>
      <c r="M203" s="442">
        <f t="shared" si="2519"/>
        <v>0</v>
      </c>
      <c r="N203" s="442">
        <f t="shared" si="2520"/>
        <v>0</v>
      </c>
      <c r="O203" s="443">
        <f t="shared" si="2521"/>
        <v>0</v>
      </c>
      <c r="P203" s="440">
        <f t="shared" si="2522"/>
        <v>0</v>
      </c>
      <c r="Q203" s="441">
        <f t="shared" si="2523"/>
        <v>0</v>
      </c>
      <c r="R203" s="442">
        <f t="shared" si="2524"/>
        <v>0</v>
      </c>
      <c r="S203" s="442">
        <f t="shared" si="2525"/>
        <v>0</v>
      </c>
      <c r="T203" s="443">
        <f t="shared" si="2526"/>
        <v>0</v>
      </c>
      <c r="U203" s="440">
        <f t="shared" si="2527"/>
        <v>0</v>
      </c>
      <c r="V203" s="441">
        <f t="shared" si="2528"/>
        <v>0</v>
      </c>
      <c r="W203" s="442">
        <f t="shared" si="2529"/>
        <v>0</v>
      </c>
      <c r="X203" s="442">
        <f t="shared" si="2530"/>
        <v>0</v>
      </c>
      <c r="Y203" s="443">
        <f t="shared" si="2531"/>
        <v>0</v>
      </c>
      <c r="Z203" s="440">
        <f t="shared" si="2532"/>
        <v>0</v>
      </c>
      <c r="AA203" s="441">
        <f t="shared" si="2533"/>
        <v>0</v>
      </c>
      <c r="AB203" s="442">
        <f t="shared" si="2534"/>
        <v>0</v>
      </c>
      <c r="AC203" s="442">
        <f t="shared" si="2535"/>
        <v>0</v>
      </c>
      <c r="AD203" s="443">
        <f t="shared" si="2536"/>
        <v>0</v>
      </c>
      <c r="AE203" s="440">
        <f t="shared" si="2537"/>
        <v>0</v>
      </c>
      <c r="AF203" s="441">
        <f t="shared" si="2538"/>
        <v>0</v>
      </c>
      <c r="AG203" s="442">
        <f t="shared" si="2539"/>
        <v>0</v>
      </c>
      <c r="AH203" s="442">
        <f t="shared" si="2540"/>
        <v>0</v>
      </c>
      <c r="AI203" s="443">
        <f t="shared" si="2541"/>
        <v>0</v>
      </c>
      <c r="AJ203" s="440">
        <f t="shared" si="2542"/>
        <v>0</v>
      </c>
      <c r="AK203" s="441">
        <f t="shared" si="2543"/>
        <v>0</v>
      </c>
      <c r="AL203" s="442">
        <f t="shared" si="2544"/>
        <v>0</v>
      </c>
      <c r="AM203" s="442">
        <f t="shared" si="2545"/>
        <v>0</v>
      </c>
      <c r="AN203" s="443">
        <f t="shared" si="2546"/>
        <v>0</v>
      </c>
      <c r="AO203" s="440">
        <f t="shared" si="2547"/>
        <v>0</v>
      </c>
      <c r="AP203" s="441">
        <f t="shared" si="2548"/>
        <v>0</v>
      </c>
      <c r="AQ203" s="442">
        <f t="shared" si="2549"/>
        <v>0</v>
      </c>
      <c r="AR203" s="442">
        <f t="shared" si="2550"/>
        <v>0</v>
      </c>
      <c r="AS203" s="443">
        <f t="shared" si="2551"/>
        <v>0</v>
      </c>
      <c r="AT203" s="440">
        <f t="shared" si="2552"/>
        <v>0</v>
      </c>
      <c r="AU203" s="441">
        <f t="shared" si="2553"/>
        <v>0</v>
      </c>
      <c r="AV203" s="442">
        <f t="shared" si="2554"/>
        <v>0</v>
      </c>
      <c r="AW203" s="442">
        <f t="shared" si="2555"/>
        <v>0</v>
      </c>
      <c r="AX203" s="443">
        <f t="shared" si="2556"/>
        <v>0</v>
      </c>
      <c r="AY203" s="440">
        <f t="shared" si="2557"/>
        <v>0</v>
      </c>
      <c r="AZ203" s="441">
        <f t="shared" si="2558"/>
        <v>0</v>
      </c>
      <c r="BA203" s="442">
        <f t="shared" si="2559"/>
        <v>0</v>
      </c>
      <c r="BB203" s="442">
        <f t="shared" si="2560"/>
        <v>0</v>
      </c>
      <c r="BC203" s="443">
        <f t="shared" si="2561"/>
        <v>0</v>
      </c>
      <c r="BD203" s="440">
        <f t="shared" si="2562"/>
        <v>0</v>
      </c>
      <c r="BE203" s="441">
        <f t="shared" si="2563"/>
        <v>0</v>
      </c>
      <c r="BF203" s="442">
        <f t="shared" si="2564"/>
        <v>0</v>
      </c>
      <c r="BG203" s="442">
        <f t="shared" si="2565"/>
        <v>0</v>
      </c>
      <c r="BH203" s="443">
        <f t="shared" si="2566"/>
        <v>0</v>
      </c>
      <c r="BI203" s="440">
        <f t="shared" si="2567"/>
        <v>0</v>
      </c>
      <c r="BJ203" s="441">
        <f t="shared" si="2568"/>
        <v>0</v>
      </c>
      <c r="BK203" s="442">
        <f t="shared" si="2569"/>
        <v>0</v>
      </c>
      <c r="BL203" s="442">
        <f t="shared" si="2570"/>
        <v>0</v>
      </c>
      <c r="BM203" s="443">
        <f t="shared" si="2571"/>
        <v>0</v>
      </c>
      <c r="BN203" s="440">
        <f t="shared" si="2572"/>
        <v>0</v>
      </c>
      <c r="BO203" s="470"/>
      <c r="BP203" s="441">
        <f>IF($H203&lt;&gt;BT$5,0,IF(BT203&lt;0,IF($J203=1,-$E203*$I203/12*3,IF($J203=2,-$E203*$I203/12*2,IF($J203=3,-$E203*$I203/12*1,0)))))+IF(BO$5&lt;&gt;$H203,0,IF(BO203&lt;0,IF($J203=1,-$E203*$I203/12*0,IF($J203=2,-$E203*$I203/12*1,IF($J203=3,-$E203*$I203/12*2,IF($J203&gt;=4,-$E203*$I203/12*3,0))))))</f>
        <v>0</v>
      </c>
      <c r="BQ203" s="442">
        <f>IF($H203&lt;&gt;BT$5,0,IF(BT203&lt;0,IF(OR($J203=1,$J203=2,$J203=3,$J203=4),-$E203*$I203/12*3,IF($J203=5,-$E203*$I203/12*2,IF($J203=6,-$E203*$I203/12*1,0)))))+IF(BO$5&lt;&gt;$H203,0,IF(BO203&lt;0,IF($J203=4,-$E203*$I203/12*0,IF($J203=5,-$E203*$I203/12*1,IF($J203=6,-$E203*$I203/12*2,IF($J203&gt;=7,-$E203*$I203/12*3,0))))))</f>
        <v>0</v>
      </c>
      <c r="BR203" s="442">
        <f>IF($H203&lt;&gt;BT$5,0,IF(BT203&lt;0,IF(OR($J203=1,$J203=2,$J203=3,$J203=4,$J203=5,$J203=6,$J203=7),-$E203*$I203/12*3,IF($J203=8,-$E203*$I203/12*2,IF($J203=9,-$E203*$I203/12*1,0)))))+IF(BO$5&lt;&gt;$H203,0,IF(BO203&lt;0,IF($J203=7,-$E203*$I203/12*0,IF($J203=8,-$E203*$I203/12*1,IF($J203=9,-$E203*$I203/12*2,IF($J203&gt;=10,-$E203*$I203/12*3,0))))))</f>
        <v>0</v>
      </c>
      <c r="BS203" s="443">
        <f>IF($H203&lt;&gt;BT$5,0,IF(BT203&lt;0,IF(OR($J203=1,$J203=2,$J203=3,$J203=4,$J203=5,$J203=6,$J203=7,$J203=8,$J203=9,$J203=10),-$E203*$I203/12*3,IF($J203=11,-$E203*$I203/12*2,IF($J203=12,-$E203*$I203/12*1,0)))))+IF(BO$5&lt;&gt;$H203,0,IF(BO203&lt;0,IF($J203=10,-$E203*$I203/12*0,IF($J203=11,-$E203*$I203/12*1,IF($J203=12,-$E203*$I203/12*2,0)))))</f>
        <v>0</v>
      </c>
      <c r="BT203" s="440">
        <f>IF(AND(BO203&lt;&gt;0,BO$5=$H203),-$I203*$E203-BO203,IF(BT$5=$H203,-$I203*$E203*(12-$J203+1)/12,0))</f>
        <v>0</v>
      </c>
      <c r="BU203" s="441">
        <f>IF($H203&lt;&gt;BY$5,0,IF(BY203&lt;0,IF($J203=1,-$E203*$I203/12*3,IF($J203=2,-$E203*$I203/12*2,IF($J203=3,-$E203*$I203/12*1,0)))))+IF(BT$5&lt;&gt;$H203,0,IF(BT203&lt;0,IF($J203=1,-$E203*$I203/12*0,IF($J203=2,-$E203*$I203/12*1,IF($J203=3,-$E203*$I203/12*2,IF($J203&gt;=4,-$E203*$I203/12*3,0))))))</f>
        <v>0</v>
      </c>
      <c r="BV203" s="442">
        <f>IF($H203&lt;&gt;BY$5,0,IF(BY203&lt;0,IF(OR($J203=1,$J203=2,$J203=3,$J203=4),-$E203*$I203/12*3,IF($J203=5,-$E203*$I203/12*2,IF($J203=6,-$E203*$I203/12*1,0)))))+IF(BT$5&lt;&gt;$H203,0,IF(BT203&lt;0,IF($J203=4,-$E203*$I203/12*0,IF($J203=5,-$E203*$I203/12*1,IF($J203=6,-$E203*$I203/12*2,IF($J203&gt;=7,-$E203*$I203/12*3,0))))))</f>
        <v>0</v>
      </c>
      <c r="BW203" s="442">
        <f>IF($H203&lt;&gt;BY$5,0,IF(BY203&lt;0,IF(OR($J203=1,$J203=2,$J203=3,$J203=4,$J203=5,$J203=6,$J203=7),-$E203*$I203/12*3,IF($J203=8,-$E203*$I203/12*2,IF($J203=9,-$E203*$I203/12*1,0)))))+IF(BT$5&lt;&gt;$H203,0,IF(BT203&lt;0,IF($J203=7,-$E203*$I203/12*0,IF($J203=8,-$E203*$I203/12*1,IF($J203=9,-$E203*$I203/12*2,IF($J203&gt;=10,-$E203*$I203/12*3,0))))))</f>
        <v>0</v>
      </c>
      <c r="BX203" s="443">
        <f>IF($H203&lt;&gt;BY$5,0,IF(BY203&lt;0,IF(OR($J203=1,$J203=2,$J203=3,$J203=4,$J203=5,$J203=6,$J203=7,$J203=8,$J203=9,$J203=10),-$E203*$I203/12*3,IF($J203=11,-$E203*$I203/12*2,IF($J203=12,-$E203*$I203/12*1,0)))))+IF(BT$5&lt;&gt;$H203,0,IF(BT203&lt;0,IF($J203=10,-$E203*$I203/12*0,IF($J203=11,-$E203*$I203/12*1,IF($J203=12,-$E203*$I203/12*2,0)))))</f>
        <v>0</v>
      </c>
      <c r="BY203" s="440">
        <f>IF(AND(BT203&lt;&gt;0,BT$5=$H203),-$I203*$E203-BT203,IF(BY$5=$H203,-$I203*$E203*(12-$J203+1)/12,0))</f>
        <v>0</v>
      </c>
      <c r="BZ203" s="441">
        <f>IF($H203&lt;&gt;CD$5,0,IF(CD203&lt;0,IF($J203=1,-$E203*$I203/12*3,IF($J203=2,-$E203*$I203/12*2,IF($J203=3,-$E203*$I203/12*1,0)))))+IF(BY$5&lt;&gt;$H203,0,IF(BY203&lt;0,IF($J203=1,-$E203*$I203/12*0,IF($J203=2,-$E203*$I203/12*1,IF($J203=3,-$E203*$I203/12*2,IF($J203&gt;=4,-$E203*$I203/12*3,0))))))</f>
        <v>0</v>
      </c>
      <c r="CA203" s="442">
        <f>IF($H203&lt;&gt;CD$5,0,IF(CD203&lt;0,IF(OR($J203=1,$J203=2,$J203=3,$J203=4),-$E203*$I203/12*3,IF($J203=5,-$E203*$I203/12*2,IF($J203=6,-$E203*$I203/12*1,0)))))+IF(BY$5&lt;&gt;$H203,0,IF(BY203&lt;0,IF($J203=4,-$E203*$I203/12*0,IF($J203=5,-$E203*$I203/12*1,IF($J203=6,-$E203*$I203/12*2,IF($J203&gt;=7,-$E203*$I203/12*3,0))))))</f>
        <v>0</v>
      </c>
      <c r="CB203" s="442">
        <f>IF($H203&lt;&gt;CD$5,0,IF(CD203&lt;0,IF(OR($J203=1,$J203=2,$J203=3,$J203=4,$J203=5,$J203=6,$J203=7),-$E203*$I203/12*3,IF($J203=8,-$E203*$I203/12*2,IF($J203=9,-$E203*$I203/12*1,0)))))+IF(BY$5&lt;&gt;$H203,0,IF(BY203&lt;0,IF($J203=7,-$E203*$I203/12*0,IF($J203=8,-$E203*$I203/12*1,IF($J203=9,-$E203*$I203/12*2,IF($J203&gt;=10,-$E203*$I203/12*3,0))))))</f>
        <v>0</v>
      </c>
      <c r="CC203" s="443">
        <f>IF($H203&lt;&gt;CD$5,0,IF(CD203&lt;0,IF(OR($J203=1,$J203=2,$J203=3,$J203=4,$J203=5,$J203=6,$J203=7,$J203=8,$J203=9,$J203=10),-$E203*$I203/12*3,IF($J203=11,-$E203*$I203/12*2,IF($J203=12,-$E203*$I203/12*1,0)))))+IF(BY$5&lt;&gt;$H203,0,IF(BY203&lt;0,IF($J203=10,-$E203*$I203/12*0,IF($J203=11,-$E203*$I203/12*1,IF($J203=12,-$E203*$I203/12*2,0)))))</f>
        <v>0</v>
      </c>
      <c r="CD203" s="440">
        <f>IF(AND(BY203&lt;&gt;0,BY$5=$H203),-$I203*$E203-BY203,IF(CD$5=$H203,-$I203*$E203*(12-$J203+1)/12,0))</f>
        <v>0</v>
      </c>
      <c r="CE203" s="441">
        <f>IF($H203&lt;&gt;CI$5,0,IF(CI203&lt;0,IF($J203=1,-$E203*$I203/12*3,IF($J203=2,-$E203*$I203/12*2,IF($J203=3,-$E203*$I203/12*1,0)))))+IF(CD$5&lt;&gt;$H203,0,IF(CD203&lt;0,IF($J203=1,-$E203*$I203/12*0,IF($J203=2,-$E203*$I203/12*1,IF($J203=3,-$E203*$I203/12*2,IF($J203&gt;=4,-$E203*$I203/12*3,0))))))</f>
        <v>0</v>
      </c>
      <c r="CF203" s="442">
        <f>IF($H203&lt;&gt;CI$5,0,IF(CI203&lt;0,IF(OR($J203=1,$J203=2,$J203=3,$J203=4),-$E203*$I203/12*3,IF($J203=5,-$E203*$I203/12*2,IF($J203=6,-$E203*$I203/12*1,0)))))+IF(CD$5&lt;&gt;$H203,0,IF(CD203&lt;0,IF($J203=4,-$E203*$I203/12*0,IF($J203=5,-$E203*$I203/12*1,IF($J203=6,-$E203*$I203/12*2,IF($J203&gt;=7,-$E203*$I203/12*3,0))))))</f>
        <v>0</v>
      </c>
      <c r="CG203" s="442">
        <f>IF($H203&lt;&gt;CI$5,0,IF(CI203&lt;0,IF(OR($J203=1,$J203=2,$J203=3,$J203=4,$J203=5,$J203=6,$J203=7),-$E203*$I203/12*3,IF($J203=8,-$E203*$I203/12*2,IF($J203=9,-$E203*$I203/12*1,0)))))+IF(CD$5&lt;&gt;$H203,0,IF(CD203&lt;0,IF($J203=7,-$E203*$I203/12*0,IF($J203=8,-$E203*$I203/12*1,IF($J203=9,-$E203*$I203/12*2,IF($J203&gt;=10,-$E203*$I203/12*3,0))))))</f>
        <v>0</v>
      </c>
      <c r="CH203" s="443">
        <f>IF($H203&lt;&gt;CI$5,0,IF(CI203&lt;0,IF(OR($J203=1,$J203=2,$J203=3,$J203=4,$J203=5,$J203=6,$J203=7,$J203=8,$J203=9,$J203=10),-$E203*$I203/12*3,IF($J203=11,-$E203*$I203/12*2,IF($J203=12,-$E203*$I203/12*1,0)))))+IF(CD$5&lt;&gt;$H203,0,IF(CD203&lt;0,IF($J203=10,-$E203*$I203/12*0,IF($J203=11,-$E203*$I203/12*1,IF($J203=12,-$E203*$I203/12*2,0)))))</f>
        <v>0</v>
      </c>
      <c r="CI203" s="440">
        <f>IF(AND(CD203&lt;&gt;0,CD$5=$H203),-$I203*$E203-CD203,IF(CI$5=$H203,-$I203*$E203*(12-$J203+1)/12,0))</f>
        <v>0</v>
      </c>
      <c r="CJ203" s="441">
        <f>IF($H203&lt;&gt;CN$5,0,IF(CN203&lt;0,IF($J203=1,-$E203*$I203/12*3,IF($J203=2,-$E203*$I203/12*2,IF($J203=3,-$E203*$I203/12*1,0)))))+IF(CI$5&lt;&gt;$H203,0,IF(CI203&lt;0,IF($J203=1,-$E203*$I203/12*0,IF($J203=2,-$E203*$I203/12*1,IF($J203=3,-$E203*$I203/12*2,IF($J203&gt;=4,-$E203*$I203/12*3,0))))))</f>
        <v>0</v>
      </c>
      <c r="CK203" s="442">
        <f>IF($H203&lt;&gt;CN$5,0,IF(CN203&lt;0,IF(OR($J203=1,$J203=2,$J203=3,$J203=4),-$E203*$I203/12*3,IF($J203=5,-$E203*$I203/12*2,IF($J203=6,-$E203*$I203/12*1,0)))))+IF(CI$5&lt;&gt;$H203,0,IF(CI203&lt;0,IF($J203=4,-$E203*$I203/12*0,IF($J203=5,-$E203*$I203/12*1,IF($J203=6,-$E203*$I203/12*2,IF($J203&gt;=7,-$E203*$I203/12*3,0))))))</f>
        <v>0</v>
      </c>
      <c r="CL203" s="442">
        <f>IF($H203&lt;&gt;CN$5,0,IF(CN203&lt;0,IF(OR($J203=1,$J203=2,$J203=3,$J203=4,$J203=5,$J203=6,$J203=7),-$E203*$I203/12*3,IF($J203=8,-$E203*$I203/12*2,IF($J203=9,-$E203*$I203/12*1,0)))))+IF(CI$5&lt;&gt;$H203,0,IF(CI203&lt;0,IF($J203=7,-$E203*$I203/12*0,IF($J203=8,-$E203*$I203/12*1,IF($J203=9,-$E203*$I203/12*2,IF($J203&gt;=10,-$E203*$I203/12*3,0))))))</f>
        <v>0</v>
      </c>
      <c r="CM203" s="443">
        <f>IF($H203&lt;&gt;CN$5,0,IF(CN203&lt;0,IF(OR($J203=1,$J203=2,$J203=3,$J203=4,$J203=5,$J203=6,$J203=7,$J203=8,$J203=9,$J203=10),-$E203*$I203/12*3,IF($J203=11,-$E203*$I203/12*2,IF($J203=12,-$E203*$I203/12*1,0)))))+IF(CI$5&lt;&gt;$H203,0,IF(CI203&lt;0,IF($J203=10,-$E203*$I203/12*0,IF($J203=11,-$E203*$I203/12*1,IF($J203=12,-$E203*$I203/12*2,0)))))</f>
        <v>0</v>
      </c>
      <c r="CN203" s="440">
        <f>IF(AND(CI203&lt;&gt;0,CI$5=$H203),-$I203*$E203-CI203,IF(CN$5=$H203,-$I203*$E203*(12-$J203+1)/12,0))</f>
        <v>0</v>
      </c>
      <c r="CO203" s="441">
        <f>IF($H203&lt;&gt;CS$5,0,IF(CS203&lt;0,IF($J203=1,-$E203*$I203/12*3,IF($J203=2,-$E203*$I203/12*2,IF($J203=3,-$E203*$I203/12*1,0)))))+IF(CN$5&lt;&gt;$H203,0,IF(CN203&lt;0,IF($J203=1,-$E203*$I203/12*0,IF($J203=2,-$E203*$I203/12*1,IF($J203=3,-$E203*$I203/12*2,IF($J203&gt;=4,-$E203*$I203/12*3,0))))))</f>
        <v>0</v>
      </c>
      <c r="CP203" s="442">
        <f>IF($H203&lt;&gt;CS$5,0,IF(CS203&lt;0,IF(OR($J203=1,$J203=2,$J203=3,$J203=4),-$E203*$I203/12*3,IF($J203=5,-$E203*$I203/12*2,IF($J203=6,-$E203*$I203/12*1,0)))))+IF(CN$5&lt;&gt;$H203,0,IF(CN203&lt;0,IF($J203=4,-$E203*$I203/12*0,IF($J203=5,-$E203*$I203/12*1,IF($J203=6,-$E203*$I203/12*2,IF($J203&gt;=7,-$E203*$I203/12*3,0))))))</f>
        <v>0</v>
      </c>
      <c r="CQ203" s="442">
        <f>IF($H203&lt;&gt;CS$5,0,IF(CS203&lt;0,IF(OR($J203=1,$J203=2,$J203=3,$J203=4,$J203=5,$J203=6,$J203=7),-$E203*$I203/12*3,IF($J203=8,-$E203*$I203/12*2,IF($J203=9,-$E203*$I203/12*1,0)))))+IF(CN$5&lt;&gt;$H203,0,IF(CN203&lt;0,IF($J203=7,-$E203*$I203/12*0,IF($J203=8,-$E203*$I203/12*1,IF($J203=9,-$E203*$I203/12*2,IF($J203&gt;=10,-$E203*$I203/12*3,0))))))</f>
        <v>0</v>
      </c>
      <c r="CR203" s="443">
        <f>IF($H203&lt;&gt;CS$5,0,IF(CS203&lt;0,IF(OR($J203=1,$J203=2,$J203=3,$J203=4,$J203=5,$J203=6,$J203=7,$J203=8,$J203=9,$J203=10),-$E203*$I203/12*3,IF($J203=11,-$E203*$I203/12*2,IF($J203=12,-$E203*$I203/12*1,0)))))+IF(CN$5&lt;&gt;$H203,0,IF(CN203&lt;0,IF($J203=10,-$E203*$I203/12*0,IF($J203=11,-$E203*$I203/12*1,IF($J203=12,-$E203*$I203/12*2,0)))))</f>
        <v>0</v>
      </c>
      <c r="CS203" s="440">
        <f>IF(AND(CN203&lt;&gt;0,CN$5=$H203),-$I203*$E203-CN203,IF(CS$5=$H203,-$I203*$E203*(12-$J203+1)/12,0))</f>
        <v>0</v>
      </c>
      <c r="CT203" s="441">
        <f>IF($H203&lt;&gt;CX$5,0,IF(CX203&lt;0,IF($J203=1,-$E203*$I203/12*3,IF($J203=2,-$E203*$I203/12*2,IF($J203=3,-$E203*$I203/12*1,0)))))+IF(CS$5&lt;&gt;$H203,0,IF(CS203&lt;0,IF($J203=1,-$E203*$I203/12*0,IF($J203=2,-$E203*$I203/12*1,IF($J203=3,-$E203*$I203/12*2,IF($J203&gt;=4,-$E203*$I203/12*3,0))))))</f>
        <v>0</v>
      </c>
      <c r="CU203" s="442">
        <f>IF($H203&lt;&gt;CX$5,0,IF(CX203&lt;0,IF(OR($J203=1,$J203=2,$J203=3,$J203=4),-$E203*$I203/12*3,IF($J203=5,-$E203*$I203/12*2,IF($J203=6,-$E203*$I203/12*1,0)))))+IF(CS$5&lt;&gt;$H203,0,IF(CS203&lt;0,IF($J203=4,-$E203*$I203/12*0,IF($J203=5,-$E203*$I203/12*1,IF($J203=6,-$E203*$I203/12*2,IF($J203&gt;=7,-$E203*$I203/12*3,0))))))</f>
        <v>0</v>
      </c>
      <c r="CV203" s="442">
        <f>IF($H203&lt;&gt;CX$5,0,IF(CX203&lt;0,IF(OR($J203=1,$J203=2,$J203=3,$J203=4,$J203=5,$J203=6,$J203=7),-$E203*$I203/12*3,IF($J203=8,-$E203*$I203/12*2,IF($J203=9,-$E203*$I203/12*1,0)))))+IF(CS$5&lt;&gt;$H203,0,IF(CS203&lt;0,IF($J203=7,-$E203*$I203/12*0,IF($J203=8,-$E203*$I203/12*1,IF($J203=9,-$E203*$I203/12*2,IF($J203&gt;=10,-$E203*$I203/12*3,0))))))</f>
        <v>0</v>
      </c>
      <c r="CW203" s="443">
        <f>IF($H203&lt;&gt;CX$5,0,IF(CX203&lt;0,IF(OR($J203=1,$J203=2,$J203=3,$J203=4,$J203=5,$J203=6,$J203=7,$J203=8,$J203=9,$J203=10),-$E203*$I203/12*3,IF($J203=11,-$E203*$I203/12*2,IF($J203=12,-$E203*$I203/12*1,0)))))+IF(CS$5&lt;&gt;$H203,0,IF(CS203&lt;0,IF($J203=10,-$E203*$I203/12*0,IF($J203=11,-$E203*$I203/12*1,IF($J203=12,-$E203*$I203/12*2,0)))))</f>
        <v>0</v>
      </c>
      <c r="CX203" s="440">
        <f>IF(AND(CS203&lt;&gt;0,CS$5=$H203),-$I203*$E203-CS203,IF(CX$5=$H203,-$I203*$E203*(12-$J203+1)/12,0))</f>
        <v>0</v>
      </c>
      <c r="CY203" s="441">
        <f t="shared" si="2608"/>
        <v>0</v>
      </c>
      <c r="CZ203" s="442">
        <f t="shared" si="2609"/>
        <v>0</v>
      </c>
      <c r="DA203" s="442">
        <f t="shared" si="2610"/>
        <v>0</v>
      </c>
      <c r="DB203" s="443">
        <f t="shared" si="2611"/>
        <v>0</v>
      </c>
      <c r="DC203" s="440">
        <f t="shared" si="2612"/>
        <v>0</v>
      </c>
      <c r="DD203" s="441">
        <f t="shared" si="2613"/>
        <v>0</v>
      </c>
      <c r="DE203" s="442">
        <f t="shared" si="2614"/>
        <v>0</v>
      </c>
      <c r="DF203" s="442">
        <f t="shared" si="2615"/>
        <v>0</v>
      </c>
      <c r="DG203" s="443">
        <f t="shared" si="2616"/>
        <v>0</v>
      </c>
      <c r="DH203" s="440">
        <f t="shared" si="2617"/>
        <v>0</v>
      </c>
      <c r="DI203" s="441">
        <f t="shared" si="2618"/>
        <v>0</v>
      </c>
      <c r="DJ203" s="442">
        <f t="shared" si="2619"/>
        <v>0</v>
      </c>
      <c r="DK203" s="442">
        <f t="shared" si="2620"/>
        <v>0</v>
      </c>
      <c r="DL203" s="443">
        <f t="shared" si="2621"/>
        <v>0</v>
      </c>
      <c r="DM203" s="440">
        <f t="shared" si="2622"/>
        <v>0</v>
      </c>
      <c r="DN203" s="441">
        <f t="shared" si="2623"/>
        <v>0</v>
      </c>
      <c r="DO203" s="442">
        <f t="shared" si="2624"/>
        <v>0</v>
      </c>
      <c r="DP203" s="442">
        <f t="shared" si="2625"/>
        <v>0</v>
      </c>
      <c r="DQ203" s="443">
        <f t="shared" si="2626"/>
        <v>0</v>
      </c>
      <c r="DR203" s="440">
        <f t="shared" si="2627"/>
        <v>0</v>
      </c>
    </row>
    <row r="204" spans="3:122" ht="12.75" customHeight="1">
      <c r="C204" s="1123" t="s">
        <v>333</v>
      </c>
      <c r="D204" s="395"/>
      <c r="E204" s="1950">
        <f t="shared" si="2517"/>
        <v>2.8016519999999998</v>
      </c>
      <c r="F204" s="1949">
        <v>2.8016519999999998</v>
      </c>
      <c r="G204" s="1949">
        <v>4.3632669999999996</v>
      </c>
      <c r="H204" s="414">
        <v>2039</v>
      </c>
      <c r="I204" s="1947">
        <v>0.05</v>
      </c>
      <c r="J204" s="656">
        <v>12</v>
      </c>
      <c r="K204" s="549"/>
      <c r="L204" s="441">
        <f t="shared" si="2518"/>
        <v>0</v>
      </c>
      <c r="M204" s="442">
        <f t="shared" si="2519"/>
        <v>0</v>
      </c>
      <c r="N204" s="442">
        <f t="shared" si="2520"/>
        <v>0</v>
      </c>
      <c r="O204" s="443">
        <f t="shared" si="2521"/>
        <v>0</v>
      </c>
      <c r="P204" s="440">
        <f t="shared" si="2522"/>
        <v>0</v>
      </c>
      <c r="Q204" s="441">
        <f t="shared" si="2523"/>
        <v>0</v>
      </c>
      <c r="R204" s="442">
        <f t="shared" si="2524"/>
        <v>0</v>
      </c>
      <c r="S204" s="442">
        <f t="shared" si="2525"/>
        <v>0</v>
      </c>
      <c r="T204" s="443">
        <f t="shared" si="2526"/>
        <v>0</v>
      </c>
      <c r="U204" s="440">
        <f t="shared" si="2527"/>
        <v>0</v>
      </c>
      <c r="V204" s="441">
        <f t="shared" si="2528"/>
        <v>0</v>
      </c>
      <c r="W204" s="442">
        <f t="shared" si="2529"/>
        <v>0</v>
      </c>
      <c r="X204" s="442">
        <f t="shared" si="2530"/>
        <v>0</v>
      </c>
      <c r="Y204" s="443">
        <f t="shared" si="2531"/>
        <v>0</v>
      </c>
      <c r="Z204" s="440">
        <f t="shared" si="2532"/>
        <v>0</v>
      </c>
      <c r="AA204" s="441">
        <f t="shared" si="2533"/>
        <v>0</v>
      </c>
      <c r="AB204" s="442">
        <f t="shared" si="2534"/>
        <v>0</v>
      </c>
      <c r="AC204" s="442">
        <f t="shared" si="2535"/>
        <v>0</v>
      </c>
      <c r="AD204" s="443">
        <f t="shared" si="2536"/>
        <v>0</v>
      </c>
      <c r="AE204" s="440">
        <f t="shared" si="2537"/>
        <v>0</v>
      </c>
      <c r="AF204" s="441">
        <f t="shared" si="2538"/>
        <v>0</v>
      </c>
      <c r="AG204" s="442">
        <f t="shared" si="2539"/>
        <v>0</v>
      </c>
      <c r="AH204" s="442">
        <f t="shared" si="2540"/>
        <v>0</v>
      </c>
      <c r="AI204" s="443">
        <f t="shared" si="2541"/>
        <v>0</v>
      </c>
      <c r="AJ204" s="440">
        <f t="shared" si="2542"/>
        <v>0</v>
      </c>
      <c r="AK204" s="441">
        <f t="shared" si="2543"/>
        <v>0</v>
      </c>
      <c r="AL204" s="442">
        <f t="shared" si="2544"/>
        <v>0</v>
      </c>
      <c r="AM204" s="442">
        <f t="shared" si="2545"/>
        <v>0</v>
      </c>
      <c r="AN204" s="443">
        <f t="shared" si="2546"/>
        <v>0</v>
      </c>
      <c r="AO204" s="440">
        <f t="shared" si="2547"/>
        <v>0</v>
      </c>
      <c r="AP204" s="441">
        <f t="shared" si="2548"/>
        <v>0</v>
      </c>
      <c r="AQ204" s="442">
        <f t="shared" si="2549"/>
        <v>0</v>
      </c>
      <c r="AR204" s="442">
        <f t="shared" si="2550"/>
        <v>0</v>
      </c>
      <c r="AS204" s="443">
        <f t="shared" si="2551"/>
        <v>0</v>
      </c>
      <c r="AT204" s="440">
        <f t="shared" si="2552"/>
        <v>0</v>
      </c>
      <c r="AU204" s="441">
        <f t="shared" si="2553"/>
        <v>0</v>
      </c>
      <c r="AV204" s="442">
        <f t="shared" si="2554"/>
        <v>0</v>
      </c>
      <c r="AW204" s="442">
        <f t="shared" si="2555"/>
        <v>0</v>
      </c>
      <c r="AX204" s="443">
        <f t="shared" si="2556"/>
        <v>0</v>
      </c>
      <c r="AY204" s="440">
        <f t="shared" si="2557"/>
        <v>0</v>
      </c>
      <c r="AZ204" s="441">
        <f t="shared" si="2558"/>
        <v>0</v>
      </c>
      <c r="BA204" s="442">
        <f t="shared" si="2559"/>
        <v>0</v>
      </c>
      <c r="BB204" s="442">
        <f t="shared" si="2560"/>
        <v>0</v>
      </c>
      <c r="BC204" s="443">
        <f t="shared" si="2561"/>
        <v>0</v>
      </c>
      <c r="BD204" s="440">
        <f t="shared" si="2562"/>
        <v>0</v>
      </c>
      <c r="BE204" s="441">
        <f t="shared" si="2563"/>
        <v>0</v>
      </c>
      <c r="BF204" s="442">
        <f t="shared" si="2564"/>
        <v>0</v>
      </c>
      <c r="BG204" s="442">
        <f t="shared" si="2565"/>
        <v>0</v>
      </c>
      <c r="BH204" s="443">
        <f t="shared" si="2566"/>
        <v>0</v>
      </c>
      <c r="BI204" s="440">
        <f t="shared" si="2567"/>
        <v>0</v>
      </c>
      <c r="BJ204" s="441">
        <f t="shared" si="2568"/>
        <v>0</v>
      </c>
      <c r="BK204" s="442">
        <f t="shared" si="2569"/>
        <v>0</v>
      </c>
      <c r="BL204" s="442">
        <f t="shared" si="2570"/>
        <v>0</v>
      </c>
      <c r="BM204" s="443">
        <f t="shared" si="2571"/>
        <v>0</v>
      </c>
      <c r="BN204" s="440">
        <f t="shared" si="2572"/>
        <v>0</v>
      </c>
      <c r="BO204" s="470"/>
      <c r="BP204" s="441">
        <f t="shared" si="2573"/>
        <v>0</v>
      </c>
      <c r="BQ204" s="442">
        <f t="shared" si="2574"/>
        <v>0</v>
      </c>
      <c r="BR204" s="442">
        <f t="shared" si="2575"/>
        <v>0</v>
      </c>
      <c r="BS204" s="443">
        <f t="shared" si="2576"/>
        <v>0</v>
      </c>
      <c r="BT204" s="440">
        <f t="shared" si="2577"/>
        <v>0</v>
      </c>
      <c r="BU204" s="441">
        <f t="shared" si="2578"/>
        <v>0</v>
      </c>
      <c r="BV204" s="442">
        <f t="shared" si="2579"/>
        <v>0</v>
      </c>
      <c r="BW204" s="442">
        <f t="shared" si="2580"/>
        <v>0</v>
      </c>
      <c r="BX204" s="443">
        <f t="shared" si="2581"/>
        <v>0</v>
      </c>
      <c r="BY204" s="440">
        <f t="shared" si="2582"/>
        <v>0</v>
      </c>
      <c r="BZ204" s="441">
        <f t="shared" si="2583"/>
        <v>0</v>
      </c>
      <c r="CA204" s="442">
        <f t="shared" si="2584"/>
        <v>0</v>
      </c>
      <c r="CB204" s="442">
        <f t="shared" si="2585"/>
        <v>0</v>
      </c>
      <c r="CC204" s="443">
        <f t="shared" si="2586"/>
        <v>0</v>
      </c>
      <c r="CD204" s="440">
        <f t="shared" si="2587"/>
        <v>0</v>
      </c>
      <c r="CE204" s="441">
        <f t="shared" si="2588"/>
        <v>0</v>
      </c>
      <c r="CF204" s="442">
        <f t="shared" si="2589"/>
        <v>0</v>
      </c>
      <c r="CG204" s="442">
        <f t="shared" si="2590"/>
        <v>0</v>
      </c>
      <c r="CH204" s="443">
        <f t="shared" si="2591"/>
        <v>0</v>
      </c>
      <c r="CI204" s="440">
        <f t="shared" si="2592"/>
        <v>0</v>
      </c>
      <c r="CJ204" s="441">
        <f t="shared" si="2593"/>
        <v>0</v>
      </c>
      <c r="CK204" s="442">
        <f t="shared" si="2594"/>
        <v>0</v>
      </c>
      <c r="CL204" s="442">
        <f t="shared" si="2595"/>
        <v>0</v>
      </c>
      <c r="CM204" s="443">
        <f t="shared" si="2596"/>
        <v>0</v>
      </c>
      <c r="CN204" s="440">
        <f t="shared" si="2597"/>
        <v>0</v>
      </c>
      <c r="CO204" s="441">
        <f t="shared" si="2598"/>
        <v>0</v>
      </c>
      <c r="CP204" s="442">
        <f t="shared" si="2599"/>
        <v>0</v>
      </c>
      <c r="CQ204" s="442">
        <f t="shared" si="2600"/>
        <v>0</v>
      </c>
      <c r="CR204" s="443">
        <f t="shared" si="2601"/>
        <v>0</v>
      </c>
      <c r="CS204" s="440">
        <f t="shared" si="2602"/>
        <v>0</v>
      </c>
      <c r="CT204" s="441">
        <f t="shared" si="2603"/>
        <v>0</v>
      </c>
      <c r="CU204" s="442">
        <f t="shared" si="2604"/>
        <v>0</v>
      </c>
      <c r="CV204" s="442">
        <f t="shared" si="2605"/>
        <v>0</v>
      </c>
      <c r="CW204" s="443">
        <f t="shared" si="2606"/>
        <v>0</v>
      </c>
      <c r="CX204" s="440">
        <f t="shared" si="2607"/>
        <v>0</v>
      </c>
      <c r="CY204" s="441">
        <f t="shared" si="2608"/>
        <v>0</v>
      </c>
      <c r="CZ204" s="442">
        <f t="shared" si="2609"/>
        <v>0</v>
      </c>
      <c r="DA204" s="442">
        <f t="shared" si="2610"/>
        <v>0</v>
      </c>
      <c r="DB204" s="443">
        <f t="shared" si="2611"/>
        <v>0</v>
      </c>
      <c r="DC204" s="440">
        <f t="shared" si="2612"/>
        <v>0</v>
      </c>
      <c r="DD204" s="441">
        <f t="shared" si="2613"/>
        <v>0</v>
      </c>
      <c r="DE204" s="442">
        <f t="shared" si="2614"/>
        <v>0</v>
      </c>
      <c r="DF204" s="442">
        <f t="shared" si="2615"/>
        <v>0</v>
      </c>
      <c r="DG204" s="443">
        <f t="shared" si="2616"/>
        <v>0</v>
      </c>
      <c r="DH204" s="440">
        <f t="shared" si="2617"/>
        <v>0</v>
      </c>
      <c r="DI204" s="441">
        <f t="shared" si="2618"/>
        <v>0</v>
      </c>
      <c r="DJ204" s="442">
        <f t="shared" si="2619"/>
        <v>0</v>
      </c>
      <c r="DK204" s="442">
        <f t="shared" si="2620"/>
        <v>0</v>
      </c>
      <c r="DL204" s="443">
        <f t="shared" si="2621"/>
        <v>0</v>
      </c>
      <c r="DM204" s="440">
        <f t="shared" si="2622"/>
        <v>0</v>
      </c>
      <c r="DN204" s="441">
        <f t="shared" si="2623"/>
        <v>0</v>
      </c>
      <c r="DO204" s="442">
        <f t="shared" si="2624"/>
        <v>0</v>
      </c>
      <c r="DP204" s="442">
        <f t="shared" si="2625"/>
        <v>0</v>
      </c>
      <c r="DQ204" s="443">
        <f t="shared" si="2626"/>
        <v>0</v>
      </c>
      <c r="DR204" s="440">
        <f t="shared" si="2627"/>
        <v>0</v>
      </c>
    </row>
    <row r="205" spans="3:122" ht="12.75" customHeight="1">
      <c r="C205" s="1362"/>
      <c r="D205" s="395"/>
      <c r="E205" s="325"/>
      <c r="F205" s="1358"/>
      <c r="G205" s="1358"/>
      <c r="H205" s="651"/>
      <c r="I205" s="650"/>
      <c r="J205" s="656"/>
      <c r="K205" s="549"/>
      <c r="L205" s="321"/>
      <c r="M205" s="322"/>
      <c r="N205" s="322"/>
      <c r="O205" s="323"/>
      <c r="P205" s="466"/>
      <c r="Q205" s="321"/>
      <c r="R205" s="322"/>
      <c r="S205" s="322"/>
      <c r="T205" s="323"/>
      <c r="U205" s="472"/>
      <c r="V205" s="321"/>
      <c r="W205" s="322"/>
      <c r="X205" s="322"/>
      <c r="Y205" s="323"/>
      <c r="Z205" s="472"/>
      <c r="AA205" s="321"/>
      <c r="AB205" s="322"/>
      <c r="AC205" s="322"/>
      <c r="AD205" s="323"/>
      <c r="AE205" s="440"/>
      <c r="AF205" s="441"/>
      <c r="AG205" s="442"/>
      <c r="AH205" s="442"/>
      <c r="AI205" s="443"/>
      <c r="AJ205" s="440"/>
      <c r="AK205" s="441"/>
      <c r="AL205" s="442"/>
      <c r="AM205" s="442"/>
      <c r="AN205" s="443"/>
      <c r="AO205" s="440"/>
      <c r="AP205" s="441"/>
      <c r="AQ205" s="442"/>
      <c r="AR205" s="442"/>
      <c r="AS205" s="443"/>
      <c r="AT205" s="440"/>
      <c r="AU205" s="441"/>
      <c r="AV205" s="442"/>
      <c r="AW205" s="442"/>
      <c r="AX205" s="443"/>
      <c r="AY205" s="440"/>
      <c r="AZ205" s="441"/>
      <c r="BA205" s="442"/>
      <c r="BB205" s="442"/>
      <c r="BC205" s="443"/>
      <c r="BD205" s="440"/>
      <c r="BE205" s="441"/>
      <c r="BF205" s="442"/>
      <c r="BG205" s="442"/>
      <c r="BH205" s="443"/>
      <c r="BI205" s="440"/>
      <c r="BJ205" s="441"/>
      <c r="BK205" s="442"/>
      <c r="BL205" s="442"/>
      <c r="BM205" s="443"/>
      <c r="BN205" s="440"/>
      <c r="BO205" s="470"/>
      <c r="BP205" s="441"/>
      <c r="BQ205" s="442"/>
      <c r="BR205" s="442"/>
      <c r="BS205" s="443"/>
      <c r="BT205" s="440"/>
      <c r="BU205" s="441"/>
      <c r="BV205" s="442"/>
      <c r="BW205" s="442"/>
      <c r="BX205" s="443"/>
      <c r="BY205" s="440"/>
      <c r="BZ205" s="441"/>
      <c r="CA205" s="442"/>
      <c r="CB205" s="442"/>
      <c r="CC205" s="443"/>
      <c r="CD205" s="440"/>
      <c r="CE205" s="441"/>
      <c r="CF205" s="442"/>
      <c r="CG205" s="442"/>
      <c r="CH205" s="443"/>
      <c r="CI205" s="440"/>
      <c r="CJ205" s="441"/>
      <c r="CK205" s="442"/>
      <c r="CL205" s="442"/>
      <c r="CM205" s="443"/>
      <c r="CN205" s="440"/>
      <c r="CO205" s="441"/>
      <c r="CP205" s="442"/>
      <c r="CQ205" s="442"/>
      <c r="CR205" s="443"/>
      <c r="CS205" s="440"/>
      <c r="CT205" s="441"/>
      <c r="CU205" s="442"/>
      <c r="CV205" s="442"/>
      <c r="CW205" s="443"/>
      <c r="CX205" s="440"/>
      <c r="CY205" s="441"/>
      <c r="CZ205" s="442"/>
      <c r="DA205" s="442"/>
      <c r="DB205" s="443"/>
      <c r="DC205" s="440"/>
      <c r="DD205" s="441"/>
      <c r="DE205" s="442"/>
      <c r="DF205" s="442"/>
      <c r="DG205" s="443"/>
      <c r="DH205" s="440"/>
      <c r="DI205" s="441"/>
      <c r="DJ205" s="442"/>
      <c r="DK205" s="442"/>
      <c r="DL205" s="443"/>
      <c r="DM205" s="440"/>
      <c r="DN205" s="441"/>
      <c r="DO205" s="442"/>
      <c r="DP205" s="442"/>
      <c r="DQ205" s="443"/>
      <c r="DR205" s="440"/>
    </row>
    <row r="206" spans="3:122" ht="12.75" customHeight="1">
      <c r="C206" s="1363" t="s">
        <v>731</v>
      </c>
      <c r="D206" s="395"/>
      <c r="E206" s="325"/>
      <c r="F206" s="1358"/>
      <c r="G206" s="1358"/>
      <c r="H206" s="414"/>
      <c r="I206" s="650"/>
      <c r="J206" s="656"/>
      <c r="K206" s="549"/>
      <c r="L206" s="321"/>
      <c r="M206" s="322"/>
      <c r="N206" s="322"/>
      <c r="O206" s="323"/>
      <c r="P206" s="466"/>
      <c r="Q206" s="321"/>
      <c r="R206" s="322"/>
      <c r="S206" s="322"/>
      <c r="T206" s="323"/>
      <c r="U206" s="472"/>
      <c r="V206" s="321"/>
      <c r="W206" s="322"/>
      <c r="X206" s="322"/>
      <c r="Y206" s="323"/>
      <c r="Z206" s="472"/>
      <c r="AA206" s="321"/>
      <c r="AB206" s="322"/>
      <c r="AC206" s="322"/>
      <c r="AD206" s="323"/>
      <c r="AE206" s="440"/>
      <c r="AF206" s="441"/>
      <c r="AG206" s="442"/>
      <c r="AH206" s="442"/>
      <c r="AI206" s="443"/>
      <c r="AJ206" s="440"/>
      <c r="AK206" s="441"/>
      <c r="AL206" s="442"/>
      <c r="AM206" s="442"/>
      <c r="AN206" s="443"/>
      <c r="AO206" s="440"/>
      <c r="AP206" s="441"/>
      <c r="AQ206" s="442"/>
      <c r="AR206" s="442"/>
      <c r="AS206" s="443"/>
      <c r="AT206" s="440"/>
      <c r="AU206" s="441"/>
      <c r="AV206" s="442"/>
      <c r="AW206" s="442"/>
      <c r="AX206" s="443"/>
      <c r="AY206" s="440"/>
      <c r="AZ206" s="441"/>
      <c r="BA206" s="442"/>
      <c r="BB206" s="442"/>
      <c r="BC206" s="443"/>
      <c r="BD206" s="440"/>
      <c r="BE206" s="441"/>
      <c r="BF206" s="442"/>
      <c r="BG206" s="442"/>
      <c r="BH206" s="443"/>
      <c r="BI206" s="440"/>
      <c r="BJ206" s="441"/>
      <c r="BK206" s="442"/>
      <c r="BL206" s="442"/>
      <c r="BM206" s="443"/>
      <c r="BN206" s="440"/>
      <c r="BO206" s="470"/>
      <c r="BP206" s="441"/>
      <c r="BQ206" s="442"/>
      <c r="BR206" s="442"/>
      <c r="BS206" s="443"/>
      <c r="BT206" s="440"/>
      <c r="BU206" s="441"/>
      <c r="BV206" s="442"/>
      <c r="BW206" s="442"/>
      <c r="BX206" s="443"/>
      <c r="BY206" s="440"/>
      <c r="BZ206" s="441"/>
      <c r="CA206" s="442"/>
      <c r="CB206" s="442"/>
      <c r="CC206" s="443"/>
      <c r="CD206" s="440"/>
      <c r="CE206" s="441"/>
      <c r="CF206" s="442"/>
      <c r="CG206" s="442"/>
      <c r="CH206" s="443"/>
      <c r="CI206" s="440"/>
      <c r="CJ206" s="441"/>
      <c r="CK206" s="442"/>
      <c r="CL206" s="442"/>
      <c r="CM206" s="443"/>
      <c r="CN206" s="440"/>
      <c r="CO206" s="441"/>
      <c r="CP206" s="442"/>
      <c r="CQ206" s="442"/>
      <c r="CR206" s="443"/>
      <c r="CS206" s="440"/>
      <c r="CT206" s="441"/>
      <c r="CU206" s="442"/>
      <c r="CV206" s="442"/>
      <c r="CW206" s="443"/>
      <c r="CX206" s="440"/>
      <c r="CY206" s="441"/>
      <c r="CZ206" s="442"/>
      <c r="DA206" s="442"/>
      <c r="DB206" s="443"/>
      <c r="DC206" s="440"/>
      <c r="DD206" s="441"/>
      <c r="DE206" s="442"/>
      <c r="DF206" s="442"/>
      <c r="DG206" s="443"/>
      <c r="DH206" s="440"/>
      <c r="DI206" s="441"/>
      <c r="DJ206" s="442"/>
      <c r="DK206" s="442"/>
      <c r="DL206" s="443"/>
      <c r="DM206" s="440"/>
      <c r="DN206" s="441"/>
      <c r="DO206" s="442"/>
      <c r="DP206" s="442"/>
      <c r="DQ206" s="443"/>
      <c r="DR206" s="440"/>
    </row>
    <row r="207" spans="3:122" ht="12.75" customHeight="1">
      <c r="C207" s="1590" t="s">
        <v>93</v>
      </c>
      <c r="D207" s="395"/>
      <c r="E207" s="1950">
        <f>IF(F207=0,G207,F207)</f>
        <v>30.595784999999999</v>
      </c>
      <c r="F207" s="1945">
        <v>30.595784999999999</v>
      </c>
      <c r="G207" s="1945">
        <v>46.317312999999999</v>
      </c>
      <c r="H207" s="1366">
        <v>2019</v>
      </c>
      <c r="I207" s="1367">
        <v>5.2324999999999997E-2</v>
      </c>
      <c r="J207" s="1357">
        <v>7</v>
      </c>
      <c r="K207" s="549"/>
      <c r="L207" s="441">
        <f t="shared" ref="L207:L210" si="2664">IF(P207=0,0,IF(P207&lt;0,IF($J207=3,P207,IF($J207=2,P207,IF($J207=1,P207,0)))))</f>
        <v>0</v>
      </c>
      <c r="M207" s="442">
        <f t="shared" ref="M207:M210" si="2665">IF(P207=0,0,IF(P207&lt;0,IF($J207=6,P207,IF($J207=5,P207,IF($J207=4,P207,0)))))</f>
        <v>0</v>
      </c>
      <c r="N207" s="442">
        <f t="shared" ref="N207:N210" si="2666">IF(P207=0,0,IF(P207&lt;0,IF($J207=9,P207,IF($J207=8,P207,IF($J207=7,P207,0)))))</f>
        <v>0</v>
      </c>
      <c r="O207" s="443">
        <f t="shared" ref="O207:O210" si="2667">IF(P207=0,0,IF(P207&lt;0,IF($J207=12,P207,IF($J207=11,P207,IF($J207=10,P207,0)))))</f>
        <v>0</v>
      </c>
      <c r="P207" s="440">
        <f t="shared" ref="P207:P210" si="2668">IF(P$5=$H207,-$E207,0)</f>
        <v>0</v>
      </c>
      <c r="Q207" s="441">
        <f t="shared" ref="Q207:Q210" si="2669">IF(U207=0,0,IF(U207&lt;0,IF($J207=3,U207,IF($J207=2,U207,IF($J207=1,U207,0)))))</f>
        <v>0</v>
      </c>
      <c r="R207" s="442">
        <f t="shared" ref="R207:R210" si="2670">IF(U207=0,0,IF(U207&lt;0,IF($J207=6,U207,IF($J207=5,U207,IF($J207=4,U207,0)))))</f>
        <v>0</v>
      </c>
      <c r="S207" s="442">
        <f t="shared" ref="S207:S210" si="2671">IF(U207=0,0,IF(U207&lt;0,IF($J207=9,U207,IF($J207=8,U207,IF($J207=7,U207,0)))))</f>
        <v>0</v>
      </c>
      <c r="T207" s="443">
        <f t="shared" ref="T207:T210" si="2672">IF(U207=0,0,IF(U207&lt;0,IF($J207=12,U207,IF($J207=11,U207,IF($J207=10,U207,0)))))</f>
        <v>0</v>
      </c>
      <c r="U207" s="440">
        <f t="shared" ref="U207:U210" si="2673">IF(U$5=$H207,-$E207,0)</f>
        <v>0</v>
      </c>
      <c r="V207" s="441">
        <f t="shared" ref="V207:V210" si="2674">IF(Z207=0,0,IF(Z207&lt;0,IF($J207=3,Z207,IF($J207=2,Z207,IF($J207=1,Z207,0)))))</f>
        <v>0</v>
      </c>
      <c r="W207" s="442">
        <f t="shared" ref="W207:W210" si="2675">IF(Z207=0,0,IF(Z207&lt;0,IF($J207=6,Z207,IF($J207=5,Z207,IF($J207=4,Z207,0)))))</f>
        <v>0</v>
      </c>
      <c r="X207" s="442">
        <f t="shared" ref="X207:X210" si="2676">IF(Z207=0,0,IF(Z207&lt;0,IF($J207=9,Z207,IF($J207=8,Z207,IF($J207=7,Z207,0)))))</f>
        <v>0</v>
      </c>
      <c r="Y207" s="443">
        <f t="shared" ref="Y207:Y210" si="2677">IF(Z207=0,0,IF(Z207&lt;0,IF($J207=12,Z207,IF($J207=11,Z207,IF($J207=10,Z207,0)))))</f>
        <v>0</v>
      </c>
      <c r="Z207" s="440">
        <f t="shared" ref="Z207:Z210" si="2678">IF(Z$5=$H207,-$E207,0)</f>
        <v>0</v>
      </c>
      <c r="AA207" s="441">
        <f t="shared" ref="AA207:AA210" si="2679">IF(AE207=0,0,IF(AE207&lt;0,IF($J207=3,AE207,IF($J207=2,AE207,IF($J207=1,AE207,0)))))</f>
        <v>0</v>
      </c>
      <c r="AB207" s="442">
        <f t="shared" ref="AB207:AB210" si="2680">IF(AE207=0,0,IF(AE207&lt;0,IF($J207=6,AE207,IF($J207=5,AE207,IF($J207=4,AE207,0)))))</f>
        <v>0</v>
      </c>
      <c r="AC207" s="442">
        <f t="shared" ref="AC207:AC210" si="2681">IF(AE207=0,0,IF(AE207&lt;0,IF($J207=9,AE207,IF($J207=8,AE207,IF($J207=7,AE207,0)))))</f>
        <v>0</v>
      </c>
      <c r="AD207" s="443">
        <f t="shared" ref="AD207:AD210" si="2682">IF(AE207=0,0,IF(AE207&lt;0,IF($J207=12,AE207,IF($J207=11,AE207,IF($J207=10,AE207,0)))))</f>
        <v>0</v>
      </c>
      <c r="AE207" s="440">
        <f t="shared" ref="AE207:AE210" si="2683">IF(AE$5=$H207,-$E207,0)</f>
        <v>0</v>
      </c>
      <c r="AF207" s="441">
        <f t="shared" ref="AF207:AF210" si="2684">IF(AJ207=0,0,IF(AJ207&lt;0,IF($J207=3,AJ207,IF($J207=2,AJ207,IF($J207=1,AJ207,0)))))</f>
        <v>0</v>
      </c>
      <c r="AG207" s="442">
        <f t="shared" ref="AG207:AG210" si="2685">IF(AJ207=0,0,IF(AJ207&lt;0,IF($J207=6,AJ207,IF($J207=5,AJ207,IF($J207=4,AJ207,0)))))</f>
        <v>0</v>
      </c>
      <c r="AH207" s="442">
        <f t="shared" ref="AH207:AH210" si="2686">IF(AJ207=0,0,IF(AJ207&lt;0,IF($J207=9,AJ207,IF($J207=8,AJ207,IF($J207=7,AJ207,0)))))</f>
        <v>0</v>
      </c>
      <c r="AI207" s="443">
        <f t="shared" ref="AI207:AI210" si="2687">IF(AJ207=0,0,IF(AJ207&lt;0,IF($J207=12,AJ207,IF($J207=11,AJ207,IF($J207=10,AJ207,0)))))</f>
        <v>0</v>
      </c>
      <c r="AJ207" s="440">
        <f t="shared" ref="AJ207:AJ210" si="2688">IF(AJ$5=$H207,-$E207,0)</f>
        <v>0</v>
      </c>
      <c r="AK207" s="441">
        <f t="shared" ref="AK207:AK210" si="2689">IF(AO207=0,0,IF(AO207&lt;0,IF($J207=3,AO207,IF($J207=2,AO207,IF($J207=1,AO207,0)))))</f>
        <v>0</v>
      </c>
      <c r="AL207" s="442">
        <f t="shared" ref="AL207:AL210" si="2690">IF(AO207=0,0,IF(AO207&lt;0,IF($J207=6,AO207,IF($J207=5,AO207,IF($J207=4,AO207,0)))))</f>
        <v>0</v>
      </c>
      <c r="AM207" s="442">
        <f t="shared" ref="AM207:AM210" si="2691">IF(AO207=0,0,IF(AO207&lt;0,IF($J207=9,AO207,IF($J207=8,AO207,IF($J207=7,AO207,0)))))</f>
        <v>0</v>
      </c>
      <c r="AN207" s="443">
        <f t="shared" ref="AN207:AN210" si="2692">IF(AO207=0,0,IF(AO207&lt;0,IF($J207=12,AO207,IF($J207=11,AO207,IF($J207=10,AO207,0)))))</f>
        <v>0</v>
      </c>
      <c r="AO207" s="440">
        <f t="shared" ref="AO207:AO210" si="2693">IF(AO$5=$H207,-$E207,0)</f>
        <v>0</v>
      </c>
      <c r="AP207" s="441">
        <f t="shared" ref="AP207:AP210" si="2694">IF(AT207=0,0,IF(AT207&lt;0,IF($J207=3,AT207,IF($J207=2,AT207,IF($J207=1,AT207,0)))))</f>
        <v>0</v>
      </c>
      <c r="AQ207" s="442">
        <f t="shared" ref="AQ207:AQ210" si="2695">IF(AT207=0,0,IF(AT207&lt;0,IF($J207=6,AT207,IF($J207=5,AT207,IF($J207=4,AT207,0)))))</f>
        <v>0</v>
      </c>
      <c r="AR207" s="442">
        <f t="shared" ref="AR207:AR210" si="2696">IF(AT207=0,0,IF(AT207&lt;0,IF($J207=9,AT207,IF($J207=8,AT207,IF($J207=7,AT207,0)))))</f>
        <v>0</v>
      </c>
      <c r="AS207" s="443">
        <f t="shared" ref="AS207:AS210" si="2697">IF(AT207=0,0,IF(AT207&lt;0,IF($J207=12,AT207,IF($J207=11,AT207,IF($J207=10,AT207,0)))))</f>
        <v>0</v>
      </c>
      <c r="AT207" s="440">
        <f t="shared" ref="AT207:AT210" si="2698">IF(AT$5=$H207,-$E207,0)</f>
        <v>0</v>
      </c>
      <c r="AU207" s="441">
        <f t="shared" ref="AU207:AU210" si="2699">IF(AY207=0,0,IF(AY207&lt;0,IF($J207=3,AY207,IF($J207=2,AY207,IF($J207=1,AY207,0)))))</f>
        <v>0</v>
      </c>
      <c r="AV207" s="442">
        <f t="shared" ref="AV207:AV210" si="2700">IF(AY207=0,0,IF(AY207&lt;0,IF($J207=6,AY207,IF($J207=5,AY207,IF($J207=4,AY207,0)))))</f>
        <v>0</v>
      </c>
      <c r="AW207" s="442">
        <f t="shared" ref="AW207:AW210" si="2701">IF(AY207=0,0,IF(AY207&lt;0,IF($J207=9,AY207,IF($J207=8,AY207,IF($J207=7,AY207,0)))))</f>
        <v>0</v>
      </c>
      <c r="AX207" s="443">
        <f t="shared" ref="AX207:AX210" si="2702">IF(AY207=0,0,IF(AY207&lt;0,IF($J207=12,AY207,IF($J207=11,AY207,IF($J207=10,AY207,0)))))</f>
        <v>0</v>
      </c>
      <c r="AY207" s="440">
        <f t="shared" ref="AY207:AY210" si="2703">IF(AY$5=$H207,-$E207,0)</f>
        <v>0</v>
      </c>
      <c r="AZ207" s="441">
        <f t="shared" ref="AZ207:AZ210" si="2704">IF(BD207=0,0,IF(BD207&lt;0,IF($J207=3,BD207,IF($J207=2,BD207,IF($J207=1,BD207,0)))))</f>
        <v>0</v>
      </c>
      <c r="BA207" s="442">
        <f t="shared" ref="BA207:BA210" si="2705">IF(BD207=0,0,IF(BD207&lt;0,IF($J207=6,BD207,IF($J207=5,BD207,IF($J207=4,BD207,0)))))</f>
        <v>0</v>
      </c>
      <c r="BB207" s="442">
        <f t="shared" ref="BB207:BB210" si="2706">IF(BD207=0,0,IF(BD207&lt;0,IF($J207=9,BD207,IF($J207=8,BD207,IF($J207=7,BD207,0)))))</f>
        <v>-30.595784999999999</v>
      </c>
      <c r="BC207" s="443">
        <f t="shared" ref="BC207:BC210" si="2707">IF(BD207=0,0,IF(BD207&lt;0,IF($J207=12,BD207,IF($J207=11,BD207,IF($J207=10,BD207,0)))))</f>
        <v>0</v>
      </c>
      <c r="BD207" s="440">
        <f t="shared" ref="BD207:BD210" si="2708">IF(BD$5=$H207,-$E207,0)</f>
        <v>-30.595784999999999</v>
      </c>
      <c r="BE207" s="441">
        <f t="shared" ref="BE207:BE210" si="2709">IF(BI207=0,0,IF(BI207&lt;0,IF($J207=3,BI207,IF($J207=2,BI207,IF($J207=1,BI207,0)))))</f>
        <v>0</v>
      </c>
      <c r="BF207" s="442">
        <f t="shared" ref="BF207:BF210" si="2710">IF(BI207=0,0,IF(BI207&lt;0,IF($J207=6,BI207,IF($J207=5,BI207,IF($J207=4,BI207,0)))))</f>
        <v>0</v>
      </c>
      <c r="BG207" s="442">
        <f t="shared" ref="BG207:BG210" si="2711">IF(BI207=0,0,IF(BI207&lt;0,IF($J207=9,BI207,IF($J207=8,BI207,IF($J207=7,BI207,0)))))</f>
        <v>0</v>
      </c>
      <c r="BH207" s="443">
        <f t="shared" ref="BH207:BH210" si="2712">IF(BI207=0,0,IF(BI207&lt;0,IF($J207=12,BI207,IF($J207=11,BI207,IF($J207=10,BI207,0)))))</f>
        <v>0</v>
      </c>
      <c r="BI207" s="440">
        <f t="shared" ref="BI207:BI210" si="2713">IF(BI$5=$H207,-$E207,0)</f>
        <v>0</v>
      </c>
      <c r="BJ207" s="441">
        <f t="shared" ref="BJ207:BJ210" si="2714">IF(BN207=0,0,IF(BN207&lt;0,IF($J207=3,BN207,IF($J207=2,BN207,IF($J207=1,BN207,0)))))</f>
        <v>0</v>
      </c>
      <c r="BK207" s="442">
        <f t="shared" ref="BK207:BK210" si="2715">IF(BN207=0,0,IF(BN207&lt;0,IF($J207=6,BN207,IF($J207=5,BN207,IF($J207=4,BN207,0)))))</f>
        <v>0</v>
      </c>
      <c r="BL207" s="442">
        <f t="shared" ref="BL207:BL210" si="2716">IF(BN207=0,0,IF(BN207&lt;0,IF($J207=9,BN207,IF($J207=8,BN207,IF($J207=7,BN207,0)))))</f>
        <v>0</v>
      </c>
      <c r="BM207" s="443">
        <f t="shared" ref="BM207:BM210" si="2717">IF(BN207=0,0,IF(BN207&lt;0,IF($J207=12,BN207,IF($J207=11,BN207,IF($J207=10,BN207,0)))))</f>
        <v>0</v>
      </c>
      <c r="BN207" s="440">
        <f t="shared" ref="BN207:BN210" si="2718">IF(BN$5=$H207,-$E207,0)</f>
        <v>0</v>
      </c>
      <c r="BO207" s="470"/>
      <c r="BP207" s="441">
        <f>IF($H207&lt;&gt;BT$5,0,IF(BT207&lt;0,IF($J207=1,-$E207*$I207/12*3,IF($J207=2,-$E207*$I207/12*2,IF($J207=3,-$E207*$I207/12*1,0)))))+IF(BO$5&lt;&gt;$H207,0,IF(BO207&lt;0,IF($J207=1,-$E207*$I207/12*0,IF($J207=2,-$E207*$I207/12*1,IF($J207=3,-$E207*$I207/12*2,IF($J207&gt;=4,-$E207*$I207/12*3,0))))))</f>
        <v>0</v>
      </c>
      <c r="BQ207" s="442">
        <f>IF($H207&lt;&gt;BT$5,0,IF(BT207&lt;0,IF(OR($J207=1,$J207=2,$J207=3,$J207=4),-$E207*$I207/12*3,IF($J207=5,-$E207*$I207/12*2,IF($J207=6,-$E207*$I207/12*1,0)))))+IF(BO$5&lt;&gt;$H207,0,IF(BO207&lt;0,IF($J207=4,-$E207*$I207/12*0,IF($J207=5,-$E207*$I207/12*1,IF($J207=6,-$E207*$I207/12*2,IF($J207&gt;=7,-$E207*$I207/12*3,0))))))</f>
        <v>0</v>
      </c>
      <c r="BR207" s="442">
        <f>IF($H207&lt;&gt;BT$5,0,IF(BT207&lt;0,IF(OR($J207=1,$J207=2,$J207=3,$J207=4,$J207=5,$J207=6,$J207=7),-$E207*$I207/12*3,IF($J207=8,-$E207*$I207/12*2,IF($J207=9,-$E207*$I207/12*1,0)))))+IF(BO$5&lt;&gt;$H207,0,IF(BO207&lt;0,IF($J207=7,-$E207*$I207/12*0,IF($J207=8,-$E207*$I207/12*1,IF($J207=9,-$E207*$I207/12*2,IF($J207&gt;=10,-$E207*$I207/12*3,0))))))</f>
        <v>0</v>
      </c>
      <c r="BS207" s="443">
        <f>IF($H207&lt;&gt;BT$5,0,IF(BT207&lt;0,IF(OR($J207=1,$J207=2,$J207=3,$J207=4,$J207=5,$J207=6,$J207=7,$J207=8,$J207=9,$J207=10),-$E207*$I207/12*3,IF($J207=11,-$E207*$I207/12*2,IF($J207=12,-$E207*$I207/12*1,0)))))+IF(BO$5&lt;&gt;$H207,0,IF(BO207&lt;0,IF($J207=10,-$E207*$I207/12*0,IF($J207=11,-$E207*$I207/12*1,IF($J207=12,-$E207*$I207/12*2,0)))))</f>
        <v>0</v>
      </c>
      <c r="BT207" s="440">
        <f>IF(AND(BO207&lt;&gt;0,BO$5=$H207),-$I207*$E207-BO207,IF(BT$5=$H207,-$I207*$E207*(12-$J207+1)/12,0))</f>
        <v>0</v>
      </c>
      <c r="BU207" s="441">
        <f>IF($H207&lt;&gt;BY$5,0,IF(BY207&lt;0,IF($J207=1,-$E207*$I207/12*3,IF($J207=2,-$E207*$I207/12*2,IF($J207=3,-$E207*$I207/12*1,0)))))+IF(BT$5&lt;&gt;$H207,0,IF(BT207&lt;0,IF($J207=1,-$E207*$I207/12*0,IF($J207=2,-$E207*$I207/12*1,IF($J207=3,-$E207*$I207/12*2,IF($J207&gt;=4,-$E207*$I207/12*3,0))))))</f>
        <v>0</v>
      </c>
      <c r="BV207" s="442">
        <f>IF($H207&lt;&gt;BY$5,0,IF(BY207&lt;0,IF(OR($J207=1,$J207=2,$J207=3,$J207=4),-$E207*$I207/12*3,IF($J207=5,-$E207*$I207/12*2,IF($J207=6,-$E207*$I207/12*1,0)))))+IF(BT$5&lt;&gt;$H207,0,IF(BT207&lt;0,IF($J207=4,-$E207*$I207/12*0,IF($J207=5,-$E207*$I207/12*1,IF($J207=6,-$E207*$I207/12*2,IF($J207&gt;=7,-$E207*$I207/12*3,0))))))</f>
        <v>0</v>
      </c>
      <c r="BW207" s="442">
        <f>IF($H207&lt;&gt;BY$5,0,IF(BY207&lt;0,IF(OR($J207=1,$J207=2,$J207=3,$J207=4,$J207=5,$J207=6,$J207=7),-$E207*$I207/12*3,IF($J207=8,-$E207*$I207/12*2,IF($J207=9,-$E207*$I207/12*1,0)))))+IF(BT$5&lt;&gt;$H207,0,IF(BT207&lt;0,IF($J207=7,-$E207*$I207/12*0,IF($J207=8,-$E207*$I207/12*1,IF($J207=9,-$E207*$I207/12*2,IF($J207&gt;=10,-$E207*$I207/12*3,0))))))</f>
        <v>0</v>
      </c>
      <c r="BX207" s="443">
        <f>IF($H207&lt;&gt;BY$5,0,IF(BY207&lt;0,IF(OR($J207=1,$J207=2,$J207=3,$J207=4,$J207=5,$J207=6,$J207=7,$J207=8,$J207=9,$J207=10),-$E207*$I207/12*3,IF($J207=11,-$E207*$I207/12*2,IF($J207=12,-$E207*$I207/12*1,0)))))+IF(BT$5&lt;&gt;$H207,0,IF(BT207&lt;0,IF($J207=10,-$E207*$I207/12*0,IF($J207=11,-$E207*$I207/12*1,IF($J207=12,-$E207*$I207/12*2,0)))))</f>
        <v>0</v>
      </c>
      <c r="BY207" s="440">
        <f>IF(AND(BT207&lt;&gt;0,BT$5=$H207),-$I207*$E207-BT207,IF(BY$5=$H207,-$I207*$E207*(12-$J207+1)/12,0))</f>
        <v>0</v>
      </c>
      <c r="BZ207" s="441">
        <f>IF($H207&lt;&gt;CD$5,0,IF(CD207&lt;0,IF($J207=1,-$E207*$I207/12*3,IF($J207=2,-$E207*$I207/12*2,IF($J207=3,-$E207*$I207/12*1,0)))))+IF(BY$5&lt;&gt;$H207,0,IF(BY207&lt;0,IF($J207=1,-$E207*$I207/12*0,IF($J207=2,-$E207*$I207/12*1,IF($J207=3,-$E207*$I207/12*2,IF($J207&gt;=4,-$E207*$I207/12*3,0))))))</f>
        <v>0</v>
      </c>
      <c r="CA207" s="442">
        <f>IF($H207&lt;&gt;CD$5,0,IF(CD207&lt;0,IF(OR($J207=1,$J207=2,$J207=3,$J207=4),-$E207*$I207/12*3,IF($J207=5,-$E207*$I207/12*2,IF($J207=6,-$E207*$I207/12*1,0)))))+IF(BY$5&lt;&gt;$H207,0,IF(BY207&lt;0,IF($J207=4,-$E207*$I207/12*0,IF($J207=5,-$E207*$I207/12*1,IF($J207=6,-$E207*$I207/12*2,IF($J207&gt;=7,-$E207*$I207/12*3,0))))))</f>
        <v>0</v>
      </c>
      <c r="CB207" s="442">
        <f>IF($H207&lt;&gt;CD$5,0,IF(CD207&lt;0,IF(OR($J207=1,$J207=2,$J207=3,$J207=4,$J207=5,$J207=6,$J207=7),-$E207*$I207/12*3,IF($J207=8,-$E207*$I207/12*2,IF($J207=9,-$E207*$I207/12*1,0)))))+IF(BY$5&lt;&gt;$H207,0,IF(BY207&lt;0,IF($J207=7,-$E207*$I207/12*0,IF($J207=8,-$E207*$I207/12*1,IF($J207=9,-$E207*$I207/12*2,IF($J207&gt;=10,-$E207*$I207/12*3,0))))))</f>
        <v>0</v>
      </c>
      <c r="CC207" s="443">
        <f>IF($H207&lt;&gt;CD$5,0,IF(CD207&lt;0,IF(OR($J207=1,$J207=2,$J207=3,$J207=4,$J207=5,$J207=6,$J207=7,$J207=8,$J207=9,$J207=10),-$E207*$I207/12*3,IF($J207=11,-$E207*$I207/12*2,IF($J207=12,-$E207*$I207/12*1,0)))))+IF(BY$5&lt;&gt;$H207,0,IF(BY207&lt;0,IF($J207=10,-$E207*$I207/12*0,IF($J207=11,-$E207*$I207/12*1,IF($J207=12,-$E207*$I207/12*2,0)))))</f>
        <v>0</v>
      </c>
      <c r="CD207" s="440">
        <f>IF(AND(BY207&lt;&gt;0,BY$5=$H207),-$I207*$E207-BY207,IF(CD$5=$H207,-$I207*$E207*(12-$J207+1)/12,0))</f>
        <v>0</v>
      </c>
      <c r="CE207" s="441">
        <f>IF($H207&lt;&gt;CI$5,0,IF(CI207&lt;0,IF($J207=1,-$E207*$I207/12*3,IF($J207=2,-$E207*$I207/12*2,IF($J207=3,-$E207*$I207/12*1,0)))))+IF(CD$5&lt;&gt;$H207,0,IF(CD207&lt;0,IF($J207=1,-$E207*$I207/12*0,IF($J207=2,-$E207*$I207/12*1,IF($J207=3,-$E207*$I207/12*2,IF($J207&gt;=4,-$E207*$I207/12*3,0))))))</f>
        <v>0</v>
      </c>
      <c r="CF207" s="442">
        <f>IF($H207&lt;&gt;CI$5,0,IF(CI207&lt;0,IF(OR($J207=1,$J207=2,$J207=3,$J207=4),-$E207*$I207/12*3,IF($J207=5,-$E207*$I207/12*2,IF($J207=6,-$E207*$I207/12*1,0)))))+IF(CD$5&lt;&gt;$H207,0,IF(CD207&lt;0,IF($J207=4,-$E207*$I207/12*0,IF($J207=5,-$E207*$I207/12*1,IF($J207=6,-$E207*$I207/12*2,IF($J207&gt;=7,-$E207*$I207/12*3,0))))))</f>
        <v>0</v>
      </c>
      <c r="CG207" s="442">
        <f>IF($H207&lt;&gt;CI$5,0,IF(CI207&lt;0,IF(OR($J207=1,$J207=2,$J207=3,$J207=4,$J207=5,$J207=6,$J207=7),-$E207*$I207/12*3,IF($J207=8,-$E207*$I207/12*2,IF($J207=9,-$E207*$I207/12*1,0)))))+IF(CD$5&lt;&gt;$H207,0,IF(CD207&lt;0,IF($J207=7,-$E207*$I207/12*0,IF($J207=8,-$E207*$I207/12*1,IF($J207=9,-$E207*$I207/12*2,IF($J207&gt;=10,-$E207*$I207/12*3,0))))))</f>
        <v>0</v>
      </c>
      <c r="CH207" s="443">
        <f>IF($H207&lt;&gt;CI$5,0,IF(CI207&lt;0,IF(OR($J207=1,$J207=2,$J207=3,$J207=4,$J207=5,$J207=6,$J207=7,$J207=8,$J207=9,$J207=10),-$E207*$I207/12*3,IF($J207=11,-$E207*$I207/12*2,IF($J207=12,-$E207*$I207/12*1,0)))))+IF(CD$5&lt;&gt;$H207,0,IF(CD207&lt;0,IF($J207=10,-$E207*$I207/12*0,IF($J207=11,-$E207*$I207/12*1,IF($J207=12,-$E207*$I207/12*2,0)))))</f>
        <v>0</v>
      </c>
      <c r="CI207" s="440">
        <f>IF(AND(CD207&lt;&gt;0,CD$5=$H207),-$I207*$E207-CD207,IF(CI$5=$H207,-$I207*$E207*(12-$J207+1)/12,0))</f>
        <v>0</v>
      </c>
      <c r="CJ207" s="441">
        <f>IF($H207&lt;&gt;CN$5,0,IF(CN207&lt;0,IF($J207=1,-$E207*$I207/12*3,IF($J207=2,-$E207*$I207/12*2,IF($J207=3,-$E207*$I207/12*1,0)))))+IF(CI$5&lt;&gt;$H207,0,IF(CI207&lt;0,IF($J207=1,-$E207*$I207/12*0,IF($J207=2,-$E207*$I207/12*1,IF($J207=3,-$E207*$I207/12*2,IF($J207&gt;=4,-$E207*$I207/12*3,0))))))</f>
        <v>0</v>
      </c>
      <c r="CK207" s="442">
        <f>IF($H207&lt;&gt;CN$5,0,IF(CN207&lt;0,IF(OR($J207=1,$J207=2,$J207=3,$J207=4),-$E207*$I207/12*3,IF($J207=5,-$E207*$I207/12*2,IF($J207=6,-$E207*$I207/12*1,0)))))+IF(CI$5&lt;&gt;$H207,0,IF(CI207&lt;0,IF($J207=4,-$E207*$I207/12*0,IF($J207=5,-$E207*$I207/12*1,IF($J207=6,-$E207*$I207/12*2,IF($J207&gt;=7,-$E207*$I207/12*3,0))))))</f>
        <v>0</v>
      </c>
      <c r="CL207" s="442">
        <f>IF($H207&lt;&gt;CN$5,0,IF(CN207&lt;0,IF(OR($J207=1,$J207=2,$J207=3,$J207=4,$J207=5,$J207=6,$J207=7),-$E207*$I207/12*3,IF($J207=8,-$E207*$I207/12*2,IF($J207=9,-$E207*$I207/12*1,0)))))+IF(CI$5&lt;&gt;$H207,0,IF(CI207&lt;0,IF($J207=7,-$E207*$I207/12*0,IF($J207=8,-$E207*$I207/12*1,IF($J207=9,-$E207*$I207/12*2,IF($J207&gt;=10,-$E207*$I207/12*3,0))))))</f>
        <v>0</v>
      </c>
      <c r="CM207" s="443">
        <f>IF($H207&lt;&gt;CN$5,0,IF(CN207&lt;0,IF(OR($J207=1,$J207=2,$J207=3,$J207=4,$J207=5,$J207=6,$J207=7,$J207=8,$J207=9,$J207=10),-$E207*$I207/12*3,IF($J207=11,-$E207*$I207/12*2,IF($J207=12,-$E207*$I207/12*1,0)))))+IF(CI$5&lt;&gt;$H207,0,IF(CI207&lt;0,IF($J207=10,-$E207*$I207/12*0,IF($J207=11,-$E207*$I207/12*1,IF($J207=12,-$E207*$I207/12*2,0)))))</f>
        <v>0</v>
      </c>
      <c r="CN207" s="440">
        <f>IF(AND(CI207&lt;&gt;0,CI$5=$H207),-$I207*$E207-CI207,IF(CN$5=$H207,-$I207*$E207*(12-$J207+1)/12,0))</f>
        <v>0</v>
      </c>
      <c r="CO207" s="441">
        <f>IF($H207&lt;&gt;CS$5,0,IF(CS207&lt;0,IF($J207=1,-$E207*$I207/12*3,IF($J207=2,-$E207*$I207/12*2,IF($J207=3,-$E207*$I207/12*1,0)))))+IF(CN$5&lt;&gt;$H207,0,IF(CN207&lt;0,IF($J207=1,-$E207*$I207/12*0,IF($J207=2,-$E207*$I207/12*1,IF($J207=3,-$E207*$I207/12*2,IF($J207&gt;=4,-$E207*$I207/12*3,0))))))</f>
        <v>0</v>
      </c>
      <c r="CP207" s="442">
        <f>IF($H207&lt;&gt;CS$5,0,IF(CS207&lt;0,IF(OR($J207=1,$J207=2,$J207=3,$J207=4),-$E207*$I207/12*3,IF($J207=5,-$E207*$I207/12*2,IF($J207=6,-$E207*$I207/12*1,0)))))+IF(CN$5&lt;&gt;$H207,0,IF(CN207&lt;0,IF($J207=4,-$E207*$I207/12*0,IF($J207=5,-$E207*$I207/12*1,IF($J207=6,-$E207*$I207/12*2,IF($J207&gt;=7,-$E207*$I207/12*3,0))))))</f>
        <v>0</v>
      </c>
      <c r="CQ207" s="442">
        <f>IF($H207&lt;&gt;CS$5,0,IF(CS207&lt;0,IF(OR($J207=1,$J207=2,$J207=3,$J207=4,$J207=5,$J207=6,$J207=7),-$E207*$I207/12*3,IF($J207=8,-$E207*$I207/12*2,IF($J207=9,-$E207*$I207/12*1,0)))))+IF(CN$5&lt;&gt;$H207,0,IF(CN207&lt;0,IF($J207=7,-$E207*$I207/12*0,IF($J207=8,-$E207*$I207/12*1,IF($J207=9,-$E207*$I207/12*2,IF($J207&gt;=10,-$E207*$I207/12*3,0))))))</f>
        <v>0</v>
      </c>
      <c r="CR207" s="443">
        <f>IF($H207&lt;&gt;CS$5,0,IF(CS207&lt;0,IF(OR($J207=1,$J207=2,$J207=3,$J207=4,$J207=5,$J207=6,$J207=7,$J207=8,$J207=9,$J207=10),-$E207*$I207/12*3,IF($J207=11,-$E207*$I207/12*2,IF($J207=12,-$E207*$I207/12*1,0)))))+IF(CN$5&lt;&gt;$H207,0,IF(CN207&lt;0,IF($J207=10,-$E207*$I207/12*0,IF($J207=11,-$E207*$I207/12*1,IF($J207=12,-$E207*$I207/12*2,0)))))</f>
        <v>0</v>
      </c>
      <c r="CS207" s="440">
        <f>IF(AND(CN207&lt;&gt;0,CN$5=$H207),-$I207*$E207-CN207,IF(CS$5=$H207,-$I207*$E207*(12-$J207+1)/12,0))</f>
        <v>0</v>
      </c>
      <c r="CT207" s="441">
        <f>IF($H207&lt;&gt;CX$5,0,IF(CX207&lt;0,IF($J207=1,-$E207*$I207/12*3,IF($J207=2,-$E207*$I207/12*2,IF($J207=3,-$E207*$I207/12*1,0)))))+IF(CS$5&lt;&gt;$H207,0,IF(CS207&lt;0,IF($J207=1,-$E207*$I207/12*0,IF($J207=2,-$E207*$I207/12*1,IF($J207=3,-$E207*$I207/12*2,IF($J207&gt;=4,-$E207*$I207/12*3,0))))))</f>
        <v>0</v>
      </c>
      <c r="CU207" s="442">
        <f>IF($H207&lt;&gt;CX$5,0,IF(CX207&lt;0,IF(OR($J207=1,$J207=2,$J207=3,$J207=4),-$E207*$I207/12*3,IF($J207=5,-$E207*$I207/12*2,IF($J207=6,-$E207*$I207/12*1,0)))))+IF(CS$5&lt;&gt;$H207,0,IF(CS207&lt;0,IF($J207=4,-$E207*$I207/12*0,IF($J207=5,-$E207*$I207/12*1,IF($J207=6,-$E207*$I207/12*2,IF($J207&gt;=7,-$E207*$I207/12*3,0))))))</f>
        <v>0</v>
      </c>
      <c r="CV207" s="442">
        <f>IF($H207&lt;&gt;CX$5,0,IF(CX207&lt;0,IF(OR($J207=1,$J207=2,$J207=3,$J207=4,$J207=5,$J207=6,$J207=7),-$E207*$I207/12*3,IF($J207=8,-$E207*$I207/12*2,IF($J207=9,-$E207*$I207/12*1,0)))))+IF(CS$5&lt;&gt;$H207,0,IF(CS207&lt;0,IF($J207=7,-$E207*$I207/12*0,IF($J207=8,-$E207*$I207/12*1,IF($J207=9,-$E207*$I207/12*2,IF($J207&gt;=10,-$E207*$I207/12*3,0))))))</f>
        <v>0</v>
      </c>
      <c r="CW207" s="443">
        <f>IF($H207&lt;&gt;CX$5,0,IF(CX207&lt;0,IF(OR($J207=1,$J207=2,$J207=3,$J207=4,$J207=5,$J207=6,$J207=7,$J207=8,$J207=9,$J207=10),-$E207*$I207/12*3,IF($J207=11,-$E207*$I207/12*2,IF($J207=12,-$E207*$I207/12*1,0)))))+IF(CS$5&lt;&gt;$H207,0,IF(CS207&lt;0,IF($J207=10,-$E207*$I207/12*0,IF($J207=11,-$E207*$I207/12*1,IF($J207=12,-$E207*$I207/12*2,0)))))</f>
        <v>0</v>
      </c>
      <c r="CX207" s="440">
        <f>IF(AND(CS207&lt;&gt;0,CS$5=$H207),-$I207*$E207-CS207,IF(CX$5=$H207,-$I207*$E207*(12-$J207+1)/12,0))</f>
        <v>0</v>
      </c>
      <c r="CY207" s="441">
        <f>IF($H207&lt;&gt;DC$5,0,IF(DC207&lt;0,IF($J207=1,-$E207*$I207/12*3,IF($J207=2,-$E207*$I207/12*2,IF($J207=3,-$E207*$I207/12*1,0)))))+IF(CX$5&lt;&gt;$H207,0,IF(CX207&lt;0,IF($J207=1,-$E207*$I207/12*0,IF($J207=2,-$E207*$I207/12*1,IF($J207=3,-$E207*$I207/12*2,IF($J207&gt;=4,-$E207*$I207/12*3,0))))))</f>
        <v>0</v>
      </c>
      <c r="CZ207" s="442">
        <f>IF($H207&lt;&gt;DC$5,0,IF(DC207&lt;0,IF(OR($J207=1,$J207=2,$J207=3,$J207=4),-$E207*$I207/12*3,IF($J207=5,-$E207*$I207/12*2,IF($J207=6,-$E207*$I207/12*1,0)))))+IF(CX$5&lt;&gt;$H207,0,IF(CX207&lt;0,IF($J207=4,-$E207*$I207/12*0,IF($J207=5,-$E207*$I207/12*1,IF($J207=6,-$E207*$I207/12*2,IF($J207&gt;=7,-$E207*$I207/12*3,0))))))</f>
        <v>0</v>
      </c>
      <c r="DA207" s="442">
        <f>IF($H207&lt;&gt;DC$5,0,IF(DC207&lt;0,IF(OR($J207=1,$J207=2,$J207=3,$J207=4,$J207=5,$J207=6,$J207=7),-$E207*$I207/12*3,IF($J207=8,-$E207*$I207/12*2,IF($J207=9,-$E207*$I207/12*1,0)))))+IF(CX$5&lt;&gt;$H207,0,IF(CX207&lt;0,IF($J207=7,-$E207*$I207/12*0,IF($J207=8,-$E207*$I207/12*1,IF($J207=9,-$E207*$I207/12*2,IF($J207&gt;=10,-$E207*$I207/12*3,0))))))</f>
        <v>0</v>
      </c>
      <c r="DB207" s="443">
        <f>IF($H207&lt;&gt;DC$5,0,IF(DC207&lt;0,IF(OR($J207=1,$J207=2,$J207=3,$J207=4,$J207=5,$J207=6,$J207=7,$J207=8,$J207=9,$J207=10),-$E207*$I207/12*3,IF($J207=11,-$E207*$I207/12*2,IF($J207=12,-$E207*$I207/12*1,0)))))+IF(CX$5&lt;&gt;$H207,0,IF(CX207&lt;0,IF($J207=10,-$E207*$I207/12*0,IF($J207=11,-$E207*$I207/12*1,IF($J207=12,-$E207*$I207/12*2,0)))))</f>
        <v>0</v>
      </c>
      <c r="DC207" s="440">
        <f>IF(AND(CX207&lt;&gt;0,CX$5=$H207),-$I207*$E207-CX207,IF(DC$5=$H207,-$I207*$E207*(12-$J207+1)/12,0))</f>
        <v>0</v>
      </c>
      <c r="DD207" s="441">
        <f>IF($H207&lt;&gt;DH$5,0,IF(DH207&lt;0,IF($J207=1,-$E207*$I207/12*3,IF($J207=2,-$E207*$I207/12*2,IF($J207=3,-$E207*$I207/12*1,0)))))+IF(DC$5&lt;&gt;$H207,0,IF(DC207&lt;0,IF($J207=1,-$E207*$I207/12*0,IF($J207=2,-$E207*$I207/12*1,IF($J207=3,-$E207*$I207/12*2,IF($J207&gt;=4,-$E207*$I207/12*3,0))))))</f>
        <v>0</v>
      </c>
      <c r="DE207" s="442">
        <f>IF($H207&lt;&gt;DH$5,0,IF(DH207&lt;0,IF(OR($J207=1,$J207=2,$J207=3,$J207=4),-$E207*$I207/12*3,IF($J207=5,-$E207*$I207/12*2,IF($J207=6,-$E207*$I207/12*1,0)))))+IF(DC$5&lt;&gt;$H207,0,IF(DC207&lt;0,IF($J207=4,-$E207*$I207/12*0,IF($J207=5,-$E207*$I207/12*1,IF($J207=6,-$E207*$I207/12*2,IF($J207&gt;=7,-$E207*$I207/12*3,0))))))</f>
        <v>0</v>
      </c>
      <c r="DF207" s="442">
        <f>IF($H207&lt;&gt;DH$5,0,IF(DH207&lt;0,IF(OR($J207=1,$J207=2,$J207=3,$J207=4,$J207=5,$J207=6,$J207=7),-$E207*$I207/12*3,IF($J207=8,-$E207*$I207/12*2,IF($J207=9,-$E207*$I207/12*1,0)))))+IF(DC$5&lt;&gt;$H207,0,IF(DC207&lt;0,IF($J207=7,-$E207*$I207/12*0,IF($J207=8,-$E207*$I207/12*1,IF($J207=9,-$E207*$I207/12*2,IF($J207&gt;=10,-$E207*$I207/12*3,0))))))</f>
        <v>-0.40023111253124999</v>
      </c>
      <c r="DG207" s="443">
        <f>IF($H207&lt;&gt;DH$5,0,IF(DH207&lt;0,IF(OR($J207=1,$J207=2,$J207=3,$J207=4,$J207=5,$J207=6,$J207=7,$J207=8,$J207=9,$J207=10),-$E207*$I207/12*3,IF($J207=11,-$E207*$I207/12*2,IF($J207=12,-$E207*$I207/12*1,0)))))+IF(DC$5&lt;&gt;$H207,0,IF(DC207&lt;0,IF($J207=10,-$E207*$I207/12*0,IF($J207=11,-$E207*$I207/12*1,IF($J207=12,-$E207*$I207/12*2,0)))))</f>
        <v>-0.40023111253124999</v>
      </c>
      <c r="DH207" s="440">
        <f>IF(AND(DC207&lt;&gt;0,DC$5=$H207),-$I207*$E207-DC207,IF(DH$5=$H207,-$I207*$E207*(12-$J207+1)/12,0))</f>
        <v>-0.80046222506250009</v>
      </c>
      <c r="DI207" s="441">
        <f>IF($H207&lt;&gt;DM$5,0,IF(DM207&lt;0,IF($J207=1,-$E207*$I207/12*3,IF($J207=2,-$E207*$I207/12*2,IF($J207=3,-$E207*$I207/12*1,0)))))+IF(DH$5&lt;&gt;$H207,0,IF(DH207&lt;0,IF($J207=1,-$E207*$I207/12*0,IF($J207=2,-$E207*$I207/12*1,IF($J207=3,-$E207*$I207/12*2,IF($J207&gt;=4,-$E207*$I207/12*3,0))))))</f>
        <v>-0.40023111253124999</v>
      </c>
      <c r="DJ207" s="442">
        <f>IF($H207&lt;&gt;DM$5,0,IF(DM207&lt;0,IF(OR($J207=1,$J207=2,$J207=3,$J207=4),-$E207*$I207/12*3,IF($J207=5,-$E207*$I207/12*2,IF($J207=6,-$E207*$I207/12*1,0)))))+IF(DH$5&lt;&gt;$H207,0,IF(DH207&lt;0,IF($J207=4,-$E207*$I207/12*0,IF($J207=5,-$E207*$I207/12*1,IF($J207=6,-$E207*$I207/12*2,IF($J207&gt;=7,-$E207*$I207/12*3,0))))))</f>
        <v>-0.40023111253124999</v>
      </c>
      <c r="DK207" s="442">
        <f>IF($H207&lt;&gt;DM$5,0,IF(DM207&lt;0,IF(OR($J207=1,$J207=2,$J207=3,$J207=4,$J207=5,$J207=6,$J207=7),-$E207*$I207/12*3,IF($J207=8,-$E207*$I207/12*2,IF($J207=9,-$E207*$I207/12*1,0)))))+IF(DH$5&lt;&gt;$H207,0,IF(DH207&lt;0,IF($J207=7,-$E207*$I207/12*0,IF($J207=8,-$E207*$I207/12*1,IF($J207=9,-$E207*$I207/12*2,IF($J207&gt;=10,-$E207*$I207/12*3,0))))))</f>
        <v>0</v>
      </c>
      <c r="DL207" s="443">
        <f>IF($H207&lt;&gt;DM$5,0,IF(DM207&lt;0,IF(OR($J207=1,$J207=2,$J207=3,$J207=4,$J207=5,$J207=6,$J207=7,$J207=8,$J207=9,$J207=10),-$E207*$I207/12*3,IF($J207=11,-$E207*$I207/12*2,IF($J207=12,-$E207*$I207/12*1,0)))))+IF(DH$5&lt;&gt;$H207,0,IF(DH207&lt;0,IF($J207=10,-$E207*$I207/12*0,IF($J207=11,-$E207*$I207/12*1,IF($J207=12,-$E207*$I207/12*2,0)))))</f>
        <v>0</v>
      </c>
      <c r="DM207" s="440">
        <f>IF(AND(DH207&lt;&gt;0,DH$5=$H207),-$I207*$E207-DH207,IF(DM$5=$H207,-$I207*$E207*(12-$J207+1)/12,0))</f>
        <v>-0.80046222506249987</v>
      </c>
      <c r="DN207" s="441">
        <f>IF($H207&lt;&gt;DR$5,0,IF(DR207&lt;0,IF($J207=1,-$E207*$I207/12*3,IF($J207=2,-$E207*$I207/12*2,IF($J207=3,-$E207*$I207/12*1,0)))))+IF(DM$5&lt;&gt;$H207,0,IF(DM207&lt;0,IF($J207=1,-$E207*$I207/12*0,IF($J207=2,-$E207*$I207/12*1,IF($J207=3,-$E207*$I207/12*2,IF($J207&gt;=4,-$E207*$I207/12*3,0))))))</f>
        <v>0</v>
      </c>
      <c r="DO207" s="442">
        <f>IF($H207&lt;&gt;DR$5,0,IF(DR207&lt;0,IF(OR($J207=1,$J207=2,$J207=3,$J207=4),-$E207*$I207/12*3,IF($J207=5,-$E207*$I207/12*2,IF($J207=6,-$E207*$I207/12*1,0)))))+IF(DM$5&lt;&gt;$H207,0,IF(DM207&lt;0,IF($J207=4,-$E207*$I207/12*0,IF($J207=5,-$E207*$I207/12*1,IF($J207=6,-$E207*$I207/12*2,IF($J207&gt;=7,-$E207*$I207/12*3,0))))))</f>
        <v>0</v>
      </c>
      <c r="DP207" s="442">
        <f>IF($H207&lt;&gt;DR$5,0,IF(DR207&lt;0,IF(OR($J207=1,$J207=2,$J207=3,$J207=4,$J207=5,$J207=6,$J207=7),-$E207*$I207/12*3,IF($J207=8,-$E207*$I207/12*2,IF($J207=9,-$E207*$I207/12*1,0)))))+IF(DM$5&lt;&gt;$H207,0,IF(DM207&lt;0,IF($J207=7,-$E207*$I207/12*0,IF($J207=8,-$E207*$I207/12*1,IF($J207=9,-$E207*$I207/12*2,IF($J207&gt;=10,-$E207*$I207/12*3,0))))))</f>
        <v>0</v>
      </c>
      <c r="DQ207" s="443">
        <f>IF($H207&lt;&gt;DR$5,0,IF(DR207&lt;0,IF(OR($J207=1,$J207=2,$J207=3,$J207=4,$J207=5,$J207=6,$J207=7,$J207=8,$J207=9,$J207=10),-$E207*$I207/12*3,IF($J207=11,-$E207*$I207/12*2,IF($J207=12,-$E207*$I207/12*1,0)))))+IF(DM$5&lt;&gt;$H207,0,IF(DM207&lt;0,IF($J207=10,-$E207*$I207/12*0,IF($J207=11,-$E207*$I207/12*1,IF($J207=12,-$E207*$I207/12*2,0)))))</f>
        <v>0</v>
      </c>
      <c r="DR207" s="440">
        <f>IF(AND(DM207&lt;&gt;0,DM$5=$H207),-$I207*$E207-DM207,IF(DR$5=$H207,-$I207*$E207*(12-$J207+1)/12,0))</f>
        <v>0</v>
      </c>
    </row>
    <row r="208" spans="3:122" ht="12.75" customHeight="1">
      <c r="C208" s="1590" t="s">
        <v>94</v>
      </c>
      <c r="D208" s="395"/>
      <c r="E208" s="1950">
        <f>IF(F208=0,G208,F208)</f>
        <v>153.25</v>
      </c>
      <c r="F208" s="1945">
        <v>153.25</v>
      </c>
      <c r="G208" s="1945">
        <v>153.25</v>
      </c>
      <c r="H208" s="1366">
        <v>2026</v>
      </c>
      <c r="I208" s="1367">
        <v>5.4625000000000007E-2</v>
      </c>
      <c r="J208" s="1357">
        <v>7</v>
      </c>
      <c r="K208" s="549"/>
      <c r="L208" s="441">
        <f t="shared" si="2664"/>
        <v>0</v>
      </c>
      <c r="M208" s="442">
        <f t="shared" si="2665"/>
        <v>0</v>
      </c>
      <c r="N208" s="442">
        <f t="shared" si="2666"/>
        <v>0</v>
      </c>
      <c r="O208" s="443">
        <f t="shared" si="2667"/>
        <v>0</v>
      </c>
      <c r="P208" s="440">
        <f t="shared" si="2668"/>
        <v>0</v>
      </c>
      <c r="Q208" s="441">
        <f t="shared" si="2669"/>
        <v>0</v>
      </c>
      <c r="R208" s="442">
        <f t="shared" si="2670"/>
        <v>0</v>
      </c>
      <c r="S208" s="442">
        <f t="shared" si="2671"/>
        <v>0</v>
      </c>
      <c r="T208" s="443">
        <f t="shared" si="2672"/>
        <v>0</v>
      </c>
      <c r="U208" s="440">
        <f t="shared" si="2673"/>
        <v>0</v>
      </c>
      <c r="V208" s="441">
        <f t="shared" si="2674"/>
        <v>0</v>
      </c>
      <c r="W208" s="442">
        <f t="shared" si="2675"/>
        <v>0</v>
      </c>
      <c r="X208" s="442">
        <f t="shared" si="2676"/>
        <v>0</v>
      </c>
      <c r="Y208" s="443">
        <f t="shared" si="2677"/>
        <v>0</v>
      </c>
      <c r="Z208" s="440">
        <f t="shared" si="2678"/>
        <v>0</v>
      </c>
      <c r="AA208" s="441">
        <f t="shared" si="2679"/>
        <v>0</v>
      </c>
      <c r="AB208" s="442">
        <f t="shared" si="2680"/>
        <v>0</v>
      </c>
      <c r="AC208" s="442">
        <f t="shared" si="2681"/>
        <v>0</v>
      </c>
      <c r="AD208" s="443">
        <f t="shared" si="2682"/>
        <v>0</v>
      </c>
      <c r="AE208" s="440">
        <f t="shared" si="2683"/>
        <v>0</v>
      </c>
      <c r="AF208" s="441">
        <f t="shared" si="2684"/>
        <v>0</v>
      </c>
      <c r="AG208" s="442">
        <f t="shared" si="2685"/>
        <v>0</v>
      </c>
      <c r="AH208" s="442">
        <f t="shared" si="2686"/>
        <v>0</v>
      </c>
      <c r="AI208" s="443">
        <f t="shared" si="2687"/>
        <v>0</v>
      </c>
      <c r="AJ208" s="440">
        <f t="shared" si="2688"/>
        <v>0</v>
      </c>
      <c r="AK208" s="441">
        <f t="shared" si="2689"/>
        <v>0</v>
      </c>
      <c r="AL208" s="442">
        <f t="shared" si="2690"/>
        <v>0</v>
      </c>
      <c r="AM208" s="442">
        <f t="shared" si="2691"/>
        <v>0</v>
      </c>
      <c r="AN208" s="443">
        <f t="shared" si="2692"/>
        <v>0</v>
      </c>
      <c r="AO208" s="440">
        <f t="shared" si="2693"/>
        <v>0</v>
      </c>
      <c r="AP208" s="441">
        <f t="shared" si="2694"/>
        <v>0</v>
      </c>
      <c r="AQ208" s="442">
        <f t="shared" si="2695"/>
        <v>0</v>
      </c>
      <c r="AR208" s="442">
        <f t="shared" si="2696"/>
        <v>0</v>
      </c>
      <c r="AS208" s="443">
        <f t="shared" si="2697"/>
        <v>0</v>
      </c>
      <c r="AT208" s="440">
        <f t="shared" si="2698"/>
        <v>0</v>
      </c>
      <c r="AU208" s="441">
        <f t="shared" si="2699"/>
        <v>0</v>
      </c>
      <c r="AV208" s="442">
        <f t="shared" si="2700"/>
        <v>0</v>
      </c>
      <c r="AW208" s="442">
        <f t="shared" si="2701"/>
        <v>0</v>
      </c>
      <c r="AX208" s="443">
        <f t="shared" si="2702"/>
        <v>0</v>
      </c>
      <c r="AY208" s="440">
        <f t="shared" si="2703"/>
        <v>0</v>
      </c>
      <c r="AZ208" s="441">
        <f t="shared" si="2704"/>
        <v>0</v>
      </c>
      <c r="BA208" s="442">
        <f t="shared" si="2705"/>
        <v>0</v>
      </c>
      <c r="BB208" s="442">
        <f t="shared" si="2706"/>
        <v>0</v>
      </c>
      <c r="BC208" s="443">
        <f t="shared" si="2707"/>
        <v>0</v>
      </c>
      <c r="BD208" s="440">
        <f t="shared" si="2708"/>
        <v>0</v>
      </c>
      <c r="BE208" s="441">
        <f t="shared" si="2709"/>
        <v>0</v>
      </c>
      <c r="BF208" s="442">
        <f t="shared" si="2710"/>
        <v>0</v>
      </c>
      <c r="BG208" s="442">
        <f t="shared" si="2711"/>
        <v>0</v>
      </c>
      <c r="BH208" s="443">
        <f t="shared" si="2712"/>
        <v>0</v>
      </c>
      <c r="BI208" s="440">
        <f t="shared" si="2713"/>
        <v>0</v>
      </c>
      <c r="BJ208" s="441">
        <f t="shared" si="2714"/>
        <v>0</v>
      </c>
      <c r="BK208" s="442">
        <f t="shared" si="2715"/>
        <v>0</v>
      </c>
      <c r="BL208" s="442">
        <f t="shared" si="2716"/>
        <v>0</v>
      </c>
      <c r="BM208" s="443">
        <f t="shared" si="2717"/>
        <v>0</v>
      </c>
      <c r="BN208" s="440">
        <f t="shared" si="2718"/>
        <v>0</v>
      </c>
      <c r="BO208" s="470"/>
      <c r="BP208" s="441">
        <f>IF($H208&lt;&gt;BT$5,0,IF(BT208&lt;0,IF($J208=1,-$E208*$I208/12*3,IF($J208=2,-$E208*$I208/12*2,IF($J208=3,-$E208*$I208/12*1,0)))))+IF(BO$5&lt;&gt;$H208,0,IF(BO208&lt;0,IF($J208=1,-$E208*$I208/12*0,IF($J208=2,-$E208*$I208/12*1,IF($J208=3,-$E208*$I208/12*2,IF($J208&gt;=4,-$E208*$I208/12*3,0))))))</f>
        <v>0</v>
      </c>
      <c r="BQ208" s="442">
        <f>IF($H208&lt;&gt;BT$5,0,IF(BT208&lt;0,IF(OR($J208=1,$J208=2,$J208=3,$J208=4),-$E208*$I208/12*3,IF($J208=5,-$E208*$I208/12*2,IF($J208=6,-$E208*$I208/12*1,0)))))+IF(BO$5&lt;&gt;$H208,0,IF(BO208&lt;0,IF($J208=4,-$E208*$I208/12*0,IF($J208=5,-$E208*$I208/12*1,IF($J208=6,-$E208*$I208/12*2,IF($J208&gt;=7,-$E208*$I208/12*3,0))))))</f>
        <v>0</v>
      </c>
      <c r="BR208" s="442">
        <f>IF($H208&lt;&gt;BT$5,0,IF(BT208&lt;0,IF(OR($J208=1,$J208=2,$J208=3,$J208=4,$J208=5,$J208=6,$J208=7),-$E208*$I208/12*3,IF($J208=8,-$E208*$I208/12*2,IF($J208=9,-$E208*$I208/12*1,0)))))+IF(BO$5&lt;&gt;$H208,0,IF(BO208&lt;0,IF($J208=7,-$E208*$I208/12*0,IF($J208=8,-$E208*$I208/12*1,IF($J208=9,-$E208*$I208/12*2,IF($J208&gt;=10,-$E208*$I208/12*3,0))))))</f>
        <v>0</v>
      </c>
      <c r="BS208" s="443">
        <f>IF($H208&lt;&gt;BT$5,0,IF(BT208&lt;0,IF(OR($J208=1,$J208=2,$J208=3,$J208=4,$J208=5,$J208=6,$J208=7,$J208=8,$J208=9,$J208=10),-$E208*$I208/12*3,IF($J208=11,-$E208*$I208/12*2,IF($J208=12,-$E208*$I208/12*1,0)))))+IF(BO$5&lt;&gt;$H208,0,IF(BO208&lt;0,IF($J208=10,-$E208*$I208/12*0,IF($J208=11,-$E208*$I208/12*1,IF($J208=12,-$E208*$I208/12*2,0)))))</f>
        <v>0</v>
      </c>
      <c r="BT208" s="440">
        <f>IF(AND(BO208&lt;&gt;0,BO$5=$H208),-$I208*$E208-BO208,IF(BT$5=$H208,-$I208*$E208*(12-$J208+1)/12,0))</f>
        <v>0</v>
      </c>
      <c r="BU208" s="441">
        <f>IF($H208&lt;&gt;BY$5,0,IF(BY208&lt;0,IF($J208=1,-$E208*$I208/12*3,IF($J208=2,-$E208*$I208/12*2,IF($J208=3,-$E208*$I208/12*1,0)))))+IF(BT$5&lt;&gt;$H208,0,IF(BT208&lt;0,IF($J208=1,-$E208*$I208/12*0,IF($J208=2,-$E208*$I208/12*1,IF($J208=3,-$E208*$I208/12*2,IF($J208&gt;=4,-$E208*$I208/12*3,0))))))</f>
        <v>0</v>
      </c>
      <c r="BV208" s="442">
        <f>IF($H208&lt;&gt;BY$5,0,IF(BY208&lt;0,IF(OR($J208=1,$J208=2,$J208=3,$J208=4),-$E208*$I208/12*3,IF($J208=5,-$E208*$I208/12*2,IF($J208=6,-$E208*$I208/12*1,0)))))+IF(BT$5&lt;&gt;$H208,0,IF(BT208&lt;0,IF($J208=4,-$E208*$I208/12*0,IF($J208=5,-$E208*$I208/12*1,IF($J208=6,-$E208*$I208/12*2,IF($J208&gt;=7,-$E208*$I208/12*3,0))))))</f>
        <v>0</v>
      </c>
      <c r="BW208" s="442">
        <f>IF($H208&lt;&gt;BY$5,0,IF(BY208&lt;0,IF(OR($J208=1,$J208=2,$J208=3,$J208=4,$J208=5,$J208=6,$J208=7),-$E208*$I208/12*3,IF($J208=8,-$E208*$I208/12*2,IF($J208=9,-$E208*$I208/12*1,0)))))+IF(BT$5&lt;&gt;$H208,0,IF(BT208&lt;0,IF($J208=7,-$E208*$I208/12*0,IF($J208=8,-$E208*$I208/12*1,IF($J208=9,-$E208*$I208/12*2,IF($J208&gt;=10,-$E208*$I208/12*3,0))))))</f>
        <v>0</v>
      </c>
      <c r="BX208" s="443">
        <f>IF($H208&lt;&gt;BY$5,0,IF(BY208&lt;0,IF(OR($J208=1,$J208=2,$J208=3,$J208=4,$J208=5,$J208=6,$J208=7,$J208=8,$J208=9,$J208=10),-$E208*$I208/12*3,IF($J208=11,-$E208*$I208/12*2,IF($J208=12,-$E208*$I208/12*1,0)))))+IF(BT$5&lt;&gt;$H208,0,IF(BT208&lt;0,IF($J208=10,-$E208*$I208/12*0,IF($J208=11,-$E208*$I208/12*1,IF($J208=12,-$E208*$I208/12*2,0)))))</f>
        <v>0</v>
      </c>
      <c r="BY208" s="440">
        <f>IF(AND(BT208&lt;&gt;0,BT$5=$H208),-$I208*$E208-BT208,IF(BY$5=$H208,-$I208*$E208*(12-$J208+1)/12,0))</f>
        <v>0</v>
      </c>
      <c r="BZ208" s="441">
        <f>IF($H208&lt;&gt;CD$5,0,IF(CD208&lt;0,IF($J208=1,-$E208*$I208/12*3,IF($J208=2,-$E208*$I208/12*2,IF($J208=3,-$E208*$I208/12*1,0)))))+IF(BY$5&lt;&gt;$H208,0,IF(BY208&lt;0,IF($J208=1,-$E208*$I208/12*0,IF($J208=2,-$E208*$I208/12*1,IF($J208=3,-$E208*$I208/12*2,IF($J208&gt;=4,-$E208*$I208/12*3,0))))))</f>
        <v>0</v>
      </c>
      <c r="CA208" s="442">
        <f>IF($H208&lt;&gt;CD$5,0,IF(CD208&lt;0,IF(OR($J208=1,$J208=2,$J208=3,$J208=4),-$E208*$I208/12*3,IF($J208=5,-$E208*$I208/12*2,IF($J208=6,-$E208*$I208/12*1,0)))))+IF(BY$5&lt;&gt;$H208,0,IF(BY208&lt;0,IF($J208=4,-$E208*$I208/12*0,IF($J208=5,-$E208*$I208/12*1,IF($J208=6,-$E208*$I208/12*2,IF($J208&gt;=7,-$E208*$I208/12*3,0))))))</f>
        <v>0</v>
      </c>
      <c r="CB208" s="442">
        <f>IF($H208&lt;&gt;CD$5,0,IF(CD208&lt;0,IF(OR($J208=1,$J208=2,$J208=3,$J208=4,$J208=5,$J208=6,$J208=7),-$E208*$I208/12*3,IF($J208=8,-$E208*$I208/12*2,IF($J208=9,-$E208*$I208/12*1,0)))))+IF(BY$5&lt;&gt;$H208,0,IF(BY208&lt;0,IF($J208=7,-$E208*$I208/12*0,IF($J208=8,-$E208*$I208/12*1,IF($J208=9,-$E208*$I208/12*2,IF($J208&gt;=10,-$E208*$I208/12*3,0))))))</f>
        <v>0</v>
      </c>
      <c r="CC208" s="443">
        <f>IF($H208&lt;&gt;CD$5,0,IF(CD208&lt;0,IF(OR($J208=1,$J208=2,$J208=3,$J208=4,$J208=5,$J208=6,$J208=7,$J208=8,$J208=9,$J208=10),-$E208*$I208/12*3,IF($J208=11,-$E208*$I208/12*2,IF($J208=12,-$E208*$I208/12*1,0)))))+IF(BY$5&lt;&gt;$H208,0,IF(BY208&lt;0,IF($J208=10,-$E208*$I208/12*0,IF($J208=11,-$E208*$I208/12*1,IF($J208=12,-$E208*$I208/12*2,0)))))</f>
        <v>0</v>
      </c>
      <c r="CD208" s="440">
        <f>IF(AND(BY208&lt;&gt;0,BY$5=$H208),-$I208*$E208-BY208,IF(CD$5=$H208,-$I208*$E208*(12-$J208+1)/12,0))</f>
        <v>0</v>
      </c>
      <c r="CE208" s="441">
        <f>IF($H208&lt;&gt;CI$5,0,IF(CI208&lt;0,IF($J208=1,-$E208*$I208/12*3,IF($J208=2,-$E208*$I208/12*2,IF($J208=3,-$E208*$I208/12*1,0)))))+IF(CD$5&lt;&gt;$H208,0,IF(CD208&lt;0,IF($J208=1,-$E208*$I208/12*0,IF($J208=2,-$E208*$I208/12*1,IF($J208=3,-$E208*$I208/12*2,IF($J208&gt;=4,-$E208*$I208/12*3,0))))))</f>
        <v>0</v>
      </c>
      <c r="CF208" s="442">
        <f>IF($H208&lt;&gt;CI$5,0,IF(CI208&lt;0,IF(OR($J208=1,$J208=2,$J208=3,$J208=4),-$E208*$I208/12*3,IF($J208=5,-$E208*$I208/12*2,IF($J208=6,-$E208*$I208/12*1,0)))))+IF(CD$5&lt;&gt;$H208,0,IF(CD208&lt;0,IF($J208=4,-$E208*$I208/12*0,IF($J208=5,-$E208*$I208/12*1,IF($J208=6,-$E208*$I208/12*2,IF($J208&gt;=7,-$E208*$I208/12*3,0))))))</f>
        <v>0</v>
      </c>
      <c r="CG208" s="442">
        <f>IF($H208&lt;&gt;CI$5,0,IF(CI208&lt;0,IF(OR($J208=1,$J208=2,$J208=3,$J208=4,$J208=5,$J208=6,$J208=7),-$E208*$I208/12*3,IF($J208=8,-$E208*$I208/12*2,IF($J208=9,-$E208*$I208/12*1,0)))))+IF(CD$5&lt;&gt;$H208,0,IF(CD208&lt;0,IF($J208=7,-$E208*$I208/12*0,IF($J208=8,-$E208*$I208/12*1,IF($J208=9,-$E208*$I208/12*2,IF($J208&gt;=10,-$E208*$I208/12*3,0))))))</f>
        <v>0</v>
      </c>
      <c r="CH208" s="443">
        <f>IF($H208&lt;&gt;CI$5,0,IF(CI208&lt;0,IF(OR($J208=1,$J208=2,$J208=3,$J208=4,$J208=5,$J208=6,$J208=7,$J208=8,$J208=9,$J208=10),-$E208*$I208/12*3,IF($J208=11,-$E208*$I208/12*2,IF($J208=12,-$E208*$I208/12*1,0)))))+IF(CD$5&lt;&gt;$H208,0,IF(CD208&lt;0,IF($J208=10,-$E208*$I208/12*0,IF($J208=11,-$E208*$I208/12*1,IF($J208=12,-$E208*$I208/12*2,0)))))</f>
        <v>0</v>
      </c>
      <c r="CI208" s="440">
        <f>IF(AND(CD208&lt;&gt;0,CD$5=$H208),-$I208*$E208-CD208,IF(CI$5=$H208,-$I208*$E208*(12-$J208+1)/12,0))</f>
        <v>0</v>
      </c>
      <c r="CJ208" s="441">
        <f>IF($H208&lt;&gt;CN$5,0,IF(CN208&lt;0,IF($J208=1,-$E208*$I208/12*3,IF($J208=2,-$E208*$I208/12*2,IF($J208=3,-$E208*$I208/12*1,0)))))+IF(CI$5&lt;&gt;$H208,0,IF(CI208&lt;0,IF($J208=1,-$E208*$I208/12*0,IF($J208=2,-$E208*$I208/12*1,IF($J208=3,-$E208*$I208/12*2,IF($J208&gt;=4,-$E208*$I208/12*3,0))))))</f>
        <v>0</v>
      </c>
      <c r="CK208" s="442">
        <f>IF($H208&lt;&gt;CN$5,0,IF(CN208&lt;0,IF(OR($J208=1,$J208=2,$J208=3,$J208=4),-$E208*$I208/12*3,IF($J208=5,-$E208*$I208/12*2,IF($J208=6,-$E208*$I208/12*1,0)))))+IF(CI$5&lt;&gt;$H208,0,IF(CI208&lt;0,IF($J208=4,-$E208*$I208/12*0,IF($J208=5,-$E208*$I208/12*1,IF($J208=6,-$E208*$I208/12*2,IF($J208&gt;=7,-$E208*$I208/12*3,0))))))</f>
        <v>0</v>
      </c>
      <c r="CL208" s="442">
        <f>IF($H208&lt;&gt;CN$5,0,IF(CN208&lt;0,IF(OR($J208=1,$J208=2,$J208=3,$J208=4,$J208=5,$J208=6,$J208=7),-$E208*$I208/12*3,IF($J208=8,-$E208*$I208/12*2,IF($J208=9,-$E208*$I208/12*1,0)))))+IF(CI$5&lt;&gt;$H208,0,IF(CI208&lt;0,IF($J208=7,-$E208*$I208/12*0,IF($J208=8,-$E208*$I208/12*1,IF($J208=9,-$E208*$I208/12*2,IF($J208&gt;=10,-$E208*$I208/12*3,0))))))</f>
        <v>0</v>
      </c>
      <c r="CM208" s="443">
        <f>IF($H208&lt;&gt;CN$5,0,IF(CN208&lt;0,IF(OR($J208=1,$J208=2,$J208=3,$J208=4,$J208=5,$J208=6,$J208=7,$J208=8,$J208=9,$J208=10),-$E208*$I208/12*3,IF($J208=11,-$E208*$I208/12*2,IF($J208=12,-$E208*$I208/12*1,0)))))+IF(CI$5&lt;&gt;$H208,0,IF(CI208&lt;0,IF($J208=10,-$E208*$I208/12*0,IF($J208=11,-$E208*$I208/12*1,IF($J208=12,-$E208*$I208/12*2,0)))))</f>
        <v>0</v>
      </c>
      <c r="CN208" s="440">
        <f>IF(AND(CI208&lt;&gt;0,CI$5=$H208),-$I208*$E208-CI208,IF(CN$5=$H208,-$I208*$E208*(12-$J208+1)/12,0))</f>
        <v>0</v>
      </c>
      <c r="CO208" s="441">
        <f>IF($H208&lt;&gt;CS$5,0,IF(CS208&lt;0,IF($J208=1,-$E208*$I208/12*3,IF($J208=2,-$E208*$I208/12*2,IF($J208=3,-$E208*$I208/12*1,0)))))+IF(CN$5&lt;&gt;$H208,0,IF(CN208&lt;0,IF($J208=1,-$E208*$I208/12*0,IF($J208=2,-$E208*$I208/12*1,IF($J208=3,-$E208*$I208/12*2,IF($J208&gt;=4,-$E208*$I208/12*3,0))))))</f>
        <v>0</v>
      </c>
      <c r="CP208" s="442">
        <f>IF($H208&lt;&gt;CS$5,0,IF(CS208&lt;0,IF(OR($J208=1,$J208=2,$J208=3,$J208=4),-$E208*$I208/12*3,IF($J208=5,-$E208*$I208/12*2,IF($J208=6,-$E208*$I208/12*1,0)))))+IF(CN$5&lt;&gt;$H208,0,IF(CN208&lt;0,IF($J208=4,-$E208*$I208/12*0,IF($J208=5,-$E208*$I208/12*1,IF($J208=6,-$E208*$I208/12*2,IF($J208&gt;=7,-$E208*$I208/12*3,0))))))</f>
        <v>0</v>
      </c>
      <c r="CQ208" s="442">
        <f>IF($H208&lt;&gt;CS$5,0,IF(CS208&lt;0,IF(OR($J208=1,$J208=2,$J208=3,$J208=4,$J208=5,$J208=6,$J208=7),-$E208*$I208/12*3,IF($J208=8,-$E208*$I208/12*2,IF($J208=9,-$E208*$I208/12*1,0)))))+IF(CN$5&lt;&gt;$H208,0,IF(CN208&lt;0,IF($J208=7,-$E208*$I208/12*0,IF($J208=8,-$E208*$I208/12*1,IF($J208=9,-$E208*$I208/12*2,IF($J208&gt;=10,-$E208*$I208/12*3,0))))))</f>
        <v>0</v>
      </c>
      <c r="CR208" s="443">
        <f>IF($H208&lt;&gt;CS$5,0,IF(CS208&lt;0,IF(OR($J208=1,$J208=2,$J208=3,$J208=4,$J208=5,$J208=6,$J208=7,$J208=8,$J208=9,$J208=10),-$E208*$I208/12*3,IF($J208=11,-$E208*$I208/12*2,IF($J208=12,-$E208*$I208/12*1,0)))))+IF(CN$5&lt;&gt;$H208,0,IF(CN208&lt;0,IF($J208=10,-$E208*$I208/12*0,IF($J208=11,-$E208*$I208/12*1,IF($J208=12,-$E208*$I208/12*2,0)))))</f>
        <v>0</v>
      </c>
      <c r="CS208" s="440">
        <f>IF(AND(CN208&lt;&gt;0,CN$5=$H208),-$I208*$E208-CN208,IF(CS$5=$H208,-$I208*$E208*(12-$J208+1)/12,0))</f>
        <v>0</v>
      </c>
      <c r="CT208" s="441">
        <f>IF($H208&lt;&gt;CX$5,0,IF(CX208&lt;0,IF($J208=1,-$E208*$I208/12*3,IF($J208=2,-$E208*$I208/12*2,IF($J208=3,-$E208*$I208/12*1,0)))))+IF(CS$5&lt;&gt;$H208,0,IF(CS208&lt;0,IF($J208=1,-$E208*$I208/12*0,IF($J208=2,-$E208*$I208/12*1,IF($J208=3,-$E208*$I208/12*2,IF($J208&gt;=4,-$E208*$I208/12*3,0))))))</f>
        <v>0</v>
      </c>
      <c r="CU208" s="442">
        <f>IF($H208&lt;&gt;CX$5,0,IF(CX208&lt;0,IF(OR($J208=1,$J208=2,$J208=3,$J208=4),-$E208*$I208/12*3,IF($J208=5,-$E208*$I208/12*2,IF($J208=6,-$E208*$I208/12*1,0)))))+IF(CS$5&lt;&gt;$H208,0,IF(CS208&lt;0,IF($J208=4,-$E208*$I208/12*0,IF($J208=5,-$E208*$I208/12*1,IF($J208=6,-$E208*$I208/12*2,IF($J208&gt;=7,-$E208*$I208/12*3,0))))))</f>
        <v>0</v>
      </c>
      <c r="CV208" s="442">
        <f>IF($H208&lt;&gt;CX$5,0,IF(CX208&lt;0,IF(OR($J208=1,$J208=2,$J208=3,$J208=4,$J208=5,$J208=6,$J208=7),-$E208*$I208/12*3,IF($J208=8,-$E208*$I208/12*2,IF($J208=9,-$E208*$I208/12*1,0)))))+IF(CS$5&lt;&gt;$H208,0,IF(CS208&lt;0,IF($J208=7,-$E208*$I208/12*0,IF($J208=8,-$E208*$I208/12*1,IF($J208=9,-$E208*$I208/12*2,IF($J208&gt;=10,-$E208*$I208/12*3,0))))))</f>
        <v>0</v>
      </c>
      <c r="CW208" s="443">
        <f>IF($H208&lt;&gt;CX$5,0,IF(CX208&lt;0,IF(OR($J208=1,$J208=2,$J208=3,$J208=4,$J208=5,$J208=6,$J208=7,$J208=8,$J208=9,$J208=10),-$E208*$I208/12*3,IF($J208=11,-$E208*$I208/12*2,IF($J208=12,-$E208*$I208/12*1,0)))))+IF(CS$5&lt;&gt;$H208,0,IF(CS208&lt;0,IF($J208=10,-$E208*$I208/12*0,IF($J208=11,-$E208*$I208/12*1,IF($J208=12,-$E208*$I208/12*2,0)))))</f>
        <v>0</v>
      </c>
      <c r="CX208" s="440">
        <f>IF(AND(CS208&lt;&gt;0,CS$5=$H208),-$I208*$E208-CS208,IF(CX$5=$H208,-$I208*$E208*(12-$J208+1)/12,0))</f>
        <v>0</v>
      </c>
      <c r="CY208" s="441">
        <f>IF($H208&lt;&gt;DC$5,0,IF(DC208&lt;0,IF($J208=1,-$E208*$I208/12*3,IF($J208=2,-$E208*$I208/12*2,IF($J208=3,-$E208*$I208/12*1,0)))))+IF(CX$5&lt;&gt;$H208,0,IF(CX208&lt;0,IF($J208=1,-$E208*$I208/12*0,IF($J208=2,-$E208*$I208/12*1,IF($J208=3,-$E208*$I208/12*2,IF($J208&gt;=4,-$E208*$I208/12*3,0))))))</f>
        <v>0</v>
      </c>
      <c r="CZ208" s="442">
        <f>IF($H208&lt;&gt;DC$5,0,IF(DC208&lt;0,IF(OR($J208=1,$J208=2,$J208=3,$J208=4),-$E208*$I208/12*3,IF($J208=5,-$E208*$I208/12*2,IF($J208=6,-$E208*$I208/12*1,0)))))+IF(CX$5&lt;&gt;$H208,0,IF(CX208&lt;0,IF($J208=4,-$E208*$I208/12*0,IF($J208=5,-$E208*$I208/12*1,IF($J208=6,-$E208*$I208/12*2,IF($J208&gt;=7,-$E208*$I208/12*3,0))))))</f>
        <v>0</v>
      </c>
      <c r="DA208" s="442">
        <f>IF($H208&lt;&gt;DC$5,0,IF(DC208&lt;0,IF(OR($J208=1,$J208=2,$J208=3,$J208=4,$J208=5,$J208=6,$J208=7),-$E208*$I208/12*3,IF($J208=8,-$E208*$I208/12*2,IF($J208=9,-$E208*$I208/12*1,0)))))+IF(CX$5&lt;&gt;$H208,0,IF(CX208&lt;0,IF($J208=7,-$E208*$I208/12*0,IF($J208=8,-$E208*$I208/12*1,IF($J208=9,-$E208*$I208/12*2,IF($J208&gt;=10,-$E208*$I208/12*3,0))))))</f>
        <v>0</v>
      </c>
      <c r="DB208" s="443">
        <f>IF($H208&lt;&gt;DC$5,0,IF(DC208&lt;0,IF(OR($J208=1,$J208=2,$J208=3,$J208=4,$J208=5,$J208=6,$J208=7,$J208=8,$J208=9,$J208=10),-$E208*$I208/12*3,IF($J208=11,-$E208*$I208/12*2,IF($J208=12,-$E208*$I208/12*1,0)))))+IF(CX$5&lt;&gt;$H208,0,IF(CX208&lt;0,IF($J208=10,-$E208*$I208/12*0,IF($J208=11,-$E208*$I208/12*1,IF($J208=12,-$E208*$I208/12*2,0)))))</f>
        <v>0</v>
      </c>
      <c r="DC208" s="440">
        <f>IF(AND(CX208&lt;&gt;0,CX$5=$H208),-$I208*$E208-CX208,IF(DC$5=$H208,-$I208*$E208*(12-$J208+1)/12,0))</f>
        <v>0</v>
      </c>
      <c r="DD208" s="441">
        <f>IF($H208&lt;&gt;DH$5,0,IF(DH208&lt;0,IF($J208=1,-$E208*$I208/12*3,IF($J208=2,-$E208*$I208/12*2,IF($J208=3,-$E208*$I208/12*1,0)))))+IF(DC$5&lt;&gt;$H208,0,IF(DC208&lt;0,IF($J208=1,-$E208*$I208/12*0,IF($J208=2,-$E208*$I208/12*1,IF($J208=3,-$E208*$I208/12*2,IF($J208&gt;=4,-$E208*$I208/12*3,0))))))</f>
        <v>0</v>
      </c>
      <c r="DE208" s="442">
        <f>IF($H208&lt;&gt;DH$5,0,IF(DH208&lt;0,IF(OR($J208=1,$J208=2,$J208=3,$J208=4),-$E208*$I208/12*3,IF($J208=5,-$E208*$I208/12*2,IF($J208=6,-$E208*$I208/12*1,0)))))+IF(DC$5&lt;&gt;$H208,0,IF(DC208&lt;0,IF($J208=4,-$E208*$I208/12*0,IF($J208=5,-$E208*$I208/12*1,IF($J208=6,-$E208*$I208/12*2,IF($J208&gt;=7,-$E208*$I208/12*3,0))))))</f>
        <v>0</v>
      </c>
      <c r="DF208" s="442">
        <f>IF($H208&lt;&gt;DH$5,0,IF(DH208&lt;0,IF(OR($J208=1,$J208=2,$J208=3,$J208=4,$J208=5,$J208=6,$J208=7),-$E208*$I208/12*3,IF($J208=8,-$E208*$I208/12*2,IF($J208=9,-$E208*$I208/12*1,0)))))+IF(DC$5&lt;&gt;$H208,0,IF(DC208&lt;0,IF($J208=7,-$E208*$I208/12*0,IF($J208=8,-$E208*$I208/12*1,IF($J208=9,-$E208*$I208/12*2,IF($J208&gt;=10,-$E208*$I208/12*3,0))))))</f>
        <v>0</v>
      </c>
      <c r="DG208" s="443">
        <f>IF($H208&lt;&gt;DH$5,0,IF(DH208&lt;0,IF(OR($J208=1,$J208=2,$J208=3,$J208=4,$J208=5,$J208=6,$J208=7,$J208=8,$J208=9,$J208=10),-$E208*$I208/12*3,IF($J208=11,-$E208*$I208/12*2,IF($J208=12,-$E208*$I208/12*1,0)))))+IF(DC$5&lt;&gt;$H208,0,IF(DC208&lt;0,IF($J208=10,-$E208*$I208/12*0,IF($J208=11,-$E208*$I208/12*1,IF($J208=12,-$E208*$I208/12*2,0)))))</f>
        <v>0</v>
      </c>
      <c r="DH208" s="440">
        <f>IF(AND(DC208&lt;&gt;0,DC$5=$H208),-$I208*$E208-DC208,IF(DH$5=$H208,-$I208*$E208*(12-$J208+1)/12,0))</f>
        <v>0</v>
      </c>
      <c r="DI208" s="441">
        <f>IF($H208&lt;&gt;DM$5,0,IF(DM208&lt;0,IF($J208=1,-$E208*$I208/12*3,IF($J208=2,-$E208*$I208/12*2,IF($J208=3,-$E208*$I208/12*1,0)))))+IF(DH$5&lt;&gt;$H208,0,IF(DH208&lt;0,IF($J208=1,-$E208*$I208/12*0,IF($J208=2,-$E208*$I208/12*1,IF($J208=3,-$E208*$I208/12*2,IF($J208&gt;=4,-$E208*$I208/12*3,0))))))</f>
        <v>0</v>
      </c>
      <c r="DJ208" s="442">
        <f>IF($H208&lt;&gt;DM$5,0,IF(DM208&lt;0,IF(OR($J208=1,$J208=2,$J208=3,$J208=4),-$E208*$I208/12*3,IF($J208=5,-$E208*$I208/12*2,IF($J208=6,-$E208*$I208/12*1,0)))))+IF(DH$5&lt;&gt;$H208,0,IF(DH208&lt;0,IF($J208=4,-$E208*$I208/12*0,IF($J208=5,-$E208*$I208/12*1,IF($J208=6,-$E208*$I208/12*2,IF($J208&gt;=7,-$E208*$I208/12*3,0))))))</f>
        <v>0</v>
      </c>
      <c r="DK208" s="442">
        <f>IF($H208&lt;&gt;DM$5,0,IF(DM208&lt;0,IF(OR($J208=1,$J208=2,$J208=3,$J208=4,$J208=5,$J208=6,$J208=7),-$E208*$I208/12*3,IF($J208=8,-$E208*$I208/12*2,IF($J208=9,-$E208*$I208/12*1,0)))))+IF(DH$5&lt;&gt;$H208,0,IF(DH208&lt;0,IF($J208=7,-$E208*$I208/12*0,IF($J208=8,-$E208*$I208/12*1,IF($J208=9,-$E208*$I208/12*2,IF($J208&gt;=10,-$E208*$I208/12*3,0))))))</f>
        <v>0</v>
      </c>
      <c r="DL208" s="443">
        <f>IF($H208&lt;&gt;DM$5,0,IF(DM208&lt;0,IF(OR($J208=1,$J208=2,$J208=3,$J208=4,$J208=5,$J208=6,$J208=7,$J208=8,$J208=9,$J208=10),-$E208*$I208/12*3,IF($J208=11,-$E208*$I208/12*2,IF($J208=12,-$E208*$I208/12*1,0)))))+IF(DH$5&lt;&gt;$H208,0,IF(DH208&lt;0,IF($J208=10,-$E208*$I208/12*0,IF($J208=11,-$E208*$I208/12*1,IF($J208=12,-$E208*$I208/12*2,0)))))</f>
        <v>0</v>
      </c>
      <c r="DM208" s="440">
        <f>IF(AND(DH208&lt;&gt;0,DH$5=$H208),-$I208*$E208-DH208,IF(DM$5=$H208,-$I208*$E208*(12-$J208+1)/12,0))</f>
        <v>0</v>
      </c>
      <c r="DN208" s="441">
        <f>IF($H208&lt;&gt;DR$5,0,IF(DR208&lt;0,IF($J208=1,-$E208*$I208/12*3,IF($J208=2,-$E208*$I208/12*2,IF($J208=3,-$E208*$I208/12*1,0)))))+IF(DM$5&lt;&gt;$H208,0,IF(DM208&lt;0,IF($J208=1,-$E208*$I208/12*0,IF($J208=2,-$E208*$I208/12*1,IF($J208=3,-$E208*$I208/12*2,IF($J208&gt;=4,-$E208*$I208/12*3,0))))))</f>
        <v>0</v>
      </c>
      <c r="DO208" s="442">
        <f>IF($H208&lt;&gt;DR$5,0,IF(DR208&lt;0,IF(OR($J208=1,$J208=2,$J208=3,$J208=4),-$E208*$I208/12*3,IF($J208=5,-$E208*$I208/12*2,IF($J208=6,-$E208*$I208/12*1,0)))))+IF(DM$5&lt;&gt;$H208,0,IF(DM208&lt;0,IF($J208=4,-$E208*$I208/12*0,IF($J208=5,-$E208*$I208/12*1,IF($J208=6,-$E208*$I208/12*2,IF($J208&gt;=7,-$E208*$I208/12*3,0))))))</f>
        <v>0</v>
      </c>
      <c r="DP208" s="442">
        <f>IF($H208&lt;&gt;DR$5,0,IF(DR208&lt;0,IF(OR($J208=1,$J208=2,$J208=3,$J208=4,$J208=5,$J208=6,$J208=7),-$E208*$I208/12*3,IF($J208=8,-$E208*$I208/12*2,IF($J208=9,-$E208*$I208/12*1,0)))))+IF(DM$5&lt;&gt;$H208,0,IF(DM208&lt;0,IF($J208=7,-$E208*$I208/12*0,IF($J208=8,-$E208*$I208/12*1,IF($J208=9,-$E208*$I208/12*2,IF($J208&gt;=10,-$E208*$I208/12*3,0))))))</f>
        <v>0</v>
      </c>
      <c r="DQ208" s="443">
        <f>IF($H208&lt;&gt;DR$5,0,IF(DR208&lt;0,IF(OR($J208=1,$J208=2,$J208=3,$J208=4,$J208=5,$J208=6,$J208=7,$J208=8,$J208=9,$J208=10),-$E208*$I208/12*3,IF($J208=11,-$E208*$I208/12*2,IF($J208=12,-$E208*$I208/12*1,0)))))+IF(DM$5&lt;&gt;$H208,0,IF(DM208&lt;0,IF($J208=10,-$E208*$I208/12*0,IF($J208=11,-$E208*$I208/12*1,IF($J208=12,-$E208*$I208/12*2,0)))))</f>
        <v>0</v>
      </c>
      <c r="DR208" s="440">
        <f>IF(AND(DM208&lt;&gt;0,DM$5=$H208),-$I208*$E208-DM208,IF(DR$5=$H208,-$I208*$E208*(12-$J208+1)/12,0))</f>
        <v>0</v>
      </c>
    </row>
    <row r="209" spans="3:122" ht="12.75" customHeight="1">
      <c r="C209" s="1590" t="s">
        <v>95</v>
      </c>
      <c r="D209" s="395"/>
      <c r="E209" s="1950">
        <f>IF(F209=0,G209,F209)</f>
        <v>29.024999999999999</v>
      </c>
      <c r="F209" s="1945">
        <v>29.024999999999999</v>
      </c>
      <c r="G209" s="1945">
        <v>29.024999999999999</v>
      </c>
      <c r="H209" s="1366">
        <v>2027</v>
      </c>
      <c r="I209" s="1367">
        <v>5.5224999999999996E-2</v>
      </c>
      <c r="J209" s="1357">
        <v>7</v>
      </c>
      <c r="K209" s="549"/>
      <c r="L209" s="441">
        <f t="shared" si="2664"/>
        <v>0</v>
      </c>
      <c r="M209" s="442">
        <f t="shared" si="2665"/>
        <v>0</v>
      </c>
      <c r="N209" s="442">
        <f t="shared" si="2666"/>
        <v>0</v>
      </c>
      <c r="O209" s="443">
        <f t="shared" si="2667"/>
        <v>0</v>
      </c>
      <c r="P209" s="440">
        <f t="shared" si="2668"/>
        <v>0</v>
      </c>
      <c r="Q209" s="441">
        <f t="shared" si="2669"/>
        <v>0</v>
      </c>
      <c r="R209" s="442">
        <f t="shared" si="2670"/>
        <v>0</v>
      </c>
      <c r="S209" s="442">
        <f t="shared" si="2671"/>
        <v>0</v>
      </c>
      <c r="T209" s="443">
        <f t="shared" si="2672"/>
        <v>0</v>
      </c>
      <c r="U209" s="440">
        <f t="shared" si="2673"/>
        <v>0</v>
      </c>
      <c r="V209" s="441">
        <f t="shared" si="2674"/>
        <v>0</v>
      </c>
      <c r="W209" s="442">
        <f t="shared" si="2675"/>
        <v>0</v>
      </c>
      <c r="X209" s="442">
        <f t="shared" si="2676"/>
        <v>0</v>
      </c>
      <c r="Y209" s="443">
        <f t="shared" si="2677"/>
        <v>0</v>
      </c>
      <c r="Z209" s="440">
        <f t="shared" si="2678"/>
        <v>0</v>
      </c>
      <c r="AA209" s="441">
        <f t="shared" si="2679"/>
        <v>0</v>
      </c>
      <c r="AB209" s="442">
        <f t="shared" si="2680"/>
        <v>0</v>
      </c>
      <c r="AC209" s="442">
        <f t="shared" si="2681"/>
        <v>0</v>
      </c>
      <c r="AD209" s="443">
        <f t="shared" si="2682"/>
        <v>0</v>
      </c>
      <c r="AE209" s="440">
        <f t="shared" si="2683"/>
        <v>0</v>
      </c>
      <c r="AF209" s="441">
        <f t="shared" si="2684"/>
        <v>0</v>
      </c>
      <c r="AG209" s="442">
        <f t="shared" si="2685"/>
        <v>0</v>
      </c>
      <c r="AH209" s="442">
        <f t="shared" si="2686"/>
        <v>0</v>
      </c>
      <c r="AI209" s="443">
        <f t="shared" si="2687"/>
        <v>0</v>
      </c>
      <c r="AJ209" s="440">
        <f t="shared" si="2688"/>
        <v>0</v>
      </c>
      <c r="AK209" s="441">
        <f t="shared" si="2689"/>
        <v>0</v>
      </c>
      <c r="AL209" s="442">
        <f t="shared" si="2690"/>
        <v>0</v>
      </c>
      <c r="AM209" s="442">
        <f t="shared" si="2691"/>
        <v>0</v>
      </c>
      <c r="AN209" s="443">
        <f t="shared" si="2692"/>
        <v>0</v>
      </c>
      <c r="AO209" s="440">
        <f t="shared" si="2693"/>
        <v>0</v>
      </c>
      <c r="AP209" s="441">
        <f t="shared" si="2694"/>
        <v>0</v>
      </c>
      <c r="AQ209" s="442">
        <f t="shared" si="2695"/>
        <v>0</v>
      </c>
      <c r="AR209" s="442">
        <f t="shared" si="2696"/>
        <v>0</v>
      </c>
      <c r="AS209" s="443">
        <f t="shared" si="2697"/>
        <v>0</v>
      </c>
      <c r="AT209" s="440">
        <f t="shared" si="2698"/>
        <v>0</v>
      </c>
      <c r="AU209" s="441">
        <f t="shared" si="2699"/>
        <v>0</v>
      </c>
      <c r="AV209" s="442">
        <f t="shared" si="2700"/>
        <v>0</v>
      </c>
      <c r="AW209" s="442">
        <f t="shared" si="2701"/>
        <v>0</v>
      </c>
      <c r="AX209" s="443">
        <f t="shared" si="2702"/>
        <v>0</v>
      </c>
      <c r="AY209" s="440">
        <f t="shared" si="2703"/>
        <v>0</v>
      </c>
      <c r="AZ209" s="441">
        <f t="shared" si="2704"/>
        <v>0</v>
      </c>
      <c r="BA209" s="442">
        <f t="shared" si="2705"/>
        <v>0</v>
      </c>
      <c r="BB209" s="442">
        <f t="shared" si="2706"/>
        <v>0</v>
      </c>
      <c r="BC209" s="443">
        <f t="shared" si="2707"/>
        <v>0</v>
      </c>
      <c r="BD209" s="440">
        <f t="shared" si="2708"/>
        <v>0</v>
      </c>
      <c r="BE209" s="441">
        <f t="shared" si="2709"/>
        <v>0</v>
      </c>
      <c r="BF209" s="442">
        <f t="shared" si="2710"/>
        <v>0</v>
      </c>
      <c r="BG209" s="442">
        <f t="shared" si="2711"/>
        <v>0</v>
      </c>
      <c r="BH209" s="443">
        <f t="shared" si="2712"/>
        <v>0</v>
      </c>
      <c r="BI209" s="440">
        <f t="shared" si="2713"/>
        <v>0</v>
      </c>
      <c r="BJ209" s="441">
        <f t="shared" si="2714"/>
        <v>0</v>
      </c>
      <c r="BK209" s="442">
        <f t="shared" si="2715"/>
        <v>0</v>
      </c>
      <c r="BL209" s="442">
        <f t="shared" si="2716"/>
        <v>0</v>
      </c>
      <c r="BM209" s="443">
        <f t="shared" si="2717"/>
        <v>0</v>
      </c>
      <c r="BN209" s="440">
        <f t="shared" si="2718"/>
        <v>0</v>
      </c>
      <c r="BO209" s="470"/>
      <c r="BP209" s="441">
        <f>IF($H209&lt;&gt;BT$5,0,IF(BT209&lt;0,IF($J209=1,-$E209*$I209/12*3,IF($J209=2,-$E209*$I209/12*2,IF($J209=3,-$E209*$I209/12*1,0)))))+IF(BO$5&lt;&gt;$H209,0,IF(BO209&lt;0,IF($J209=1,-$E209*$I209/12*0,IF($J209=2,-$E209*$I209/12*1,IF($J209=3,-$E209*$I209/12*2,IF($J209&gt;=4,-$E209*$I209/12*3,0))))))</f>
        <v>0</v>
      </c>
      <c r="BQ209" s="442">
        <f>IF($H209&lt;&gt;BT$5,0,IF(BT209&lt;0,IF(OR($J209=1,$J209=2,$J209=3,$J209=4),-$E209*$I209/12*3,IF($J209=5,-$E209*$I209/12*2,IF($J209=6,-$E209*$I209/12*1,0)))))+IF(BO$5&lt;&gt;$H209,0,IF(BO209&lt;0,IF($J209=4,-$E209*$I209/12*0,IF($J209=5,-$E209*$I209/12*1,IF($J209=6,-$E209*$I209/12*2,IF($J209&gt;=7,-$E209*$I209/12*3,0))))))</f>
        <v>0</v>
      </c>
      <c r="BR209" s="442">
        <f>IF($H209&lt;&gt;BT$5,0,IF(BT209&lt;0,IF(OR($J209=1,$J209=2,$J209=3,$J209=4,$J209=5,$J209=6,$J209=7),-$E209*$I209/12*3,IF($J209=8,-$E209*$I209/12*2,IF($J209=9,-$E209*$I209/12*1,0)))))+IF(BO$5&lt;&gt;$H209,0,IF(BO209&lt;0,IF($J209=7,-$E209*$I209/12*0,IF($J209=8,-$E209*$I209/12*1,IF($J209=9,-$E209*$I209/12*2,IF($J209&gt;=10,-$E209*$I209/12*3,0))))))</f>
        <v>0</v>
      </c>
      <c r="BS209" s="443">
        <f>IF($H209&lt;&gt;BT$5,0,IF(BT209&lt;0,IF(OR($J209=1,$J209=2,$J209=3,$J209=4,$J209=5,$J209=6,$J209=7,$J209=8,$J209=9,$J209=10),-$E209*$I209/12*3,IF($J209=11,-$E209*$I209/12*2,IF($J209=12,-$E209*$I209/12*1,0)))))+IF(BO$5&lt;&gt;$H209,0,IF(BO209&lt;0,IF($J209=10,-$E209*$I209/12*0,IF($J209=11,-$E209*$I209/12*1,IF($J209=12,-$E209*$I209/12*2,0)))))</f>
        <v>0</v>
      </c>
      <c r="BT209" s="440">
        <f>IF(AND(BO209&lt;&gt;0,BO$5=$H209),-$I209*$E209-BO209,IF(BT$5=$H209,-$I209*$E209*(12-$J209+1)/12,0))</f>
        <v>0</v>
      </c>
      <c r="BU209" s="441">
        <f>IF($H209&lt;&gt;BY$5,0,IF(BY209&lt;0,IF($J209=1,-$E209*$I209/12*3,IF($J209=2,-$E209*$I209/12*2,IF($J209=3,-$E209*$I209/12*1,0)))))+IF(BT$5&lt;&gt;$H209,0,IF(BT209&lt;0,IF($J209=1,-$E209*$I209/12*0,IF($J209=2,-$E209*$I209/12*1,IF($J209=3,-$E209*$I209/12*2,IF($J209&gt;=4,-$E209*$I209/12*3,0))))))</f>
        <v>0</v>
      </c>
      <c r="BV209" s="442">
        <f>IF($H209&lt;&gt;BY$5,0,IF(BY209&lt;0,IF(OR($J209=1,$J209=2,$J209=3,$J209=4),-$E209*$I209/12*3,IF($J209=5,-$E209*$I209/12*2,IF($J209=6,-$E209*$I209/12*1,0)))))+IF(BT$5&lt;&gt;$H209,0,IF(BT209&lt;0,IF($J209=4,-$E209*$I209/12*0,IF($J209=5,-$E209*$I209/12*1,IF($J209=6,-$E209*$I209/12*2,IF($J209&gt;=7,-$E209*$I209/12*3,0))))))</f>
        <v>0</v>
      </c>
      <c r="BW209" s="442">
        <f>IF($H209&lt;&gt;BY$5,0,IF(BY209&lt;0,IF(OR($J209=1,$J209=2,$J209=3,$J209=4,$J209=5,$J209=6,$J209=7),-$E209*$I209/12*3,IF($J209=8,-$E209*$I209/12*2,IF($J209=9,-$E209*$I209/12*1,0)))))+IF(BT$5&lt;&gt;$H209,0,IF(BT209&lt;0,IF($J209=7,-$E209*$I209/12*0,IF($J209=8,-$E209*$I209/12*1,IF($J209=9,-$E209*$I209/12*2,IF($J209&gt;=10,-$E209*$I209/12*3,0))))))</f>
        <v>0</v>
      </c>
      <c r="BX209" s="443">
        <f>IF($H209&lt;&gt;BY$5,0,IF(BY209&lt;0,IF(OR($J209=1,$J209=2,$J209=3,$J209=4,$J209=5,$J209=6,$J209=7,$J209=8,$J209=9,$J209=10),-$E209*$I209/12*3,IF($J209=11,-$E209*$I209/12*2,IF($J209=12,-$E209*$I209/12*1,0)))))+IF(BT$5&lt;&gt;$H209,0,IF(BT209&lt;0,IF($J209=10,-$E209*$I209/12*0,IF($J209=11,-$E209*$I209/12*1,IF($J209=12,-$E209*$I209/12*2,0)))))</f>
        <v>0</v>
      </c>
      <c r="BY209" s="440">
        <f>IF(AND(BT209&lt;&gt;0,BT$5=$H209),-$I209*$E209-BT209,IF(BY$5=$H209,-$I209*$E209*(12-$J209+1)/12,0))</f>
        <v>0</v>
      </c>
      <c r="BZ209" s="441">
        <f>IF($H209&lt;&gt;CD$5,0,IF(CD209&lt;0,IF($J209=1,-$E209*$I209/12*3,IF($J209=2,-$E209*$I209/12*2,IF($J209=3,-$E209*$I209/12*1,0)))))+IF(BY$5&lt;&gt;$H209,0,IF(BY209&lt;0,IF($J209=1,-$E209*$I209/12*0,IF($J209=2,-$E209*$I209/12*1,IF($J209=3,-$E209*$I209/12*2,IF($J209&gt;=4,-$E209*$I209/12*3,0))))))</f>
        <v>0</v>
      </c>
      <c r="CA209" s="442">
        <f>IF($H209&lt;&gt;CD$5,0,IF(CD209&lt;0,IF(OR($J209=1,$J209=2,$J209=3,$J209=4),-$E209*$I209/12*3,IF($J209=5,-$E209*$I209/12*2,IF($J209=6,-$E209*$I209/12*1,0)))))+IF(BY$5&lt;&gt;$H209,0,IF(BY209&lt;0,IF($J209=4,-$E209*$I209/12*0,IF($J209=5,-$E209*$I209/12*1,IF($J209=6,-$E209*$I209/12*2,IF($J209&gt;=7,-$E209*$I209/12*3,0))))))</f>
        <v>0</v>
      </c>
      <c r="CB209" s="442">
        <f>IF($H209&lt;&gt;CD$5,0,IF(CD209&lt;0,IF(OR($J209=1,$J209=2,$J209=3,$J209=4,$J209=5,$J209=6,$J209=7),-$E209*$I209/12*3,IF($J209=8,-$E209*$I209/12*2,IF($J209=9,-$E209*$I209/12*1,0)))))+IF(BY$5&lt;&gt;$H209,0,IF(BY209&lt;0,IF($J209=7,-$E209*$I209/12*0,IF($J209=8,-$E209*$I209/12*1,IF($J209=9,-$E209*$I209/12*2,IF($J209&gt;=10,-$E209*$I209/12*3,0))))))</f>
        <v>0</v>
      </c>
      <c r="CC209" s="443">
        <f>IF($H209&lt;&gt;CD$5,0,IF(CD209&lt;0,IF(OR($J209=1,$J209=2,$J209=3,$J209=4,$J209=5,$J209=6,$J209=7,$J209=8,$J209=9,$J209=10),-$E209*$I209/12*3,IF($J209=11,-$E209*$I209/12*2,IF($J209=12,-$E209*$I209/12*1,0)))))+IF(BY$5&lt;&gt;$H209,0,IF(BY209&lt;0,IF($J209=10,-$E209*$I209/12*0,IF($J209=11,-$E209*$I209/12*1,IF($J209=12,-$E209*$I209/12*2,0)))))</f>
        <v>0</v>
      </c>
      <c r="CD209" s="440">
        <f>IF(AND(BY209&lt;&gt;0,BY$5=$H209),-$I209*$E209-BY209,IF(CD$5=$H209,-$I209*$E209*(12-$J209+1)/12,0))</f>
        <v>0</v>
      </c>
      <c r="CE209" s="441">
        <f>IF($H209&lt;&gt;CI$5,0,IF(CI209&lt;0,IF($J209=1,-$E209*$I209/12*3,IF($J209=2,-$E209*$I209/12*2,IF($J209=3,-$E209*$I209/12*1,0)))))+IF(CD$5&lt;&gt;$H209,0,IF(CD209&lt;0,IF($J209=1,-$E209*$I209/12*0,IF($J209=2,-$E209*$I209/12*1,IF($J209=3,-$E209*$I209/12*2,IF($J209&gt;=4,-$E209*$I209/12*3,0))))))</f>
        <v>0</v>
      </c>
      <c r="CF209" s="442">
        <f>IF($H209&lt;&gt;CI$5,0,IF(CI209&lt;0,IF(OR($J209=1,$J209=2,$J209=3,$J209=4),-$E209*$I209/12*3,IF($J209=5,-$E209*$I209/12*2,IF($J209=6,-$E209*$I209/12*1,0)))))+IF(CD$5&lt;&gt;$H209,0,IF(CD209&lt;0,IF($J209=4,-$E209*$I209/12*0,IF($J209=5,-$E209*$I209/12*1,IF($J209=6,-$E209*$I209/12*2,IF($J209&gt;=7,-$E209*$I209/12*3,0))))))</f>
        <v>0</v>
      </c>
      <c r="CG209" s="442">
        <f>IF($H209&lt;&gt;CI$5,0,IF(CI209&lt;0,IF(OR($J209=1,$J209=2,$J209=3,$J209=4,$J209=5,$J209=6,$J209=7),-$E209*$I209/12*3,IF($J209=8,-$E209*$I209/12*2,IF($J209=9,-$E209*$I209/12*1,0)))))+IF(CD$5&lt;&gt;$H209,0,IF(CD209&lt;0,IF($J209=7,-$E209*$I209/12*0,IF($J209=8,-$E209*$I209/12*1,IF($J209=9,-$E209*$I209/12*2,IF($J209&gt;=10,-$E209*$I209/12*3,0))))))</f>
        <v>0</v>
      </c>
      <c r="CH209" s="443">
        <f>IF($H209&lt;&gt;CI$5,0,IF(CI209&lt;0,IF(OR($J209=1,$J209=2,$J209=3,$J209=4,$J209=5,$J209=6,$J209=7,$J209=8,$J209=9,$J209=10),-$E209*$I209/12*3,IF($J209=11,-$E209*$I209/12*2,IF($J209=12,-$E209*$I209/12*1,0)))))+IF(CD$5&lt;&gt;$H209,0,IF(CD209&lt;0,IF($J209=10,-$E209*$I209/12*0,IF($J209=11,-$E209*$I209/12*1,IF($J209=12,-$E209*$I209/12*2,0)))))</f>
        <v>0</v>
      </c>
      <c r="CI209" s="440">
        <f>IF(AND(CD209&lt;&gt;0,CD$5=$H209),-$I209*$E209-CD209,IF(CI$5=$H209,-$I209*$E209*(12-$J209+1)/12,0))</f>
        <v>0</v>
      </c>
      <c r="CJ209" s="441">
        <f>IF($H209&lt;&gt;CN$5,0,IF(CN209&lt;0,IF($J209=1,-$E209*$I209/12*3,IF($J209=2,-$E209*$I209/12*2,IF($J209=3,-$E209*$I209/12*1,0)))))+IF(CI$5&lt;&gt;$H209,0,IF(CI209&lt;0,IF($J209=1,-$E209*$I209/12*0,IF($J209=2,-$E209*$I209/12*1,IF($J209=3,-$E209*$I209/12*2,IF($J209&gt;=4,-$E209*$I209/12*3,0))))))</f>
        <v>0</v>
      </c>
      <c r="CK209" s="442">
        <f>IF($H209&lt;&gt;CN$5,0,IF(CN209&lt;0,IF(OR($J209=1,$J209=2,$J209=3,$J209=4),-$E209*$I209/12*3,IF($J209=5,-$E209*$I209/12*2,IF($J209=6,-$E209*$I209/12*1,0)))))+IF(CI$5&lt;&gt;$H209,0,IF(CI209&lt;0,IF($J209=4,-$E209*$I209/12*0,IF($J209=5,-$E209*$I209/12*1,IF($J209=6,-$E209*$I209/12*2,IF($J209&gt;=7,-$E209*$I209/12*3,0))))))</f>
        <v>0</v>
      </c>
      <c r="CL209" s="442">
        <f>IF($H209&lt;&gt;CN$5,0,IF(CN209&lt;0,IF(OR($J209=1,$J209=2,$J209=3,$J209=4,$J209=5,$J209=6,$J209=7),-$E209*$I209/12*3,IF($J209=8,-$E209*$I209/12*2,IF($J209=9,-$E209*$I209/12*1,0)))))+IF(CI$5&lt;&gt;$H209,0,IF(CI209&lt;0,IF($J209=7,-$E209*$I209/12*0,IF($J209=8,-$E209*$I209/12*1,IF($J209=9,-$E209*$I209/12*2,IF($J209&gt;=10,-$E209*$I209/12*3,0))))))</f>
        <v>0</v>
      </c>
      <c r="CM209" s="443">
        <f>IF($H209&lt;&gt;CN$5,0,IF(CN209&lt;0,IF(OR($J209=1,$J209=2,$J209=3,$J209=4,$J209=5,$J209=6,$J209=7,$J209=8,$J209=9,$J209=10),-$E209*$I209/12*3,IF($J209=11,-$E209*$I209/12*2,IF($J209=12,-$E209*$I209/12*1,0)))))+IF(CI$5&lt;&gt;$H209,0,IF(CI209&lt;0,IF($J209=10,-$E209*$I209/12*0,IF($J209=11,-$E209*$I209/12*1,IF($J209=12,-$E209*$I209/12*2,0)))))</f>
        <v>0</v>
      </c>
      <c r="CN209" s="440">
        <f>IF(AND(CI209&lt;&gt;0,CI$5=$H209),-$I209*$E209-CI209,IF(CN$5=$H209,-$I209*$E209*(12-$J209+1)/12,0))</f>
        <v>0</v>
      </c>
      <c r="CO209" s="441">
        <f>IF($H209&lt;&gt;CS$5,0,IF(CS209&lt;0,IF($J209=1,-$E209*$I209/12*3,IF($J209=2,-$E209*$I209/12*2,IF($J209=3,-$E209*$I209/12*1,0)))))+IF(CN$5&lt;&gt;$H209,0,IF(CN209&lt;0,IF($J209=1,-$E209*$I209/12*0,IF($J209=2,-$E209*$I209/12*1,IF($J209=3,-$E209*$I209/12*2,IF($J209&gt;=4,-$E209*$I209/12*3,0))))))</f>
        <v>0</v>
      </c>
      <c r="CP209" s="442">
        <f>IF($H209&lt;&gt;CS$5,0,IF(CS209&lt;0,IF(OR($J209=1,$J209=2,$J209=3,$J209=4),-$E209*$I209/12*3,IF($J209=5,-$E209*$I209/12*2,IF($J209=6,-$E209*$I209/12*1,0)))))+IF(CN$5&lt;&gt;$H209,0,IF(CN209&lt;0,IF($J209=4,-$E209*$I209/12*0,IF($J209=5,-$E209*$I209/12*1,IF($J209=6,-$E209*$I209/12*2,IF($J209&gt;=7,-$E209*$I209/12*3,0))))))</f>
        <v>0</v>
      </c>
      <c r="CQ209" s="442">
        <f>IF($H209&lt;&gt;CS$5,0,IF(CS209&lt;0,IF(OR($J209=1,$J209=2,$J209=3,$J209=4,$J209=5,$J209=6,$J209=7),-$E209*$I209/12*3,IF($J209=8,-$E209*$I209/12*2,IF($J209=9,-$E209*$I209/12*1,0)))))+IF(CN$5&lt;&gt;$H209,0,IF(CN209&lt;0,IF($J209=7,-$E209*$I209/12*0,IF($J209=8,-$E209*$I209/12*1,IF($J209=9,-$E209*$I209/12*2,IF($J209&gt;=10,-$E209*$I209/12*3,0))))))</f>
        <v>0</v>
      </c>
      <c r="CR209" s="443">
        <f>IF($H209&lt;&gt;CS$5,0,IF(CS209&lt;0,IF(OR($J209=1,$J209=2,$J209=3,$J209=4,$J209=5,$J209=6,$J209=7,$J209=8,$J209=9,$J209=10),-$E209*$I209/12*3,IF($J209=11,-$E209*$I209/12*2,IF($J209=12,-$E209*$I209/12*1,0)))))+IF(CN$5&lt;&gt;$H209,0,IF(CN209&lt;0,IF($J209=10,-$E209*$I209/12*0,IF($J209=11,-$E209*$I209/12*1,IF($J209=12,-$E209*$I209/12*2,0)))))</f>
        <v>0</v>
      </c>
      <c r="CS209" s="440">
        <f>IF(AND(CN209&lt;&gt;0,CN$5=$H209),-$I209*$E209-CN209,IF(CS$5=$H209,-$I209*$E209*(12-$J209+1)/12,0))</f>
        <v>0</v>
      </c>
      <c r="CT209" s="441">
        <f>IF($H209&lt;&gt;CX$5,0,IF(CX209&lt;0,IF($J209=1,-$E209*$I209/12*3,IF($J209=2,-$E209*$I209/12*2,IF($J209=3,-$E209*$I209/12*1,0)))))+IF(CS$5&lt;&gt;$H209,0,IF(CS209&lt;0,IF($J209=1,-$E209*$I209/12*0,IF($J209=2,-$E209*$I209/12*1,IF($J209=3,-$E209*$I209/12*2,IF($J209&gt;=4,-$E209*$I209/12*3,0))))))</f>
        <v>0</v>
      </c>
      <c r="CU209" s="442">
        <f>IF($H209&lt;&gt;CX$5,0,IF(CX209&lt;0,IF(OR($J209=1,$J209=2,$J209=3,$J209=4),-$E209*$I209/12*3,IF($J209=5,-$E209*$I209/12*2,IF($J209=6,-$E209*$I209/12*1,0)))))+IF(CS$5&lt;&gt;$H209,0,IF(CS209&lt;0,IF($J209=4,-$E209*$I209/12*0,IF($J209=5,-$E209*$I209/12*1,IF($J209=6,-$E209*$I209/12*2,IF($J209&gt;=7,-$E209*$I209/12*3,0))))))</f>
        <v>0</v>
      </c>
      <c r="CV209" s="442">
        <f>IF($H209&lt;&gt;CX$5,0,IF(CX209&lt;0,IF(OR($J209=1,$J209=2,$J209=3,$J209=4,$J209=5,$J209=6,$J209=7),-$E209*$I209/12*3,IF($J209=8,-$E209*$I209/12*2,IF($J209=9,-$E209*$I209/12*1,0)))))+IF(CS$5&lt;&gt;$H209,0,IF(CS209&lt;0,IF($J209=7,-$E209*$I209/12*0,IF($J209=8,-$E209*$I209/12*1,IF($J209=9,-$E209*$I209/12*2,IF($J209&gt;=10,-$E209*$I209/12*3,0))))))</f>
        <v>0</v>
      </c>
      <c r="CW209" s="443">
        <f>IF($H209&lt;&gt;CX$5,0,IF(CX209&lt;0,IF(OR($J209=1,$J209=2,$J209=3,$J209=4,$J209=5,$J209=6,$J209=7,$J209=8,$J209=9,$J209=10),-$E209*$I209/12*3,IF($J209=11,-$E209*$I209/12*2,IF($J209=12,-$E209*$I209/12*1,0)))))+IF(CS$5&lt;&gt;$H209,0,IF(CS209&lt;0,IF($J209=10,-$E209*$I209/12*0,IF($J209=11,-$E209*$I209/12*1,IF($J209=12,-$E209*$I209/12*2,0)))))</f>
        <v>0</v>
      </c>
      <c r="CX209" s="440">
        <f>IF(AND(CS209&lt;&gt;0,CS$5=$H209),-$I209*$E209-CS209,IF(CX$5=$H209,-$I209*$E209*(12-$J209+1)/12,0))</f>
        <v>0</v>
      </c>
      <c r="CY209" s="441">
        <f>IF($H209&lt;&gt;DC$5,0,IF(DC209&lt;0,IF($J209=1,-$E209*$I209/12*3,IF($J209=2,-$E209*$I209/12*2,IF($J209=3,-$E209*$I209/12*1,0)))))+IF(CX$5&lt;&gt;$H209,0,IF(CX209&lt;0,IF($J209=1,-$E209*$I209/12*0,IF($J209=2,-$E209*$I209/12*1,IF($J209=3,-$E209*$I209/12*2,IF($J209&gt;=4,-$E209*$I209/12*3,0))))))</f>
        <v>0</v>
      </c>
      <c r="CZ209" s="442">
        <f>IF($H209&lt;&gt;DC$5,0,IF(DC209&lt;0,IF(OR($J209=1,$J209=2,$J209=3,$J209=4),-$E209*$I209/12*3,IF($J209=5,-$E209*$I209/12*2,IF($J209=6,-$E209*$I209/12*1,0)))))+IF(CX$5&lt;&gt;$H209,0,IF(CX209&lt;0,IF($J209=4,-$E209*$I209/12*0,IF($J209=5,-$E209*$I209/12*1,IF($J209=6,-$E209*$I209/12*2,IF($J209&gt;=7,-$E209*$I209/12*3,0))))))</f>
        <v>0</v>
      </c>
      <c r="DA209" s="442">
        <f>IF($H209&lt;&gt;DC$5,0,IF(DC209&lt;0,IF(OR($J209=1,$J209=2,$J209=3,$J209=4,$J209=5,$J209=6,$J209=7),-$E209*$I209/12*3,IF($J209=8,-$E209*$I209/12*2,IF($J209=9,-$E209*$I209/12*1,0)))))+IF(CX$5&lt;&gt;$H209,0,IF(CX209&lt;0,IF($J209=7,-$E209*$I209/12*0,IF($J209=8,-$E209*$I209/12*1,IF($J209=9,-$E209*$I209/12*2,IF($J209&gt;=10,-$E209*$I209/12*3,0))))))</f>
        <v>0</v>
      </c>
      <c r="DB209" s="443">
        <f>IF($H209&lt;&gt;DC$5,0,IF(DC209&lt;0,IF(OR($J209=1,$J209=2,$J209=3,$J209=4,$J209=5,$J209=6,$J209=7,$J209=8,$J209=9,$J209=10),-$E209*$I209/12*3,IF($J209=11,-$E209*$I209/12*2,IF($J209=12,-$E209*$I209/12*1,0)))))+IF(CX$5&lt;&gt;$H209,0,IF(CX209&lt;0,IF($J209=10,-$E209*$I209/12*0,IF($J209=11,-$E209*$I209/12*1,IF($J209=12,-$E209*$I209/12*2,0)))))</f>
        <v>0</v>
      </c>
      <c r="DC209" s="440">
        <f>IF(AND(CX209&lt;&gt;0,CX$5=$H209),-$I209*$E209-CX209,IF(DC$5=$H209,-$I209*$E209*(12-$J209+1)/12,0))</f>
        <v>0</v>
      </c>
      <c r="DD209" s="441">
        <f>IF($H209&lt;&gt;DH$5,0,IF(DH209&lt;0,IF($J209=1,-$E209*$I209/12*3,IF($J209=2,-$E209*$I209/12*2,IF($J209=3,-$E209*$I209/12*1,0)))))+IF(DC$5&lt;&gt;$H209,0,IF(DC209&lt;0,IF($J209=1,-$E209*$I209/12*0,IF($J209=2,-$E209*$I209/12*1,IF($J209=3,-$E209*$I209/12*2,IF($J209&gt;=4,-$E209*$I209/12*3,0))))))</f>
        <v>0</v>
      </c>
      <c r="DE209" s="442">
        <f>IF($H209&lt;&gt;DH$5,0,IF(DH209&lt;0,IF(OR($J209=1,$J209=2,$J209=3,$J209=4),-$E209*$I209/12*3,IF($J209=5,-$E209*$I209/12*2,IF($J209=6,-$E209*$I209/12*1,0)))))+IF(DC$5&lt;&gt;$H209,0,IF(DC209&lt;0,IF($J209=4,-$E209*$I209/12*0,IF($J209=5,-$E209*$I209/12*1,IF($J209=6,-$E209*$I209/12*2,IF($J209&gt;=7,-$E209*$I209/12*3,0))))))</f>
        <v>0</v>
      </c>
      <c r="DF209" s="442">
        <f>IF($H209&lt;&gt;DH$5,0,IF(DH209&lt;0,IF(OR($J209=1,$J209=2,$J209=3,$J209=4,$J209=5,$J209=6,$J209=7),-$E209*$I209/12*3,IF($J209=8,-$E209*$I209/12*2,IF($J209=9,-$E209*$I209/12*1,0)))))+IF(DC$5&lt;&gt;$H209,0,IF(DC209&lt;0,IF($J209=7,-$E209*$I209/12*0,IF($J209=8,-$E209*$I209/12*1,IF($J209=9,-$E209*$I209/12*2,IF($J209&gt;=10,-$E209*$I209/12*3,0))))))</f>
        <v>0</v>
      </c>
      <c r="DG209" s="443">
        <f>IF($H209&lt;&gt;DH$5,0,IF(DH209&lt;0,IF(OR($J209=1,$J209=2,$J209=3,$J209=4,$J209=5,$J209=6,$J209=7,$J209=8,$J209=9,$J209=10),-$E209*$I209/12*3,IF($J209=11,-$E209*$I209/12*2,IF($J209=12,-$E209*$I209/12*1,0)))))+IF(DC$5&lt;&gt;$H209,0,IF(DC209&lt;0,IF($J209=10,-$E209*$I209/12*0,IF($J209=11,-$E209*$I209/12*1,IF($J209=12,-$E209*$I209/12*2,0)))))</f>
        <v>0</v>
      </c>
      <c r="DH209" s="440">
        <f>IF(AND(DC209&lt;&gt;0,DC$5=$H209),-$I209*$E209-DC209,IF(DH$5=$H209,-$I209*$E209*(12-$J209+1)/12,0))</f>
        <v>0</v>
      </c>
      <c r="DI209" s="441">
        <f>IF($H209&lt;&gt;DM$5,0,IF(DM209&lt;0,IF($J209=1,-$E209*$I209/12*3,IF($J209=2,-$E209*$I209/12*2,IF($J209=3,-$E209*$I209/12*1,0)))))+IF(DH$5&lt;&gt;$H209,0,IF(DH209&lt;0,IF($J209=1,-$E209*$I209/12*0,IF($J209=2,-$E209*$I209/12*1,IF($J209=3,-$E209*$I209/12*2,IF($J209&gt;=4,-$E209*$I209/12*3,0))))))</f>
        <v>0</v>
      </c>
      <c r="DJ209" s="442">
        <f>IF($H209&lt;&gt;DM$5,0,IF(DM209&lt;0,IF(OR($J209=1,$J209=2,$J209=3,$J209=4),-$E209*$I209/12*3,IF($J209=5,-$E209*$I209/12*2,IF($J209=6,-$E209*$I209/12*1,0)))))+IF(DH$5&lt;&gt;$H209,0,IF(DH209&lt;0,IF($J209=4,-$E209*$I209/12*0,IF($J209=5,-$E209*$I209/12*1,IF($J209=6,-$E209*$I209/12*2,IF($J209&gt;=7,-$E209*$I209/12*3,0))))))</f>
        <v>0</v>
      </c>
      <c r="DK209" s="442">
        <f>IF($H209&lt;&gt;DM$5,0,IF(DM209&lt;0,IF(OR($J209=1,$J209=2,$J209=3,$J209=4,$J209=5,$J209=6,$J209=7),-$E209*$I209/12*3,IF($J209=8,-$E209*$I209/12*2,IF($J209=9,-$E209*$I209/12*1,0)))))+IF(DH$5&lt;&gt;$H209,0,IF(DH209&lt;0,IF($J209=7,-$E209*$I209/12*0,IF($J209=8,-$E209*$I209/12*1,IF($J209=9,-$E209*$I209/12*2,IF($J209&gt;=10,-$E209*$I209/12*3,0))))))</f>
        <v>0</v>
      </c>
      <c r="DL209" s="443">
        <f>IF($H209&lt;&gt;DM$5,0,IF(DM209&lt;0,IF(OR($J209=1,$J209=2,$J209=3,$J209=4,$J209=5,$J209=6,$J209=7,$J209=8,$J209=9,$J209=10),-$E209*$I209/12*3,IF($J209=11,-$E209*$I209/12*2,IF($J209=12,-$E209*$I209/12*1,0)))))+IF(DH$5&lt;&gt;$H209,0,IF(DH209&lt;0,IF($J209=10,-$E209*$I209/12*0,IF($J209=11,-$E209*$I209/12*1,IF($J209=12,-$E209*$I209/12*2,0)))))</f>
        <v>0</v>
      </c>
      <c r="DM209" s="440">
        <f>IF(AND(DH209&lt;&gt;0,DH$5=$H209),-$I209*$E209-DH209,IF(DM$5=$H209,-$I209*$E209*(12-$J209+1)/12,0))</f>
        <v>0</v>
      </c>
      <c r="DN209" s="441">
        <f>IF($H209&lt;&gt;DR$5,0,IF(DR209&lt;0,IF($J209=1,-$E209*$I209/12*3,IF($J209=2,-$E209*$I209/12*2,IF($J209=3,-$E209*$I209/12*1,0)))))+IF(DM$5&lt;&gt;$H209,0,IF(DM209&lt;0,IF($J209=1,-$E209*$I209/12*0,IF($J209=2,-$E209*$I209/12*1,IF($J209=3,-$E209*$I209/12*2,IF($J209&gt;=4,-$E209*$I209/12*3,0))))))</f>
        <v>0</v>
      </c>
      <c r="DO209" s="442">
        <f>IF($H209&lt;&gt;DR$5,0,IF(DR209&lt;0,IF(OR($J209=1,$J209=2,$J209=3,$J209=4),-$E209*$I209/12*3,IF($J209=5,-$E209*$I209/12*2,IF($J209=6,-$E209*$I209/12*1,0)))))+IF(DM$5&lt;&gt;$H209,0,IF(DM209&lt;0,IF($J209=4,-$E209*$I209/12*0,IF($J209=5,-$E209*$I209/12*1,IF($J209=6,-$E209*$I209/12*2,IF($J209&gt;=7,-$E209*$I209/12*3,0))))))</f>
        <v>0</v>
      </c>
      <c r="DP209" s="442">
        <f>IF($H209&lt;&gt;DR$5,0,IF(DR209&lt;0,IF(OR($J209=1,$J209=2,$J209=3,$J209=4,$J209=5,$J209=6,$J209=7),-$E209*$I209/12*3,IF($J209=8,-$E209*$I209/12*2,IF($J209=9,-$E209*$I209/12*1,0)))))+IF(DM$5&lt;&gt;$H209,0,IF(DM209&lt;0,IF($J209=7,-$E209*$I209/12*0,IF($J209=8,-$E209*$I209/12*1,IF($J209=9,-$E209*$I209/12*2,IF($J209&gt;=10,-$E209*$I209/12*3,0))))))</f>
        <v>0</v>
      </c>
      <c r="DQ209" s="443">
        <f>IF($H209&lt;&gt;DR$5,0,IF(DR209&lt;0,IF(OR($J209=1,$J209=2,$J209=3,$J209=4,$J209=5,$J209=6,$J209=7,$J209=8,$J209=9,$J209=10),-$E209*$I209/12*3,IF($J209=11,-$E209*$I209/12*2,IF($J209=12,-$E209*$I209/12*1,0)))))+IF(DM$5&lt;&gt;$H209,0,IF(DM209&lt;0,IF($J209=10,-$E209*$I209/12*0,IF($J209=11,-$E209*$I209/12*1,IF($J209=12,-$E209*$I209/12*2,0)))))</f>
        <v>0</v>
      </c>
      <c r="DR209" s="440">
        <f>IF(AND(DM209&lt;&gt;0,DM$5=$H209),-$I209*$E209-DM209,IF(DR$5=$H209,-$I209*$E209*(12-$J209+1)/12,0))</f>
        <v>0</v>
      </c>
    </row>
    <row r="210" spans="3:122" ht="12.75" customHeight="1">
      <c r="C210" s="1123" t="s">
        <v>734</v>
      </c>
      <c r="D210" s="395"/>
      <c r="E210" s="1950">
        <f>IF(F210=0,G210,F210)</f>
        <v>64.38</v>
      </c>
      <c r="F210" s="1945">
        <v>64.38</v>
      </c>
      <c r="G210" s="1945">
        <v>64.38</v>
      </c>
      <c r="H210" s="1366">
        <v>2031</v>
      </c>
      <c r="I210" s="1367">
        <v>5.1269999999999996E-2</v>
      </c>
      <c r="J210" s="1357">
        <v>1</v>
      </c>
      <c r="K210" s="549"/>
      <c r="L210" s="441">
        <f t="shared" si="2664"/>
        <v>0</v>
      </c>
      <c r="M210" s="442">
        <f t="shared" si="2665"/>
        <v>0</v>
      </c>
      <c r="N210" s="442">
        <f t="shared" si="2666"/>
        <v>0</v>
      </c>
      <c r="O210" s="443">
        <f t="shared" si="2667"/>
        <v>0</v>
      </c>
      <c r="P210" s="440">
        <f t="shared" si="2668"/>
        <v>0</v>
      </c>
      <c r="Q210" s="441">
        <f t="shared" si="2669"/>
        <v>0</v>
      </c>
      <c r="R210" s="442">
        <f t="shared" si="2670"/>
        <v>0</v>
      </c>
      <c r="S210" s="442">
        <f t="shared" si="2671"/>
        <v>0</v>
      </c>
      <c r="T210" s="443">
        <f t="shared" si="2672"/>
        <v>0</v>
      </c>
      <c r="U210" s="440">
        <f t="shared" si="2673"/>
        <v>0</v>
      </c>
      <c r="V210" s="441">
        <f t="shared" si="2674"/>
        <v>0</v>
      </c>
      <c r="W210" s="442">
        <f t="shared" si="2675"/>
        <v>0</v>
      </c>
      <c r="X210" s="442">
        <f t="shared" si="2676"/>
        <v>0</v>
      </c>
      <c r="Y210" s="443">
        <f t="shared" si="2677"/>
        <v>0</v>
      </c>
      <c r="Z210" s="440">
        <f t="shared" si="2678"/>
        <v>0</v>
      </c>
      <c r="AA210" s="441">
        <f t="shared" si="2679"/>
        <v>0</v>
      </c>
      <c r="AB210" s="442">
        <f t="shared" si="2680"/>
        <v>0</v>
      </c>
      <c r="AC210" s="442">
        <f t="shared" si="2681"/>
        <v>0</v>
      </c>
      <c r="AD210" s="443">
        <f t="shared" si="2682"/>
        <v>0</v>
      </c>
      <c r="AE210" s="440">
        <f t="shared" si="2683"/>
        <v>0</v>
      </c>
      <c r="AF210" s="441">
        <f t="shared" si="2684"/>
        <v>0</v>
      </c>
      <c r="AG210" s="442">
        <f t="shared" si="2685"/>
        <v>0</v>
      </c>
      <c r="AH210" s="442">
        <f t="shared" si="2686"/>
        <v>0</v>
      </c>
      <c r="AI210" s="443">
        <f t="shared" si="2687"/>
        <v>0</v>
      </c>
      <c r="AJ210" s="440">
        <f t="shared" si="2688"/>
        <v>0</v>
      </c>
      <c r="AK210" s="441">
        <f t="shared" si="2689"/>
        <v>0</v>
      </c>
      <c r="AL210" s="442">
        <f t="shared" si="2690"/>
        <v>0</v>
      </c>
      <c r="AM210" s="442">
        <f t="shared" si="2691"/>
        <v>0</v>
      </c>
      <c r="AN210" s="443">
        <f t="shared" si="2692"/>
        <v>0</v>
      </c>
      <c r="AO210" s="440">
        <f t="shared" si="2693"/>
        <v>0</v>
      </c>
      <c r="AP210" s="441">
        <f t="shared" si="2694"/>
        <v>0</v>
      </c>
      <c r="AQ210" s="442">
        <f t="shared" si="2695"/>
        <v>0</v>
      </c>
      <c r="AR210" s="442">
        <f t="shared" si="2696"/>
        <v>0</v>
      </c>
      <c r="AS210" s="443">
        <f t="shared" si="2697"/>
        <v>0</v>
      </c>
      <c r="AT210" s="440">
        <f t="shared" si="2698"/>
        <v>0</v>
      </c>
      <c r="AU210" s="441">
        <f t="shared" si="2699"/>
        <v>0</v>
      </c>
      <c r="AV210" s="442">
        <f t="shared" si="2700"/>
        <v>0</v>
      </c>
      <c r="AW210" s="442">
        <f t="shared" si="2701"/>
        <v>0</v>
      </c>
      <c r="AX210" s="443">
        <f t="shared" si="2702"/>
        <v>0</v>
      </c>
      <c r="AY210" s="440">
        <f t="shared" si="2703"/>
        <v>0</v>
      </c>
      <c r="AZ210" s="441">
        <f t="shared" si="2704"/>
        <v>0</v>
      </c>
      <c r="BA210" s="442">
        <f t="shared" si="2705"/>
        <v>0</v>
      </c>
      <c r="BB210" s="442">
        <f t="shared" si="2706"/>
        <v>0</v>
      </c>
      <c r="BC210" s="443">
        <f t="shared" si="2707"/>
        <v>0</v>
      </c>
      <c r="BD210" s="440">
        <f t="shared" si="2708"/>
        <v>0</v>
      </c>
      <c r="BE210" s="441">
        <f t="shared" si="2709"/>
        <v>0</v>
      </c>
      <c r="BF210" s="442">
        <f t="shared" si="2710"/>
        <v>0</v>
      </c>
      <c r="BG210" s="442">
        <f t="shared" si="2711"/>
        <v>0</v>
      </c>
      <c r="BH210" s="443">
        <f t="shared" si="2712"/>
        <v>0</v>
      </c>
      <c r="BI210" s="440">
        <f t="shared" si="2713"/>
        <v>0</v>
      </c>
      <c r="BJ210" s="441">
        <f t="shared" si="2714"/>
        <v>0</v>
      </c>
      <c r="BK210" s="442">
        <f t="shared" si="2715"/>
        <v>0</v>
      </c>
      <c r="BL210" s="442">
        <f t="shared" si="2716"/>
        <v>0</v>
      </c>
      <c r="BM210" s="443">
        <f t="shared" si="2717"/>
        <v>0</v>
      </c>
      <c r="BN210" s="440">
        <f t="shared" si="2718"/>
        <v>0</v>
      </c>
      <c r="BO210" s="470"/>
      <c r="BP210" s="441">
        <f>IF($H210&lt;&gt;BT$5,0,IF(BT210&lt;0,IF($J210=1,-$E210*$I210/12*3,IF($J210=2,-$E210*$I210/12*2,IF($J210=3,-$E210*$I210/12*1,0)))))+IF(BO$5&lt;&gt;$H210,0,IF(BO210&lt;0,IF($J210=1,-$E210*$I210/12*0,IF($J210=2,-$E210*$I210/12*1,IF($J210=3,-$E210*$I210/12*2,IF($J210&gt;=4,-$E210*$I210/12*3,0))))))</f>
        <v>0</v>
      </c>
      <c r="BQ210" s="442">
        <f>IF($H210&lt;&gt;BT$5,0,IF(BT210&lt;0,IF(OR($J210=1,$J210=2,$J210=3,$J210=4),-$E210*$I210/12*3,IF($J210=5,-$E210*$I210/12*2,IF($J210=6,-$E210*$I210/12*1,0)))))+IF(BO$5&lt;&gt;$H210,0,IF(BO210&lt;0,IF($J210=4,-$E210*$I210/12*0,IF($J210=5,-$E210*$I210/12*1,IF($J210=6,-$E210*$I210/12*2,IF($J210&gt;=7,-$E210*$I210/12*3,0))))))</f>
        <v>0</v>
      </c>
      <c r="BR210" s="442">
        <f>IF($H210&lt;&gt;BT$5,0,IF(BT210&lt;0,IF(OR($J210=1,$J210=2,$J210=3,$J210=4,$J210=5,$J210=6,$J210=7),-$E210*$I210/12*3,IF($J210=8,-$E210*$I210/12*2,IF($J210=9,-$E210*$I210/12*1,0)))))+IF(BO$5&lt;&gt;$H210,0,IF(BO210&lt;0,IF($J210=7,-$E210*$I210/12*0,IF($J210=8,-$E210*$I210/12*1,IF($J210=9,-$E210*$I210/12*2,IF($J210&gt;=10,-$E210*$I210/12*3,0))))))</f>
        <v>0</v>
      </c>
      <c r="BS210" s="443">
        <f>IF($H210&lt;&gt;BT$5,0,IF(BT210&lt;0,IF(OR($J210=1,$J210=2,$J210=3,$J210=4,$J210=5,$J210=6,$J210=7,$J210=8,$J210=9,$J210=10),-$E210*$I210/12*3,IF($J210=11,-$E210*$I210/12*2,IF($J210=12,-$E210*$I210/12*1,0)))))+IF(BO$5&lt;&gt;$H210,0,IF(BO210&lt;0,IF($J210=10,-$E210*$I210/12*0,IF($J210=11,-$E210*$I210/12*1,IF($J210=12,-$E210*$I210/12*2,0)))))</f>
        <v>0</v>
      </c>
      <c r="BT210" s="440">
        <f>IF(AND(BO210&lt;&gt;0,BO$5=$H210),-$I210*$E210-BO210,IF(BT$5=$H210,-$I210*$E210*(12-$J210+1)/12,0))</f>
        <v>0</v>
      </c>
      <c r="BU210" s="441">
        <f>IF($H210&lt;&gt;BY$5,0,IF(BY210&lt;0,IF($J210=1,-$E210*$I210/12*3,IF($J210=2,-$E210*$I210/12*2,IF($J210=3,-$E210*$I210/12*1,0)))))+IF(BT$5&lt;&gt;$H210,0,IF(BT210&lt;0,IF($J210=1,-$E210*$I210/12*0,IF($J210=2,-$E210*$I210/12*1,IF($J210=3,-$E210*$I210/12*2,IF($J210&gt;=4,-$E210*$I210/12*3,0))))))</f>
        <v>0</v>
      </c>
      <c r="BV210" s="442">
        <f>IF($H210&lt;&gt;BY$5,0,IF(BY210&lt;0,IF(OR($J210=1,$J210=2,$J210=3,$J210=4),-$E210*$I210/12*3,IF($J210=5,-$E210*$I210/12*2,IF($J210=6,-$E210*$I210/12*1,0)))))+IF(BT$5&lt;&gt;$H210,0,IF(BT210&lt;0,IF($J210=4,-$E210*$I210/12*0,IF($J210=5,-$E210*$I210/12*1,IF($J210=6,-$E210*$I210/12*2,IF($J210&gt;=7,-$E210*$I210/12*3,0))))))</f>
        <v>0</v>
      </c>
      <c r="BW210" s="442">
        <f>IF($H210&lt;&gt;BY$5,0,IF(BY210&lt;0,IF(OR($J210=1,$J210=2,$J210=3,$J210=4,$J210=5,$J210=6,$J210=7),-$E210*$I210/12*3,IF($J210=8,-$E210*$I210/12*2,IF($J210=9,-$E210*$I210/12*1,0)))))+IF(BT$5&lt;&gt;$H210,0,IF(BT210&lt;0,IF($J210=7,-$E210*$I210/12*0,IF($J210=8,-$E210*$I210/12*1,IF($J210=9,-$E210*$I210/12*2,IF($J210&gt;=10,-$E210*$I210/12*3,0))))))</f>
        <v>0</v>
      </c>
      <c r="BX210" s="443">
        <f>IF($H210&lt;&gt;BY$5,0,IF(BY210&lt;0,IF(OR($J210=1,$J210=2,$J210=3,$J210=4,$J210=5,$J210=6,$J210=7,$J210=8,$J210=9,$J210=10),-$E210*$I210/12*3,IF($J210=11,-$E210*$I210/12*2,IF($J210=12,-$E210*$I210/12*1,0)))))+IF(BT$5&lt;&gt;$H210,0,IF(BT210&lt;0,IF($J210=10,-$E210*$I210/12*0,IF($J210=11,-$E210*$I210/12*1,IF($J210=12,-$E210*$I210/12*2,0)))))</f>
        <v>0</v>
      </c>
      <c r="BY210" s="440">
        <f>IF(AND(BT210&lt;&gt;0,BT$5=$H210),-$I210*$E210-BT210,IF(BY$5=$H210,-$I210*$E210*(12-$J210+1)/12,0))</f>
        <v>0</v>
      </c>
      <c r="BZ210" s="441">
        <f>IF($H210&lt;&gt;CD$5,0,IF(CD210&lt;0,IF($J210=1,-$E210*$I210/12*3,IF($J210=2,-$E210*$I210/12*2,IF($J210=3,-$E210*$I210/12*1,0)))))+IF(BY$5&lt;&gt;$H210,0,IF(BY210&lt;0,IF($J210=1,-$E210*$I210/12*0,IF($J210=2,-$E210*$I210/12*1,IF($J210=3,-$E210*$I210/12*2,IF($J210&gt;=4,-$E210*$I210/12*3,0))))))</f>
        <v>0</v>
      </c>
      <c r="CA210" s="442">
        <f>IF($H210&lt;&gt;CD$5,0,IF(CD210&lt;0,IF(OR($J210=1,$J210=2,$J210=3,$J210=4),-$E210*$I210/12*3,IF($J210=5,-$E210*$I210/12*2,IF($J210=6,-$E210*$I210/12*1,0)))))+IF(BY$5&lt;&gt;$H210,0,IF(BY210&lt;0,IF($J210=4,-$E210*$I210/12*0,IF($J210=5,-$E210*$I210/12*1,IF($J210=6,-$E210*$I210/12*2,IF($J210&gt;=7,-$E210*$I210/12*3,0))))))</f>
        <v>0</v>
      </c>
      <c r="CB210" s="442">
        <f>IF($H210&lt;&gt;CD$5,0,IF(CD210&lt;0,IF(OR($J210=1,$J210=2,$J210=3,$J210=4,$J210=5,$J210=6,$J210=7),-$E210*$I210/12*3,IF($J210=8,-$E210*$I210/12*2,IF($J210=9,-$E210*$I210/12*1,0)))))+IF(BY$5&lt;&gt;$H210,0,IF(BY210&lt;0,IF($J210=7,-$E210*$I210/12*0,IF($J210=8,-$E210*$I210/12*1,IF($J210=9,-$E210*$I210/12*2,IF($J210&gt;=10,-$E210*$I210/12*3,0))))))</f>
        <v>0</v>
      </c>
      <c r="CC210" s="443">
        <f>IF($H210&lt;&gt;CD$5,0,IF(CD210&lt;0,IF(OR($J210=1,$J210=2,$J210=3,$J210=4,$J210=5,$J210=6,$J210=7,$J210=8,$J210=9,$J210=10),-$E210*$I210/12*3,IF($J210=11,-$E210*$I210/12*2,IF($J210=12,-$E210*$I210/12*1,0)))))+IF(BY$5&lt;&gt;$H210,0,IF(BY210&lt;0,IF($J210=10,-$E210*$I210/12*0,IF($J210=11,-$E210*$I210/12*1,IF($J210=12,-$E210*$I210/12*2,0)))))</f>
        <v>0</v>
      </c>
      <c r="CD210" s="440">
        <f>IF(AND(BY210&lt;&gt;0,BY$5=$H210),-$I210*$E210-BY210,IF(CD$5=$H210,-$I210*$E210*(12-$J210+1)/12,0))</f>
        <v>0</v>
      </c>
      <c r="CE210" s="441">
        <f>IF($H210&lt;&gt;CI$5,0,IF(CI210&lt;0,IF($J210=1,-$E210*$I210/12*3,IF($J210=2,-$E210*$I210/12*2,IF($J210=3,-$E210*$I210/12*1,0)))))+IF(CD$5&lt;&gt;$H210,0,IF(CD210&lt;0,IF($J210=1,-$E210*$I210/12*0,IF($J210=2,-$E210*$I210/12*1,IF($J210=3,-$E210*$I210/12*2,IF($J210&gt;=4,-$E210*$I210/12*3,0))))))</f>
        <v>0</v>
      </c>
      <c r="CF210" s="442">
        <f>IF($H210&lt;&gt;CI$5,0,IF(CI210&lt;0,IF(OR($J210=1,$J210=2,$J210=3,$J210=4),-$E210*$I210/12*3,IF($J210=5,-$E210*$I210/12*2,IF($J210=6,-$E210*$I210/12*1,0)))))+IF(CD$5&lt;&gt;$H210,0,IF(CD210&lt;0,IF($J210=4,-$E210*$I210/12*0,IF($J210=5,-$E210*$I210/12*1,IF($J210=6,-$E210*$I210/12*2,IF($J210&gt;=7,-$E210*$I210/12*3,0))))))</f>
        <v>0</v>
      </c>
      <c r="CG210" s="442">
        <f>IF($H210&lt;&gt;CI$5,0,IF(CI210&lt;0,IF(OR($J210=1,$J210=2,$J210=3,$J210=4,$J210=5,$J210=6,$J210=7),-$E210*$I210/12*3,IF($J210=8,-$E210*$I210/12*2,IF($J210=9,-$E210*$I210/12*1,0)))))+IF(CD$5&lt;&gt;$H210,0,IF(CD210&lt;0,IF($J210=7,-$E210*$I210/12*0,IF($J210=8,-$E210*$I210/12*1,IF($J210=9,-$E210*$I210/12*2,IF($J210&gt;=10,-$E210*$I210/12*3,0))))))</f>
        <v>0</v>
      </c>
      <c r="CH210" s="443">
        <f>IF($H210&lt;&gt;CI$5,0,IF(CI210&lt;0,IF(OR($J210=1,$J210=2,$J210=3,$J210=4,$J210=5,$J210=6,$J210=7,$J210=8,$J210=9,$J210=10),-$E210*$I210/12*3,IF($J210=11,-$E210*$I210/12*2,IF($J210=12,-$E210*$I210/12*1,0)))))+IF(CD$5&lt;&gt;$H210,0,IF(CD210&lt;0,IF($J210=10,-$E210*$I210/12*0,IF($J210=11,-$E210*$I210/12*1,IF($J210=12,-$E210*$I210/12*2,0)))))</f>
        <v>0</v>
      </c>
      <c r="CI210" s="440">
        <f>IF(AND(CD210&lt;&gt;0,CD$5=$H210),-$I210*$E210-CD210,IF(CI$5=$H210,-$I210*$E210*(12-$J210+1)/12,0))</f>
        <v>0</v>
      </c>
      <c r="CJ210" s="441">
        <f>IF($H210&lt;&gt;CN$5,0,IF(CN210&lt;0,IF($J210=1,-$E210*$I210/12*3,IF($J210=2,-$E210*$I210/12*2,IF($J210=3,-$E210*$I210/12*1,0)))))+IF(CI$5&lt;&gt;$H210,0,IF(CI210&lt;0,IF($J210=1,-$E210*$I210/12*0,IF($J210=2,-$E210*$I210/12*1,IF($J210=3,-$E210*$I210/12*2,IF($J210&gt;=4,-$E210*$I210/12*3,0))))))</f>
        <v>0</v>
      </c>
      <c r="CK210" s="442">
        <f>IF($H210&lt;&gt;CN$5,0,IF(CN210&lt;0,IF(OR($J210=1,$J210=2,$J210=3,$J210=4),-$E210*$I210/12*3,IF($J210=5,-$E210*$I210/12*2,IF($J210=6,-$E210*$I210/12*1,0)))))+IF(CI$5&lt;&gt;$H210,0,IF(CI210&lt;0,IF($J210=4,-$E210*$I210/12*0,IF($J210=5,-$E210*$I210/12*1,IF($J210=6,-$E210*$I210/12*2,IF($J210&gt;=7,-$E210*$I210/12*3,0))))))</f>
        <v>0</v>
      </c>
      <c r="CL210" s="442">
        <f>IF($H210&lt;&gt;CN$5,0,IF(CN210&lt;0,IF(OR($J210=1,$J210=2,$J210=3,$J210=4,$J210=5,$J210=6,$J210=7),-$E210*$I210/12*3,IF($J210=8,-$E210*$I210/12*2,IF($J210=9,-$E210*$I210/12*1,0)))))+IF(CI$5&lt;&gt;$H210,0,IF(CI210&lt;0,IF($J210=7,-$E210*$I210/12*0,IF($J210=8,-$E210*$I210/12*1,IF($J210=9,-$E210*$I210/12*2,IF($J210&gt;=10,-$E210*$I210/12*3,0))))))</f>
        <v>0</v>
      </c>
      <c r="CM210" s="443">
        <f>IF($H210&lt;&gt;CN$5,0,IF(CN210&lt;0,IF(OR($J210=1,$J210=2,$J210=3,$J210=4,$J210=5,$J210=6,$J210=7,$J210=8,$J210=9,$J210=10),-$E210*$I210/12*3,IF($J210=11,-$E210*$I210/12*2,IF($J210=12,-$E210*$I210/12*1,0)))))+IF(CI$5&lt;&gt;$H210,0,IF(CI210&lt;0,IF($J210=10,-$E210*$I210/12*0,IF($J210=11,-$E210*$I210/12*1,IF($J210=12,-$E210*$I210/12*2,0)))))</f>
        <v>0</v>
      </c>
      <c r="CN210" s="440">
        <f>IF(AND(CI210&lt;&gt;0,CI$5=$H210),-$I210*$E210-CI210,IF(CN$5=$H210,-$I210*$E210*(12-$J210+1)/12,0))</f>
        <v>0</v>
      </c>
      <c r="CO210" s="441">
        <f>IF($H210&lt;&gt;CS$5,0,IF(CS210&lt;0,IF($J210=1,-$E210*$I210/12*3,IF($J210=2,-$E210*$I210/12*2,IF($J210=3,-$E210*$I210/12*1,0)))))+IF(CN$5&lt;&gt;$H210,0,IF(CN210&lt;0,IF($J210=1,-$E210*$I210/12*0,IF($J210=2,-$E210*$I210/12*1,IF($J210=3,-$E210*$I210/12*2,IF($J210&gt;=4,-$E210*$I210/12*3,0))))))</f>
        <v>0</v>
      </c>
      <c r="CP210" s="442">
        <f>IF($H210&lt;&gt;CS$5,0,IF(CS210&lt;0,IF(OR($J210=1,$J210=2,$J210=3,$J210=4),-$E210*$I210/12*3,IF($J210=5,-$E210*$I210/12*2,IF($J210=6,-$E210*$I210/12*1,0)))))+IF(CN$5&lt;&gt;$H210,0,IF(CN210&lt;0,IF($J210=4,-$E210*$I210/12*0,IF($J210=5,-$E210*$I210/12*1,IF($J210=6,-$E210*$I210/12*2,IF($J210&gt;=7,-$E210*$I210/12*3,0))))))</f>
        <v>0</v>
      </c>
      <c r="CQ210" s="442">
        <f>IF($H210&lt;&gt;CS$5,0,IF(CS210&lt;0,IF(OR($J210=1,$J210=2,$J210=3,$J210=4,$J210=5,$J210=6,$J210=7),-$E210*$I210/12*3,IF($J210=8,-$E210*$I210/12*2,IF($J210=9,-$E210*$I210/12*1,0)))))+IF(CN$5&lt;&gt;$H210,0,IF(CN210&lt;0,IF($J210=7,-$E210*$I210/12*0,IF($J210=8,-$E210*$I210/12*1,IF($J210=9,-$E210*$I210/12*2,IF($J210&gt;=10,-$E210*$I210/12*3,0))))))</f>
        <v>0</v>
      </c>
      <c r="CR210" s="443">
        <f>IF($H210&lt;&gt;CS$5,0,IF(CS210&lt;0,IF(OR($J210=1,$J210=2,$J210=3,$J210=4,$J210=5,$J210=6,$J210=7,$J210=8,$J210=9,$J210=10),-$E210*$I210/12*3,IF($J210=11,-$E210*$I210/12*2,IF($J210=12,-$E210*$I210/12*1,0)))))+IF(CN$5&lt;&gt;$H210,0,IF(CN210&lt;0,IF($J210=10,-$E210*$I210/12*0,IF($J210=11,-$E210*$I210/12*1,IF($J210=12,-$E210*$I210/12*2,0)))))</f>
        <v>0</v>
      </c>
      <c r="CS210" s="440">
        <f>IF(AND(CN210&lt;&gt;0,CN$5=$H210),-$I210*$E210-CN210,IF(CS$5=$H210,-$I210*$E210*(12-$J210+1)/12,0))</f>
        <v>0</v>
      </c>
      <c r="CT210" s="441">
        <f>IF($H210&lt;&gt;CX$5,0,IF(CX210&lt;0,IF($J210=1,-$E210*$I210/12*3,IF($J210=2,-$E210*$I210/12*2,IF($J210=3,-$E210*$I210/12*1,0)))))+IF(CS$5&lt;&gt;$H210,0,IF(CS210&lt;0,IF($J210=1,-$E210*$I210/12*0,IF($J210=2,-$E210*$I210/12*1,IF($J210=3,-$E210*$I210/12*2,IF($J210&gt;=4,-$E210*$I210/12*3,0))))))</f>
        <v>0</v>
      </c>
      <c r="CU210" s="442">
        <f>IF($H210&lt;&gt;CX$5,0,IF(CX210&lt;0,IF(OR($J210=1,$J210=2,$J210=3,$J210=4),-$E210*$I210/12*3,IF($J210=5,-$E210*$I210/12*2,IF($J210=6,-$E210*$I210/12*1,0)))))+IF(CS$5&lt;&gt;$H210,0,IF(CS210&lt;0,IF($J210=4,-$E210*$I210/12*0,IF($J210=5,-$E210*$I210/12*1,IF($J210=6,-$E210*$I210/12*2,IF($J210&gt;=7,-$E210*$I210/12*3,0))))))</f>
        <v>0</v>
      </c>
      <c r="CV210" s="442">
        <f>IF($H210&lt;&gt;CX$5,0,IF(CX210&lt;0,IF(OR($J210=1,$J210=2,$J210=3,$J210=4,$J210=5,$J210=6,$J210=7),-$E210*$I210/12*3,IF($J210=8,-$E210*$I210/12*2,IF($J210=9,-$E210*$I210/12*1,0)))))+IF(CS$5&lt;&gt;$H210,0,IF(CS210&lt;0,IF($J210=7,-$E210*$I210/12*0,IF($J210=8,-$E210*$I210/12*1,IF($J210=9,-$E210*$I210/12*2,IF($J210&gt;=10,-$E210*$I210/12*3,0))))))</f>
        <v>0</v>
      </c>
      <c r="CW210" s="443">
        <f>IF($H210&lt;&gt;CX$5,0,IF(CX210&lt;0,IF(OR($J210=1,$J210=2,$J210=3,$J210=4,$J210=5,$J210=6,$J210=7,$J210=8,$J210=9,$J210=10),-$E210*$I210/12*3,IF($J210=11,-$E210*$I210/12*2,IF($J210=12,-$E210*$I210/12*1,0)))))+IF(CS$5&lt;&gt;$H210,0,IF(CS210&lt;0,IF($J210=10,-$E210*$I210/12*0,IF($J210=11,-$E210*$I210/12*1,IF($J210=12,-$E210*$I210/12*2,0)))))</f>
        <v>0</v>
      </c>
      <c r="CX210" s="440">
        <f>IF(AND(CS210&lt;&gt;0,CS$5=$H210),-$I210*$E210-CS210,IF(CX$5=$H210,-$I210*$E210*(12-$J210+1)/12,0))</f>
        <v>0</v>
      </c>
      <c r="CY210" s="441">
        <f>IF($H210&lt;&gt;DC$5,0,IF(DC210&lt;0,IF($J210=1,-$E210*$I210/12*3,IF($J210=2,-$E210*$I210/12*2,IF($J210=3,-$E210*$I210/12*1,0)))))+IF(CX$5&lt;&gt;$H210,0,IF(CX210&lt;0,IF($J210=1,-$E210*$I210/12*0,IF($J210=2,-$E210*$I210/12*1,IF($J210=3,-$E210*$I210/12*2,IF($J210&gt;=4,-$E210*$I210/12*3,0))))))</f>
        <v>0</v>
      </c>
      <c r="CZ210" s="442">
        <f>IF($H210&lt;&gt;DC$5,0,IF(DC210&lt;0,IF(OR($J210=1,$J210=2,$J210=3,$J210=4),-$E210*$I210/12*3,IF($J210=5,-$E210*$I210/12*2,IF($J210=6,-$E210*$I210/12*1,0)))))+IF(CX$5&lt;&gt;$H210,0,IF(CX210&lt;0,IF($J210=4,-$E210*$I210/12*0,IF($J210=5,-$E210*$I210/12*1,IF($J210=6,-$E210*$I210/12*2,IF($J210&gt;=7,-$E210*$I210/12*3,0))))))</f>
        <v>0</v>
      </c>
      <c r="DA210" s="442">
        <f>IF($H210&lt;&gt;DC$5,0,IF(DC210&lt;0,IF(OR($J210=1,$J210=2,$J210=3,$J210=4,$J210=5,$J210=6,$J210=7),-$E210*$I210/12*3,IF($J210=8,-$E210*$I210/12*2,IF($J210=9,-$E210*$I210/12*1,0)))))+IF(CX$5&lt;&gt;$H210,0,IF(CX210&lt;0,IF($J210=7,-$E210*$I210/12*0,IF($J210=8,-$E210*$I210/12*1,IF($J210=9,-$E210*$I210/12*2,IF($J210&gt;=10,-$E210*$I210/12*3,0))))))</f>
        <v>0</v>
      </c>
      <c r="DB210" s="443">
        <f>IF($H210&lt;&gt;DC$5,0,IF(DC210&lt;0,IF(OR($J210=1,$J210=2,$J210=3,$J210=4,$J210=5,$J210=6,$J210=7,$J210=8,$J210=9,$J210=10),-$E210*$I210/12*3,IF($J210=11,-$E210*$I210/12*2,IF($J210=12,-$E210*$I210/12*1,0)))))+IF(CX$5&lt;&gt;$H210,0,IF(CX210&lt;0,IF($J210=10,-$E210*$I210/12*0,IF($J210=11,-$E210*$I210/12*1,IF($J210=12,-$E210*$I210/12*2,0)))))</f>
        <v>0</v>
      </c>
      <c r="DC210" s="440">
        <f>IF(AND(CX210&lt;&gt;0,CX$5=$H210),-$I210*$E210-CX210,IF(DC$5=$H210,-$I210*$E210*(12-$J210+1)/12,0))</f>
        <v>0</v>
      </c>
      <c r="DD210" s="441">
        <f>IF($H210&lt;&gt;DH$5,0,IF(DH210&lt;0,IF($J210=1,-$E210*$I210/12*3,IF($J210=2,-$E210*$I210/12*2,IF($J210=3,-$E210*$I210/12*1,0)))))+IF(DC$5&lt;&gt;$H210,0,IF(DC210&lt;0,IF($J210=1,-$E210*$I210/12*0,IF($J210=2,-$E210*$I210/12*1,IF($J210=3,-$E210*$I210/12*2,IF($J210&gt;=4,-$E210*$I210/12*3,0))))))</f>
        <v>0</v>
      </c>
      <c r="DE210" s="442">
        <f>IF($H210&lt;&gt;DH$5,0,IF(DH210&lt;0,IF(OR($J210=1,$J210=2,$J210=3,$J210=4),-$E210*$I210/12*3,IF($J210=5,-$E210*$I210/12*2,IF($J210=6,-$E210*$I210/12*1,0)))))+IF(DC$5&lt;&gt;$H210,0,IF(DC210&lt;0,IF($J210=4,-$E210*$I210/12*0,IF($J210=5,-$E210*$I210/12*1,IF($J210=6,-$E210*$I210/12*2,IF($J210&gt;=7,-$E210*$I210/12*3,0))))))</f>
        <v>0</v>
      </c>
      <c r="DF210" s="442">
        <f>IF($H210&lt;&gt;DH$5,0,IF(DH210&lt;0,IF(OR($J210=1,$J210=2,$J210=3,$J210=4,$J210=5,$J210=6,$J210=7),-$E210*$I210/12*3,IF($J210=8,-$E210*$I210/12*2,IF($J210=9,-$E210*$I210/12*1,0)))))+IF(DC$5&lt;&gt;$H210,0,IF(DC210&lt;0,IF($J210=7,-$E210*$I210/12*0,IF($J210=8,-$E210*$I210/12*1,IF($J210=9,-$E210*$I210/12*2,IF($J210&gt;=10,-$E210*$I210/12*3,0))))))</f>
        <v>0</v>
      </c>
      <c r="DG210" s="443">
        <f>IF($H210&lt;&gt;DH$5,0,IF(DH210&lt;0,IF(OR($J210=1,$J210=2,$J210=3,$J210=4,$J210=5,$J210=6,$J210=7,$J210=8,$J210=9,$J210=10),-$E210*$I210/12*3,IF($J210=11,-$E210*$I210/12*2,IF($J210=12,-$E210*$I210/12*1,0)))))+IF(DC$5&lt;&gt;$H210,0,IF(DC210&lt;0,IF($J210=10,-$E210*$I210/12*0,IF($J210=11,-$E210*$I210/12*1,IF($J210=12,-$E210*$I210/12*2,0)))))</f>
        <v>0</v>
      </c>
      <c r="DH210" s="440">
        <f>IF(AND(DC210&lt;&gt;0,DC$5=$H210),-$I210*$E210-DC210,IF(DH$5=$H210,-$I210*$E210*(12-$J210+1)/12,0))</f>
        <v>0</v>
      </c>
      <c r="DI210" s="441">
        <f>IF($H210&lt;&gt;DM$5,0,IF(DM210&lt;0,IF($J210=1,-$E210*$I210/12*3,IF($J210=2,-$E210*$I210/12*2,IF($J210=3,-$E210*$I210/12*1,0)))))+IF(DH$5&lt;&gt;$H210,0,IF(DH210&lt;0,IF($J210=1,-$E210*$I210/12*0,IF($J210=2,-$E210*$I210/12*1,IF($J210=3,-$E210*$I210/12*2,IF($J210&gt;=4,-$E210*$I210/12*3,0))))))</f>
        <v>0</v>
      </c>
      <c r="DJ210" s="442">
        <f>IF($H210&lt;&gt;DM$5,0,IF(DM210&lt;0,IF(OR($J210=1,$J210=2,$J210=3,$J210=4),-$E210*$I210/12*3,IF($J210=5,-$E210*$I210/12*2,IF($J210=6,-$E210*$I210/12*1,0)))))+IF(DH$5&lt;&gt;$H210,0,IF(DH210&lt;0,IF($J210=4,-$E210*$I210/12*0,IF($J210=5,-$E210*$I210/12*1,IF($J210=6,-$E210*$I210/12*2,IF($J210&gt;=7,-$E210*$I210/12*3,0))))))</f>
        <v>0</v>
      </c>
      <c r="DK210" s="442">
        <f>IF($H210&lt;&gt;DM$5,0,IF(DM210&lt;0,IF(OR($J210=1,$J210=2,$J210=3,$J210=4,$J210=5,$J210=6,$J210=7),-$E210*$I210/12*3,IF($J210=8,-$E210*$I210/12*2,IF($J210=9,-$E210*$I210/12*1,0)))))+IF(DH$5&lt;&gt;$H210,0,IF(DH210&lt;0,IF($J210=7,-$E210*$I210/12*0,IF($J210=8,-$E210*$I210/12*1,IF($J210=9,-$E210*$I210/12*2,IF($J210&gt;=10,-$E210*$I210/12*3,0))))))</f>
        <v>0</v>
      </c>
      <c r="DL210" s="443">
        <f>IF($H210&lt;&gt;DM$5,0,IF(DM210&lt;0,IF(OR($J210=1,$J210=2,$J210=3,$J210=4,$J210=5,$J210=6,$J210=7,$J210=8,$J210=9,$J210=10),-$E210*$I210/12*3,IF($J210=11,-$E210*$I210/12*2,IF($J210=12,-$E210*$I210/12*1,0)))))+IF(DH$5&lt;&gt;$H210,0,IF(DH210&lt;0,IF($J210=10,-$E210*$I210/12*0,IF($J210=11,-$E210*$I210/12*1,IF($J210=12,-$E210*$I210/12*2,0)))))</f>
        <v>0</v>
      </c>
      <c r="DM210" s="440">
        <f>IF(AND(DH210&lt;&gt;0,DH$5=$H210),-$I210*$E210-DH210,IF(DM$5=$H210,-$I210*$E210*(12-$J210+1)/12,0))</f>
        <v>0</v>
      </c>
      <c r="DN210" s="441">
        <f>IF($H210&lt;&gt;DR$5,0,IF(DR210&lt;0,IF($J210=1,-$E210*$I210/12*3,IF($J210=2,-$E210*$I210/12*2,IF($J210=3,-$E210*$I210/12*1,0)))))+IF(DM$5&lt;&gt;$H210,0,IF(DM210&lt;0,IF($J210=1,-$E210*$I210/12*0,IF($J210=2,-$E210*$I210/12*1,IF($J210=3,-$E210*$I210/12*2,IF($J210&gt;=4,-$E210*$I210/12*3,0))))))</f>
        <v>0</v>
      </c>
      <c r="DO210" s="442">
        <f>IF($H210&lt;&gt;DR$5,0,IF(DR210&lt;0,IF(OR($J210=1,$J210=2,$J210=3,$J210=4),-$E210*$I210/12*3,IF($J210=5,-$E210*$I210/12*2,IF($J210=6,-$E210*$I210/12*1,0)))))+IF(DM$5&lt;&gt;$H210,0,IF(DM210&lt;0,IF($J210=4,-$E210*$I210/12*0,IF($J210=5,-$E210*$I210/12*1,IF($J210=6,-$E210*$I210/12*2,IF($J210&gt;=7,-$E210*$I210/12*3,0))))))</f>
        <v>0</v>
      </c>
      <c r="DP210" s="442">
        <f>IF($H210&lt;&gt;DR$5,0,IF(DR210&lt;0,IF(OR($J210=1,$J210=2,$J210=3,$J210=4,$J210=5,$J210=6,$J210=7),-$E210*$I210/12*3,IF($J210=8,-$E210*$I210/12*2,IF($J210=9,-$E210*$I210/12*1,0)))))+IF(DM$5&lt;&gt;$H210,0,IF(DM210&lt;0,IF($J210=7,-$E210*$I210/12*0,IF($J210=8,-$E210*$I210/12*1,IF($J210=9,-$E210*$I210/12*2,IF($J210&gt;=10,-$E210*$I210/12*3,0))))))</f>
        <v>0</v>
      </c>
      <c r="DQ210" s="443">
        <f>IF($H210&lt;&gt;DR$5,0,IF(DR210&lt;0,IF(OR($J210=1,$J210=2,$J210=3,$J210=4,$J210=5,$J210=6,$J210=7,$J210=8,$J210=9,$J210=10),-$E210*$I210/12*3,IF($J210=11,-$E210*$I210/12*2,IF($J210=12,-$E210*$I210/12*1,0)))))+IF(DM$5&lt;&gt;$H210,0,IF(DM210&lt;0,IF($J210=10,-$E210*$I210/12*0,IF($J210=11,-$E210*$I210/12*1,IF($J210=12,-$E210*$I210/12*2,0)))))</f>
        <v>0</v>
      </c>
      <c r="DR210" s="440">
        <f>IF(AND(DM210&lt;&gt;0,DM$5=$H210),-$I210*$E210-DM210,IF(DR$5=$H210,-$I210*$E210*(12-$J210+1)/12,0))</f>
        <v>0</v>
      </c>
    </row>
    <row r="211" spans="3:122" ht="12.75" customHeight="1">
      <c r="C211" s="1123"/>
      <c r="D211" s="395"/>
      <c r="E211" s="325"/>
      <c r="F211" s="1355"/>
      <c r="G211" s="1355"/>
      <c r="H211" s="651"/>
      <c r="I211" s="650"/>
      <c r="J211" s="656"/>
      <c r="K211" s="549"/>
      <c r="L211" s="441"/>
      <c r="M211" s="442"/>
      <c r="N211" s="442"/>
      <c r="O211" s="443"/>
      <c r="P211" s="440"/>
      <c r="Q211" s="441"/>
      <c r="R211" s="442"/>
      <c r="S211" s="442"/>
      <c r="T211" s="443"/>
      <c r="U211" s="440"/>
      <c r="V211" s="441"/>
      <c r="W211" s="442"/>
      <c r="X211" s="442"/>
      <c r="Y211" s="443"/>
      <c r="Z211" s="440"/>
      <c r="AA211" s="441"/>
      <c r="AB211" s="442"/>
      <c r="AC211" s="442"/>
      <c r="AD211" s="443"/>
      <c r="AE211" s="440"/>
      <c r="AF211" s="441"/>
      <c r="AG211" s="442"/>
      <c r="AH211" s="442"/>
      <c r="AI211" s="443"/>
      <c r="AJ211" s="440"/>
      <c r="AK211" s="441"/>
      <c r="AL211" s="442"/>
      <c r="AM211" s="442"/>
      <c r="AN211" s="443"/>
      <c r="AO211" s="440"/>
      <c r="AP211" s="441"/>
      <c r="AQ211" s="442"/>
      <c r="AR211" s="442"/>
      <c r="AS211" s="443"/>
      <c r="AT211" s="440"/>
      <c r="AU211" s="441"/>
      <c r="AV211" s="442"/>
      <c r="AW211" s="442"/>
      <c r="AX211" s="443"/>
      <c r="AY211" s="440"/>
      <c r="AZ211" s="441"/>
      <c r="BA211" s="442"/>
      <c r="BB211" s="442"/>
      <c r="BC211" s="443"/>
      <c r="BD211" s="440"/>
      <c r="BE211" s="441"/>
      <c r="BF211" s="442"/>
      <c r="BG211" s="442"/>
      <c r="BH211" s="443"/>
      <c r="BI211" s="440"/>
      <c r="BJ211" s="441"/>
      <c r="BK211" s="442"/>
      <c r="BL211" s="442"/>
      <c r="BM211" s="443"/>
      <c r="BN211" s="440"/>
      <c r="BO211" s="470"/>
      <c r="BP211" s="441"/>
      <c r="BQ211" s="442"/>
      <c r="BR211" s="442"/>
      <c r="BS211" s="443"/>
      <c r="BT211" s="440"/>
      <c r="BU211" s="441"/>
      <c r="BV211" s="442"/>
      <c r="BW211" s="442"/>
      <c r="BX211" s="443"/>
      <c r="BY211" s="440"/>
      <c r="BZ211" s="441"/>
      <c r="CA211" s="442"/>
      <c r="CB211" s="442"/>
      <c r="CC211" s="443"/>
      <c r="CD211" s="440"/>
      <c r="CE211" s="441"/>
      <c r="CF211" s="442"/>
      <c r="CG211" s="442"/>
      <c r="CH211" s="443"/>
      <c r="CI211" s="440"/>
      <c r="CJ211" s="441"/>
      <c r="CK211" s="442"/>
      <c r="CL211" s="442"/>
      <c r="CM211" s="443"/>
      <c r="CN211" s="440"/>
      <c r="CO211" s="441"/>
      <c r="CP211" s="442"/>
      <c r="CQ211" s="442"/>
      <c r="CR211" s="443"/>
      <c r="CS211" s="440"/>
      <c r="CT211" s="441"/>
      <c r="CU211" s="442"/>
      <c r="CV211" s="442"/>
      <c r="CW211" s="443"/>
      <c r="CX211" s="440"/>
      <c r="CY211" s="441"/>
      <c r="CZ211" s="442"/>
      <c r="DA211" s="442"/>
      <c r="DB211" s="443"/>
      <c r="DC211" s="440"/>
      <c r="DD211" s="441"/>
      <c r="DE211" s="442"/>
      <c r="DF211" s="442"/>
      <c r="DG211" s="443"/>
      <c r="DH211" s="440"/>
      <c r="DI211" s="441"/>
      <c r="DJ211" s="442"/>
      <c r="DK211" s="442"/>
      <c r="DL211" s="443"/>
      <c r="DM211" s="440"/>
      <c r="DN211" s="441"/>
      <c r="DO211" s="442"/>
      <c r="DP211" s="442"/>
      <c r="DQ211" s="443"/>
      <c r="DR211" s="440"/>
    </row>
    <row r="212" spans="3:122">
      <c r="C212" s="1363" t="s">
        <v>327</v>
      </c>
      <c r="D212" s="395"/>
      <c r="E212" s="325"/>
      <c r="F212" s="1358"/>
      <c r="G212" s="1358"/>
      <c r="H212" s="414"/>
      <c r="I212" s="650"/>
      <c r="J212" s="656"/>
      <c r="K212" s="549"/>
      <c r="L212" s="321"/>
      <c r="M212" s="322"/>
      <c r="N212" s="322"/>
      <c r="O212" s="323"/>
      <c r="P212" s="466"/>
      <c r="Q212" s="321"/>
      <c r="R212" s="322"/>
      <c r="S212" s="322"/>
      <c r="T212" s="323"/>
      <c r="U212" s="472"/>
      <c r="V212" s="321"/>
      <c r="W212" s="322"/>
      <c r="X212" s="322"/>
      <c r="Y212" s="323"/>
      <c r="Z212" s="472"/>
      <c r="AA212" s="321"/>
      <c r="AB212" s="322"/>
      <c r="AC212" s="322"/>
      <c r="AD212" s="323"/>
      <c r="AE212" s="440"/>
      <c r="AF212" s="441"/>
      <c r="AG212" s="442"/>
      <c r="AH212" s="442"/>
      <c r="AI212" s="443"/>
      <c r="AJ212" s="440"/>
      <c r="AK212" s="441"/>
      <c r="AL212" s="442"/>
      <c r="AM212" s="442"/>
      <c r="AN212" s="443"/>
      <c r="AO212" s="440"/>
      <c r="AP212" s="441"/>
      <c r="AQ212" s="442"/>
      <c r="AR212" s="442"/>
      <c r="AS212" s="443"/>
      <c r="AT212" s="440"/>
      <c r="AU212" s="441"/>
      <c r="AV212" s="442"/>
      <c r="AW212" s="442"/>
      <c r="AX212" s="443"/>
      <c r="AY212" s="440"/>
      <c r="AZ212" s="441"/>
      <c r="BA212" s="442"/>
      <c r="BB212" s="442"/>
      <c r="BC212" s="443"/>
      <c r="BD212" s="440"/>
      <c r="BE212" s="441"/>
      <c r="BF212" s="442"/>
      <c r="BG212" s="442"/>
      <c r="BH212" s="443"/>
      <c r="BI212" s="440"/>
      <c r="BJ212" s="441"/>
      <c r="BK212" s="442"/>
      <c r="BL212" s="442"/>
      <c r="BM212" s="443"/>
      <c r="BN212" s="440"/>
      <c r="BO212" s="470"/>
      <c r="BP212" s="441"/>
      <c r="BQ212" s="442"/>
      <c r="BR212" s="442"/>
      <c r="BS212" s="443"/>
      <c r="BT212" s="440"/>
      <c r="BU212" s="441"/>
      <c r="BV212" s="442"/>
      <c r="BW212" s="442"/>
      <c r="BX212" s="443"/>
      <c r="BY212" s="440"/>
      <c r="BZ212" s="441"/>
      <c r="CA212" s="442"/>
      <c r="CB212" s="442"/>
      <c r="CC212" s="443"/>
      <c r="CD212" s="440"/>
      <c r="CE212" s="441"/>
      <c r="CF212" s="442"/>
      <c r="CG212" s="442"/>
      <c r="CH212" s="443"/>
      <c r="CI212" s="440"/>
      <c r="CJ212" s="441"/>
      <c r="CK212" s="442"/>
      <c r="CL212" s="442"/>
      <c r="CM212" s="443"/>
      <c r="CN212" s="440"/>
      <c r="CO212" s="441"/>
      <c r="CP212" s="442"/>
      <c r="CQ212" s="442"/>
      <c r="CR212" s="443"/>
      <c r="CS212" s="440"/>
      <c r="CT212" s="441"/>
      <c r="CU212" s="442"/>
      <c r="CV212" s="442"/>
      <c r="CW212" s="443"/>
      <c r="CX212" s="440"/>
      <c r="CY212" s="441"/>
      <c r="CZ212" s="442"/>
      <c r="DA212" s="442"/>
      <c r="DB212" s="443"/>
      <c r="DC212" s="440"/>
      <c r="DD212" s="441"/>
      <c r="DE212" s="442"/>
      <c r="DF212" s="442"/>
      <c r="DG212" s="443"/>
      <c r="DH212" s="440"/>
      <c r="DI212" s="441"/>
      <c r="DJ212" s="442"/>
      <c r="DK212" s="442"/>
      <c r="DL212" s="443"/>
      <c r="DM212" s="440"/>
      <c r="DN212" s="441"/>
      <c r="DO212" s="442"/>
      <c r="DP212" s="442"/>
      <c r="DQ212" s="443"/>
      <c r="DR212" s="440"/>
    </row>
    <row r="213" spans="3:122" ht="12.75" customHeight="1">
      <c r="C213" s="1590" t="s">
        <v>965</v>
      </c>
      <c r="D213" s="395"/>
      <c r="E213" s="1950">
        <f t="shared" ref="E213:E216" si="2719">IF(F213=0,G213,F213)</f>
        <v>200</v>
      </c>
      <c r="F213" s="1945">
        <v>200</v>
      </c>
      <c r="G213" s="1945">
        <v>200</v>
      </c>
      <c r="H213" s="1366">
        <v>2044</v>
      </c>
      <c r="I213" s="1367">
        <v>4.4400000000000002E-2</v>
      </c>
      <c r="J213" s="1357">
        <v>11</v>
      </c>
      <c r="K213" s="549"/>
      <c r="L213" s="441">
        <f t="shared" ref="L213:L216" si="2720">IF(P213=0,0,IF(P213&lt;0,IF($J213=3,P213,IF($J213=2,P213,IF($J213=1,P213,0)))))</f>
        <v>0</v>
      </c>
      <c r="M213" s="442">
        <f t="shared" ref="M213:M216" si="2721">IF(P213=0,0,IF(P213&lt;0,IF($J213=6,P213,IF($J213=5,P213,IF($J213=4,P213,0)))))</f>
        <v>0</v>
      </c>
      <c r="N213" s="442">
        <f t="shared" ref="N213:N216" si="2722">IF(P213=0,0,IF(P213&lt;0,IF($J213=9,P213,IF($J213=8,P213,IF($J213=7,P213,0)))))</f>
        <v>0</v>
      </c>
      <c r="O213" s="443">
        <f t="shared" ref="O213:O216" si="2723">IF(P213=0,0,IF(P213&lt;0,IF($J213=12,P213,IF($J213=11,P213,IF($J213=10,P213,0)))))</f>
        <v>0</v>
      </c>
      <c r="P213" s="440">
        <f t="shared" ref="P213:P216" si="2724">IF(P$5=$H213,-$E213,0)</f>
        <v>0</v>
      </c>
      <c r="Q213" s="441">
        <f t="shared" ref="Q213:Q216" si="2725">IF(U213=0,0,IF(U213&lt;0,IF($J213=3,U213,IF($J213=2,U213,IF($J213=1,U213,0)))))</f>
        <v>0</v>
      </c>
      <c r="R213" s="442">
        <f t="shared" ref="R213:R216" si="2726">IF(U213=0,0,IF(U213&lt;0,IF($J213=6,U213,IF($J213=5,U213,IF($J213=4,U213,0)))))</f>
        <v>0</v>
      </c>
      <c r="S213" s="442">
        <f t="shared" ref="S213:S216" si="2727">IF(U213=0,0,IF(U213&lt;0,IF($J213=9,U213,IF($J213=8,U213,IF($J213=7,U213,0)))))</f>
        <v>0</v>
      </c>
      <c r="T213" s="443">
        <f t="shared" ref="T213:T216" si="2728">IF(U213=0,0,IF(U213&lt;0,IF($J213=12,U213,IF($J213=11,U213,IF($J213=10,U213,0)))))</f>
        <v>0</v>
      </c>
      <c r="U213" s="440">
        <f t="shared" ref="U213:U216" si="2729">IF(U$5=$H213,-$E213,0)</f>
        <v>0</v>
      </c>
      <c r="V213" s="441">
        <f t="shared" ref="V213:V216" si="2730">IF(Z213=0,0,IF(Z213&lt;0,IF($J213=3,Z213,IF($J213=2,Z213,IF($J213=1,Z213,0)))))</f>
        <v>0</v>
      </c>
      <c r="W213" s="442">
        <f t="shared" ref="W213:W216" si="2731">IF(Z213=0,0,IF(Z213&lt;0,IF($J213=6,Z213,IF($J213=5,Z213,IF($J213=4,Z213,0)))))</f>
        <v>0</v>
      </c>
      <c r="X213" s="442">
        <f t="shared" ref="X213:X216" si="2732">IF(Z213=0,0,IF(Z213&lt;0,IF($J213=9,Z213,IF($J213=8,Z213,IF($J213=7,Z213,0)))))</f>
        <v>0</v>
      </c>
      <c r="Y213" s="443">
        <f t="shared" ref="Y213:Y216" si="2733">IF(Z213=0,0,IF(Z213&lt;0,IF($J213=12,Z213,IF($J213=11,Z213,IF($J213=10,Z213,0)))))</f>
        <v>0</v>
      </c>
      <c r="Z213" s="440">
        <f t="shared" ref="Z213:Z216" si="2734">IF(Z$5=$H213,-$E213,0)</f>
        <v>0</v>
      </c>
      <c r="AA213" s="441">
        <f t="shared" ref="AA213:AA216" si="2735">IF(AE213=0,0,IF(AE213&lt;0,IF($J213=3,AE213,IF($J213=2,AE213,IF($J213=1,AE213,0)))))</f>
        <v>0</v>
      </c>
      <c r="AB213" s="442">
        <f t="shared" ref="AB213:AB216" si="2736">IF(AE213=0,0,IF(AE213&lt;0,IF($J213=6,AE213,IF($J213=5,AE213,IF($J213=4,AE213,0)))))</f>
        <v>0</v>
      </c>
      <c r="AC213" s="442">
        <f t="shared" ref="AC213:AC216" si="2737">IF(AE213=0,0,IF(AE213&lt;0,IF($J213=9,AE213,IF($J213=8,AE213,IF($J213=7,AE213,0)))))</f>
        <v>0</v>
      </c>
      <c r="AD213" s="443">
        <f t="shared" ref="AD213:AD216" si="2738">IF(AE213=0,0,IF(AE213&lt;0,IF($J213=12,AE213,IF($J213=11,AE213,IF($J213=10,AE213,0)))))</f>
        <v>0</v>
      </c>
      <c r="AE213" s="440">
        <f t="shared" ref="AE213:AE216" si="2739">IF(AE$5=$H213,-$E213,0)</f>
        <v>0</v>
      </c>
      <c r="AF213" s="441">
        <f t="shared" ref="AF213:AF216" si="2740">IF(AJ213=0,0,IF(AJ213&lt;0,IF($J213=3,AJ213,IF($J213=2,AJ213,IF($J213=1,AJ213,0)))))</f>
        <v>0</v>
      </c>
      <c r="AG213" s="442">
        <f t="shared" ref="AG213:AG216" si="2741">IF(AJ213=0,0,IF(AJ213&lt;0,IF($J213=6,AJ213,IF($J213=5,AJ213,IF($J213=4,AJ213,0)))))</f>
        <v>0</v>
      </c>
      <c r="AH213" s="442">
        <f t="shared" ref="AH213:AH216" si="2742">IF(AJ213=0,0,IF(AJ213&lt;0,IF($J213=9,AJ213,IF($J213=8,AJ213,IF($J213=7,AJ213,0)))))</f>
        <v>0</v>
      </c>
      <c r="AI213" s="443">
        <f t="shared" ref="AI213:AI216" si="2743">IF(AJ213=0,0,IF(AJ213&lt;0,IF($J213=12,AJ213,IF($J213=11,AJ213,IF($J213=10,AJ213,0)))))</f>
        <v>0</v>
      </c>
      <c r="AJ213" s="440">
        <f t="shared" ref="AJ213:AJ216" si="2744">IF(AJ$5=$H213,-$E213,0)</f>
        <v>0</v>
      </c>
      <c r="AK213" s="441">
        <f t="shared" ref="AK213:AK216" si="2745">IF(AO213=0,0,IF(AO213&lt;0,IF($J213=3,AO213,IF($J213=2,AO213,IF($J213=1,AO213,0)))))</f>
        <v>0</v>
      </c>
      <c r="AL213" s="442">
        <f t="shared" ref="AL213:AL216" si="2746">IF(AO213=0,0,IF(AO213&lt;0,IF($J213=6,AO213,IF($J213=5,AO213,IF($J213=4,AO213,0)))))</f>
        <v>0</v>
      </c>
      <c r="AM213" s="442">
        <f t="shared" ref="AM213:AM216" si="2747">IF(AO213=0,0,IF(AO213&lt;0,IF($J213=9,AO213,IF($J213=8,AO213,IF($J213=7,AO213,0)))))</f>
        <v>0</v>
      </c>
      <c r="AN213" s="443">
        <f t="shared" ref="AN213:AN216" si="2748">IF(AO213=0,0,IF(AO213&lt;0,IF($J213=12,AO213,IF($J213=11,AO213,IF($J213=10,AO213,0)))))</f>
        <v>0</v>
      </c>
      <c r="AO213" s="440">
        <f t="shared" ref="AO213:AO216" si="2749">IF(AO$5=$H213,-$E213,0)</f>
        <v>0</v>
      </c>
      <c r="AP213" s="441">
        <f t="shared" ref="AP213:AP216" si="2750">IF(AT213=0,0,IF(AT213&lt;0,IF($J213=3,AT213,IF($J213=2,AT213,IF($J213=1,AT213,0)))))</f>
        <v>0</v>
      </c>
      <c r="AQ213" s="442">
        <f t="shared" ref="AQ213:AQ216" si="2751">IF(AT213=0,0,IF(AT213&lt;0,IF($J213=6,AT213,IF($J213=5,AT213,IF($J213=4,AT213,0)))))</f>
        <v>0</v>
      </c>
      <c r="AR213" s="442">
        <f t="shared" ref="AR213:AR216" si="2752">IF(AT213=0,0,IF(AT213&lt;0,IF($J213=9,AT213,IF($J213=8,AT213,IF($J213=7,AT213,0)))))</f>
        <v>0</v>
      </c>
      <c r="AS213" s="443">
        <f t="shared" ref="AS213:AS216" si="2753">IF(AT213=0,0,IF(AT213&lt;0,IF($J213=12,AT213,IF($J213=11,AT213,IF($J213=10,AT213,0)))))</f>
        <v>0</v>
      </c>
      <c r="AT213" s="440">
        <f t="shared" ref="AT213:AT216" si="2754">IF(AT$5=$H213,-$E213,0)</f>
        <v>0</v>
      </c>
      <c r="AU213" s="441">
        <f t="shared" ref="AU213:AU216" si="2755">IF(AY213=0,0,IF(AY213&lt;0,IF($J213=3,AY213,IF($J213=2,AY213,IF($J213=1,AY213,0)))))</f>
        <v>0</v>
      </c>
      <c r="AV213" s="442">
        <f t="shared" ref="AV213:AV216" si="2756">IF(AY213=0,0,IF(AY213&lt;0,IF($J213=6,AY213,IF($J213=5,AY213,IF($J213=4,AY213,0)))))</f>
        <v>0</v>
      </c>
      <c r="AW213" s="442">
        <f t="shared" ref="AW213:AW216" si="2757">IF(AY213=0,0,IF(AY213&lt;0,IF($J213=9,AY213,IF($J213=8,AY213,IF($J213=7,AY213,0)))))</f>
        <v>0</v>
      </c>
      <c r="AX213" s="443">
        <f t="shared" ref="AX213:AX216" si="2758">IF(AY213=0,0,IF(AY213&lt;0,IF($J213=12,AY213,IF($J213=11,AY213,IF($J213=10,AY213,0)))))</f>
        <v>0</v>
      </c>
      <c r="AY213" s="440">
        <f t="shared" ref="AY213:AY216" si="2759">IF(AY$5=$H213,-$E213,0)</f>
        <v>0</v>
      </c>
      <c r="AZ213" s="441">
        <f t="shared" ref="AZ213:AZ216" si="2760">IF(BD213=0,0,IF(BD213&lt;0,IF($J213=3,BD213,IF($J213=2,BD213,IF($J213=1,BD213,0)))))</f>
        <v>0</v>
      </c>
      <c r="BA213" s="442">
        <f t="shared" ref="BA213:BA216" si="2761">IF(BD213=0,0,IF(BD213&lt;0,IF($J213=6,BD213,IF($J213=5,BD213,IF($J213=4,BD213,0)))))</f>
        <v>0</v>
      </c>
      <c r="BB213" s="442">
        <f t="shared" ref="BB213:BB216" si="2762">IF(BD213=0,0,IF(BD213&lt;0,IF($J213=9,BD213,IF($J213=8,BD213,IF($J213=7,BD213,0)))))</f>
        <v>0</v>
      </c>
      <c r="BC213" s="443">
        <f t="shared" ref="BC213:BC216" si="2763">IF(BD213=0,0,IF(BD213&lt;0,IF($J213=12,BD213,IF($J213=11,BD213,IF($J213=10,BD213,0)))))</f>
        <v>0</v>
      </c>
      <c r="BD213" s="440">
        <f t="shared" ref="BD213:BD216" si="2764">IF(BD$5=$H213,-$E213,0)</f>
        <v>0</v>
      </c>
      <c r="BE213" s="441">
        <f t="shared" ref="BE213:BE216" si="2765">IF(BI213=0,0,IF(BI213&lt;0,IF($J213=3,BI213,IF($J213=2,BI213,IF($J213=1,BI213,0)))))</f>
        <v>0</v>
      </c>
      <c r="BF213" s="442">
        <f t="shared" ref="BF213:BF216" si="2766">IF(BI213=0,0,IF(BI213&lt;0,IF($J213=6,BI213,IF($J213=5,BI213,IF($J213=4,BI213,0)))))</f>
        <v>0</v>
      </c>
      <c r="BG213" s="442">
        <f t="shared" ref="BG213:BG216" si="2767">IF(BI213=0,0,IF(BI213&lt;0,IF($J213=9,BI213,IF($J213=8,BI213,IF($J213=7,BI213,0)))))</f>
        <v>0</v>
      </c>
      <c r="BH213" s="443">
        <f t="shared" ref="BH213:BH216" si="2768">IF(BI213=0,0,IF(BI213&lt;0,IF($J213=12,BI213,IF($J213=11,BI213,IF($J213=10,BI213,0)))))</f>
        <v>0</v>
      </c>
      <c r="BI213" s="440">
        <f t="shared" ref="BI213:BI216" si="2769">IF(BI$5=$H213,-$E213,0)</f>
        <v>0</v>
      </c>
      <c r="BJ213" s="441">
        <f t="shared" ref="BJ213:BJ216" si="2770">IF(BN213=0,0,IF(BN213&lt;0,IF($J213=3,BN213,IF($J213=2,BN213,IF($J213=1,BN213,0)))))</f>
        <v>0</v>
      </c>
      <c r="BK213" s="442">
        <f t="shared" ref="BK213:BK216" si="2771">IF(BN213=0,0,IF(BN213&lt;0,IF($J213=6,BN213,IF($J213=5,BN213,IF($J213=4,BN213,0)))))</f>
        <v>0</v>
      </c>
      <c r="BL213" s="442">
        <f t="shared" ref="BL213:BL216" si="2772">IF(BN213=0,0,IF(BN213&lt;0,IF($J213=9,BN213,IF($J213=8,BN213,IF($J213=7,BN213,0)))))</f>
        <v>0</v>
      </c>
      <c r="BM213" s="443">
        <f t="shared" ref="BM213:BM216" si="2773">IF(BN213=0,0,IF(BN213&lt;0,IF($J213=12,BN213,IF($J213=11,BN213,IF($J213=10,BN213,0)))))</f>
        <v>0</v>
      </c>
      <c r="BN213" s="440">
        <f t="shared" ref="BN213:BN216" si="2774">IF(BN$5=$H213,-$E213,0)</f>
        <v>0</v>
      </c>
      <c r="BO213" s="470"/>
      <c r="BP213" s="441">
        <f t="shared" ref="BP213:BP216" si="2775">IF($H213&lt;&gt;BT$5,0,IF(BT213&lt;0,IF($J213=1,-$E213*$I213/12*3,IF($J213=2,-$E213*$I213/12*2,IF($J213=3,-$E213*$I213/12*1,0)))))+IF(BO$5&lt;&gt;$H213,0,IF(BO213&lt;0,IF($J213=1,-$E213*$I213/12*0,IF($J213=2,-$E213*$I213/12*1,IF($J213=3,-$E213*$I213/12*2,IF($J213&gt;=4,-$E213*$I213/12*3,0))))))</f>
        <v>0</v>
      </c>
      <c r="BQ213" s="442">
        <f t="shared" ref="BQ213:BQ216" si="2776">IF($H213&lt;&gt;BT$5,0,IF(BT213&lt;0,IF(OR($J213=1,$J213=2,$J213=3,$J213=4),-$E213*$I213/12*3,IF($J213=5,-$E213*$I213/12*2,IF($J213=6,-$E213*$I213/12*1,0)))))+IF(BO$5&lt;&gt;$H213,0,IF(BO213&lt;0,IF($J213=4,-$E213*$I213/12*0,IF($J213=5,-$E213*$I213/12*1,IF($J213=6,-$E213*$I213/12*2,IF($J213&gt;=7,-$E213*$I213/12*3,0))))))</f>
        <v>0</v>
      </c>
      <c r="BR213" s="442">
        <f t="shared" ref="BR213:BR216" si="2777">IF($H213&lt;&gt;BT$5,0,IF(BT213&lt;0,IF(OR($J213=1,$J213=2,$J213=3,$J213=4,$J213=5,$J213=6,$J213=7),-$E213*$I213/12*3,IF($J213=8,-$E213*$I213/12*2,IF($J213=9,-$E213*$I213/12*1,0)))))+IF(BO$5&lt;&gt;$H213,0,IF(BO213&lt;0,IF($J213=7,-$E213*$I213/12*0,IF($J213=8,-$E213*$I213/12*1,IF($J213=9,-$E213*$I213/12*2,IF($J213&gt;=10,-$E213*$I213/12*3,0))))))</f>
        <v>0</v>
      </c>
      <c r="BS213" s="443">
        <f t="shared" ref="BS213:BS216" si="2778">IF($H213&lt;&gt;BT$5,0,IF(BT213&lt;0,IF(OR($J213=1,$J213=2,$J213=3,$J213=4,$J213=5,$J213=6,$J213=7,$J213=8,$J213=9,$J213=10),-$E213*$I213/12*3,IF($J213=11,-$E213*$I213/12*2,IF($J213=12,-$E213*$I213/12*1,0)))))+IF(BO$5&lt;&gt;$H213,0,IF(BO213&lt;0,IF($J213=10,-$E213*$I213/12*0,IF($J213=11,-$E213*$I213/12*1,IF($J213=12,-$E213*$I213/12*2,0)))))</f>
        <v>0</v>
      </c>
      <c r="BT213" s="440">
        <f t="shared" ref="BT213:BT216" si="2779">IF(AND(BO213&lt;&gt;0,BO$5=$H213),-$I213*$E213-BO213,IF(BT$5=$H213,-$I213*$E213*(12-$J213+1)/12,0))</f>
        <v>0</v>
      </c>
      <c r="BU213" s="441">
        <f t="shared" ref="BU213:BU216" si="2780">IF($H213&lt;&gt;BY$5,0,IF(BY213&lt;0,IF($J213=1,-$E213*$I213/12*3,IF($J213=2,-$E213*$I213/12*2,IF($J213=3,-$E213*$I213/12*1,0)))))+IF(BT$5&lt;&gt;$H213,0,IF(BT213&lt;0,IF($J213=1,-$E213*$I213/12*0,IF($J213=2,-$E213*$I213/12*1,IF($J213=3,-$E213*$I213/12*2,IF($J213&gt;=4,-$E213*$I213/12*3,0))))))</f>
        <v>0</v>
      </c>
      <c r="BV213" s="442">
        <f t="shared" ref="BV213:BV216" si="2781">IF($H213&lt;&gt;BY$5,0,IF(BY213&lt;0,IF(OR($J213=1,$J213=2,$J213=3,$J213=4),-$E213*$I213/12*3,IF($J213=5,-$E213*$I213/12*2,IF($J213=6,-$E213*$I213/12*1,0)))))+IF(BT$5&lt;&gt;$H213,0,IF(BT213&lt;0,IF($J213=4,-$E213*$I213/12*0,IF($J213=5,-$E213*$I213/12*1,IF($J213=6,-$E213*$I213/12*2,IF($J213&gt;=7,-$E213*$I213/12*3,0))))))</f>
        <v>0</v>
      </c>
      <c r="BW213" s="442">
        <f t="shared" ref="BW213:BW216" si="2782">IF($H213&lt;&gt;BY$5,0,IF(BY213&lt;0,IF(OR($J213=1,$J213=2,$J213=3,$J213=4,$J213=5,$J213=6,$J213=7),-$E213*$I213/12*3,IF($J213=8,-$E213*$I213/12*2,IF($J213=9,-$E213*$I213/12*1,0)))))+IF(BT$5&lt;&gt;$H213,0,IF(BT213&lt;0,IF($J213=7,-$E213*$I213/12*0,IF($J213=8,-$E213*$I213/12*1,IF($J213=9,-$E213*$I213/12*2,IF($J213&gt;=10,-$E213*$I213/12*3,0))))))</f>
        <v>0</v>
      </c>
      <c r="BX213" s="443">
        <f t="shared" ref="BX213:BX216" si="2783">IF($H213&lt;&gt;BY$5,0,IF(BY213&lt;0,IF(OR($J213=1,$J213=2,$J213=3,$J213=4,$J213=5,$J213=6,$J213=7,$J213=8,$J213=9,$J213=10),-$E213*$I213/12*3,IF($J213=11,-$E213*$I213/12*2,IF($J213=12,-$E213*$I213/12*1,0)))))+IF(BT$5&lt;&gt;$H213,0,IF(BT213&lt;0,IF($J213=10,-$E213*$I213/12*0,IF($J213=11,-$E213*$I213/12*1,IF($J213=12,-$E213*$I213/12*2,0)))))</f>
        <v>0</v>
      </c>
      <c r="BY213" s="440">
        <f t="shared" ref="BY213:BY216" si="2784">IF(AND(BT213&lt;&gt;0,BT$5=$H213),-$I213*$E213-BT213,IF(BY$5=$H213,-$I213*$E213*(12-$J213+1)/12,0))</f>
        <v>0</v>
      </c>
      <c r="BZ213" s="441">
        <f t="shared" ref="BZ213:BZ216" si="2785">IF($H213&lt;&gt;CD$5,0,IF(CD213&lt;0,IF($J213=1,-$E213*$I213/12*3,IF($J213=2,-$E213*$I213/12*2,IF($J213=3,-$E213*$I213/12*1,0)))))+IF(BY$5&lt;&gt;$H213,0,IF(BY213&lt;0,IF($J213=1,-$E213*$I213/12*0,IF($J213=2,-$E213*$I213/12*1,IF($J213=3,-$E213*$I213/12*2,IF($J213&gt;=4,-$E213*$I213/12*3,0))))))</f>
        <v>0</v>
      </c>
      <c r="CA213" s="442">
        <f t="shared" ref="CA213:CA216" si="2786">IF($H213&lt;&gt;CD$5,0,IF(CD213&lt;0,IF(OR($J213=1,$J213=2,$J213=3,$J213=4),-$E213*$I213/12*3,IF($J213=5,-$E213*$I213/12*2,IF($J213=6,-$E213*$I213/12*1,0)))))+IF(BY$5&lt;&gt;$H213,0,IF(BY213&lt;0,IF($J213=4,-$E213*$I213/12*0,IF($J213=5,-$E213*$I213/12*1,IF($J213=6,-$E213*$I213/12*2,IF($J213&gt;=7,-$E213*$I213/12*3,0))))))</f>
        <v>0</v>
      </c>
      <c r="CB213" s="442">
        <f t="shared" ref="CB213:CB216" si="2787">IF($H213&lt;&gt;CD$5,0,IF(CD213&lt;0,IF(OR($J213=1,$J213=2,$J213=3,$J213=4,$J213=5,$J213=6,$J213=7),-$E213*$I213/12*3,IF($J213=8,-$E213*$I213/12*2,IF($J213=9,-$E213*$I213/12*1,0)))))+IF(BY$5&lt;&gt;$H213,0,IF(BY213&lt;0,IF($J213=7,-$E213*$I213/12*0,IF($J213=8,-$E213*$I213/12*1,IF($J213=9,-$E213*$I213/12*2,IF($J213&gt;=10,-$E213*$I213/12*3,0))))))</f>
        <v>0</v>
      </c>
      <c r="CC213" s="443">
        <f t="shared" ref="CC213:CC216" si="2788">IF($H213&lt;&gt;CD$5,0,IF(CD213&lt;0,IF(OR($J213=1,$J213=2,$J213=3,$J213=4,$J213=5,$J213=6,$J213=7,$J213=8,$J213=9,$J213=10),-$E213*$I213/12*3,IF($J213=11,-$E213*$I213/12*2,IF($J213=12,-$E213*$I213/12*1,0)))))+IF(BY$5&lt;&gt;$H213,0,IF(BY213&lt;0,IF($J213=10,-$E213*$I213/12*0,IF($J213=11,-$E213*$I213/12*1,IF($J213=12,-$E213*$I213/12*2,0)))))</f>
        <v>0</v>
      </c>
      <c r="CD213" s="440">
        <f t="shared" ref="CD213:CD216" si="2789">IF(AND(BY213&lt;&gt;0,BY$5=$H213),-$I213*$E213-BY213,IF(CD$5=$H213,-$I213*$E213*(12-$J213+1)/12,0))</f>
        <v>0</v>
      </c>
      <c r="CE213" s="441">
        <f t="shared" ref="CE213:CE216" si="2790">IF($H213&lt;&gt;CI$5,0,IF(CI213&lt;0,IF($J213=1,-$E213*$I213/12*3,IF($J213=2,-$E213*$I213/12*2,IF($J213=3,-$E213*$I213/12*1,0)))))+IF(CD$5&lt;&gt;$H213,0,IF(CD213&lt;0,IF($J213=1,-$E213*$I213/12*0,IF($J213=2,-$E213*$I213/12*1,IF($J213=3,-$E213*$I213/12*2,IF($J213&gt;=4,-$E213*$I213/12*3,0))))))</f>
        <v>0</v>
      </c>
      <c r="CF213" s="442">
        <f t="shared" ref="CF213:CF216" si="2791">IF($H213&lt;&gt;CI$5,0,IF(CI213&lt;0,IF(OR($J213=1,$J213=2,$J213=3,$J213=4),-$E213*$I213/12*3,IF($J213=5,-$E213*$I213/12*2,IF($J213=6,-$E213*$I213/12*1,0)))))+IF(CD$5&lt;&gt;$H213,0,IF(CD213&lt;0,IF($J213=4,-$E213*$I213/12*0,IF($J213=5,-$E213*$I213/12*1,IF($J213=6,-$E213*$I213/12*2,IF($J213&gt;=7,-$E213*$I213/12*3,0))))))</f>
        <v>0</v>
      </c>
      <c r="CG213" s="442">
        <f t="shared" ref="CG213:CG216" si="2792">IF($H213&lt;&gt;CI$5,0,IF(CI213&lt;0,IF(OR($J213=1,$J213=2,$J213=3,$J213=4,$J213=5,$J213=6,$J213=7),-$E213*$I213/12*3,IF($J213=8,-$E213*$I213/12*2,IF($J213=9,-$E213*$I213/12*1,0)))))+IF(CD$5&lt;&gt;$H213,0,IF(CD213&lt;0,IF($J213=7,-$E213*$I213/12*0,IF($J213=8,-$E213*$I213/12*1,IF($J213=9,-$E213*$I213/12*2,IF($J213&gt;=10,-$E213*$I213/12*3,0))))))</f>
        <v>0</v>
      </c>
      <c r="CH213" s="443">
        <f t="shared" ref="CH213:CH216" si="2793">IF($H213&lt;&gt;CI$5,0,IF(CI213&lt;0,IF(OR($J213=1,$J213=2,$J213=3,$J213=4,$J213=5,$J213=6,$J213=7,$J213=8,$J213=9,$J213=10),-$E213*$I213/12*3,IF($J213=11,-$E213*$I213/12*2,IF($J213=12,-$E213*$I213/12*1,0)))))+IF(CD$5&lt;&gt;$H213,0,IF(CD213&lt;0,IF($J213=10,-$E213*$I213/12*0,IF($J213=11,-$E213*$I213/12*1,IF($J213=12,-$E213*$I213/12*2,0)))))</f>
        <v>0</v>
      </c>
      <c r="CI213" s="440">
        <f t="shared" ref="CI213:CI216" si="2794">IF(AND(CD213&lt;&gt;0,CD$5=$H213),-$I213*$E213-CD213,IF(CI$5=$H213,-$I213*$E213*(12-$J213+1)/12,0))</f>
        <v>0</v>
      </c>
      <c r="CJ213" s="441">
        <f t="shared" ref="CJ213:CJ216" si="2795">IF($H213&lt;&gt;CN$5,0,IF(CN213&lt;0,IF($J213=1,-$E213*$I213/12*3,IF($J213=2,-$E213*$I213/12*2,IF($J213=3,-$E213*$I213/12*1,0)))))+IF(CI$5&lt;&gt;$H213,0,IF(CI213&lt;0,IF($J213=1,-$E213*$I213/12*0,IF($J213=2,-$E213*$I213/12*1,IF($J213=3,-$E213*$I213/12*2,IF($J213&gt;=4,-$E213*$I213/12*3,0))))))</f>
        <v>0</v>
      </c>
      <c r="CK213" s="442">
        <f t="shared" ref="CK213:CK216" si="2796">IF($H213&lt;&gt;CN$5,0,IF(CN213&lt;0,IF(OR($J213=1,$J213=2,$J213=3,$J213=4),-$E213*$I213/12*3,IF($J213=5,-$E213*$I213/12*2,IF($J213=6,-$E213*$I213/12*1,0)))))+IF(CI$5&lt;&gt;$H213,0,IF(CI213&lt;0,IF($J213=4,-$E213*$I213/12*0,IF($J213=5,-$E213*$I213/12*1,IF($J213=6,-$E213*$I213/12*2,IF($J213&gt;=7,-$E213*$I213/12*3,0))))))</f>
        <v>0</v>
      </c>
      <c r="CL213" s="442">
        <f t="shared" ref="CL213:CL216" si="2797">IF($H213&lt;&gt;CN$5,0,IF(CN213&lt;0,IF(OR($J213=1,$J213=2,$J213=3,$J213=4,$J213=5,$J213=6,$J213=7),-$E213*$I213/12*3,IF($J213=8,-$E213*$I213/12*2,IF($J213=9,-$E213*$I213/12*1,0)))))+IF(CI$5&lt;&gt;$H213,0,IF(CI213&lt;0,IF($J213=7,-$E213*$I213/12*0,IF($J213=8,-$E213*$I213/12*1,IF($J213=9,-$E213*$I213/12*2,IF($J213&gt;=10,-$E213*$I213/12*3,0))))))</f>
        <v>0</v>
      </c>
      <c r="CM213" s="443">
        <f t="shared" ref="CM213:CM216" si="2798">IF($H213&lt;&gt;CN$5,0,IF(CN213&lt;0,IF(OR($J213=1,$J213=2,$J213=3,$J213=4,$J213=5,$J213=6,$J213=7,$J213=8,$J213=9,$J213=10),-$E213*$I213/12*3,IF($J213=11,-$E213*$I213/12*2,IF($J213=12,-$E213*$I213/12*1,0)))))+IF(CI$5&lt;&gt;$H213,0,IF(CI213&lt;0,IF($J213=10,-$E213*$I213/12*0,IF($J213=11,-$E213*$I213/12*1,IF($J213=12,-$E213*$I213/12*2,0)))))</f>
        <v>0</v>
      </c>
      <c r="CN213" s="440">
        <f t="shared" ref="CN213:CN216" si="2799">IF(AND(CI213&lt;&gt;0,CI$5=$H213),-$I213*$E213-CI213,IF(CN$5=$H213,-$I213*$E213*(12-$J213+1)/12,0))</f>
        <v>0</v>
      </c>
      <c r="CO213" s="441">
        <f t="shared" ref="CO213:CO216" si="2800">IF($H213&lt;&gt;CS$5,0,IF(CS213&lt;0,IF($J213=1,-$E213*$I213/12*3,IF($J213=2,-$E213*$I213/12*2,IF($J213=3,-$E213*$I213/12*1,0)))))+IF(CN$5&lt;&gt;$H213,0,IF(CN213&lt;0,IF($J213=1,-$E213*$I213/12*0,IF($J213=2,-$E213*$I213/12*1,IF($J213=3,-$E213*$I213/12*2,IF($J213&gt;=4,-$E213*$I213/12*3,0))))))</f>
        <v>0</v>
      </c>
      <c r="CP213" s="442">
        <f t="shared" ref="CP213:CP216" si="2801">IF($H213&lt;&gt;CS$5,0,IF(CS213&lt;0,IF(OR($J213=1,$J213=2,$J213=3,$J213=4),-$E213*$I213/12*3,IF($J213=5,-$E213*$I213/12*2,IF($J213=6,-$E213*$I213/12*1,0)))))+IF(CN$5&lt;&gt;$H213,0,IF(CN213&lt;0,IF($J213=4,-$E213*$I213/12*0,IF($J213=5,-$E213*$I213/12*1,IF($J213=6,-$E213*$I213/12*2,IF($J213&gt;=7,-$E213*$I213/12*3,0))))))</f>
        <v>0</v>
      </c>
      <c r="CQ213" s="442">
        <f t="shared" ref="CQ213:CQ216" si="2802">IF($H213&lt;&gt;CS$5,0,IF(CS213&lt;0,IF(OR($J213=1,$J213=2,$J213=3,$J213=4,$J213=5,$J213=6,$J213=7),-$E213*$I213/12*3,IF($J213=8,-$E213*$I213/12*2,IF($J213=9,-$E213*$I213/12*1,0)))))+IF(CN$5&lt;&gt;$H213,0,IF(CN213&lt;0,IF($J213=7,-$E213*$I213/12*0,IF($J213=8,-$E213*$I213/12*1,IF($J213=9,-$E213*$I213/12*2,IF($J213&gt;=10,-$E213*$I213/12*3,0))))))</f>
        <v>0</v>
      </c>
      <c r="CR213" s="443">
        <f t="shared" ref="CR213:CR216" si="2803">IF($H213&lt;&gt;CS$5,0,IF(CS213&lt;0,IF(OR($J213=1,$J213=2,$J213=3,$J213=4,$J213=5,$J213=6,$J213=7,$J213=8,$J213=9,$J213=10),-$E213*$I213/12*3,IF($J213=11,-$E213*$I213/12*2,IF($J213=12,-$E213*$I213/12*1,0)))))+IF(CN$5&lt;&gt;$H213,0,IF(CN213&lt;0,IF($J213=10,-$E213*$I213/12*0,IF($J213=11,-$E213*$I213/12*1,IF($J213=12,-$E213*$I213/12*2,0)))))</f>
        <v>0</v>
      </c>
      <c r="CS213" s="440">
        <f t="shared" ref="CS213:CS216" si="2804">IF(AND(CN213&lt;&gt;0,CN$5=$H213),-$I213*$E213-CN213,IF(CS$5=$H213,-$I213*$E213*(12-$J213+1)/12,0))</f>
        <v>0</v>
      </c>
      <c r="CT213" s="441">
        <f t="shared" ref="CT213:CT216" si="2805">IF($H213&lt;&gt;CX$5,0,IF(CX213&lt;0,IF($J213=1,-$E213*$I213/12*3,IF($J213=2,-$E213*$I213/12*2,IF($J213=3,-$E213*$I213/12*1,0)))))+IF(CS$5&lt;&gt;$H213,0,IF(CS213&lt;0,IF($J213=1,-$E213*$I213/12*0,IF($J213=2,-$E213*$I213/12*1,IF($J213=3,-$E213*$I213/12*2,IF($J213&gt;=4,-$E213*$I213/12*3,0))))))</f>
        <v>0</v>
      </c>
      <c r="CU213" s="442">
        <f t="shared" ref="CU213:CU216" si="2806">IF($H213&lt;&gt;CX$5,0,IF(CX213&lt;0,IF(OR($J213=1,$J213=2,$J213=3,$J213=4),-$E213*$I213/12*3,IF($J213=5,-$E213*$I213/12*2,IF($J213=6,-$E213*$I213/12*1,0)))))+IF(CS$5&lt;&gt;$H213,0,IF(CS213&lt;0,IF($J213=4,-$E213*$I213/12*0,IF($J213=5,-$E213*$I213/12*1,IF($J213=6,-$E213*$I213/12*2,IF($J213&gt;=7,-$E213*$I213/12*3,0))))))</f>
        <v>0</v>
      </c>
      <c r="CV213" s="442">
        <f t="shared" ref="CV213:CV216" si="2807">IF($H213&lt;&gt;CX$5,0,IF(CX213&lt;0,IF(OR($J213=1,$J213=2,$J213=3,$J213=4,$J213=5,$J213=6,$J213=7),-$E213*$I213/12*3,IF($J213=8,-$E213*$I213/12*2,IF($J213=9,-$E213*$I213/12*1,0)))))+IF(CS$5&lt;&gt;$H213,0,IF(CS213&lt;0,IF($J213=7,-$E213*$I213/12*0,IF($J213=8,-$E213*$I213/12*1,IF($J213=9,-$E213*$I213/12*2,IF($J213&gt;=10,-$E213*$I213/12*3,0))))))</f>
        <v>0</v>
      </c>
      <c r="CW213" s="443">
        <f t="shared" ref="CW213:CW216" si="2808">IF($H213&lt;&gt;CX$5,0,IF(CX213&lt;0,IF(OR($J213=1,$J213=2,$J213=3,$J213=4,$J213=5,$J213=6,$J213=7,$J213=8,$J213=9,$J213=10),-$E213*$I213/12*3,IF($J213=11,-$E213*$I213/12*2,IF($J213=12,-$E213*$I213/12*1,0)))))+IF(CS$5&lt;&gt;$H213,0,IF(CS213&lt;0,IF($J213=10,-$E213*$I213/12*0,IF($J213=11,-$E213*$I213/12*1,IF($J213=12,-$E213*$I213/12*2,0)))))</f>
        <v>0</v>
      </c>
      <c r="CX213" s="440">
        <f t="shared" ref="CX213:CX216" si="2809">IF(AND(CS213&lt;&gt;0,CS$5=$H213),-$I213*$E213-CS213,IF(CX$5=$H213,-$I213*$E213*(12-$J213+1)/12,0))</f>
        <v>0</v>
      </c>
      <c r="CY213" s="441">
        <f t="shared" ref="CY213:CY216" si="2810">IF($H213&lt;&gt;DC$5,0,IF(DC213&lt;0,IF($J213=1,-$E213*$I213/12*3,IF($J213=2,-$E213*$I213/12*2,IF($J213=3,-$E213*$I213/12*1,0)))))+IF(CX$5&lt;&gt;$H213,0,IF(CX213&lt;0,IF($J213=1,-$E213*$I213/12*0,IF($J213=2,-$E213*$I213/12*1,IF($J213=3,-$E213*$I213/12*2,IF($J213&gt;=4,-$E213*$I213/12*3,0))))))</f>
        <v>0</v>
      </c>
      <c r="CZ213" s="442">
        <f t="shared" ref="CZ213:CZ216" si="2811">IF($H213&lt;&gt;DC$5,0,IF(DC213&lt;0,IF(OR($J213=1,$J213=2,$J213=3,$J213=4),-$E213*$I213/12*3,IF($J213=5,-$E213*$I213/12*2,IF($J213=6,-$E213*$I213/12*1,0)))))+IF(CX$5&lt;&gt;$H213,0,IF(CX213&lt;0,IF($J213=4,-$E213*$I213/12*0,IF($J213=5,-$E213*$I213/12*1,IF($J213=6,-$E213*$I213/12*2,IF($J213&gt;=7,-$E213*$I213/12*3,0))))))</f>
        <v>0</v>
      </c>
      <c r="DA213" s="442">
        <f t="shared" ref="DA213:DA216" si="2812">IF($H213&lt;&gt;DC$5,0,IF(DC213&lt;0,IF(OR($J213=1,$J213=2,$J213=3,$J213=4,$J213=5,$J213=6,$J213=7),-$E213*$I213/12*3,IF($J213=8,-$E213*$I213/12*2,IF($J213=9,-$E213*$I213/12*1,0)))))+IF(CX$5&lt;&gt;$H213,0,IF(CX213&lt;0,IF($J213=7,-$E213*$I213/12*0,IF($J213=8,-$E213*$I213/12*1,IF($J213=9,-$E213*$I213/12*2,IF($J213&gt;=10,-$E213*$I213/12*3,0))))))</f>
        <v>0</v>
      </c>
      <c r="DB213" s="443">
        <f t="shared" ref="DB213:DB216" si="2813">IF($H213&lt;&gt;DC$5,0,IF(DC213&lt;0,IF(OR($J213=1,$J213=2,$J213=3,$J213=4,$J213=5,$J213=6,$J213=7,$J213=8,$J213=9,$J213=10),-$E213*$I213/12*3,IF($J213=11,-$E213*$I213/12*2,IF($J213=12,-$E213*$I213/12*1,0)))))+IF(CX$5&lt;&gt;$H213,0,IF(CX213&lt;0,IF($J213=10,-$E213*$I213/12*0,IF($J213=11,-$E213*$I213/12*1,IF($J213=12,-$E213*$I213/12*2,0)))))</f>
        <v>0</v>
      </c>
      <c r="DC213" s="440">
        <f t="shared" ref="DC213:DC216" si="2814">IF(AND(CX213&lt;&gt;0,CX$5=$H213),-$I213*$E213-CX213,IF(DC$5=$H213,-$I213*$E213*(12-$J213+1)/12,0))</f>
        <v>0</v>
      </c>
      <c r="DD213" s="441">
        <f t="shared" ref="DD213:DD216" si="2815">IF($H213&lt;&gt;DH$5,0,IF(DH213&lt;0,IF($J213=1,-$E213*$I213/12*3,IF($J213=2,-$E213*$I213/12*2,IF($J213=3,-$E213*$I213/12*1,0)))))+IF(DC$5&lt;&gt;$H213,0,IF(DC213&lt;0,IF($J213=1,-$E213*$I213/12*0,IF($J213=2,-$E213*$I213/12*1,IF($J213=3,-$E213*$I213/12*2,IF($J213&gt;=4,-$E213*$I213/12*3,0))))))</f>
        <v>0</v>
      </c>
      <c r="DE213" s="442">
        <f t="shared" ref="DE213:DE216" si="2816">IF($H213&lt;&gt;DH$5,0,IF(DH213&lt;0,IF(OR($J213=1,$J213=2,$J213=3,$J213=4),-$E213*$I213/12*3,IF($J213=5,-$E213*$I213/12*2,IF($J213=6,-$E213*$I213/12*1,0)))))+IF(DC$5&lt;&gt;$H213,0,IF(DC213&lt;0,IF($J213=4,-$E213*$I213/12*0,IF($J213=5,-$E213*$I213/12*1,IF($J213=6,-$E213*$I213/12*2,IF($J213&gt;=7,-$E213*$I213/12*3,0))))))</f>
        <v>0</v>
      </c>
      <c r="DF213" s="442">
        <f t="shared" ref="DF213:DF216" si="2817">IF($H213&lt;&gt;DH$5,0,IF(DH213&lt;0,IF(OR($J213=1,$J213=2,$J213=3,$J213=4,$J213=5,$J213=6,$J213=7),-$E213*$I213/12*3,IF($J213=8,-$E213*$I213/12*2,IF($J213=9,-$E213*$I213/12*1,0)))))+IF(DC$5&lt;&gt;$H213,0,IF(DC213&lt;0,IF($J213=7,-$E213*$I213/12*0,IF($J213=8,-$E213*$I213/12*1,IF($J213=9,-$E213*$I213/12*2,IF($J213&gt;=10,-$E213*$I213/12*3,0))))))</f>
        <v>0</v>
      </c>
      <c r="DG213" s="443">
        <f t="shared" ref="DG213:DG216" si="2818">IF($H213&lt;&gt;DH$5,0,IF(DH213&lt;0,IF(OR($J213=1,$J213=2,$J213=3,$J213=4,$J213=5,$J213=6,$J213=7,$J213=8,$J213=9,$J213=10),-$E213*$I213/12*3,IF($J213=11,-$E213*$I213/12*2,IF($J213=12,-$E213*$I213/12*1,0)))))+IF(DC$5&lt;&gt;$H213,0,IF(DC213&lt;0,IF($J213=10,-$E213*$I213/12*0,IF($J213=11,-$E213*$I213/12*1,IF($J213=12,-$E213*$I213/12*2,0)))))</f>
        <v>0</v>
      </c>
      <c r="DH213" s="440">
        <f t="shared" ref="DH213:DH216" si="2819">IF(AND(DC213&lt;&gt;0,DC$5=$H213),-$I213*$E213-DC213,IF(DH$5=$H213,-$I213*$E213*(12-$J213+1)/12,0))</f>
        <v>0</v>
      </c>
      <c r="DI213" s="441">
        <f t="shared" ref="DI213:DI216" si="2820">IF($H213&lt;&gt;DM$5,0,IF(DM213&lt;0,IF($J213=1,-$E213*$I213/12*3,IF($J213=2,-$E213*$I213/12*2,IF($J213=3,-$E213*$I213/12*1,0)))))+IF(DH$5&lt;&gt;$H213,0,IF(DH213&lt;0,IF($J213=1,-$E213*$I213/12*0,IF($J213=2,-$E213*$I213/12*1,IF($J213=3,-$E213*$I213/12*2,IF($J213&gt;=4,-$E213*$I213/12*3,0))))))</f>
        <v>0</v>
      </c>
      <c r="DJ213" s="442">
        <f t="shared" ref="DJ213:DJ216" si="2821">IF($H213&lt;&gt;DM$5,0,IF(DM213&lt;0,IF(OR($J213=1,$J213=2,$J213=3,$J213=4),-$E213*$I213/12*3,IF($J213=5,-$E213*$I213/12*2,IF($J213=6,-$E213*$I213/12*1,0)))))+IF(DH$5&lt;&gt;$H213,0,IF(DH213&lt;0,IF($J213=4,-$E213*$I213/12*0,IF($J213=5,-$E213*$I213/12*1,IF($J213=6,-$E213*$I213/12*2,IF($J213&gt;=7,-$E213*$I213/12*3,0))))))</f>
        <v>0</v>
      </c>
      <c r="DK213" s="442">
        <f t="shared" ref="DK213:DK216" si="2822">IF($H213&lt;&gt;DM$5,0,IF(DM213&lt;0,IF(OR($J213=1,$J213=2,$J213=3,$J213=4,$J213=5,$J213=6,$J213=7),-$E213*$I213/12*3,IF($J213=8,-$E213*$I213/12*2,IF($J213=9,-$E213*$I213/12*1,0)))))+IF(DH$5&lt;&gt;$H213,0,IF(DH213&lt;0,IF($J213=7,-$E213*$I213/12*0,IF($J213=8,-$E213*$I213/12*1,IF($J213=9,-$E213*$I213/12*2,IF($J213&gt;=10,-$E213*$I213/12*3,0))))))</f>
        <v>0</v>
      </c>
      <c r="DL213" s="443">
        <f t="shared" ref="DL213:DL216" si="2823">IF($H213&lt;&gt;DM$5,0,IF(DM213&lt;0,IF(OR($J213=1,$J213=2,$J213=3,$J213=4,$J213=5,$J213=6,$J213=7,$J213=8,$J213=9,$J213=10),-$E213*$I213/12*3,IF($J213=11,-$E213*$I213/12*2,IF($J213=12,-$E213*$I213/12*1,0)))))+IF(DH$5&lt;&gt;$H213,0,IF(DH213&lt;0,IF($J213=10,-$E213*$I213/12*0,IF($J213=11,-$E213*$I213/12*1,IF($J213=12,-$E213*$I213/12*2,0)))))</f>
        <v>0</v>
      </c>
      <c r="DM213" s="440">
        <f t="shared" ref="DM213:DM216" si="2824">IF(AND(DH213&lt;&gt;0,DH$5=$H213),-$I213*$E213-DH213,IF(DM$5=$H213,-$I213*$E213*(12-$J213+1)/12,0))</f>
        <v>0</v>
      </c>
      <c r="DN213" s="441">
        <f t="shared" ref="DN213:DN216" si="2825">IF($H213&lt;&gt;DR$5,0,IF(DR213&lt;0,IF($J213=1,-$E213*$I213/12*3,IF($J213=2,-$E213*$I213/12*2,IF($J213=3,-$E213*$I213/12*1,0)))))+IF(DM$5&lt;&gt;$H213,0,IF(DM213&lt;0,IF($J213=1,-$E213*$I213/12*0,IF($J213=2,-$E213*$I213/12*1,IF($J213=3,-$E213*$I213/12*2,IF($J213&gt;=4,-$E213*$I213/12*3,0))))))</f>
        <v>0</v>
      </c>
      <c r="DO213" s="442">
        <f t="shared" ref="DO213:DO216" si="2826">IF($H213&lt;&gt;DR$5,0,IF(DR213&lt;0,IF(OR($J213=1,$J213=2,$J213=3,$J213=4),-$E213*$I213/12*3,IF($J213=5,-$E213*$I213/12*2,IF($J213=6,-$E213*$I213/12*1,0)))))+IF(DM$5&lt;&gt;$H213,0,IF(DM213&lt;0,IF($J213=4,-$E213*$I213/12*0,IF($J213=5,-$E213*$I213/12*1,IF($J213=6,-$E213*$I213/12*2,IF($J213&gt;=7,-$E213*$I213/12*3,0))))))</f>
        <v>0</v>
      </c>
      <c r="DP213" s="442">
        <f t="shared" ref="DP213:DP216" si="2827">IF($H213&lt;&gt;DR$5,0,IF(DR213&lt;0,IF(OR($J213=1,$J213=2,$J213=3,$J213=4,$J213=5,$J213=6,$J213=7),-$E213*$I213/12*3,IF($J213=8,-$E213*$I213/12*2,IF($J213=9,-$E213*$I213/12*1,0)))))+IF(DM$5&lt;&gt;$H213,0,IF(DM213&lt;0,IF($J213=7,-$E213*$I213/12*0,IF($J213=8,-$E213*$I213/12*1,IF($J213=9,-$E213*$I213/12*2,IF($J213&gt;=10,-$E213*$I213/12*3,0))))))</f>
        <v>0</v>
      </c>
      <c r="DQ213" s="443">
        <f t="shared" ref="DQ213:DQ216" si="2828">IF($H213&lt;&gt;DR$5,0,IF(DR213&lt;0,IF(OR($J213=1,$J213=2,$J213=3,$J213=4,$J213=5,$J213=6,$J213=7,$J213=8,$J213=9,$J213=10),-$E213*$I213/12*3,IF($J213=11,-$E213*$I213/12*2,IF($J213=12,-$E213*$I213/12*1,0)))))+IF(DM$5&lt;&gt;$H213,0,IF(DM213&lt;0,IF($J213=10,-$E213*$I213/12*0,IF($J213=11,-$E213*$I213/12*1,IF($J213=12,-$E213*$I213/12*2,0)))))</f>
        <v>0</v>
      </c>
      <c r="DR213" s="440">
        <f t="shared" ref="DR213:DR216" si="2829">IF(AND(DM213&lt;&gt;0,DM$5=$H213),-$I213*$E213-DM213,IF(DR$5=$H213,-$I213*$E213*(12-$J213+1)/12,0))</f>
        <v>0</v>
      </c>
    </row>
    <row r="214" spans="3:122" ht="12.75" customHeight="1">
      <c r="C214" s="1946" t="s">
        <v>1008</v>
      </c>
      <c r="D214" s="1953"/>
      <c r="E214" s="1950">
        <f>IF(F214=0,G214,F214)</f>
        <v>145</v>
      </c>
      <c r="F214" s="1757">
        <v>145</v>
      </c>
      <c r="G214" s="1757">
        <v>145</v>
      </c>
      <c r="H214" s="1366">
        <v>2045</v>
      </c>
      <c r="I214" s="1367">
        <v>4.4699999999999997E-2</v>
      </c>
      <c r="J214" s="1357">
        <v>8</v>
      </c>
      <c r="K214" s="549"/>
      <c r="L214" s="441">
        <f>IF(P214=0,0,IF(P214&lt;0,IF($J214=3,P214,IF($J214=2,P214,IF($J214=1,P214,0)))))</f>
        <v>0</v>
      </c>
      <c r="M214" s="442">
        <f>IF(P214=0,0,IF(P214&lt;0,IF($J214=6,P214,IF($J214=5,P214,IF($J214=4,P214,0)))))</f>
        <v>0</v>
      </c>
      <c r="N214" s="442">
        <f>IF(P214=0,0,IF(P214&lt;0,IF($J214=9,P214,IF($J214=8,P214,IF($J214=7,P214,0)))))</f>
        <v>0</v>
      </c>
      <c r="O214" s="443">
        <f>IF(P214=0,0,IF(P214&lt;0,IF($J214=12,P214,IF($J214=11,P214,IF($J214=10,P214,0)))))</f>
        <v>0</v>
      </c>
      <c r="P214" s="440">
        <f>IF(P$5=$H214,-$E214,0)</f>
        <v>0</v>
      </c>
      <c r="Q214" s="441">
        <f>IF(U214=0,0,IF(U214&lt;0,IF($J214=3,U214,IF($J214=2,U214,IF($J214=1,U214,0)))))</f>
        <v>0</v>
      </c>
      <c r="R214" s="442">
        <f>IF(U214=0,0,IF(U214&lt;0,IF($J214=6,U214,IF($J214=5,U214,IF($J214=4,U214,0)))))</f>
        <v>0</v>
      </c>
      <c r="S214" s="442">
        <f>IF(U214=0,0,IF(U214&lt;0,IF($J214=9,U214,IF($J214=8,U214,IF($J214=7,U214,0)))))</f>
        <v>0</v>
      </c>
      <c r="T214" s="443">
        <f>IF(U214=0,0,IF(U214&lt;0,IF($J214=12,U214,IF($J214=11,U214,IF($J214=10,U214,0)))))</f>
        <v>0</v>
      </c>
      <c r="U214" s="440">
        <f>IF(U$5=$H214,-$E214,0)</f>
        <v>0</v>
      </c>
      <c r="V214" s="441">
        <f>IF(Z214=0,0,IF(Z214&lt;0,IF($J214=3,Z214,IF($J214=2,Z214,IF($J214=1,Z214,0)))))</f>
        <v>0</v>
      </c>
      <c r="W214" s="442">
        <f>IF(Z214=0,0,IF(Z214&lt;0,IF($J214=6,Z214,IF($J214=5,Z214,IF($J214=4,Z214,0)))))</f>
        <v>0</v>
      </c>
      <c r="X214" s="442">
        <f>IF(Z214=0,0,IF(Z214&lt;0,IF($J214=9,Z214,IF($J214=8,Z214,IF($J214=7,Z214,0)))))</f>
        <v>0</v>
      </c>
      <c r="Y214" s="443">
        <f>IF(Z214=0,0,IF(Z214&lt;0,IF($J214=12,Z214,IF($J214=11,Z214,IF($J214=10,Z214,0)))))</f>
        <v>0</v>
      </c>
      <c r="Z214" s="440">
        <f>IF(Z$5=$H214,-$E214,0)</f>
        <v>0</v>
      </c>
      <c r="AA214" s="441">
        <f>IF(AE214=0,0,IF(AE214&lt;0,IF($J214=3,AE214,IF($J214=2,AE214,IF($J214=1,AE214,0)))))</f>
        <v>0</v>
      </c>
      <c r="AB214" s="442">
        <f>IF(AE214=0,0,IF(AE214&lt;0,IF($J214=6,AE214,IF($J214=5,AE214,IF($J214=4,AE214,0)))))</f>
        <v>0</v>
      </c>
      <c r="AC214" s="442">
        <f>IF(AE214=0,0,IF(AE214&lt;0,IF($J214=9,AE214,IF($J214=8,AE214,IF($J214=7,AE214,0)))))</f>
        <v>0</v>
      </c>
      <c r="AD214" s="443">
        <f>IF(AE214=0,0,IF(AE214&lt;0,IF($J214=12,AE214,IF($J214=11,AE214,IF($J214=10,AE214,0)))))</f>
        <v>0</v>
      </c>
      <c r="AE214" s="440">
        <f>IF(AE$5=$H214,-$E214,0)</f>
        <v>0</v>
      </c>
      <c r="AF214" s="441">
        <f>IF(AJ214=0,0,IF(AJ214&lt;0,IF($J214=3,AJ214,IF($J214=2,AJ214,IF($J214=1,AJ214,0)))))</f>
        <v>0</v>
      </c>
      <c r="AG214" s="442">
        <f>IF(AJ214=0,0,IF(AJ214&lt;0,IF($J214=6,AJ214,IF($J214=5,AJ214,IF($J214=4,AJ214,0)))))</f>
        <v>0</v>
      </c>
      <c r="AH214" s="442">
        <f>IF(AJ214=0,0,IF(AJ214&lt;0,IF($J214=9,AJ214,IF($J214=8,AJ214,IF($J214=7,AJ214,0)))))</f>
        <v>0</v>
      </c>
      <c r="AI214" s="443">
        <f>IF(AJ214=0,0,IF(AJ214&lt;0,IF($J214=12,AJ214,IF($J214=11,AJ214,IF($J214=10,AJ214,0)))))</f>
        <v>0</v>
      </c>
      <c r="AJ214" s="440">
        <f>IF(AJ$5=$H214,-$E214,0)</f>
        <v>0</v>
      </c>
      <c r="AK214" s="441">
        <f>IF(AO214=0,0,IF(AO214&lt;0,IF($J214=3,AO214,IF($J214=2,AO214,IF($J214=1,AO214,0)))))</f>
        <v>0</v>
      </c>
      <c r="AL214" s="442">
        <f>IF(AO214=0,0,IF(AO214&lt;0,IF($J214=6,AO214,IF($J214=5,AO214,IF($J214=4,AO214,0)))))</f>
        <v>0</v>
      </c>
      <c r="AM214" s="442">
        <f>IF(AO214=0,0,IF(AO214&lt;0,IF($J214=9,AO214,IF($J214=8,AO214,IF($J214=7,AO214,0)))))</f>
        <v>0</v>
      </c>
      <c r="AN214" s="443">
        <f>IF(AO214=0,0,IF(AO214&lt;0,IF($J214=12,AO214,IF($J214=11,AO214,IF($J214=10,AO214,0)))))</f>
        <v>0</v>
      </c>
      <c r="AO214" s="440">
        <f>IF(AO$5=$H214,-$E214,0)</f>
        <v>0</v>
      </c>
      <c r="AP214" s="441">
        <f>IF(AT214=0,0,IF(AT214&lt;0,IF($J214=3,AT214,IF($J214=2,AT214,IF($J214=1,AT214,0)))))</f>
        <v>0</v>
      </c>
      <c r="AQ214" s="442">
        <f>IF(AT214=0,0,IF(AT214&lt;0,IF($J214=6,AT214,IF($J214=5,AT214,IF($J214=4,AT214,0)))))</f>
        <v>0</v>
      </c>
      <c r="AR214" s="442">
        <f>IF(AT214=0,0,IF(AT214&lt;0,IF($J214=9,AT214,IF($J214=8,AT214,IF($J214=7,AT214,0)))))</f>
        <v>0</v>
      </c>
      <c r="AS214" s="443">
        <f>IF(AT214=0,0,IF(AT214&lt;0,IF($J214=12,AT214,IF($J214=11,AT214,IF($J214=10,AT214,0)))))</f>
        <v>0</v>
      </c>
      <c r="AT214" s="440">
        <f>IF(AT$5=$H214,-$E214,0)</f>
        <v>0</v>
      </c>
      <c r="AU214" s="441">
        <f>IF(AY214=0,0,IF(AY214&lt;0,IF($J214=3,AY214,IF($J214=2,AY214,IF($J214=1,AY214,0)))))</f>
        <v>0</v>
      </c>
      <c r="AV214" s="442">
        <f>IF(AY214=0,0,IF(AY214&lt;0,IF($J214=6,AY214,IF($J214=5,AY214,IF($J214=4,AY214,0)))))</f>
        <v>0</v>
      </c>
      <c r="AW214" s="442">
        <f>IF(AY214=0,0,IF(AY214&lt;0,IF($J214=9,AY214,IF($J214=8,AY214,IF($J214=7,AY214,0)))))</f>
        <v>0</v>
      </c>
      <c r="AX214" s="443">
        <f>IF(AY214=0,0,IF(AY214&lt;0,IF($J214=12,AY214,IF($J214=11,AY214,IF($J214=10,AY214,0)))))</f>
        <v>0</v>
      </c>
      <c r="AY214" s="440">
        <f>IF(AY$5=$H214,-$E214,0)</f>
        <v>0</v>
      </c>
      <c r="AZ214" s="441">
        <f>IF(BD214=0,0,IF(BD214&lt;0,IF($J214=3,BD214,IF($J214=2,BD214,IF($J214=1,BD214,0)))))</f>
        <v>0</v>
      </c>
      <c r="BA214" s="442">
        <f>IF(BD214=0,0,IF(BD214&lt;0,IF($J214=6,BD214,IF($J214=5,BD214,IF($J214=4,BD214,0)))))</f>
        <v>0</v>
      </c>
      <c r="BB214" s="442">
        <f>IF(BD214=0,0,IF(BD214&lt;0,IF($J214=9,BD214,IF($J214=8,BD214,IF($J214=7,BD214,0)))))</f>
        <v>0</v>
      </c>
      <c r="BC214" s="443">
        <f>IF(BD214=0,0,IF(BD214&lt;0,IF($J214=12,BD214,IF($J214=11,BD214,IF($J214=10,BD214,0)))))</f>
        <v>0</v>
      </c>
      <c r="BD214" s="440">
        <f>IF(BD$5=$H214,-$E214,0)</f>
        <v>0</v>
      </c>
      <c r="BE214" s="441">
        <f>IF(BI214=0,0,IF(BI214&lt;0,IF($J214=3,BI214,IF($J214=2,BI214,IF($J214=1,BI214,0)))))</f>
        <v>0</v>
      </c>
      <c r="BF214" s="442">
        <f>IF(BI214=0,0,IF(BI214&lt;0,IF($J214=6,BI214,IF($J214=5,BI214,IF($J214=4,BI214,0)))))</f>
        <v>0</v>
      </c>
      <c r="BG214" s="442">
        <f>IF(BI214=0,0,IF(BI214&lt;0,IF($J214=9,BI214,IF($J214=8,BI214,IF($J214=7,BI214,0)))))</f>
        <v>0</v>
      </c>
      <c r="BH214" s="443">
        <f>IF(BI214=0,0,IF(BI214&lt;0,IF($J214=12,BI214,IF($J214=11,BI214,IF($J214=10,BI214,0)))))</f>
        <v>0</v>
      </c>
      <c r="BI214" s="440">
        <f>IF(BI$5=$H214,-$E214,0)</f>
        <v>0</v>
      </c>
      <c r="BJ214" s="441">
        <f>IF(BN214=0,0,IF(BN214&lt;0,IF($J214=3,BN214,IF($J214=2,BN214,IF($J214=1,BN214,0)))))</f>
        <v>0</v>
      </c>
      <c r="BK214" s="442">
        <f>IF(BN214=0,0,IF(BN214&lt;0,IF($J214=6,BN214,IF($J214=5,BN214,IF($J214=4,BN214,0)))))</f>
        <v>0</v>
      </c>
      <c r="BL214" s="442">
        <f>IF(BN214=0,0,IF(BN214&lt;0,IF($J214=9,BN214,IF($J214=8,BN214,IF($J214=7,BN214,0)))))</f>
        <v>0</v>
      </c>
      <c r="BM214" s="443">
        <f>IF(BN214=0,0,IF(BN214&lt;0,IF($J214=12,BN214,IF($J214=11,BN214,IF($J214=10,BN214,0)))))</f>
        <v>0</v>
      </c>
      <c r="BN214" s="440">
        <f>IF(BN$5=$H214,-$E214,0)</f>
        <v>0</v>
      </c>
      <c r="BO214" s="470"/>
      <c r="BP214" s="441">
        <f>IF($H214&lt;&gt;BT$5,0,IF(BT214&lt;0,IF($J214=1,-$E214*$I214/12*3,IF($J214=2,-$E214*$I214/12*2,IF($J214=3,-$E214*$I214/12*1,0)))))+IF(BO$5&lt;&gt;$H214,0,IF(BO214&lt;0,IF($J214=1,-$E214*$I214/12*0,IF($J214=2,-$E214*$I214/12*1,IF($J214=3,-$E214*$I214/12*2,IF($J214&gt;=4,-$E214*$I214/12*3,0))))))</f>
        <v>0</v>
      </c>
      <c r="BQ214" s="442">
        <f>IF($H214&lt;&gt;BT$5,0,IF(BT214&lt;0,IF(OR($J214=1,$J214=2,$J214=3,$J214=4),-$E214*$I214/12*3,IF($J214=5,-$E214*$I214/12*2,IF($J214=6,-$E214*$I214/12*1,0)))))+IF(BO$5&lt;&gt;$H214,0,IF(BO214&lt;0,IF($J214=4,-$E214*$I214/12*0,IF($J214=5,-$E214*$I214/12*1,IF($J214=6,-$E214*$I214/12*2,IF($J214&gt;=7,-$E214*$I214/12*3,0))))))</f>
        <v>0</v>
      </c>
      <c r="BR214" s="442">
        <f>IF($H214&lt;&gt;BT$5,0,IF(BT214&lt;0,IF(OR($J214=1,$J214=2,$J214=3,$J214=4,$J214=5,$J214=6,$J214=7),-$E214*$I214/12*3,IF($J214=8,-$E214*$I214/12*2,IF($J214=9,-$E214*$I214/12*1,0)))))+IF(BO$5&lt;&gt;$H214,0,IF(BO214&lt;0,IF($J214=7,-$E214*$I214/12*0,IF($J214=8,-$E214*$I214/12*1,IF($J214=9,-$E214*$I214/12*2,IF($J214&gt;=10,-$E214*$I214/12*3,0))))))</f>
        <v>0</v>
      </c>
      <c r="BS214" s="443">
        <f>IF($H214&lt;&gt;BT$5,0,IF(BT214&lt;0,IF(OR($J214=1,$J214=2,$J214=3,$J214=4,$J214=5,$J214=6,$J214=7,$J214=8,$J214=9,$J214=10),-$E214*$I214/12*3,IF($J214=11,-$E214*$I214/12*2,IF($J214=12,-$E214*$I214/12*1,0)))))+IF(BO$5&lt;&gt;$H214,0,IF(BO214&lt;0,IF($J214=10,-$E214*$I214/12*0,IF($J214=11,-$E214*$I214/12*1,IF($J214=12,-$E214*$I214/12*2,0)))))</f>
        <v>0</v>
      </c>
      <c r="BT214" s="440">
        <f>IF(AND(BO214&lt;&gt;0,BO$5=$H214),-$I214*$E214-BO214,IF(BT$5=$H214,-$I214*$E214*(12-$J214+1)/12,0))</f>
        <v>0</v>
      </c>
      <c r="BU214" s="441">
        <f>IF($H214&lt;&gt;BY$5,0,IF(BY214&lt;0,IF($J214=1,-$E214*$I214/12*3,IF($J214=2,-$E214*$I214/12*2,IF($J214=3,-$E214*$I214/12*1,0)))))+IF(BT$5&lt;&gt;$H214,0,IF(BT214&lt;0,IF($J214=1,-$E214*$I214/12*0,IF($J214=2,-$E214*$I214/12*1,IF($J214=3,-$E214*$I214/12*2,IF($J214&gt;=4,-$E214*$I214/12*3,0))))))</f>
        <v>0</v>
      </c>
      <c r="BV214" s="442">
        <f>IF($H214&lt;&gt;BY$5,0,IF(BY214&lt;0,IF(OR($J214=1,$J214=2,$J214=3,$J214=4),-$E214*$I214/12*3,IF($J214=5,-$E214*$I214/12*2,IF($J214=6,-$E214*$I214/12*1,0)))))+IF(BT$5&lt;&gt;$H214,0,IF(BT214&lt;0,IF($J214=4,-$E214*$I214/12*0,IF($J214=5,-$E214*$I214/12*1,IF($J214=6,-$E214*$I214/12*2,IF($J214&gt;=7,-$E214*$I214/12*3,0))))))</f>
        <v>0</v>
      </c>
      <c r="BW214" s="442">
        <f>IF($H214&lt;&gt;BY$5,0,IF(BY214&lt;0,IF(OR($J214=1,$J214=2,$J214=3,$J214=4,$J214=5,$J214=6,$J214=7),-$E214*$I214/12*3,IF($J214=8,-$E214*$I214/12*2,IF($J214=9,-$E214*$I214/12*1,0)))))+IF(BT$5&lt;&gt;$H214,0,IF(BT214&lt;0,IF($J214=7,-$E214*$I214/12*0,IF($J214=8,-$E214*$I214/12*1,IF($J214=9,-$E214*$I214/12*2,IF($J214&gt;=10,-$E214*$I214/12*3,0))))))</f>
        <v>0</v>
      </c>
      <c r="BX214" s="443">
        <f>IF($H214&lt;&gt;BY$5,0,IF(BY214&lt;0,IF(OR($J214=1,$J214=2,$J214=3,$J214=4,$J214=5,$J214=6,$J214=7,$J214=8,$J214=9,$J214=10),-$E214*$I214/12*3,IF($J214=11,-$E214*$I214/12*2,IF($J214=12,-$E214*$I214/12*1,0)))))+IF(BT$5&lt;&gt;$H214,0,IF(BT214&lt;0,IF($J214=10,-$E214*$I214/12*0,IF($J214=11,-$E214*$I214/12*1,IF($J214=12,-$E214*$I214/12*2,0)))))</f>
        <v>0</v>
      </c>
      <c r="BY214" s="440">
        <f>IF(AND(BT214&lt;&gt;0,BT$5=$H214),-$I214*$E214-BT214,IF(BY$5=$H214,-$I214*$E214*(12-$J214+1)/12,0))</f>
        <v>0</v>
      </c>
      <c r="BZ214" s="441">
        <f>IF($H214&lt;&gt;CD$5,0,IF(CD214&lt;0,IF($J214=1,-$E214*$I214/12*3,IF($J214=2,-$E214*$I214/12*2,IF($J214=3,-$E214*$I214/12*1,0)))))+IF(BY$5&lt;&gt;$H214,0,IF(BY214&lt;0,IF($J214=1,-$E214*$I214/12*0,IF($J214=2,-$E214*$I214/12*1,IF($J214=3,-$E214*$I214/12*2,IF($J214&gt;=4,-$E214*$I214/12*3,0))))))</f>
        <v>0</v>
      </c>
      <c r="CA214" s="442">
        <f>IF($H214&lt;&gt;CD$5,0,IF(CD214&lt;0,IF(OR($J214=1,$J214=2,$J214=3,$J214=4),-$E214*$I214/12*3,IF($J214=5,-$E214*$I214/12*2,IF($J214=6,-$E214*$I214/12*1,0)))))+IF(BY$5&lt;&gt;$H214,0,IF(BY214&lt;0,IF($J214=4,-$E214*$I214/12*0,IF($J214=5,-$E214*$I214/12*1,IF($J214=6,-$E214*$I214/12*2,IF($J214&gt;=7,-$E214*$I214/12*3,0))))))</f>
        <v>0</v>
      </c>
      <c r="CB214" s="442">
        <f>IF($H214&lt;&gt;CD$5,0,IF(CD214&lt;0,IF(OR($J214=1,$J214=2,$J214=3,$J214=4,$J214=5,$J214=6,$J214=7),-$E214*$I214/12*3,IF($J214=8,-$E214*$I214/12*2,IF($J214=9,-$E214*$I214/12*1,0)))))+IF(BY$5&lt;&gt;$H214,0,IF(BY214&lt;0,IF($J214=7,-$E214*$I214/12*0,IF($J214=8,-$E214*$I214/12*1,IF($J214=9,-$E214*$I214/12*2,IF($J214&gt;=10,-$E214*$I214/12*3,0))))))</f>
        <v>0</v>
      </c>
      <c r="CC214" s="443">
        <f>IF($H214&lt;&gt;CD$5,0,IF(CD214&lt;0,IF(OR($J214=1,$J214=2,$J214=3,$J214=4,$J214=5,$J214=6,$J214=7,$J214=8,$J214=9,$J214=10),-$E214*$I214/12*3,IF($J214=11,-$E214*$I214/12*2,IF($J214=12,-$E214*$I214/12*1,0)))))+IF(BY$5&lt;&gt;$H214,0,IF(BY214&lt;0,IF($J214=10,-$E214*$I214/12*0,IF($J214=11,-$E214*$I214/12*1,IF($J214=12,-$E214*$I214/12*2,0)))))</f>
        <v>0</v>
      </c>
      <c r="CD214" s="440">
        <f>IF(AND(BY214&lt;&gt;0,BY$5=$H214),-$I214*$E214-BY214,IF(CD$5=$H214,-$I214*$E214*(12-$J214+1)/12,0))</f>
        <v>0</v>
      </c>
      <c r="CE214" s="441">
        <f>IF($H214&lt;&gt;CI$5,0,IF(CI214&lt;0,IF($J214=1,-$E214*$I214/12*3,IF($J214=2,-$E214*$I214/12*2,IF($J214=3,-$E214*$I214/12*1,0)))))+IF(CD$5&lt;&gt;$H214,0,IF(CD214&lt;0,IF($J214=1,-$E214*$I214/12*0,IF($J214=2,-$E214*$I214/12*1,IF($J214=3,-$E214*$I214/12*2,IF($J214&gt;=4,-$E214*$I214/12*3,0))))))</f>
        <v>0</v>
      </c>
      <c r="CF214" s="442">
        <f>IF($H214&lt;&gt;CI$5,0,IF(CI214&lt;0,IF(OR($J214=1,$J214=2,$J214=3,$J214=4),-$E214*$I214/12*3,IF($J214=5,-$E214*$I214/12*2,IF($J214=6,-$E214*$I214/12*1,0)))))+IF(CD$5&lt;&gt;$H214,0,IF(CD214&lt;0,IF($J214=4,-$E214*$I214/12*0,IF($J214=5,-$E214*$I214/12*1,IF($J214=6,-$E214*$I214/12*2,IF($J214&gt;=7,-$E214*$I214/12*3,0))))))</f>
        <v>0</v>
      </c>
      <c r="CG214" s="442">
        <f>IF($H214&lt;&gt;CI$5,0,IF(CI214&lt;0,IF(OR($J214=1,$J214=2,$J214=3,$J214=4,$J214=5,$J214=6,$J214=7),-$E214*$I214/12*3,IF($J214=8,-$E214*$I214/12*2,IF($J214=9,-$E214*$I214/12*1,0)))))+IF(CD$5&lt;&gt;$H214,0,IF(CD214&lt;0,IF($J214=7,-$E214*$I214/12*0,IF($J214=8,-$E214*$I214/12*1,IF($J214=9,-$E214*$I214/12*2,IF($J214&gt;=10,-$E214*$I214/12*3,0))))))</f>
        <v>0</v>
      </c>
      <c r="CH214" s="443">
        <f>IF($H214&lt;&gt;CI$5,0,IF(CI214&lt;0,IF(OR($J214=1,$J214=2,$J214=3,$J214=4,$J214=5,$J214=6,$J214=7,$J214=8,$J214=9,$J214=10),-$E214*$I214/12*3,IF($J214=11,-$E214*$I214/12*2,IF($J214=12,-$E214*$I214/12*1,0)))))+IF(CD$5&lt;&gt;$H214,0,IF(CD214&lt;0,IF($J214=10,-$E214*$I214/12*0,IF($J214=11,-$E214*$I214/12*1,IF($J214=12,-$E214*$I214/12*2,0)))))</f>
        <v>0</v>
      </c>
      <c r="CI214" s="440">
        <f>IF(AND(CD214&lt;&gt;0,CD$5=$H214),-$I214*$E214-CD214,IF(CI$5=$H214,-$I214*$E214*(12-$J214+1)/12,0))</f>
        <v>0</v>
      </c>
      <c r="CJ214" s="441">
        <f>IF($H214&lt;&gt;CN$5,0,IF(CN214&lt;0,IF($J214=1,-$E214*$I214/12*3,IF($J214=2,-$E214*$I214/12*2,IF($J214=3,-$E214*$I214/12*1,0)))))+IF(CI$5&lt;&gt;$H214,0,IF(CI214&lt;0,IF($J214=1,-$E214*$I214/12*0,IF($J214=2,-$E214*$I214/12*1,IF($J214=3,-$E214*$I214/12*2,IF($J214&gt;=4,-$E214*$I214/12*3,0))))))</f>
        <v>0</v>
      </c>
      <c r="CK214" s="442">
        <f>IF($H214&lt;&gt;CN$5,0,IF(CN214&lt;0,IF(OR($J214=1,$J214=2,$J214=3,$J214=4),-$E214*$I214/12*3,IF($J214=5,-$E214*$I214/12*2,IF($J214=6,-$E214*$I214/12*1,0)))))+IF(CI$5&lt;&gt;$H214,0,IF(CI214&lt;0,IF($J214=4,-$E214*$I214/12*0,IF($J214=5,-$E214*$I214/12*1,IF($J214=6,-$E214*$I214/12*2,IF($J214&gt;=7,-$E214*$I214/12*3,0))))))</f>
        <v>0</v>
      </c>
      <c r="CL214" s="442">
        <f>IF($H214&lt;&gt;CN$5,0,IF(CN214&lt;0,IF(OR($J214=1,$J214=2,$J214=3,$J214=4,$J214=5,$J214=6,$J214=7),-$E214*$I214/12*3,IF($J214=8,-$E214*$I214/12*2,IF($J214=9,-$E214*$I214/12*1,0)))))+IF(CI$5&lt;&gt;$H214,0,IF(CI214&lt;0,IF($J214=7,-$E214*$I214/12*0,IF($J214=8,-$E214*$I214/12*1,IF($J214=9,-$E214*$I214/12*2,IF($J214&gt;=10,-$E214*$I214/12*3,0))))))</f>
        <v>0</v>
      </c>
      <c r="CM214" s="443">
        <f>IF($H214&lt;&gt;CN$5,0,IF(CN214&lt;0,IF(OR($J214=1,$J214=2,$J214=3,$J214=4,$J214=5,$J214=6,$J214=7,$J214=8,$J214=9,$J214=10),-$E214*$I214/12*3,IF($J214=11,-$E214*$I214/12*2,IF($J214=12,-$E214*$I214/12*1,0)))))+IF(CI$5&lt;&gt;$H214,0,IF(CI214&lt;0,IF($J214=10,-$E214*$I214/12*0,IF($J214=11,-$E214*$I214/12*1,IF($J214=12,-$E214*$I214/12*2,0)))))</f>
        <v>0</v>
      </c>
      <c r="CN214" s="440">
        <f>IF(AND(CI214&lt;&gt;0,CI$5=$H214),-$I214*$E214-CI214,IF(CN$5=$H214,-$I214*$E214*(12-$J214+1)/12,0))</f>
        <v>0</v>
      </c>
      <c r="CO214" s="441">
        <f>IF($H214&lt;&gt;CS$5,0,IF(CS214&lt;0,IF($J214=1,-$E214*$I214/12*3,IF($J214=2,-$E214*$I214/12*2,IF($J214=3,-$E214*$I214/12*1,0)))))+IF(CN$5&lt;&gt;$H214,0,IF(CN214&lt;0,IF($J214=1,-$E214*$I214/12*0,IF($J214=2,-$E214*$I214/12*1,IF($J214=3,-$E214*$I214/12*2,IF($J214&gt;=4,-$E214*$I214/12*3,0))))))</f>
        <v>0</v>
      </c>
      <c r="CP214" s="442">
        <f>IF($H214&lt;&gt;CS$5,0,IF(CS214&lt;0,IF(OR($J214=1,$J214=2,$J214=3,$J214=4),-$E214*$I214/12*3,IF($J214=5,-$E214*$I214/12*2,IF($J214=6,-$E214*$I214/12*1,0)))))+IF(CN$5&lt;&gt;$H214,0,IF(CN214&lt;0,IF($J214=4,-$E214*$I214/12*0,IF($J214=5,-$E214*$I214/12*1,IF($J214=6,-$E214*$I214/12*2,IF($J214&gt;=7,-$E214*$I214/12*3,0))))))</f>
        <v>0</v>
      </c>
      <c r="CQ214" s="442">
        <f>IF($H214&lt;&gt;CS$5,0,IF(CS214&lt;0,IF(OR($J214=1,$J214=2,$J214=3,$J214=4,$J214=5,$J214=6,$J214=7),-$E214*$I214/12*3,IF($J214=8,-$E214*$I214/12*2,IF($J214=9,-$E214*$I214/12*1,0)))))+IF(CN$5&lt;&gt;$H214,0,IF(CN214&lt;0,IF($J214=7,-$E214*$I214/12*0,IF($J214=8,-$E214*$I214/12*1,IF($J214=9,-$E214*$I214/12*2,IF($J214&gt;=10,-$E214*$I214/12*3,0))))))</f>
        <v>0</v>
      </c>
      <c r="CR214" s="443">
        <f>IF($H214&lt;&gt;CS$5,0,IF(CS214&lt;0,IF(OR($J214=1,$J214=2,$J214=3,$J214=4,$J214=5,$J214=6,$J214=7,$J214=8,$J214=9,$J214=10),-$E214*$I214/12*3,IF($J214=11,-$E214*$I214/12*2,IF($J214=12,-$E214*$I214/12*1,0)))))+IF(CN$5&lt;&gt;$H214,0,IF(CN214&lt;0,IF($J214=10,-$E214*$I214/12*0,IF($J214=11,-$E214*$I214/12*1,IF($J214=12,-$E214*$I214/12*2,0)))))</f>
        <v>0</v>
      </c>
      <c r="CS214" s="440">
        <f>IF(AND(CN214&lt;&gt;0,CN$5=$H214),-$I214*$E214-CN214,IF(CS$5=$H214,-$I214*$E214*(12-$J214+1)/12,0))</f>
        <v>0</v>
      </c>
      <c r="CT214" s="441">
        <f>IF($H214&lt;&gt;CX$5,0,IF(CX214&lt;0,IF($J214=1,-$E214*$I214/12*3,IF($J214=2,-$E214*$I214/12*2,IF($J214=3,-$E214*$I214/12*1,0)))))+IF(CS$5&lt;&gt;$H214,0,IF(CS214&lt;0,IF($J214=1,-$E214*$I214/12*0,IF($J214=2,-$E214*$I214/12*1,IF($J214=3,-$E214*$I214/12*2,IF($J214&gt;=4,-$E214*$I214/12*3,0))))))</f>
        <v>0</v>
      </c>
      <c r="CU214" s="442">
        <f>IF($H214&lt;&gt;CX$5,0,IF(CX214&lt;0,IF(OR($J214=1,$J214=2,$J214=3,$J214=4),-$E214*$I214/12*3,IF($J214=5,-$E214*$I214/12*2,IF($J214=6,-$E214*$I214/12*1,0)))))+IF(CS$5&lt;&gt;$H214,0,IF(CS214&lt;0,IF($J214=4,-$E214*$I214/12*0,IF($J214=5,-$E214*$I214/12*1,IF($J214=6,-$E214*$I214/12*2,IF($J214&gt;=7,-$E214*$I214/12*3,0))))))</f>
        <v>0</v>
      </c>
      <c r="CV214" s="442">
        <f>IF($H214&lt;&gt;CX$5,0,IF(CX214&lt;0,IF(OR($J214=1,$J214=2,$J214=3,$J214=4,$J214=5,$J214=6,$J214=7),-$E214*$I214/12*3,IF($J214=8,-$E214*$I214/12*2,IF($J214=9,-$E214*$I214/12*1,0)))))+IF(CS$5&lt;&gt;$H214,0,IF(CS214&lt;0,IF($J214=7,-$E214*$I214/12*0,IF($J214=8,-$E214*$I214/12*1,IF($J214=9,-$E214*$I214/12*2,IF($J214&gt;=10,-$E214*$I214/12*3,0))))))</f>
        <v>0</v>
      </c>
      <c r="CW214" s="443">
        <f>IF($H214&lt;&gt;CX$5,0,IF(CX214&lt;0,IF(OR($J214=1,$J214=2,$J214=3,$J214=4,$J214=5,$J214=6,$J214=7,$J214=8,$J214=9,$J214=10),-$E214*$I214/12*3,IF($J214=11,-$E214*$I214/12*2,IF($J214=12,-$E214*$I214/12*1,0)))))+IF(CS$5&lt;&gt;$H214,0,IF(CS214&lt;0,IF($J214=10,-$E214*$I214/12*0,IF($J214=11,-$E214*$I214/12*1,IF($J214=12,-$E214*$I214/12*2,0)))))</f>
        <v>0</v>
      </c>
      <c r="CX214" s="440">
        <f>IF(AND(CS214&lt;&gt;0,CS$5=$H214),-$I214*$E214-CS214,IF(CX$5=$H214,-$I214*$E214*(12-$J214+1)/12,0))</f>
        <v>0</v>
      </c>
      <c r="CY214" s="441">
        <f>IF($H214&lt;&gt;DC$5,0,IF(DC214&lt;0,IF($J214=1,-$E214*$I214/12*3,IF($J214=2,-$E214*$I214/12*2,IF($J214=3,-$E214*$I214/12*1,0)))))+IF(CX$5&lt;&gt;$H214,0,IF(CX214&lt;0,IF($J214=1,-$E214*$I214/12*0,IF($J214=2,-$E214*$I214/12*1,IF($J214=3,-$E214*$I214/12*2,IF($J214&gt;=4,-$E214*$I214/12*3,0))))))</f>
        <v>0</v>
      </c>
      <c r="CZ214" s="442">
        <f>IF($H214&lt;&gt;DC$5,0,IF(DC214&lt;0,IF(OR($J214=1,$J214=2,$J214=3,$J214=4),-$E214*$I214/12*3,IF($J214=5,-$E214*$I214/12*2,IF($J214=6,-$E214*$I214/12*1,0)))))+IF(CX$5&lt;&gt;$H214,0,IF(CX214&lt;0,IF($J214=4,-$E214*$I214/12*0,IF($J214=5,-$E214*$I214/12*1,IF($J214=6,-$E214*$I214/12*2,IF($J214&gt;=7,-$E214*$I214/12*3,0))))))</f>
        <v>0</v>
      </c>
      <c r="DA214" s="442">
        <f>IF($H214&lt;&gt;DC$5,0,IF(DC214&lt;0,IF(OR($J214=1,$J214=2,$J214=3,$J214=4,$J214=5,$J214=6,$J214=7),-$E214*$I214/12*3,IF($J214=8,-$E214*$I214/12*2,IF($J214=9,-$E214*$I214/12*1,0)))))+IF(CX$5&lt;&gt;$H214,0,IF(CX214&lt;0,IF($J214=7,-$E214*$I214/12*0,IF($J214=8,-$E214*$I214/12*1,IF($J214=9,-$E214*$I214/12*2,IF($J214&gt;=10,-$E214*$I214/12*3,0))))))</f>
        <v>0</v>
      </c>
      <c r="DB214" s="443">
        <f>IF($H214&lt;&gt;DC$5,0,IF(DC214&lt;0,IF(OR($J214=1,$J214=2,$J214=3,$J214=4,$J214=5,$J214=6,$J214=7,$J214=8,$J214=9,$J214=10),-$E214*$I214/12*3,IF($J214=11,-$E214*$I214/12*2,IF($J214=12,-$E214*$I214/12*1,0)))))+IF(CX$5&lt;&gt;$H214,0,IF(CX214&lt;0,IF($J214=10,-$E214*$I214/12*0,IF($J214=11,-$E214*$I214/12*1,IF($J214=12,-$E214*$I214/12*2,0)))))</f>
        <v>0</v>
      </c>
      <c r="DC214" s="440">
        <f>IF(AND(CX214&lt;&gt;0,CX$5=$H214),-$I214*$E214-CX214,IF(DC$5=$H214,-$I214*$E214*(12-$J214+1)/12,0))</f>
        <v>0</v>
      </c>
      <c r="DD214" s="441">
        <f>IF($H214&lt;&gt;DH$5,0,IF(DH214&lt;0,IF($J214=1,-$E214*$I214/12*3,IF($J214=2,-$E214*$I214/12*2,IF($J214=3,-$E214*$I214/12*1,0)))))+IF(DC$5&lt;&gt;$H214,0,IF(DC214&lt;0,IF($J214=1,-$E214*$I214/12*0,IF($J214=2,-$E214*$I214/12*1,IF($J214=3,-$E214*$I214/12*2,IF($J214&gt;=4,-$E214*$I214/12*3,0))))))</f>
        <v>0</v>
      </c>
      <c r="DE214" s="442">
        <f>IF($H214&lt;&gt;DH$5,0,IF(DH214&lt;0,IF(OR($J214=1,$J214=2,$J214=3,$J214=4),-$E214*$I214/12*3,IF($J214=5,-$E214*$I214/12*2,IF($J214=6,-$E214*$I214/12*1,0)))))+IF(DC$5&lt;&gt;$H214,0,IF(DC214&lt;0,IF($J214=4,-$E214*$I214/12*0,IF($J214=5,-$E214*$I214/12*1,IF($J214=6,-$E214*$I214/12*2,IF($J214&gt;=7,-$E214*$I214/12*3,0))))))</f>
        <v>0</v>
      </c>
      <c r="DF214" s="442">
        <f>IF($H214&lt;&gt;DH$5,0,IF(DH214&lt;0,IF(OR($J214=1,$J214=2,$J214=3,$J214=4,$J214=5,$J214=6,$J214=7),-$E214*$I214/12*3,IF($J214=8,-$E214*$I214/12*2,IF($J214=9,-$E214*$I214/12*1,0)))))+IF(DC$5&lt;&gt;$H214,0,IF(DC214&lt;0,IF($J214=7,-$E214*$I214/12*0,IF($J214=8,-$E214*$I214/12*1,IF($J214=9,-$E214*$I214/12*2,IF($J214&gt;=10,-$E214*$I214/12*3,0))))))</f>
        <v>0</v>
      </c>
      <c r="DG214" s="443">
        <f>IF($H214&lt;&gt;DH$5,0,IF(DH214&lt;0,IF(OR($J214=1,$J214=2,$J214=3,$J214=4,$J214=5,$J214=6,$J214=7,$J214=8,$J214=9,$J214=10),-$E214*$I214/12*3,IF($J214=11,-$E214*$I214/12*2,IF($J214=12,-$E214*$I214/12*1,0)))))+IF(DC$5&lt;&gt;$H214,0,IF(DC214&lt;0,IF($J214=10,-$E214*$I214/12*0,IF($J214=11,-$E214*$I214/12*1,IF($J214=12,-$E214*$I214/12*2,0)))))</f>
        <v>0</v>
      </c>
      <c r="DH214" s="440">
        <f>IF(AND(DC214&lt;&gt;0,DC$5=$H214),-$I214*$E214-DC214,IF(DH$5=$H214,-$I214*$E214*(12-$J214+1)/12,0))</f>
        <v>0</v>
      </c>
      <c r="DI214" s="441">
        <f>IF($H214&lt;&gt;DM$5,0,IF(DM214&lt;0,IF($J214=1,-$E214*$I214/12*3,IF($J214=2,-$E214*$I214/12*2,IF($J214=3,-$E214*$I214/12*1,0)))))+IF(DH$5&lt;&gt;$H214,0,IF(DH214&lt;0,IF($J214=1,-$E214*$I214/12*0,IF($J214=2,-$E214*$I214/12*1,IF($J214=3,-$E214*$I214/12*2,IF($J214&gt;=4,-$E214*$I214/12*3,0))))))</f>
        <v>0</v>
      </c>
      <c r="DJ214" s="442">
        <f>IF($H214&lt;&gt;DM$5,0,IF(DM214&lt;0,IF(OR($J214=1,$J214=2,$J214=3,$J214=4),-$E214*$I214/12*3,IF($J214=5,-$E214*$I214/12*2,IF($J214=6,-$E214*$I214/12*1,0)))))+IF(DH$5&lt;&gt;$H214,0,IF(DH214&lt;0,IF($J214=4,-$E214*$I214/12*0,IF($J214=5,-$E214*$I214/12*1,IF($J214=6,-$E214*$I214/12*2,IF($J214&gt;=7,-$E214*$I214/12*3,0))))))</f>
        <v>0</v>
      </c>
      <c r="DK214" s="442">
        <f>IF($H214&lt;&gt;DM$5,0,IF(DM214&lt;0,IF(OR($J214=1,$J214=2,$J214=3,$J214=4,$J214=5,$J214=6,$J214=7),-$E214*$I214/12*3,IF($J214=8,-$E214*$I214/12*2,IF($J214=9,-$E214*$I214/12*1,0)))))+IF(DH$5&lt;&gt;$H214,0,IF(DH214&lt;0,IF($J214=7,-$E214*$I214/12*0,IF($J214=8,-$E214*$I214/12*1,IF($J214=9,-$E214*$I214/12*2,IF($J214&gt;=10,-$E214*$I214/12*3,0))))))</f>
        <v>0</v>
      </c>
      <c r="DL214" s="443">
        <f>IF($H214&lt;&gt;DM$5,0,IF(DM214&lt;0,IF(OR($J214=1,$J214=2,$J214=3,$J214=4,$J214=5,$J214=6,$J214=7,$J214=8,$J214=9,$J214=10),-$E214*$I214/12*3,IF($J214=11,-$E214*$I214/12*2,IF($J214=12,-$E214*$I214/12*1,0)))))+IF(DH$5&lt;&gt;$H214,0,IF(DH214&lt;0,IF($J214=10,-$E214*$I214/12*0,IF($J214=11,-$E214*$I214/12*1,IF($J214=12,-$E214*$I214/12*2,0)))))</f>
        <v>0</v>
      </c>
      <c r="DM214" s="440">
        <f>IF(AND(DH214&lt;&gt;0,DH$5=$H214),-$I214*$E214-DH214,IF(DM$5=$H214,-$I214*$E214*(12-$J214+1)/12,0))</f>
        <v>0</v>
      </c>
      <c r="DN214" s="441">
        <f>IF($H214&lt;&gt;DR$5,0,IF(DR214&lt;0,IF($J214=1,-$E214*$I214/12*3,IF($J214=2,-$E214*$I214/12*2,IF($J214=3,-$E214*$I214/12*1,0)))))+IF(DM$5&lt;&gt;$H214,0,IF(DM214&lt;0,IF($J214=1,-$E214*$I214/12*0,IF($J214=2,-$E214*$I214/12*1,IF($J214=3,-$E214*$I214/12*2,IF($J214&gt;=4,-$E214*$I214/12*3,0))))))</f>
        <v>0</v>
      </c>
      <c r="DO214" s="442">
        <f>IF($H214&lt;&gt;DR$5,0,IF(DR214&lt;0,IF(OR($J214=1,$J214=2,$J214=3,$J214=4),-$E214*$I214/12*3,IF($J214=5,-$E214*$I214/12*2,IF($J214=6,-$E214*$I214/12*1,0)))))+IF(DM$5&lt;&gt;$H214,0,IF(DM214&lt;0,IF($J214=4,-$E214*$I214/12*0,IF($J214=5,-$E214*$I214/12*1,IF($J214=6,-$E214*$I214/12*2,IF($J214&gt;=7,-$E214*$I214/12*3,0))))))</f>
        <v>0</v>
      </c>
      <c r="DP214" s="442">
        <f>IF($H214&lt;&gt;DR$5,0,IF(DR214&lt;0,IF(OR($J214=1,$J214=2,$J214=3,$J214=4,$J214=5,$J214=6,$J214=7),-$E214*$I214/12*3,IF($J214=8,-$E214*$I214/12*2,IF($J214=9,-$E214*$I214/12*1,0)))))+IF(DM$5&lt;&gt;$H214,0,IF(DM214&lt;0,IF($J214=7,-$E214*$I214/12*0,IF($J214=8,-$E214*$I214/12*1,IF($J214=9,-$E214*$I214/12*2,IF($J214&gt;=10,-$E214*$I214/12*3,0))))))</f>
        <v>0</v>
      </c>
      <c r="DQ214" s="443">
        <f>IF($H214&lt;&gt;DR$5,0,IF(DR214&lt;0,IF(OR($J214=1,$J214=2,$J214=3,$J214=4,$J214=5,$J214=6,$J214=7,$J214=8,$J214=9,$J214=10),-$E214*$I214/12*3,IF($J214=11,-$E214*$I214/12*2,IF($J214=12,-$E214*$I214/12*1,0)))))+IF(DM$5&lt;&gt;$H214,0,IF(DM214&lt;0,IF($J214=10,-$E214*$I214/12*0,IF($J214=11,-$E214*$I214/12*1,IF($J214=12,-$E214*$I214/12*2,0)))))</f>
        <v>0</v>
      </c>
      <c r="DR214" s="440">
        <f>IF(AND(DM214&lt;&gt;0,DM$5=$H214),-$I214*$E214-DM214,IF(DR$5=$H214,-$I214*$E214*(12-$J214+1)/12,0))</f>
        <v>0</v>
      </c>
    </row>
    <row r="215" spans="3:122" ht="12.75" customHeight="1">
      <c r="C215" s="1946" t="s">
        <v>1183</v>
      </c>
      <c r="D215" s="1953"/>
      <c r="E215" s="1950">
        <f>IF(F215=0,G215,F215)</f>
        <v>155</v>
      </c>
      <c r="F215" s="1757">
        <v>155</v>
      </c>
      <c r="G215" s="1757">
        <v>155</v>
      </c>
      <c r="H215" s="1366">
        <v>2046</v>
      </c>
      <c r="I215" s="1367">
        <v>3.8899999999999997E-2</v>
      </c>
      <c r="J215" s="1357">
        <v>10</v>
      </c>
      <c r="K215" s="549"/>
      <c r="L215" s="441">
        <f>IF(P215=0,0,IF(P215&lt;0,IF($J215=3,P215,IF($J215=2,P215,IF($J215=1,P215,0)))))</f>
        <v>0</v>
      </c>
      <c r="M215" s="442">
        <f>IF(P215=0,0,IF(P215&lt;0,IF($J215=6,P215,IF($J215=5,P215,IF($J215=4,P215,0)))))</f>
        <v>0</v>
      </c>
      <c r="N215" s="442">
        <f>IF(P215=0,0,IF(P215&lt;0,IF($J215=9,P215,IF($J215=8,P215,IF($J215=7,P215,0)))))</f>
        <v>0</v>
      </c>
      <c r="O215" s="443">
        <f>IF(P215=0,0,IF(P215&lt;0,IF($J215=12,P215,IF($J215=11,P215,IF($J215=10,P215,0)))))</f>
        <v>0</v>
      </c>
      <c r="P215" s="440">
        <f>IF(P$5=$H215,-$E215,0)</f>
        <v>0</v>
      </c>
      <c r="Q215" s="441">
        <f>IF(U215=0,0,IF(U215&lt;0,IF($J215=3,U215,IF($J215=2,U215,IF($J215=1,U215,0)))))</f>
        <v>0</v>
      </c>
      <c r="R215" s="442">
        <f>IF(U215=0,0,IF(U215&lt;0,IF($J215=6,U215,IF($J215=5,U215,IF($J215=4,U215,0)))))</f>
        <v>0</v>
      </c>
      <c r="S215" s="442">
        <f>IF(U215=0,0,IF(U215&lt;0,IF($J215=9,U215,IF($J215=8,U215,IF($J215=7,U215,0)))))</f>
        <v>0</v>
      </c>
      <c r="T215" s="443">
        <f>IF(U215=0,0,IF(U215&lt;0,IF($J215=12,U215,IF($J215=11,U215,IF($J215=10,U215,0)))))</f>
        <v>0</v>
      </c>
      <c r="U215" s="440">
        <f>IF(U$5=$H215,-$E215,0)</f>
        <v>0</v>
      </c>
      <c r="V215" s="441">
        <f>IF(Z215=0,0,IF(Z215&lt;0,IF($J215=3,Z215,IF($J215=2,Z215,IF($J215=1,Z215,0)))))</f>
        <v>0</v>
      </c>
      <c r="W215" s="442">
        <f>IF(Z215=0,0,IF(Z215&lt;0,IF($J215=6,Z215,IF($J215=5,Z215,IF($J215=4,Z215,0)))))</f>
        <v>0</v>
      </c>
      <c r="X215" s="442">
        <f>IF(Z215=0,0,IF(Z215&lt;0,IF($J215=9,Z215,IF($J215=8,Z215,IF($J215=7,Z215,0)))))</f>
        <v>0</v>
      </c>
      <c r="Y215" s="443">
        <f>IF(Z215=0,0,IF(Z215&lt;0,IF($J215=12,Z215,IF($J215=11,Z215,IF($J215=10,Z215,0)))))</f>
        <v>0</v>
      </c>
      <c r="Z215" s="440">
        <f>IF(Z$5=$H215,-$E215,0)</f>
        <v>0</v>
      </c>
      <c r="AA215" s="441">
        <f>IF(AE215=0,0,IF(AE215&lt;0,IF($J215=3,AE215,IF($J215=2,AE215,IF($J215=1,AE215,0)))))</f>
        <v>0</v>
      </c>
      <c r="AB215" s="442">
        <f>IF(AE215=0,0,IF(AE215&lt;0,IF($J215=6,AE215,IF($J215=5,AE215,IF($J215=4,AE215,0)))))</f>
        <v>0</v>
      </c>
      <c r="AC215" s="442">
        <f>IF(AE215=0,0,IF(AE215&lt;0,IF($J215=9,AE215,IF($J215=8,AE215,IF($J215=7,AE215,0)))))</f>
        <v>0</v>
      </c>
      <c r="AD215" s="443">
        <f>IF(AE215=0,0,IF(AE215&lt;0,IF($J215=12,AE215,IF($J215=11,AE215,IF($J215=10,AE215,0)))))</f>
        <v>0</v>
      </c>
      <c r="AE215" s="440">
        <f>IF(AE$5=$H215,-$E215,0)</f>
        <v>0</v>
      </c>
      <c r="AF215" s="441">
        <f>IF(AJ215=0,0,IF(AJ215&lt;0,IF($J215=3,AJ215,IF($J215=2,AJ215,IF($J215=1,AJ215,0)))))</f>
        <v>0</v>
      </c>
      <c r="AG215" s="442">
        <f>IF(AJ215=0,0,IF(AJ215&lt;0,IF($J215=6,AJ215,IF($J215=5,AJ215,IF($J215=4,AJ215,0)))))</f>
        <v>0</v>
      </c>
      <c r="AH215" s="442">
        <f>IF(AJ215=0,0,IF(AJ215&lt;0,IF($J215=9,AJ215,IF($J215=8,AJ215,IF($J215=7,AJ215,0)))))</f>
        <v>0</v>
      </c>
      <c r="AI215" s="443">
        <f>IF(AJ215=0,0,IF(AJ215&lt;0,IF($J215=12,AJ215,IF($J215=11,AJ215,IF($J215=10,AJ215,0)))))</f>
        <v>0</v>
      </c>
      <c r="AJ215" s="440">
        <f>IF(AJ$5=$H215,-$E215,0)</f>
        <v>0</v>
      </c>
      <c r="AK215" s="441">
        <f>IF(AO215=0,0,IF(AO215&lt;0,IF($J215=3,AO215,IF($J215=2,AO215,IF($J215=1,AO215,0)))))</f>
        <v>0</v>
      </c>
      <c r="AL215" s="442">
        <f>IF(AO215=0,0,IF(AO215&lt;0,IF($J215=6,AO215,IF($J215=5,AO215,IF($J215=4,AO215,0)))))</f>
        <v>0</v>
      </c>
      <c r="AM215" s="442">
        <f>IF(AO215=0,0,IF(AO215&lt;0,IF($J215=9,AO215,IF($J215=8,AO215,IF($J215=7,AO215,0)))))</f>
        <v>0</v>
      </c>
      <c r="AN215" s="443">
        <f>IF(AO215=0,0,IF(AO215&lt;0,IF($J215=12,AO215,IF($J215=11,AO215,IF($J215=10,AO215,0)))))</f>
        <v>0</v>
      </c>
      <c r="AO215" s="440">
        <f>IF(AO$5=$H215,-$E215,0)</f>
        <v>0</v>
      </c>
      <c r="AP215" s="441">
        <f>IF(AT215=0,0,IF(AT215&lt;0,IF($J215=3,AT215,IF($J215=2,AT215,IF($J215=1,AT215,0)))))</f>
        <v>0</v>
      </c>
      <c r="AQ215" s="442">
        <f>IF(AT215=0,0,IF(AT215&lt;0,IF($J215=6,AT215,IF($J215=5,AT215,IF($J215=4,AT215,0)))))</f>
        <v>0</v>
      </c>
      <c r="AR215" s="442">
        <f>IF(AT215=0,0,IF(AT215&lt;0,IF($J215=9,AT215,IF($J215=8,AT215,IF($J215=7,AT215,0)))))</f>
        <v>0</v>
      </c>
      <c r="AS215" s="443">
        <f>IF(AT215=0,0,IF(AT215&lt;0,IF($J215=12,AT215,IF($J215=11,AT215,IF($J215=10,AT215,0)))))</f>
        <v>0</v>
      </c>
      <c r="AT215" s="440">
        <f>IF(AT$5=$H215,-$E215,0)</f>
        <v>0</v>
      </c>
      <c r="AU215" s="441">
        <f>IF(AY215=0,0,IF(AY215&lt;0,IF($J215=3,AY215,IF($J215=2,AY215,IF($J215=1,AY215,0)))))</f>
        <v>0</v>
      </c>
      <c r="AV215" s="442">
        <f>IF(AY215=0,0,IF(AY215&lt;0,IF($J215=6,AY215,IF($J215=5,AY215,IF($J215=4,AY215,0)))))</f>
        <v>0</v>
      </c>
      <c r="AW215" s="442">
        <f>IF(AY215=0,0,IF(AY215&lt;0,IF($J215=9,AY215,IF($J215=8,AY215,IF($J215=7,AY215,0)))))</f>
        <v>0</v>
      </c>
      <c r="AX215" s="443">
        <f>IF(AY215=0,0,IF(AY215&lt;0,IF($J215=12,AY215,IF($J215=11,AY215,IF($J215=10,AY215,0)))))</f>
        <v>0</v>
      </c>
      <c r="AY215" s="440">
        <f>IF(AY$5=$H215,-$E215,0)</f>
        <v>0</v>
      </c>
      <c r="AZ215" s="441">
        <f>IF(BD215=0,0,IF(BD215&lt;0,IF($J215=3,BD215,IF($J215=2,BD215,IF($J215=1,BD215,0)))))</f>
        <v>0</v>
      </c>
      <c r="BA215" s="442">
        <f>IF(BD215=0,0,IF(BD215&lt;0,IF($J215=6,BD215,IF($J215=5,BD215,IF($J215=4,BD215,0)))))</f>
        <v>0</v>
      </c>
      <c r="BB215" s="442">
        <f>IF(BD215=0,0,IF(BD215&lt;0,IF($J215=9,BD215,IF($J215=8,BD215,IF($J215=7,BD215,0)))))</f>
        <v>0</v>
      </c>
      <c r="BC215" s="443">
        <f>IF(BD215=0,0,IF(BD215&lt;0,IF($J215=12,BD215,IF($J215=11,BD215,IF($J215=10,BD215,0)))))</f>
        <v>0</v>
      </c>
      <c r="BD215" s="440">
        <f>IF(BD$5=$H215,-$E215,0)</f>
        <v>0</v>
      </c>
      <c r="BE215" s="441">
        <f>IF(BI215=0,0,IF(BI215&lt;0,IF($J215=3,BI215,IF($J215=2,BI215,IF($J215=1,BI215,0)))))</f>
        <v>0</v>
      </c>
      <c r="BF215" s="442">
        <f>IF(BI215=0,0,IF(BI215&lt;0,IF($J215=6,BI215,IF($J215=5,BI215,IF($J215=4,BI215,0)))))</f>
        <v>0</v>
      </c>
      <c r="BG215" s="442">
        <f>IF(BI215=0,0,IF(BI215&lt;0,IF($J215=9,BI215,IF($J215=8,BI215,IF($J215=7,BI215,0)))))</f>
        <v>0</v>
      </c>
      <c r="BH215" s="443">
        <f>IF(BI215=0,0,IF(BI215&lt;0,IF($J215=12,BI215,IF($J215=11,BI215,IF($J215=10,BI215,0)))))</f>
        <v>0</v>
      </c>
      <c r="BI215" s="440">
        <f>IF(BI$5=$H215,-$E215,0)</f>
        <v>0</v>
      </c>
      <c r="BJ215" s="441">
        <f>IF(BN215=0,0,IF(BN215&lt;0,IF($J215=3,BN215,IF($J215=2,BN215,IF($J215=1,BN215,0)))))</f>
        <v>0</v>
      </c>
      <c r="BK215" s="442">
        <f>IF(BN215=0,0,IF(BN215&lt;0,IF($J215=6,BN215,IF($J215=5,BN215,IF($J215=4,BN215,0)))))</f>
        <v>0</v>
      </c>
      <c r="BL215" s="442">
        <f>IF(BN215=0,0,IF(BN215&lt;0,IF($J215=9,BN215,IF($J215=8,BN215,IF($J215=7,BN215,0)))))</f>
        <v>0</v>
      </c>
      <c r="BM215" s="443">
        <f>IF(BN215=0,0,IF(BN215&lt;0,IF($J215=12,BN215,IF($J215=11,BN215,IF($J215=10,BN215,0)))))</f>
        <v>0</v>
      </c>
      <c r="BN215" s="440">
        <f>IF(BN$5=$H215,-$E215,0)</f>
        <v>0</v>
      </c>
      <c r="BO215" s="470"/>
      <c r="BP215" s="441">
        <f>IF($H215&lt;&gt;BT$5,0,IF(BT215&lt;0,IF($J215=1,-$E215*$I215/12*3,IF($J215=2,-$E215*$I215/12*2,IF($J215=3,-$E215*$I215/12*1,0)))))+IF(BO$5&lt;&gt;$H215,0,IF(BO215&lt;0,IF($J215=1,-$E215*$I215/12*0,IF($J215=2,-$E215*$I215/12*1,IF($J215=3,-$E215*$I215/12*2,IF($J215&gt;=4,-$E215*$I215/12*3,0))))))</f>
        <v>0</v>
      </c>
      <c r="BQ215" s="442">
        <f>IF($H215&lt;&gt;BT$5,0,IF(BT215&lt;0,IF(OR($J215=1,$J215=2,$J215=3,$J215=4),-$E215*$I215/12*3,IF($J215=5,-$E215*$I215/12*2,IF($J215=6,-$E215*$I215/12*1,0)))))+IF(BO$5&lt;&gt;$H215,0,IF(BO215&lt;0,IF($J215=4,-$E215*$I215/12*0,IF($J215=5,-$E215*$I215/12*1,IF($J215=6,-$E215*$I215/12*2,IF($J215&gt;=7,-$E215*$I215/12*3,0))))))</f>
        <v>0</v>
      </c>
      <c r="BR215" s="442">
        <f>IF($H215&lt;&gt;BT$5,0,IF(BT215&lt;0,IF(OR($J215=1,$J215=2,$J215=3,$J215=4,$J215=5,$J215=6,$J215=7),-$E215*$I215/12*3,IF($J215=8,-$E215*$I215/12*2,IF($J215=9,-$E215*$I215/12*1,0)))))+IF(BO$5&lt;&gt;$H215,0,IF(BO215&lt;0,IF($J215=7,-$E215*$I215/12*0,IF($J215=8,-$E215*$I215/12*1,IF($J215=9,-$E215*$I215/12*2,IF($J215&gt;=10,-$E215*$I215/12*3,0))))))</f>
        <v>0</v>
      </c>
      <c r="BS215" s="443">
        <f>IF($H215&lt;&gt;BT$5,0,IF(BT215&lt;0,IF(OR($J215=1,$J215=2,$J215=3,$J215=4,$J215=5,$J215=6,$J215=7,$J215=8,$J215=9,$J215=10),-$E215*$I215/12*3,IF($J215=11,-$E215*$I215/12*2,IF($J215=12,-$E215*$I215/12*1,0)))))+IF(BO$5&lt;&gt;$H215,0,IF(BO215&lt;0,IF($J215=10,-$E215*$I215/12*0,IF($J215=11,-$E215*$I215/12*1,IF($J215=12,-$E215*$I215/12*2,0)))))</f>
        <v>0</v>
      </c>
      <c r="BT215" s="440">
        <f>IF(AND(BO215&lt;&gt;0,BO$5=$H215),-$I215*$E215-BO215,IF(BT$5=$H215,-$I215*$E215*(12-$J215+1)/12,0))</f>
        <v>0</v>
      </c>
      <c r="BU215" s="441">
        <f>IF($H215&lt;&gt;BY$5,0,IF(BY215&lt;0,IF($J215=1,-$E215*$I215/12*3,IF($J215=2,-$E215*$I215/12*2,IF($J215=3,-$E215*$I215/12*1,0)))))+IF(BT$5&lt;&gt;$H215,0,IF(BT215&lt;0,IF($J215=1,-$E215*$I215/12*0,IF($J215=2,-$E215*$I215/12*1,IF($J215=3,-$E215*$I215/12*2,IF($J215&gt;=4,-$E215*$I215/12*3,0))))))</f>
        <v>0</v>
      </c>
      <c r="BV215" s="442">
        <f>IF($H215&lt;&gt;BY$5,0,IF(BY215&lt;0,IF(OR($J215=1,$J215=2,$J215=3,$J215=4),-$E215*$I215/12*3,IF($J215=5,-$E215*$I215/12*2,IF($J215=6,-$E215*$I215/12*1,0)))))+IF(BT$5&lt;&gt;$H215,0,IF(BT215&lt;0,IF($J215=4,-$E215*$I215/12*0,IF($J215=5,-$E215*$I215/12*1,IF($J215=6,-$E215*$I215/12*2,IF($J215&gt;=7,-$E215*$I215/12*3,0))))))</f>
        <v>0</v>
      </c>
      <c r="BW215" s="442">
        <f>IF($H215&lt;&gt;BY$5,0,IF(BY215&lt;0,IF(OR($J215=1,$J215=2,$J215=3,$J215=4,$J215=5,$J215=6,$J215=7),-$E215*$I215/12*3,IF($J215=8,-$E215*$I215/12*2,IF($J215=9,-$E215*$I215/12*1,0)))))+IF(BT$5&lt;&gt;$H215,0,IF(BT215&lt;0,IF($J215=7,-$E215*$I215/12*0,IF($J215=8,-$E215*$I215/12*1,IF($J215=9,-$E215*$I215/12*2,IF($J215&gt;=10,-$E215*$I215/12*3,0))))))</f>
        <v>0</v>
      </c>
      <c r="BX215" s="443">
        <f>IF($H215&lt;&gt;BY$5,0,IF(BY215&lt;0,IF(OR($J215=1,$J215=2,$J215=3,$J215=4,$J215=5,$J215=6,$J215=7,$J215=8,$J215=9,$J215=10),-$E215*$I215/12*3,IF($J215=11,-$E215*$I215/12*2,IF($J215=12,-$E215*$I215/12*1,0)))))+IF(BT$5&lt;&gt;$H215,0,IF(BT215&lt;0,IF($J215=10,-$E215*$I215/12*0,IF($J215=11,-$E215*$I215/12*1,IF($J215=12,-$E215*$I215/12*2,0)))))</f>
        <v>0</v>
      </c>
      <c r="BY215" s="440">
        <f>IF(AND(BT215&lt;&gt;0,BT$5=$H215),-$I215*$E215-BT215,IF(BY$5=$H215,-$I215*$E215*(12-$J215+1)/12,0))</f>
        <v>0</v>
      </c>
      <c r="BZ215" s="441">
        <f>IF($H215&lt;&gt;CD$5,0,IF(CD215&lt;0,IF($J215=1,-$E215*$I215/12*3,IF($J215=2,-$E215*$I215/12*2,IF($J215=3,-$E215*$I215/12*1,0)))))+IF(BY$5&lt;&gt;$H215,0,IF(BY215&lt;0,IF($J215=1,-$E215*$I215/12*0,IF($J215=2,-$E215*$I215/12*1,IF($J215=3,-$E215*$I215/12*2,IF($J215&gt;=4,-$E215*$I215/12*3,0))))))</f>
        <v>0</v>
      </c>
      <c r="CA215" s="442">
        <f>IF($H215&lt;&gt;CD$5,0,IF(CD215&lt;0,IF(OR($J215=1,$J215=2,$J215=3,$J215=4),-$E215*$I215/12*3,IF($J215=5,-$E215*$I215/12*2,IF($J215=6,-$E215*$I215/12*1,0)))))+IF(BY$5&lt;&gt;$H215,0,IF(BY215&lt;0,IF($J215=4,-$E215*$I215/12*0,IF($J215=5,-$E215*$I215/12*1,IF($J215=6,-$E215*$I215/12*2,IF($J215&gt;=7,-$E215*$I215/12*3,0))))))</f>
        <v>0</v>
      </c>
      <c r="CB215" s="442">
        <f>IF($H215&lt;&gt;CD$5,0,IF(CD215&lt;0,IF(OR($J215=1,$J215=2,$J215=3,$J215=4,$J215=5,$J215=6,$J215=7),-$E215*$I215/12*3,IF($J215=8,-$E215*$I215/12*2,IF($J215=9,-$E215*$I215/12*1,0)))))+IF(BY$5&lt;&gt;$H215,0,IF(BY215&lt;0,IF($J215=7,-$E215*$I215/12*0,IF($J215=8,-$E215*$I215/12*1,IF($J215=9,-$E215*$I215/12*2,IF($J215&gt;=10,-$E215*$I215/12*3,0))))))</f>
        <v>0</v>
      </c>
      <c r="CC215" s="443">
        <f>IF($H215&lt;&gt;CD$5,0,IF(CD215&lt;0,IF(OR($J215=1,$J215=2,$J215=3,$J215=4,$J215=5,$J215=6,$J215=7,$J215=8,$J215=9,$J215=10),-$E215*$I215/12*3,IF($J215=11,-$E215*$I215/12*2,IF($J215=12,-$E215*$I215/12*1,0)))))+IF(BY$5&lt;&gt;$H215,0,IF(BY215&lt;0,IF($J215=10,-$E215*$I215/12*0,IF($J215=11,-$E215*$I215/12*1,IF($J215=12,-$E215*$I215/12*2,0)))))</f>
        <v>0</v>
      </c>
      <c r="CD215" s="440">
        <f>IF(AND(BY215&lt;&gt;0,BY$5=$H215),-$I215*$E215-BY215,IF(CD$5=$H215,-$I215*$E215*(12-$J215+1)/12,0))</f>
        <v>0</v>
      </c>
      <c r="CE215" s="441">
        <f>IF($H215&lt;&gt;CI$5,0,IF(CI215&lt;0,IF($J215=1,-$E215*$I215/12*3,IF($J215=2,-$E215*$I215/12*2,IF($J215=3,-$E215*$I215/12*1,0)))))+IF(CD$5&lt;&gt;$H215,0,IF(CD215&lt;0,IF($J215=1,-$E215*$I215/12*0,IF($J215=2,-$E215*$I215/12*1,IF($J215=3,-$E215*$I215/12*2,IF($J215&gt;=4,-$E215*$I215/12*3,0))))))</f>
        <v>0</v>
      </c>
      <c r="CF215" s="442">
        <f>IF($H215&lt;&gt;CI$5,0,IF(CI215&lt;0,IF(OR($J215=1,$J215=2,$J215=3,$J215=4),-$E215*$I215/12*3,IF($J215=5,-$E215*$I215/12*2,IF($J215=6,-$E215*$I215/12*1,0)))))+IF(CD$5&lt;&gt;$H215,0,IF(CD215&lt;0,IF($J215=4,-$E215*$I215/12*0,IF($J215=5,-$E215*$I215/12*1,IF($J215=6,-$E215*$I215/12*2,IF($J215&gt;=7,-$E215*$I215/12*3,0))))))</f>
        <v>0</v>
      </c>
      <c r="CG215" s="442">
        <f>IF($H215&lt;&gt;CI$5,0,IF(CI215&lt;0,IF(OR($J215=1,$J215=2,$J215=3,$J215=4,$J215=5,$J215=6,$J215=7),-$E215*$I215/12*3,IF($J215=8,-$E215*$I215/12*2,IF($J215=9,-$E215*$I215/12*1,0)))))+IF(CD$5&lt;&gt;$H215,0,IF(CD215&lt;0,IF($J215=7,-$E215*$I215/12*0,IF($J215=8,-$E215*$I215/12*1,IF($J215=9,-$E215*$I215/12*2,IF($J215&gt;=10,-$E215*$I215/12*3,0))))))</f>
        <v>0</v>
      </c>
      <c r="CH215" s="443">
        <f>IF($H215&lt;&gt;CI$5,0,IF(CI215&lt;0,IF(OR($J215=1,$J215=2,$J215=3,$J215=4,$J215=5,$J215=6,$J215=7,$J215=8,$J215=9,$J215=10),-$E215*$I215/12*3,IF($J215=11,-$E215*$I215/12*2,IF($J215=12,-$E215*$I215/12*1,0)))))+IF(CD$5&lt;&gt;$H215,0,IF(CD215&lt;0,IF($J215=10,-$E215*$I215/12*0,IF($J215=11,-$E215*$I215/12*1,IF($J215=12,-$E215*$I215/12*2,0)))))</f>
        <v>0</v>
      </c>
      <c r="CI215" s="440">
        <f>IF(AND(CD215&lt;&gt;0,CD$5=$H215),-$I215*$E215-CD215,IF(CI$5=$H215,-$I215*$E215*(12-$J215+1)/12,0))</f>
        <v>0</v>
      </c>
      <c r="CJ215" s="441">
        <f>IF($H215&lt;&gt;CN$5,0,IF(CN215&lt;0,IF($J215=1,-$E215*$I215/12*3,IF($J215=2,-$E215*$I215/12*2,IF($J215=3,-$E215*$I215/12*1,0)))))+IF(CI$5&lt;&gt;$H215,0,IF(CI215&lt;0,IF($J215=1,-$E215*$I215/12*0,IF($J215=2,-$E215*$I215/12*1,IF($J215=3,-$E215*$I215/12*2,IF($J215&gt;=4,-$E215*$I215/12*3,0))))))</f>
        <v>0</v>
      </c>
      <c r="CK215" s="442">
        <f>IF($H215&lt;&gt;CN$5,0,IF(CN215&lt;0,IF(OR($J215=1,$J215=2,$J215=3,$J215=4),-$E215*$I215/12*3,IF($J215=5,-$E215*$I215/12*2,IF($J215=6,-$E215*$I215/12*1,0)))))+IF(CI$5&lt;&gt;$H215,0,IF(CI215&lt;0,IF($J215=4,-$E215*$I215/12*0,IF($J215=5,-$E215*$I215/12*1,IF($J215=6,-$E215*$I215/12*2,IF($J215&gt;=7,-$E215*$I215/12*3,0))))))</f>
        <v>0</v>
      </c>
      <c r="CL215" s="442">
        <f>IF($H215&lt;&gt;CN$5,0,IF(CN215&lt;0,IF(OR($J215=1,$J215=2,$J215=3,$J215=4,$J215=5,$J215=6,$J215=7),-$E215*$I215/12*3,IF($J215=8,-$E215*$I215/12*2,IF($J215=9,-$E215*$I215/12*1,0)))))+IF(CI$5&lt;&gt;$H215,0,IF(CI215&lt;0,IF($J215=7,-$E215*$I215/12*0,IF($J215=8,-$E215*$I215/12*1,IF($J215=9,-$E215*$I215/12*2,IF($J215&gt;=10,-$E215*$I215/12*3,0))))))</f>
        <v>0</v>
      </c>
      <c r="CM215" s="443">
        <f>IF($H215&lt;&gt;CN$5,0,IF(CN215&lt;0,IF(OR($J215=1,$J215=2,$J215=3,$J215=4,$J215=5,$J215=6,$J215=7,$J215=8,$J215=9,$J215=10),-$E215*$I215/12*3,IF($J215=11,-$E215*$I215/12*2,IF($J215=12,-$E215*$I215/12*1,0)))))+IF(CI$5&lt;&gt;$H215,0,IF(CI215&lt;0,IF($J215=10,-$E215*$I215/12*0,IF($J215=11,-$E215*$I215/12*1,IF($J215=12,-$E215*$I215/12*2,0)))))</f>
        <v>0</v>
      </c>
      <c r="CN215" s="440">
        <f>IF(AND(CI215&lt;&gt;0,CI$5=$H215),-$I215*$E215-CI215,IF(CN$5=$H215,-$I215*$E215*(12-$J215+1)/12,0))</f>
        <v>0</v>
      </c>
      <c r="CO215" s="441">
        <f>IF($H215&lt;&gt;CS$5,0,IF(CS215&lt;0,IF($J215=1,-$E215*$I215/12*3,IF($J215=2,-$E215*$I215/12*2,IF($J215=3,-$E215*$I215/12*1,0)))))+IF(CN$5&lt;&gt;$H215,0,IF(CN215&lt;0,IF($J215=1,-$E215*$I215/12*0,IF($J215=2,-$E215*$I215/12*1,IF($J215=3,-$E215*$I215/12*2,IF($J215&gt;=4,-$E215*$I215/12*3,0))))))</f>
        <v>0</v>
      </c>
      <c r="CP215" s="442">
        <f>IF($H215&lt;&gt;CS$5,0,IF(CS215&lt;0,IF(OR($J215=1,$J215=2,$J215=3,$J215=4),-$E215*$I215/12*3,IF($J215=5,-$E215*$I215/12*2,IF($J215=6,-$E215*$I215/12*1,0)))))+IF(CN$5&lt;&gt;$H215,0,IF(CN215&lt;0,IF($J215=4,-$E215*$I215/12*0,IF($J215=5,-$E215*$I215/12*1,IF($J215=6,-$E215*$I215/12*2,IF($J215&gt;=7,-$E215*$I215/12*3,0))))))</f>
        <v>0</v>
      </c>
      <c r="CQ215" s="442">
        <f>IF($H215&lt;&gt;CS$5,0,IF(CS215&lt;0,IF(OR($J215=1,$J215=2,$J215=3,$J215=4,$J215=5,$J215=6,$J215=7),-$E215*$I215/12*3,IF($J215=8,-$E215*$I215/12*2,IF($J215=9,-$E215*$I215/12*1,0)))))+IF(CN$5&lt;&gt;$H215,0,IF(CN215&lt;0,IF($J215=7,-$E215*$I215/12*0,IF($J215=8,-$E215*$I215/12*1,IF($J215=9,-$E215*$I215/12*2,IF($J215&gt;=10,-$E215*$I215/12*3,0))))))</f>
        <v>0</v>
      </c>
      <c r="CR215" s="443">
        <f>IF($H215&lt;&gt;CS$5,0,IF(CS215&lt;0,IF(OR($J215=1,$J215=2,$J215=3,$J215=4,$J215=5,$J215=6,$J215=7,$J215=8,$J215=9,$J215=10),-$E215*$I215/12*3,IF($J215=11,-$E215*$I215/12*2,IF($J215=12,-$E215*$I215/12*1,0)))))+IF(CN$5&lt;&gt;$H215,0,IF(CN215&lt;0,IF($J215=10,-$E215*$I215/12*0,IF($J215=11,-$E215*$I215/12*1,IF($J215=12,-$E215*$I215/12*2,0)))))</f>
        <v>0</v>
      </c>
      <c r="CS215" s="440">
        <f>IF(AND(CN215&lt;&gt;0,CN$5=$H215),-$I215*$E215-CN215,IF(CS$5=$H215,-$I215*$E215*(12-$J215+1)/12,0))</f>
        <v>0</v>
      </c>
      <c r="CT215" s="441">
        <f>IF($H215&lt;&gt;CX$5,0,IF(CX215&lt;0,IF($J215=1,-$E215*$I215/12*3,IF($J215=2,-$E215*$I215/12*2,IF($J215=3,-$E215*$I215/12*1,0)))))+IF(CS$5&lt;&gt;$H215,0,IF(CS215&lt;0,IF($J215=1,-$E215*$I215/12*0,IF($J215=2,-$E215*$I215/12*1,IF($J215=3,-$E215*$I215/12*2,IF($J215&gt;=4,-$E215*$I215/12*3,0))))))</f>
        <v>0</v>
      </c>
      <c r="CU215" s="442">
        <f>IF($H215&lt;&gt;CX$5,0,IF(CX215&lt;0,IF(OR($J215=1,$J215=2,$J215=3,$J215=4),-$E215*$I215/12*3,IF($J215=5,-$E215*$I215/12*2,IF($J215=6,-$E215*$I215/12*1,0)))))+IF(CS$5&lt;&gt;$H215,0,IF(CS215&lt;0,IF($J215=4,-$E215*$I215/12*0,IF($J215=5,-$E215*$I215/12*1,IF($J215=6,-$E215*$I215/12*2,IF($J215&gt;=7,-$E215*$I215/12*3,0))))))</f>
        <v>0</v>
      </c>
      <c r="CV215" s="442">
        <f>IF($H215&lt;&gt;CX$5,0,IF(CX215&lt;0,IF(OR($J215=1,$J215=2,$J215=3,$J215=4,$J215=5,$J215=6,$J215=7),-$E215*$I215/12*3,IF($J215=8,-$E215*$I215/12*2,IF($J215=9,-$E215*$I215/12*1,0)))))+IF(CS$5&lt;&gt;$H215,0,IF(CS215&lt;0,IF($J215=7,-$E215*$I215/12*0,IF($J215=8,-$E215*$I215/12*1,IF($J215=9,-$E215*$I215/12*2,IF($J215&gt;=10,-$E215*$I215/12*3,0))))))</f>
        <v>0</v>
      </c>
      <c r="CW215" s="443">
        <f>IF($H215&lt;&gt;CX$5,0,IF(CX215&lt;0,IF(OR($J215=1,$J215=2,$J215=3,$J215=4,$J215=5,$J215=6,$J215=7,$J215=8,$J215=9,$J215=10),-$E215*$I215/12*3,IF($J215=11,-$E215*$I215/12*2,IF($J215=12,-$E215*$I215/12*1,0)))))+IF(CS$5&lt;&gt;$H215,0,IF(CS215&lt;0,IF($J215=10,-$E215*$I215/12*0,IF($J215=11,-$E215*$I215/12*1,IF($J215=12,-$E215*$I215/12*2,0)))))</f>
        <v>0</v>
      </c>
      <c r="CX215" s="440">
        <f>IF(AND(CS215&lt;&gt;0,CS$5=$H215),-$I215*$E215-CS215,IF(CX$5=$H215,-$I215*$E215*(12-$J215+1)/12,0))</f>
        <v>0</v>
      </c>
      <c r="CY215" s="441">
        <f>IF($H215&lt;&gt;DC$5,0,IF(DC215&lt;0,IF($J215=1,-$E215*$I215/12*3,IF($J215=2,-$E215*$I215/12*2,IF($J215=3,-$E215*$I215/12*1,0)))))+IF(CX$5&lt;&gt;$H215,0,IF(CX215&lt;0,IF($J215=1,-$E215*$I215/12*0,IF($J215=2,-$E215*$I215/12*1,IF($J215=3,-$E215*$I215/12*2,IF($J215&gt;=4,-$E215*$I215/12*3,0))))))</f>
        <v>0</v>
      </c>
      <c r="CZ215" s="442">
        <f>IF($H215&lt;&gt;DC$5,0,IF(DC215&lt;0,IF(OR($J215=1,$J215=2,$J215=3,$J215=4),-$E215*$I215/12*3,IF($J215=5,-$E215*$I215/12*2,IF($J215=6,-$E215*$I215/12*1,0)))))+IF(CX$5&lt;&gt;$H215,0,IF(CX215&lt;0,IF($J215=4,-$E215*$I215/12*0,IF($J215=5,-$E215*$I215/12*1,IF($J215=6,-$E215*$I215/12*2,IF($J215&gt;=7,-$E215*$I215/12*3,0))))))</f>
        <v>0</v>
      </c>
      <c r="DA215" s="442">
        <f>IF($H215&lt;&gt;DC$5,0,IF(DC215&lt;0,IF(OR($J215=1,$J215=2,$J215=3,$J215=4,$J215=5,$J215=6,$J215=7),-$E215*$I215/12*3,IF($J215=8,-$E215*$I215/12*2,IF($J215=9,-$E215*$I215/12*1,0)))))+IF(CX$5&lt;&gt;$H215,0,IF(CX215&lt;0,IF($J215=7,-$E215*$I215/12*0,IF($J215=8,-$E215*$I215/12*1,IF($J215=9,-$E215*$I215/12*2,IF($J215&gt;=10,-$E215*$I215/12*3,0))))))</f>
        <v>0</v>
      </c>
      <c r="DB215" s="443">
        <f>IF($H215&lt;&gt;DC$5,0,IF(DC215&lt;0,IF(OR($J215=1,$J215=2,$J215=3,$J215=4,$J215=5,$J215=6,$J215=7,$J215=8,$J215=9,$J215=10),-$E215*$I215/12*3,IF($J215=11,-$E215*$I215/12*2,IF($J215=12,-$E215*$I215/12*1,0)))))+IF(CX$5&lt;&gt;$H215,0,IF(CX215&lt;0,IF($J215=10,-$E215*$I215/12*0,IF($J215=11,-$E215*$I215/12*1,IF($J215=12,-$E215*$I215/12*2,0)))))</f>
        <v>0</v>
      </c>
      <c r="DC215" s="440">
        <f>IF(AND(CX215&lt;&gt;0,CX$5=$H215),-$I215*$E215-CX215,IF(DC$5=$H215,-$I215*$E215*(12-$J215+1)/12,0))</f>
        <v>0</v>
      </c>
      <c r="DD215" s="441">
        <f>IF($H215&lt;&gt;DH$5,0,IF(DH215&lt;0,IF($J215=1,-$E215*$I215/12*3,IF($J215=2,-$E215*$I215/12*2,IF($J215=3,-$E215*$I215/12*1,0)))))+IF(DC$5&lt;&gt;$H215,0,IF(DC215&lt;0,IF($J215=1,-$E215*$I215/12*0,IF($J215=2,-$E215*$I215/12*1,IF($J215=3,-$E215*$I215/12*2,IF($J215&gt;=4,-$E215*$I215/12*3,0))))))</f>
        <v>0</v>
      </c>
      <c r="DE215" s="442">
        <f>IF($H215&lt;&gt;DH$5,0,IF(DH215&lt;0,IF(OR($J215=1,$J215=2,$J215=3,$J215=4),-$E215*$I215/12*3,IF($J215=5,-$E215*$I215/12*2,IF($J215=6,-$E215*$I215/12*1,0)))))+IF(DC$5&lt;&gt;$H215,0,IF(DC215&lt;0,IF($J215=4,-$E215*$I215/12*0,IF($J215=5,-$E215*$I215/12*1,IF($J215=6,-$E215*$I215/12*2,IF($J215&gt;=7,-$E215*$I215/12*3,0))))))</f>
        <v>0</v>
      </c>
      <c r="DF215" s="442">
        <f>IF($H215&lt;&gt;DH$5,0,IF(DH215&lt;0,IF(OR($J215=1,$J215=2,$J215=3,$J215=4,$J215=5,$J215=6,$J215=7),-$E215*$I215/12*3,IF($J215=8,-$E215*$I215/12*2,IF($J215=9,-$E215*$I215/12*1,0)))))+IF(DC$5&lt;&gt;$H215,0,IF(DC215&lt;0,IF($J215=7,-$E215*$I215/12*0,IF($J215=8,-$E215*$I215/12*1,IF($J215=9,-$E215*$I215/12*2,IF($J215&gt;=10,-$E215*$I215/12*3,0))))))</f>
        <v>0</v>
      </c>
      <c r="DG215" s="443">
        <f>IF($H215&lt;&gt;DH$5,0,IF(DH215&lt;0,IF(OR($J215=1,$J215=2,$J215=3,$J215=4,$J215=5,$J215=6,$J215=7,$J215=8,$J215=9,$J215=10),-$E215*$I215/12*3,IF($J215=11,-$E215*$I215/12*2,IF($J215=12,-$E215*$I215/12*1,0)))))+IF(DC$5&lt;&gt;$H215,0,IF(DC215&lt;0,IF($J215=10,-$E215*$I215/12*0,IF($J215=11,-$E215*$I215/12*1,IF($J215=12,-$E215*$I215/12*2,0)))))</f>
        <v>0</v>
      </c>
      <c r="DH215" s="440">
        <f>IF(AND(DC215&lt;&gt;0,DC$5=$H215),-$I215*$E215-DC215,IF(DH$5=$H215,-$I215*$E215*(12-$J215+1)/12,0))</f>
        <v>0</v>
      </c>
      <c r="DI215" s="441">
        <f>IF($H215&lt;&gt;DM$5,0,IF(DM215&lt;0,IF($J215=1,-$E215*$I215/12*3,IF($J215=2,-$E215*$I215/12*2,IF($J215=3,-$E215*$I215/12*1,0)))))+IF(DH$5&lt;&gt;$H215,0,IF(DH215&lt;0,IF($J215=1,-$E215*$I215/12*0,IF($J215=2,-$E215*$I215/12*1,IF($J215=3,-$E215*$I215/12*2,IF($J215&gt;=4,-$E215*$I215/12*3,0))))))</f>
        <v>0</v>
      </c>
      <c r="DJ215" s="442">
        <f>IF($H215&lt;&gt;DM$5,0,IF(DM215&lt;0,IF(OR($J215=1,$J215=2,$J215=3,$J215=4),-$E215*$I215/12*3,IF($J215=5,-$E215*$I215/12*2,IF($J215=6,-$E215*$I215/12*1,0)))))+IF(DH$5&lt;&gt;$H215,0,IF(DH215&lt;0,IF($J215=4,-$E215*$I215/12*0,IF($J215=5,-$E215*$I215/12*1,IF($J215=6,-$E215*$I215/12*2,IF($J215&gt;=7,-$E215*$I215/12*3,0))))))</f>
        <v>0</v>
      </c>
      <c r="DK215" s="442">
        <f>IF($H215&lt;&gt;DM$5,0,IF(DM215&lt;0,IF(OR($J215=1,$J215=2,$J215=3,$J215=4,$J215=5,$J215=6,$J215=7),-$E215*$I215/12*3,IF($J215=8,-$E215*$I215/12*2,IF($J215=9,-$E215*$I215/12*1,0)))))+IF(DH$5&lt;&gt;$H215,0,IF(DH215&lt;0,IF($J215=7,-$E215*$I215/12*0,IF($J215=8,-$E215*$I215/12*1,IF($J215=9,-$E215*$I215/12*2,IF($J215&gt;=10,-$E215*$I215/12*3,0))))))</f>
        <v>0</v>
      </c>
      <c r="DL215" s="443">
        <f>IF($H215&lt;&gt;DM$5,0,IF(DM215&lt;0,IF(OR($J215=1,$J215=2,$J215=3,$J215=4,$J215=5,$J215=6,$J215=7,$J215=8,$J215=9,$J215=10),-$E215*$I215/12*3,IF($J215=11,-$E215*$I215/12*2,IF($J215=12,-$E215*$I215/12*1,0)))))+IF(DH$5&lt;&gt;$H215,0,IF(DH215&lt;0,IF($J215=10,-$E215*$I215/12*0,IF($J215=11,-$E215*$I215/12*1,IF($J215=12,-$E215*$I215/12*2,0)))))</f>
        <v>0</v>
      </c>
      <c r="DM215" s="440">
        <f>IF(AND(DH215&lt;&gt;0,DH$5=$H215),-$I215*$E215-DH215,IF(DM$5=$H215,-$I215*$E215*(12-$J215+1)/12,0))</f>
        <v>0</v>
      </c>
      <c r="DN215" s="441">
        <f>IF($H215&lt;&gt;DR$5,0,IF(DR215&lt;0,IF($J215=1,-$E215*$I215/12*3,IF($J215=2,-$E215*$I215/12*2,IF($J215=3,-$E215*$I215/12*1,0)))))+IF(DM$5&lt;&gt;$H215,0,IF(DM215&lt;0,IF($J215=1,-$E215*$I215/12*0,IF($J215=2,-$E215*$I215/12*1,IF($J215=3,-$E215*$I215/12*2,IF($J215&gt;=4,-$E215*$I215/12*3,0))))))</f>
        <v>0</v>
      </c>
      <c r="DO215" s="442">
        <f>IF($H215&lt;&gt;DR$5,0,IF(DR215&lt;0,IF(OR($J215=1,$J215=2,$J215=3,$J215=4),-$E215*$I215/12*3,IF($J215=5,-$E215*$I215/12*2,IF($J215=6,-$E215*$I215/12*1,0)))))+IF(DM$5&lt;&gt;$H215,0,IF(DM215&lt;0,IF($J215=4,-$E215*$I215/12*0,IF($J215=5,-$E215*$I215/12*1,IF($J215=6,-$E215*$I215/12*2,IF($J215&gt;=7,-$E215*$I215/12*3,0))))))</f>
        <v>0</v>
      </c>
      <c r="DP215" s="442">
        <f>IF($H215&lt;&gt;DR$5,0,IF(DR215&lt;0,IF(OR($J215=1,$J215=2,$J215=3,$J215=4,$J215=5,$J215=6,$J215=7),-$E215*$I215/12*3,IF($J215=8,-$E215*$I215/12*2,IF($J215=9,-$E215*$I215/12*1,0)))))+IF(DM$5&lt;&gt;$H215,0,IF(DM215&lt;0,IF($J215=7,-$E215*$I215/12*0,IF($J215=8,-$E215*$I215/12*1,IF($J215=9,-$E215*$I215/12*2,IF($J215&gt;=10,-$E215*$I215/12*3,0))))))</f>
        <v>0</v>
      </c>
      <c r="DQ215" s="443">
        <f>IF($H215&lt;&gt;DR$5,0,IF(DR215&lt;0,IF(OR($J215=1,$J215=2,$J215=3,$J215=4,$J215=5,$J215=6,$J215=7,$J215=8,$J215=9,$J215=10),-$E215*$I215/12*3,IF($J215=11,-$E215*$I215/12*2,IF($J215=12,-$E215*$I215/12*1,0)))))+IF(DM$5&lt;&gt;$H215,0,IF(DM215&lt;0,IF($J215=10,-$E215*$I215/12*0,IF($J215=11,-$E215*$I215/12*1,IF($J215=12,-$E215*$I215/12*2,0)))))</f>
        <v>0</v>
      </c>
      <c r="DR215" s="440">
        <f>IF(AND(DM215&lt;&gt;0,DM$5=$H215),-$I215*$E215-DM215,IF(DR$5=$H215,-$I215*$E215*(12-$J215+1)/12,0))</f>
        <v>0</v>
      </c>
    </row>
    <row r="216" spans="3:122" ht="12.75" customHeight="1">
      <c r="C216" s="1123" t="s">
        <v>333</v>
      </c>
      <c r="D216" s="395"/>
      <c r="E216" s="1950">
        <f t="shared" si="2719"/>
        <v>2.3015919999999999</v>
      </c>
      <c r="F216" s="1949">
        <v>2.3015919999999999</v>
      </c>
      <c r="G216" s="1949">
        <v>3.9116469999999999</v>
      </c>
      <c r="H216" s="414">
        <v>2039</v>
      </c>
      <c r="I216" s="1947">
        <v>0.05</v>
      </c>
      <c r="J216" s="656">
        <v>12</v>
      </c>
      <c r="K216" s="549"/>
      <c r="L216" s="441">
        <f t="shared" si="2720"/>
        <v>0</v>
      </c>
      <c r="M216" s="442">
        <f t="shared" si="2721"/>
        <v>0</v>
      </c>
      <c r="N216" s="442">
        <f t="shared" si="2722"/>
        <v>0</v>
      </c>
      <c r="O216" s="443">
        <f t="shared" si="2723"/>
        <v>0</v>
      </c>
      <c r="P216" s="440">
        <f t="shared" si="2724"/>
        <v>0</v>
      </c>
      <c r="Q216" s="441">
        <f t="shared" si="2725"/>
        <v>0</v>
      </c>
      <c r="R216" s="442">
        <f t="shared" si="2726"/>
        <v>0</v>
      </c>
      <c r="S216" s="442">
        <f t="shared" si="2727"/>
        <v>0</v>
      </c>
      <c r="T216" s="443">
        <f t="shared" si="2728"/>
        <v>0</v>
      </c>
      <c r="U216" s="440">
        <f t="shared" si="2729"/>
        <v>0</v>
      </c>
      <c r="V216" s="441">
        <f t="shared" si="2730"/>
        <v>0</v>
      </c>
      <c r="W216" s="442">
        <f t="shared" si="2731"/>
        <v>0</v>
      </c>
      <c r="X216" s="442">
        <f t="shared" si="2732"/>
        <v>0</v>
      </c>
      <c r="Y216" s="443">
        <f t="shared" si="2733"/>
        <v>0</v>
      </c>
      <c r="Z216" s="440">
        <f t="shared" si="2734"/>
        <v>0</v>
      </c>
      <c r="AA216" s="441">
        <f t="shared" si="2735"/>
        <v>0</v>
      </c>
      <c r="AB216" s="442">
        <f t="shared" si="2736"/>
        <v>0</v>
      </c>
      <c r="AC216" s="442">
        <f t="shared" si="2737"/>
        <v>0</v>
      </c>
      <c r="AD216" s="443">
        <f t="shared" si="2738"/>
        <v>0</v>
      </c>
      <c r="AE216" s="440">
        <f t="shared" si="2739"/>
        <v>0</v>
      </c>
      <c r="AF216" s="441">
        <f t="shared" si="2740"/>
        <v>0</v>
      </c>
      <c r="AG216" s="442">
        <f t="shared" si="2741"/>
        <v>0</v>
      </c>
      <c r="AH216" s="442">
        <f t="shared" si="2742"/>
        <v>0</v>
      </c>
      <c r="AI216" s="443">
        <f t="shared" si="2743"/>
        <v>0</v>
      </c>
      <c r="AJ216" s="440">
        <f t="shared" si="2744"/>
        <v>0</v>
      </c>
      <c r="AK216" s="441">
        <f t="shared" si="2745"/>
        <v>0</v>
      </c>
      <c r="AL216" s="442">
        <f t="shared" si="2746"/>
        <v>0</v>
      </c>
      <c r="AM216" s="442">
        <f t="shared" si="2747"/>
        <v>0</v>
      </c>
      <c r="AN216" s="443">
        <f t="shared" si="2748"/>
        <v>0</v>
      </c>
      <c r="AO216" s="440">
        <f t="shared" si="2749"/>
        <v>0</v>
      </c>
      <c r="AP216" s="441">
        <f t="shared" si="2750"/>
        <v>0</v>
      </c>
      <c r="AQ216" s="442">
        <f t="shared" si="2751"/>
        <v>0</v>
      </c>
      <c r="AR216" s="442">
        <f t="shared" si="2752"/>
        <v>0</v>
      </c>
      <c r="AS216" s="443">
        <f t="shared" si="2753"/>
        <v>0</v>
      </c>
      <c r="AT216" s="440">
        <f t="shared" si="2754"/>
        <v>0</v>
      </c>
      <c r="AU216" s="441">
        <f t="shared" si="2755"/>
        <v>0</v>
      </c>
      <c r="AV216" s="442">
        <f t="shared" si="2756"/>
        <v>0</v>
      </c>
      <c r="AW216" s="442">
        <f t="shared" si="2757"/>
        <v>0</v>
      </c>
      <c r="AX216" s="443">
        <f t="shared" si="2758"/>
        <v>0</v>
      </c>
      <c r="AY216" s="440">
        <f t="shared" si="2759"/>
        <v>0</v>
      </c>
      <c r="AZ216" s="441">
        <f t="shared" si="2760"/>
        <v>0</v>
      </c>
      <c r="BA216" s="442">
        <f t="shared" si="2761"/>
        <v>0</v>
      </c>
      <c r="BB216" s="442">
        <f t="shared" si="2762"/>
        <v>0</v>
      </c>
      <c r="BC216" s="443">
        <f t="shared" si="2763"/>
        <v>0</v>
      </c>
      <c r="BD216" s="440">
        <f t="shared" si="2764"/>
        <v>0</v>
      </c>
      <c r="BE216" s="441">
        <f t="shared" si="2765"/>
        <v>0</v>
      </c>
      <c r="BF216" s="442">
        <f t="shared" si="2766"/>
        <v>0</v>
      </c>
      <c r="BG216" s="442">
        <f t="shared" si="2767"/>
        <v>0</v>
      </c>
      <c r="BH216" s="443">
        <f t="shared" si="2768"/>
        <v>0</v>
      </c>
      <c r="BI216" s="440">
        <f t="shared" si="2769"/>
        <v>0</v>
      </c>
      <c r="BJ216" s="441">
        <f t="shared" si="2770"/>
        <v>0</v>
      </c>
      <c r="BK216" s="442">
        <f t="shared" si="2771"/>
        <v>0</v>
      </c>
      <c r="BL216" s="442">
        <f t="shared" si="2772"/>
        <v>0</v>
      </c>
      <c r="BM216" s="443">
        <f t="shared" si="2773"/>
        <v>0</v>
      </c>
      <c r="BN216" s="440">
        <f t="shared" si="2774"/>
        <v>0</v>
      </c>
      <c r="BO216" s="470"/>
      <c r="BP216" s="441">
        <f t="shared" si="2775"/>
        <v>0</v>
      </c>
      <c r="BQ216" s="442">
        <f t="shared" si="2776"/>
        <v>0</v>
      </c>
      <c r="BR216" s="442">
        <f t="shared" si="2777"/>
        <v>0</v>
      </c>
      <c r="BS216" s="443">
        <f t="shared" si="2778"/>
        <v>0</v>
      </c>
      <c r="BT216" s="440">
        <f t="shared" si="2779"/>
        <v>0</v>
      </c>
      <c r="BU216" s="441">
        <f t="shared" si="2780"/>
        <v>0</v>
      </c>
      <c r="BV216" s="442">
        <f t="shared" si="2781"/>
        <v>0</v>
      </c>
      <c r="BW216" s="442">
        <f t="shared" si="2782"/>
        <v>0</v>
      </c>
      <c r="BX216" s="443">
        <f t="shared" si="2783"/>
        <v>0</v>
      </c>
      <c r="BY216" s="440">
        <f t="shared" si="2784"/>
        <v>0</v>
      </c>
      <c r="BZ216" s="441">
        <f t="shared" si="2785"/>
        <v>0</v>
      </c>
      <c r="CA216" s="442">
        <f t="shared" si="2786"/>
        <v>0</v>
      </c>
      <c r="CB216" s="442">
        <f t="shared" si="2787"/>
        <v>0</v>
      </c>
      <c r="CC216" s="443">
        <f t="shared" si="2788"/>
        <v>0</v>
      </c>
      <c r="CD216" s="440">
        <f t="shared" si="2789"/>
        <v>0</v>
      </c>
      <c r="CE216" s="441">
        <f t="shared" si="2790"/>
        <v>0</v>
      </c>
      <c r="CF216" s="442">
        <f t="shared" si="2791"/>
        <v>0</v>
      </c>
      <c r="CG216" s="442">
        <f t="shared" si="2792"/>
        <v>0</v>
      </c>
      <c r="CH216" s="443">
        <f t="shared" si="2793"/>
        <v>0</v>
      </c>
      <c r="CI216" s="440">
        <f t="shared" si="2794"/>
        <v>0</v>
      </c>
      <c r="CJ216" s="441">
        <f t="shared" si="2795"/>
        <v>0</v>
      </c>
      <c r="CK216" s="442">
        <f t="shared" si="2796"/>
        <v>0</v>
      </c>
      <c r="CL216" s="442">
        <f t="shared" si="2797"/>
        <v>0</v>
      </c>
      <c r="CM216" s="443">
        <f t="shared" si="2798"/>
        <v>0</v>
      </c>
      <c r="CN216" s="440">
        <f t="shared" si="2799"/>
        <v>0</v>
      </c>
      <c r="CO216" s="441">
        <f t="shared" si="2800"/>
        <v>0</v>
      </c>
      <c r="CP216" s="442">
        <f t="shared" si="2801"/>
        <v>0</v>
      </c>
      <c r="CQ216" s="442">
        <f t="shared" si="2802"/>
        <v>0</v>
      </c>
      <c r="CR216" s="443">
        <f t="shared" si="2803"/>
        <v>0</v>
      </c>
      <c r="CS216" s="440">
        <f t="shared" si="2804"/>
        <v>0</v>
      </c>
      <c r="CT216" s="441">
        <f t="shared" si="2805"/>
        <v>0</v>
      </c>
      <c r="CU216" s="442">
        <f t="shared" si="2806"/>
        <v>0</v>
      </c>
      <c r="CV216" s="442">
        <f t="shared" si="2807"/>
        <v>0</v>
      </c>
      <c r="CW216" s="443">
        <f t="shared" si="2808"/>
        <v>0</v>
      </c>
      <c r="CX216" s="440">
        <f t="shared" si="2809"/>
        <v>0</v>
      </c>
      <c r="CY216" s="441">
        <f t="shared" si="2810"/>
        <v>0</v>
      </c>
      <c r="CZ216" s="442">
        <f t="shared" si="2811"/>
        <v>0</v>
      </c>
      <c r="DA216" s="442">
        <f t="shared" si="2812"/>
        <v>0</v>
      </c>
      <c r="DB216" s="443">
        <f t="shared" si="2813"/>
        <v>0</v>
      </c>
      <c r="DC216" s="440">
        <f t="shared" si="2814"/>
        <v>0</v>
      </c>
      <c r="DD216" s="441">
        <f t="shared" si="2815"/>
        <v>0</v>
      </c>
      <c r="DE216" s="442">
        <f t="shared" si="2816"/>
        <v>0</v>
      </c>
      <c r="DF216" s="442">
        <f t="shared" si="2817"/>
        <v>0</v>
      </c>
      <c r="DG216" s="443">
        <f t="shared" si="2818"/>
        <v>0</v>
      </c>
      <c r="DH216" s="440">
        <f t="shared" si="2819"/>
        <v>0</v>
      </c>
      <c r="DI216" s="441">
        <f t="shared" si="2820"/>
        <v>0</v>
      </c>
      <c r="DJ216" s="442">
        <f t="shared" si="2821"/>
        <v>0</v>
      </c>
      <c r="DK216" s="442">
        <f t="shared" si="2822"/>
        <v>0</v>
      </c>
      <c r="DL216" s="443">
        <f t="shared" si="2823"/>
        <v>0</v>
      </c>
      <c r="DM216" s="440">
        <f t="shared" si="2824"/>
        <v>0</v>
      </c>
      <c r="DN216" s="441">
        <f t="shared" si="2825"/>
        <v>0</v>
      </c>
      <c r="DO216" s="442">
        <f t="shared" si="2826"/>
        <v>0</v>
      </c>
      <c r="DP216" s="442">
        <f t="shared" si="2827"/>
        <v>0</v>
      </c>
      <c r="DQ216" s="443">
        <f t="shared" si="2828"/>
        <v>0</v>
      </c>
      <c r="DR216" s="440">
        <f t="shared" si="2829"/>
        <v>0</v>
      </c>
    </row>
    <row r="217" spans="3:122">
      <c r="C217" s="1362"/>
      <c r="D217" s="395"/>
      <c r="E217" s="1950"/>
      <c r="F217" s="1358"/>
      <c r="G217" s="1358"/>
      <c r="H217" s="651"/>
      <c r="I217" s="650"/>
      <c r="J217" s="656"/>
      <c r="K217" s="549"/>
      <c r="L217" s="321"/>
      <c r="M217" s="322"/>
      <c r="N217" s="322"/>
      <c r="O217" s="323"/>
      <c r="P217" s="466"/>
      <c r="Q217" s="321"/>
      <c r="R217" s="322"/>
      <c r="S217" s="322"/>
      <c r="T217" s="323"/>
      <c r="U217" s="472"/>
      <c r="V217" s="321"/>
      <c r="W217" s="322"/>
      <c r="X217" s="322"/>
      <c r="Y217" s="323"/>
      <c r="Z217" s="472"/>
      <c r="AA217" s="321"/>
      <c r="AB217" s="322"/>
      <c r="AC217" s="322"/>
      <c r="AD217" s="323"/>
      <c r="AE217" s="440"/>
      <c r="AF217" s="441"/>
      <c r="AG217" s="442"/>
      <c r="AH217" s="442"/>
      <c r="AI217" s="443"/>
      <c r="AJ217" s="440"/>
      <c r="AK217" s="441"/>
      <c r="AL217" s="442"/>
      <c r="AM217" s="442"/>
      <c r="AN217" s="443"/>
      <c r="AO217" s="440"/>
      <c r="AP217" s="441"/>
      <c r="AQ217" s="442"/>
      <c r="AR217" s="442"/>
      <c r="AS217" s="443"/>
      <c r="AT217" s="440"/>
      <c r="AU217" s="441"/>
      <c r="AV217" s="442"/>
      <c r="AW217" s="442"/>
      <c r="AX217" s="443"/>
      <c r="AY217" s="440"/>
      <c r="AZ217" s="441"/>
      <c r="BA217" s="442"/>
      <c r="BB217" s="442"/>
      <c r="BC217" s="443"/>
      <c r="BD217" s="440"/>
      <c r="BE217" s="441"/>
      <c r="BF217" s="442"/>
      <c r="BG217" s="442"/>
      <c r="BH217" s="443"/>
      <c r="BI217" s="440"/>
      <c r="BJ217" s="441"/>
      <c r="BK217" s="442"/>
      <c r="BL217" s="442"/>
      <c r="BM217" s="443"/>
      <c r="BN217" s="440"/>
      <c r="BO217" s="470"/>
      <c r="BP217" s="441"/>
      <c r="BQ217" s="442"/>
      <c r="BR217" s="442"/>
      <c r="BS217" s="443"/>
      <c r="BT217" s="440"/>
      <c r="BU217" s="441"/>
      <c r="BV217" s="442"/>
      <c r="BW217" s="442"/>
      <c r="BX217" s="443"/>
      <c r="BY217" s="440"/>
      <c r="BZ217" s="441"/>
      <c r="CA217" s="442"/>
      <c r="CB217" s="442"/>
      <c r="CC217" s="443"/>
      <c r="CD217" s="440"/>
      <c r="CE217" s="441"/>
      <c r="CF217" s="442"/>
      <c r="CG217" s="442"/>
      <c r="CH217" s="443"/>
      <c r="CI217" s="440"/>
      <c r="CJ217" s="441"/>
      <c r="CK217" s="442"/>
      <c r="CL217" s="442"/>
      <c r="CM217" s="443"/>
      <c r="CN217" s="440"/>
      <c r="CO217" s="441"/>
      <c r="CP217" s="442"/>
      <c r="CQ217" s="442"/>
      <c r="CR217" s="443"/>
      <c r="CS217" s="440"/>
      <c r="CT217" s="441"/>
      <c r="CU217" s="442"/>
      <c r="CV217" s="442"/>
      <c r="CW217" s="443"/>
      <c r="CX217" s="440"/>
      <c r="CY217" s="441"/>
      <c r="CZ217" s="442"/>
      <c r="DA217" s="442"/>
      <c r="DB217" s="443"/>
      <c r="DC217" s="440"/>
      <c r="DD217" s="441"/>
      <c r="DE217" s="442"/>
      <c r="DF217" s="442"/>
      <c r="DG217" s="443"/>
      <c r="DH217" s="440"/>
      <c r="DI217" s="441"/>
      <c r="DJ217" s="442"/>
      <c r="DK217" s="442"/>
      <c r="DL217" s="443"/>
      <c r="DM217" s="440"/>
      <c r="DN217" s="441"/>
      <c r="DO217" s="442"/>
      <c r="DP217" s="442"/>
      <c r="DQ217" s="443"/>
      <c r="DR217" s="440"/>
    </row>
    <row r="218" spans="3:122">
      <c r="C218" s="1363" t="s">
        <v>738</v>
      </c>
      <c r="D218" s="395"/>
      <c r="E218" s="325"/>
      <c r="F218" s="1358"/>
      <c r="G218" s="1358"/>
      <c r="H218" s="414"/>
      <c r="I218" s="650"/>
      <c r="J218" s="656"/>
      <c r="K218" s="549"/>
      <c r="L218" s="321"/>
      <c r="M218" s="322"/>
      <c r="N218" s="322"/>
      <c r="O218" s="323"/>
      <c r="P218" s="466"/>
      <c r="Q218" s="321"/>
      <c r="R218" s="322"/>
      <c r="S218" s="322"/>
      <c r="T218" s="323"/>
      <c r="U218" s="472"/>
      <c r="V218" s="321"/>
      <c r="W218" s="322"/>
      <c r="X218" s="322"/>
      <c r="Y218" s="323"/>
      <c r="Z218" s="472"/>
      <c r="AA218" s="321"/>
      <c r="AB218" s="322"/>
      <c r="AC218" s="322"/>
      <c r="AD218" s="323"/>
      <c r="AE218" s="440"/>
      <c r="AF218" s="441"/>
      <c r="AG218" s="442"/>
      <c r="AH218" s="442"/>
      <c r="AI218" s="443"/>
      <c r="AJ218" s="440"/>
      <c r="AK218" s="441"/>
      <c r="AL218" s="442"/>
      <c r="AM218" s="442"/>
      <c r="AN218" s="443"/>
      <c r="AO218" s="440"/>
      <c r="AP218" s="441"/>
      <c r="AQ218" s="442"/>
      <c r="AR218" s="442"/>
      <c r="AS218" s="443"/>
      <c r="AT218" s="440"/>
      <c r="AU218" s="441"/>
      <c r="AV218" s="442"/>
      <c r="AW218" s="442"/>
      <c r="AX218" s="443"/>
      <c r="AY218" s="440"/>
      <c r="AZ218" s="441"/>
      <c r="BA218" s="442"/>
      <c r="BB218" s="442"/>
      <c r="BC218" s="443"/>
      <c r="BD218" s="440"/>
      <c r="BE218" s="441"/>
      <c r="BF218" s="442"/>
      <c r="BG218" s="442"/>
      <c r="BH218" s="443"/>
      <c r="BI218" s="440"/>
      <c r="BJ218" s="441"/>
      <c r="BK218" s="442"/>
      <c r="BL218" s="442"/>
      <c r="BM218" s="443"/>
      <c r="BN218" s="440"/>
      <c r="BO218" s="470"/>
      <c r="BP218" s="441"/>
      <c r="BQ218" s="442"/>
      <c r="BR218" s="442"/>
      <c r="BS218" s="443"/>
      <c r="BT218" s="440"/>
      <c r="BU218" s="441"/>
      <c r="BV218" s="442"/>
      <c r="BW218" s="442"/>
      <c r="BX218" s="443"/>
      <c r="BY218" s="440"/>
      <c r="BZ218" s="441"/>
      <c r="CA218" s="442"/>
      <c r="CB218" s="442"/>
      <c r="CC218" s="443"/>
      <c r="CD218" s="440"/>
      <c r="CE218" s="441"/>
      <c r="CF218" s="442"/>
      <c r="CG218" s="442"/>
      <c r="CH218" s="443"/>
      <c r="CI218" s="440"/>
      <c r="CJ218" s="441"/>
      <c r="CK218" s="442"/>
      <c r="CL218" s="442"/>
      <c r="CM218" s="443"/>
      <c r="CN218" s="440"/>
      <c r="CO218" s="441"/>
      <c r="CP218" s="442"/>
      <c r="CQ218" s="442"/>
      <c r="CR218" s="443"/>
      <c r="CS218" s="440"/>
      <c r="CT218" s="441"/>
      <c r="CU218" s="442"/>
      <c r="CV218" s="442"/>
      <c r="CW218" s="443"/>
      <c r="CX218" s="440"/>
      <c r="CY218" s="441"/>
      <c r="CZ218" s="442"/>
      <c r="DA218" s="442"/>
      <c r="DB218" s="443"/>
      <c r="DC218" s="440"/>
      <c r="DD218" s="441"/>
      <c r="DE218" s="442"/>
      <c r="DF218" s="442"/>
      <c r="DG218" s="443"/>
      <c r="DH218" s="440"/>
      <c r="DI218" s="441"/>
      <c r="DJ218" s="442"/>
      <c r="DK218" s="442"/>
      <c r="DL218" s="443"/>
      <c r="DM218" s="440"/>
      <c r="DN218" s="441"/>
      <c r="DO218" s="442"/>
      <c r="DP218" s="442"/>
      <c r="DQ218" s="443"/>
      <c r="DR218" s="440"/>
    </row>
    <row r="219" spans="3:122">
      <c r="C219" s="1123" t="s">
        <v>93</v>
      </c>
      <c r="D219" s="395"/>
      <c r="E219" s="1950">
        <f>IF(F219=0,G219,F219)</f>
        <v>10.366431</v>
      </c>
      <c r="F219" s="1945">
        <v>10.366431</v>
      </c>
      <c r="G219" s="1945">
        <v>15.61295</v>
      </c>
      <c r="H219" s="1366">
        <v>2019</v>
      </c>
      <c r="I219" s="1367">
        <v>5.2324999999999997E-2</v>
      </c>
      <c r="J219" s="1357">
        <v>7</v>
      </c>
      <c r="K219" s="549"/>
      <c r="L219" s="441">
        <f t="shared" ref="L219:L222" si="2830">IF(P219=0,0,IF(P219&lt;0,IF($J219=3,P219,IF($J219=2,P219,IF($J219=1,P219,0)))))</f>
        <v>0</v>
      </c>
      <c r="M219" s="442">
        <f t="shared" ref="M219:M222" si="2831">IF(P219=0,0,IF(P219&lt;0,IF($J219=6,P219,IF($J219=5,P219,IF($J219=4,P219,0)))))</f>
        <v>0</v>
      </c>
      <c r="N219" s="442">
        <f t="shared" ref="N219:N222" si="2832">IF(P219=0,0,IF(P219&lt;0,IF($J219=9,P219,IF($J219=8,P219,IF($J219=7,P219,0)))))</f>
        <v>0</v>
      </c>
      <c r="O219" s="443">
        <f t="shared" ref="O219:O222" si="2833">IF(P219=0,0,IF(P219&lt;0,IF($J219=12,P219,IF($J219=11,P219,IF($J219=10,P219,0)))))</f>
        <v>0</v>
      </c>
      <c r="P219" s="440">
        <f t="shared" ref="P219:P222" si="2834">IF(P$5=$H219,-$E219,0)</f>
        <v>0</v>
      </c>
      <c r="Q219" s="441">
        <f t="shared" ref="Q219:Q222" si="2835">IF(U219=0,0,IF(U219&lt;0,IF($J219=3,U219,IF($J219=2,U219,IF($J219=1,U219,0)))))</f>
        <v>0</v>
      </c>
      <c r="R219" s="442">
        <f t="shared" ref="R219:R222" si="2836">IF(U219=0,0,IF(U219&lt;0,IF($J219=6,U219,IF($J219=5,U219,IF($J219=4,U219,0)))))</f>
        <v>0</v>
      </c>
      <c r="S219" s="442">
        <f t="shared" ref="S219:S222" si="2837">IF(U219=0,0,IF(U219&lt;0,IF($J219=9,U219,IF($J219=8,U219,IF($J219=7,U219,0)))))</f>
        <v>0</v>
      </c>
      <c r="T219" s="443">
        <f t="shared" ref="T219:T222" si="2838">IF(U219=0,0,IF(U219&lt;0,IF($J219=12,U219,IF($J219=11,U219,IF($J219=10,U219,0)))))</f>
        <v>0</v>
      </c>
      <c r="U219" s="440">
        <f t="shared" ref="U219:U222" si="2839">IF(U$5=$H219,-$E219,0)</f>
        <v>0</v>
      </c>
      <c r="V219" s="441">
        <f t="shared" ref="V219:V222" si="2840">IF(Z219=0,0,IF(Z219&lt;0,IF($J219=3,Z219,IF($J219=2,Z219,IF($J219=1,Z219,0)))))</f>
        <v>0</v>
      </c>
      <c r="W219" s="442">
        <f t="shared" ref="W219:W222" si="2841">IF(Z219=0,0,IF(Z219&lt;0,IF($J219=6,Z219,IF($J219=5,Z219,IF($J219=4,Z219,0)))))</f>
        <v>0</v>
      </c>
      <c r="X219" s="442">
        <f t="shared" ref="X219:X222" si="2842">IF(Z219=0,0,IF(Z219&lt;0,IF($J219=9,Z219,IF($J219=8,Z219,IF($J219=7,Z219,0)))))</f>
        <v>0</v>
      </c>
      <c r="Y219" s="443">
        <f t="shared" ref="Y219:Y222" si="2843">IF(Z219=0,0,IF(Z219&lt;0,IF($J219=12,Z219,IF($J219=11,Z219,IF($J219=10,Z219,0)))))</f>
        <v>0</v>
      </c>
      <c r="Z219" s="440">
        <f t="shared" ref="Z219:Z222" si="2844">IF(Z$5=$H219,-$E219,0)</f>
        <v>0</v>
      </c>
      <c r="AA219" s="441">
        <f t="shared" ref="AA219:AA222" si="2845">IF(AE219=0,0,IF(AE219&lt;0,IF($J219=3,AE219,IF($J219=2,AE219,IF($J219=1,AE219,0)))))</f>
        <v>0</v>
      </c>
      <c r="AB219" s="442">
        <f t="shared" ref="AB219:AB222" si="2846">IF(AE219=0,0,IF(AE219&lt;0,IF($J219=6,AE219,IF($J219=5,AE219,IF($J219=4,AE219,0)))))</f>
        <v>0</v>
      </c>
      <c r="AC219" s="442">
        <f t="shared" ref="AC219:AC222" si="2847">IF(AE219=0,0,IF(AE219&lt;0,IF($J219=9,AE219,IF($J219=8,AE219,IF($J219=7,AE219,0)))))</f>
        <v>0</v>
      </c>
      <c r="AD219" s="443">
        <f t="shared" ref="AD219:AD222" si="2848">IF(AE219=0,0,IF(AE219&lt;0,IF($J219=12,AE219,IF($J219=11,AE219,IF($J219=10,AE219,0)))))</f>
        <v>0</v>
      </c>
      <c r="AE219" s="440">
        <f t="shared" ref="AE219:AE222" si="2849">IF(AE$5=$H219,-$E219,0)</f>
        <v>0</v>
      </c>
      <c r="AF219" s="441">
        <f t="shared" ref="AF219:AF222" si="2850">IF(AJ219=0,0,IF(AJ219&lt;0,IF($J219=3,AJ219,IF($J219=2,AJ219,IF($J219=1,AJ219,0)))))</f>
        <v>0</v>
      </c>
      <c r="AG219" s="442">
        <f t="shared" ref="AG219:AG222" si="2851">IF(AJ219=0,0,IF(AJ219&lt;0,IF($J219=6,AJ219,IF($J219=5,AJ219,IF($J219=4,AJ219,0)))))</f>
        <v>0</v>
      </c>
      <c r="AH219" s="442">
        <f t="shared" ref="AH219:AH222" si="2852">IF(AJ219=0,0,IF(AJ219&lt;0,IF($J219=9,AJ219,IF($J219=8,AJ219,IF($J219=7,AJ219,0)))))</f>
        <v>0</v>
      </c>
      <c r="AI219" s="443">
        <f t="shared" ref="AI219:AI222" si="2853">IF(AJ219=0,0,IF(AJ219&lt;0,IF($J219=12,AJ219,IF($J219=11,AJ219,IF($J219=10,AJ219,0)))))</f>
        <v>0</v>
      </c>
      <c r="AJ219" s="440">
        <f t="shared" ref="AJ219:AJ222" si="2854">IF(AJ$5=$H219,-$E219,0)</f>
        <v>0</v>
      </c>
      <c r="AK219" s="441">
        <f t="shared" ref="AK219:AK222" si="2855">IF(AO219=0,0,IF(AO219&lt;0,IF($J219=3,AO219,IF($J219=2,AO219,IF($J219=1,AO219,0)))))</f>
        <v>0</v>
      </c>
      <c r="AL219" s="442">
        <f t="shared" ref="AL219:AL222" si="2856">IF(AO219=0,0,IF(AO219&lt;0,IF($J219=6,AO219,IF($J219=5,AO219,IF($J219=4,AO219,0)))))</f>
        <v>0</v>
      </c>
      <c r="AM219" s="442">
        <f t="shared" ref="AM219:AM222" si="2857">IF(AO219=0,0,IF(AO219&lt;0,IF($J219=9,AO219,IF($J219=8,AO219,IF($J219=7,AO219,0)))))</f>
        <v>0</v>
      </c>
      <c r="AN219" s="443">
        <f t="shared" ref="AN219:AN222" si="2858">IF(AO219=0,0,IF(AO219&lt;0,IF($J219=12,AO219,IF($J219=11,AO219,IF($J219=10,AO219,0)))))</f>
        <v>0</v>
      </c>
      <c r="AO219" s="440">
        <f t="shared" ref="AO219:AO222" si="2859">IF(AO$5=$H219,-$E219,0)</f>
        <v>0</v>
      </c>
      <c r="AP219" s="441">
        <f t="shared" ref="AP219:AP222" si="2860">IF(AT219=0,0,IF(AT219&lt;0,IF($J219=3,AT219,IF($J219=2,AT219,IF($J219=1,AT219,0)))))</f>
        <v>0</v>
      </c>
      <c r="AQ219" s="442">
        <f t="shared" ref="AQ219:AQ222" si="2861">IF(AT219=0,0,IF(AT219&lt;0,IF($J219=6,AT219,IF($J219=5,AT219,IF($J219=4,AT219,0)))))</f>
        <v>0</v>
      </c>
      <c r="AR219" s="442">
        <f t="shared" ref="AR219:AR222" si="2862">IF(AT219=0,0,IF(AT219&lt;0,IF($J219=9,AT219,IF($J219=8,AT219,IF($J219=7,AT219,0)))))</f>
        <v>0</v>
      </c>
      <c r="AS219" s="443">
        <f t="shared" ref="AS219:AS222" si="2863">IF(AT219=0,0,IF(AT219&lt;0,IF($J219=12,AT219,IF($J219=11,AT219,IF($J219=10,AT219,0)))))</f>
        <v>0</v>
      </c>
      <c r="AT219" s="440">
        <f t="shared" ref="AT219:AT222" si="2864">IF(AT$5=$H219,-$E219,0)</f>
        <v>0</v>
      </c>
      <c r="AU219" s="441">
        <f t="shared" ref="AU219:AU222" si="2865">IF(AY219=0,0,IF(AY219&lt;0,IF($J219=3,AY219,IF($J219=2,AY219,IF($J219=1,AY219,0)))))</f>
        <v>0</v>
      </c>
      <c r="AV219" s="442">
        <f t="shared" ref="AV219:AV222" si="2866">IF(AY219=0,0,IF(AY219&lt;0,IF($J219=6,AY219,IF($J219=5,AY219,IF($J219=4,AY219,0)))))</f>
        <v>0</v>
      </c>
      <c r="AW219" s="442">
        <f t="shared" ref="AW219:AW222" si="2867">IF(AY219=0,0,IF(AY219&lt;0,IF($J219=9,AY219,IF($J219=8,AY219,IF($J219=7,AY219,0)))))</f>
        <v>0</v>
      </c>
      <c r="AX219" s="443">
        <f t="shared" ref="AX219:AX222" si="2868">IF(AY219=0,0,IF(AY219&lt;0,IF($J219=12,AY219,IF($J219=11,AY219,IF($J219=10,AY219,0)))))</f>
        <v>0</v>
      </c>
      <c r="AY219" s="440">
        <f t="shared" ref="AY219:AY222" si="2869">IF(AY$5=$H219,-$E219,0)</f>
        <v>0</v>
      </c>
      <c r="AZ219" s="441">
        <f t="shared" ref="AZ219:AZ222" si="2870">IF(BD219=0,0,IF(BD219&lt;0,IF($J219=3,BD219,IF($J219=2,BD219,IF($J219=1,BD219,0)))))</f>
        <v>0</v>
      </c>
      <c r="BA219" s="442">
        <f t="shared" ref="BA219:BA222" si="2871">IF(BD219=0,0,IF(BD219&lt;0,IF($J219=6,BD219,IF($J219=5,BD219,IF($J219=4,BD219,0)))))</f>
        <v>0</v>
      </c>
      <c r="BB219" s="442">
        <f t="shared" ref="BB219:BB222" si="2872">IF(BD219=0,0,IF(BD219&lt;0,IF($J219=9,BD219,IF($J219=8,BD219,IF($J219=7,BD219,0)))))</f>
        <v>-10.366431</v>
      </c>
      <c r="BC219" s="443">
        <f t="shared" ref="BC219:BC222" si="2873">IF(BD219=0,0,IF(BD219&lt;0,IF($J219=12,BD219,IF($J219=11,BD219,IF($J219=10,BD219,0)))))</f>
        <v>0</v>
      </c>
      <c r="BD219" s="440">
        <f t="shared" ref="BD219:BD222" si="2874">IF(BD$5=$H219,-$E219,0)</f>
        <v>-10.366431</v>
      </c>
      <c r="BE219" s="441">
        <f t="shared" ref="BE219:BE222" si="2875">IF(BI219=0,0,IF(BI219&lt;0,IF($J219=3,BI219,IF($J219=2,BI219,IF($J219=1,BI219,0)))))</f>
        <v>0</v>
      </c>
      <c r="BF219" s="442">
        <f t="shared" ref="BF219:BF222" si="2876">IF(BI219=0,0,IF(BI219&lt;0,IF($J219=6,BI219,IF($J219=5,BI219,IF($J219=4,BI219,0)))))</f>
        <v>0</v>
      </c>
      <c r="BG219" s="442">
        <f t="shared" ref="BG219:BG222" si="2877">IF(BI219=0,0,IF(BI219&lt;0,IF($J219=9,BI219,IF($J219=8,BI219,IF($J219=7,BI219,0)))))</f>
        <v>0</v>
      </c>
      <c r="BH219" s="443">
        <f t="shared" ref="BH219:BH222" si="2878">IF(BI219=0,0,IF(BI219&lt;0,IF($J219=12,BI219,IF($J219=11,BI219,IF($J219=10,BI219,0)))))</f>
        <v>0</v>
      </c>
      <c r="BI219" s="440">
        <f t="shared" ref="BI219:BI222" si="2879">IF(BI$5=$H219,-$E219,0)</f>
        <v>0</v>
      </c>
      <c r="BJ219" s="441">
        <f t="shared" ref="BJ219:BJ222" si="2880">IF(BN219=0,0,IF(BN219&lt;0,IF($J219=3,BN219,IF($J219=2,BN219,IF($J219=1,BN219,0)))))</f>
        <v>0</v>
      </c>
      <c r="BK219" s="442">
        <f t="shared" ref="BK219:BK222" si="2881">IF(BN219=0,0,IF(BN219&lt;0,IF($J219=6,BN219,IF($J219=5,BN219,IF($J219=4,BN219,0)))))</f>
        <v>0</v>
      </c>
      <c r="BL219" s="442">
        <f t="shared" ref="BL219:BL222" si="2882">IF(BN219=0,0,IF(BN219&lt;0,IF($J219=9,BN219,IF($J219=8,BN219,IF($J219=7,BN219,0)))))</f>
        <v>0</v>
      </c>
      <c r="BM219" s="443">
        <f t="shared" ref="BM219:BM222" si="2883">IF(BN219=0,0,IF(BN219&lt;0,IF($J219=12,BN219,IF($J219=11,BN219,IF($J219=10,BN219,0)))))</f>
        <v>0</v>
      </c>
      <c r="BN219" s="440">
        <f t="shared" ref="BN219:BN222" si="2884">IF(BN$5=$H219,-$E219,0)</f>
        <v>0</v>
      </c>
      <c r="BO219" s="470"/>
      <c r="BP219" s="441">
        <f>IF($H219&lt;&gt;BT$5,0,IF(BT219&lt;0,IF($J219=1,-$E219*$I219/12*3,IF($J219=2,-$E219*$I219/12*2,IF($J219=3,-$E219*$I219/12*1,0)))))+IF(BO$5&lt;&gt;$H219,0,IF(BO219&lt;0,IF($J219=1,-$E219*$I219/12*0,IF($J219=2,-$E219*$I219/12*1,IF($J219=3,-$E219*$I219/12*2,IF($J219&gt;=4,-$E219*$I219/12*3,0))))))</f>
        <v>0</v>
      </c>
      <c r="BQ219" s="442">
        <f>IF($H219&lt;&gt;BT$5,0,IF(BT219&lt;0,IF(OR($J219=1,$J219=2,$J219=3,$J219=4),-$E219*$I219/12*3,IF($J219=5,-$E219*$I219/12*2,IF($J219=6,-$E219*$I219/12*1,0)))))+IF(BO$5&lt;&gt;$H219,0,IF(BO219&lt;0,IF($J219=4,-$E219*$I219/12*0,IF($J219=5,-$E219*$I219/12*1,IF($J219=6,-$E219*$I219/12*2,IF($J219&gt;=7,-$E219*$I219/12*3,0))))))</f>
        <v>0</v>
      </c>
      <c r="BR219" s="442">
        <f>IF($H219&lt;&gt;BT$5,0,IF(BT219&lt;0,IF(OR($J219=1,$J219=2,$J219=3,$J219=4,$J219=5,$J219=6,$J219=7),-$E219*$I219/12*3,IF($J219=8,-$E219*$I219/12*2,IF($J219=9,-$E219*$I219/12*1,0)))))+IF(BO$5&lt;&gt;$H219,0,IF(BO219&lt;0,IF($J219=7,-$E219*$I219/12*0,IF($J219=8,-$E219*$I219/12*1,IF($J219=9,-$E219*$I219/12*2,IF($J219&gt;=10,-$E219*$I219/12*3,0))))))</f>
        <v>0</v>
      </c>
      <c r="BS219" s="443">
        <f>IF($H219&lt;&gt;BT$5,0,IF(BT219&lt;0,IF(OR($J219=1,$J219=2,$J219=3,$J219=4,$J219=5,$J219=6,$J219=7,$J219=8,$J219=9,$J219=10),-$E219*$I219/12*3,IF($J219=11,-$E219*$I219/12*2,IF($J219=12,-$E219*$I219/12*1,0)))))+IF(BO$5&lt;&gt;$H219,0,IF(BO219&lt;0,IF($J219=10,-$E219*$I219/12*0,IF($J219=11,-$E219*$I219/12*1,IF($J219=12,-$E219*$I219/12*2,0)))))</f>
        <v>0</v>
      </c>
      <c r="BT219" s="440">
        <f>IF(AND(BO219&lt;&gt;0,BO$5=$H219),-$I219*$E219-BO219,IF(BT$5=$H219,-$I219*$E219*(12-$J219+1)/12,0))</f>
        <v>0</v>
      </c>
      <c r="BU219" s="441">
        <f>IF($H219&lt;&gt;BY$5,0,IF(BY219&lt;0,IF($J219=1,-$E219*$I219/12*3,IF($J219=2,-$E219*$I219/12*2,IF($J219=3,-$E219*$I219/12*1,0)))))+IF(BT$5&lt;&gt;$H219,0,IF(BT219&lt;0,IF($J219=1,-$E219*$I219/12*0,IF($J219=2,-$E219*$I219/12*1,IF($J219=3,-$E219*$I219/12*2,IF($J219&gt;=4,-$E219*$I219/12*3,0))))))</f>
        <v>0</v>
      </c>
      <c r="BV219" s="442">
        <f>IF($H219&lt;&gt;BY$5,0,IF(BY219&lt;0,IF(OR($J219=1,$J219=2,$J219=3,$J219=4),-$E219*$I219/12*3,IF($J219=5,-$E219*$I219/12*2,IF($J219=6,-$E219*$I219/12*1,0)))))+IF(BT$5&lt;&gt;$H219,0,IF(BT219&lt;0,IF($J219=4,-$E219*$I219/12*0,IF($J219=5,-$E219*$I219/12*1,IF($J219=6,-$E219*$I219/12*2,IF($J219&gt;=7,-$E219*$I219/12*3,0))))))</f>
        <v>0</v>
      </c>
      <c r="BW219" s="442">
        <f>IF($H219&lt;&gt;BY$5,0,IF(BY219&lt;0,IF(OR($J219=1,$J219=2,$J219=3,$J219=4,$J219=5,$J219=6,$J219=7),-$E219*$I219/12*3,IF($J219=8,-$E219*$I219/12*2,IF($J219=9,-$E219*$I219/12*1,0)))))+IF(BT$5&lt;&gt;$H219,0,IF(BT219&lt;0,IF($J219=7,-$E219*$I219/12*0,IF($J219=8,-$E219*$I219/12*1,IF($J219=9,-$E219*$I219/12*2,IF($J219&gt;=10,-$E219*$I219/12*3,0))))))</f>
        <v>0</v>
      </c>
      <c r="BX219" s="443">
        <f>IF($H219&lt;&gt;BY$5,0,IF(BY219&lt;0,IF(OR($J219=1,$J219=2,$J219=3,$J219=4,$J219=5,$J219=6,$J219=7,$J219=8,$J219=9,$J219=10),-$E219*$I219/12*3,IF($J219=11,-$E219*$I219/12*2,IF($J219=12,-$E219*$I219/12*1,0)))))+IF(BT$5&lt;&gt;$H219,0,IF(BT219&lt;0,IF($J219=10,-$E219*$I219/12*0,IF($J219=11,-$E219*$I219/12*1,IF($J219=12,-$E219*$I219/12*2,0)))))</f>
        <v>0</v>
      </c>
      <c r="BY219" s="440">
        <f>IF(AND(BT219&lt;&gt;0,BT$5=$H219),-$I219*$E219-BT219,IF(BY$5=$H219,-$I219*$E219*(12-$J219+1)/12,0))</f>
        <v>0</v>
      </c>
      <c r="BZ219" s="441">
        <f>IF($H219&lt;&gt;CD$5,0,IF(CD219&lt;0,IF($J219=1,-$E219*$I219/12*3,IF($J219=2,-$E219*$I219/12*2,IF($J219=3,-$E219*$I219/12*1,0)))))+IF(BY$5&lt;&gt;$H219,0,IF(BY219&lt;0,IF($J219=1,-$E219*$I219/12*0,IF($J219=2,-$E219*$I219/12*1,IF($J219=3,-$E219*$I219/12*2,IF($J219&gt;=4,-$E219*$I219/12*3,0))))))</f>
        <v>0</v>
      </c>
      <c r="CA219" s="442">
        <f>IF($H219&lt;&gt;CD$5,0,IF(CD219&lt;0,IF(OR($J219=1,$J219=2,$J219=3,$J219=4),-$E219*$I219/12*3,IF($J219=5,-$E219*$I219/12*2,IF($J219=6,-$E219*$I219/12*1,0)))))+IF(BY$5&lt;&gt;$H219,0,IF(BY219&lt;0,IF($J219=4,-$E219*$I219/12*0,IF($J219=5,-$E219*$I219/12*1,IF($J219=6,-$E219*$I219/12*2,IF($J219&gt;=7,-$E219*$I219/12*3,0))))))</f>
        <v>0</v>
      </c>
      <c r="CB219" s="442">
        <f>IF($H219&lt;&gt;CD$5,0,IF(CD219&lt;0,IF(OR($J219=1,$J219=2,$J219=3,$J219=4,$J219=5,$J219=6,$J219=7),-$E219*$I219/12*3,IF($J219=8,-$E219*$I219/12*2,IF($J219=9,-$E219*$I219/12*1,0)))))+IF(BY$5&lt;&gt;$H219,0,IF(BY219&lt;0,IF($J219=7,-$E219*$I219/12*0,IF($J219=8,-$E219*$I219/12*1,IF($J219=9,-$E219*$I219/12*2,IF($J219&gt;=10,-$E219*$I219/12*3,0))))))</f>
        <v>0</v>
      </c>
      <c r="CC219" s="443">
        <f>IF($H219&lt;&gt;CD$5,0,IF(CD219&lt;0,IF(OR($J219=1,$J219=2,$J219=3,$J219=4,$J219=5,$J219=6,$J219=7,$J219=8,$J219=9,$J219=10),-$E219*$I219/12*3,IF($J219=11,-$E219*$I219/12*2,IF($J219=12,-$E219*$I219/12*1,0)))))+IF(BY$5&lt;&gt;$H219,0,IF(BY219&lt;0,IF($J219=10,-$E219*$I219/12*0,IF($J219=11,-$E219*$I219/12*1,IF($J219=12,-$E219*$I219/12*2,0)))))</f>
        <v>0</v>
      </c>
      <c r="CD219" s="440">
        <f>IF(AND(BY219&lt;&gt;0,BY$5=$H219),-$I219*$E219-BY219,IF(CD$5=$H219,-$I219*$E219*(12-$J219+1)/12,0))</f>
        <v>0</v>
      </c>
      <c r="CE219" s="441">
        <f>IF($H219&lt;&gt;CI$5,0,IF(CI219&lt;0,IF($J219=1,-$E219*$I219/12*3,IF($J219=2,-$E219*$I219/12*2,IF($J219=3,-$E219*$I219/12*1,0)))))+IF(CD$5&lt;&gt;$H219,0,IF(CD219&lt;0,IF($J219=1,-$E219*$I219/12*0,IF($J219=2,-$E219*$I219/12*1,IF($J219=3,-$E219*$I219/12*2,IF($J219&gt;=4,-$E219*$I219/12*3,0))))))</f>
        <v>0</v>
      </c>
      <c r="CF219" s="442">
        <f>IF($H219&lt;&gt;CI$5,0,IF(CI219&lt;0,IF(OR($J219=1,$J219=2,$J219=3,$J219=4),-$E219*$I219/12*3,IF($J219=5,-$E219*$I219/12*2,IF($J219=6,-$E219*$I219/12*1,0)))))+IF(CD$5&lt;&gt;$H219,0,IF(CD219&lt;0,IF($J219=4,-$E219*$I219/12*0,IF($J219=5,-$E219*$I219/12*1,IF($J219=6,-$E219*$I219/12*2,IF($J219&gt;=7,-$E219*$I219/12*3,0))))))</f>
        <v>0</v>
      </c>
      <c r="CG219" s="442">
        <f>IF($H219&lt;&gt;CI$5,0,IF(CI219&lt;0,IF(OR($J219=1,$J219=2,$J219=3,$J219=4,$J219=5,$J219=6,$J219=7),-$E219*$I219/12*3,IF($J219=8,-$E219*$I219/12*2,IF($J219=9,-$E219*$I219/12*1,0)))))+IF(CD$5&lt;&gt;$H219,0,IF(CD219&lt;0,IF($J219=7,-$E219*$I219/12*0,IF($J219=8,-$E219*$I219/12*1,IF($J219=9,-$E219*$I219/12*2,IF($J219&gt;=10,-$E219*$I219/12*3,0))))))</f>
        <v>0</v>
      </c>
      <c r="CH219" s="443">
        <f>IF($H219&lt;&gt;CI$5,0,IF(CI219&lt;0,IF(OR($J219=1,$J219=2,$J219=3,$J219=4,$J219=5,$J219=6,$J219=7,$J219=8,$J219=9,$J219=10),-$E219*$I219/12*3,IF($J219=11,-$E219*$I219/12*2,IF($J219=12,-$E219*$I219/12*1,0)))))+IF(CD$5&lt;&gt;$H219,0,IF(CD219&lt;0,IF($J219=10,-$E219*$I219/12*0,IF($J219=11,-$E219*$I219/12*1,IF($J219=12,-$E219*$I219/12*2,0)))))</f>
        <v>0</v>
      </c>
      <c r="CI219" s="440">
        <f>IF(AND(CD219&lt;&gt;0,CD$5=$H219),-$I219*$E219-CD219,IF(CI$5=$H219,-$I219*$E219*(12-$J219+1)/12,0))</f>
        <v>0</v>
      </c>
      <c r="CJ219" s="441">
        <f>IF($H219&lt;&gt;CN$5,0,IF(CN219&lt;0,IF($J219=1,-$E219*$I219/12*3,IF($J219=2,-$E219*$I219/12*2,IF($J219=3,-$E219*$I219/12*1,0)))))+IF(CI$5&lt;&gt;$H219,0,IF(CI219&lt;0,IF($J219=1,-$E219*$I219/12*0,IF($J219=2,-$E219*$I219/12*1,IF($J219=3,-$E219*$I219/12*2,IF($J219&gt;=4,-$E219*$I219/12*3,0))))))</f>
        <v>0</v>
      </c>
      <c r="CK219" s="442">
        <f>IF($H219&lt;&gt;CN$5,0,IF(CN219&lt;0,IF(OR($J219=1,$J219=2,$J219=3,$J219=4),-$E219*$I219/12*3,IF($J219=5,-$E219*$I219/12*2,IF($J219=6,-$E219*$I219/12*1,0)))))+IF(CI$5&lt;&gt;$H219,0,IF(CI219&lt;0,IF($J219=4,-$E219*$I219/12*0,IF($J219=5,-$E219*$I219/12*1,IF($J219=6,-$E219*$I219/12*2,IF($J219&gt;=7,-$E219*$I219/12*3,0))))))</f>
        <v>0</v>
      </c>
      <c r="CL219" s="442">
        <f>IF($H219&lt;&gt;CN$5,0,IF(CN219&lt;0,IF(OR($J219=1,$J219=2,$J219=3,$J219=4,$J219=5,$J219=6,$J219=7),-$E219*$I219/12*3,IF($J219=8,-$E219*$I219/12*2,IF($J219=9,-$E219*$I219/12*1,0)))))+IF(CI$5&lt;&gt;$H219,0,IF(CI219&lt;0,IF($J219=7,-$E219*$I219/12*0,IF($J219=8,-$E219*$I219/12*1,IF($J219=9,-$E219*$I219/12*2,IF($J219&gt;=10,-$E219*$I219/12*3,0))))))</f>
        <v>0</v>
      </c>
      <c r="CM219" s="443">
        <f>IF($H219&lt;&gt;CN$5,0,IF(CN219&lt;0,IF(OR($J219=1,$J219=2,$J219=3,$J219=4,$J219=5,$J219=6,$J219=7,$J219=8,$J219=9,$J219=10),-$E219*$I219/12*3,IF($J219=11,-$E219*$I219/12*2,IF($J219=12,-$E219*$I219/12*1,0)))))+IF(CI$5&lt;&gt;$H219,0,IF(CI219&lt;0,IF($J219=10,-$E219*$I219/12*0,IF($J219=11,-$E219*$I219/12*1,IF($J219=12,-$E219*$I219/12*2,0)))))</f>
        <v>0</v>
      </c>
      <c r="CN219" s="440">
        <f>IF(AND(CI219&lt;&gt;0,CI$5=$H219),-$I219*$E219-CI219,IF(CN$5=$H219,-$I219*$E219*(12-$J219+1)/12,0))</f>
        <v>0</v>
      </c>
      <c r="CO219" s="441">
        <f>IF($H219&lt;&gt;CS$5,0,IF(CS219&lt;0,IF($J219=1,-$E219*$I219/12*3,IF($J219=2,-$E219*$I219/12*2,IF($J219=3,-$E219*$I219/12*1,0)))))+IF(CN$5&lt;&gt;$H219,0,IF(CN219&lt;0,IF($J219=1,-$E219*$I219/12*0,IF($J219=2,-$E219*$I219/12*1,IF($J219=3,-$E219*$I219/12*2,IF($J219&gt;=4,-$E219*$I219/12*3,0))))))</f>
        <v>0</v>
      </c>
      <c r="CP219" s="442">
        <f>IF($H219&lt;&gt;CS$5,0,IF(CS219&lt;0,IF(OR($J219=1,$J219=2,$J219=3,$J219=4),-$E219*$I219/12*3,IF($J219=5,-$E219*$I219/12*2,IF($J219=6,-$E219*$I219/12*1,0)))))+IF(CN$5&lt;&gt;$H219,0,IF(CN219&lt;0,IF($J219=4,-$E219*$I219/12*0,IF($J219=5,-$E219*$I219/12*1,IF($J219=6,-$E219*$I219/12*2,IF($J219&gt;=7,-$E219*$I219/12*3,0))))))</f>
        <v>0</v>
      </c>
      <c r="CQ219" s="442">
        <f>IF($H219&lt;&gt;CS$5,0,IF(CS219&lt;0,IF(OR($J219=1,$J219=2,$J219=3,$J219=4,$J219=5,$J219=6,$J219=7),-$E219*$I219/12*3,IF($J219=8,-$E219*$I219/12*2,IF($J219=9,-$E219*$I219/12*1,0)))))+IF(CN$5&lt;&gt;$H219,0,IF(CN219&lt;0,IF($J219=7,-$E219*$I219/12*0,IF($J219=8,-$E219*$I219/12*1,IF($J219=9,-$E219*$I219/12*2,IF($J219&gt;=10,-$E219*$I219/12*3,0))))))</f>
        <v>0</v>
      </c>
      <c r="CR219" s="443">
        <f>IF($H219&lt;&gt;CS$5,0,IF(CS219&lt;0,IF(OR($J219=1,$J219=2,$J219=3,$J219=4,$J219=5,$J219=6,$J219=7,$J219=8,$J219=9,$J219=10),-$E219*$I219/12*3,IF($J219=11,-$E219*$I219/12*2,IF($J219=12,-$E219*$I219/12*1,0)))))+IF(CN$5&lt;&gt;$H219,0,IF(CN219&lt;0,IF($J219=10,-$E219*$I219/12*0,IF($J219=11,-$E219*$I219/12*1,IF($J219=12,-$E219*$I219/12*2,0)))))</f>
        <v>0</v>
      </c>
      <c r="CS219" s="440">
        <f>IF(AND(CN219&lt;&gt;0,CN$5=$H219),-$I219*$E219-CN219,IF(CS$5=$H219,-$I219*$E219*(12-$J219+1)/12,0))</f>
        <v>0</v>
      </c>
      <c r="CT219" s="441">
        <f>IF($H219&lt;&gt;CX$5,0,IF(CX219&lt;0,IF($J219=1,-$E219*$I219/12*3,IF($J219=2,-$E219*$I219/12*2,IF($J219=3,-$E219*$I219/12*1,0)))))+IF(CS$5&lt;&gt;$H219,0,IF(CS219&lt;0,IF($J219=1,-$E219*$I219/12*0,IF($J219=2,-$E219*$I219/12*1,IF($J219=3,-$E219*$I219/12*2,IF($J219&gt;=4,-$E219*$I219/12*3,0))))))</f>
        <v>0</v>
      </c>
      <c r="CU219" s="442">
        <f>IF($H219&lt;&gt;CX$5,0,IF(CX219&lt;0,IF(OR($J219=1,$J219=2,$J219=3,$J219=4),-$E219*$I219/12*3,IF($J219=5,-$E219*$I219/12*2,IF($J219=6,-$E219*$I219/12*1,0)))))+IF(CS$5&lt;&gt;$H219,0,IF(CS219&lt;0,IF($J219=4,-$E219*$I219/12*0,IF($J219=5,-$E219*$I219/12*1,IF($J219=6,-$E219*$I219/12*2,IF($J219&gt;=7,-$E219*$I219/12*3,0))))))</f>
        <v>0</v>
      </c>
      <c r="CV219" s="442">
        <f>IF($H219&lt;&gt;CX$5,0,IF(CX219&lt;0,IF(OR($J219=1,$J219=2,$J219=3,$J219=4,$J219=5,$J219=6,$J219=7),-$E219*$I219/12*3,IF($J219=8,-$E219*$I219/12*2,IF($J219=9,-$E219*$I219/12*1,0)))))+IF(CS$5&lt;&gt;$H219,0,IF(CS219&lt;0,IF($J219=7,-$E219*$I219/12*0,IF($J219=8,-$E219*$I219/12*1,IF($J219=9,-$E219*$I219/12*2,IF($J219&gt;=10,-$E219*$I219/12*3,0))))))</f>
        <v>0</v>
      </c>
      <c r="CW219" s="443">
        <f>IF($H219&lt;&gt;CX$5,0,IF(CX219&lt;0,IF(OR($J219=1,$J219=2,$J219=3,$J219=4,$J219=5,$J219=6,$J219=7,$J219=8,$J219=9,$J219=10),-$E219*$I219/12*3,IF($J219=11,-$E219*$I219/12*2,IF($J219=12,-$E219*$I219/12*1,0)))))+IF(CS$5&lt;&gt;$H219,0,IF(CS219&lt;0,IF($J219=10,-$E219*$I219/12*0,IF($J219=11,-$E219*$I219/12*1,IF($J219=12,-$E219*$I219/12*2,0)))))</f>
        <v>0</v>
      </c>
      <c r="CX219" s="440">
        <f>IF(AND(CS219&lt;&gt;0,CS$5=$H219),-$I219*$E219-CS219,IF(CX$5=$H219,-$I219*$E219*(12-$J219+1)/12,0))</f>
        <v>0</v>
      </c>
      <c r="CY219" s="441">
        <f>IF($H219&lt;&gt;DC$5,0,IF(DC219&lt;0,IF($J219=1,-$E219*$I219/12*3,IF($J219=2,-$E219*$I219/12*2,IF($J219=3,-$E219*$I219/12*1,0)))))+IF(CX$5&lt;&gt;$H219,0,IF(CX219&lt;0,IF($J219=1,-$E219*$I219/12*0,IF($J219=2,-$E219*$I219/12*1,IF($J219=3,-$E219*$I219/12*2,IF($J219&gt;=4,-$E219*$I219/12*3,0))))))</f>
        <v>0</v>
      </c>
      <c r="CZ219" s="442">
        <f>IF($H219&lt;&gt;DC$5,0,IF(DC219&lt;0,IF(OR($J219=1,$J219=2,$J219=3,$J219=4),-$E219*$I219/12*3,IF($J219=5,-$E219*$I219/12*2,IF($J219=6,-$E219*$I219/12*1,0)))))+IF(CX$5&lt;&gt;$H219,0,IF(CX219&lt;0,IF($J219=4,-$E219*$I219/12*0,IF($J219=5,-$E219*$I219/12*1,IF($J219=6,-$E219*$I219/12*2,IF($J219&gt;=7,-$E219*$I219/12*3,0))))))</f>
        <v>0</v>
      </c>
      <c r="DA219" s="442">
        <f>IF($H219&lt;&gt;DC$5,0,IF(DC219&lt;0,IF(OR($J219=1,$J219=2,$J219=3,$J219=4,$J219=5,$J219=6,$J219=7),-$E219*$I219/12*3,IF($J219=8,-$E219*$I219/12*2,IF($J219=9,-$E219*$I219/12*1,0)))))+IF(CX$5&lt;&gt;$H219,0,IF(CX219&lt;0,IF($J219=7,-$E219*$I219/12*0,IF($J219=8,-$E219*$I219/12*1,IF($J219=9,-$E219*$I219/12*2,IF($J219&gt;=10,-$E219*$I219/12*3,0))))))</f>
        <v>0</v>
      </c>
      <c r="DB219" s="443">
        <f>IF($H219&lt;&gt;DC$5,0,IF(DC219&lt;0,IF(OR($J219=1,$J219=2,$J219=3,$J219=4,$J219=5,$J219=6,$J219=7,$J219=8,$J219=9,$J219=10),-$E219*$I219/12*3,IF($J219=11,-$E219*$I219/12*2,IF($J219=12,-$E219*$I219/12*1,0)))))+IF(CX$5&lt;&gt;$H219,0,IF(CX219&lt;0,IF($J219=10,-$E219*$I219/12*0,IF($J219=11,-$E219*$I219/12*1,IF($J219=12,-$E219*$I219/12*2,0)))))</f>
        <v>0</v>
      </c>
      <c r="DC219" s="440">
        <f>IF(AND(CX219&lt;&gt;0,CX$5=$H219),-$I219*$E219-CX219,IF(DC$5=$H219,-$I219*$E219*(12-$J219+1)/12,0))</f>
        <v>0</v>
      </c>
      <c r="DD219" s="441">
        <f>IF($H219&lt;&gt;DH$5,0,IF(DH219&lt;0,IF($J219=1,-$E219*$I219/12*3,IF($J219=2,-$E219*$I219/12*2,IF($J219=3,-$E219*$I219/12*1,0)))))+IF(DC$5&lt;&gt;$H219,0,IF(DC219&lt;0,IF($J219=1,-$E219*$I219/12*0,IF($J219=2,-$E219*$I219/12*1,IF($J219=3,-$E219*$I219/12*2,IF($J219&gt;=4,-$E219*$I219/12*3,0))))))</f>
        <v>0</v>
      </c>
      <c r="DE219" s="442">
        <f>IF($H219&lt;&gt;DH$5,0,IF(DH219&lt;0,IF(OR($J219=1,$J219=2,$J219=3,$J219=4),-$E219*$I219/12*3,IF($J219=5,-$E219*$I219/12*2,IF($J219=6,-$E219*$I219/12*1,0)))))+IF(DC$5&lt;&gt;$H219,0,IF(DC219&lt;0,IF($J219=4,-$E219*$I219/12*0,IF($J219=5,-$E219*$I219/12*1,IF($J219=6,-$E219*$I219/12*2,IF($J219&gt;=7,-$E219*$I219/12*3,0))))))</f>
        <v>0</v>
      </c>
      <c r="DF219" s="442">
        <f>IF($H219&lt;&gt;DH$5,0,IF(DH219&lt;0,IF(OR($J219=1,$J219=2,$J219=3,$J219=4,$J219=5,$J219=6,$J219=7),-$E219*$I219/12*3,IF($J219=8,-$E219*$I219/12*2,IF($J219=9,-$E219*$I219/12*1,0)))))+IF(DC$5&lt;&gt;$H219,0,IF(DC219&lt;0,IF($J219=7,-$E219*$I219/12*0,IF($J219=8,-$E219*$I219/12*1,IF($J219=9,-$E219*$I219/12*2,IF($J219&gt;=10,-$E219*$I219/12*3,0))))))</f>
        <v>-0.13560587551875</v>
      </c>
      <c r="DG219" s="443">
        <f>IF($H219&lt;&gt;DH$5,0,IF(DH219&lt;0,IF(OR($J219=1,$J219=2,$J219=3,$J219=4,$J219=5,$J219=6,$J219=7,$J219=8,$J219=9,$J219=10),-$E219*$I219/12*3,IF($J219=11,-$E219*$I219/12*2,IF($J219=12,-$E219*$I219/12*1,0)))))+IF(DC$5&lt;&gt;$H219,0,IF(DC219&lt;0,IF($J219=10,-$E219*$I219/12*0,IF($J219=11,-$E219*$I219/12*1,IF($J219=12,-$E219*$I219/12*2,0)))))</f>
        <v>-0.13560587551875</v>
      </c>
      <c r="DH219" s="440">
        <f>IF(AND(DC219&lt;&gt;0,DC$5=$H219),-$I219*$E219-DC219,IF(DH$5=$H219,-$I219*$E219*(12-$J219+1)/12,0))</f>
        <v>-0.2712117510375</v>
      </c>
      <c r="DI219" s="441">
        <f>IF($H219&lt;&gt;DM$5,0,IF(DM219&lt;0,IF($J219=1,-$E219*$I219/12*3,IF($J219=2,-$E219*$I219/12*2,IF($J219=3,-$E219*$I219/12*1,0)))))+IF(DH$5&lt;&gt;$H219,0,IF(DH219&lt;0,IF($J219=1,-$E219*$I219/12*0,IF($J219=2,-$E219*$I219/12*1,IF($J219=3,-$E219*$I219/12*2,IF($J219&gt;=4,-$E219*$I219/12*3,0))))))</f>
        <v>-0.13560587551875</v>
      </c>
      <c r="DJ219" s="442">
        <f>IF($H219&lt;&gt;DM$5,0,IF(DM219&lt;0,IF(OR($J219=1,$J219=2,$J219=3,$J219=4),-$E219*$I219/12*3,IF($J219=5,-$E219*$I219/12*2,IF($J219=6,-$E219*$I219/12*1,0)))))+IF(DH$5&lt;&gt;$H219,0,IF(DH219&lt;0,IF($J219=4,-$E219*$I219/12*0,IF($J219=5,-$E219*$I219/12*1,IF($J219=6,-$E219*$I219/12*2,IF($J219&gt;=7,-$E219*$I219/12*3,0))))))</f>
        <v>-0.13560587551875</v>
      </c>
      <c r="DK219" s="442">
        <f>IF($H219&lt;&gt;DM$5,0,IF(DM219&lt;0,IF(OR($J219=1,$J219=2,$J219=3,$J219=4,$J219=5,$J219=6,$J219=7),-$E219*$I219/12*3,IF($J219=8,-$E219*$I219/12*2,IF($J219=9,-$E219*$I219/12*1,0)))))+IF(DH$5&lt;&gt;$H219,0,IF(DH219&lt;0,IF($J219=7,-$E219*$I219/12*0,IF($J219=8,-$E219*$I219/12*1,IF($J219=9,-$E219*$I219/12*2,IF($J219&gt;=10,-$E219*$I219/12*3,0))))))</f>
        <v>0</v>
      </c>
      <c r="DL219" s="443">
        <f>IF($H219&lt;&gt;DM$5,0,IF(DM219&lt;0,IF(OR($J219=1,$J219=2,$J219=3,$J219=4,$J219=5,$J219=6,$J219=7,$J219=8,$J219=9,$J219=10),-$E219*$I219/12*3,IF($J219=11,-$E219*$I219/12*2,IF($J219=12,-$E219*$I219/12*1,0)))))+IF(DH$5&lt;&gt;$H219,0,IF(DH219&lt;0,IF($J219=10,-$E219*$I219/12*0,IF($J219=11,-$E219*$I219/12*1,IF($J219=12,-$E219*$I219/12*2,0)))))</f>
        <v>0</v>
      </c>
      <c r="DM219" s="440">
        <f>IF(AND(DH219&lt;&gt;0,DH$5=$H219),-$I219*$E219-DH219,IF(DM$5=$H219,-$I219*$E219*(12-$J219+1)/12,0))</f>
        <v>-0.2712117510375</v>
      </c>
      <c r="DN219" s="441">
        <f>IF($H219&lt;&gt;DR$5,0,IF(DR219&lt;0,IF($J219=1,-$E219*$I219/12*3,IF($J219=2,-$E219*$I219/12*2,IF($J219=3,-$E219*$I219/12*1,0)))))+IF(DM$5&lt;&gt;$H219,0,IF(DM219&lt;0,IF($J219=1,-$E219*$I219/12*0,IF($J219=2,-$E219*$I219/12*1,IF($J219=3,-$E219*$I219/12*2,IF($J219&gt;=4,-$E219*$I219/12*3,0))))))</f>
        <v>0</v>
      </c>
      <c r="DO219" s="442">
        <f>IF($H219&lt;&gt;DR$5,0,IF(DR219&lt;0,IF(OR($J219=1,$J219=2,$J219=3,$J219=4),-$E219*$I219/12*3,IF($J219=5,-$E219*$I219/12*2,IF($J219=6,-$E219*$I219/12*1,0)))))+IF(DM$5&lt;&gt;$H219,0,IF(DM219&lt;0,IF($J219=4,-$E219*$I219/12*0,IF($J219=5,-$E219*$I219/12*1,IF($J219=6,-$E219*$I219/12*2,IF($J219&gt;=7,-$E219*$I219/12*3,0))))))</f>
        <v>0</v>
      </c>
      <c r="DP219" s="442">
        <f>IF($H219&lt;&gt;DR$5,0,IF(DR219&lt;0,IF(OR($J219=1,$J219=2,$J219=3,$J219=4,$J219=5,$J219=6,$J219=7),-$E219*$I219/12*3,IF($J219=8,-$E219*$I219/12*2,IF($J219=9,-$E219*$I219/12*1,0)))))+IF(DM$5&lt;&gt;$H219,0,IF(DM219&lt;0,IF($J219=7,-$E219*$I219/12*0,IF($J219=8,-$E219*$I219/12*1,IF($J219=9,-$E219*$I219/12*2,IF($J219&gt;=10,-$E219*$I219/12*3,0))))))</f>
        <v>0</v>
      </c>
      <c r="DQ219" s="443">
        <f>IF($H219&lt;&gt;DR$5,0,IF(DR219&lt;0,IF(OR($J219=1,$J219=2,$J219=3,$J219=4,$J219=5,$J219=6,$J219=7,$J219=8,$J219=9,$J219=10),-$E219*$I219/12*3,IF($J219=11,-$E219*$I219/12*2,IF($J219=12,-$E219*$I219/12*1,0)))))+IF(DM$5&lt;&gt;$H219,0,IF(DM219&lt;0,IF($J219=10,-$E219*$I219/12*0,IF($J219=11,-$E219*$I219/12*1,IF($J219=12,-$E219*$I219/12*2,0)))))</f>
        <v>0</v>
      </c>
      <c r="DR219" s="440">
        <f>IF(AND(DM219&lt;&gt;0,DM$5=$H219),-$I219*$E219-DM219,IF(DR$5=$H219,-$I219*$E219*(12-$J219+1)/12,0))</f>
        <v>0</v>
      </c>
    </row>
    <row r="220" spans="3:122">
      <c r="C220" s="1123" t="s">
        <v>94</v>
      </c>
      <c r="D220" s="395"/>
      <c r="E220" s="1950">
        <f>IF(F220=0,G220,F220)</f>
        <v>50.7</v>
      </c>
      <c r="F220" s="1945">
        <v>50.7</v>
      </c>
      <c r="G220" s="1945">
        <v>50.7</v>
      </c>
      <c r="H220" s="1366">
        <v>2026</v>
      </c>
      <c r="I220" s="1367">
        <v>5.4625000000000007E-2</v>
      </c>
      <c r="J220" s="1357">
        <v>7</v>
      </c>
      <c r="K220" s="549"/>
      <c r="L220" s="441">
        <f>IF(P220=0,0,IF(P220&lt;0,IF($J220=3,P220,IF($J220=2,P220,IF($J220=1,P220,0)))))</f>
        <v>0</v>
      </c>
      <c r="M220" s="442">
        <f>IF(P220=0,0,IF(P220&lt;0,IF($J220=6,P220,IF($J220=5,P220,IF($J220=4,P220,0)))))</f>
        <v>0</v>
      </c>
      <c r="N220" s="442">
        <f>IF(P220=0,0,IF(P220&lt;0,IF($J220=9,P220,IF($J220=8,P220,IF($J220=7,P220,0)))))</f>
        <v>0</v>
      </c>
      <c r="O220" s="443">
        <f>IF(P220=0,0,IF(P220&lt;0,IF($J220=12,P220,IF($J220=11,P220,IF($J220=10,P220,0)))))</f>
        <v>0</v>
      </c>
      <c r="P220" s="440">
        <f>IF(P$5=$H220,-$E220,0)</f>
        <v>0</v>
      </c>
      <c r="Q220" s="441">
        <f>IF(U220=0,0,IF(U220&lt;0,IF($J220=3,U220,IF($J220=2,U220,IF($J220=1,U220,0)))))</f>
        <v>0</v>
      </c>
      <c r="R220" s="442">
        <f>IF(U220=0,0,IF(U220&lt;0,IF($J220=6,U220,IF($J220=5,U220,IF($J220=4,U220,0)))))</f>
        <v>0</v>
      </c>
      <c r="S220" s="442">
        <f>IF(U220=0,0,IF(U220&lt;0,IF($J220=9,U220,IF($J220=8,U220,IF($J220=7,U220,0)))))</f>
        <v>0</v>
      </c>
      <c r="T220" s="443">
        <f>IF(U220=0,0,IF(U220&lt;0,IF($J220=12,U220,IF($J220=11,U220,IF($J220=10,U220,0)))))</f>
        <v>0</v>
      </c>
      <c r="U220" s="440">
        <f>IF(U$5=$H220,-$E220,0)</f>
        <v>0</v>
      </c>
      <c r="V220" s="441">
        <f>IF(Z220=0,0,IF(Z220&lt;0,IF($J220=3,Z220,IF($J220=2,Z220,IF($J220=1,Z220,0)))))</f>
        <v>0</v>
      </c>
      <c r="W220" s="442">
        <f>IF(Z220=0,0,IF(Z220&lt;0,IF($J220=6,Z220,IF($J220=5,Z220,IF($J220=4,Z220,0)))))</f>
        <v>0</v>
      </c>
      <c r="X220" s="442">
        <f>IF(Z220=0,0,IF(Z220&lt;0,IF($J220=9,Z220,IF($J220=8,Z220,IF($J220=7,Z220,0)))))</f>
        <v>0</v>
      </c>
      <c r="Y220" s="443">
        <f>IF(Z220=0,0,IF(Z220&lt;0,IF($J220=12,Z220,IF($J220=11,Z220,IF($J220=10,Z220,0)))))</f>
        <v>0</v>
      </c>
      <c r="Z220" s="440">
        <f>IF(Z$5=$H220,-$E220,0)</f>
        <v>0</v>
      </c>
      <c r="AA220" s="441">
        <f>IF(AE220=0,0,IF(AE220&lt;0,IF($J220=3,AE220,IF($J220=2,AE220,IF($J220=1,AE220,0)))))</f>
        <v>0</v>
      </c>
      <c r="AB220" s="442">
        <f>IF(AE220=0,0,IF(AE220&lt;0,IF($J220=6,AE220,IF($J220=5,AE220,IF($J220=4,AE220,0)))))</f>
        <v>0</v>
      </c>
      <c r="AC220" s="442">
        <f>IF(AE220=0,0,IF(AE220&lt;0,IF($J220=9,AE220,IF($J220=8,AE220,IF($J220=7,AE220,0)))))</f>
        <v>0</v>
      </c>
      <c r="AD220" s="443">
        <f>IF(AE220=0,0,IF(AE220&lt;0,IF($J220=12,AE220,IF($J220=11,AE220,IF($J220=10,AE220,0)))))</f>
        <v>0</v>
      </c>
      <c r="AE220" s="440">
        <f>IF(AE$5=$H220,-$E220,0)</f>
        <v>0</v>
      </c>
      <c r="AF220" s="441">
        <f>IF(AJ220=0,0,IF(AJ220&lt;0,IF($J220=3,AJ220,IF($J220=2,AJ220,IF($J220=1,AJ220,0)))))</f>
        <v>0</v>
      </c>
      <c r="AG220" s="442">
        <f>IF(AJ220=0,0,IF(AJ220&lt;0,IF($J220=6,AJ220,IF($J220=5,AJ220,IF($J220=4,AJ220,0)))))</f>
        <v>0</v>
      </c>
      <c r="AH220" s="442">
        <f>IF(AJ220=0,0,IF(AJ220&lt;0,IF($J220=9,AJ220,IF($J220=8,AJ220,IF($J220=7,AJ220,0)))))</f>
        <v>0</v>
      </c>
      <c r="AI220" s="443">
        <f>IF(AJ220=0,0,IF(AJ220&lt;0,IF($J220=12,AJ220,IF($J220=11,AJ220,IF($J220=10,AJ220,0)))))</f>
        <v>0</v>
      </c>
      <c r="AJ220" s="440">
        <f>IF(AJ$5=$H220,-$E220,0)</f>
        <v>0</v>
      </c>
      <c r="AK220" s="441">
        <f>IF(AO220=0,0,IF(AO220&lt;0,IF($J220=3,AO220,IF($J220=2,AO220,IF($J220=1,AO220,0)))))</f>
        <v>0</v>
      </c>
      <c r="AL220" s="442">
        <f>IF(AO220=0,0,IF(AO220&lt;0,IF($J220=6,AO220,IF($J220=5,AO220,IF($J220=4,AO220,0)))))</f>
        <v>0</v>
      </c>
      <c r="AM220" s="442">
        <f>IF(AO220=0,0,IF(AO220&lt;0,IF($J220=9,AO220,IF($J220=8,AO220,IF($J220=7,AO220,0)))))</f>
        <v>0</v>
      </c>
      <c r="AN220" s="443">
        <f>IF(AO220=0,0,IF(AO220&lt;0,IF($J220=12,AO220,IF($J220=11,AO220,IF($J220=10,AO220,0)))))</f>
        <v>0</v>
      </c>
      <c r="AO220" s="440">
        <f>IF(AO$5=$H220,-$E220,0)</f>
        <v>0</v>
      </c>
      <c r="AP220" s="441">
        <f>IF(AT220=0,0,IF(AT220&lt;0,IF($J220=3,AT220,IF($J220=2,AT220,IF($J220=1,AT220,0)))))</f>
        <v>0</v>
      </c>
      <c r="AQ220" s="442">
        <f>IF(AT220=0,0,IF(AT220&lt;0,IF($J220=6,AT220,IF($J220=5,AT220,IF($J220=4,AT220,0)))))</f>
        <v>0</v>
      </c>
      <c r="AR220" s="442">
        <f>IF(AT220=0,0,IF(AT220&lt;0,IF($J220=9,AT220,IF($J220=8,AT220,IF($J220=7,AT220,0)))))</f>
        <v>0</v>
      </c>
      <c r="AS220" s="443">
        <f>IF(AT220=0,0,IF(AT220&lt;0,IF($J220=12,AT220,IF($J220=11,AT220,IF($J220=10,AT220,0)))))</f>
        <v>0</v>
      </c>
      <c r="AT220" s="440">
        <f>IF(AT$5=$H220,-$E220,0)</f>
        <v>0</v>
      </c>
      <c r="AU220" s="441">
        <f>IF(AY220=0,0,IF(AY220&lt;0,IF($J220=3,AY220,IF($J220=2,AY220,IF($J220=1,AY220,0)))))</f>
        <v>0</v>
      </c>
      <c r="AV220" s="442">
        <f>IF(AY220=0,0,IF(AY220&lt;0,IF($J220=6,AY220,IF($J220=5,AY220,IF($J220=4,AY220,0)))))</f>
        <v>0</v>
      </c>
      <c r="AW220" s="442">
        <f>IF(AY220=0,0,IF(AY220&lt;0,IF($J220=9,AY220,IF($J220=8,AY220,IF($J220=7,AY220,0)))))</f>
        <v>0</v>
      </c>
      <c r="AX220" s="443">
        <f>IF(AY220=0,0,IF(AY220&lt;0,IF($J220=12,AY220,IF($J220=11,AY220,IF($J220=10,AY220,0)))))</f>
        <v>0</v>
      </c>
      <c r="AY220" s="440">
        <f>IF(AY$5=$H220,-$E220,0)</f>
        <v>0</v>
      </c>
      <c r="AZ220" s="441">
        <f>IF(BD220=0,0,IF(BD220&lt;0,IF($J220=3,BD220,IF($J220=2,BD220,IF($J220=1,BD220,0)))))</f>
        <v>0</v>
      </c>
      <c r="BA220" s="442">
        <f>IF(BD220=0,0,IF(BD220&lt;0,IF($J220=6,BD220,IF($J220=5,BD220,IF($J220=4,BD220,0)))))</f>
        <v>0</v>
      </c>
      <c r="BB220" s="442">
        <f>IF(BD220=0,0,IF(BD220&lt;0,IF($J220=9,BD220,IF($J220=8,BD220,IF($J220=7,BD220,0)))))</f>
        <v>0</v>
      </c>
      <c r="BC220" s="443">
        <f>IF(BD220=0,0,IF(BD220&lt;0,IF($J220=12,BD220,IF($J220=11,BD220,IF($J220=10,BD220,0)))))</f>
        <v>0</v>
      </c>
      <c r="BD220" s="440">
        <f>IF(BD$5=$H220,-$E220,0)</f>
        <v>0</v>
      </c>
      <c r="BE220" s="441">
        <f>IF(BI220=0,0,IF(BI220&lt;0,IF($J220=3,BI220,IF($J220=2,BI220,IF($J220=1,BI220,0)))))</f>
        <v>0</v>
      </c>
      <c r="BF220" s="442">
        <f>IF(BI220=0,0,IF(BI220&lt;0,IF($J220=6,BI220,IF($J220=5,BI220,IF($J220=4,BI220,0)))))</f>
        <v>0</v>
      </c>
      <c r="BG220" s="442">
        <f>IF(BI220=0,0,IF(BI220&lt;0,IF($J220=9,BI220,IF($J220=8,BI220,IF($J220=7,BI220,0)))))</f>
        <v>0</v>
      </c>
      <c r="BH220" s="443">
        <f>IF(BI220=0,0,IF(BI220&lt;0,IF($J220=12,BI220,IF($J220=11,BI220,IF($J220=10,BI220,0)))))</f>
        <v>0</v>
      </c>
      <c r="BI220" s="440">
        <f>IF(BI$5=$H220,-$E220,0)</f>
        <v>0</v>
      </c>
      <c r="BJ220" s="441">
        <f>IF(BN220=0,0,IF(BN220&lt;0,IF($J220=3,BN220,IF($J220=2,BN220,IF($J220=1,BN220,0)))))</f>
        <v>0</v>
      </c>
      <c r="BK220" s="442">
        <f>IF(BN220=0,0,IF(BN220&lt;0,IF($J220=6,BN220,IF($J220=5,BN220,IF($J220=4,BN220,0)))))</f>
        <v>0</v>
      </c>
      <c r="BL220" s="442">
        <f>IF(BN220=0,0,IF(BN220&lt;0,IF($J220=9,BN220,IF($J220=8,BN220,IF($J220=7,BN220,0)))))</f>
        <v>0</v>
      </c>
      <c r="BM220" s="443">
        <f>IF(BN220=0,0,IF(BN220&lt;0,IF($J220=12,BN220,IF($J220=11,BN220,IF($J220=10,BN220,0)))))</f>
        <v>0</v>
      </c>
      <c r="BN220" s="440">
        <f>IF(BN$5=$H220,-$E220,0)</f>
        <v>0</v>
      </c>
      <c r="BO220" s="470"/>
      <c r="BP220" s="441">
        <f>IF($H220&lt;&gt;BT$5,0,IF(BT220&lt;0,IF($J220=1,-$E220*$I220/12*3,IF($J220=2,-$E220*$I220/12*2,IF($J220=3,-$E220*$I220/12*1,0)))))+IF(BO$5&lt;&gt;$H220,0,IF(BO220&lt;0,IF($J220=1,-$E220*$I220/12*0,IF($J220=2,-$E220*$I220/12*1,IF($J220=3,-$E220*$I220/12*2,IF($J220&gt;=4,-$E220*$I220/12*3,0))))))</f>
        <v>0</v>
      </c>
      <c r="BQ220" s="442">
        <f>IF($H220&lt;&gt;BT$5,0,IF(BT220&lt;0,IF(OR($J220=1,$J220=2,$J220=3,$J220=4),-$E220*$I220/12*3,IF($J220=5,-$E220*$I220/12*2,IF($J220=6,-$E220*$I220/12*1,0)))))+IF(BO$5&lt;&gt;$H220,0,IF(BO220&lt;0,IF($J220=4,-$E220*$I220/12*0,IF($J220=5,-$E220*$I220/12*1,IF($J220=6,-$E220*$I220/12*2,IF($J220&gt;=7,-$E220*$I220/12*3,0))))))</f>
        <v>0</v>
      </c>
      <c r="BR220" s="442">
        <f>IF($H220&lt;&gt;BT$5,0,IF(BT220&lt;0,IF(OR($J220=1,$J220=2,$J220=3,$J220=4,$J220=5,$J220=6,$J220=7),-$E220*$I220/12*3,IF($J220=8,-$E220*$I220/12*2,IF($J220=9,-$E220*$I220/12*1,0)))))+IF(BO$5&lt;&gt;$H220,0,IF(BO220&lt;0,IF($J220=7,-$E220*$I220/12*0,IF($J220=8,-$E220*$I220/12*1,IF($J220=9,-$E220*$I220/12*2,IF($J220&gt;=10,-$E220*$I220/12*3,0))))))</f>
        <v>0</v>
      </c>
      <c r="BS220" s="443">
        <f>IF($H220&lt;&gt;BT$5,0,IF(BT220&lt;0,IF(OR($J220=1,$J220=2,$J220=3,$J220=4,$J220=5,$J220=6,$J220=7,$J220=8,$J220=9,$J220=10),-$E220*$I220/12*3,IF($J220=11,-$E220*$I220/12*2,IF($J220=12,-$E220*$I220/12*1,0)))))+IF(BO$5&lt;&gt;$H220,0,IF(BO220&lt;0,IF($J220=10,-$E220*$I220/12*0,IF($J220=11,-$E220*$I220/12*1,IF($J220=12,-$E220*$I220/12*2,0)))))</f>
        <v>0</v>
      </c>
      <c r="BT220" s="440">
        <f>IF(AND(BO220&lt;&gt;0,BO$5=$H220),-$I220*$E220-BO220,IF(BT$5=$H220,-$I220*$E220*(12-$J220+1)/12,0))</f>
        <v>0</v>
      </c>
      <c r="BU220" s="441">
        <f>IF($H220&lt;&gt;BY$5,0,IF(BY220&lt;0,IF($J220=1,-$E220*$I220/12*3,IF($J220=2,-$E220*$I220/12*2,IF($J220=3,-$E220*$I220/12*1,0)))))+IF(BT$5&lt;&gt;$H220,0,IF(BT220&lt;0,IF($J220=1,-$E220*$I220/12*0,IF($J220=2,-$E220*$I220/12*1,IF($J220=3,-$E220*$I220/12*2,IF($J220&gt;=4,-$E220*$I220/12*3,0))))))</f>
        <v>0</v>
      </c>
      <c r="BV220" s="442">
        <f>IF($H220&lt;&gt;BY$5,0,IF(BY220&lt;0,IF(OR($J220=1,$J220=2,$J220=3,$J220=4),-$E220*$I220/12*3,IF($J220=5,-$E220*$I220/12*2,IF($J220=6,-$E220*$I220/12*1,0)))))+IF(BT$5&lt;&gt;$H220,0,IF(BT220&lt;0,IF($J220=4,-$E220*$I220/12*0,IF($J220=5,-$E220*$I220/12*1,IF($J220=6,-$E220*$I220/12*2,IF($J220&gt;=7,-$E220*$I220/12*3,0))))))</f>
        <v>0</v>
      </c>
      <c r="BW220" s="442">
        <f>IF($H220&lt;&gt;BY$5,0,IF(BY220&lt;0,IF(OR($J220=1,$J220=2,$J220=3,$J220=4,$J220=5,$J220=6,$J220=7),-$E220*$I220/12*3,IF($J220=8,-$E220*$I220/12*2,IF($J220=9,-$E220*$I220/12*1,0)))))+IF(BT$5&lt;&gt;$H220,0,IF(BT220&lt;0,IF($J220=7,-$E220*$I220/12*0,IF($J220=8,-$E220*$I220/12*1,IF($J220=9,-$E220*$I220/12*2,IF($J220&gt;=10,-$E220*$I220/12*3,0))))))</f>
        <v>0</v>
      </c>
      <c r="BX220" s="443">
        <f>IF($H220&lt;&gt;BY$5,0,IF(BY220&lt;0,IF(OR($J220=1,$J220=2,$J220=3,$J220=4,$J220=5,$J220=6,$J220=7,$J220=8,$J220=9,$J220=10),-$E220*$I220/12*3,IF($J220=11,-$E220*$I220/12*2,IF($J220=12,-$E220*$I220/12*1,0)))))+IF(BT$5&lt;&gt;$H220,0,IF(BT220&lt;0,IF($J220=10,-$E220*$I220/12*0,IF($J220=11,-$E220*$I220/12*1,IF($J220=12,-$E220*$I220/12*2,0)))))</f>
        <v>0</v>
      </c>
      <c r="BY220" s="440">
        <f>IF(AND(BT220&lt;&gt;0,BT$5=$H220),-$I220*$E220-BT220,IF(BY$5=$H220,-$I220*$E220*(12-$J220+1)/12,0))</f>
        <v>0</v>
      </c>
      <c r="BZ220" s="441">
        <f>IF($H220&lt;&gt;CD$5,0,IF(CD220&lt;0,IF($J220=1,-$E220*$I220/12*3,IF($J220=2,-$E220*$I220/12*2,IF($J220=3,-$E220*$I220/12*1,0)))))+IF(BY$5&lt;&gt;$H220,0,IF(BY220&lt;0,IF($J220=1,-$E220*$I220/12*0,IF($J220=2,-$E220*$I220/12*1,IF($J220=3,-$E220*$I220/12*2,IF($J220&gt;=4,-$E220*$I220/12*3,0))))))</f>
        <v>0</v>
      </c>
      <c r="CA220" s="442">
        <f>IF($H220&lt;&gt;CD$5,0,IF(CD220&lt;0,IF(OR($J220=1,$J220=2,$J220=3,$J220=4),-$E220*$I220/12*3,IF($J220=5,-$E220*$I220/12*2,IF($J220=6,-$E220*$I220/12*1,0)))))+IF(BY$5&lt;&gt;$H220,0,IF(BY220&lt;0,IF($J220=4,-$E220*$I220/12*0,IF($J220=5,-$E220*$I220/12*1,IF($J220=6,-$E220*$I220/12*2,IF($J220&gt;=7,-$E220*$I220/12*3,0))))))</f>
        <v>0</v>
      </c>
      <c r="CB220" s="442">
        <f>IF($H220&lt;&gt;CD$5,0,IF(CD220&lt;0,IF(OR($J220=1,$J220=2,$J220=3,$J220=4,$J220=5,$J220=6,$J220=7),-$E220*$I220/12*3,IF($J220=8,-$E220*$I220/12*2,IF($J220=9,-$E220*$I220/12*1,0)))))+IF(BY$5&lt;&gt;$H220,0,IF(BY220&lt;0,IF($J220=7,-$E220*$I220/12*0,IF($J220=8,-$E220*$I220/12*1,IF($J220=9,-$E220*$I220/12*2,IF($J220&gt;=10,-$E220*$I220/12*3,0))))))</f>
        <v>0</v>
      </c>
      <c r="CC220" s="443">
        <f>IF($H220&lt;&gt;CD$5,0,IF(CD220&lt;0,IF(OR($J220=1,$J220=2,$J220=3,$J220=4,$J220=5,$J220=6,$J220=7,$J220=8,$J220=9,$J220=10),-$E220*$I220/12*3,IF($J220=11,-$E220*$I220/12*2,IF($J220=12,-$E220*$I220/12*1,0)))))+IF(BY$5&lt;&gt;$H220,0,IF(BY220&lt;0,IF($J220=10,-$E220*$I220/12*0,IF($J220=11,-$E220*$I220/12*1,IF($J220=12,-$E220*$I220/12*2,0)))))</f>
        <v>0</v>
      </c>
      <c r="CD220" s="440">
        <f>IF(AND(BY220&lt;&gt;0,BY$5=$H220),-$I220*$E220-BY220,IF(CD$5=$H220,-$I220*$E220*(12-$J220+1)/12,0))</f>
        <v>0</v>
      </c>
      <c r="CE220" s="441">
        <f>IF($H220&lt;&gt;CI$5,0,IF(CI220&lt;0,IF($J220=1,-$E220*$I220/12*3,IF($J220=2,-$E220*$I220/12*2,IF($J220=3,-$E220*$I220/12*1,0)))))+IF(CD$5&lt;&gt;$H220,0,IF(CD220&lt;0,IF($J220=1,-$E220*$I220/12*0,IF($J220=2,-$E220*$I220/12*1,IF($J220=3,-$E220*$I220/12*2,IF($J220&gt;=4,-$E220*$I220/12*3,0))))))</f>
        <v>0</v>
      </c>
      <c r="CF220" s="442">
        <f>IF($H220&lt;&gt;CI$5,0,IF(CI220&lt;0,IF(OR($J220=1,$J220=2,$J220=3,$J220=4),-$E220*$I220/12*3,IF($J220=5,-$E220*$I220/12*2,IF($J220=6,-$E220*$I220/12*1,0)))))+IF(CD$5&lt;&gt;$H220,0,IF(CD220&lt;0,IF($J220=4,-$E220*$I220/12*0,IF($J220=5,-$E220*$I220/12*1,IF($J220=6,-$E220*$I220/12*2,IF($J220&gt;=7,-$E220*$I220/12*3,0))))))</f>
        <v>0</v>
      </c>
      <c r="CG220" s="442">
        <f>IF($H220&lt;&gt;CI$5,0,IF(CI220&lt;0,IF(OR($J220=1,$J220=2,$J220=3,$J220=4,$J220=5,$J220=6,$J220=7),-$E220*$I220/12*3,IF($J220=8,-$E220*$I220/12*2,IF($J220=9,-$E220*$I220/12*1,0)))))+IF(CD$5&lt;&gt;$H220,0,IF(CD220&lt;0,IF($J220=7,-$E220*$I220/12*0,IF($J220=8,-$E220*$I220/12*1,IF($J220=9,-$E220*$I220/12*2,IF($J220&gt;=10,-$E220*$I220/12*3,0))))))</f>
        <v>0</v>
      </c>
      <c r="CH220" s="443">
        <f>IF($H220&lt;&gt;CI$5,0,IF(CI220&lt;0,IF(OR($J220=1,$J220=2,$J220=3,$J220=4,$J220=5,$J220=6,$J220=7,$J220=8,$J220=9,$J220=10),-$E220*$I220/12*3,IF($J220=11,-$E220*$I220/12*2,IF($J220=12,-$E220*$I220/12*1,0)))))+IF(CD$5&lt;&gt;$H220,0,IF(CD220&lt;0,IF($J220=10,-$E220*$I220/12*0,IF($J220=11,-$E220*$I220/12*1,IF($J220=12,-$E220*$I220/12*2,0)))))</f>
        <v>0</v>
      </c>
      <c r="CI220" s="440">
        <f>IF(AND(CD220&lt;&gt;0,CD$5=$H220),-$I220*$E220-CD220,IF(CI$5=$H220,-$I220*$E220*(12-$J220+1)/12,0))</f>
        <v>0</v>
      </c>
      <c r="CJ220" s="441">
        <f>IF($H220&lt;&gt;CN$5,0,IF(CN220&lt;0,IF($J220=1,-$E220*$I220/12*3,IF($J220=2,-$E220*$I220/12*2,IF($J220=3,-$E220*$I220/12*1,0)))))+IF(CI$5&lt;&gt;$H220,0,IF(CI220&lt;0,IF($J220=1,-$E220*$I220/12*0,IF($J220=2,-$E220*$I220/12*1,IF($J220=3,-$E220*$I220/12*2,IF($J220&gt;=4,-$E220*$I220/12*3,0))))))</f>
        <v>0</v>
      </c>
      <c r="CK220" s="442">
        <f>IF($H220&lt;&gt;CN$5,0,IF(CN220&lt;0,IF(OR($J220=1,$J220=2,$J220=3,$J220=4),-$E220*$I220/12*3,IF($J220=5,-$E220*$I220/12*2,IF($J220=6,-$E220*$I220/12*1,0)))))+IF(CI$5&lt;&gt;$H220,0,IF(CI220&lt;0,IF($J220=4,-$E220*$I220/12*0,IF($J220=5,-$E220*$I220/12*1,IF($J220=6,-$E220*$I220/12*2,IF($J220&gt;=7,-$E220*$I220/12*3,0))))))</f>
        <v>0</v>
      </c>
      <c r="CL220" s="442">
        <f>IF($H220&lt;&gt;CN$5,0,IF(CN220&lt;0,IF(OR($J220=1,$J220=2,$J220=3,$J220=4,$J220=5,$J220=6,$J220=7),-$E220*$I220/12*3,IF($J220=8,-$E220*$I220/12*2,IF($J220=9,-$E220*$I220/12*1,0)))))+IF(CI$5&lt;&gt;$H220,0,IF(CI220&lt;0,IF($J220=7,-$E220*$I220/12*0,IF($J220=8,-$E220*$I220/12*1,IF($J220=9,-$E220*$I220/12*2,IF($J220&gt;=10,-$E220*$I220/12*3,0))))))</f>
        <v>0</v>
      </c>
      <c r="CM220" s="443">
        <f>IF($H220&lt;&gt;CN$5,0,IF(CN220&lt;0,IF(OR($J220=1,$J220=2,$J220=3,$J220=4,$J220=5,$J220=6,$J220=7,$J220=8,$J220=9,$J220=10),-$E220*$I220/12*3,IF($J220=11,-$E220*$I220/12*2,IF($J220=12,-$E220*$I220/12*1,0)))))+IF(CI$5&lt;&gt;$H220,0,IF(CI220&lt;0,IF($J220=10,-$E220*$I220/12*0,IF($J220=11,-$E220*$I220/12*1,IF($J220=12,-$E220*$I220/12*2,0)))))</f>
        <v>0</v>
      </c>
      <c r="CN220" s="440">
        <f>IF(AND(CI220&lt;&gt;0,CI$5=$H220),-$I220*$E220-CI220,IF(CN$5=$H220,-$I220*$E220*(12-$J220+1)/12,0))</f>
        <v>0</v>
      </c>
      <c r="CO220" s="441">
        <f>IF($H220&lt;&gt;CS$5,0,IF(CS220&lt;0,IF($J220=1,-$E220*$I220/12*3,IF($J220=2,-$E220*$I220/12*2,IF($J220=3,-$E220*$I220/12*1,0)))))+IF(CN$5&lt;&gt;$H220,0,IF(CN220&lt;0,IF($J220=1,-$E220*$I220/12*0,IF($J220=2,-$E220*$I220/12*1,IF($J220=3,-$E220*$I220/12*2,IF($J220&gt;=4,-$E220*$I220/12*3,0))))))</f>
        <v>0</v>
      </c>
      <c r="CP220" s="442">
        <f>IF($H220&lt;&gt;CS$5,0,IF(CS220&lt;0,IF(OR($J220=1,$J220=2,$J220=3,$J220=4),-$E220*$I220/12*3,IF($J220=5,-$E220*$I220/12*2,IF($J220=6,-$E220*$I220/12*1,0)))))+IF(CN$5&lt;&gt;$H220,0,IF(CN220&lt;0,IF($J220=4,-$E220*$I220/12*0,IF($J220=5,-$E220*$I220/12*1,IF($J220=6,-$E220*$I220/12*2,IF($J220&gt;=7,-$E220*$I220/12*3,0))))))</f>
        <v>0</v>
      </c>
      <c r="CQ220" s="442">
        <f>IF($H220&lt;&gt;CS$5,0,IF(CS220&lt;0,IF(OR($J220=1,$J220=2,$J220=3,$J220=4,$J220=5,$J220=6,$J220=7),-$E220*$I220/12*3,IF($J220=8,-$E220*$I220/12*2,IF($J220=9,-$E220*$I220/12*1,0)))))+IF(CN$5&lt;&gt;$H220,0,IF(CN220&lt;0,IF($J220=7,-$E220*$I220/12*0,IF($J220=8,-$E220*$I220/12*1,IF($J220=9,-$E220*$I220/12*2,IF($J220&gt;=10,-$E220*$I220/12*3,0))))))</f>
        <v>0</v>
      </c>
      <c r="CR220" s="443">
        <f>IF($H220&lt;&gt;CS$5,0,IF(CS220&lt;0,IF(OR($J220=1,$J220=2,$J220=3,$J220=4,$J220=5,$J220=6,$J220=7,$J220=8,$J220=9,$J220=10),-$E220*$I220/12*3,IF($J220=11,-$E220*$I220/12*2,IF($J220=12,-$E220*$I220/12*1,0)))))+IF(CN$5&lt;&gt;$H220,0,IF(CN220&lt;0,IF($J220=10,-$E220*$I220/12*0,IF($J220=11,-$E220*$I220/12*1,IF($J220=12,-$E220*$I220/12*2,0)))))</f>
        <v>0</v>
      </c>
      <c r="CS220" s="440">
        <f>IF(AND(CN220&lt;&gt;0,CN$5=$H220),-$I220*$E220-CN220,IF(CS$5=$H220,-$I220*$E220*(12-$J220+1)/12,0))</f>
        <v>0</v>
      </c>
      <c r="CT220" s="441">
        <f>IF($H220&lt;&gt;CX$5,0,IF(CX220&lt;0,IF($J220=1,-$E220*$I220/12*3,IF($J220=2,-$E220*$I220/12*2,IF($J220=3,-$E220*$I220/12*1,0)))))+IF(CS$5&lt;&gt;$H220,0,IF(CS220&lt;0,IF($J220=1,-$E220*$I220/12*0,IF($J220=2,-$E220*$I220/12*1,IF($J220=3,-$E220*$I220/12*2,IF($J220&gt;=4,-$E220*$I220/12*3,0))))))</f>
        <v>0</v>
      </c>
      <c r="CU220" s="442">
        <f>IF($H220&lt;&gt;CX$5,0,IF(CX220&lt;0,IF(OR($J220=1,$J220=2,$J220=3,$J220=4),-$E220*$I220/12*3,IF($J220=5,-$E220*$I220/12*2,IF($J220=6,-$E220*$I220/12*1,0)))))+IF(CS$5&lt;&gt;$H220,0,IF(CS220&lt;0,IF($J220=4,-$E220*$I220/12*0,IF($J220=5,-$E220*$I220/12*1,IF($J220=6,-$E220*$I220/12*2,IF($J220&gt;=7,-$E220*$I220/12*3,0))))))</f>
        <v>0</v>
      </c>
      <c r="CV220" s="442">
        <f>IF($H220&lt;&gt;CX$5,0,IF(CX220&lt;0,IF(OR($J220=1,$J220=2,$J220=3,$J220=4,$J220=5,$J220=6,$J220=7),-$E220*$I220/12*3,IF($J220=8,-$E220*$I220/12*2,IF($J220=9,-$E220*$I220/12*1,0)))))+IF(CS$5&lt;&gt;$H220,0,IF(CS220&lt;0,IF($J220=7,-$E220*$I220/12*0,IF($J220=8,-$E220*$I220/12*1,IF($J220=9,-$E220*$I220/12*2,IF($J220&gt;=10,-$E220*$I220/12*3,0))))))</f>
        <v>0</v>
      </c>
      <c r="CW220" s="443">
        <f>IF($H220&lt;&gt;CX$5,0,IF(CX220&lt;0,IF(OR($J220=1,$J220=2,$J220=3,$J220=4,$J220=5,$J220=6,$J220=7,$J220=8,$J220=9,$J220=10),-$E220*$I220/12*3,IF($J220=11,-$E220*$I220/12*2,IF($J220=12,-$E220*$I220/12*1,0)))))+IF(CS$5&lt;&gt;$H220,0,IF(CS220&lt;0,IF($J220=10,-$E220*$I220/12*0,IF($J220=11,-$E220*$I220/12*1,IF($J220=12,-$E220*$I220/12*2,0)))))</f>
        <v>0</v>
      </c>
      <c r="CX220" s="440">
        <f>IF(AND(CS220&lt;&gt;0,CS$5=$H220),-$I220*$E220-CS220,IF(CX$5=$H220,-$I220*$E220*(12-$J220+1)/12,0))</f>
        <v>0</v>
      </c>
      <c r="CY220" s="441">
        <f>IF($H220&lt;&gt;DC$5,0,IF(DC220&lt;0,IF($J220=1,-$E220*$I220/12*3,IF($J220=2,-$E220*$I220/12*2,IF($J220=3,-$E220*$I220/12*1,0)))))+IF(CX$5&lt;&gt;$H220,0,IF(CX220&lt;0,IF($J220=1,-$E220*$I220/12*0,IF($J220=2,-$E220*$I220/12*1,IF($J220=3,-$E220*$I220/12*2,IF($J220&gt;=4,-$E220*$I220/12*3,0))))))</f>
        <v>0</v>
      </c>
      <c r="CZ220" s="442">
        <f>IF($H220&lt;&gt;DC$5,0,IF(DC220&lt;0,IF(OR($J220=1,$J220=2,$J220=3,$J220=4),-$E220*$I220/12*3,IF($J220=5,-$E220*$I220/12*2,IF($J220=6,-$E220*$I220/12*1,0)))))+IF(CX$5&lt;&gt;$H220,0,IF(CX220&lt;0,IF($J220=4,-$E220*$I220/12*0,IF($J220=5,-$E220*$I220/12*1,IF($J220=6,-$E220*$I220/12*2,IF($J220&gt;=7,-$E220*$I220/12*3,0))))))</f>
        <v>0</v>
      </c>
      <c r="DA220" s="442">
        <f>IF($H220&lt;&gt;DC$5,0,IF(DC220&lt;0,IF(OR($J220=1,$J220=2,$J220=3,$J220=4,$J220=5,$J220=6,$J220=7),-$E220*$I220/12*3,IF($J220=8,-$E220*$I220/12*2,IF($J220=9,-$E220*$I220/12*1,0)))))+IF(CX$5&lt;&gt;$H220,0,IF(CX220&lt;0,IF($J220=7,-$E220*$I220/12*0,IF($J220=8,-$E220*$I220/12*1,IF($J220=9,-$E220*$I220/12*2,IF($J220&gt;=10,-$E220*$I220/12*3,0))))))</f>
        <v>0</v>
      </c>
      <c r="DB220" s="443">
        <f>IF($H220&lt;&gt;DC$5,0,IF(DC220&lt;0,IF(OR($J220=1,$J220=2,$J220=3,$J220=4,$J220=5,$J220=6,$J220=7,$J220=8,$J220=9,$J220=10),-$E220*$I220/12*3,IF($J220=11,-$E220*$I220/12*2,IF($J220=12,-$E220*$I220/12*1,0)))))+IF(CX$5&lt;&gt;$H220,0,IF(CX220&lt;0,IF($J220=10,-$E220*$I220/12*0,IF($J220=11,-$E220*$I220/12*1,IF($J220=12,-$E220*$I220/12*2,0)))))</f>
        <v>0</v>
      </c>
      <c r="DC220" s="440">
        <f>IF(AND(CX220&lt;&gt;0,CX$5=$H220),-$I220*$E220-CX220,IF(DC$5=$H220,-$I220*$E220*(12-$J220+1)/12,0))</f>
        <v>0</v>
      </c>
      <c r="DD220" s="441">
        <f>IF($H220&lt;&gt;DH$5,0,IF(DH220&lt;0,IF($J220=1,-$E220*$I220/12*3,IF($J220=2,-$E220*$I220/12*2,IF($J220=3,-$E220*$I220/12*1,0)))))+IF(DC$5&lt;&gt;$H220,0,IF(DC220&lt;0,IF($J220=1,-$E220*$I220/12*0,IF($J220=2,-$E220*$I220/12*1,IF($J220=3,-$E220*$I220/12*2,IF($J220&gt;=4,-$E220*$I220/12*3,0))))))</f>
        <v>0</v>
      </c>
      <c r="DE220" s="442">
        <f>IF($H220&lt;&gt;DH$5,0,IF(DH220&lt;0,IF(OR($J220=1,$J220=2,$J220=3,$J220=4),-$E220*$I220/12*3,IF($J220=5,-$E220*$I220/12*2,IF($J220=6,-$E220*$I220/12*1,0)))))+IF(DC$5&lt;&gt;$H220,0,IF(DC220&lt;0,IF($J220=4,-$E220*$I220/12*0,IF($J220=5,-$E220*$I220/12*1,IF($J220=6,-$E220*$I220/12*2,IF($J220&gt;=7,-$E220*$I220/12*3,0))))))</f>
        <v>0</v>
      </c>
      <c r="DF220" s="442">
        <f>IF($H220&lt;&gt;DH$5,0,IF(DH220&lt;0,IF(OR($J220=1,$J220=2,$J220=3,$J220=4,$J220=5,$J220=6,$J220=7),-$E220*$I220/12*3,IF($J220=8,-$E220*$I220/12*2,IF($J220=9,-$E220*$I220/12*1,0)))))+IF(DC$5&lt;&gt;$H220,0,IF(DC220&lt;0,IF($J220=7,-$E220*$I220/12*0,IF($J220=8,-$E220*$I220/12*1,IF($J220=9,-$E220*$I220/12*2,IF($J220&gt;=10,-$E220*$I220/12*3,0))))))</f>
        <v>0</v>
      </c>
      <c r="DG220" s="443">
        <f>IF($H220&lt;&gt;DH$5,0,IF(DH220&lt;0,IF(OR($J220=1,$J220=2,$J220=3,$J220=4,$J220=5,$J220=6,$J220=7,$J220=8,$J220=9,$J220=10),-$E220*$I220/12*3,IF($J220=11,-$E220*$I220/12*2,IF($J220=12,-$E220*$I220/12*1,0)))))+IF(DC$5&lt;&gt;$H220,0,IF(DC220&lt;0,IF($J220=10,-$E220*$I220/12*0,IF($J220=11,-$E220*$I220/12*1,IF($J220=12,-$E220*$I220/12*2,0)))))</f>
        <v>0</v>
      </c>
      <c r="DH220" s="440">
        <f>IF(AND(DC220&lt;&gt;0,DC$5=$H220),-$I220*$E220-DC220,IF(DH$5=$H220,-$I220*$E220*(12-$J220+1)/12,0))</f>
        <v>0</v>
      </c>
      <c r="DI220" s="441">
        <f>IF($H220&lt;&gt;DM$5,0,IF(DM220&lt;0,IF($J220=1,-$E220*$I220/12*3,IF($J220=2,-$E220*$I220/12*2,IF($J220=3,-$E220*$I220/12*1,0)))))+IF(DH$5&lt;&gt;$H220,0,IF(DH220&lt;0,IF($J220=1,-$E220*$I220/12*0,IF($J220=2,-$E220*$I220/12*1,IF($J220=3,-$E220*$I220/12*2,IF($J220&gt;=4,-$E220*$I220/12*3,0))))))</f>
        <v>0</v>
      </c>
      <c r="DJ220" s="442">
        <f>IF($H220&lt;&gt;DM$5,0,IF(DM220&lt;0,IF(OR($J220=1,$J220=2,$J220=3,$J220=4),-$E220*$I220/12*3,IF($J220=5,-$E220*$I220/12*2,IF($J220=6,-$E220*$I220/12*1,0)))))+IF(DH$5&lt;&gt;$H220,0,IF(DH220&lt;0,IF($J220=4,-$E220*$I220/12*0,IF($J220=5,-$E220*$I220/12*1,IF($J220=6,-$E220*$I220/12*2,IF($J220&gt;=7,-$E220*$I220/12*3,0))))))</f>
        <v>0</v>
      </c>
      <c r="DK220" s="442">
        <f>IF($H220&lt;&gt;DM$5,0,IF(DM220&lt;0,IF(OR($J220=1,$J220=2,$J220=3,$J220=4,$J220=5,$J220=6,$J220=7),-$E220*$I220/12*3,IF($J220=8,-$E220*$I220/12*2,IF($J220=9,-$E220*$I220/12*1,0)))))+IF(DH$5&lt;&gt;$H220,0,IF(DH220&lt;0,IF($J220=7,-$E220*$I220/12*0,IF($J220=8,-$E220*$I220/12*1,IF($J220=9,-$E220*$I220/12*2,IF($J220&gt;=10,-$E220*$I220/12*3,0))))))</f>
        <v>0</v>
      </c>
      <c r="DL220" s="443">
        <f>IF($H220&lt;&gt;DM$5,0,IF(DM220&lt;0,IF(OR($J220=1,$J220=2,$J220=3,$J220=4,$J220=5,$J220=6,$J220=7,$J220=8,$J220=9,$J220=10),-$E220*$I220/12*3,IF($J220=11,-$E220*$I220/12*2,IF($J220=12,-$E220*$I220/12*1,0)))))+IF(DH$5&lt;&gt;$H220,0,IF(DH220&lt;0,IF($J220=10,-$E220*$I220/12*0,IF($J220=11,-$E220*$I220/12*1,IF($J220=12,-$E220*$I220/12*2,0)))))</f>
        <v>0</v>
      </c>
      <c r="DM220" s="440">
        <f>IF(AND(DH220&lt;&gt;0,DH$5=$H220),-$I220*$E220-DH220,IF(DM$5=$H220,-$I220*$E220*(12-$J220+1)/12,0))</f>
        <v>0</v>
      </c>
      <c r="DN220" s="441">
        <f>IF($H220&lt;&gt;DR$5,0,IF(DR220&lt;0,IF($J220=1,-$E220*$I220/12*3,IF($J220=2,-$E220*$I220/12*2,IF($J220=3,-$E220*$I220/12*1,0)))))+IF(DM$5&lt;&gt;$H220,0,IF(DM220&lt;0,IF($J220=1,-$E220*$I220/12*0,IF($J220=2,-$E220*$I220/12*1,IF($J220=3,-$E220*$I220/12*2,IF($J220&gt;=4,-$E220*$I220/12*3,0))))))</f>
        <v>0</v>
      </c>
      <c r="DO220" s="442">
        <f>IF($H220&lt;&gt;DR$5,0,IF(DR220&lt;0,IF(OR($J220=1,$J220=2,$J220=3,$J220=4),-$E220*$I220/12*3,IF($J220=5,-$E220*$I220/12*2,IF($J220=6,-$E220*$I220/12*1,0)))))+IF(DM$5&lt;&gt;$H220,0,IF(DM220&lt;0,IF($J220=4,-$E220*$I220/12*0,IF($J220=5,-$E220*$I220/12*1,IF($J220=6,-$E220*$I220/12*2,IF($J220&gt;=7,-$E220*$I220/12*3,0))))))</f>
        <v>0</v>
      </c>
      <c r="DP220" s="442">
        <f>IF($H220&lt;&gt;DR$5,0,IF(DR220&lt;0,IF(OR($J220=1,$J220=2,$J220=3,$J220=4,$J220=5,$J220=6,$J220=7),-$E220*$I220/12*3,IF($J220=8,-$E220*$I220/12*2,IF($J220=9,-$E220*$I220/12*1,0)))))+IF(DM$5&lt;&gt;$H220,0,IF(DM220&lt;0,IF($J220=7,-$E220*$I220/12*0,IF($J220=8,-$E220*$I220/12*1,IF($J220=9,-$E220*$I220/12*2,IF($J220&gt;=10,-$E220*$I220/12*3,0))))))</f>
        <v>0</v>
      </c>
      <c r="DQ220" s="443">
        <f>IF($H220&lt;&gt;DR$5,0,IF(DR220&lt;0,IF(OR($J220=1,$J220=2,$J220=3,$J220=4,$J220=5,$J220=6,$J220=7,$J220=8,$J220=9,$J220=10),-$E220*$I220/12*3,IF($J220=11,-$E220*$I220/12*2,IF($J220=12,-$E220*$I220/12*1,0)))))+IF(DM$5&lt;&gt;$H220,0,IF(DM220&lt;0,IF($J220=10,-$E220*$I220/12*0,IF($J220=11,-$E220*$I220/12*1,IF($J220=12,-$E220*$I220/12*2,0)))))</f>
        <v>0</v>
      </c>
      <c r="DR220" s="440">
        <f>IF(AND(DM220&lt;&gt;0,DM$5=$H220),-$I220*$E220-DM220,IF(DR$5=$H220,-$I220*$E220*(12-$J220+1)/12,0))</f>
        <v>0</v>
      </c>
    </row>
    <row r="221" spans="3:122">
      <c r="C221" s="1123" t="s">
        <v>95</v>
      </c>
      <c r="D221" s="395"/>
      <c r="E221" s="1950">
        <f>IF(F221=0,G221,F221)</f>
        <v>9.9749999999999996</v>
      </c>
      <c r="F221" s="1945">
        <v>9.9749999999999996</v>
      </c>
      <c r="G221" s="1945">
        <v>9.9749999999999996</v>
      </c>
      <c r="H221" s="1366">
        <v>2027</v>
      </c>
      <c r="I221" s="1367">
        <v>5.5224999999999996E-2</v>
      </c>
      <c r="J221" s="1357">
        <v>7</v>
      </c>
      <c r="K221" s="549"/>
      <c r="L221" s="441">
        <f t="shared" si="2830"/>
        <v>0</v>
      </c>
      <c r="M221" s="442">
        <f t="shared" si="2831"/>
        <v>0</v>
      </c>
      <c r="N221" s="442">
        <f t="shared" si="2832"/>
        <v>0</v>
      </c>
      <c r="O221" s="443">
        <f t="shared" si="2833"/>
        <v>0</v>
      </c>
      <c r="P221" s="440">
        <f t="shared" si="2834"/>
        <v>0</v>
      </c>
      <c r="Q221" s="441">
        <f t="shared" si="2835"/>
        <v>0</v>
      </c>
      <c r="R221" s="442">
        <f t="shared" si="2836"/>
        <v>0</v>
      </c>
      <c r="S221" s="442">
        <f t="shared" si="2837"/>
        <v>0</v>
      </c>
      <c r="T221" s="443">
        <f t="shared" si="2838"/>
        <v>0</v>
      </c>
      <c r="U221" s="440">
        <f t="shared" si="2839"/>
        <v>0</v>
      </c>
      <c r="V221" s="441">
        <f t="shared" si="2840"/>
        <v>0</v>
      </c>
      <c r="W221" s="442">
        <f t="shared" si="2841"/>
        <v>0</v>
      </c>
      <c r="X221" s="442">
        <f t="shared" si="2842"/>
        <v>0</v>
      </c>
      <c r="Y221" s="443">
        <f t="shared" si="2843"/>
        <v>0</v>
      </c>
      <c r="Z221" s="440">
        <f t="shared" si="2844"/>
        <v>0</v>
      </c>
      <c r="AA221" s="441">
        <f t="shared" si="2845"/>
        <v>0</v>
      </c>
      <c r="AB221" s="442">
        <f t="shared" si="2846"/>
        <v>0</v>
      </c>
      <c r="AC221" s="442">
        <f t="shared" si="2847"/>
        <v>0</v>
      </c>
      <c r="AD221" s="443">
        <f t="shared" si="2848"/>
        <v>0</v>
      </c>
      <c r="AE221" s="440">
        <f t="shared" si="2849"/>
        <v>0</v>
      </c>
      <c r="AF221" s="441">
        <f t="shared" si="2850"/>
        <v>0</v>
      </c>
      <c r="AG221" s="442">
        <f t="shared" si="2851"/>
        <v>0</v>
      </c>
      <c r="AH221" s="442">
        <f t="shared" si="2852"/>
        <v>0</v>
      </c>
      <c r="AI221" s="443">
        <f t="shared" si="2853"/>
        <v>0</v>
      </c>
      <c r="AJ221" s="440">
        <f t="shared" si="2854"/>
        <v>0</v>
      </c>
      <c r="AK221" s="441">
        <f t="shared" si="2855"/>
        <v>0</v>
      </c>
      <c r="AL221" s="442">
        <f t="shared" si="2856"/>
        <v>0</v>
      </c>
      <c r="AM221" s="442">
        <f t="shared" si="2857"/>
        <v>0</v>
      </c>
      <c r="AN221" s="443">
        <f t="shared" si="2858"/>
        <v>0</v>
      </c>
      <c r="AO221" s="440">
        <f t="shared" si="2859"/>
        <v>0</v>
      </c>
      <c r="AP221" s="441">
        <f t="shared" si="2860"/>
        <v>0</v>
      </c>
      <c r="AQ221" s="442">
        <f t="shared" si="2861"/>
        <v>0</v>
      </c>
      <c r="AR221" s="442">
        <f t="shared" si="2862"/>
        <v>0</v>
      </c>
      <c r="AS221" s="443">
        <f t="shared" si="2863"/>
        <v>0</v>
      </c>
      <c r="AT221" s="440">
        <f t="shared" si="2864"/>
        <v>0</v>
      </c>
      <c r="AU221" s="441">
        <f t="shared" si="2865"/>
        <v>0</v>
      </c>
      <c r="AV221" s="442">
        <f t="shared" si="2866"/>
        <v>0</v>
      </c>
      <c r="AW221" s="442">
        <f t="shared" si="2867"/>
        <v>0</v>
      </c>
      <c r="AX221" s="443">
        <f t="shared" si="2868"/>
        <v>0</v>
      </c>
      <c r="AY221" s="440">
        <f t="shared" si="2869"/>
        <v>0</v>
      </c>
      <c r="AZ221" s="441">
        <f t="shared" si="2870"/>
        <v>0</v>
      </c>
      <c r="BA221" s="442">
        <f t="shared" si="2871"/>
        <v>0</v>
      </c>
      <c r="BB221" s="442">
        <f t="shared" si="2872"/>
        <v>0</v>
      </c>
      <c r="BC221" s="443">
        <f t="shared" si="2873"/>
        <v>0</v>
      </c>
      <c r="BD221" s="440">
        <f t="shared" si="2874"/>
        <v>0</v>
      </c>
      <c r="BE221" s="441">
        <f t="shared" si="2875"/>
        <v>0</v>
      </c>
      <c r="BF221" s="442">
        <f t="shared" si="2876"/>
        <v>0</v>
      </c>
      <c r="BG221" s="442">
        <f t="shared" si="2877"/>
        <v>0</v>
      </c>
      <c r="BH221" s="443">
        <f t="shared" si="2878"/>
        <v>0</v>
      </c>
      <c r="BI221" s="440">
        <f t="shared" si="2879"/>
        <v>0</v>
      </c>
      <c r="BJ221" s="441">
        <f t="shared" si="2880"/>
        <v>0</v>
      </c>
      <c r="BK221" s="442">
        <f t="shared" si="2881"/>
        <v>0</v>
      </c>
      <c r="BL221" s="442">
        <f t="shared" si="2882"/>
        <v>0</v>
      </c>
      <c r="BM221" s="443">
        <f t="shared" si="2883"/>
        <v>0</v>
      </c>
      <c r="BN221" s="440">
        <f t="shared" si="2884"/>
        <v>0</v>
      </c>
      <c r="BO221" s="470"/>
      <c r="BP221" s="441">
        <f>IF($H221&lt;&gt;BT$5,0,IF(BT221&lt;0,IF($J221=1,-$E221*$I221/12*3,IF($J221=2,-$E221*$I221/12*2,IF($J221=3,-$E221*$I221/12*1,0)))))+IF(BO$5&lt;&gt;$H221,0,IF(BO221&lt;0,IF($J221=1,-$E221*$I221/12*0,IF($J221=2,-$E221*$I221/12*1,IF($J221=3,-$E221*$I221/12*2,IF($J221&gt;=4,-$E221*$I221/12*3,0))))))</f>
        <v>0</v>
      </c>
      <c r="BQ221" s="442">
        <f>IF($H221&lt;&gt;BT$5,0,IF(BT221&lt;0,IF(OR($J221=1,$J221=2,$J221=3,$J221=4),-$E221*$I221/12*3,IF($J221=5,-$E221*$I221/12*2,IF($J221=6,-$E221*$I221/12*1,0)))))+IF(BO$5&lt;&gt;$H221,0,IF(BO221&lt;0,IF($J221=4,-$E221*$I221/12*0,IF($J221=5,-$E221*$I221/12*1,IF($J221=6,-$E221*$I221/12*2,IF($J221&gt;=7,-$E221*$I221/12*3,0))))))</f>
        <v>0</v>
      </c>
      <c r="BR221" s="442">
        <f>IF($H221&lt;&gt;BT$5,0,IF(BT221&lt;0,IF(OR($J221=1,$J221=2,$J221=3,$J221=4,$J221=5,$J221=6,$J221=7),-$E221*$I221/12*3,IF($J221=8,-$E221*$I221/12*2,IF($J221=9,-$E221*$I221/12*1,0)))))+IF(BO$5&lt;&gt;$H221,0,IF(BO221&lt;0,IF($J221=7,-$E221*$I221/12*0,IF($J221=8,-$E221*$I221/12*1,IF($J221=9,-$E221*$I221/12*2,IF($J221&gt;=10,-$E221*$I221/12*3,0))))))</f>
        <v>0</v>
      </c>
      <c r="BS221" s="443">
        <f>IF($H221&lt;&gt;BT$5,0,IF(BT221&lt;0,IF(OR($J221=1,$J221=2,$J221=3,$J221=4,$J221=5,$J221=6,$J221=7,$J221=8,$J221=9,$J221=10),-$E221*$I221/12*3,IF($J221=11,-$E221*$I221/12*2,IF($J221=12,-$E221*$I221/12*1,0)))))+IF(BO$5&lt;&gt;$H221,0,IF(BO221&lt;0,IF($J221=10,-$E221*$I221/12*0,IF($J221=11,-$E221*$I221/12*1,IF($J221=12,-$E221*$I221/12*2,0)))))</f>
        <v>0</v>
      </c>
      <c r="BT221" s="440">
        <f>IF(AND(BO221&lt;&gt;0,BO$5=$H221),-$I221*$E221-BO221,IF(BT$5=$H221,-$I221*$E221*(12-$J221+1)/12,0))</f>
        <v>0</v>
      </c>
      <c r="BU221" s="441">
        <f>IF($H221&lt;&gt;BY$5,0,IF(BY221&lt;0,IF($J221=1,-$E221*$I221/12*3,IF($J221=2,-$E221*$I221/12*2,IF($J221=3,-$E221*$I221/12*1,0)))))+IF(BT$5&lt;&gt;$H221,0,IF(BT221&lt;0,IF($J221=1,-$E221*$I221/12*0,IF($J221=2,-$E221*$I221/12*1,IF($J221=3,-$E221*$I221/12*2,IF($J221&gt;=4,-$E221*$I221/12*3,0))))))</f>
        <v>0</v>
      </c>
      <c r="BV221" s="442">
        <f>IF($H221&lt;&gt;BY$5,0,IF(BY221&lt;0,IF(OR($J221=1,$J221=2,$J221=3,$J221=4),-$E221*$I221/12*3,IF($J221=5,-$E221*$I221/12*2,IF($J221=6,-$E221*$I221/12*1,0)))))+IF(BT$5&lt;&gt;$H221,0,IF(BT221&lt;0,IF($J221=4,-$E221*$I221/12*0,IF($J221=5,-$E221*$I221/12*1,IF($J221=6,-$E221*$I221/12*2,IF($J221&gt;=7,-$E221*$I221/12*3,0))))))</f>
        <v>0</v>
      </c>
      <c r="BW221" s="442">
        <f>IF($H221&lt;&gt;BY$5,0,IF(BY221&lt;0,IF(OR($J221=1,$J221=2,$J221=3,$J221=4,$J221=5,$J221=6,$J221=7),-$E221*$I221/12*3,IF($J221=8,-$E221*$I221/12*2,IF($J221=9,-$E221*$I221/12*1,0)))))+IF(BT$5&lt;&gt;$H221,0,IF(BT221&lt;0,IF($J221=7,-$E221*$I221/12*0,IF($J221=8,-$E221*$I221/12*1,IF($J221=9,-$E221*$I221/12*2,IF($J221&gt;=10,-$E221*$I221/12*3,0))))))</f>
        <v>0</v>
      </c>
      <c r="BX221" s="443">
        <f>IF($H221&lt;&gt;BY$5,0,IF(BY221&lt;0,IF(OR($J221=1,$J221=2,$J221=3,$J221=4,$J221=5,$J221=6,$J221=7,$J221=8,$J221=9,$J221=10),-$E221*$I221/12*3,IF($J221=11,-$E221*$I221/12*2,IF($J221=12,-$E221*$I221/12*1,0)))))+IF(BT$5&lt;&gt;$H221,0,IF(BT221&lt;0,IF($J221=10,-$E221*$I221/12*0,IF($J221=11,-$E221*$I221/12*1,IF($J221=12,-$E221*$I221/12*2,0)))))</f>
        <v>0</v>
      </c>
      <c r="BY221" s="440">
        <f>IF(AND(BT221&lt;&gt;0,BT$5=$H221),-$I221*$E221-BT221,IF(BY$5=$H221,-$I221*$E221*(12-$J221+1)/12,0))</f>
        <v>0</v>
      </c>
      <c r="BZ221" s="441">
        <f>IF($H221&lt;&gt;CD$5,0,IF(CD221&lt;0,IF($J221=1,-$E221*$I221/12*3,IF($J221=2,-$E221*$I221/12*2,IF($J221=3,-$E221*$I221/12*1,0)))))+IF(BY$5&lt;&gt;$H221,0,IF(BY221&lt;0,IF($J221=1,-$E221*$I221/12*0,IF($J221=2,-$E221*$I221/12*1,IF($J221=3,-$E221*$I221/12*2,IF($J221&gt;=4,-$E221*$I221/12*3,0))))))</f>
        <v>0</v>
      </c>
      <c r="CA221" s="442">
        <f>IF($H221&lt;&gt;CD$5,0,IF(CD221&lt;0,IF(OR($J221=1,$J221=2,$J221=3,$J221=4),-$E221*$I221/12*3,IF($J221=5,-$E221*$I221/12*2,IF($J221=6,-$E221*$I221/12*1,0)))))+IF(BY$5&lt;&gt;$H221,0,IF(BY221&lt;0,IF($J221=4,-$E221*$I221/12*0,IF($J221=5,-$E221*$I221/12*1,IF($J221=6,-$E221*$I221/12*2,IF($J221&gt;=7,-$E221*$I221/12*3,0))))))</f>
        <v>0</v>
      </c>
      <c r="CB221" s="442">
        <f>IF($H221&lt;&gt;CD$5,0,IF(CD221&lt;0,IF(OR($J221=1,$J221=2,$J221=3,$J221=4,$J221=5,$J221=6,$J221=7),-$E221*$I221/12*3,IF($J221=8,-$E221*$I221/12*2,IF($J221=9,-$E221*$I221/12*1,0)))))+IF(BY$5&lt;&gt;$H221,0,IF(BY221&lt;0,IF($J221=7,-$E221*$I221/12*0,IF($J221=8,-$E221*$I221/12*1,IF($J221=9,-$E221*$I221/12*2,IF($J221&gt;=10,-$E221*$I221/12*3,0))))))</f>
        <v>0</v>
      </c>
      <c r="CC221" s="443">
        <f>IF($H221&lt;&gt;CD$5,0,IF(CD221&lt;0,IF(OR($J221=1,$J221=2,$J221=3,$J221=4,$J221=5,$J221=6,$J221=7,$J221=8,$J221=9,$J221=10),-$E221*$I221/12*3,IF($J221=11,-$E221*$I221/12*2,IF($J221=12,-$E221*$I221/12*1,0)))))+IF(BY$5&lt;&gt;$H221,0,IF(BY221&lt;0,IF($J221=10,-$E221*$I221/12*0,IF($J221=11,-$E221*$I221/12*1,IF($J221=12,-$E221*$I221/12*2,0)))))</f>
        <v>0</v>
      </c>
      <c r="CD221" s="440">
        <f>IF(AND(BY221&lt;&gt;0,BY$5=$H221),-$I221*$E221-BY221,IF(CD$5=$H221,-$I221*$E221*(12-$J221+1)/12,0))</f>
        <v>0</v>
      </c>
      <c r="CE221" s="441">
        <f>IF($H221&lt;&gt;CI$5,0,IF(CI221&lt;0,IF($J221=1,-$E221*$I221/12*3,IF($J221=2,-$E221*$I221/12*2,IF($J221=3,-$E221*$I221/12*1,0)))))+IF(CD$5&lt;&gt;$H221,0,IF(CD221&lt;0,IF($J221=1,-$E221*$I221/12*0,IF($J221=2,-$E221*$I221/12*1,IF($J221=3,-$E221*$I221/12*2,IF($J221&gt;=4,-$E221*$I221/12*3,0))))))</f>
        <v>0</v>
      </c>
      <c r="CF221" s="442">
        <f>IF($H221&lt;&gt;CI$5,0,IF(CI221&lt;0,IF(OR($J221=1,$J221=2,$J221=3,$J221=4),-$E221*$I221/12*3,IF($J221=5,-$E221*$I221/12*2,IF($J221=6,-$E221*$I221/12*1,0)))))+IF(CD$5&lt;&gt;$H221,0,IF(CD221&lt;0,IF($J221=4,-$E221*$I221/12*0,IF($J221=5,-$E221*$I221/12*1,IF($J221=6,-$E221*$I221/12*2,IF($J221&gt;=7,-$E221*$I221/12*3,0))))))</f>
        <v>0</v>
      </c>
      <c r="CG221" s="442">
        <f>IF($H221&lt;&gt;CI$5,0,IF(CI221&lt;0,IF(OR($J221=1,$J221=2,$J221=3,$J221=4,$J221=5,$J221=6,$J221=7),-$E221*$I221/12*3,IF($J221=8,-$E221*$I221/12*2,IF($J221=9,-$E221*$I221/12*1,0)))))+IF(CD$5&lt;&gt;$H221,0,IF(CD221&lt;0,IF($J221=7,-$E221*$I221/12*0,IF($J221=8,-$E221*$I221/12*1,IF($J221=9,-$E221*$I221/12*2,IF($J221&gt;=10,-$E221*$I221/12*3,0))))))</f>
        <v>0</v>
      </c>
      <c r="CH221" s="443">
        <f>IF($H221&lt;&gt;CI$5,0,IF(CI221&lt;0,IF(OR($J221=1,$J221=2,$J221=3,$J221=4,$J221=5,$J221=6,$J221=7,$J221=8,$J221=9,$J221=10),-$E221*$I221/12*3,IF($J221=11,-$E221*$I221/12*2,IF($J221=12,-$E221*$I221/12*1,0)))))+IF(CD$5&lt;&gt;$H221,0,IF(CD221&lt;0,IF($J221=10,-$E221*$I221/12*0,IF($J221=11,-$E221*$I221/12*1,IF($J221=12,-$E221*$I221/12*2,0)))))</f>
        <v>0</v>
      </c>
      <c r="CI221" s="440">
        <f>IF(AND(CD221&lt;&gt;0,CD$5=$H221),-$I221*$E221-CD221,IF(CI$5=$H221,-$I221*$E221*(12-$J221+1)/12,0))</f>
        <v>0</v>
      </c>
      <c r="CJ221" s="441">
        <f>IF($H221&lt;&gt;CN$5,0,IF(CN221&lt;0,IF($J221=1,-$E221*$I221/12*3,IF($J221=2,-$E221*$I221/12*2,IF($J221=3,-$E221*$I221/12*1,0)))))+IF(CI$5&lt;&gt;$H221,0,IF(CI221&lt;0,IF($J221=1,-$E221*$I221/12*0,IF($J221=2,-$E221*$I221/12*1,IF($J221=3,-$E221*$I221/12*2,IF($J221&gt;=4,-$E221*$I221/12*3,0))))))</f>
        <v>0</v>
      </c>
      <c r="CK221" s="442">
        <f>IF($H221&lt;&gt;CN$5,0,IF(CN221&lt;0,IF(OR($J221=1,$J221=2,$J221=3,$J221=4),-$E221*$I221/12*3,IF($J221=5,-$E221*$I221/12*2,IF($J221=6,-$E221*$I221/12*1,0)))))+IF(CI$5&lt;&gt;$H221,0,IF(CI221&lt;0,IF($J221=4,-$E221*$I221/12*0,IF($J221=5,-$E221*$I221/12*1,IF($J221=6,-$E221*$I221/12*2,IF($J221&gt;=7,-$E221*$I221/12*3,0))))))</f>
        <v>0</v>
      </c>
      <c r="CL221" s="442">
        <f>IF($H221&lt;&gt;CN$5,0,IF(CN221&lt;0,IF(OR($J221=1,$J221=2,$J221=3,$J221=4,$J221=5,$J221=6,$J221=7),-$E221*$I221/12*3,IF($J221=8,-$E221*$I221/12*2,IF($J221=9,-$E221*$I221/12*1,0)))))+IF(CI$5&lt;&gt;$H221,0,IF(CI221&lt;0,IF($J221=7,-$E221*$I221/12*0,IF($J221=8,-$E221*$I221/12*1,IF($J221=9,-$E221*$I221/12*2,IF($J221&gt;=10,-$E221*$I221/12*3,0))))))</f>
        <v>0</v>
      </c>
      <c r="CM221" s="443">
        <f>IF($H221&lt;&gt;CN$5,0,IF(CN221&lt;0,IF(OR($J221=1,$J221=2,$J221=3,$J221=4,$J221=5,$J221=6,$J221=7,$J221=8,$J221=9,$J221=10),-$E221*$I221/12*3,IF($J221=11,-$E221*$I221/12*2,IF($J221=12,-$E221*$I221/12*1,0)))))+IF(CI$5&lt;&gt;$H221,0,IF(CI221&lt;0,IF($J221=10,-$E221*$I221/12*0,IF($J221=11,-$E221*$I221/12*1,IF($J221=12,-$E221*$I221/12*2,0)))))</f>
        <v>0</v>
      </c>
      <c r="CN221" s="440">
        <f>IF(AND(CI221&lt;&gt;0,CI$5=$H221),-$I221*$E221-CI221,IF(CN$5=$H221,-$I221*$E221*(12-$J221+1)/12,0))</f>
        <v>0</v>
      </c>
      <c r="CO221" s="441">
        <f>IF($H221&lt;&gt;CS$5,0,IF(CS221&lt;0,IF($J221=1,-$E221*$I221/12*3,IF($J221=2,-$E221*$I221/12*2,IF($J221=3,-$E221*$I221/12*1,0)))))+IF(CN$5&lt;&gt;$H221,0,IF(CN221&lt;0,IF($J221=1,-$E221*$I221/12*0,IF($J221=2,-$E221*$I221/12*1,IF($J221=3,-$E221*$I221/12*2,IF($J221&gt;=4,-$E221*$I221/12*3,0))))))</f>
        <v>0</v>
      </c>
      <c r="CP221" s="442">
        <f>IF($H221&lt;&gt;CS$5,0,IF(CS221&lt;0,IF(OR($J221=1,$J221=2,$J221=3,$J221=4),-$E221*$I221/12*3,IF($J221=5,-$E221*$I221/12*2,IF($J221=6,-$E221*$I221/12*1,0)))))+IF(CN$5&lt;&gt;$H221,0,IF(CN221&lt;0,IF($J221=4,-$E221*$I221/12*0,IF($J221=5,-$E221*$I221/12*1,IF($J221=6,-$E221*$I221/12*2,IF($J221&gt;=7,-$E221*$I221/12*3,0))))))</f>
        <v>0</v>
      </c>
      <c r="CQ221" s="442">
        <f>IF($H221&lt;&gt;CS$5,0,IF(CS221&lt;0,IF(OR($J221=1,$J221=2,$J221=3,$J221=4,$J221=5,$J221=6,$J221=7),-$E221*$I221/12*3,IF($J221=8,-$E221*$I221/12*2,IF($J221=9,-$E221*$I221/12*1,0)))))+IF(CN$5&lt;&gt;$H221,0,IF(CN221&lt;0,IF($J221=7,-$E221*$I221/12*0,IF($J221=8,-$E221*$I221/12*1,IF($J221=9,-$E221*$I221/12*2,IF($J221&gt;=10,-$E221*$I221/12*3,0))))))</f>
        <v>0</v>
      </c>
      <c r="CR221" s="443">
        <f>IF($H221&lt;&gt;CS$5,0,IF(CS221&lt;0,IF(OR($J221=1,$J221=2,$J221=3,$J221=4,$J221=5,$J221=6,$J221=7,$J221=8,$J221=9,$J221=10),-$E221*$I221/12*3,IF($J221=11,-$E221*$I221/12*2,IF($J221=12,-$E221*$I221/12*1,0)))))+IF(CN$5&lt;&gt;$H221,0,IF(CN221&lt;0,IF($J221=10,-$E221*$I221/12*0,IF($J221=11,-$E221*$I221/12*1,IF($J221=12,-$E221*$I221/12*2,0)))))</f>
        <v>0</v>
      </c>
      <c r="CS221" s="440">
        <f>IF(AND(CN221&lt;&gt;0,CN$5=$H221),-$I221*$E221-CN221,IF(CS$5=$H221,-$I221*$E221*(12-$J221+1)/12,0))</f>
        <v>0</v>
      </c>
      <c r="CT221" s="441">
        <f>IF($H221&lt;&gt;CX$5,0,IF(CX221&lt;0,IF($J221=1,-$E221*$I221/12*3,IF($J221=2,-$E221*$I221/12*2,IF($J221=3,-$E221*$I221/12*1,0)))))+IF(CS$5&lt;&gt;$H221,0,IF(CS221&lt;0,IF($J221=1,-$E221*$I221/12*0,IF($J221=2,-$E221*$I221/12*1,IF($J221=3,-$E221*$I221/12*2,IF($J221&gt;=4,-$E221*$I221/12*3,0))))))</f>
        <v>0</v>
      </c>
      <c r="CU221" s="442">
        <f>IF($H221&lt;&gt;CX$5,0,IF(CX221&lt;0,IF(OR($J221=1,$J221=2,$J221=3,$J221=4),-$E221*$I221/12*3,IF($J221=5,-$E221*$I221/12*2,IF($J221=6,-$E221*$I221/12*1,0)))))+IF(CS$5&lt;&gt;$H221,0,IF(CS221&lt;0,IF($J221=4,-$E221*$I221/12*0,IF($J221=5,-$E221*$I221/12*1,IF($J221=6,-$E221*$I221/12*2,IF($J221&gt;=7,-$E221*$I221/12*3,0))))))</f>
        <v>0</v>
      </c>
      <c r="CV221" s="442">
        <f>IF($H221&lt;&gt;CX$5,0,IF(CX221&lt;0,IF(OR($J221=1,$J221=2,$J221=3,$J221=4,$J221=5,$J221=6,$J221=7),-$E221*$I221/12*3,IF($J221=8,-$E221*$I221/12*2,IF($J221=9,-$E221*$I221/12*1,0)))))+IF(CS$5&lt;&gt;$H221,0,IF(CS221&lt;0,IF($J221=7,-$E221*$I221/12*0,IF($J221=8,-$E221*$I221/12*1,IF($J221=9,-$E221*$I221/12*2,IF($J221&gt;=10,-$E221*$I221/12*3,0))))))</f>
        <v>0</v>
      </c>
      <c r="CW221" s="443">
        <f>IF($H221&lt;&gt;CX$5,0,IF(CX221&lt;0,IF(OR($J221=1,$J221=2,$J221=3,$J221=4,$J221=5,$J221=6,$J221=7,$J221=8,$J221=9,$J221=10),-$E221*$I221/12*3,IF($J221=11,-$E221*$I221/12*2,IF($J221=12,-$E221*$I221/12*1,0)))))+IF(CS$5&lt;&gt;$H221,0,IF(CS221&lt;0,IF($J221=10,-$E221*$I221/12*0,IF($J221=11,-$E221*$I221/12*1,IF($J221=12,-$E221*$I221/12*2,0)))))</f>
        <v>0</v>
      </c>
      <c r="CX221" s="440">
        <f>IF(AND(CS221&lt;&gt;0,CS$5=$H221),-$I221*$E221-CS221,IF(CX$5=$H221,-$I221*$E221*(12-$J221+1)/12,0))</f>
        <v>0</v>
      </c>
      <c r="CY221" s="441">
        <f>IF($H221&lt;&gt;DC$5,0,IF(DC221&lt;0,IF($J221=1,-$E221*$I221/12*3,IF($J221=2,-$E221*$I221/12*2,IF($J221=3,-$E221*$I221/12*1,0)))))+IF(CX$5&lt;&gt;$H221,0,IF(CX221&lt;0,IF($J221=1,-$E221*$I221/12*0,IF($J221=2,-$E221*$I221/12*1,IF($J221=3,-$E221*$I221/12*2,IF($J221&gt;=4,-$E221*$I221/12*3,0))))))</f>
        <v>0</v>
      </c>
      <c r="CZ221" s="442">
        <f>IF($H221&lt;&gt;DC$5,0,IF(DC221&lt;0,IF(OR($J221=1,$J221=2,$J221=3,$J221=4),-$E221*$I221/12*3,IF($J221=5,-$E221*$I221/12*2,IF($J221=6,-$E221*$I221/12*1,0)))))+IF(CX$5&lt;&gt;$H221,0,IF(CX221&lt;0,IF($J221=4,-$E221*$I221/12*0,IF($J221=5,-$E221*$I221/12*1,IF($J221=6,-$E221*$I221/12*2,IF($J221&gt;=7,-$E221*$I221/12*3,0))))))</f>
        <v>0</v>
      </c>
      <c r="DA221" s="442">
        <f>IF($H221&lt;&gt;DC$5,0,IF(DC221&lt;0,IF(OR($J221=1,$J221=2,$J221=3,$J221=4,$J221=5,$J221=6,$J221=7),-$E221*$I221/12*3,IF($J221=8,-$E221*$I221/12*2,IF($J221=9,-$E221*$I221/12*1,0)))))+IF(CX$5&lt;&gt;$H221,0,IF(CX221&lt;0,IF($J221=7,-$E221*$I221/12*0,IF($J221=8,-$E221*$I221/12*1,IF($J221=9,-$E221*$I221/12*2,IF($J221&gt;=10,-$E221*$I221/12*3,0))))))</f>
        <v>0</v>
      </c>
      <c r="DB221" s="443">
        <f>IF($H221&lt;&gt;DC$5,0,IF(DC221&lt;0,IF(OR($J221=1,$J221=2,$J221=3,$J221=4,$J221=5,$J221=6,$J221=7,$J221=8,$J221=9,$J221=10),-$E221*$I221/12*3,IF($J221=11,-$E221*$I221/12*2,IF($J221=12,-$E221*$I221/12*1,0)))))+IF(CX$5&lt;&gt;$H221,0,IF(CX221&lt;0,IF($J221=10,-$E221*$I221/12*0,IF($J221=11,-$E221*$I221/12*1,IF($J221=12,-$E221*$I221/12*2,0)))))</f>
        <v>0</v>
      </c>
      <c r="DC221" s="440">
        <f>IF(AND(CX221&lt;&gt;0,CX$5=$H221),-$I221*$E221-CX221,IF(DC$5=$H221,-$I221*$E221*(12-$J221+1)/12,0))</f>
        <v>0</v>
      </c>
      <c r="DD221" s="441">
        <f>IF($H221&lt;&gt;DH$5,0,IF(DH221&lt;0,IF($J221=1,-$E221*$I221/12*3,IF($J221=2,-$E221*$I221/12*2,IF($J221=3,-$E221*$I221/12*1,0)))))+IF(DC$5&lt;&gt;$H221,0,IF(DC221&lt;0,IF($J221=1,-$E221*$I221/12*0,IF($J221=2,-$E221*$I221/12*1,IF($J221=3,-$E221*$I221/12*2,IF($J221&gt;=4,-$E221*$I221/12*3,0))))))</f>
        <v>0</v>
      </c>
      <c r="DE221" s="442">
        <f>IF($H221&lt;&gt;DH$5,0,IF(DH221&lt;0,IF(OR($J221=1,$J221=2,$J221=3,$J221=4),-$E221*$I221/12*3,IF($J221=5,-$E221*$I221/12*2,IF($J221=6,-$E221*$I221/12*1,0)))))+IF(DC$5&lt;&gt;$H221,0,IF(DC221&lt;0,IF($J221=4,-$E221*$I221/12*0,IF($J221=5,-$E221*$I221/12*1,IF($J221=6,-$E221*$I221/12*2,IF($J221&gt;=7,-$E221*$I221/12*3,0))))))</f>
        <v>0</v>
      </c>
      <c r="DF221" s="442">
        <f>IF($H221&lt;&gt;DH$5,0,IF(DH221&lt;0,IF(OR($J221=1,$J221=2,$J221=3,$J221=4,$J221=5,$J221=6,$J221=7),-$E221*$I221/12*3,IF($J221=8,-$E221*$I221/12*2,IF($J221=9,-$E221*$I221/12*1,0)))))+IF(DC$5&lt;&gt;$H221,0,IF(DC221&lt;0,IF($J221=7,-$E221*$I221/12*0,IF($J221=8,-$E221*$I221/12*1,IF($J221=9,-$E221*$I221/12*2,IF($J221&gt;=10,-$E221*$I221/12*3,0))))))</f>
        <v>0</v>
      </c>
      <c r="DG221" s="443">
        <f>IF($H221&lt;&gt;DH$5,0,IF(DH221&lt;0,IF(OR($J221=1,$J221=2,$J221=3,$J221=4,$J221=5,$J221=6,$J221=7,$J221=8,$J221=9,$J221=10),-$E221*$I221/12*3,IF($J221=11,-$E221*$I221/12*2,IF($J221=12,-$E221*$I221/12*1,0)))))+IF(DC$5&lt;&gt;$H221,0,IF(DC221&lt;0,IF($J221=10,-$E221*$I221/12*0,IF($J221=11,-$E221*$I221/12*1,IF($J221=12,-$E221*$I221/12*2,0)))))</f>
        <v>0</v>
      </c>
      <c r="DH221" s="440">
        <f>IF(AND(DC221&lt;&gt;0,DC$5=$H221),-$I221*$E221-DC221,IF(DH$5=$H221,-$I221*$E221*(12-$J221+1)/12,0))</f>
        <v>0</v>
      </c>
      <c r="DI221" s="441">
        <f>IF($H221&lt;&gt;DM$5,0,IF(DM221&lt;0,IF($J221=1,-$E221*$I221/12*3,IF($J221=2,-$E221*$I221/12*2,IF($J221=3,-$E221*$I221/12*1,0)))))+IF(DH$5&lt;&gt;$H221,0,IF(DH221&lt;0,IF($J221=1,-$E221*$I221/12*0,IF($J221=2,-$E221*$I221/12*1,IF($J221=3,-$E221*$I221/12*2,IF($J221&gt;=4,-$E221*$I221/12*3,0))))))</f>
        <v>0</v>
      </c>
      <c r="DJ221" s="442">
        <f>IF($H221&lt;&gt;DM$5,0,IF(DM221&lt;0,IF(OR($J221=1,$J221=2,$J221=3,$J221=4),-$E221*$I221/12*3,IF($J221=5,-$E221*$I221/12*2,IF($J221=6,-$E221*$I221/12*1,0)))))+IF(DH$5&lt;&gt;$H221,0,IF(DH221&lt;0,IF($J221=4,-$E221*$I221/12*0,IF($J221=5,-$E221*$I221/12*1,IF($J221=6,-$E221*$I221/12*2,IF($J221&gt;=7,-$E221*$I221/12*3,0))))))</f>
        <v>0</v>
      </c>
      <c r="DK221" s="442">
        <f>IF($H221&lt;&gt;DM$5,0,IF(DM221&lt;0,IF(OR($J221=1,$J221=2,$J221=3,$J221=4,$J221=5,$J221=6,$J221=7),-$E221*$I221/12*3,IF($J221=8,-$E221*$I221/12*2,IF($J221=9,-$E221*$I221/12*1,0)))))+IF(DH$5&lt;&gt;$H221,0,IF(DH221&lt;0,IF($J221=7,-$E221*$I221/12*0,IF($J221=8,-$E221*$I221/12*1,IF($J221=9,-$E221*$I221/12*2,IF($J221&gt;=10,-$E221*$I221/12*3,0))))))</f>
        <v>0</v>
      </c>
      <c r="DL221" s="443">
        <f>IF($H221&lt;&gt;DM$5,0,IF(DM221&lt;0,IF(OR($J221=1,$J221=2,$J221=3,$J221=4,$J221=5,$J221=6,$J221=7,$J221=8,$J221=9,$J221=10),-$E221*$I221/12*3,IF($J221=11,-$E221*$I221/12*2,IF($J221=12,-$E221*$I221/12*1,0)))))+IF(DH$5&lt;&gt;$H221,0,IF(DH221&lt;0,IF($J221=10,-$E221*$I221/12*0,IF($J221=11,-$E221*$I221/12*1,IF($J221=12,-$E221*$I221/12*2,0)))))</f>
        <v>0</v>
      </c>
      <c r="DM221" s="440">
        <f>IF(AND(DH221&lt;&gt;0,DH$5=$H221),-$I221*$E221-DH221,IF(DM$5=$H221,-$I221*$E221*(12-$J221+1)/12,0))</f>
        <v>0</v>
      </c>
      <c r="DN221" s="441">
        <f>IF($H221&lt;&gt;DR$5,0,IF(DR221&lt;0,IF($J221=1,-$E221*$I221/12*3,IF($J221=2,-$E221*$I221/12*2,IF($J221=3,-$E221*$I221/12*1,0)))))+IF(DM$5&lt;&gt;$H221,0,IF(DM221&lt;0,IF($J221=1,-$E221*$I221/12*0,IF($J221=2,-$E221*$I221/12*1,IF($J221=3,-$E221*$I221/12*2,IF($J221&gt;=4,-$E221*$I221/12*3,0))))))</f>
        <v>0</v>
      </c>
      <c r="DO221" s="442">
        <f>IF($H221&lt;&gt;DR$5,0,IF(DR221&lt;0,IF(OR($J221=1,$J221=2,$J221=3,$J221=4),-$E221*$I221/12*3,IF($J221=5,-$E221*$I221/12*2,IF($J221=6,-$E221*$I221/12*1,0)))))+IF(DM$5&lt;&gt;$H221,0,IF(DM221&lt;0,IF($J221=4,-$E221*$I221/12*0,IF($J221=5,-$E221*$I221/12*1,IF($J221=6,-$E221*$I221/12*2,IF($J221&gt;=7,-$E221*$I221/12*3,0))))))</f>
        <v>0</v>
      </c>
      <c r="DP221" s="442">
        <f>IF($H221&lt;&gt;DR$5,0,IF(DR221&lt;0,IF(OR($J221=1,$J221=2,$J221=3,$J221=4,$J221=5,$J221=6,$J221=7),-$E221*$I221/12*3,IF($J221=8,-$E221*$I221/12*2,IF($J221=9,-$E221*$I221/12*1,0)))))+IF(DM$5&lt;&gt;$H221,0,IF(DM221&lt;0,IF($J221=7,-$E221*$I221/12*0,IF($J221=8,-$E221*$I221/12*1,IF($J221=9,-$E221*$I221/12*2,IF($J221&gt;=10,-$E221*$I221/12*3,0))))))</f>
        <v>0</v>
      </c>
      <c r="DQ221" s="443">
        <f>IF($H221&lt;&gt;DR$5,0,IF(DR221&lt;0,IF(OR($J221=1,$J221=2,$J221=3,$J221=4,$J221=5,$J221=6,$J221=7,$J221=8,$J221=9,$J221=10),-$E221*$I221/12*3,IF($J221=11,-$E221*$I221/12*2,IF($J221=12,-$E221*$I221/12*1,0)))))+IF(DM$5&lt;&gt;$H221,0,IF(DM221&lt;0,IF($J221=10,-$E221*$I221/12*0,IF($J221=11,-$E221*$I221/12*1,IF($J221=12,-$E221*$I221/12*2,0)))))</f>
        <v>0</v>
      </c>
      <c r="DR221" s="440">
        <f>IF(AND(DM221&lt;&gt;0,DM$5=$H221),-$I221*$E221-DM221,IF(DR$5=$H221,-$I221*$E221*(12-$J221+1)/12,0))</f>
        <v>0</v>
      </c>
    </row>
    <row r="222" spans="3:122">
      <c r="C222" s="1123" t="s">
        <v>734</v>
      </c>
      <c r="D222" s="395"/>
      <c r="E222" s="1950">
        <f>IF(F222=0,G222,F222)</f>
        <v>21.51</v>
      </c>
      <c r="F222" s="1945">
        <v>21.51</v>
      </c>
      <c r="G222" s="1945">
        <v>21.51</v>
      </c>
      <c r="H222" s="1366">
        <v>2031</v>
      </c>
      <c r="I222" s="1367">
        <v>5.1269999999999996E-2</v>
      </c>
      <c r="J222" s="1357">
        <v>1</v>
      </c>
      <c r="K222" s="549"/>
      <c r="L222" s="441">
        <f t="shared" si="2830"/>
        <v>0</v>
      </c>
      <c r="M222" s="442">
        <f t="shared" si="2831"/>
        <v>0</v>
      </c>
      <c r="N222" s="442">
        <f t="shared" si="2832"/>
        <v>0</v>
      </c>
      <c r="O222" s="443">
        <f t="shared" si="2833"/>
        <v>0</v>
      </c>
      <c r="P222" s="440">
        <f t="shared" si="2834"/>
        <v>0</v>
      </c>
      <c r="Q222" s="441">
        <f t="shared" si="2835"/>
        <v>0</v>
      </c>
      <c r="R222" s="442">
        <f t="shared" si="2836"/>
        <v>0</v>
      </c>
      <c r="S222" s="442">
        <f t="shared" si="2837"/>
        <v>0</v>
      </c>
      <c r="T222" s="443">
        <f t="shared" si="2838"/>
        <v>0</v>
      </c>
      <c r="U222" s="440">
        <f t="shared" si="2839"/>
        <v>0</v>
      </c>
      <c r="V222" s="441">
        <f t="shared" si="2840"/>
        <v>0</v>
      </c>
      <c r="W222" s="442">
        <f t="shared" si="2841"/>
        <v>0</v>
      </c>
      <c r="X222" s="442">
        <f t="shared" si="2842"/>
        <v>0</v>
      </c>
      <c r="Y222" s="443">
        <f t="shared" si="2843"/>
        <v>0</v>
      </c>
      <c r="Z222" s="440">
        <f t="shared" si="2844"/>
        <v>0</v>
      </c>
      <c r="AA222" s="441">
        <f t="shared" si="2845"/>
        <v>0</v>
      </c>
      <c r="AB222" s="442">
        <f t="shared" si="2846"/>
        <v>0</v>
      </c>
      <c r="AC222" s="442">
        <f t="shared" si="2847"/>
        <v>0</v>
      </c>
      <c r="AD222" s="443">
        <f t="shared" si="2848"/>
        <v>0</v>
      </c>
      <c r="AE222" s="440">
        <f t="shared" si="2849"/>
        <v>0</v>
      </c>
      <c r="AF222" s="441">
        <f t="shared" si="2850"/>
        <v>0</v>
      </c>
      <c r="AG222" s="442">
        <f t="shared" si="2851"/>
        <v>0</v>
      </c>
      <c r="AH222" s="442">
        <f t="shared" si="2852"/>
        <v>0</v>
      </c>
      <c r="AI222" s="443">
        <f t="shared" si="2853"/>
        <v>0</v>
      </c>
      <c r="AJ222" s="440">
        <f t="shared" si="2854"/>
        <v>0</v>
      </c>
      <c r="AK222" s="441">
        <f t="shared" si="2855"/>
        <v>0</v>
      </c>
      <c r="AL222" s="442">
        <f t="shared" si="2856"/>
        <v>0</v>
      </c>
      <c r="AM222" s="442">
        <f t="shared" si="2857"/>
        <v>0</v>
      </c>
      <c r="AN222" s="443">
        <f t="shared" si="2858"/>
        <v>0</v>
      </c>
      <c r="AO222" s="440">
        <f t="shared" si="2859"/>
        <v>0</v>
      </c>
      <c r="AP222" s="441">
        <f t="shared" si="2860"/>
        <v>0</v>
      </c>
      <c r="AQ222" s="442">
        <f t="shared" si="2861"/>
        <v>0</v>
      </c>
      <c r="AR222" s="442">
        <f t="shared" si="2862"/>
        <v>0</v>
      </c>
      <c r="AS222" s="443">
        <f t="shared" si="2863"/>
        <v>0</v>
      </c>
      <c r="AT222" s="440">
        <f t="shared" si="2864"/>
        <v>0</v>
      </c>
      <c r="AU222" s="441">
        <f t="shared" si="2865"/>
        <v>0</v>
      </c>
      <c r="AV222" s="442">
        <f t="shared" si="2866"/>
        <v>0</v>
      </c>
      <c r="AW222" s="442">
        <f t="shared" si="2867"/>
        <v>0</v>
      </c>
      <c r="AX222" s="443">
        <f t="shared" si="2868"/>
        <v>0</v>
      </c>
      <c r="AY222" s="440">
        <f t="shared" si="2869"/>
        <v>0</v>
      </c>
      <c r="AZ222" s="441">
        <f t="shared" si="2870"/>
        <v>0</v>
      </c>
      <c r="BA222" s="442">
        <f t="shared" si="2871"/>
        <v>0</v>
      </c>
      <c r="BB222" s="442">
        <f t="shared" si="2872"/>
        <v>0</v>
      </c>
      <c r="BC222" s="443">
        <f t="shared" si="2873"/>
        <v>0</v>
      </c>
      <c r="BD222" s="440">
        <f t="shared" si="2874"/>
        <v>0</v>
      </c>
      <c r="BE222" s="441">
        <f t="shared" si="2875"/>
        <v>0</v>
      </c>
      <c r="BF222" s="442">
        <f t="shared" si="2876"/>
        <v>0</v>
      </c>
      <c r="BG222" s="442">
        <f t="shared" si="2877"/>
        <v>0</v>
      </c>
      <c r="BH222" s="443">
        <f t="shared" si="2878"/>
        <v>0</v>
      </c>
      <c r="BI222" s="440">
        <f t="shared" si="2879"/>
        <v>0</v>
      </c>
      <c r="BJ222" s="441">
        <f t="shared" si="2880"/>
        <v>0</v>
      </c>
      <c r="BK222" s="442">
        <f t="shared" si="2881"/>
        <v>0</v>
      </c>
      <c r="BL222" s="442">
        <f t="shared" si="2882"/>
        <v>0</v>
      </c>
      <c r="BM222" s="443">
        <f t="shared" si="2883"/>
        <v>0</v>
      </c>
      <c r="BN222" s="440">
        <f t="shared" si="2884"/>
        <v>0</v>
      </c>
      <c r="BO222" s="470"/>
      <c r="BP222" s="441">
        <f>IF($H222&lt;&gt;BT$5,0,IF(BT222&lt;0,IF($J222=1,-$E222*$I222/12*3,IF($J222=2,-$E222*$I222/12*2,IF($J222=3,-$E222*$I222/12*1,0)))))+IF(BO$5&lt;&gt;$H222,0,IF(BO222&lt;0,IF($J222=1,-$E222*$I222/12*0,IF($J222=2,-$E222*$I222/12*1,IF($J222=3,-$E222*$I222/12*2,IF($J222&gt;=4,-$E222*$I222/12*3,0))))))</f>
        <v>0</v>
      </c>
      <c r="BQ222" s="442">
        <f>IF($H222&lt;&gt;BT$5,0,IF(BT222&lt;0,IF(OR($J222=1,$J222=2,$J222=3,$J222=4),-$E222*$I222/12*3,IF($J222=5,-$E222*$I222/12*2,IF($J222=6,-$E222*$I222/12*1,0)))))+IF(BO$5&lt;&gt;$H222,0,IF(BO222&lt;0,IF($J222=4,-$E222*$I222/12*0,IF($J222=5,-$E222*$I222/12*1,IF($J222=6,-$E222*$I222/12*2,IF($J222&gt;=7,-$E222*$I222/12*3,0))))))</f>
        <v>0</v>
      </c>
      <c r="BR222" s="442">
        <f>IF($H222&lt;&gt;BT$5,0,IF(BT222&lt;0,IF(OR($J222=1,$J222=2,$J222=3,$J222=4,$J222=5,$J222=6,$J222=7),-$E222*$I222/12*3,IF($J222=8,-$E222*$I222/12*2,IF($J222=9,-$E222*$I222/12*1,0)))))+IF(BO$5&lt;&gt;$H222,0,IF(BO222&lt;0,IF($J222=7,-$E222*$I222/12*0,IF($J222=8,-$E222*$I222/12*1,IF($J222=9,-$E222*$I222/12*2,IF($J222&gt;=10,-$E222*$I222/12*3,0))))))</f>
        <v>0</v>
      </c>
      <c r="BS222" s="443">
        <f>IF($H222&lt;&gt;BT$5,0,IF(BT222&lt;0,IF(OR($J222=1,$J222=2,$J222=3,$J222=4,$J222=5,$J222=6,$J222=7,$J222=8,$J222=9,$J222=10),-$E222*$I222/12*3,IF($J222=11,-$E222*$I222/12*2,IF($J222=12,-$E222*$I222/12*1,0)))))+IF(BO$5&lt;&gt;$H222,0,IF(BO222&lt;0,IF($J222=10,-$E222*$I222/12*0,IF($J222=11,-$E222*$I222/12*1,IF($J222=12,-$E222*$I222/12*2,0)))))</f>
        <v>0</v>
      </c>
      <c r="BT222" s="440">
        <f>IF(AND(BO222&lt;&gt;0,BO$5=$H222),-$I222*$E222-BO222,IF(BT$5=$H222,-$I222*$E222*(12-$J222+1)/12,0))</f>
        <v>0</v>
      </c>
      <c r="BU222" s="441">
        <f>IF($H222&lt;&gt;BY$5,0,IF(BY222&lt;0,IF($J222=1,-$E222*$I222/12*3,IF($J222=2,-$E222*$I222/12*2,IF($J222=3,-$E222*$I222/12*1,0)))))+IF(BT$5&lt;&gt;$H222,0,IF(BT222&lt;0,IF($J222=1,-$E222*$I222/12*0,IF($J222=2,-$E222*$I222/12*1,IF($J222=3,-$E222*$I222/12*2,IF($J222&gt;=4,-$E222*$I222/12*3,0))))))</f>
        <v>0</v>
      </c>
      <c r="BV222" s="442">
        <f>IF($H222&lt;&gt;BY$5,0,IF(BY222&lt;0,IF(OR($J222=1,$J222=2,$J222=3,$J222=4),-$E222*$I222/12*3,IF($J222=5,-$E222*$I222/12*2,IF($J222=6,-$E222*$I222/12*1,0)))))+IF(BT$5&lt;&gt;$H222,0,IF(BT222&lt;0,IF($J222=4,-$E222*$I222/12*0,IF($J222=5,-$E222*$I222/12*1,IF($J222=6,-$E222*$I222/12*2,IF($J222&gt;=7,-$E222*$I222/12*3,0))))))</f>
        <v>0</v>
      </c>
      <c r="BW222" s="442">
        <f>IF($H222&lt;&gt;BY$5,0,IF(BY222&lt;0,IF(OR($J222=1,$J222=2,$J222=3,$J222=4,$J222=5,$J222=6,$J222=7),-$E222*$I222/12*3,IF($J222=8,-$E222*$I222/12*2,IF($J222=9,-$E222*$I222/12*1,0)))))+IF(BT$5&lt;&gt;$H222,0,IF(BT222&lt;0,IF($J222=7,-$E222*$I222/12*0,IF($J222=8,-$E222*$I222/12*1,IF($J222=9,-$E222*$I222/12*2,IF($J222&gt;=10,-$E222*$I222/12*3,0))))))</f>
        <v>0</v>
      </c>
      <c r="BX222" s="443">
        <f>IF($H222&lt;&gt;BY$5,0,IF(BY222&lt;0,IF(OR($J222=1,$J222=2,$J222=3,$J222=4,$J222=5,$J222=6,$J222=7,$J222=8,$J222=9,$J222=10),-$E222*$I222/12*3,IF($J222=11,-$E222*$I222/12*2,IF($J222=12,-$E222*$I222/12*1,0)))))+IF(BT$5&lt;&gt;$H222,0,IF(BT222&lt;0,IF($J222=10,-$E222*$I222/12*0,IF($J222=11,-$E222*$I222/12*1,IF($J222=12,-$E222*$I222/12*2,0)))))</f>
        <v>0</v>
      </c>
      <c r="BY222" s="440">
        <f>IF(AND(BT222&lt;&gt;0,BT$5=$H222),-$I222*$E222-BT222,IF(BY$5=$H222,-$I222*$E222*(12-$J222+1)/12,0))</f>
        <v>0</v>
      </c>
      <c r="BZ222" s="441">
        <f>IF($H222&lt;&gt;CD$5,0,IF(CD222&lt;0,IF($J222=1,-$E222*$I222/12*3,IF($J222=2,-$E222*$I222/12*2,IF($J222=3,-$E222*$I222/12*1,0)))))+IF(BY$5&lt;&gt;$H222,0,IF(BY222&lt;0,IF($J222=1,-$E222*$I222/12*0,IF($J222=2,-$E222*$I222/12*1,IF($J222=3,-$E222*$I222/12*2,IF($J222&gt;=4,-$E222*$I222/12*3,0))))))</f>
        <v>0</v>
      </c>
      <c r="CA222" s="442">
        <f>IF($H222&lt;&gt;CD$5,0,IF(CD222&lt;0,IF(OR($J222=1,$J222=2,$J222=3,$J222=4),-$E222*$I222/12*3,IF($J222=5,-$E222*$I222/12*2,IF($J222=6,-$E222*$I222/12*1,0)))))+IF(BY$5&lt;&gt;$H222,0,IF(BY222&lt;0,IF($J222=4,-$E222*$I222/12*0,IF($J222=5,-$E222*$I222/12*1,IF($J222=6,-$E222*$I222/12*2,IF($J222&gt;=7,-$E222*$I222/12*3,0))))))</f>
        <v>0</v>
      </c>
      <c r="CB222" s="442">
        <f>IF($H222&lt;&gt;CD$5,0,IF(CD222&lt;0,IF(OR($J222=1,$J222=2,$J222=3,$J222=4,$J222=5,$J222=6,$J222=7),-$E222*$I222/12*3,IF($J222=8,-$E222*$I222/12*2,IF($J222=9,-$E222*$I222/12*1,0)))))+IF(BY$5&lt;&gt;$H222,0,IF(BY222&lt;0,IF($J222=7,-$E222*$I222/12*0,IF($J222=8,-$E222*$I222/12*1,IF($J222=9,-$E222*$I222/12*2,IF($J222&gt;=10,-$E222*$I222/12*3,0))))))</f>
        <v>0</v>
      </c>
      <c r="CC222" s="443">
        <f>IF($H222&lt;&gt;CD$5,0,IF(CD222&lt;0,IF(OR($J222=1,$J222=2,$J222=3,$J222=4,$J222=5,$J222=6,$J222=7,$J222=8,$J222=9,$J222=10),-$E222*$I222/12*3,IF($J222=11,-$E222*$I222/12*2,IF($J222=12,-$E222*$I222/12*1,0)))))+IF(BY$5&lt;&gt;$H222,0,IF(BY222&lt;0,IF($J222=10,-$E222*$I222/12*0,IF($J222=11,-$E222*$I222/12*1,IF($J222=12,-$E222*$I222/12*2,0)))))</f>
        <v>0</v>
      </c>
      <c r="CD222" s="440">
        <f>IF(AND(BY222&lt;&gt;0,BY$5=$H222),-$I222*$E222-BY222,IF(CD$5=$H222,-$I222*$E222*(12-$J222+1)/12,0))</f>
        <v>0</v>
      </c>
      <c r="CE222" s="441">
        <f>IF($H222&lt;&gt;CI$5,0,IF(CI222&lt;0,IF($J222=1,-$E222*$I222/12*3,IF($J222=2,-$E222*$I222/12*2,IF($J222=3,-$E222*$I222/12*1,0)))))+IF(CD$5&lt;&gt;$H222,0,IF(CD222&lt;0,IF($J222=1,-$E222*$I222/12*0,IF($J222=2,-$E222*$I222/12*1,IF($J222=3,-$E222*$I222/12*2,IF($J222&gt;=4,-$E222*$I222/12*3,0))))))</f>
        <v>0</v>
      </c>
      <c r="CF222" s="442">
        <f>IF($H222&lt;&gt;CI$5,0,IF(CI222&lt;0,IF(OR($J222=1,$J222=2,$J222=3,$J222=4),-$E222*$I222/12*3,IF($J222=5,-$E222*$I222/12*2,IF($J222=6,-$E222*$I222/12*1,0)))))+IF(CD$5&lt;&gt;$H222,0,IF(CD222&lt;0,IF($J222=4,-$E222*$I222/12*0,IF($J222=5,-$E222*$I222/12*1,IF($J222=6,-$E222*$I222/12*2,IF($J222&gt;=7,-$E222*$I222/12*3,0))))))</f>
        <v>0</v>
      </c>
      <c r="CG222" s="442">
        <f>IF($H222&lt;&gt;CI$5,0,IF(CI222&lt;0,IF(OR($J222=1,$J222=2,$J222=3,$J222=4,$J222=5,$J222=6,$J222=7),-$E222*$I222/12*3,IF($J222=8,-$E222*$I222/12*2,IF($J222=9,-$E222*$I222/12*1,0)))))+IF(CD$5&lt;&gt;$H222,0,IF(CD222&lt;0,IF($J222=7,-$E222*$I222/12*0,IF($J222=8,-$E222*$I222/12*1,IF($J222=9,-$E222*$I222/12*2,IF($J222&gt;=10,-$E222*$I222/12*3,0))))))</f>
        <v>0</v>
      </c>
      <c r="CH222" s="443">
        <f>IF($H222&lt;&gt;CI$5,0,IF(CI222&lt;0,IF(OR($J222=1,$J222=2,$J222=3,$J222=4,$J222=5,$J222=6,$J222=7,$J222=8,$J222=9,$J222=10),-$E222*$I222/12*3,IF($J222=11,-$E222*$I222/12*2,IF($J222=12,-$E222*$I222/12*1,0)))))+IF(CD$5&lt;&gt;$H222,0,IF(CD222&lt;0,IF($J222=10,-$E222*$I222/12*0,IF($J222=11,-$E222*$I222/12*1,IF($J222=12,-$E222*$I222/12*2,0)))))</f>
        <v>0</v>
      </c>
      <c r="CI222" s="440">
        <f>IF(AND(CD222&lt;&gt;0,CD$5=$H222),-$I222*$E222-CD222,IF(CI$5=$H222,-$I222*$E222*(12-$J222+1)/12,0))</f>
        <v>0</v>
      </c>
      <c r="CJ222" s="441">
        <f>IF($H222&lt;&gt;CN$5,0,IF(CN222&lt;0,IF($J222=1,-$E222*$I222/12*3,IF($J222=2,-$E222*$I222/12*2,IF($J222=3,-$E222*$I222/12*1,0)))))+IF(CI$5&lt;&gt;$H222,0,IF(CI222&lt;0,IF($J222=1,-$E222*$I222/12*0,IF($J222=2,-$E222*$I222/12*1,IF($J222=3,-$E222*$I222/12*2,IF($J222&gt;=4,-$E222*$I222/12*3,0))))))</f>
        <v>0</v>
      </c>
      <c r="CK222" s="442">
        <f>IF($H222&lt;&gt;CN$5,0,IF(CN222&lt;0,IF(OR($J222=1,$J222=2,$J222=3,$J222=4),-$E222*$I222/12*3,IF($J222=5,-$E222*$I222/12*2,IF($J222=6,-$E222*$I222/12*1,0)))))+IF(CI$5&lt;&gt;$H222,0,IF(CI222&lt;0,IF($J222=4,-$E222*$I222/12*0,IF($J222=5,-$E222*$I222/12*1,IF($J222=6,-$E222*$I222/12*2,IF($J222&gt;=7,-$E222*$I222/12*3,0))))))</f>
        <v>0</v>
      </c>
      <c r="CL222" s="442">
        <f>IF($H222&lt;&gt;CN$5,0,IF(CN222&lt;0,IF(OR($J222=1,$J222=2,$J222=3,$J222=4,$J222=5,$J222=6,$J222=7),-$E222*$I222/12*3,IF($J222=8,-$E222*$I222/12*2,IF($J222=9,-$E222*$I222/12*1,0)))))+IF(CI$5&lt;&gt;$H222,0,IF(CI222&lt;0,IF($J222=7,-$E222*$I222/12*0,IF($J222=8,-$E222*$I222/12*1,IF($J222=9,-$E222*$I222/12*2,IF($J222&gt;=10,-$E222*$I222/12*3,0))))))</f>
        <v>0</v>
      </c>
      <c r="CM222" s="443">
        <f>IF($H222&lt;&gt;CN$5,0,IF(CN222&lt;0,IF(OR($J222=1,$J222=2,$J222=3,$J222=4,$J222=5,$J222=6,$J222=7,$J222=8,$J222=9,$J222=10),-$E222*$I222/12*3,IF($J222=11,-$E222*$I222/12*2,IF($J222=12,-$E222*$I222/12*1,0)))))+IF(CI$5&lt;&gt;$H222,0,IF(CI222&lt;0,IF($J222=10,-$E222*$I222/12*0,IF($J222=11,-$E222*$I222/12*1,IF($J222=12,-$E222*$I222/12*2,0)))))</f>
        <v>0</v>
      </c>
      <c r="CN222" s="440">
        <f>IF(AND(CI222&lt;&gt;0,CI$5=$H222),-$I222*$E222-CI222,IF(CN$5=$H222,-$I222*$E222*(12-$J222+1)/12,0))</f>
        <v>0</v>
      </c>
      <c r="CO222" s="441">
        <f>IF($H222&lt;&gt;CS$5,0,IF(CS222&lt;0,IF($J222=1,-$E222*$I222/12*3,IF($J222=2,-$E222*$I222/12*2,IF($J222=3,-$E222*$I222/12*1,0)))))+IF(CN$5&lt;&gt;$H222,0,IF(CN222&lt;0,IF($J222=1,-$E222*$I222/12*0,IF($J222=2,-$E222*$I222/12*1,IF($J222=3,-$E222*$I222/12*2,IF($J222&gt;=4,-$E222*$I222/12*3,0))))))</f>
        <v>0</v>
      </c>
      <c r="CP222" s="442">
        <f>IF($H222&lt;&gt;CS$5,0,IF(CS222&lt;0,IF(OR($J222=1,$J222=2,$J222=3,$J222=4),-$E222*$I222/12*3,IF($J222=5,-$E222*$I222/12*2,IF($J222=6,-$E222*$I222/12*1,0)))))+IF(CN$5&lt;&gt;$H222,0,IF(CN222&lt;0,IF($J222=4,-$E222*$I222/12*0,IF($J222=5,-$E222*$I222/12*1,IF($J222=6,-$E222*$I222/12*2,IF($J222&gt;=7,-$E222*$I222/12*3,0))))))</f>
        <v>0</v>
      </c>
      <c r="CQ222" s="442">
        <f>IF($H222&lt;&gt;CS$5,0,IF(CS222&lt;0,IF(OR($J222=1,$J222=2,$J222=3,$J222=4,$J222=5,$J222=6,$J222=7),-$E222*$I222/12*3,IF($J222=8,-$E222*$I222/12*2,IF($J222=9,-$E222*$I222/12*1,0)))))+IF(CN$5&lt;&gt;$H222,0,IF(CN222&lt;0,IF($J222=7,-$E222*$I222/12*0,IF($J222=8,-$E222*$I222/12*1,IF($J222=9,-$E222*$I222/12*2,IF($J222&gt;=10,-$E222*$I222/12*3,0))))))</f>
        <v>0</v>
      </c>
      <c r="CR222" s="443">
        <f>IF($H222&lt;&gt;CS$5,0,IF(CS222&lt;0,IF(OR($J222=1,$J222=2,$J222=3,$J222=4,$J222=5,$J222=6,$J222=7,$J222=8,$J222=9,$J222=10),-$E222*$I222/12*3,IF($J222=11,-$E222*$I222/12*2,IF($J222=12,-$E222*$I222/12*1,0)))))+IF(CN$5&lt;&gt;$H222,0,IF(CN222&lt;0,IF($J222=10,-$E222*$I222/12*0,IF($J222=11,-$E222*$I222/12*1,IF($J222=12,-$E222*$I222/12*2,0)))))</f>
        <v>0</v>
      </c>
      <c r="CS222" s="440">
        <f>IF(AND(CN222&lt;&gt;0,CN$5=$H222),-$I222*$E222-CN222,IF(CS$5=$H222,-$I222*$E222*(12-$J222+1)/12,0))</f>
        <v>0</v>
      </c>
      <c r="CT222" s="441">
        <f>IF($H222&lt;&gt;CX$5,0,IF(CX222&lt;0,IF($J222=1,-$E222*$I222/12*3,IF($J222=2,-$E222*$I222/12*2,IF($J222=3,-$E222*$I222/12*1,0)))))+IF(CS$5&lt;&gt;$H222,0,IF(CS222&lt;0,IF($J222=1,-$E222*$I222/12*0,IF($J222=2,-$E222*$I222/12*1,IF($J222=3,-$E222*$I222/12*2,IF($J222&gt;=4,-$E222*$I222/12*3,0))))))</f>
        <v>0</v>
      </c>
      <c r="CU222" s="442">
        <f>IF($H222&lt;&gt;CX$5,0,IF(CX222&lt;0,IF(OR($J222=1,$J222=2,$J222=3,$J222=4),-$E222*$I222/12*3,IF($J222=5,-$E222*$I222/12*2,IF($J222=6,-$E222*$I222/12*1,0)))))+IF(CS$5&lt;&gt;$H222,0,IF(CS222&lt;0,IF($J222=4,-$E222*$I222/12*0,IF($J222=5,-$E222*$I222/12*1,IF($J222=6,-$E222*$I222/12*2,IF($J222&gt;=7,-$E222*$I222/12*3,0))))))</f>
        <v>0</v>
      </c>
      <c r="CV222" s="442">
        <f>IF($H222&lt;&gt;CX$5,0,IF(CX222&lt;0,IF(OR($J222=1,$J222=2,$J222=3,$J222=4,$J222=5,$J222=6,$J222=7),-$E222*$I222/12*3,IF($J222=8,-$E222*$I222/12*2,IF($J222=9,-$E222*$I222/12*1,0)))))+IF(CS$5&lt;&gt;$H222,0,IF(CS222&lt;0,IF($J222=7,-$E222*$I222/12*0,IF($J222=8,-$E222*$I222/12*1,IF($J222=9,-$E222*$I222/12*2,IF($J222&gt;=10,-$E222*$I222/12*3,0))))))</f>
        <v>0</v>
      </c>
      <c r="CW222" s="443">
        <f>IF($H222&lt;&gt;CX$5,0,IF(CX222&lt;0,IF(OR($J222=1,$J222=2,$J222=3,$J222=4,$J222=5,$J222=6,$J222=7,$J222=8,$J222=9,$J222=10),-$E222*$I222/12*3,IF($J222=11,-$E222*$I222/12*2,IF($J222=12,-$E222*$I222/12*1,0)))))+IF(CS$5&lt;&gt;$H222,0,IF(CS222&lt;0,IF($J222=10,-$E222*$I222/12*0,IF($J222=11,-$E222*$I222/12*1,IF($J222=12,-$E222*$I222/12*2,0)))))</f>
        <v>0</v>
      </c>
      <c r="CX222" s="440">
        <f>IF(AND(CS222&lt;&gt;0,CS$5=$H222),-$I222*$E222-CS222,IF(CX$5=$H222,-$I222*$E222*(12-$J222+1)/12,0))</f>
        <v>0</v>
      </c>
      <c r="CY222" s="441">
        <f>IF($H222&lt;&gt;DC$5,0,IF(DC222&lt;0,IF($J222=1,-$E222*$I222/12*3,IF($J222=2,-$E222*$I222/12*2,IF($J222=3,-$E222*$I222/12*1,0)))))+IF(CX$5&lt;&gt;$H222,0,IF(CX222&lt;0,IF($J222=1,-$E222*$I222/12*0,IF($J222=2,-$E222*$I222/12*1,IF($J222=3,-$E222*$I222/12*2,IF($J222&gt;=4,-$E222*$I222/12*3,0))))))</f>
        <v>0</v>
      </c>
      <c r="CZ222" s="442">
        <f>IF($H222&lt;&gt;DC$5,0,IF(DC222&lt;0,IF(OR($J222=1,$J222=2,$J222=3,$J222=4),-$E222*$I222/12*3,IF($J222=5,-$E222*$I222/12*2,IF($J222=6,-$E222*$I222/12*1,0)))))+IF(CX$5&lt;&gt;$H222,0,IF(CX222&lt;0,IF($J222=4,-$E222*$I222/12*0,IF($J222=5,-$E222*$I222/12*1,IF($J222=6,-$E222*$I222/12*2,IF($J222&gt;=7,-$E222*$I222/12*3,0))))))</f>
        <v>0</v>
      </c>
      <c r="DA222" s="442">
        <f>IF($H222&lt;&gt;DC$5,0,IF(DC222&lt;0,IF(OR($J222=1,$J222=2,$J222=3,$J222=4,$J222=5,$J222=6,$J222=7),-$E222*$I222/12*3,IF($J222=8,-$E222*$I222/12*2,IF($J222=9,-$E222*$I222/12*1,0)))))+IF(CX$5&lt;&gt;$H222,0,IF(CX222&lt;0,IF($J222=7,-$E222*$I222/12*0,IF($J222=8,-$E222*$I222/12*1,IF($J222=9,-$E222*$I222/12*2,IF($J222&gt;=10,-$E222*$I222/12*3,0))))))</f>
        <v>0</v>
      </c>
      <c r="DB222" s="443">
        <f>IF($H222&lt;&gt;DC$5,0,IF(DC222&lt;0,IF(OR($J222=1,$J222=2,$J222=3,$J222=4,$J222=5,$J222=6,$J222=7,$J222=8,$J222=9,$J222=10),-$E222*$I222/12*3,IF($J222=11,-$E222*$I222/12*2,IF($J222=12,-$E222*$I222/12*1,0)))))+IF(CX$5&lt;&gt;$H222,0,IF(CX222&lt;0,IF($J222=10,-$E222*$I222/12*0,IF($J222=11,-$E222*$I222/12*1,IF($J222=12,-$E222*$I222/12*2,0)))))</f>
        <v>0</v>
      </c>
      <c r="DC222" s="440">
        <f>IF(AND(CX222&lt;&gt;0,CX$5=$H222),-$I222*$E222-CX222,IF(DC$5=$H222,-$I222*$E222*(12-$J222+1)/12,0))</f>
        <v>0</v>
      </c>
      <c r="DD222" s="441">
        <f>IF($H222&lt;&gt;DH$5,0,IF(DH222&lt;0,IF($J222=1,-$E222*$I222/12*3,IF($J222=2,-$E222*$I222/12*2,IF($J222=3,-$E222*$I222/12*1,0)))))+IF(DC$5&lt;&gt;$H222,0,IF(DC222&lt;0,IF($J222=1,-$E222*$I222/12*0,IF($J222=2,-$E222*$I222/12*1,IF($J222=3,-$E222*$I222/12*2,IF($J222&gt;=4,-$E222*$I222/12*3,0))))))</f>
        <v>0</v>
      </c>
      <c r="DE222" s="442">
        <f>IF($H222&lt;&gt;DH$5,0,IF(DH222&lt;0,IF(OR($J222=1,$J222=2,$J222=3,$J222=4),-$E222*$I222/12*3,IF($J222=5,-$E222*$I222/12*2,IF($J222=6,-$E222*$I222/12*1,0)))))+IF(DC$5&lt;&gt;$H222,0,IF(DC222&lt;0,IF($J222=4,-$E222*$I222/12*0,IF($J222=5,-$E222*$I222/12*1,IF($J222=6,-$E222*$I222/12*2,IF($J222&gt;=7,-$E222*$I222/12*3,0))))))</f>
        <v>0</v>
      </c>
      <c r="DF222" s="442">
        <f>IF($H222&lt;&gt;DH$5,0,IF(DH222&lt;0,IF(OR($J222=1,$J222=2,$J222=3,$J222=4,$J222=5,$J222=6,$J222=7),-$E222*$I222/12*3,IF($J222=8,-$E222*$I222/12*2,IF($J222=9,-$E222*$I222/12*1,0)))))+IF(DC$5&lt;&gt;$H222,0,IF(DC222&lt;0,IF($J222=7,-$E222*$I222/12*0,IF($J222=8,-$E222*$I222/12*1,IF($J222=9,-$E222*$I222/12*2,IF($J222&gt;=10,-$E222*$I222/12*3,0))))))</f>
        <v>0</v>
      </c>
      <c r="DG222" s="443">
        <f>IF($H222&lt;&gt;DH$5,0,IF(DH222&lt;0,IF(OR($J222=1,$J222=2,$J222=3,$J222=4,$J222=5,$J222=6,$J222=7,$J222=8,$J222=9,$J222=10),-$E222*$I222/12*3,IF($J222=11,-$E222*$I222/12*2,IF($J222=12,-$E222*$I222/12*1,0)))))+IF(DC$5&lt;&gt;$H222,0,IF(DC222&lt;0,IF($J222=10,-$E222*$I222/12*0,IF($J222=11,-$E222*$I222/12*1,IF($J222=12,-$E222*$I222/12*2,0)))))</f>
        <v>0</v>
      </c>
      <c r="DH222" s="440">
        <f>IF(AND(DC222&lt;&gt;0,DC$5=$H222),-$I222*$E222-DC222,IF(DH$5=$H222,-$I222*$E222*(12-$J222+1)/12,0))</f>
        <v>0</v>
      </c>
      <c r="DI222" s="441">
        <f>IF($H222&lt;&gt;DM$5,0,IF(DM222&lt;0,IF($J222=1,-$E222*$I222/12*3,IF($J222=2,-$E222*$I222/12*2,IF($J222=3,-$E222*$I222/12*1,0)))))+IF(DH$5&lt;&gt;$H222,0,IF(DH222&lt;0,IF($J222=1,-$E222*$I222/12*0,IF($J222=2,-$E222*$I222/12*1,IF($J222=3,-$E222*$I222/12*2,IF($J222&gt;=4,-$E222*$I222/12*3,0))))))</f>
        <v>0</v>
      </c>
      <c r="DJ222" s="442">
        <f>IF($H222&lt;&gt;DM$5,0,IF(DM222&lt;0,IF(OR($J222=1,$J222=2,$J222=3,$J222=4),-$E222*$I222/12*3,IF($J222=5,-$E222*$I222/12*2,IF($J222=6,-$E222*$I222/12*1,0)))))+IF(DH$5&lt;&gt;$H222,0,IF(DH222&lt;0,IF($J222=4,-$E222*$I222/12*0,IF($J222=5,-$E222*$I222/12*1,IF($J222=6,-$E222*$I222/12*2,IF($J222&gt;=7,-$E222*$I222/12*3,0))))))</f>
        <v>0</v>
      </c>
      <c r="DK222" s="442">
        <f>IF($H222&lt;&gt;DM$5,0,IF(DM222&lt;0,IF(OR($J222=1,$J222=2,$J222=3,$J222=4,$J222=5,$J222=6,$J222=7),-$E222*$I222/12*3,IF($J222=8,-$E222*$I222/12*2,IF($J222=9,-$E222*$I222/12*1,0)))))+IF(DH$5&lt;&gt;$H222,0,IF(DH222&lt;0,IF($J222=7,-$E222*$I222/12*0,IF($J222=8,-$E222*$I222/12*1,IF($J222=9,-$E222*$I222/12*2,IF($J222&gt;=10,-$E222*$I222/12*3,0))))))</f>
        <v>0</v>
      </c>
      <c r="DL222" s="443">
        <f>IF($H222&lt;&gt;DM$5,0,IF(DM222&lt;0,IF(OR($J222=1,$J222=2,$J222=3,$J222=4,$J222=5,$J222=6,$J222=7,$J222=8,$J222=9,$J222=10),-$E222*$I222/12*3,IF($J222=11,-$E222*$I222/12*2,IF($J222=12,-$E222*$I222/12*1,0)))))+IF(DH$5&lt;&gt;$H222,0,IF(DH222&lt;0,IF($J222=10,-$E222*$I222/12*0,IF($J222=11,-$E222*$I222/12*1,IF($J222=12,-$E222*$I222/12*2,0)))))</f>
        <v>0</v>
      </c>
      <c r="DM222" s="440">
        <f>IF(AND(DH222&lt;&gt;0,DH$5=$H222),-$I222*$E222-DH222,IF(DM$5=$H222,-$I222*$E222*(12-$J222+1)/12,0))</f>
        <v>0</v>
      </c>
      <c r="DN222" s="441">
        <f>IF($H222&lt;&gt;DR$5,0,IF(DR222&lt;0,IF($J222=1,-$E222*$I222/12*3,IF($J222=2,-$E222*$I222/12*2,IF($J222=3,-$E222*$I222/12*1,0)))))+IF(DM$5&lt;&gt;$H222,0,IF(DM222&lt;0,IF($J222=1,-$E222*$I222/12*0,IF($J222=2,-$E222*$I222/12*1,IF($J222=3,-$E222*$I222/12*2,IF($J222&gt;=4,-$E222*$I222/12*3,0))))))</f>
        <v>0</v>
      </c>
      <c r="DO222" s="442">
        <f>IF($H222&lt;&gt;DR$5,0,IF(DR222&lt;0,IF(OR($J222=1,$J222=2,$J222=3,$J222=4),-$E222*$I222/12*3,IF($J222=5,-$E222*$I222/12*2,IF($J222=6,-$E222*$I222/12*1,0)))))+IF(DM$5&lt;&gt;$H222,0,IF(DM222&lt;0,IF($J222=4,-$E222*$I222/12*0,IF($J222=5,-$E222*$I222/12*1,IF($J222=6,-$E222*$I222/12*2,IF($J222&gt;=7,-$E222*$I222/12*3,0))))))</f>
        <v>0</v>
      </c>
      <c r="DP222" s="442">
        <f>IF($H222&lt;&gt;DR$5,0,IF(DR222&lt;0,IF(OR($J222=1,$J222=2,$J222=3,$J222=4,$J222=5,$J222=6,$J222=7),-$E222*$I222/12*3,IF($J222=8,-$E222*$I222/12*2,IF($J222=9,-$E222*$I222/12*1,0)))))+IF(DM$5&lt;&gt;$H222,0,IF(DM222&lt;0,IF($J222=7,-$E222*$I222/12*0,IF($J222=8,-$E222*$I222/12*1,IF($J222=9,-$E222*$I222/12*2,IF($J222&gt;=10,-$E222*$I222/12*3,0))))))</f>
        <v>0</v>
      </c>
      <c r="DQ222" s="443">
        <f>IF($H222&lt;&gt;DR$5,0,IF(DR222&lt;0,IF(OR($J222=1,$J222=2,$J222=3,$J222=4,$J222=5,$J222=6,$J222=7,$J222=8,$J222=9,$J222=10),-$E222*$I222/12*3,IF($J222=11,-$E222*$I222/12*2,IF($J222=12,-$E222*$I222/12*1,0)))))+IF(DM$5&lt;&gt;$H222,0,IF(DM222&lt;0,IF($J222=10,-$E222*$I222/12*0,IF($J222=11,-$E222*$I222/12*1,IF($J222=12,-$E222*$I222/12*2,0)))))</f>
        <v>0</v>
      </c>
      <c r="DR222" s="440">
        <f>IF(AND(DM222&lt;&gt;0,DM$5=$H222),-$I222*$E222-DM222,IF(DR$5=$H222,-$I222*$E222*(12-$J222+1)/12,0))</f>
        <v>0</v>
      </c>
    </row>
    <row r="223" spans="3:122">
      <c r="C223" s="1123"/>
      <c r="D223" s="395"/>
      <c r="E223" s="325"/>
      <c r="F223" s="1358"/>
      <c r="G223" s="1358"/>
      <c r="H223" s="651"/>
      <c r="I223" s="650"/>
      <c r="J223" s="656"/>
      <c r="K223" s="549"/>
      <c r="L223" s="321"/>
      <c r="M223" s="322"/>
      <c r="N223" s="322"/>
      <c r="O223" s="323"/>
      <c r="P223" s="466"/>
      <c r="Q223" s="321"/>
      <c r="R223" s="322"/>
      <c r="S223" s="322"/>
      <c r="T223" s="323"/>
      <c r="U223" s="472"/>
      <c r="V223" s="321"/>
      <c r="W223" s="322"/>
      <c r="X223" s="322"/>
      <c r="Y223" s="323"/>
      <c r="Z223" s="472"/>
      <c r="AA223" s="321"/>
      <c r="AB223" s="322"/>
      <c r="AC223" s="322"/>
      <c r="AD223" s="323"/>
      <c r="AE223" s="440"/>
      <c r="AF223" s="441"/>
      <c r="AG223" s="442"/>
      <c r="AH223" s="442"/>
      <c r="AI223" s="443"/>
      <c r="AJ223" s="440"/>
      <c r="AK223" s="441"/>
      <c r="AL223" s="442"/>
      <c r="AM223" s="442"/>
      <c r="AN223" s="443"/>
      <c r="AO223" s="440"/>
      <c r="AP223" s="441"/>
      <c r="AQ223" s="442"/>
      <c r="AR223" s="442"/>
      <c r="AS223" s="443"/>
      <c r="AT223" s="440"/>
      <c r="AU223" s="441"/>
      <c r="AV223" s="442"/>
      <c r="AW223" s="442"/>
      <c r="AX223" s="443"/>
      <c r="AY223" s="440"/>
      <c r="AZ223" s="441"/>
      <c r="BA223" s="442"/>
      <c r="BB223" s="442"/>
      <c r="BC223" s="443"/>
      <c r="BD223" s="440"/>
      <c r="BE223" s="441"/>
      <c r="BF223" s="442"/>
      <c r="BG223" s="442"/>
      <c r="BH223" s="443"/>
      <c r="BI223" s="440"/>
      <c r="BJ223" s="441"/>
      <c r="BK223" s="442"/>
      <c r="BL223" s="442"/>
      <c r="BM223" s="443"/>
      <c r="BN223" s="440"/>
      <c r="BO223" s="470"/>
      <c r="BP223" s="441"/>
      <c r="BQ223" s="442"/>
      <c r="BR223" s="442"/>
      <c r="BS223" s="443"/>
      <c r="BT223" s="440"/>
      <c r="BU223" s="441"/>
      <c r="BV223" s="442"/>
      <c r="BW223" s="442"/>
      <c r="BX223" s="443"/>
      <c r="BY223" s="440"/>
      <c r="BZ223" s="441"/>
      <c r="CA223" s="442"/>
      <c r="CB223" s="442"/>
      <c r="CC223" s="443"/>
      <c r="CD223" s="440"/>
      <c r="CE223" s="441"/>
      <c r="CF223" s="442"/>
      <c r="CG223" s="442"/>
      <c r="CH223" s="443"/>
      <c r="CI223" s="440"/>
      <c r="CJ223" s="441"/>
      <c r="CK223" s="442"/>
      <c r="CL223" s="442"/>
      <c r="CM223" s="443"/>
      <c r="CN223" s="440"/>
      <c r="CO223" s="441"/>
      <c r="CP223" s="442"/>
      <c r="CQ223" s="442"/>
      <c r="CR223" s="443"/>
      <c r="CS223" s="440"/>
      <c r="CT223" s="441"/>
      <c r="CU223" s="442"/>
      <c r="CV223" s="442"/>
      <c r="CW223" s="443"/>
      <c r="CX223" s="440"/>
      <c r="CY223" s="441"/>
      <c r="CZ223" s="442"/>
      <c r="DA223" s="442"/>
      <c r="DB223" s="443"/>
      <c r="DC223" s="440"/>
      <c r="DD223" s="441"/>
      <c r="DE223" s="442"/>
      <c r="DF223" s="442"/>
      <c r="DG223" s="443"/>
      <c r="DH223" s="440"/>
      <c r="DI223" s="441"/>
      <c r="DJ223" s="442"/>
      <c r="DK223" s="442"/>
      <c r="DL223" s="443"/>
      <c r="DM223" s="440"/>
      <c r="DN223" s="441"/>
      <c r="DO223" s="442"/>
      <c r="DP223" s="442"/>
      <c r="DQ223" s="443"/>
      <c r="DR223" s="440"/>
    </row>
    <row r="224" spans="3:122">
      <c r="C224" s="1363" t="s">
        <v>329</v>
      </c>
      <c r="D224" s="395"/>
      <c r="E224" s="325"/>
      <c r="F224" s="1358"/>
      <c r="G224" s="1358"/>
      <c r="H224" s="414"/>
      <c r="I224" s="650"/>
      <c r="J224" s="656"/>
      <c r="K224" s="549"/>
      <c r="L224" s="321"/>
      <c r="M224" s="322"/>
      <c r="N224" s="322"/>
      <c r="O224" s="323"/>
      <c r="P224" s="466"/>
      <c r="Q224" s="321"/>
      <c r="R224" s="322"/>
      <c r="S224" s="322"/>
      <c r="T224" s="323"/>
      <c r="U224" s="472"/>
      <c r="V224" s="321"/>
      <c r="W224" s="322"/>
      <c r="X224" s="322"/>
      <c r="Y224" s="323"/>
      <c r="Z224" s="472"/>
      <c r="AA224" s="321"/>
      <c r="AB224" s="322"/>
      <c r="AC224" s="322"/>
      <c r="AD224" s="323"/>
      <c r="AE224" s="440"/>
      <c r="AF224" s="441"/>
      <c r="AG224" s="442"/>
      <c r="AH224" s="442"/>
      <c r="AI224" s="443"/>
      <c r="AJ224" s="440"/>
      <c r="AK224" s="441"/>
      <c r="AL224" s="442"/>
      <c r="AM224" s="442"/>
      <c r="AN224" s="443"/>
      <c r="AO224" s="440"/>
      <c r="AP224" s="441"/>
      <c r="AQ224" s="442"/>
      <c r="AR224" s="442"/>
      <c r="AS224" s="443"/>
      <c r="AT224" s="440"/>
      <c r="AU224" s="441"/>
      <c r="AV224" s="442"/>
      <c r="AW224" s="442"/>
      <c r="AX224" s="443"/>
      <c r="AY224" s="440"/>
      <c r="AZ224" s="441"/>
      <c r="BA224" s="442"/>
      <c r="BB224" s="442"/>
      <c r="BC224" s="443"/>
      <c r="BD224" s="440"/>
      <c r="BE224" s="441"/>
      <c r="BF224" s="442"/>
      <c r="BG224" s="442"/>
      <c r="BH224" s="443"/>
      <c r="BI224" s="440"/>
      <c r="BJ224" s="441"/>
      <c r="BK224" s="442"/>
      <c r="BL224" s="442"/>
      <c r="BM224" s="443"/>
      <c r="BN224" s="440"/>
      <c r="BO224" s="470"/>
      <c r="BP224" s="441"/>
      <c r="BQ224" s="442"/>
      <c r="BR224" s="442"/>
      <c r="BS224" s="443"/>
      <c r="BT224" s="440"/>
      <c r="BU224" s="441"/>
      <c r="BV224" s="442"/>
      <c r="BW224" s="442"/>
      <c r="BX224" s="443"/>
      <c r="BY224" s="440"/>
      <c r="BZ224" s="441"/>
      <c r="CA224" s="442"/>
      <c r="CB224" s="442"/>
      <c r="CC224" s="443"/>
      <c r="CD224" s="440"/>
      <c r="CE224" s="441"/>
      <c r="CF224" s="442"/>
      <c r="CG224" s="442"/>
      <c r="CH224" s="443"/>
      <c r="CI224" s="440"/>
      <c r="CJ224" s="441"/>
      <c r="CK224" s="442"/>
      <c r="CL224" s="442"/>
      <c r="CM224" s="443"/>
      <c r="CN224" s="440"/>
      <c r="CO224" s="441"/>
      <c r="CP224" s="442"/>
      <c r="CQ224" s="442"/>
      <c r="CR224" s="443"/>
      <c r="CS224" s="440"/>
      <c r="CT224" s="441"/>
      <c r="CU224" s="442"/>
      <c r="CV224" s="442"/>
      <c r="CW224" s="443"/>
      <c r="CX224" s="440"/>
      <c r="CY224" s="441"/>
      <c r="CZ224" s="442"/>
      <c r="DA224" s="442"/>
      <c r="DB224" s="443"/>
      <c r="DC224" s="440"/>
      <c r="DD224" s="441"/>
      <c r="DE224" s="442"/>
      <c r="DF224" s="442"/>
      <c r="DG224" s="443"/>
      <c r="DH224" s="440"/>
      <c r="DI224" s="441"/>
      <c r="DJ224" s="442"/>
      <c r="DK224" s="442"/>
      <c r="DL224" s="443"/>
      <c r="DM224" s="440"/>
      <c r="DN224" s="441"/>
      <c r="DO224" s="442"/>
      <c r="DP224" s="442"/>
      <c r="DQ224" s="443"/>
      <c r="DR224" s="440"/>
    </row>
    <row r="225" spans="1:122">
      <c r="C225" s="1123" t="s">
        <v>751</v>
      </c>
      <c r="D225" s="395"/>
      <c r="E225" s="1950">
        <f t="shared" ref="E225:E231" si="2885">IF(F225=0,G225,F225)</f>
        <v>275</v>
      </c>
      <c r="F225" s="1945">
        <v>0</v>
      </c>
      <c r="G225" s="1945">
        <v>275</v>
      </c>
      <c r="H225" s="1366">
        <v>2017</v>
      </c>
      <c r="I225" s="1367">
        <v>5.9500000000000004E-2</v>
      </c>
      <c r="J225" s="1357">
        <v>12</v>
      </c>
      <c r="K225" s="549"/>
      <c r="L225" s="441">
        <f t="shared" ref="L225:L231" si="2886">IF(P225=0,0,IF(P225&lt;0,IF($J225=3,P225,IF($J225=2,P225,IF($J225=1,P225,0)))))</f>
        <v>0</v>
      </c>
      <c r="M225" s="442">
        <f t="shared" ref="M225:M231" si="2887">IF(P225=0,0,IF(P225&lt;0,IF($J225=6,P225,IF($J225=5,P225,IF($J225=4,P225,0)))))</f>
        <v>0</v>
      </c>
      <c r="N225" s="442">
        <f t="shared" ref="N225:N231" si="2888">IF(P225=0,0,IF(P225&lt;0,IF($J225=9,P225,IF($J225=8,P225,IF($J225=7,P225,0)))))</f>
        <v>0</v>
      </c>
      <c r="O225" s="443">
        <f t="shared" ref="O225:O231" si="2889">IF(P225=0,0,IF(P225&lt;0,IF($J225=12,P225,IF($J225=11,P225,IF($J225=10,P225,0)))))</f>
        <v>0</v>
      </c>
      <c r="P225" s="440">
        <f t="shared" ref="P225:P231" si="2890">IF(P$5=$H225,-$E225,0)</f>
        <v>0</v>
      </c>
      <c r="Q225" s="441">
        <f t="shared" ref="Q225:Q231" si="2891">IF(U225=0,0,IF(U225&lt;0,IF($J225=3,U225,IF($J225=2,U225,IF($J225=1,U225,0)))))</f>
        <v>0</v>
      </c>
      <c r="R225" s="442">
        <f t="shared" ref="R225:R231" si="2892">IF(U225=0,0,IF(U225&lt;0,IF($J225=6,U225,IF($J225=5,U225,IF($J225=4,U225,0)))))</f>
        <v>0</v>
      </c>
      <c r="S225" s="442">
        <f t="shared" ref="S225:S231" si="2893">IF(U225=0,0,IF(U225&lt;0,IF($J225=9,U225,IF($J225=8,U225,IF($J225=7,U225,0)))))</f>
        <v>0</v>
      </c>
      <c r="T225" s="443">
        <f t="shared" ref="T225:T231" si="2894">IF(U225=0,0,IF(U225&lt;0,IF($J225=12,U225,IF($J225=11,U225,IF($J225=10,U225,0)))))</f>
        <v>0</v>
      </c>
      <c r="U225" s="440">
        <f t="shared" ref="U225:U231" si="2895">IF(U$5=$H225,-$E225,0)</f>
        <v>0</v>
      </c>
      <c r="V225" s="441">
        <f t="shared" ref="V225:V231" si="2896">IF(Z225=0,0,IF(Z225&lt;0,IF($J225=3,Z225,IF($J225=2,Z225,IF($J225=1,Z225,0)))))</f>
        <v>0</v>
      </c>
      <c r="W225" s="442">
        <f t="shared" ref="W225:W231" si="2897">IF(Z225=0,0,IF(Z225&lt;0,IF($J225=6,Z225,IF($J225=5,Z225,IF($J225=4,Z225,0)))))</f>
        <v>0</v>
      </c>
      <c r="X225" s="442">
        <f t="shared" ref="X225:X231" si="2898">IF(Z225=0,0,IF(Z225&lt;0,IF($J225=9,Z225,IF($J225=8,Z225,IF($J225=7,Z225,0)))))</f>
        <v>0</v>
      </c>
      <c r="Y225" s="443">
        <f t="shared" ref="Y225:Y231" si="2899">IF(Z225=0,0,IF(Z225&lt;0,IF($J225=12,Z225,IF($J225=11,Z225,IF($J225=10,Z225,0)))))</f>
        <v>0</v>
      </c>
      <c r="Z225" s="440">
        <f t="shared" ref="Z225:Z231" si="2900">IF(Z$5=$H225,-$E225,0)</f>
        <v>0</v>
      </c>
      <c r="AA225" s="441">
        <f t="shared" ref="AA225:AA231" si="2901">IF(AE225=0,0,IF(AE225&lt;0,IF($J225=3,AE225,IF($J225=2,AE225,IF($J225=1,AE225,0)))))</f>
        <v>0</v>
      </c>
      <c r="AB225" s="442">
        <f t="shared" ref="AB225:AB231" si="2902">IF(AE225=0,0,IF(AE225&lt;0,IF($J225=6,AE225,IF($J225=5,AE225,IF($J225=4,AE225,0)))))</f>
        <v>0</v>
      </c>
      <c r="AC225" s="442">
        <f t="shared" ref="AC225:AC231" si="2903">IF(AE225=0,0,IF(AE225&lt;0,IF($J225=9,AE225,IF($J225=8,AE225,IF($J225=7,AE225,0)))))</f>
        <v>0</v>
      </c>
      <c r="AD225" s="443">
        <f t="shared" ref="AD225:AD231" si="2904">IF(AE225=0,0,IF(AE225&lt;0,IF($J225=12,AE225,IF($J225=11,AE225,IF($J225=10,AE225,0)))))</f>
        <v>0</v>
      </c>
      <c r="AE225" s="440">
        <f t="shared" ref="AE225:AE231" si="2905">IF(AE$5=$H225,-$E225,0)</f>
        <v>0</v>
      </c>
      <c r="AF225" s="441">
        <f t="shared" ref="AF225:AF231" si="2906">IF(AJ225=0,0,IF(AJ225&lt;0,IF($J225=3,AJ225,IF($J225=2,AJ225,IF($J225=1,AJ225,0)))))</f>
        <v>0</v>
      </c>
      <c r="AG225" s="442">
        <f t="shared" ref="AG225:AG231" si="2907">IF(AJ225=0,0,IF(AJ225&lt;0,IF($J225=6,AJ225,IF($J225=5,AJ225,IF($J225=4,AJ225,0)))))</f>
        <v>0</v>
      </c>
      <c r="AH225" s="442">
        <f t="shared" ref="AH225:AH231" si="2908">IF(AJ225=0,0,IF(AJ225&lt;0,IF($J225=9,AJ225,IF($J225=8,AJ225,IF($J225=7,AJ225,0)))))</f>
        <v>0</v>
      </c>
      <c r="AI225" s="443">
        <f t="shared" ref="AI225:AI231" si="2909">IF(AJ225=0,0,IF(AJ225&lt;0,IF($J225=12,AJ225,IF($J225=11,AJ225,IF($J225=10,AJ225,0)))))</f>
        <v>0</v>
      </c>
      <c r="AJ225" s="440">
        <f t="shared" ref="AJ225:AJ231" si="2910">IF(AJ$5=$H225,-$E225,0)</f>
        <v>0</v>
      </c>
      <c r="AK225" s="441">
        <f t="shared" ref="AK225:AK231" si="2911">IF(AO225=0,0,IF(AO225&lt;0,IF($J225=3,AO225,IF($J225=2,AO225,IF($J225=1,AO225,0)))))</f>
        <v>0</v>
      </c>
      <c r="AL225" s="442">
        <f t="shared" ref="AL225:AL231" si="2912">IF(AO225=0,0,IF(AO225&lt;0,IF($J225=6,AO225,IF($J225=5,AO225,IF($J225=4,AO225,0)))))</f>
        <v>0</v>
      </c>
      <c r="AM225" s="442">
        <f t="shared" ref="AM225:AM231" si="2913">IF(AO225=0,0,IF(AO225&lt;0,IF($J225=9,AO225,IF($J225=8,AO225,IF($J225=7,AO225,0)))))</f>
        <v>0</v>
      </c>
      <c r="AN225" s="443">
        <f t="shared" ref="AN225:AN231" si="2914">IF(AO225=0,0,IF(AO225&lt;0,IF($J225=12,AO225,IF($J225=11,AO225,IF($J225=10,AO225,0)))))</f>
        <v>0</v>
      </c>
      <c r="AO225" s="440">
        <f t="shared" ref="AO225:AO231" si="2915">IF(AO$5=$H225,-$E225,0)</f>
        <v>0</v>
      </c>
      <c r="AP225" s="441">
        <f t="shared" ref="AP225:AP231" si="2916">IF(AT225=0,0,IF(AT225&lt;0,IF($J225=3,AT225,IF($J225=2,AT225,IF($J225=1,AT225,0)))))</f>
        <v>0</v>
      </c>
      <c r="AQ225" s="442">
        <f t="shared" ref="AQ225:AQ231" si="2917">IF(AT225=0,0,IF(AT225&lt;0,IF($J225=6,AT225,IF($J225=5,AT225,IF($J225=4,AT225,0)))))</f>
        <v>0</v>
      </c>
      <c r="AR225" s="442">
        <f t="shared" ref="AR225:AR231" si="2918">IF(AT225=0,0,IF(AT225&lt;0,IF($J225=9,AT225,IF($J225=8,AT225,IF($J225=7,AT225,0)))))</f>
        <v>0</v>
      </c>
      <c r="AS225" s="443">
        <f t="shared" ref="AS225:AS231" si="2919">IF(AT225=0,0,IF(AT225&lt;0,IF($J225=12,AT225,IF($J225=11,AT225,IF($J225=10,AT225,0)))))</f>
        <v>-275</v>
      </c>
      <c r="AT225" s="440">
        <f t="shared" ref="AT225:AT231" si="2920">IF(AT$5=$H225,-$E225,0)</f>
        <v>-275</v>
      </c>
      <c r="AU225" s="441">
        <f t="shared" ref="AU225:AU231" si="2921">IF(AY225=0,0,IF(AY225&lt;0,IF($J225=3,AY225,IF($J225=2,AY225,IF($J225=1,AY225,0)))))</f>
        <v>0</v>
      </c>
      <c r="AV225" s="442">
        <f t="shared" ref="AV225:AV231" si="2922">IF(AY225=0,0,IF(AY225&lt;0,IF($J225=6,AY225,IF($J225=5,AY225,IF($J225=4,AY225,0)))))</f>
        <v>0</v>
      </c>
      <c r="AW225" s="442">
        <f t="shared" ref="AW225:AW231" si="2923">IF(AY225=0,0,IF(AY225&lt;0,IF($J225=9,AY225,IF($J225=8,AY225,IF($J225=7,AY225,0)))))</f>
        <v>0</v>
      </c>
      <c r="AX225" s="443">
        <f t="shared" ref="AX225:AX231" si="2924">IF(AY225=0,0,IF(AY225&lt;0,IF($J225=12,AY225,IF($J225=11,AY225,IF($J225=10,AY225,0)))))</f>
        <v>0</v>
      </c>
      <c r="AY225" s="440">
        <f t="shared" ref="AY225:AY231" si="2925">IF(AY$5=$H225,-$E225,0)</f>
        <v>0</v>
      </c>
      <c r="AZ225" s="441">
        <f t="shared" ref="AZ225:AZ231" si="2926">IF(BD225=0,0,IF(BD225&lt;0,IF($J225=3,BD225,IF($J225=2,BD225,IF($J225=1,BD225,0)))))</f>
        <v>0</v>
      </c>
      <c r="BA225" s="442">
        <f t="shared" ref="BA225:BA231" si="2927">IF(BD225=0,0,IF(BD225&lt;0,IF($J225=6,BD225,IF($J225=5,BD225,IF($J225=4,BD225,0)))))</f>
        <v>0</v>
      </c>
      <c r="BB225" s="442">
        <f t="shared" ref="BB225:BB231" si="2928">IF(BD225=0,0,IF(BD225&lt;0,IF($J225=9,BD225,IF($J225=8,BD225,IF($J225=7,BD225,0)))))</f>
        <v>0</v>
      </c>
      <c r="BC225" s="443">
        <f t="shared" ref="BC225:BC231" si="2929">IF(BD225=0,0,IF(BD225&lt;0,IF($J225=12,BD225,IF($J225=11,BD225,IF($J225=10,BD225,0)))))</f>
        <v>0</v>
      </c>
      <c r="BD225" s="440">
        <f t="shared" ref="BD225:BD231" si="2930">IF(BD$5=$H225,-$E225,0)</f>
        <v>0</v>
      </c>
      <c r="BE225" s="441">
        <f t="shared" ref="BE225:BE231" si="2931">IF(BI225=0,0,IF(BI225&lt;0,IF($J225=3,BI225,IF($J225=2,BI225,IF($J225=1,BI225,0)))))</f>
        <v>0</v>
      </c>
      <c r="BF225" s="442">
        <f t="shared" ref="BF225:BF231" si="2932">IF(BI225=0,0,IF(BI225&lt;0,IF($J225=6,BI225,IF($J225=5,BI225,IF($J225=4,BI225,0)))))</f>
        <v>0</v>
      </c>
      <c r="BG225" s="442">
        <f t="shared" ref="BG225:BG231" si="2933">IF(BI225=0,0,IF(BI225&lt;0,IF($J225=9,BI225,IF($J225=8,BI225,IF($J225=7,BI225,0)))))</f>
        <v>0</v>
      </c>
      <c r="BH225" s="443">
        <f t="shared" ref="BH225:BH231" si="2934">IF(BI225=0,0,IF(BI225&lt;0,IF($J225=12,BI225,IF($J225=11,BI225,IF($J225=10,BI225,0)))))</f>
        <v>0</v>
      </c>
      <c r="BI225" s="440">
        <f t="shared" ref="BI225:BI231" si="2935">IF(BI$5=$H225,-$E225,0)</f>
        <v>0</v>
      </c>
      <c r="BJ225" s="441">
        <f t="shared" ref="BJ225:BJ231" si="2936">IF(BN225=0,0,IF(BN225&lt;0,IF($J225=3,BN225,IF($J225=2,BN225,IF($J225=1,BN225,0)))))</f>
        <v>0</v>
      </c>
      <c r="BK225" s="442">
        <f t="shared" ref="BK225:BK231" si="2937">IF(BN225=0,0,IF(BN225&lt;0,IF($J225=6,BN225,IF($J225=5,BN225,IF($J225=4,BN225,0)))))</f>
        <v>0</v>
      </c>
      <c r="BL225" s="442">
        <f t="shared" ref="BL225:BL231" si="2938">IF(BN225=0,0,IF(BN225&lt;0,IF($J225=9,BN225,IF($J225=8,BN225,IF($J225=7,BN225,0)))))</f>
        <v>0</v>
      </c>
      <c r="BM225" s="443">
        <f t="shared" ref="BM225:BM231" si="2939">IF(BN225=0,0,IF(BN225&lt;0,IF($J225=12,BN225,IF($J225=11,BN225,IF($J225=10,BN225,0)))))</f>
        <v>0</v>
      </c>
      <c r="BN225" s="440">
        <f t="shared" ref="BN225:BN231" si="2940">IF(BN$5=$H225,-$E225,0)</f>
        <v>0</v>
      </c>
      <c r="BO225" s="470"/>
      <c r="BP225" s="441">
        <f t="shared" ref="BP225:BP231" si="2941">IF($H225&lt;&gt;BT$5,0,IF(BT225&lt;0,IF($J225=1,-$E225*$I225/12*3,IF($J225=2,-$E225*$I225/12*2,IF($J225=3,-$E225*$I225/12*1,0)))))+IF(BO$5&lt;&gt;$H225,0,IF(BO225&lt;0,IF($J225=1,-$E225*$I225/12*0,IF($J225=2,-$E225*$I225/12*1,IF($J225=3,-$E225*$I225/12*2,IF($J225&gt;=4,-$E225*$I225/12*3,0))))))</f>
        <v>0</v>
      </c>
      <c r="BQ225" s="442">
        <f t="shared" ref="BQ225:BQ231" si="2942">IF($H225&lt;&gt;BT$5,0,IF(BT225&lt;0,IF(OR($J225=1,$J225=2,$J225=3,$J225=4),-$E225*$I225/12*3,IF($J225=5,-$E225*$I225/12*2,IF($J225=6,-$E225*$I225/12*1,0)))))+IF(BO$5&lt;&gt;$H225,0,IF(BO225&lt;0,IF($J225=4,-$E225*$I225/12*0,IF($J225=5,-$E225*$I225/12*1,IF($J225=6,-$E225*$I225/12*2,IF($J225&gt;=7,-$E225*$I225/12*3,0))))))</f>
        <v>0</v>
      </c>
      <c r="BR225" s="442">
        <f t="shared" ref="BR225:BR231" si="2943">IF($H225&lt;&gt;BT$5,0,IF(BT225&lt;0,IF(OR($J225=1,$J225=2,$J225=3,$J225=4,$J225=5,$J225=6,$J225=7),-$E225*$I225/12*3,IF($J225=8,-$E225*$I225/12*2,IF($J225=9,-$E225*$I225/12*1,0)))))+IF(BO$5&lt;&gt;$H225,0,IF(BO225&lt;0,IF($J225=7,-$E225*$I225/12*0,IF($J225=8,-$E225*$I225/12*1,IF($J225=9,-$E225*$I225/12*2,IF($J225&gt;=10,-$E225*$I225/12*3,0))))))</f>
        <v>0</v>
      </c>
      <c r="BS225" s="443">
        <f t="shared" ref="BS225:BS231" si="2944">IF($H225&lt;&gt;BT$5,0,IF(BT225&lt;0,IF(OR($J225=1,$J225=2,$J225=3,$J225=4,$J225=5,$J225=6,$J225=7,$J225=8,$J225=9,$J225=10),-$E225*$I225/12*3,IF($J225=11,-$E225*$I225/12*2,IF($J225=12,-$E225*$I225/12*1,0)))))+IF(BO$5&lt;&gt;$H225,0,IF(BO225&lt;0,IF($J225=10,-$E225*$I225/12*0,IF($J225=11,-$E225*$I225/12*1,IF($J225=12,-$E225*$I225/12*2,0)))))</f>
        <v>0</v>
      </c>
      <c r="BT225" s="440">
        <f t="shared" ref="BT225:BT231" si="2945">IF(AND(BO225&lt;&gt;0,BO$5=$H225),-$I225*$E225-BO225,IF(BT$5=$H225,-$I225*$E225*(12-$J225+1)/12,0))</f>
        <v>0</v>
      </c>
      <c r="BU225" s="441">
        <f t="shared" ref="BU225:BU231" si="2946">IF($H225&lt;&gt;BY$5,0,IF(BY225&lt;0,IF($J225=1,-$E225*$I225/12*3,IF($J225=2,-$E225*$I225/12*2,IF($J225=3,-$E225*$I225/12*1,0)))))+IF(BT$5&lt;&gt;$H225,0,IF(BT225&lt;0,IF($J225=1,-$E225*$I225/12*0,IF($J225=2,-$E225*$I225/12*1,IF($J225=3,-$E225*$I225/12*2,IF($J225&gt;=4,-$E225*$I225/12*3,0))))))</f>
        <v>0</v>
      </c>
      <c r="BV225" s="442">
        <f t="shared" ref="BV225:BV231" si="2947">IF($H225&lt;&gt;BY$5,0,IF(BY225&lt;0,IF(OR($J225=1,$J225=2,$J225=3,$J225=4),-$E225*$I225/12*3,IF($J225=5,-$E225*$I225/12*2,IF($J225=6,-$E225*$I225/12*1,0)))))+IF(BT$5&lt;&gt;$H225,0,IF(BT225&lt;0,IF($J225=4,-$E225*$I225/12*0,IF($J225=5,-$E225*$I225/12*1,IF($J225=6,-$E225*$I225/12*2,IF($J225&gt;=7,-$E225*$I225/12*3,0))))))</f>
        <v>0</v>
      </c>
      <c r="BW225" s="442">
        <f t="shared" ref="BW225:BW231" si="2948">IF($H225&lt;&gt;BY$5,0,IF(BY225&lt;0,IF(OR($J225=1,$J225=2,$J225=3,$J225=4,$J225=5,$J225=6,$J225=7),-$E225*$I225/12*3,IF($J225=8,-$E225*$I225/12*2,IF($J225=9,-$E225*$I225/12*1,0)))))+IF(BT$5&lt;&gt;$H225,0,IF(BT225&lt;0,IF($J225=7,-$E225*$I225/12*0,IF($J225=8,-$E225*$I225/12*1,IF($J225=9,-$E225*$I225/12*2,IF($J225&gt;=10,-$E225*$I225/12*3,0))))))</f>
        <v>0</v>
      </c>
      <c r="BX225" s="443">
        <f t="shared" ref="BX225:BX231" si="2949">IF($H225&lt;&gt;BY$5,0,IF(BY225&lt;0,IF(OR($J225=1,$J225=2,$J225=3,$J225=4,$J225=5,$J225=6,$J225=7,$J225=8,$J225=9,$J225=10),-$E225*$I225/12*3,IF($J225=11,-$E225*$I225/12*2,IF($J225=12,-$E225*$I225/12*1,0)))))+IF(BT$5&lt;&gt;$H225,0,IF(BT225&lt;0,IF($J225=10,-$E225*$I225/12*0,IF($J225=11,-$E225*$I225/12*1,IF($J225=12,-$E225*$I225/12*2,0)))))</f>
        <v>0</v>
      </c>
      <c r="BY225" s="440">
        <f t="shared" ref="BY225:BY231" si="2950">IF(AND(BT225&lt;&gt;0,BT$5=$H225),-$I225*$E225-BT225,IF(BY$5=$H225,-$I225*$E225*(12-$J225+1)/12,0))</f>
        <v>0</v>
      </c>
      <c r="BZ225" s="441">
        <f t="shared" ref="BZ225:BZ231" si="2951">IF($H225&lt;&gt;CD$5,0,IF(CD225&lt;0,IF($J225=1,-$E225*$I225/12*3,IF($J225=2,-$E225*$I225/12*2,IF($J225=3,-$E225*$I225/12*1,0)))))+IF(BY$5&lt;&gt;$H225,0,IF(BY225&lt;0,IF($J225=1,-$E225*$I225/12*0,IF($J225=2,-$E225*$I225/12*1,IF($J225=3,-$E225*$I225/12*2,IF($J225&gt;=4,-$E225*$I225/12*3,0))))))</f>
        <v>0</v>
      </c>
      <c r="CA225" s="442">
        <f t="shared" ref="CA225:CA231" si="2952">IF($H225&lt;&gt;CD$5,0,IF(CD225&lt;0,IF(OR($J225=1,$J225=2,$J225=3,$J225=4),-$E225*$I225/12*3,IF($J225=5,-$E225*$I225/12*2,IF($J225=6,-$E225*$I225/12*1,0)))))+IF(BY$5&lt;&gt;$H225,0,IF(BY225&lt;0,IF($J225=4,-$E225*$I225/12*0,IF($J225=5,-$E225*$I225/12*1,IF($J225=6,-$E225*$I225/12*2,IF($J225&gt;=7,-$E225*$I225/12*3,0))))))</f>
        <v>0</v>
      </c>
      <c r="CB225" s="442">
        <f t="shared" ref="CB225:CB231" si="2953">IF($H225&lt;&gt;CD$5,0,IF(CD225&lt;0,IF(OR($J225=1,$J225=2,$J225=3,$J225=4,$J225=5,$J225=6,$J225=7),-$E225*$I225/12*3,IF($J225=8,-$E225*$I225/12*2,IF($J225=9,-$E225*$I225/12*1,0)))))+IF(BY$5&lt;&gt;$H225,0,IF(BY225&lt;0,IF($J225=7,-$E225*$I225/12*0,IF($J225=8,-$E225*$I225/12*1,IF($J225=9,-$E225*$I225/12*2,IF($J225&gt;=10,-$E225*$I225/12*3,0))))))</f>
        <v>0</v>
      </c>
      <c r="CC225" s="443">
        <f t="shared" ref="CC225:CC231" si="2954">IF($H225&lt;&gt;CD$5,0,IF(CD225&lt;0,IF(OR($J225=1,$J225=2,$J225=3,$J225=4,$J225=5,$J225=6,$J225=7,$J225=8,$J225=9,$J225=10),-$E225*$I225/12*3,IF($J225=11,-$E225*$I225/12*2,IF($J225=12,-$E225*$I225/12*1,0)))))+IF(BY$5&lt;&gt;$H225,0,IF(BY225&lt;0,IF($J225=10,-$E225*$I225/12*0,IF($J225=11,-$E225*$I225/12*1,IF($J225=12,-$E225*$I225/12*2,0)))))</f>
        <v>0</v>
      </c>
      <c r="CD225" s="440">
        <f t="shared" ref="CD225:CD231" si="2955">IF(AND(BY225&lt;&gt;0,BY$5=$H225),-$I225*$E225-BY225,IF(CD$5=$H225,-$I225*$E225*(12-$J225+1)/12,0))</f>
        <v>0</v>
      </c>
      <c r="CE225" s="441">
        <f t="shared" ref="CE225:CE231" si="2956">IF($H225&lt;&gt;CI$5,0,IF(CI225&lt;0,IF($J225=1,-$E225*$I225/12*3,IF($J225=2,-$E225*$I225/12*2,IF($J225=3,-$E225*$I225/12*1,0)))))+IF(CD$5&lt;&gt;$H225,0,IF(CD225&lt;0,IF($J225=1,-$E225*$I225/12*0,IF($J225=2,-$E225*$I225/12*1,IF($J225=3,-$E225*$I225/12*2,IF($J225&gt;=4,-$E225*$I225/12*3,0))))))</f>
        <v>0</v>
      </c>
      <c r="CF225" s="442">
        <f t="shared" ref="CF225:CF231" si="2957">IF($H225&lt;&gt;CI$5,0,IF(CI225&lt;0,IF(OR($J225=1,$J225=2,$J225=3,$J225=4),-$E225*$I225/12*3,IF($J225=5,-$E225*$I225/12*2,IF($J225=6,-$E225*$I225/12*1,0)))))+IF(CD$5&lt;&gt;$H225,0,IF(CD225&lt;0,IF($J225=4,-$E225*$I225/12*0,IF($J225=5,-$E225*$I225/12*1,IF($J225=6,-$E225*$I225/12*2,IF($J225&gt;=7,-$E225*$I225/12*3,0))))))</f>
        <v>0</v>
      </c>
      <c r="CG225" s="442">
        <f t="shared" ref="CG225:CG231" si="2958">IF($H225&lt;&gt;CI$5,0,IF(CI225&lt;0,IF(OR($J225=1,$J225=2,$J225=3,$J225=4,$J225=5,$J225=6,$J225=7),-$E225*$I225/12*3,IF($J225=8,-$E225*$I225/12*2,IF($J225=9,-$E225*$I225/12*1,0)))))+IF(CD$5&lt;&gt;$H225,0,IF(CD225&lt;0,IF($J225=7,-$E225*$I225/12*0,IF($J225=8,-$E225*$I225/12*1,IF($J225=9,-$E225*$I225/12*2,IF($J225&gt;=10,-$E225*$I225/12*3,0))))))</f>
        <v>0</v>
      </c>
      <c r="CH225" s="443">
        <f t="shared" ref="CH225:CH231" si="2959">IF($H225&lt;&gt;CI$5,0,IF(CI225&lt;0,IF(OR($J225=1,$J225=2,$J225=3,$J225=4,$J225=5,$J225=6,$J225=7,$J225=8,$J225=9,$J225=10),-$E225*$I225/12*3,IF($J225=11,-$E225*$I225/12*2,IF($J225=12,-$E225*$I225/12*1,0)))))+IF(CD$5&lt;&gt;$H225,0,IF(CD225&lt;0,IF($J225=10,-$E225*$I225/12*0,IF($J225=11,-$E225*$I225/12*1,IF($J225=12,-$E225*$I225/12*2,0)))))</f>
        <v>0</v>
      </c>
      <c r="CI225" s="440">
        <f t="shared" ref="CI225:CI231" si="2960">IF(AND(CD225&lt;&gt;0,CD$5=$H225),-$I225*$E225-CD225,IF(CI$5=$H225,-$I225*$E225*(12-$J225+1)/12,0))</f>
        <v>0</v>
      </c>
      <c r="CJ225" s="441">
        <f t="shared" ref="CJ225:CJ231" si="2961">IF($H225&lt;&gt;CN$5,0,IF(CN225&lt;0,IF($J225=1,-$E225*$I225/12*3,IF($J225=2,-$E225*$I225/12*2,IF($J225=3,-$E225*$I225/12*1,0)))))+IF(CI$5&lt;&gt;$H225,0,IF(CI225&lt;0,IF($J225=1,-$E225*$I225/12*0,IF($J225=2,-$E225*$I225/12*1,IF($J225=3,-$E225*$I225/12*2,IF($J225&gt;=4,-$E225*$I225/12*3,0))))))</f>
        <v>0</v>
      </c>
      <c r="CK225" s="442">
        <f t="shared" ref="CK225:CK231" si="2962">IF($H225&lt;&gt;CN$5,0,IF(CN225&lt;0,IF(OR($J225=1,$J225=2,$J225=3,$J225=4),-$E225*$I225/12*3,IF($J225=5,-$E225*$I225/12*2,IF($J225=6,-$E225*$I225/12*1,0)))))+IF(CI$5&lt;&gt;$H225,0,IF(CI225&lt;0,IF($J225=4,-$E225*$I225/12*0,IF($J225=5,-$E225*$I225/12*1,IF($J225=6,-$E225*$I225/12*2,IF($J225&gt;=7,-$E225*$I225/12*3,0))))))</f>
        <v>0</v>
      </c>
      <c r="CL225" s="442">
        <f t="shared" ref="CL225:CL231" si="2963">IF($H225&lt;&gt;CN$5,0,IF(CN225&lt;0,IF(OR($J225=1,$J225=2,$J225=3,$J225=4,$J225=5,$J225=6,$J225=7),-$E225*$I225/12*3,IF($J225=8,-$E225*$I225/12*2,IF($J225=9,-$E225*$I225/12*1,0)))))+IF(CI$5&lt;&gt;$H225,0,IF(CI225&lt;0,IF($J225=7,-$E225*$I225/12*0,IF($J225=8,-$E225*$I225/12*1,IF($J225=9,-$E225*$I225/12*2,IF($J225&gt;=10,-$E225*$I225/12*3,0))))))</f>
        <v>0</v>
      </c>
      <c r="CM225" s="443">
        <f t="shared" ref="CM225:CM231" si="2964">IF($H225&lt;&gt;CN$5,0,IF(CN225&lt;0,IF(OR($J225=1,$J225=2,$J225=3,$J225=4,$J225=5,$J225=6,$J225=7,$J225=8,$J225=9,$J225=10),-$E225*$I225/12*3,IF($J225=11,-$E225*$I225/12*2,IF($J225=12,-$E225*$I225/12*1,0)))))+IF(CI$5&lt;&gt;$H225,0,IF(CI225&lt;0,IF($J225=10,-$E225*$I225/12*0,IF($J225=11,-$E225*$I225/12*1,IF($J225=12,-$E225*$I225/12*2,0)))))</f>
        <v>0</v>
      </c>
      <c r="CN225" s="440">
        <f t="shared" ref="CN225:CN231" si="2965">IF(AND(CI225&lt;&gt;0,CI$5=$H225),-$I225*$E225-CI225,IF(CN$5=$H225,-$I225*$E225*(12-$J225+1)/12,0))</f>
        <v>0</v>
      </c>
      <c r="CO225" s="441">
        <f t="shared" ref="CO225:CO231" si="2966">IF($H225&lt;&gt;CS$5,0,IF(CS225&lt;0,IF($J225=1,-$E225*$I225/12*3,IF($J225=2,-$E225*$I225/12*2,IF($J225=3,-$E225*$I225/12*1,0)))))+IF(CN$5&lt;&gt;$H225,0,IF(CN225&lt;0,IF($J225=1,-$E225*$I225/12*0,IF($J225=2,-$E225*$I225/12*1,IF($J225=3,-$E225*$I225/12*2,IF($J225&gt;=4,-$E225*$I225/12*3,0))))))</f>
        <v>0</v>
      </c>
      <c r="CP225" s="442">
        <f t="shared" ref="CP225:CP231" si="2967">IF($H225&lt;&gt;CS$5,0,IF(CS225&lt;0,IF(OR($J225=1,$J225=2,$J225=3,$J225=4),-$E225*$I225/12*3,IF($J225=5,-$E225*$I225/12*2,IF($J225=6,-$E225*$I225/12*1,0)))))+IF(CN$5&lt;&gt;$H225,0,IF(CN225&lt;0,IF($J225=4,-$E225*$I225/12*0,IF($J225=5,-$E225*$I225/12*1,IF($J225=6,-$E225*$I225/12*2,IF($J225&gt;=7,-$E225*$I225/12*3,0))))))</f>
        <v>0</v>
      </c>
      <c r="CQ225" s="442">
        <f t="shared" ref="CQ225:CQ231" si="2968">IF($H225&lt;&gt;CS$5,0,IF(CS225&lt;0,IF(OR($J225=1,$J225=2,$J225=3,$J225=4,$J225=5,$J225=6,$J225=7),-$E225*$I225/12*3,IF($J225=8,-$E225*$I225/12*2,IF($J225=9,-$E225*$I225/12*1,0)))))+IF(CN$5&lt;&gt;$H225,0,IF(CN225&lt;0,IF($J225=7,-$E225*$I225/12*0,IF($J225=8,-$E225*$I225/12*1,IF($J225=9,-$E225*$I225/12*2,IF($J225&gt;=10,-$E225*$I225/12*3,0))))))</f>
        <v>0</v>
      </c>
      <c r="CR225" s="443">
        <f t="shared" ref="CR225:CR231" si="2969">IF($H225&lt;&gt;CS$5,0,IF(CS225&lt;0,IF(OR($J225=1,$J225=2,$J225=3,$J225=4,$J225=5,$J225=6,$J225=7,$J225=8,$J225=9,$J225=10),-$E225*$I225/12*3,IF($J225=11,-$E225*$I225/12*2,IF($J225=12,-$E225*$I225/12*1,0)))))+IF(CN$5&lt;&gt;$H225,0,IF(CN225&lt;0,IF($J225=10,-$E225*$I225/12*0,IF($J225=11,-$E225*$I225/12*1,IF($J225=12,-$E225*$I225/12*2,0)))))</f>
        <v>0</v>
      </c>
      <c r="CS225" s="440">
        <f t="shared" ref="CS225:CS231" si="2970">IF(AND(CN225&lt;&gt;0,CN$5=$H225),-$I225*$E225-CN225,IF(CS$5=$H225,-$I225*$E225*(12-$J225+1)/12,0))</f>
        <v>0</v>
      </c>
      <c r="CT225" s="441">
        <f t="shared" ref="CT225:CT231" si="2971">IF($H225&lt;&gt;CX$5,0,IF(CX225&lt;0,IF($J225=1,-$E225*$I225/12*3,IF($J225=2,-$E225*$I225/12*2,IF($J225=3,-$E225*$I225/12*1,0)))))+IF(CS$5&lt;&gt;$H225,0,IF(CS225&lt;0,IF($J225=1,-$E225*$I225/12*0,IF($J225=2,-$E225*$I225/12*1,IF($J225=3,-$E225*$I225/12*2,IF($J225&gt;=4,-$E225*$I225/12*3,0))))))</f>
        <v>0</v>
      </c>
      <c r="CU225" s="442">
        <f t="shared" ref="CU225:CU231" si="2972">IF($H225&lt;&gt;CX$5,0,IF(CX225&lt;0,IF(OR($J225=1,$J225=2,$J225=3,$J225=4),-$E225*$I225/12*3,IF($J225=5,-$E225*$I225/12*2,IF($J225=6,-$E225*$I225/12*1,0)))))+IF(CS$5&lt;&gt;$H225,0,IF(CS225&lt;0,IF($J225=4,-$E225*$I225/12*0,IF($J225=5,-$E225*$I225/12*1,IF($J225=6,-$E225*$I225/12*2,IF($J225&gt;=7,-$E225*$I225/12*3,0))))))</f>
        <v>0</v>
      </c>
      <c r="CV225" s="442">
        <f t="shared" ref="CV225:CV231" si="2973">IF($H225&lt;&gt;CX$5,0,IF(CX225&lt;0,IF(OR($J225=1,$J225=2,$J225=3,$J225=4,$J225=5,$J225=6,$J225=7),-$E225*$I225/12*3,IF($J225=8,-$E225*$I225/12*2,IF($J225=9,-$E225*$I225/12*1,0)))))+IF(CS$5&lt;&gt;$H225,0,IF(CS225&lt;0,IF($J225=7,-$E225*$I225/12*0,IF($J225=8,-$E225*$I225/12*1,IF($J225=9,-$E225*$I225/12*2,IF($J225&gt;=10,-$E225*$I225/12*3,0))))))</f>
        <v>0</v>
      </c>
      <c r="CW225" s="443">
        <f t="shared" ref="CW225:CW231" si="2974">IF($H225&lt;&gt;CX$5,0,IF(CX225&lt;0,IF(OR($J225=1,$J225=2,$J225=3,$J225=4,$J225=5,$J225=6,$J225=7,$J225=8,$J225=9,$J225=10),-$E225*$I225/12*3,IF($J225=11,-$E225*$I225/12*2,IF($J225=12,-$E225*$I225/12*1,0)))))+IF(CS$5&lt;&gt;$H225,0,IF(CS225&lt;0,IF($J225=10,-$E225*$I225/12*0,IF($J225=11,-$E225*$I225/12*1,IF($J225=12,-$E225*$I225/12*2,0)))))</f>
        <v>-1.3635416666666667</v>
      </c>
      <c r="CX225" s="440">
        <f t="shared" ref="CX225:CX231" si="2975">IF(AND(CS225&lt;&gt;0,CS$5=$H225),-$I225*$E225-CS225,IF(CX$5=$H225,-$I225*$E225*(12-$J225+1)/12,0))</f>
        <v>-1.3635416666666667</v>
      </c>
      <c r="CY225" s="441">
        <f t="shared" ref="CY225:CY231" si="2976">IF($H225&lt;&gt;DC$5,0,IF(DC225&lt;0,IF($J225=1,-$E225*$I225/12*3,IF($J225=2,-$E225*$I225/12*2,IF($J225=3,-$E225*$I225/12*1,0)))))+IF(CX$5&lt;&gt;$H225,0,IF(CX225&lt;0,IF($J225=1,-$E225*$I225/12*0,IF($J225=2,-$E225*$I225/12*1,IF($J225=3,-$E225*$I225/12*2,IF($J225&gt;=4,-$E225*$I225/12*3,0))))))</f>
        <v>-4.0906250000000002</v>
      </c>
      <c r="CZ225" s="442">
        <f t="shared" ref="CZ225:CZ231" si="2977">IF($H225&lt;&gt;DC$5,0,IF(DC225&lt;0,IF(OR($J225=1,$J225=2,$J225=3,$J225=4),-$E225*$I225/12*3,IF($J225=5,-$E225*$I225/12*2,IF($J225=6,-$E225*$I225/12*1,0)))))+IF(CX$5&lt;&gt;$H225,0,IF(CX225&lt;0,IF($J225=4,-$E225*$I225/12*0,IF($J225=5,-$E225*$I225/12*1,IF($J225=6,-$E225*$I225/12*2,IF($J225&gt;=7,-$E225*$I225/12*3,0))))))</f>
        <v>-4.0906250000000002</v>
      </c>
      <c r="DA225" s="442">
        <f t="shared" ref="DA225:DA231" si="2978">IF($H225&lt;&gt;DC$5,0,IF(DC225&lt;0,IF(OR($J225=1,$J225=2,$J225=3,$J225=4,$J225=5,$J225=6,$J225=7),-$E225*$I225/12*3,IF($J225=8,-$E225*$I225/12*2,IF($J225=9,-$E225*$I225/12*1,0)))))+IF(CX$5&lt;&gt;$H225,0,IF(CX225&lt;0,IF($J225=7,-$E225*$I225/12*0,IF($J225=8,-$E225*$I225/12*1,IF($J225=9,-$E225*$I225/12*2,IF($J225&gt;=10,-$E225*$I225/12*3,0))))))</f>
        <v>-4.0906250000000002</v>
      </c>
      <c r="DB225" s="443">
        <f t="shared" ref="DB225:DB231" si="2979">IF($H225&lt;&gt;DC$5,0,IF(DC225&lt;0,IF(OR($J225=1,$J225=2,$J225=3,$J225=4,$J225=5,$J225=6,$J225=7,$J225=8,$J225=9,$J225=10),-$E225*$I225/12*3,IF($J225=11,-$E225*$I225/12*2,IF($J225=12,-$E225*$I225/12*1,0)))))+IF(CX$5&lt;&gt;$H225,0,IF(CX225&lt;0,IF($J225=10,-$E225*$I225/12*0,IF($J225=11,-$E225*$I225/12*1,IF($J225=12,-$E225*$I225/12*2,0)))))</f>
        <v>-2.7270833333333333</v>
      </c>
      <c r="DC225" s="440">
        <f t="shared" ref="DC225:DC231" si="2980">IF(AND(CX225&lt;&gt;0,CX$5=$H225),-$I225*$E225-CX225,IF(DC$5=$H225,-$I225*$E225*(12-$J225+1)/12,0))</f>
        <v>-14.998958333333334</v>
      </c>
      <c r="DD225" s="441">
        <f t="shared" ref="DD225:DD231" si="2981">IF($H225&lt;&gt;DH$5,0,IF(DH225&lt;0,IF($J225=1,-$E225*$I225/12*3,IF($J225=2,-$E225*$I225/12*2,IF($J225=3,-$E225*$I225/12*1,0)))))+IF(DC$5&lt;&gt;$H225,0,IF(DC225&lt;0,IF($J225=1,-$E225*$I225/12*0,IF($J225=2,-$E225*$I225/12*1,IF($J225=3,-$E225*$I225/12*2,IF($J225&gt;=4,-$E225*$I225/12*3,0))))))</f>
        <v>0</v>
      </c>
      <c r="DE225" s="442">
        <f t="shared" ref="DE225:DE231" si="2982">IF($H225&lt;&gt;DH$5,0,IF(DH225&lt;0,IF(OR($J225=1,$J225=2,$J225=3,$J225=4),-$E225*$I225/12*3,IF($J225=5,-$E225*$I225/12*2,IF($J225=6,-$E225*$I225/12*1,0)))))+IF(DC$5&lt;&gt;$H225,0,IF(DC225&lt;0,IF($J225=4,-$E225*$I225/12*0,IF($J225=5,-$E225*$I225/12*1,IF($J225=6,-$E225*$I225/12*2,IF($J225&gt;=7,-$E225*$I225/12*3,0))))))</f>
        <v>0</v>
      </c>
      <c r="DF225" s="442">
        <f t="shared" ref="DF225:DF231" si="2983">IF($H225&lt;&gt;DH$5,0,IF(DH225&lt;0,IF(OR($J225=1,$J225=2,$J225=3,$J225=4,$J225=5,$J225=6,$J225=7),-$E225*$I225/12*3,IF($J225=8,-$E225*$I225/12*2,IF($J225=9,-$E225*$I225/12*1,0)))))+IF(DC$5&lt;&gt;$H225,0,IF(DC225&lt;0,IF($J225=7,-$E225*$I225/12*0,IF($J225=8,-$E225*$I225/12*1,IF($J225=9,-$E225*$I225/12*2,IF($J225&gt;=10,-$E225*$I225/12*3,0))))))</f>
        <v>0</v>
      </c>
      <c r="DG225" s="443">
        <f t="shared" ref="DG225:DG231" si="2984">IF($H225&lt;&gt;DH$5,0,IF(DH225&lt;0,IF(OR($J225=1,$J225=2,$J225=3,$J225=4,$J225=5,$J225=6,$J225=7,$J225=8,$J225=9,$J225=10),-$E225*$I225/12*3,IF($J225=11,-$E225*$I225/12*2,IF($J225=12,-$E225*$I225/12*1,0)))))+IF(DC$5&lt;&gt;$H225,0,IF(DC225&lt;0,IF($J225=10,-$E225*$I225/12*0,IF($J225=11,-$E225*$I225/12*1,IF($J225=12,-$E225*$I225/12*2,0)))))</f>
        <v>0</v>
      </c>
      <c r="DH225" s="440">
        <f t="shared" ref="DH225:DH231" si="2985">IF(AND(DC225&lt;&gt;0,DC$5=$H225),-$I225*$E225-DC225,IF(DH$5=$H225,-$I225*$E225*(12-$J225+1)/12,0))</f>
        <v>0</v>
      </c>
      <c r="DI225" s="441">
        <f t="shared" ref="DI225:DI231" si="2986">IF($H225&lt;&gt;DM$5,0,IF(DM225&lt;0,IF($J225=1,-$E225*$I225/12*3,IF($J225=2,-$E225*$I225/12*2,IF($J225=3,-$E225*$I225/12*1,0)))))+IF(DH$5&lt;&gt;$H225,0,IF(DH225&lt;0,IF($J225=1,-$E225*$I225/12*0,IF($J225=2,-$E225*$I225/12*1,IF($J225=3,-$E225*$I225/12*2,IF($J225&gt;=4,-$E225*$I225/12*3,0))))))</f>
        <v>0</v>
      </c>
      <c r="DJ225" s="442">
        <f t="shared" ref="DJ225:DJ231" si="2987">IF($H225&lt;&gt;DM$5,0,IF(DM225&lt;0,IF(OR($J225=1,$J225=2,$J225=3,$J225=4),-$E225*$I225/12*3,IF($J225=5,-$E225*$I225/12*2,IF($J225=6,-$E225*$I225/12*1,0)))))+IF(DH$5&lt;&gt;$H225,0,IF(DH225&lt;0,IF($J225=4,-$E225*$I225/12*0,IF($J225=5,-$E225*$I225/12*1,IF($J225=6,-$E225*$I225/12*2,IF($J225&gt;=7,-$E225*$I225/12*3,0))))))</f>
        <v>0</v>
      </c>
      <c r="DK225" s="442">
        <f t="shared" ref="DK225:DK231" si="2988">IF($H225&lt;&gt;DM$5,0,IF(DM225&lt;0,IF(OR($J225=1,$J225=2,$J225=3,$J225=4,$J225=5,$J225=6,$J225=7),-$E225*$I225/12*3,IF($J225=8,-$E225*$I225/12*2,IF($J225=9,-$E225*$I225/12*1,0)))))+IF(DH$5&lt;&gt;$H225,0,IF(DH225&lt;0,IF($J225=7,-$E225*$I225/12*0,IF($J225=8,-$E225*$I225/12*1,IF($J225=9,-$E225*$I225/12*2,IF($J225&gt;=10,-$E225*$I225/12*3,0))))))</f>
        <v>0</v>
      </c>
      <c r="DL225" s="443">
        <f t="shared" ref="DL225:DL231" si="2989">IF($H225&lt;&gt;DM$5,0,IF(DM225&lt;0,IF(OR($J225=1,$J225=2,$J225=3,$J225=4,$J225=5,$J225=6,$J225=7,$J225=8,$J225=9,$J225=10),-$E225*$I225/12*3,IF($J225=11,-$E225*$I225/12*2,IF($J225=12,-$E225*$I225/12*1,0)))))+IF(DH$5&lt;&gt;$H225,0,IF(DH225&lt;0,IF($J225=10,-$E225*$I225/12*0,IF($J225=11,-$E225*$I225/12*1,IF($J225=12,-$E225*$I225/12*2,0)))))</f>
        <v>0</v>
      </c>
      <c r="DM225" s="440">
        <f t="shared" ref="DM225:DM231" si="2990">IF(AND(DH225&lt;&gt;0,DH$5=$H225),-$I225*$E225-DH225,IF(DM$5=$H225,-$I225*$E225*(12-$J225+1)/12,0))</f>
        <v>0</v>
      </c>
      <c r="DN225" s="441">
        <f t="shared" ref="DN225:DN231" si="2991">IF($H225&lt;&gt;DR$5,0,IF(DR225&lt;0,IF($J225=1,-$E225*$I225/12*3,IF($J225=2,-$E225*$I225/12*2,IF($J225=3,-$E225*$I225/12*1,0)))))+IF(DM$5&lt;&gt;$H225,0,IF(DM225&lt;0,IF($J225=1,-$E225*$I225/12*0,IF($J225=2,-$E225*$I225/12*1,IF($J225=3,-$E225*$I225/12*2,IF($J225&gt;=4,-$E225*$I225/12*3,0))))))</f>
        <v>0</v>
      </c>
      <c r="DO225" s="442">
        <f t="shared" ref="DO225:DO231" si="2992">IF($H225&lt;&gt;DR$5,0,IF(DR225&lt;0,IF(OR($J225=1,$J225=2,$J225=3,$J225=4),-$E225*$I225/12*3,IF($J225=5,-$E225*$I225/12*2,IF($J225=6,-$E225*$I225/12*1,0)))))+IF(DM$5&lt;&gt;$H225,0,IF(DM225&lt;0,IF($J225=4,-$E225*$I225/12*0,IF($J225=5,-$E225*$I225/12*1,IF($J225=6,-$E225*$I225/12*2,IF($J225&gt;=7,-$E225*$I225/12*3,0))))))</f>
        <v>0</v>
      </c>
      <c r="DP225" s="442">
        <f t="shared" ref="DP225:DP231" si="2993">IF($H225&lt;&gt;DR$5,0,IF(DR225&lt;0,IF(OR($J225=1,$J225=2,$J225=3,$J225=4,$J225=5,$J225=6,$J225=7),-$E225*$I225/12*3,IF($J225=8,-$E225*$I225/12*2,IF($J225=9,-$E225*$I225/12*1,0)))))+IF(DM$5&lt;&gt;$H225,0,IF(DM225&lt;0,IF($J225=7,-$E225*$I225/12*0,IF($J225=8,-$E225*$I225/12*1,IF($J225=9,-$E225*$I225/12*2,IF($J225&gt;=10,-$E225*$I225/12*3,0))))))</f>
        <v>0</v>
      </c>
      <c r="DQ225" s="443">
        <f t="shared" ref="DQ225:DQ231" si="2994">IF($H225&lt;&gt;DR$5,0,IF(DR225&lt;0,IF(OR($J225=1,$J225=2,$J225=3,$J225=4,$J225=5,$J225=6,$J225=7,$J225=8,$J225=9,$J225=10),-$E225*$I225/12*3,IF($J225=11,-$E225*$I225/12*2,IF($J225=12,-$E225*$I225/12*1,0)))))+IF(DM$5&lt;&gt;$H225,0,IF(DM225&lt;0,IF($J225=10,-$E225*$I225/12*0,IF($J225=11,-$E225*$I225/12*1,IF($J225=12,-$E225*$I225/12*2,0)))))</f>
        <v>0</v>
      </c>
      <c r="DR225" s="440">
        <f t="shared" ref="DR225:DR231" si="2995">IF(AND(DM225&lt;&gt;0,DM$5=$H225),-$I225*$E225-DM225,IF(DR$5=$H225,-$I225*$E225*(12-$J225+1)/12,0))</f>
        <v>0</v>
      </c>
    </row>
    <row r="226" spans="1:122" s="94" customFormat="1">
      <c r="C226" s="1369" t="s">
        <v>96</v>
      </c>
      <c r="D226" s="1234"/>
      <c r="E226" s="1954">
        <f t="shared" si="2885"/>
        <v>100</v>
      </c>
      <c r="F226" s="1955">
        <v>100</v>
      </c>
      <c r="G226" s="1955">
        <v>100</v>
      </c>
      <c r="H226" s="1371">
        <v>2022</v>
      </c>
      <c r="I226" s="1372">
        <v>3.3399999999999999E-2</v>
      </c>
      <c r="J226" s="1373">
        <v>4</v>
      </c>
      <c r="K226" s="549"/>
      <c r="L226" s="441">
        <f>IF(P226=0,0,IF(P226&lt;0,IF($J226=3,P226,IF($J226=2,P226,IF($J226=1,P226,0)))))</f>
        <v>0</v>
      </c>
      <c r="M226" s="442">
        <f>IF(P226=0,0,IF(P226&lt;0,IF($J226=6,P226,IF($J226=5,P226,IF($J226=4,P226,0)))))</f>
        <v>0</v>
      </c>
      <c r="N226" s="442">
        <f>IF(P226=0,0,IF(P226&lt;0,IF($J226=9,P226,IF($J226=8,P226,IF($J226=7,P226,0)))))</f>
        <v>0</v>
      </c>
      <c r="O226" s="443">
        <f>IF(P226=0,0,IF(P226&lt;0,IF($J226=12,P226,IF($J226=11,P226,IF($J226=10,P226,0)))))</f>
        <v>0</v>
      </c>
      <c r="P226" s="440">
        <f>IF(P$5=$H226,-$E226,0)</f>
        <v>0</v>
      </c>
      <c r="Q226" s="441">
        <f>IF(U226=0,0,IF(U226&lt;0,IF($J226=3,U226,IF($J226=2,U226,IF($J226=1,U226,0)))))</f>
        <v>0</v>
      </c>
      <c r="R226" s="442">
        <f>IF(U226=0,0,IF(U226&lt;0,IF($J226=6,U226,IF($J226=5,U226,IF($J226=4,U226,0)))))</f>
        <v>0</v>
      </c>
      <c r="S226" s="442">
        <f>IF(U226=0,0,IF(U226&lt;0,IF($J226=9,U226,IF($J226=8,U226,IF($J226=7,U226,0)))))</f>
        <v>0</v>
      </c>
      <c r="T226" s="443">
        <f>IF(U226=0,0,IF(U226&lt;0,IF($J226=12,U226,IF($J226=11,U226,IF($J226=10,U226,0)))))</f>
        <v>0</v>
      </c>
      <c r="U226" s="440">
        <f>IF(U$5=$H226,-$E226,0)</f>
        <v>0</v>
      </c>
      <c r="V226" s="441">
        <f>IF(Z226=0,0,IF(Z226&lt;0,IF($J226=3,Z226,IF($J226=2,Z226,IF($J226=1,Z226,0)))))</f>
        <v>0</v>
      </c>
      <c r="W226" s="442">
        <f>IF(Z226=0,0,IF(Z226&lt;0,IF($J226=6,Z226,IF($J226=5,Z226,IF($J226=4,Z226,0)))))</f>
        <v>0</v>
      </c>
      <c r="X226" s="442">
        <f>IF(Z226=0,0,IF(Z226&lt;0,IF($J226=9,Z226,IF($J226=8,Z226,IF($J226=7,Z226,0)))))</f>
        <v>0</v>
      </c>
      <c r="Y226" s="443">
        <f>IF(Z226=0,0,IF(Z226&lt;0,IF($J226=12,Z226,IF($J226=11,Z226,IF($J226=10,Z226,0)))))</f>
        <v>0</v>
      </c>
      <c r="Z226" s="440">
        <f>IF(Z$5=$H226,-$E226,0)</f>
        <v>0</v>
      </c>
      <c r="AA226" s="441">
        <f>IF(AE226=0,0,IF(AE226&lt;0,IF($J226=3,AE226,IF($J226=2,AE226,IF($J226=1,AE226,0)))))</f>
        <v>0</v>
      </c>
      <c r="AB226" s="442">
        <f>IF(AE226=0,0,IF(AE226&lt;0,IF($J226=6,AE226,IF($J226=5,AE226,IF($J226=4,AE226,0)))))</f>
        <v>0</v>
      </c>
      <c r="AC226" s="442">
        <f>IF(AE226=0,0,IF(AE226&lt;0,IF($J226=9,AE226,IF($J226=8,AE226,IF($J226=7,AE226,0)))))</f>
        <v>0</v>
      </c>
      <c r="AD226" s="443">
        <f>IF(AE226=0,0,IF(AE226&lt;0,IF($J226=12,AE226,IF($J226=11,AE226,IF($J226=10,AE226,0)))))</f>
        <v>0</v>
      </c>
      <c r="AE226" s="440">
        <f>IF(AE$5=$H226,-$E226,0)</f>
        <v>0</v>
      </c>
      <c r="AF226" s="441">
        <f>IF(AJ226=0,0,IF(AJ226&lt;0,IF($J226=3,AJ226,IF($J226=2,AJ226,IF($J226=1,AJ226,0)))))</f>
        <v>0</v>
      </c>
      <c r="AG226" s="442">
        <f>IF(AJ226=0,0,IF(AJ226&lt;0,IF($J226=6,AJ226,IF($J226=5,AJ226,IF($J226=4,AJ226,0)))))</f>
        <v>0</v>
      </c>
      <c r="AH226" s="442">
        <f>IF(AJ226=0,0,IF(AJ226&lt;0,IF($J226=9,AJ226,IF($J226=8,AJ226,IF($J226=7,AJ226,0)))))</f>
        <v>0</v>
      </c>
      <c r="AI226" s="443">
        <f>IF(AJ226=0,0,IF(AJ226&lt;0,IF($J226=12,AJ226,IF($J226=11,AJ226,IF($J226=10,AJ226,0)))))</f>
        <v>0</v>
      </c>
      <c r="AJ226" s="440">
        <f>IF(AJ$5=$H226,-$E226,0)</f>
        <v>0</v>
      </c>
      <c r="AK226" s="441">
        <f>IF(AO226=0,0,IF(AO226&lt;0,IF($J226=3,AO226,IF($J226=2,AO226,IF($J226=1,AO226,0)))))</f>
        <v>0</v>
      </c>
      <c r="AL226" s="442">
        <f>IF(AO226=0,0,IF(AO226&lt;0,IF($J226=6,AO226,IF($J226=5,AO226,IF($J226=4,AO226,0)))))</f>
        <v>0</v>
      </c>
      <c r="AM226" s="442">
        <f>IF(AO226=0,0,IF(AO226&lt;0,IF($J226=9,AO226,IF($J226=8,AO226,IF($J226=7,AO226,0)))))</f>
        <v>0</v>
      </c>
      <c r="AN226" s="443">
        <f>IF(AO226=0,0,IF(AO226&lt;0,IF($J226=12,AO226,IF($J226=11,AO226,IF($J226=10,AO226,0)))))</f>
        <v>0</v>
      </c>
      <c r="AO226" s="440">
        <f>IF(AO$5=$H226,-$E226,0)</f>
        <v>0</v>
      </c>
      <c r="AP226" s="441">
        <f>IF(AT226=0,0,IF(AT226&lt;0,IF($J226=3,AT226,IF($J226=2,AT226,IF($J226=1,AT226,0)))))</f>
        <v>0</v>
      </c>
      <c r="AQ226" s="442">
        <f>IF(AT226=0,0,IF(AT226&lt;0,IF($J226=6,AT226,IF($J226=5,AT226,IF($J226=4,AT226,0)))))</f>
        <v>0</v>
      </c>
      <c r="AR226" s="442">
        <f>IF(AT226=0,0,IF(AT226&lt;0,IF($J226=9,AT226,IF($J226=8,AT226,IF($J226=7,AT226,0)))))</f>
        <v>0</v>
      </c>
      <c r="AS226" s="443">
        <f>IF(AT226=0,0,IF(AT226&lt;0,IF($J226=12,AT226,IF($J226=11,AT226,IF($J226=10,AT226,0)))))</f>
        <v>0</v>
      </c>
      <c r="AT226" s="440">
        <f>IF(AT$5=$H226,-$E226,0)</f>
        <v>0</v>
      </c>
      <c r="AU226" s="441">
        <f>IF(AY226=0,0,IF(AY226&lt;0,IF($J226=3,AY226,IF($J226=2,AY226,IF($J226=1,AY226,0)))))</f>
        <v>0</v>
      </c>
      <c r="AV226" s="442">
        <f>IF(AY226=0,0,IF(AY226&lt;0,IF($J226=6,AY226,IF($J226=5,AY226,IF($J226=4,AY226,0)))))</f>
        <v>0</v>
      </c>
      <c r="AW226" s="442">
        <f>IF(AY226=0,0,IF(AY226&lt;0,IF($J226=9,AY226,IF($J226=8,AY226,IF($J226=7,AY226,0)))))</f>
        <v>0</v>
      </c>
      <c r="AX226" s="443">
        <f>IF(AY226=0,0,IF(AY226&lt;0,IF($J226=12,AY226,IF($J226=11,AY226,IF($J226=10,AY226,0)))))</f>
        <v>0</v>
      </c>
      <c r="AY226" s="440">
        <f>IF(AY$5=$H226,-$E226,0)</f>
        <v>0</v>
      </c>
      <c r="AZ226" s="441">
        <f>IF(BD226=0,0,IF(BD226&lt;0,IF($J226=3,BD226,IF($J226=2,BD226,IF($J226=1,BD226,0)))))</f>
        <v>0</v>
      </c>
      <c r="BA226" s="442">
        <f>IF(BD226=0,0,IF(BD226&lt;0,IF($J226=6,BD226,IF($J226=5,BD226,IF($J226=4,BD226,0)))))</f>
        <v>0</v>
      </c>
      <c r="BB226" s="442">
        <f>IF(BD226=0,0,IF(BD226&lt;0,IF($J226=9,BD226,IF($J226=8,BD226,IF($J226=7,BD226,0)))))</f>
        <v>0</v>
      </c>
      <c r="BC226" s="443">
        <f>IF(BD226=0,0,IF(BD226&lt;0,IF($J226=12,BD226,IF($J226=11,BD226,IF($J226=10,BD226,0)))))</f>
        <v>0</v>
      </c>
      <c r="BD226" s="440">
        <f>IF(BD$5=$H226,-$E226,0)</f>
        <v>0</v>
      </c>
      <c r="BE226" s="441">
        <f>IF(BI226=0,0,IF(BI226&lt;0,IF($J226=3,BI226,IF($J226=2,BI226,IF($J226=1,BI226,0)))))</f>
        <v>0</v>
      </c>
      <c r="BF226" s="442">
        <f>IF(BI226=0,0,IF(BI226&lt;0,IF($J226=6,BI226,IF($J226=5,BI226,IF($J226=4,BI226,0)))))</f>
        <v>0</v>
      </c>
      <c r="BG226" s="442">
        <f>IF(BI226=0,0,IF(BI226&lt;0,IF($J226=9,BI226,IF($J226=8,BI226,IF($J226=7,BI226,0)))))</f>
        <v>0</v>
      </c>
      <c r="BH226" s="443">
        <f>IF(BI226=0,0,IF(BI226&lt;0,IF($J226=12,BI226,IF($J226=11,BI226,IF($J226=10,BI226,0)))))</f>
        <v>0</v>
      </c>
      <c r="BI226" s="440">
        <f>IF(BI$5=$H226,-$E226,0)</f>
        <v>0</v>
      </c>
      <c r="BJ226" s="441">
        <f>IF(BN226=0,0,IF(BN226&lt;0,IF($J226=3,BN226,IF($J226=2,BN226,IF($J226=1,BN226,0)))))</f>
        <v>0</v>
      </c>
      <c r="BK226" s="442">
        <f>IF(BN226=0,0,IF(BN226&lt;0,IF($J226=6,BN226,IF($J226=5,BN226,IF($J226=4,BN226,0)))))</f>
        <v>0</v>
      </c>
      <c r="BL226" s="442">
        <f>IF(BN226=0,0,IF(BN226&lt;0,IF($J226=9,BN226,IF($J226=8,BN226,IF($J226=7,BN226,0)))))</f>
        <v>0</v>
      </c>
      <c r="BM226" s="443">
        <f>IF(BN226=0,0,IF(BN226&lt;0,IF($J226=12,BN226,IF($J226=11,BN226,IF($J226=10,BN226,0)))))</f>
        <v>0</v>
      </c>
      <c r="BN226" s="440">
        <f>IF(BN$5=$H226,-$E226,0)</f>
        <v>0</v>
      </c>
      <c r="BO226" s="470"/>
      <c r="BP226" s="441">
        <f t="shared" si="2941"/>
        <v>0</v>
      </c>
      <c r="BQ226" s="442">
        <f t="shared" si="2942"/>
        <v>0</v>
      </c>
      <c r="BR226" s="442">
        <f t="shared" si="2943"/>
        <v>0</v>
      </c>
      <c r="BS226" s="443">
        <f t="shared" si="2944"/>
        <v>0</v>
      </c>
      <c r="BT226" s="440">
        <f t="shared" si="2945"/>
        <v>0</v>
      </c>
      <c r="BU226" s="441">
        <f t="shared" si="2946"/>
        <v>0</v>
      </c>
      <c r="BV226" s="442">
        <f t="shared" si="2947"/>
        <v>0</v>
      </c>
      <c r="BW226" s="442">
        <f t="shared" si="2948"/>
        <v>0</v>
      </c>
      <c r="BX226" s="443">
        <f t="shared" si="2949"/>
        <v>0</v>
      </c>
      <c r="BY226" s="440">
        <f t="shared" si="2950"/>
        <v>0</v>
      </c>
      <c r="BZ226" s="441">
        <f t="shared" si="2951"/>
        <v>0</v>
      </c>
      <c r="CA226" s="442">
        <f t="shared" si="2952"/>
        <v>0</v>
      </c>
      <c r="CB226" s="442">
        <f t="shared" si="2953"/>
        <v>0</v>
      </c>
      <c r="CC226" s="443">
        <f t="shared" si="2954"/>
        <v>0</v>
      </c>
      <c r="CD226" s="440">
        <f t="shared" si="2955"/>
        <v>0</v>
      </c>
      <c r="CE226" s="441">
        <f t="shared" si="2956"/>
        <v>0</v>
      </c>
      <c r="CF226" s="442">
        <f t="shared" si="2957"/>
        <v>0</v>
      </c>
      <c r="CG226" s="442">
        <f t="shared" si="2958"/>
        <v>0</v>
      </c>
      <c r="CH226" s="443">
        <f t="shared" si="2959"/>
        <v>0</v>
      </c>
      <c r="CI226" s="440">
        <f t="shared" si="2960"/>
        <v>0</v>
      </c>
      <c r="CJ226" s="441">
        <f t="shared" si="2961"/>
        <v>0</v>
      </c>
      <c r="CK226" s="442">
        <f t="shared" si="2962"/>
        <v>0</v>
      </c>
      <c r="CL226" s="442">
        <f t="shared" si="2963"/>
        <v>0</v>
      </c>
      <c r="CM226" s="443">
        <f t="shared" si="2964"/>
        <v>0</v>
      </c>
      <c r="CN226" s="440">
        <f t="shared" si="2965"/>
        <v>0</v>
      </c>
      <c r="CO226" s="441">
        <f t="shared" si="2966"/>
        <v>0</v>
      </c>
      <c r="CP226" s="442">
        <f t="shared" si="2967"/>
        <v>0</v>
      </c>
      <c r="CQ226" s="442">
        <f t="shared" si="2968"/>
        <v>0</v>
      </c>
      <c r="CR226" s="443">
        <f t="shared" si="2969"/>
        <v>0</v>
      </c>
      <c r="CS226" s="440">
        <f t="shared" si="2970"/>
        <v>0</v>
      </c>
      <c r="CT226" s="441">
        <f t="shared" si="2971"/>
        <v>0</v>
      </c>
      <c r="CU226" s="442">
        <f t="shared" si="2972"/>
        <v>0</v>
      </c>
      <c r="CV226" s="442">
        <f t="shared" si="2973"/>
        <v>0</v>
      </c>
      <c r="CW226" s="443">
        <f t="shared" si="2974"/>
        <v>0</v>
      </c>
      <c r="CX226" s="440">
        <f t="shared" si="2975"/>
        <v>0</v>
      </c>
      <c r="CY226" s="441">
        <f t="shared" si="2976"/>
        <v>0</v>
      </c>
      <c r="CZ226" s="442">
        <f t="shared" si="2977"/>
        <v>0</v>
      </c>
      <c r="DA226" s="442">
        <f t="shared" si="2978"/>
        <v>0</v>
      </c>
      <c r="DB226" s="443">
        <f t="shared" si="2979"/>
        <v>0</v>
      </c>
      <c r="DC226" s="440">
        <f t="shared" si="2980"/>
        <v>0</v>
      </c>
      <c r="DD226" s="441">
        <f t="shared" si="2981"/>
        <v>0</v>
      </c>
      <c r="DE226" s="442">
        <f t="shared" si="2982"/>
        <v>0</v>
      </c>
      <c r="DF226" s="442">
        <f t="shared" si="2983"/>
        <v>0</v>
      </c>
      <c r="DG226" s="443">
        <f t="shared" si="2984"/>
        <v>0</v>
      </c>
      <c r="DH226" s="440">
        <f t="shared" si="2985"/>
        <v>0</v>
      </c>
      <c r="DI226" s="441">
        <f t="shared" si="2986"/>
        <v>0</v>
      </c>
      <c r="DJ226" s="442">
        <f t="shared" si="2987"/>
        <v>0</v>
      </c>
      <c r="DK226" s="442">
        <f t="shared" si="2988"/>
        <v>0</v>
      </c>
      <c r="DL226" s="443">
        <f t="shared" si="2989"/>
        <v>0</v>
      </c>
      <c r="DM226" s="440">
        <f t="shared" si="2990"/>
        <v>0</v>
      </c>
      <c r="DN226" s="441">
        <f t="shared" si="2991"/>
        <v>0</v>
      </c>
      <c r="DO226" s="442">
        <f t="shared" si="2992"/>
        <v>0</v>
      </c>
      <c r="DP226" s="442">
        <f t="shared" si="2993"/>
        <v>0</v>
      </c>
      <c r="DQ226" s="443">
        <f t="shared" si="2994"/>
        <v>0</v>
      </c>
      <c r="DR226" s="440">
        <f t="shared" si="2995"/>
        <v>0</v>
      </c>
    </row>
    <row r="227" spans="1:122" s="94" customFormat="1">
      <c r="C227" s="1946" t="s">
        <v>1007</v>
      </c>
      <c r="D227" s="1953"/>
      <c r="E227" s="1954">
        <f t="shared" si="2885"/>
        <v>150</v>
      </c>
      <c r="F227" s="1757">
        <v>150</v>
      </c>
      <c r="G227" s="1757">
        <v>150</v>
      </c>
      <c r="H227" s="1371">
        <v>2045</v>
      </c>
      <c r="I227" s="1372">
        <v>4.4499999999999998E-2</v>
      </c>
      <c r="J227" s="1749">
        <v>9</v>
      </c>
      <c r="K227" s="549"/>
      <c r="L227" s="441">
        <f>IF(P227=0,0,IF(P227&lt;0,IF($J227=3,P227,IF($J227=2,P227,IF($J227=1,P227,0)))))</f>
        <v>0</v>
      </c>
      <c r="M227" s="442">
        <f>IF(P227=0,0,IF(P227&lt;0,IF($J227=6,P227,IF($J227=5,P227,IF($J227=4,P227,0)))))</f>
        <v>0</v>
      </c>
      <c r="N227" s="442">
        <f>IF(P227=0,0,IF(P227&lt;0,IF($J227=9,P227,IF($J227=8,P227,IF($J227=7,P227,0)))))</f>
        <v>0</v>
      </c>
      <c r="O227" s="443">
        <f>IF(P227=0,0,IF(P227&lt;0,IF($J227=12,P227,IF($J227=11,P227,IF($J227=10,P227,0)))))</f>
        <v>0</v>
      </c>
      <c r="P227" s="440">
        <f>IF(P$5=$H227,-$E227,0)</f>
        <v>0</v>
      </c>
      <c r="Q227" s="441">
        <f>IF(U227=0,0,IF(U227&lt;0,IF($J227=3,U227,IF($J227=2,U227,IF($J227=1,U227,0)))))</f>
        <v>0</v>
      </c>
      <c r="R227" s="442">
        <f>IF(U227=0,0,IF(U227&lt;0,IF($J227=6,U227,IF($J227=5,U227,IF($J227=4,U227,0)))))</f>
        <v>0</v>
      </c>
      <c r="S227" s="442">
        <f>IF(U227=0,0,IF(U227&lt;0,IF($J227=9,U227,IF($J227=8,U227,IF($J227=7,U227,0)))))</f>
        <v>0</v>
      </c>
      <c r="T227" s="443">
        <f>IF(U227=0,0,IF(U227&lt;0,IF($J227=12,U227,IF($J227=11,U227,IF($J227=10,U227,0)))))</f>
        <v>0</v>
      </c>
      <c r="U227" s="440">
        <f>IF(U$5=$H227,-$E227,0)</f>
        <v>0</v>
      </c>
      <c r="V227" s="441">
        <f>IF(Z227=0,0,IF(Z227&lt;0,IF($J227=3,Z227,IF($J227=2,Z227,IF($J227=1,Z227,0)))))</f>
        <v>0</v>
      </c>
      <c r="W227" s="442">
        <f>IF(Z227=0,0,IF(Z227&lt;0,IF($J227=6,Z227,IF($J227=5,Z227,IF($J227=4,Z227,0)))))</f>
        <v>0</v>
      </c>
      <c r="X227" s="442">
        <f>IF(Z227=0,0,IF(Z227&lt;0,IF($J227=9,Z227,IF($J227=8,Z227,IF($J227=7,Z227,0)))))</f>
        <v>0</v>
      </c>
      <c r="Y227" s="443">
        <f>IF(Z227=0,0,IF(Z227&lt;0,IF($J227=12,Z227,IF($J227=11,Z227,IF($J227=10,Z227,0)))))</f>
        <v>0</v>
      </c>
      <c r="Z227" s="440">
        <f>IF(Z$5=$H227,-$E227,0)</f>
        <v>0</v>
      </c>
      <c r="AA227" s="441">
        <f>IF(AE227=0,0,IF(AE227&lt;0,IF($J227=3,AE227,IF($J227=2,AE227,IF($J227=1,AE227,0)))))</f>
        <v>0</v>
      </c>
      <c r="AB227" s="442">
        <f>IF(AE227=0,0,IF(AE227&lt;0,IF($J227=6,AE227,IF($J227=5,AE227,IF($J227=4,AE227,0)))))</f>
        <v>0</v>
      </c>
      <c r="AC227" s="442">
        <f>IF(AE227=0,0,IF(AE227&lt;0,IF($J227=9,AE227,IF($J227=8,AE227,IF($J227=7,AE227,0)))))</f>
        <v>0</v>
      </c>
      <c r="AD227" s="443">
        <f>IF(AE227=0,0,IF(AE227&lt;0,IF($J227=12,AE227,IF($J227=11,AE227,IF($J227=10,AE227,0)))))</f>
        <v>0</v>
      </c>
      <c r="AE227" s="440">
        <f>IF(AE$5=$H227,-$E227,0)</f>
        <v>0</v>
      </c>
      <c r="AF227" s="441">
        <f>IF(AJ227=0,0,IF(AJ227&lt;0,IF($J227=3,AJ227,IF($J227=2,AJ227,IF($J227=1,AJ227,0)))))</f>
        <v>0</v>
      </c>
      <c r="AG227" s="442">
        <f>IF(AJ227=0,0,IF(AJ227&lt;0,IF($J227=6,AJ227,IF($J227=5,AJ227,IF($J227=4,AJ227,0)))))</f>
        <v>0</v>
      </c>
      <c r="AH227" s="442">
        <f>IF(AJ227=0,0,IF(AJ227&lt;0,IF($J227=9,AJ227,IF($J227=8,AJ227,IF($J227=7,AJ227,0)))))</f>
        <v>0</v>
      </c>
      <c r="AI227" s="443">
        <f>IF(AJ227=0,0,IF(AJ227&lt;0,IF($J227=12,AJ227,IF($J227=11,AJ227,IF($J227=10,AJ227,0)))))</f>
        <v>0</v>
      </c>
      <c r="AJ227" s="440">
        <f>IF(AJ$5=$H227,-$E227,0)</f>
        <v>0</v>
      </c>
      <c r="AK227" s="441">
        <f>IF(AO227=0,0,IF(AO227&lt;0,IF($J227=3,AO227,IF($J227=2,AO227,IF($J227=1,AO227,0)))))</f>
        <v>0</v>
      </c>
      <c r="AL227" s="442">
        <f>IF(AO227=0,0,IF(AO227&lt;0,IF($J227=6,AO227,IF($J227=5,AO227,IF($J227=4,AO227,0)))))</f>
        <v>0</v>
      </c>
      <c r="AM227" s="442">
        <f>IF(AO227=0,0,IF(AO227&lt;0,IF($J227=9,AO227,IF($J227=8,AO227,IF($J227=7,AO227,0)))))</f>
        <v>0</v>
      </c>
      <c r="AN227" s="443">
        <f>IF(AO227=0,0,IF(AO227&lt;0,IF($J227=12,AO227,IF($J227=11,AO227,IF($J227=10,AO227,0)))))</f>
        <v>0</v>
      </c>
      <c r="AO227" s="440">
        <f>IF(AO$5=$H227,-$E227,0)</f>
        <v>0</v>
      </c>
      <c r="AP227" s="441">
        <f>IF(AT227=0,0,IF(AT227&lt;0,IF($J227=3,AT227,IF($J227=2,AT227,IF($J227=1,AT227,0)))))</f>
        <v>0</v>
      </c>
      <c r="AQ227" s="442">
        <f>IF(AT227=0,0,IF(AT227&lt;0,IF($J227=6,AT227,IF($J227=5,AT227,IF($J227=4,AT227,0)))))</f>
        <v>0</v>
      </c>
      <c r="AR227" s="442">
        <f>IF(AT227=0,0,IF(AT227&lt;0,IF($J227=9,AT227,IF($J227=8,AT227,IF($J227=7,AT227,0)))))</f>
        <v>0</v>
      </c>
      <c r="AS227" s="443">
        <f>IF(AT227=0,0,IF(AT227&lt;0,IF($J227=12,AT227,IF($J227=11,AT227,IF($J227=10,AT227,0)))))</f>
        <v>0</v>
      </c>
      <c r="AT227" s="440">
        <f>IF(AT$5=$H227,-$E227,0)</f>
        <v>0</v>
      </c>
      <c r="AU227" s="441">
        <f>IF(AY227=0,0,IF(AY227&lt;0,IF($J227=3,AY227,IF($J227=2,AY227,IF($J227=1,AY227,0)))))</f>
        <v>0</v>
      </c>
      <c r="AV227" s="442">
        <f>IF(AY227=0,0,IF(AY227&lt;0,IF($J227=6,AY227,IF($J227=5,AY227,IF($J227=4,AY227,0)))))</f>
        <v>0</v>
      </c>
      <c r="AW227" s="442">
        <f>IF(AY227=0,0,IF(AY227&lt;0,IF($J227=9,AY227,IF($J227=8,AY227,IF($J227=7,AY227,0)))))</f>
        <v>0</v>
      </c>
      <c r="AX227" s="443">
        <f>IF(AY227=0,0,IF(AY227&lt;0,IF($J227=12,AY227,IF($J227=11,AY227,IF($J227=10,AY227,0)))))</f>
        <v>0</v>
      </c>
      <c r="AY227" s="440">
        <f>IF(AY$5=$H227,-$E227,0)</f>
        <v>0</v>
      </c>
      <c r="AZ227" s="441">
        <f>IF(BD227=0,0,IF(BD227&lt;0,IF($J227=3,BD227,IF($J227=2,BD227,IF($J227=1,BD227,0)))))</f>
        <v>0</v>
      </c>
      <c r="BA227" s="442">
        <f>IF(BD227=0,0,IF(BD227&lt;0,IF($J227=6,BD227,IF($J227=5,BD227,IF($J227=4,BD227,0)))))</f>
        <v>0</v>
      </c>
      <c r="BB227" s="442">
        <f>IF(BD227=0,0,IF(BD227&lt;0,IF($J227=9,BD227,IF($J227=8,BD227,IF($J227=7,BD227,0)))))</f>
        <v>0</v>
      </c>
      <c r="BC227" s="443">
        <f>IF(BD227=0,0,IF(BD227&lt;0,IF($J227=12,BD227,IF($J227=11,BD227,IF($J227=10,BD227,0)))))</f>
        <v>0</v>
      </c>
      <c r="BD227" s="440">
        <f>IF(BD$5=$H227,-$E227,0)</f>
        <v>0</v>
      </c>
      <c r="BE227" s="441">
        <f>IF(BI227=0,0,IF(BI227&lt;0,IF($J227=3,BI227,IF($J227=2,BI227,IF($J227=1,BI227,0)))))</f>
        <v>0</v>
      </c>
      <c r="BF227" s="442">
        <f>IF(BI227=0,0,IF(BI227&lt;0,IF($J227=6,BI227,IF($J227=5,BI227,IF($J227=4,BI227,0)))))</f>
        <v>0</v>
      </c>
      <c r="BG227" s="442">
        <f>IF(BI227=0,0,IF(BI227&lt;0,IF($J227=9,BI227,IF($J227=8,BI227,IF($J227=7,BI227,0)))))</f>
        <v>0</v>
      </c>
      <c r="BH227" s="443">
        <f>IF(BI227=0,0,IF(BI227&lt;0,IF($J227=12,BI227,IF($J227=11,BI227,IF($J227=10,BI227,0)))))</f>
        <v>0</v>
      </c>
      <c r="BI227" s="440">
        <f>IF(BI$5=$H227,-$E227,0)</f>
        <v>0</v>
      </c>
      <c r="BJ227" s="441">
        <f>IF(BN227=0,0,IF(BN227&lt;0,IF($J227=3,BN227,IF($J227=2,BN227,IF($J227=1,BN227,0)))))</f>
        <v>0</v>
      </c>
      <c r="BK227" s="442">
        <f>IF(BN227=0,0,IF(BN227&lt;0,IF($J227=6,BN227,IF($J227=5,BN227,IF($J227=4,BN227,0)))))</f>
        <v>0</v>
      </c>
      <c r="BL227" s="442">
        <f>IF(BN227=0,0,IF(BN227&lt;0,IF($J227=9,BN227,IF($J227=8,BN227,IF($J227=7,BN227,0)))))</f>
        <v>0</v>
      </c>
      <c r="BM227" s="443">
        <f>IF(BN227=0,0,IF(BN227&lt;0,IF($J227=12,BN227,IF($J227=11,BN227,IF($J227=10,BN227,0)))))</f>
        <v>0</v>
      </c>
      <c r="BN227" s="440">
        <f>IF(BN$5=$H227,-$E227,0)</f>
        <v>0</v>
      </c>
      <c r="BO227" s="470"/>
      <c r="BP227" s="441">
        <f t="shared" si="2941"/>
        <v>0</v>
      </c>
      <c r="BQ227" s="442">
        <f t="shared" si="2942"/>
        <v>0</v>
      </c>
      <c r="BR227" s="442">
        <f t="shared" si="2943"/>
        <v>0</v>
      </c>
      <c r="BS227" s="443">
        <f t="shared" si="2944"/>
        <v>0</v>
      </c>
      <c r="BT227" s="440">
        <f t="shared" si="2945"/>
        <v>0</v>
      </c>
      <c r="BU227" s="441">
        <f t="shared" si="2946"/>
        <v>0</v>
      </c>
      <c r="BV227" s="442">
        <f t="shared" si="2947"/>
        <v>0</v>
      </c>
      <c r="BW227" s="442">
        <f t="shared" si="2948"/>
        <v>0</v>
      </c>
      <c r="BX227" s="443">
        <f t="shared" si="2949"/>
        <v>0</v>
      </c>
      <c r="BY227" s="440">
        <f t="shared" si="2950"/>
        <v>0</v>
      </c>
      <c r="BZ227" s="441">
        <f t="shared" si="2951"/>
        <v>0</v>
      </c>
      <c r="CA227" s="442">
        <f t="shared" si="2952"/>
        <v>0</v>
      </c>
      <c r="CB227" s="442">
        <f t="shared" si="2953"/>
        <v>0</v>
      </c>
      <c r="CC227" s="443">
        <f t="shared" si="2954"/>
        <v>0</v>
      </c>
      <c r="CD227" s="440">
        <f t="shared" si="2955"/>
        <v>0</v>
      </c>
      <c r="CE227" s="441">
        <f t="shared" si="2956"/>
        <v>0</v>
      </c>
      <c r="CF227" s="442">
        <f t="shared" si="2957"/>
        <v>0</v>
      </c>
      <c r="CG227" s="442">
        <f t="shared" si="2958"/>
        <v>0</v>
      </c>
      <c r="CH227" s="443">
        <f t="shared" si="2959"/>
        <v>0</v>
      </c>
      <c r="CI227" s="440">
        <f t="shared" si="2960"/>
        <v>0</v>
      </c>
      <c r="CJ227" s="441">
        <f t="shared" si="2961"/>
        <v>0</v>
      </c>
      <c r="CK227" s="442">
        <f t="shared" si="2962"/>
        <v>0</v>
      </c>
      <c r="CL227" s="442">
        <f t="shared" si="2963"/>
        <v>0</v>
      </c>
      <c r="CM227" s="443">
        <f t="shared" si="2964"/>
        <v>0</v>
      </c>
      <c r="CN227" s="440">
        <f t="shared" si="2965"/>
        <v>0</v>
      </c>
      <c r="CO227" s="441">
        <f t="shared" si="2966"/>
        <v>0</v>
      </c>
      <c r="CP227" s="442">
        <f t="shared" si="2967"/>
        <v>0</v>
      </c>
      <c r="CQ227" s="442">
        <f t="shared" si="2968"/>
        <v>0</v>
      </c>
      <c r="CR227" s="443">
        <f t="shared" si="2969"/>
        <v>0</v>
      </c>
      <c r="CS227" s="440">
        <f t="shared" si="2970"/>
        <v>0</v>
      </c>
      <c r="CT227" s="441">
        <f t="shared" si="2971"/>
        <v>0</v>
      </c>
      <c r="CU227" s="442">
        <f t="shared" si="2972"/>
        <v>0</v>
      </c>
      <c r="CV227" s="442">
        <f t="shared" si="2973"/>
        <v>0</v>
      </c>
      <c r="CW227" s="443">
        <f t="shared" si="2974"/>
        <v>0</v>
      </c>
      <c r="CX227" s="440">
        <f t="shared" si="2975"/>
        <v>0</v>
      </c>
      <c r="CY227" s="441">
        <f t="shared" si="2976"/>
        <v>0</v>
      </c>
      <c r="CZ227" s="442">
        <f t="shared" si="2977"/>
        <v>0</v>
      </c>
      <c r="DA227" s="442">
        <f t="shared" si="2978"/>
        <v>0</v>
      </c>
      <c r="DB227" s="443">
        <f t="shared" si="2979"/>
        <v>0</v>
      </c>
      <c r="DC227" s="440">
        <f t="shared" si="2980"/>
        <v>0</v>
      </c>
      <c r="DD227" s="441">
        <f t="shared" si="2981"/>
        <v>0</v>
      </c>
      <c r="DE227" s="442">
        <f t="shared" si="2982"/>
        <v>0</v>
      </c>
      <c r="DF227" s="442">
        <f t="shared" si="2983"/>
        <v>0</v>
      </c>
      <c r="DG227" s="443">
        <f t="shared" si="2984"/>
        <v>0</v>
      </c>
      <c r="DH227" s="440">
        <f t="shared" si="2985"/>
        <v>0</v>
      </c>
      <c r="DI227" s="441">
        <f t="shared" si="2986"/>
        <v>0</v>
      </c>
      <c r="DJ227" s="442">
        <f t="shared" si="2987"/>
        <v>0</v>
      </c>
      <c r="DK227" s="442">
        <f t="shared" si="2988"/>
        <v>0</v>
      </c>
      <c r="DL227" s="443">
        <f t="shared" si="2989"/>
        <v>0</v>
      </c>
      <c r="DM227" s="440">
        <f t="shared" si="2990"/>
        <v>0</v>
      </c>
      <c r="DN227" s="441">
        <f t="shared" si="2991"/>
        <v>0</v>
      </c>
      <c r="DO227" s="442">
        <f t="shared" si="2992"/>
        <v>0</v>
      </c>
      <c r="DP227" s="442">
        <f t="shared" si="2993"/>
        <v>0</v>
      </c>
      <c r="DQ227" s="443">
        <f t="shared" si="2994"/>
        <v>0</v>
      </c>
      <c r="DR227" s="440">
        <f t="shared" si="2995"/>
        <v>0</v>
      </c>
    </row>
    <row r="228" spans="1:122" s="94" customFormat="1">
      <c r="C228" s="27" t="s">
        <v>1184</v>
      </c>
      <c r="D228" s="574"/>
      <c r="E228" s="1954">
        <f t="shared" si="2885"/>
        <v>100</v>
      </c>
      <c r="F228" s="559">
        <v>100</v>
      </c>
      <c r="G228" s="559">
        <v>100</v>
      </c>
      <c r="H228" s="1371">
        <v>2046</v>
      </c>
      <c r="I228" s="1956">
        <v>3.8399999999999997E-2</v>
      </c>
      <c r="J228" s="1749">
        <v>8</v>
      </c>
      <c r="K228" s="549"/>
      <c r="L228" s="441">
        <f>IF(P228=0,0,IF(P228&lt;0,IF($J228=3,P228,IF($J228=2,P228,IF($J228=1,P228,0)))))</f>
        <v>0</v>
      </c>
      <c r="M228" s="442">
        <f>IF(P228=0,0,IF(P228&lt;0,IF($J228=6,P228,IF($J228=5,P228,IF($J228=4,P228,0)))))</f>
        <v>0</v>
      </c>
      <c r="N228" s="442">
        <f>IF(P228=0,0,IF(P228&lt;0,IF($J228=9,P228,IF($J228=8,P228,IF($J228=7,P228,0)))))</f>
        <v>0</v>
      </c>
      <c r="O228" s="443">
        <f>IF(P228=0,0,IF(P228&lt;0,IF($J228=12,P228,IF($J228=11,P228,IF($J228=10,P228,0)))))</f>
        <v>0</v>
      </c>
      <c r="P228" s="440">
        <f>IF(P$5=$H228,-$E228,0)</f>
        <v>0</v>
      </c>
      <c r="Q228" s="441">
        <f>IF(U228=0,0,IF(U228&lt;0,IF($J228=3,U228,IF($J228=2,U228,IF($J228=1,U228,0)))))</f>
        <v>0</v>
      </c>
      <c r="R228" s="442">
        <f>IF(U228=0,0,IF(U228&lt;0,IF($J228=6,U228,IF($J228=5,U228,IF($J228=4,U228,0)))))</f>
        <v>0</v>
      </c>
      <c r="S228" s="442">
        <f>IF(U228=0,0,IF(U228&lt;0,IF($J228=9,U228,IF($J228=8,U228,IF($J228=7,U228,0)))))</f>
        <v>0</v>
      </c>
      <c r="T228" s="443">
        <f>IF(U228=0,0,IF(U228&lt;0,IF($J228=12,U228,IF($J228=11,U228,IF($J228=10,U228,0)))))</f>
        <v>0</v>
      </c>
      <c r="U228" s="440">
        <f>IF(U$5=$H228,-$E228,0)</f>
        <v>0</v>
      </c>
      <c r="V228" s="441">
        <f>IF(Z228=0,0,IF(Z228&lt;0,IF($J228=3,Z228,IF($J228=2,Z228,IF($J228=1,Z228,0)))))</f>
        <v>0</v>
      </c>
      <c r="W228" s="442">
        <f>IF(Z228=0,0,IF(Z228&lt;0,IF($J228=6,Z228,IF($J228=5,Z228,IF($J228=4,Z228,0)))))</f>
        <v>0</v>
      </c>
      <c r="X228" s="442">
        <f>IF(Z228=0,0,IF(Z228&lt;0,IF($J228=9,Z228,IF($J228=8,Z228,IF($J228=7,Z228,0)))))</f>
        <v>0</v>
      </c>
      <c r="Y228" s="443">
        <f>IF(Z228=0,0,IF(Z228&lt;0,IF($J228=12,Z228,IF($J228=11,Z228,IF($J228=10,Z228,0)))))</f>
        <v>0</v>
      </c>
      <c r="Z228" s="440">
        <f>IF(Z$5=$H228,-$E228,0)</f>
        <v>0</v>
      </c>
      <c r="AA228" s="441">
        <f>IF(AE228=0,0,IF(AE228&lt;0,IF($J228=3,AE228,IF($J228=2,AE228,IF($J228=1,AE228,0)))))</f>
        <v>0</v>
      </c>
      <c r="AB228" s="442">
        <f>IF(AE228=0,0,IF(AE228&lt;0,IF($J228=6,AE228,IF($J228=5,AE228,IF($J228=4,AE228,0)))))</f>
        <v>0</v>
      </c>
      <c r="AC228" s="442">
        <f>IF(AE228=0,0,IF(AE228&lt;0,IF($J228=9,AE228,IF($J228=8,AE228,IF($J228=7,AE228,0)))))</f>
        <v>0</v>
      </c>
      <c r="AD228" s="443">
        <f>IF(AE228=0,0,IF(AE228&lt;0,IF($J228=12,AE228,IF($J228=11,AE228,IF($J228=10,AE228,0)))))</f>
        <v>0</v>
      </c>
      <c r="AE228" s="440">
        <f>IF(AE$5=$H228,-$E228,0)</f>
        <v>0</v>
      </c>
      <c r="AF228" s="441">
        <f>IF(AJ228=0,0,IF(AJ228&lt;0,IF($J228=3,AJ228,IF($J228=2,AJ228,IF($J228=1,AJ228,0)))))</f>
        <v>0</v>
      </c>
      <c r="AG228" s="442">
        <f>IF(AJ228=0,0,IF(AJ228&lt;0,IF($J228=6,AJ228,IF($J228=5,AJ228,IF($J228=4,AJ228,0)))))</f>
        <v>0</v>
      </c>
      <c r="AH228" s="442">
        <f>IF(AJ228=0,0,IF(AJ228&lt;0,IF($J228=9,AJ228,IF($J228=8,AJ228,IF($J228=7,AJ228,0)))))</f>
        <v>0</v>
      </c>
      <c r="AI228" s="443">
        <f>IF(AJ228=0,0,IF(AJ228&lt;0,IF($J228=12,AJ228,IF($J228=11,AJ228,IF($J228=10,AJ228,0)))))</f>
        <v>0</v>
      </c>
      <c r="AJ228" s="440">
        <f>IF(AJ$5=$H228,-$E228,0)</f>
        <v>0</v>
      </c>
      <c r="AK228" s="441">
        <f>IF(AO228=0,0,IF(AO228&lt;0,IF($J228=3,AO228,IF($J228=2,AO228,IF($J228=1,AO228,0)))))</f>
        <v>0</v>
      </c>
      <c r="AL228" s="442">
        <f>IF(AO228=0,0,IF(AO228&lt;0,IF($J228=6,AO228,IF($J228=5,AO228,IF($J228=4,AO228,0)))))</f>
        <v>0</v>
      </c>
      <c r="AM228" s="442">
        <f>IF(AO228=0,0,IF(AO228&lt;0,IF($J228=9,AO228,IF($J228=8,AO228,IF($J228=7,AO228,0)))))</f>
        <v>0</v>
      </c>
      <c r="AN228" s="443">
        <f>IF(AO228=0,0,IF(AO228&lt;0,IF($J228=12,AO228,IF($J228=11,AO228,IF($J228=10,AO228,0)))))</f>
        <v>0</v>
      </c>
      <c r="AO228" s="440">
        <f>IF(AO$5=$H228,-$E228,0)</f>
        <v>0</v>
      </c>
      <c r="AP228" s="441">
        <f>IF(AT228=0,0,IF(AT228&lt;0,IF($J228=3,AT228,IF($J228=2,AT228,IF($J228=1,AT228,0)))))</f>
        <v>0</v>
      </c>
      <c r="AQ228" s="442">
        <f>IF(AT228=0,0,IF(AT228&lt;0,IF($J228=6,AT228,IF($J228=5,AT228,IF($J228=4,AT228,0)))))</f>
        <v>0</v>
      </c>
      <c r="AR228" s="442">
        <f>IF(AT228=0,0,IF(AT228&lt;0,IF($J228=9,AT228,IF($J228=8,AT228,IF($J228=7,AT228,0)))))</f>
        <v>0</v>
      </c>
      <c r="AS228" s="443">
        <f>IF(AT228=0,0,IF(AT228&lt;0,IF($J228=12,AT228,IF($J228=11,AT228,IF($J228=10,AT228,0)))))</f>
        <v>0</v>
      </c>
      <c r="AT228" s="440">
        <f>IF(AT$5=$H228,-$E228,0)</f>
        <v>0</v>
      </c>
      <c r="AU228" s="441">
        <f>IF(AY228=0,0,IF(AY228&lt;0,IF($J228=3,AY228,IF($J228=2,AY228,IF($J228=1,AY228,0)))))</f>
        <v>0</v>
      </c>
      <c r="AV228" s="442">
        <f>IF(AY228=0,0,IF(AY228&lt;0,IF($J228=6,AY228,IF($J228=5,AY228,IF($J228=4,AY228,0)))))</f>
        <v>0</v>
      </c>
      <c r="AW228" s="442">
        <f>IF(AY228=0,0,IF(AY228&lt;0,IF($J228=9,AY228,IF($J228=8,AY228,IF($J228=7,AY228,0)))))</f>
        <v>0</v>
      </c>
      <c r="AX228" s="443">
        <f>IF(AY228=0,0,IF(AY228&lt;0,IF($J228=12,AY228,IF($J228=11,AY228,IF($J228=10,AY228,0)))))</f>
        <v>0</v>
      </c>
      <c r="AY228" s="440">
        <f>IF(AY$5=$H228,-$E228,0)</f>
        <v>0</v>
      </c>
      <c r="AZ228" s="441">
        <f>IF(BD228=0,0,IF(BD228&lt;0,IF($J228=3,BD228,IF($J228=2,BD228,IF($J228=1,BD228,0)))))</f>
        <v>0</v>
      </c>
      <c r="BA228" s="442">
        <f>IF(BD228=0,0,IF(BD228&lt;0,IF($J228=6,BD228,IF($J228=5,BD228,IF($J228=4,BD228,0)))))</f>
        <v>0</v>
      </c>
      <c r="BB228" s="442">
        <f>IF(BD228=0,0,IF(BD228&lt;0,IF($J228=9,BD228,IF($J228=8,BD228,IF($J228=7,BD228,0)))))</f>
        <v>0</v>
      </c>
      <c r="BC228" s="443">
        <f>IF(BD228=0,0,IF(BD228&lt;0,IF($J228=12,BD228,IF($J228=11,BD228,IF($J228=10,BD228,0)))))</f>
        <v>0</v>
      </c>
      <c r="BD228" s="440">
        <f>IF(BD$5=$H228,-$E228,0)</f>
        <v>0</v>
      </c>
      <c r="BE228" s="441">
        <f>IF(BI228=0,0,IF(BI228&lt;0,IF($J228=3,BI228,IF($J228=2,BI228,IF($J228=1,BI228,0)))))</f>
        <v>0</v>
      </c>
      <c r="BF228" s="442">
        <f>IF(BI228=0,0,IF(BI228&lt;0,IF($J228=6,BI228,IF($J228=5,BI228,IF($J228=4,BI228,0)))))</f>
        <v>0</v>
      </c>
      <c r="BG228" s="442">
        <f>IF(BI228=0,0,IF(BI228&lt;0,IF($J228=9,BI228,IF($J228=8,BI228,IF($J228=7,BI228,0)))))</f>
        <v>0</v>
      </c>
      <c r="BH228" s="443">
        <f>IF(BI228=0,0,IF(BI228&lt;0,IF($J228=12,BI228,IF($J228=11,BI228,IF($J228=10,BI228,0)))))</f>
        <v>0</v>
      </c>
      <c r="BI228" s="440">
        <f>IF(BI$5=$H228,-$E228,0)</f>
        <v>0</v>
      </c>
      <c r="BJ228" s="441">
        <f>IF(BN228=0,0,IF(BN228&lt;0,IF($J228=3,BN228,IF($J228=2,BN228,IF($J228=1,BN228,0)))))</f>
        <v>0</v>
      </c>
      <c r="BK228" s="442">
        <f>IF(BN228=0,0,IF(BN228&lt;0,IF($J228=6,BN228,IF($J228=5,BN228,IF($J228=4,BN228,0)))))</f>
        <v>0</v>
      </c>
      <c r="BL228" s="442">
        <f>IF(BN228=0,0,IF(BN228&lt;0,IF($J228=9,BN228,IF($J228=8,BN228,IF($J228=7,BN228,0)))))</f>
        <v>0</v>
      </c>
      <c r="BM228" s="443">
        <f>IF(BN228=0,0,IF(BN228&lt;0,IF($J228=12,BN228,IF($J228=11,BN228,IF($J228=10,BN228,0)))))</f>
        <v>0</v>
      </c>
      <c r="BN228" s="440">
        <f>IF(BN$5=$H228,-$E228,0)</f>
        <v>0</v>
      </c>
      <c r="BO228" s="470"/>
      <c r="BP228" s="441">
        <f t="shared" si="2941"/>
        <v>0</v>
      </c>
      <c r="BQ228" s="442">
        <f t="shared" si="2942"/>
        <v>0</v>
      </c>
      <c r="BR228" s="442">
        <f t="shared" si="2943"/>
        <v>0</v>
      </c>
      <c r="BS228" s="443">
        <f t="shared" si="2944"/>
        <v>0</v>
      </c>
      <c r="BT228" s="440">
        <f t="shared" si="2945"/>
        <v>0</v>
      </c>
      <c r="BU228" s="441">
        <f t="shared" si="2946"/>
        <v>0</v>
      </c>
      <c r="BV228" s="442">
        <f t="shared" si="2947"/>
        <v>0</v>
      </c>
      <c r="BW228" s="442">
        <f t="shared" si="2948"/>
        <v>0</v>
      </c>
      <c r="BX228" s="443">
        <f t="shared" si="2949"/>
        <v>0</v>
      </c>
      <c r="BY228" s="440">
        <f t="shared" si="2950"/>
        <v>0</v>
      </c>
      <c r="BZ228" s="441">
        <f t="shared" si="2951"/>
        <v>0</v>
      </c>
      <c r="CA228" s="442">
        <f t="shared" si="2952"/>
        <v>0</v>
      </c>
      <c r="CB228" s="442">
        <f t="shared" si="2953"/>
        <v>0</v>
      </c>
      <c r="CC228" s="443">
        <f t="shared" si="2954"/>
        <v>0</v>
      </c>
      <c r="CD228" s="440">
        <f t="shared" si="2955"/>
        <v>0</v>
      </c>
      <c r="CE228" s="441">
        <f t="shared" si="2956"/>
        <v>0</v>
      </c>
      <c r="CF228" s="442">
        <f t="shared" si="2957"/>
        <v>0</v>
      </c>
      <c r="CG228" s="442">
        <f t="shared" si="2958"/>
        <v>0</v>
      </c>
      <c r="CH228" s="443">
        <f t="shared" si="2959"/>
        <v>0</v>
      </c>
      <c r="CI228" s="440">
        <f t="shared" si="2960"/>
        <v>0</v>
      </c>
      <c r="CJ228" s="441">
        <f t="shared" si="2961"/>
        <v>0</v>
      </c>
      <c r="CK228" s="442">
        <f t="shared" si="2962"/>
        <v>0</v>
      </c>
      <c r="CL228" s="442">
        <f t="shared" si="2963"/>
        <v>0</v>
      </c>
      <c r="CM228" s="443">
        <f t="shared" si="2964"/>
        <v>0</v>
      </c>
      <c r="CN228" s="440">
        <f t="shared" si="2965"/>
        <v>0</v>
      </c>
      <c r="CO228" s="441">
        <f t="shared" si="2966"/>
        <v>0</v>
      </c>
      <c r="CP228" s="442">
        <f t="shared" si="2967"/>
        <v>0</v>
      </c>
      <c r="CQ228" s="442">
        <f t="shared" si="2968"/>
        <v>0</v>
      </c>
      <c r="CR228" s="443">
        <f t="shared" si="2969"/>
        <v>0</v>
      </c>
      <c r="CS228" s="440">
        <f t="shared" si="2970"/>
        <v>0</v>
      </c>
      <c r="CT228" s="441">
        <f t="shared" si="2971"/>
        <v>0</v>
      </c>
      <c r="CU228" s="442">
        <f t="shared" si="2972"/>
        <v>0</v>
      </c>
      <c r="CV228" s="442">
        <f t="shared" si="2973"/>
        <v>0</v>
      </c>
      <c r="CW228" s="443">
        <f t="shared" si="2974"/>
        <v>0</v>
      </c>
      <c r="CX228" s="440">
        <f t="shared" si="2975"/>
        <v>0</v>
      </c>
      <c r="CY228" s="441">
        <f t="shared" si="2976"/>
        <v>0</v>
      </c>
      <c r="CZ228" s="442">
        <f t="shared" si="2977"/>
        <v>0</v>
      </c>
      <c r="DA228" s="442">
        <f t="shared" si="2978"/>
        <v>0</v>
      </c>
      <c r="DB228" s="443">
        <f t="shared" si="2979"/>
        <v>0</v>
      </c>
      <c r="DC228" s="440">
        <f t="shared" si="2980"/>
        <v>0</v>
      </c>
      <c r="DD228" s="441">
        <f t="shared" si="2981"/>
        <v>0</v>
      </c>
      <c r="DE228" s="442">
        <f t="shared" si="2982"/>
        <v>0</v>
      </c>
      <c r="DF228" s="442">
        <f t="shared" si="2983"/>
        <v>0</v>
      </c>
      <c r="DG228" s="443">
        <f t="shared" si="2984"/>
        <v>0</v>
      </c>
      <c r="DH228" s="440">
        <f t="shared" si="2985"/>
        <v>0</v>
      </c>
      <c r="DI228" s="441">
        <f t="shared" si="2986"/>
        <v>0</v>
      </c>
      <c r="DJ228" s="442">
        <f t="shared" si="2987"/>
        <v>0</v>
      </c>
      <c r="DK228" s="442">
        <f t="shared" si="2988"/>
        <v>0</v>
      </c>
      <c r="DL228" s="443">
        <f t="shared" si="2989"/>
        <v>0</v>
      </c>
      <c r="DM228" s="440">
        <f t="shared" si="2990"/>
        <v>0</v>
      </c>
      <c r="DN228" s="441">
        <f t="shared" si="2991"/>
        <v>0</v>
      </c>
      <c r="DO228" s="442">
        <f t="shared" si="2992"/>
        <v>0</v>
      </c>
      <c r="DP228" s="442">
        <f t="shared" si="2993"/>
        <v>0</v>
      </c>
      <c r="DQ228" s="443">
        <f t="shared" si="2994"/>
        <v>0</v>
      </c>
      <c r="DR228" s="440">
        <f t="shared" si="2995"/>
        <v>0</v>
      </c>
    </row>
    <row r="229" spans="1:122" ht="12.75" customHeight="1">
      <c r="A229" s="92"/>
      <c r="B229" s="92"/>
      <c r="C229" s="1946" t="s">
        <v>1208</v>
      </c>
      <c r="D229" s="1953"/>
      <c r="E229" s="1954">
        <f t="shared" si="2885"/>
        <v>100</v>
      </c>
      <c r="F229" s="1757">
        <v>100</v>
      </c>
      <c r="G229" s="1757">
        <v>0</v>
      </c>
      <c r="H229" s="1374">
        <v>2047</v>
      </c>
      <c r="I229" s="1956">
        <v>4.0899999999999999E-2</v>
      </c>
      <c r="J229" s="1357">
        <v>9</v>
      </c>
      <c r="K229" s="549"/>
      <c r="L229" s="441">
        <f>IF(P229=0,0,IF(P229&lt;0,IF($J229=3,P229,IF($J229=2,P229,IF($J229=1,P229,0)))))</f>
        <v>0</v>
      </c>
      <c r="M229" s="442">
        <f>IF(P229=0,0,IF(P229&lt;0,IF($J229=6,P229,IF($J229=5,P229,IF($J229=4,P229,0)))))</f>
        <v>0</v>
      </c>
      <c r="N229" s="442">
        <f>IF(P229=0,0,IF(P229&lt;0,IF($J229=9,P229,IF($J229=8,P229,IF($J229=7,P229,0)))))</f>
        <v>0</v>
      </c>
      <c r="O229" s="443">
        <f>IF(P229=0,0,IF(P229&lt;0,IF($J229=12,P229,IF($J229=11,P229,IF($J229=10,P229,0)))))</f>
        <v>0</v>
      </c>
      <c r="P229" s="440">
        <f>IF(P$5=$H229,-$E229,0)</f>
        <v>0</v>
      </c>
      <c r="Q229" s="441">
        <f>IF(U229=0,0,IF(U229&lt;0,IF($J229=3,U229,IF($J229=2,U229,IF($J229=1,U229,0)))))</f>
        <v>0</v>
      </c>
      <c r="R229" s="442">
        <f>IF(U229=0,0,IF(U229&lt;0,IF($J229=6,U229,IF($J229=5,U229,IF($J229=4,U229,0)))))</f>
        <v>0</v>
      </c>
      <c r="S229" s="442">
        <f>IF(U229=0,0,IF(U229&lt;0,IF($J229=9,U229,IF($J229=8,U229,IF($J229=7,U229,0)))))</f>
        <v>0</v>
      </c>
      <c r="T229" s="443">
        <f>IF(U229=0,0,IF(U229&lt;0,IF($J229=12,U229,IF($J229=11,U229,IF($J229=10,U229,0)))))</f>
        <v>0</v>
      </c>
      <c r="U229" s="440">
        <f>IF(U$5=$H229,-$E229,0)</f>
        <v>0</v>
      </c>
      <c r="V229" s="441">
        <f>IF(Z229=0,0,IF(Z229&lt;0,IF($J229=3,Z229,IF($J229=2,Z229,IF($J229=1,Z229,0)))))</f>
        <v>0</v>
      </c>
      <c r="W229" s="442">
        <f>IF(Z229=0,0,IF(Z229&lt;0,IF($J229=6,Z229,IF($J229=5,Z229,IF($J229=4,Z229,0)))))</f>
        <v>0</v>
      </c>
      <c r="X229" s="442">
        <f>IF(Z229=0,0,IF(Z229&lt;0,IF($J229=9,Z229,IF($J229=8,Z229,IF($J229=7,Z229,0)))))</f>
        <v>0</v>
      </c>
      <c r="Y229" s="443">
        <f>IF(Z229=0,0,IF(Z229&lt;0,IF($J229=12,Z229,IF($J229=11,Z229,IF($J229=10,Z229,0)))))</f>
        <v>0</v>
      </c>
      <c r="Z229" s="440">
        <f>IF(Z$5=$H229,-$E229,0)</f>
        <v>0</v>
      </c>
      <c r="AA229" s="441">
        <f>IF(AE229=0,0,IF(AE229&lt;0,IF($J229=3,AE229,IF($J229=2,AE229,IF($J229=1,AE229,0)))))</f>
        <v>0</v>
      </c>
      <c r="AB229" s="442">
        <f>IF(AE229=0,0,IF(AE229&lt;0,IF($J229=6,AE229,IF($J229=5,AE229,IF($J229=4,AE229,0)))))</f>
        <v>0</v>
      </c>
      <c r="AC229" s="442">
        <f>IF(AE229=0,0,IF(AE229&lt;0,IF($J229=9,AE229,IF($J229=8,AE229,IF($J229=7,AE229,0)))))</f>
        <v>0</v>
      </c>
      <c r="AD229" s="443">
        <f>IF(AE229=0,0,IF(AE229&lt;0,IF($J229=12,AE229,IF($J229=11,AE229,IF($J229=10,AE229,0)))))</f>
        <v>0</v>
      </c>
      <c r="AE229" s="440">
        <f>IF(AE$5=$H229,-$E229,0)</f>
        <v>0</v>
      </c>
      <c r="AF229" s="441">
        <f>IF(AJ229=0,0,IF(AJ229&lt;0,IF($J229=3,AJ229,IF($J229=2,AJ229,IF($J229=1,AJ229,0)))))</f>
        <v>0</v>
      </c>
      <c r="AG229" s="442">
        <f>IF(AJ229=0,0,IF(AJ229&lt;0,IF($J229=6,AJ229,IF($J229=5,AJ229,IF($J229=4,AJ229,0)))))</f>
        <v>0</v>
      </c>
      <c r="AH229" s="442">
        <f>IF(AJ229=0,0,IF(AJ229&lt;0,IF($J229=9,AJ229,IF($J229=8,AJ229,IF($J229=7,AJ229,0)))))</f>
        <v>0</v>
      </c>
      <c r="AI229" s="443">
        <f>IF(AJ229=0,0,IF(AJ229&lt;0,IF($J229=12,AJ229,IF($J229=11,AJ229,IF($J229=10,AJ229,0)))))</f>
        <v>0</v>
      </c>
      <c r="AJ229" s="440">
        <f>IF(AJ$5=$H229,-$E229,0)</f>
        <v>0</v>
      </c>
      <c r="AK229" s="441">
        <f>IF(AO229=0,0,IF(AO229&lt;0,IF($J229=3,AO229,IF($J229=2,AO229,IF($J229=1,AO229,0)))))</f>
        <v>0</v>
      </c>
      <c r="AL229" s="442">
        <f>IF(AO229=0,0,IF(AO229&lt;0,IF($J229=6,AO229,IF($J229=5,AO229,IF($J229=4,AO229,0)))))</f>
        <v>0</v>
      </c>
      <c r="AM229" s="442">
        <f>IF(AO229=0,0,IF(AO229&lt;0,IF($J229=9,AO229,IF($J229=8,AO229,IF($J229=7,AO229,0)))))</f>
        <v>0</v>
      </c>
      <c r="AN229" s="443">
        <f>IF(AO229=0,0,IF(AO229&lt;0,IF($J229=12,AO229,IF($J229=11,AO229,IF($J229=10,AO229,0)))))</f>
        <v>0</v>
      </c>
      <c r="AO229" s="440">
        <f>IF(AO$5=$H229,-$E229,0)</f>
        <v>0</v>
      </c>
      <c r="AP229" s="441">
        <f>IF(AT229=0,0,IF(AT229&lt;0,IF($J229=3,AT229,IF($J229=2,AT229,IF($J229=1,AT229,0)))))</f>
        <v>0</v>
      </c>
      <c r="AQ229" s="442">
        <f>IF(AT229=0,0,IF(AT229&lt;0,IF($J229=6,AT229,IF($J229=5,AT229,IF($J229=4,AT229,0)))))</f>
        <v>0</v>
      </c>
      <c r="AR229" s="442">
        <f>IF(AT229=0,0,IF(AT229&lt;0,IF($J229=9,AT229,IF($J229=8,AT229,IF($J229=7,AT229,0)))))</f>
        <v>0</v>
      </c>
      <c r="AS229" s="443">
        <f>IF(AT229=0,0,IF(AT229&lt;0,IF($J229=12,AT229,IF($J229=11,AT229,IF($J229=10,AT229,0)))))</f>
        <v>0</v>
      </c>
      <c r="AT229" s="440">
        <f>IF(AT$5=$H229,-$E229,0)</f>
        <v>0</v>
      </c>
      <c r="AU229" s="441">
        <f>IF(AY229=0,0,IF(AY229&lt;0,IF($J229=3,AY229,IF($J229=2,AY229,IF($J229=1,AY229,0)))))</f>
        <v>0</v>
      </c>
      <c r="AV229" s="442">
        <f>IF(AY229=0,0,IF(AY229&lt;0,IF($J229=6,AY229,IF($J229=5,AY229,IF($J229=4,AY229,0)))))</f>
        <v>0</v>
      </c>
      <c r="AW229" s="442">
        <f>IF(AY229=0,0,IF(AY229&lt;0,IF($J229=9,AY229,IF($J229=8,AY229,IF($J229=7,AY229,0)))))</f>
        <v>0</v>
      </c>
      <c r="AX229" s="443">
        <f>IF(AY229=0,0,IF(AY229&lt;0,IF($J229=12,AY229,IF($J229=11,AY229,IF($J229=10,AY229,0)))))</f>
        <v>0</v>
      </c>
      <c r="AY229" s="440">
        <f>IF(AY$5=$H229,-$E229,0)</f>
        <v>0</v>
      </c>
      <c r="AZ229" s="441">
        <f>IF(BD229=0,0,IF(BD229&lt;0,IF($J229=3,BD229,IF($J229=2,BD229,IF($J229=1,BD229,0)))))</f>
        <v>0</v>
      </c>
      <c r="BA229" s="442">
        <f>IF(BD229=0,0,IF(BD229&lt;0,IF($J229=6,BD229,IF($J229=5,BD229,IF($J229=4,BD229,0)))))</f>
        <v>0</v>
      </c>
      <c r="BB229" s="442">
        <f>IF(BD229=0,0,IF(BD229&lt;0,IF($J229=9,BD229,IF($J229=8,BD229,IF($J229=7,BD229,0)))))</f>
        <v>0</v>
      </c>
      <c r="BC229" s="443">
        <f>IF(BD229=0,0,IF(BD229&lt;0,IF($J229=12,BD229,IF($J229=11,BD229,IF($J229=10,BD229,0)))))</f>
        <v>0</v>
      </c>
      <c r="BD229" s="440">
        <f>IF(BD$5=$H229,-$E229,0)</f>
        <v>0</v>
      </c>
      <c r="BE229" s="441">
        <f>IF(BI229=0,0,IF(BI229&lt;0,IF($J229=3,BI229,IF($J229=2,BI229,IF($J229=1,BI229,0)))))</f>
        <v>0</v>
      </c>
      <c r="BF229" s="442">
        <f>IF(BI229=0,0,IF(BI229&lt;0,IF($J229=6,BI229,IF($J229=5,BI229,IF($J229=4,BI229,0)))))</f>
        <v>0</v>
      </c>
      <c r="BG229" s="442">
        <f>IF(BI229=0,0,IF(BI229&lt;0,IF($J229=9,BI229,IF($J229=8,BI229,IF($J229=7,BI229,0)))))</f>
        <v>0</v>
      </c>
      <c r="BH229" s="443">
        <f>IF(BI229=0,0,IF(BI229&lt;0,IF($J229=12,BI229,IF($J229=11,BI229,IF($J229=10,BI229,0)))))</f>
        <v>0</v>
      </c>
      <c r="BI229" s="440">
        <f>IF(BI$5=$H229,-$E229,0)</f>
        <v>0</v>
      </c>
      <c r="BJ229" s="441">
        <f>IF(BN229=0,0,IF(BN229&lt;0,IF($J229=3,BN229,IF($J229=2,BN229,IF($J229=1,BN229,0)))))</f>
        <v>0</v>
      </c>
      <c r="BK229" s="442">
        <f>IF(BN229=0,0,IF(BN229&lt;0,IF($J229=6,BN229,IF($J229=5,BN229,IF($J229=4,BN229,0)))))</f>
        <v>0</v>
      </c>
      <c r="BL229" s="442">
        <f>IF(BN229=0,0,IF(BN229&lt;0,IF($J229=9,BN229,IF($J229=8,BN229,IF($J229=7,BN229,0)))))</f>
        <v>0</v>
      </c>
      <c r="BM229" s="443">
        <f>IF(BN229=0,0,IF(BN229&lt;0,IF($J229=12,BN229,IF($J229=11,BN229,IF($J229=10,BN229,0)))))</f>
        <v>0</v>
      </c>
      <c r="BN229" s="440">
        <f>IF(BN$5=$H229,-$E229,0)</f>
        <v>0</v>
      </c>
      <c r="BO229" s="470"/>
      <c r="BP229" s="441">
        <f>IF($H229&lt;&gt;BT$5,0,IF(BT229&lt;0,IF($J229=1,-$E229*$I229/12*3,IF($J229=2,-$E229*$I229/12*2,IF($J229=3,-$E229*$I229/12*1,0)))))+IF(BO$5&lt;&gt;$H229,0,IF(BO229&lt;0,IF($J229=1,-$E229*$I229/12*0,IF($J229=2,-$E229*$I229/12*1,IF($J229=3,-$E229*$I229/12*2,IF($J229&gt;=4,-$E229*$I229/12*3,0))))))</f>
        <v>0</v>
      </c>
      <c r="BQ229" s="442">
        <f>IF($H229&lt;&gt;BT$5,0,IF(BT229&lt;0,IF(OR($J229=1,$J229=2,$J229=3,$J229=4),-$E229*$I229/12*3,IF($J229=5,-$E229*$I229/12*2,IF($J229=6,-$E229*$I229/12*1,0)))))+IF(BO$5&lt;&gt;$H229,0,IF(BO229&lt;0,IF($J229=4,-$E229*$I229/12*0,IF($J229=5,-$E229*$I229/12*1,IF($J229=6,-$E229*$I229/12*2,IF($J229&gt;=7,-$E229*$I229/12*3,0))))))</f>
        <v>0</v>
      </c>
      <c r="BR229" s="442">
        <f>IF($H229&lt;&gt;BT$5,0,IF(BT229&lt;0,IF(OR($J229=1,$J229=2,$J229=3,$J229=4,$J229=5,$J229=6,$J229=7),-$E229*$I229/12*3,IF($J229=8,-$E229*$I229/12*2,IF($J229=9,-$E229*$I229/12*1,0)))))+IF(BO$5&lt;&gt;$H229,0,IF(BO229&lt;0,IF($J229=7,-$E229*$I229/12*0,IF($J229=8,-$E229*$I229/12*1,IF($J229=9,-$E229*$I229/12*2,IF($J229&gt;=10,-$E229*$I229/12*3,0))))))</f>
        <v>0</v>
      </c>
      <c r="BS229" s="443">
        <f>IF($H229&lt;&gt;BT$5,0,IF(BT229&lt;0,IF(OR($J229=1,$J229=2,$J229=3,$J229=4,$J229=5,$J229=6,$J229=7,$J229=8,$J229=9,$J229=10),-$E229*$I229/12*3,IF($J229=11,-$E229*$I229/12*2,IF($J229=12,-$E229*$I229/12*1,0)))))+IF(BO$5&lt;&gt;$H229,0,IF(BO229&lt;0,IF($J229=10,-$E229*$I229/12*0,IF($J229=11,-$E229*$I229/12*1,IF($J229=12,-$E229*$I229/12*2,0)))))</f>
        <v>0</v>
      </c>
      <c r="BT229" s="440">
        <f>IF(AND(BO229&lt;&gt;0,BO$5=$H229),-$I229*$E229-BO229,IF(BT$5=$H229,-$I229*$E229*(12-$J229+1)/12,0))</f>
        <v>0</v>
      </c>
      <c r="BU229" s="441">
        <f>IF($H229&lt;&gt;BY$5,0,IF(BY229&lt;0,IF($J229=1,-$E229*$I229/12*3,IF($J229=2,-$E229*$I229/12*2,IF($J229=3,-$E229*$I229/12*1,0)))))+IF(BT$5&lt;&gt;$H229,0,IF(BT229&lt;0,IF($J229=1,-$E229*$I229/12*0,IF($J229=2,-$E229*$I229/12*1,IF($J229=3,-$E229*$I229/12*2,IF($J229&gt;=4,-$E229*$I229/12*3,0))))))</f>
        <v>0</v>
      </c>
      <c r="BV229" s="442">
        <f>IF($H229&lt;&gt;BY$5,0,IF(BY229&lt;0,IF(OR($J229=1,$J229=2,$J229=3,$J229=4),-$E229*$I229/12*3,IF($J229=5,-$E229*$I229/12*2,IF($J229=6,-$E229*$I229/12*1,0)))))+IF(BT$5&lt;&gt;$H229,0,IF(BT229&lt;0,IF($J229=4,-$E229*$I229/12*0,IF($J229=5,-$E229*$I229/12*1,IF($J229=6,-$E229*$I229/12*2,IF($J229&gt;=7,-$E229*$I229/12*3,0))))))</f>
        <v>0</v>
      </c>
      <c r="BW229" s="442">
        <f>IF($H229&lt;&gt;BY$5,0,IF(BY229&lt;0,IF(OR($J229=1,$J229=2,$J229=3,$J229=4,$J229=5,$J229=6,$J229=7),-$E229*$I229/12*3,IF($J229=8,-$E229*$I229/12*2,IF($J229=9,-$E229*$I229/12*1,0)))))+IF(BT$5&lt;&gt;$H229,0,IF(BT229&lt;0,IF($J229=7,-$E229*$I229/12*0,IF($J229=8,-$E229*$I229/12*1,IF($J229=9,-$E229*$I229/12*2,IF($J229&gt;=10,-$E229*$I229/12*3,0))))))</f>
        <v>0</v>
      </c>
      <c r="BX229" s="443">
        <f>IF($H229&lt;&gt;BY$5,0,IF(BY229&lt;0,IF(OR($J229=1,$J229=2,$J229=3,$J229=4,$J229=5,$J229=6,$J229=7,$J229=8,$J229=9,$J229=10),-$E229*$I229/12*3,IF($J229=11,-$E229*$I229/12*2,IF($J229=12,-$E229*$I229/12*1,0)))))+IF(BT$5&lt;&gt;$H229,0,IF(BT229&lt;0,IF($J229=10,-$E229*$I229/12*0,IF($J229=11,-$E229*$I229/12*1,IF($J229=12,-$E229*$I229/12*2,0)))))</f>
        <v>0</v>
      </c>
      <c r="BY229" s="440">
        <f>IF(AND(BT229&lt;&gt;0,BT$5=$H229),-$I229*$E229-BT229,IF(BY$5=$H229,-$I229*$E229*(12-$J229+1)/12,0))</f>
        <v>0</v>
      </c>
      <c r="BZ229" s="441">
        <f>IF($H229&lt;&gt;CD$5,0,IF(CD229&lt;0,IF($J229=1,-$E229*$I229/12*3,IF($J229=2,-$E229*$I229/12*2,IF($J229=3,-$E229*$I229/12*1,0)))))+IF(BY$5&lt;&gt;$H229,0,IF(BY229&lt;0,IF($J229=1,-$E229*$I229/12*0,IF($J229=2,-$E229*$I229/12*1,IF($J229=3,-$E229*$I229/12*2,IF($J229&gt;=4,-$E229*$I229/12*3,0))))))</f>
        <v>0</v>
      </c>
      <c r="CA229" s="442">
        <f>IF($H229&lt;&gt;CD$5,0,IF(CD229&lt;0,IF(OR($J229=1,$J229=2,$J229=3,$J229=4),-$E229*$I229/12*3,IF($J229=5,-$E229*$I229/12*2,IF($J229=6,-$E229*$I229/12*1,0)))))+IF(BY$5&lt;&gt;$H229,0,IF(BY229&lt;0,IF($J229=4,-$E229*$I229/12*0,IF($J229=5,-$E229*$I229/12*1,IF($J229=6,-$E229*$I229/12*2,IF($J229&gt;=7,-$E229*$I229/12*3,0))))))</f>
        <v>0</v>
      </c>
      <c r="CB229" s="442">
        <f>IF($H229&lt;&gt;CD$5,0,IF(CD229&lt;0,IF(OR($J229=1,$J229=2,$J229=3,$J229=4,$J229=5,$J229=6,$J229=7),-$E229*$I229/12*3,IF($J229=8,-$E229*$I229/12*2,IF($J229=9,-$E229*$I229/12*1,0)))))+IF(BY$5&lt;&gt;$H229,0,IF(BY229&lt;0,IF($J229=7,-$E229*$I229/12*0,IF($J229=8,-$E229*$I229/12*1,IF($J229=9,-$E229*$I229/12*2,IF($J229&gt;=10,-$E229*$I229/12*3,0))))))</f>
        <v>0</v>
      </c>
      <c r="CC229" s="443">
        <f>IF($H229&lt;&gt;CD$5,0,IF(CD229&lt;0,IF(OR($J229=1,$J229=2,$J229=3,$J229=4,$J229=5,$J229=6,$J229=7,$J229=8,$J229=9,$J229=10),-$E229*$I229/12*3,IF($J229=11,-$E229*$I229/12*2,IF($J229=12,-$E229*$I229/12*1,0)))))+IF(BY$5&lt;&gt;$H229,0,IF(BY229&lt;0,IF($J229=10,-$E229*$I229/12*0,IF($J229=11,-$E229*$I229/12*1,IF($J229=12,-$E229*$I229/12*2,0)))))</f>
        <v>0</v>
      </c>
      <c r="CD229" s="440">
        <f>IF(AND(BY229&lt;&gt;0,BY$5=$H229),-$I229*$E229-BY229,IF(CD$5=$H229,-$I229*$E229*(12-$J229+1)/12,0))</f>
        <v>0</v>
      </c>
      <c r="CE229" s="441">
        <f>IF($H229&lt;&gt;CI$5,0,IF(CI229&lt;0,IF($J229=1,-$E229*$I229/12*3,IF($J229=2,-$E229*$I229/12*2,IF($J229=3,-$E229*$I229/12*1,0)))))+IF(CD$5&lt;&gt;$H229,0,IF(CD229&lt;0,IF($J229=1,-$E229*$I229/12*0,IF($J229=2,-$E229*$I229/12*1,IF($J229=3,-$E229*$I229/12*2,IF($J229&gt;=4,-$E229*$I229/12*3,0))))))</f>
        <v>0</v>
      </c>
      <c r="CF229" s="442">
        <f>IF($H229&lt;&gt;CI$5,0,IF(CI229&lt;0,IF(OR($J229=1,$J229=2,$J229=3,$J229=4),-$E229*$I229/12*3,IF($J229=5,-$E229*$I229/12*2,IF($J229=6,-$E229*$I229/12*1,0)))))+IF(CD$5&lt;&gt;$H229,0,IF(CD229&lt;0,IF($J229=4,-$E229*$I229/12*0,IF($J229=5,-$E229*$I229/12*1,IF($J229=6,-$E229*$I229/12*2,IF($J229&gt;=7,-$E229*$I229/12*3,0))))))</f>
        <v>0</v>
      </c>
      <c r="CG229" s="442">
        <f>IF($H229&lt;&gt;CI$5,0,IF(CI229&lt;0,IF(OR($J229=1,$J229=2,$J229=3,$J229=4,$J229=5,$J229=6,$J229=7),-$E229*$I229/12*3,IF($J229=8,-$E229*$I229/12*2,IF($J229=9,-$E229*$I229/12*1,0)))))+IF(CD$5&lt;&gt;$H229,0,IF(CD229&lt;0,IF($J229=7,-$E229*$I229/12*0,IF($J229=8,-$E229*$I229/12*1,IF($J229=9,-$E229*$I229/12*2,IF($J229&gt;=10,-$E229*$I229/12*3,0))))))</f>
        <v>0</v>
      </c>
      <c r="CH229" s="443">
        <f>IF($H229&lt;&gt;CI$5,0,IF(CI229&lt;0,IF(OR($J229=1,$J229=2,$J229=3,$J229=4,$J229=5,$J229=6,$J229=7,$J229=8,$J229=9,$J229=10),-$E229*$I229/12*3,IF($J229=11,-$E229*$I229/12*2,IF($J229=12,-$E229*$I229/12*1,0)))))+IF(CD$5&lt;&gt;$H229,0,IF(CD229&lt;0,IF($J229=10,-$E229*$I229/12*0,IF($J229=11,-$E229*$I229/12*1,IF($J229=12,-$E229*$I229/12*2,0)))))</f>
        <v>0</v>
      </c>
      <c r="CI229" s="440">
        <f>IF(AND(CD229&lt;&gt;0,CD$5=$H229),-$I229*$E229-CD229,IF(CI$5=$H229,-$I229*$E229*(12-$J229+1)/12,0))</f>
        <v>0</v>
      </c>
      <c r="CJ229" s="441">
        <f>IF($H229&lt;&gt;CN$5,0,IF(CN229&lt;0,IF($J229=1,-$E229*$I229/12*3,IF($J229=2,-$E229*$I229/12*2,IF($J229=3,-$E229*$I229/12*1,0)))))+IF(CI$5&lt;&gt;$H229,0,IF(CI229&lt;0,IF($J229=1,-$E229*$I229/12*0,IF($J229=2,-$E229*$I229/12*1,IF($J229=3,-$E229*$I229/12*2,IF($J229&gt;=4,-$E229*$I229/12*3,0))))))</f>
        <v>0</v>
      </c>
      <c r="CK229" s="442">
        <f>IF($H229&lt;&gt;CN$5,0,IF(CN229&lt;0,IF(OR($J229=1,$J229=2,$J229=3,$J229=4),-$E229*$I229/12*3,IF($J229=5,-$E229*$I229/12*2,IF($J229=6,-$E229*$I229/12*1,0)))))+IF(CI$5&lt;&gt;$H229,0,IF(CI229&lt;0,IF($J229=4,-$E229*$I229/12*0,IF($J229=5,-$E229*$I229/12*1,IF($J229=6,-$E229*$I229/12*2,IF($J229&gt;=7,-$E229*$I229/12*3,0))))))</f>
        <v>0</v>
      </c>
      <c r="CL229" s="442">
        <f>IF($H229&lt;&gt;CN$5,0,IF(CN229&lt;0,IF(OR($J229=1,$J229=2,$J229=3,$J229=4,$J229=5,$J229=6,$J229=7),-$E229*$I229/12*3,IF($J229=8,-$E229*$I229/12*2,IF($J229=9,-$E229*$I229/12*1,0)))))+IF(CI$5&lt;&gt;$H229,0,IF(CI229&lt;0,IF($J229=7,-$E229*$I229/12*0,IF($J229=8,-$E229*$I229/12*1,IF($J229=9,-$E229*$I229/12*2,IF($J229&gt;=10,-$E229*$I229/12*3,0))))))</f>
        <v>0</v>
      </c>
      <c r="CM229" s="443">
        <f>IF($H229&lt;&gt;CN$5,0,IF(CN229&lt;0,IF(OR($J229=1,$J229=2,$J229=3,$J229=4,$J229=5,$J229=6,$J229=7,$J229=8,$J229=9,$J229=10),-$E229*$I229/12*3,IF($J229=11,-$E229*$I229/12*2,IF($J229=12,-$E229*$I229/12*1,0)))))+IF(CI$5&lt;&gt;$H229,0,IF(CI229&lt;0,IF($J229=10,-$E229*$I229/12*0,IF($J229=11,-$E229*$I229/12*1,IF($J229=12,-$E229*$I229/12*2,0)))))</f>
        <v>0</v>
      </c>
      <c r="CN229" s="440">
        <f>IF(AND(CI229&lt;&gt;0,CI$5=$H229),-$I229*$E229-CI229,IF(CN$5=$H229,-$I229*$E229*(12-$J229+1)/12,0))</f>
        <v>0</v>
      </c>
      <c r="CO229" s="441">
        <f>IF($H229&lt;&gt;CS$5,0,IF(CS229&lt;0,IF($J229=1,-$E229*$I229/12*3,IF($J229=2,-$E229*$I229/12*2,IF($J229=3,-$E229*$I229/12*1,0)))))+IF(CN$5&lt;&gt;$H229,0,IF(CN229&lt;0,IF($J229=1,-$E229*$I229/12*0,IF($J229=2,-$E229*$I229/12*1,IF($J229=3,-$E229*$I229/12*2,IF($J229&gt;=4,-$E229*$I229/12*3,0))))))</f>
        <v>0</v>
      </c>
      <c r="CP229" s="442">
        <f>IF($H229&lt;&gt;CS$5,0,IF(CS229&lt;0,IF(OR($J229=1,$J229=2,$J229=3,$J229=4),-$E229*$I229/12*3,IF($J229=5,-$E229*$I229/12*2,IF($J229=6,-$E229*$I229/12*1,0)))))+IF(CN$5&lt;&gt;$H229,0,IF(CN229&lt;0,IF($J229=4,-$E229*$I229/12*0,IF($J229=5,-$E229*$I229/12*1,IF($J229=6,-$E229*$I229/12*2,IF($J229&gt;=7,-$E229*$I229/12*3,0))))))</f>
        <v>0</v>
      </c>
      <c r="CQ229" s="442">
        <f>IF($H229&lt;&gt;CS$5,0,IF(CS229&lt;0,IF(OR($J229=1,$J229=2,$J229=3,$J229=4,$J229=5,$J229=6,$J229=7),-$E229*$I229/12*3,IF($J229=8,-$E229*$I229/12*2,IF($J229=9,-$E229*$I229/12*1,0)))))+IF(CN$5&lt;&gt;$H229,0,IF(CN229&lt;0,IF($J229=7,-$E229*$I229/12*0,IF($J229=8,-$E229*$I229/12*1,IF($J229=9,-$E229*$I229/12*2,IF($J229&gt;=10,-$E229*$I229/12*3,0))))))</f>
        <v>0</v>
      </c>
      <c r="CR229" s="443">
        <f>IF($H229&lt;&gt;CS$5,0,IF(CS229&lt;0,IF(OR($J229=1,$J229=2,$J229=3,$J229=4,$J229=5,$J229=6,$J229=7,$J229=8,$J229=9,$J229=10),-$E229*$I229/12*3,IF($J229=11,-$E229*$I229/12*2,IF($J229=12,-$E229*$I229/12*1,0)))))+IF(CN$5&lt;&gt;$H229,0,IF(CN229&lt;0,IF($J229=10,-$E229*$I229/12*0,IF($J229=11,-$E229*$I229/12*1,IF($J229=12,-$E229*$I229/12*2,0)))))</f>
        <v>0</v>
      </c>
      <c r="CS229" s="440">
        <f>IF(AND(CN229&lt;&gt;0,CN$5=$H229),-$I229*$E229-CN229,IF(CS$5=$H229,-$I229*$E229*(12-$J229+1)/12,0))</f>
        <v>0</v>
      </c>
      <c r="CT229" s="441">
        <f>IF($H229&lt;&gt;CX$5,0,IF(CX229&lt;0,IF($J229=1,-$E229*$I229/12*3,IF($J229=2,-$E229*$I229/12*2,IF($J229=3,-$E229*$I229/12*1,0)))))+IF(CS$5&lt;&gt;$H229,0,IF(CS229&lt;0,IF($J229=1,-$E229*$I229/12*0,IF($J229=2,-$E229*$I229/12*1,IF($J229=3,-$E229*$I229/12*2,IF($J229&gt;=4,-$E229*$I229/12*3,0))))))</f>
        <v>0</v>
      </c>
      <c r="CU229" s="442">
        <f>IF($H229&lt;&gt;CX$5,0,IF(CX229&lt;0,IF(OR($J229=1,$J229=2,$J229=3,$J229=4),-$E229*$I229/12*3,IF($J229=5,-$E229*$I229/12*2,IF($J229=6,-$E229*$I229/12*1,0)))))+IF(CS$5&lt;&gt;$H229,0,IF(CS229&lt;0,IF($J229=4,-$E229*$I229/12*0,IF($J229=5,-$E229*$I229/12*1,IF($J229=6,-$E229*$I229/12*2,IF($J229&gt;=7,-$E229*$I229/12*3,0))))))</f>
        <v>0</v>
      </c>
      <c r="CV229" s="442">
        <f>IF($H229&lt;&gt;CX$5,0,IF(CX229&lt;0,IF(OR($J229=1,$J229=2,$J229=3,$J229=4,$J229=5,$J229=6,$J229=7),-$E229*$I229/12*3,IF($J229=8,-$E229*$I229/12*2,IF($J229=9,-$E229*$I229/12*1,0)))))+IF(CS$5&lt;&gt;$H229,0,IF(CS229&lt;0,IF($J229=7,-$E229*$I229/12*0,IF($J229=8,-$E229*$I229/12*1,IF($J229=9,-$E229*$I229/12*2,IF($J229&gt;=10,-$E229*$I229/12*3,0))))))</f>
        <v>0</v>
      </c>
      <c r="CW229" s="443">
        <f>IF($H229&lt;&gt;CX$5,0,IF(CX229&lt;0,IF(OR($J229=1,$J229=2,$J229=3,$J229=4,$J229=5,$J229=6,$J229=7,$J229=8,$J229=9,$J229=10),-$E229*$I229/12*3,IF($J229=11,-$E229*$I229/12*2,IF($J229=12,-$E229*$I229/12*1,0)))))+IF(CS$5&lt;&gt;$H229,0,IF(CS229&lt;0,IF($J229=10,-$E229*$I229/12*0,IF($J229=11,-$E229*$I229/12*1,IF($J229=12,-$E229*$I229/12*2,0)))))</f>
        <v>0</v>
      </c>
      <c r="CX229" s="440">
        <f>IF(AND(CS229&lt;&gt;0,CS$5=$H229),-$I229*$E229-CS229,IF(CX$5=$H229,-$I229*$E229*(12-$J229+1)/12,0))</f>
        <v>0</v>
      </c>
      <c r="CY229" s="441">
        <f>IF($H229&lt;&gt;DC$5,0,IF(DC229&lt;0,IF($J229=1,-$E229*$I229/12*3,IF($J229=2,-$E229*$I229/12*2,IF($J229=3,-$E229*$I229/12*1,0)))))+IF(CX$5&lt;&gt;$H229,0,IF(CX229&lt;0,IF($J229=1,-$E229*$I229/12*0,IF($J229=2,-$E229*$I229/12*1,IF($J229=3,-$E229*$I229/12*2,IF($J229&gt;=4,-$E229*$I229/12*3,0))))))</f>
        <v>0</v>
      </c>
      <c r="CZ229" s="442">
        <f>IF($H229&lt;&gt;DC$5,0,IF(DC229&lt;0,IF(OR($J229=1,$J229=2,$J229=3,$J229=4),-$E229*$I229/12*3,IF($J229=5,-$E229*$I229/12*2,IF($J229=6,-$E229*$I229/12*1,0)))))+IF(CX$5&lt;&gt;$H229,0,IF(CX229&lt;0,IF($J229=4,-$E229*$I229/12*0,IF($J229=5,-$E229*$I229/12*1,IF($J229=6,-$E229*$I229/12*2,IF($J229&gt;=7,-$E229*$I229/12*3,0))))))</f>
        <v>0</v>
      </c>
      <c r="DA229" s="442">
        <f>IF($H229&lt;&gt;DC$5,0,IF(DC229&lt;0,IF(OR($J229=1,$J229=2,$J229=3,$J229=4,$J229=5,$J229=6,$J229=7),-$E229*$I229/12*3,IF($J229=8,-$E229*$I229/12*2,IF($J229=9,-$E229*$I229/12*1,0)))))+IF(CX$5&lt;&gt;$H229,0,IF(CX229&lt;0,IF($J229=7,-$E229*$I229/12*0,IF($J229=8,-$E229*$I229/12*1,IF($J229=9,-$E229*$I229/12*2,IF($J229&gt;=10,-$E229*$I229/12*3,0))))))</f>
        <v>0</v>
      </c>
      <c r="DB229" s="443">
        <f>IF($H229&lt;&gt;DC$5,0,IF(DC229&lt;0,IF(OR($J229=1,$J229=2,$J229=3,$J229=4,$J229=5,$J229=6,$J229=7,$J229=8,$J229=9,$J229=10),-$E229*$I229/12*3,IF($J229=11,-$E229*$I229/12*2,IF($J229=12,-$E229*$I229/12*1,0)))))+IF(CX$5&lt;&gt;$H229,0,IF(CX229&lt;0,IF($J229=10,-$E229*$I229/12*0,IF($J229=11,-$E229*$I229/12*1,IF($J229=12,-$E229*$I229/12*2,0)))))</f>
        <v>0</v>
      </c>
      <c r="DC229" s="440">
        <f>IF(AND(CX229&lt;&gt;0,CX$5=$H229),-$I229*$E229-CX229,IF(DC$5=$H229,-$I229*$E229*(12-$J229+1)/12,0))</f>
        <v>0</v>
      </c>
      <c r="DD229" s="441">
        <f>IF($H229&lt;&gt;DH$5,0,IF(DH229&lt;0,IF($J229=1,-$E229*$I229/12*3,IF($J229=2,-$E229*$I229/12*2,IF($J229=3,-$E229*$I229/12*1,0)))))+IF(DC$5&lt;&gt;$H229,0,IF(DC229&lt;0,IF($J229=1,-$E229*$I229/12*0,IF($J229=2,-$E229*$I229/12*1,IF($J229=3,-$E229*$I229/12*2,IF($J229&gt;=4,-$E229*$I229/12*3,0))))))</f>
        <v>0</v>
      </c>
      <c r="DE229" s="442">
        <f>IF($H229&lt;&gt;DH$5,0,IF(DH229&lt;0,IF(OR($J229=1,$J229=2,$J229=3,$J229=4),-$E229*$I229/12*3,IF($J229=5,-$E229*$I229/12*2,IF($J229=6,-$E229*$I229/12*1,0)))))+IF(DC$5&lt;&gt;$H229,0,IF(DC229&lt;0,IF($J229=4,-$E229*$I229/12*0,IF($J229=5,-$E229*$I229/12*1,IF($J229=6,-$E229*$I229/12*2,IF($J229&gt;=7,-$E229*$I229/12*3,0))))))</f>
        <v>0</v>
      </c>
      <c r="DF229" s="442">
        <f>IF($H229&lt;&gt;DH$5,0,IF(DH229&lt;0,IF(OR($J229=1,$J229=2,$J229=3,$J229=4,$J229=5,$J229=6,$J229=7),-$E229*$I229/12*3,IF($J229=8,-$E229*$I229/12*2,IF($J229=9,-$E229*$I229/12*1,0)))))+IF(DC$5&lt;&gt;$H229,0,IF(DC229&lt;0,IF($J229=7,-$E229*$I229/12*0,IF($J229=8,-$E229*$I229/12*1,IF($J229=9,-$E229*$I229/12*2,IF($J229&gt;=10,-$E229*$I229/12*3,0))))))</f>
        <v>0</v>
      </c>
      <c r="DG229" s="443">
        <f>IF($H229&lt;&gt;DH$5,0,IF(DH229&lt;0,IF(OR($J229=1,$J229=2,$J229=3,$J229=4,$J229=5,$J229=6,$J229=7,$J229=8,$J229=9,$J229=10),-$E229*$I229/12*3,IF($J229=11,-$E229*$I229/12*2,IF($J229=12,-$E229*$I229/12*1,0)))))+IF(DC$5&lt;&gt;$H229,0,IF(DC229&lt;0,IF($J229=10,-$E229*$I229/12*0,IF($J229=11,-$E229*$I229/12*1,IF($J229=12,-$E229*$I229/12*2,0)))))</f>
        <v>0</v>
      </c>
      <c r="DH229" s="440">
        <f>IF(AND(DC229&lt;&gt;0,DC$5=$H229),-$I229*$E229-DC229,IF(DH$5=$H229,-$I229*$E229*(12-$J229+1)/12,0))</f>
        <v>0</v>
      </c>
      <c r="DI229" s="441">
        <f>IF($H229&lt;&gt;DM$5,0,IF(DM229&lt;0,IF($J229=1,-$E229*$I229/12*3,IF($J229=2,-$E229*$I229/12*2,IF($J229=3,-$E229*$I229/12*1,0)))))+IF(DH$5&lt;&gt;$H229,0,IF(DH229&lt;0,IF($J229=1,-$E229*$I229/12*0,IF($J229=2,-$E229*$I229/12*1,IF($J229=3,-$E229*$I229/12*2,IF($J229&gt;=4,-$E229*$I229/12*3,0))))))</f>
        <v>0</v>
      </c>
      <c r="DJ229" s="442">
        <f>IF($H229&lt;&gt;DM$5,0,IF(DM229&lt;0,IF(OR($J229=1,$J229=2,$J229=3,$J229=4),-$E229*$I229/12*3,IF($J229=5,-$E229*$I229/12*2,IF($J229=6,-$E229*$I229/12*1,0)))))+IF(DH$5&lt;&gt;$H229,0,IF(DH229&lt;0,IF($J229=4,-$E229*$I229/12*0,IF($J229=5,-$E229*$I229/12*1,IF($J229=6,-$E229*$I229/12*2,IF($J229&gt;=7,-$E229*$I229/12*3,0))))))</f>
        <v>0</v>
      </c>
      <c r="DK229" s="442">
        <f>IF($H229&lt;&gt;DM$5,0,IF(DM229&lt;0,IF(OR($J229=1,$J229=2,$J229=3,$J229=4,$J229=5,$J229=6,$J229=7),-$E229*$I229/12*3,IF($J229=8,-$E229*$I229/12*2,IF($J229=9,-$E229*$I229/12*1,0)))))+IF(DH$5&lt;&gt;$H229,0,IF(DH229&lt;0,IF($J229=7,-$E229*$I229/12*0,IF($J229=8,-$E229*$I229/12*1,IF($J229=9,-$E229*$I229/12*2,IF($J229&gt;=10,-$E229*$I229/12*3,0))))))</f>
        <v>0</v>
      </c>
      <c r="DL229" s="443">
        <f>IF($H229&lt;&gt;DM$5,0,IF(DM229&lt;0,IF(OR($J229=1,$J229=2,$J229=3,$J229=4,$J229=5,$J229=6,$J229=7,$J229=8,$J229=9,$J229=10),-$E229*$I229/12*3,IF($J229=11,-$E229*$I229/12*2,IF($J229=12,-$E229*$I229/12*1,0)))))+IF(DH$5&lt;&gt;$H229,0,IF(DH229&lt;0,IF($J229=10,-$E229*$I229/12*0,IF($J229=11,-$E229*$I229/12*1,IF($J229=12,-$E229*$I229/12*2,0)))))</f>
        <v>0</v>
      </c>
      <c r="DM229" s="440">
        <f>IF(AND(DH229&lt;&gt;0,DH$5=$H229),-$I229*$E229-DH229,IF(DM$5=$H229,-$I229*$E229*(12-$J229+1)/12,0))</f>
        <v>0</v>
      </c>
      <c r="DN229" s="441">
        <f>IF($H229&lt;&gt;DR$5,0,IF(DR229&lt;0,IF($J229=1,-$E229*$I229/12*3,IF($J229=2,-$E229*$I229/12*2,IF($J229=3,-$E229*$I229/12*1,0)))))+IF(DM$5&lt;&gt;$H229,0,IF(DM229&lt;0,IF($J229=1,-$E229*$I229/12*0,IF($J229=2,-$E229*$I229/12*1,IF($J229=3,-$E229*$I229/12*2,IF($J229&gt;=4,-$E229*$I229/12*3,0))))))</f>
        <v>0</v>
      </c>
      <c r="DO229" s="442">
        <f>IF($H229&lt;&gt;DR$5,0,IF(DR229&lt;0,IF(OR($J229=1,$J229=2,$J229=3,$J229=4),-$E229*$I229/12*3,IF($J229=5,-$E229*$I229/12*2,IF($J229=6,-$E229*$I229/12*1,0)))))+IF(DM$5&lt;&gt;$H229,0,IF(DM229&lt;0,IF($J229=4,-$E229*$I229/12*0,IF($J229=5,-$E229*$I229/12*1,IF($J229=6,-$E229*$I229/12*2,IF($J229&gt;=7,-$E229*$I229/12*3,0))))))</f>
        <v>0</v>
      </c>
      <c r="DP229" s="442">
        <f>IF($H229&lt;&gt;DR$5,0,IF(DR229&lt;0,IF(OR($J229=1,$J229=2,$J229=3,$J229=4,$J229=5,$J229=6,$J229=7),-$E229*$I229/12*3,IF($J229=8,-$E229*$I229/12*2,IF($J229=9,-$E229*$I229/12*1,0)))))+IF(DM$5&lt;&gt;$H229,0,IF(DM229&lt;0,IF($J229=7,-$E229*$I229/12*0,IF($J229=8,-$E229*$I229/12*1,IF($J229=9,-$E229*$I229/12*2,IF($J229&gt;=10,-$E229*$I229/12*3,0))))))</f>
        <v>0</v>
      </c>
      <c r="DQ229" s="443">
        <f>IF($H229&lt;&gt;DR$5,0,IF(DR229&lt;0,IF(OR($J229=1,$J229=2,$J229=3,$J229=4,$J229=5,$J229=6,$J229=7,$J229=8,$J229=9,$J229=10),-$E229*$I229/12*3,IF($J229=11,-$E229*$I229/12*2,IF($J229=12,-$E229*$I229/12*1,0)))))+IF(DM$5&lt;&gt;$H229,0,IF(DM229&lt;0,IF($J229=10,-$E229*$I229/12*0,IF($J229=11,-$E229*$I229/12*1,IF($J229=12,-$E229*$I229/12*2,0)))))</f>
        <v>0</v>
      </c>
      <c r="DR229" s="440">
        <f>IF(AND(DM229&lt;&gt;0,DM$5=$H229),-$I229*$E229-DM229,IF(DR$5=$H229,-$I229*$E229*(12-$J229+1)/12,0))</f>
        <v>0</v>
      </c>
    </row>
    <row r="230" spans="1:122" ht="12.75" customHeight="1">
      <c r="A230" s="92"/>
      <c r="B230" s="92"/>
      <c r="C230" s="1946" t="s">
        <v>1222</v>
      </c>
      <c r="D230" s="1953"/>
      <c r="E230" s="1954">
        <f t="shared" ref="E230" si="2996">IF(F230=0,G230,F230)</f>
        <v>275</v>
      </c>
      <c r="F230" s="1757">
        <v>275</v>
      </c>
      <c r="G230" s="1757">
        <v>0</v>
      </c>
      <c r="H230" s="1374">
        <v>2047</v>
      </c>
      <c r="I230" s="1956">
        <v>4.1399999999999999E-2</v>
      </c>
      <c r="J230" s="1357">
        <v>12</v>
      </c>
      <c r="K230" s="549"/>
      <c r="L230" s="441">
        <f>IF(P230=0,0,IF(P230&lt;0,IF($J230=3,P230,IF($J230=2,P230,IF($J230=1,P230,0)))))</f>
        <v>0</v>
      </c>
      <c r="M230" s="442">
        <f>IF(P230=0,0,IF(P230&lt;0,IF($J230=6,P230,IF($J230=5,P230,IF($J230=4,P230,0)))))</f>
        <v>0</v>
      </c>
      <c r="N230" s="442">
        <f>IF(P230=0,0,IF(P230&lt;0,IF($J230=9,P230,IF($J230=8,P230,IF($J230=7,P230,0)))))</f>
        <v>0</v>
      </c>
      <c r="O230" s="443">
        <f>IF(P230=0,0,IF(P230&lt;0,IF($J230=12,P230,IF($J230=11,P230,IF($J230=10,P230,0)))))</f>
        <v>0</v>
      </c>
      <c r="P230" s="440">
        <f>IF(P$5=$H230,-$E230,0)</f>
        <v>0</v>
      </c>
      <c r="Q230" s="441">
        <f>IF(U230=0,0,IF(U230&lt;0,IF($J230=3,U230,IF($J230=2,U230,IF($J230=1,U230,0)))))</f>
        <v>0</v>
      </c>
      <c r="R230" s="442">
        <f>IF(U230=0,0,IF(U230&lt;0,IF($J230=6,U230,IF($J230=5,U230,IF($J230=4,U230,0)))))</f>
        <v>0</v>
      </c>
      <c r="S230" s="442">
        <f>IF(U230=0,0,IF(U230&lt;0,IF($J230=9,U230,IF($J230=8,U230,IF($J230=7,U230,0)))))</f>
        <v>0</v>
      </c>
      <c r="T230" s="443">
        <f>IF(U230=0,0,IF(U230&lt;0,IF($J230=12,U230,IF($J230=11,U230,IF($J230=10,U230,0)))))</f>
        <v>0</v>
      </c>
      <c r="U230" s="440">
        <f>IF(U$5=$H230,-$E230,0)</f>
        <v>0</v>
      </c>
      <c r="V230" s="441">
        <f>IF(Z230=0,0,IF(Z230&lt;0,IF($J230=3,Z230,IF($J230=2,Z230,IF($J230=1,Z230,0)))))</f>
        <v>0</v>
      </c>
      <c r="W230" s="442">
        <f>IF(Z230=0,0,IF(Z230&lt;0,IF($J230=6,Z230,IF($J230=5,Z230,IF($J230=4,Z230,0)))))</f>
        <v>0</v>
      </c>
      <c r="X230" s="442">
        <f>IF(Z230=0,0,IF(Z230&lt;0,IF($J230=9,Z230,IF($J230=8,Z230,IF($J230=7,Z230,0)))))</f>
        <v>0</v>
      </c>
      <c r="Y230" s="443">
        <f>IF(Z230=0,0,IF(Z230&lt;0,IF($J230=12,Z230,IF($J230=11,Z230,IF($J230=10,Z230,0)))))</f>
        <v>0</v>
      </c>
      <c r="Z230" s="440">
        <f>IF(Z$5=$H230,-$E230,0)</f>
        <v>0</v>
      </c>
      <c r="AA230" s="441">
        <f>IF(AE230=0,0,IF(AE230&lt;0,IF($J230=3,AE230,IF($J230=2,AE230,IF($J230=1,AE230,0)))))</f>
        <v>0</v>
      </c>
      <c r="AB230" s="442">
        <f>IF(AE230=0,0,IF(AE230&lt;0,IF($J230=6,AE230,IF($J230=5,AE230,IF($J230=4,AE230,0)))))</f>
        <v>0</v>
      </c>
      <c r="AC230" s="442">
        <f>IF(AE230=0,0,IF(AE230&lt;0,IF($J230=9,AE230,IF($J230=8,AE230,IF($J230=7,AE230,0)))))</f>
        <v>0</v>
      </c>
      <c r="AD230" s="443">
        <f>IF(AE230=0,0,IF(AE230&lt;0,IF($J230=12,AE230,IF($J230=11,AE230,IF($J230=10,AE230,0)))))</f>
        <v>0</v>
      </c>
      <c r="AE230" s="440">
        <f>IF(AE$5=$H230,-$E230,0)</f>
        <v>0</v>
      </c>
      <c r="AF230" s="441">
        <f>IF(AJ230=0,0,IF(AJ230&lt;0,IF($J230=3,AJ230,IF($J230=2,AJ230,IF($J230=1,AJ230,0)))))</f>
        <v>0</v>
      </c>
      <c r="AG230" s="442">
        <f>IF(AJ230=0,0,IF(AJ230&lt;0,IF($J230=6,AJ230,IF($J230=5,AJ230,IF($J230=4,AJ230,0)))))</f>
        <v>0</v>
      </c>
      <c r="AH230" s="442">
        <f>IF(AJ230=0,0,IF(AJ230&lt;0,IF($J230=9,AJ230,IF($J230=8,AJ230,IF($J230=7,AJ230,0)))))</f>
        <v>0</v>
      </c>
      <c r="AI230" s="443">
        <f>IF(AJ230=0,0,IF(AJ230&lt;0,IF($J230=12,AJ230,IF($J230=11,AJ230,IF($J230=10,AJ230,0)))))</f>
        <v>0</v>
      </c>
      <c r="AJ230" s="440">
        <f>IF(AJ$5=$H230,-$E230,0)</f>
        <v>0</v>
      </c>
      <c r="AK230" s="441">
        <f>IF(AO230=0,0,IF(AO230&lt;0,IF($J230=3,AO230,IF($J230=2,AO230,IF($J230=1,AO230,0)))))</f>
        <v>0</v>
      </c>
      <c r="AL230" s="442">
        <f>IF(AO230=0,0,IF(AO230&lt;0,IF($J230=6,AO230,IF($J230=5,AO230,IF($J230=4,AO230,0)))))</f>
        <v>0</v>
      </c>
      <c r="AM230" s="442">
        <f>IF(AO230=0,0,IF(AO230&lt;0,IF($J230=9,AO230,IF($J230=8,AO230,IF($J230=7,AO230,0)))))</f>
        <v>0</v>
      </c>
      <c r="AN230" s="443">
        <f>IF(AO230=0,0,IF(AO230&lt;0,IF($J230=12,AO230,IF($J230=11,AO230,IF($J230=10,AO230,0)))))</f>
        <v>0</v>
      </c>
      <c r="AO230" s="440">
        <f>IF(AO$5=$H230,-$E230,0)</f>
        <v>0</v>
      </c>
      <c r="AP230" s="441">
        <f>IF(AT230=0,0,IF(AT230&lt;0,IF($J230=3,AT230,IF($J230=2,AT230,IF($J230=1,AT230,0)))))</f>
        <v>0</v>
      </c>
      <c r="AQ230" s="442">
        <f>IF(AT230=0,0,IF(AT230&lt;0,IF($J230=6,AT230,IF($J230=5,AT230,IF($J230=4,AT230,0)))))</f>
        <v>0</v>
      </c>
      <c r="AR230" s="442">
        <f>IF(AT230=0,0,IF(AT230&lt;0,IF($J230=9,AT230,IF($J230=8,AT230,IF($J230=7,AT230,0)))))</f>
        <v>0</v>
      </c>
      <c r="AS230" s="443">
        <f>IF(AT230=0,0,IF(AT230&lt;0,IF($J230=12,AT230,IF($J230=11,AT230,IF($J230=10,AT230,0)))))</f>
        <v>0</v>
      </c>
      <c r="AT230" s="440">
        <f>IF(AT$5=$H230,-$E230,0)</f>
        <v>0</v>
      </c>
      <c r="AU230" s="441">
        <f>IF(AY230=0,0,IF(AY230&lt;0,IF($J230=3,AY230,IF($J230=2,AY230,IF($J230=1,AY230,0)))))</f>
        <v>0</v>
      </c>
      <c r="AV230" s="442">
        <f>IF(AY230=0,0,IF(AY230&lt;0,IF($J230=6,AY230,IF($J230=5,AY230,IF($J230=4,AY230,0)))))</f>
        <v>0</v>
      </c>
      <c r="AW230" s="442">
        <f>IF(AY230=0,0,IF(AY230&lt;0,IF($J230=9,AY230,IF($J230=8,AY230,IF($J230=7,AY230,0)))))</f>
        <v>0</v>
      </c>
      <c r="AX230" s="443">
        <f>IF(AY230=0,0,IF(AY230&lt;0,IF($J230=12,AY230,IF($J230=11,AY230,IF($J230=10,AY230,0)))))</f>
        <v>0</v>
      </c>
      <c r="AY230" s="440">
        <f>IF(AY$5=$H230,-$E230,0)</f>
        <v>0</v>
      </c>
      <c r="AZ230" s="441">
        <f>IF(BD230=0,0,IF(BD230&lt;0,IF($J230=3,BD230,IF($J230=2,BD230,IF($J230=1,BD230,0)))))</f>
        <v>0</v>
      </c>
      <c r="BA230" s="442">
        <f>IF(BD230=0,0,IF(BD230&lt;0,IF($J230=6,BD230,IF($J230=5,BD230,IF($J230=4,BD230,0)))))</f>
        <v>0</v>
      </c>
      <c r="BB230" s="442">
        <f>IF(BD230=0,0,IF(BD230&lt;0,IF($J230=9,BD230,IF($J230=8,BD230,IF($J230=7,BD230,0)))))</f>
        <v>0</v>
      </c>
      <c r="BC230" s="443">
        <f>IF(BD230=0,0,IF(BD230&lt;0,IF($J230=12,BD230,IF($J230=11,BD230,IF($J230=10,BD230,0)))))</f>
        <v>0</v>
      </c>
      <c r="BD230" s="440">
        <f>IF(BD$5=$H230,-$E230,0)</f>
        <v>0</v>
      </c>
      <c r="BE230" s="441">
        <f>IF(BI230=0,0,IF(BI230&lt;0,IF($J230=3,BI230,IF($J230=2,BI230,IF($J230=1,BI230,0)))))</f>
        <v>0</v>
      </c>
      <c r="BF230" s="442">
        <f>IF(BI230=0,0,IF(BI230&lt;0,IF($J230=6,BI230,IF($J230=5,BI230,IF($J230=4,BI230,0)))))</f>
        <v>0</v>
      </c>
      <c r="BG230" s="442">
        <f>IF(BI230=0,0,IF(BI230&lt;0,IF($J230=9,BI230,IF($J230=8,BI230,IF($J230=7,BI230,0)))))</f>
        <v>0</v>
      </c>
      <c r="BH230" s="443">
        <f>IF(BI230=0,0,IF(BI230&lt;0,IF($J230=12,BI230,IF($J230=11,BI230,IF($J230=10,BI230,0)))))</f>
        <v>0</v>
      </c>
      <c r="BI230" s="440">
        <f>IF(BI$5=$H230,-$E230,0)</f>
        <v>0</v>
      </c>
      <c r="BJ230" s="441">
        <f>IF(BN230=0,0,IF(BN230&lt;0,IF($J230=3,BN230,IF($J230=2,BN230,IF($J230=1,BN230,0)))))</f>
        <v>0</v>
      </c>
      <c r="BK230" s="442">
        <f>IF(BN230=0,0,IF(BN230&lt;0,IF($J230=6,BN230,IF($J230=5,BN230,IF($J230=4,BN230,0)))))</f>
        <v>0</v>
      </c>
      <c r="BL230" s="442">
        <f>IF(BN230=0,0,IF(BN230&lt;0,IF($J230=9,BN230,IF($J230=8,BN230,IF($J230=7,BN230,0)))))</f>
        <v>0</v>
      </c>
      <c r="BM230" s="443">
        <f>IF(BN230=0,0,IF(BN230&lt;0,IF($J230=12,BN230,IF($J230=11,BN230,IF($J230=10,BN230,0)))))</f>
        <v>0</v>
      </c>
      <c r="BN230" s="440">
        <f>IF(BN$5=$H230,-$E230,0)</f>
        <v>0</v>
      </c>
      <c r="BO230" s="470"/>
      <c r="BP230" s="441">
        <f>IF($H230&lt;&gt;BT$5,0,IF(BT230&lt;0,IF($J230=1,-$E230*$I230/12*3,IF($J230=2,-$E230*$I230/12*2,IF($J230=3,-$E230*$I230/12*1,0)))))+IF(BO$5&lt;&gt;$H230,0,IF(BO230&lt;0,IF($J230=1,-$E230*$I230/12*0,IF($J230=2,-$E230*$I230/12*1,IF($J230=3,-$E230*$I230/12*2,IF($J230&gt;=4,-$E230*$I230/12*3,0))))))</f>
        <v>0</v>
      </c>
      <c r="BQ230" s="442">
        <f>IF($H230&lt;&gt;BT$5,0,IF(BT230&lt;0,IF(OR($J230=1,$J230=2,$J230=3,$J230=4),-$E230*$I230/12*3,IF($J230=5,-$E230*$I230/12*2,IF($J230=6,-$E230*$I230/12*1,0)))))+IF(BO$5&lt;&gt;$H230,0,IF(BO230&lt;0,IF($J230=4,-$E230*$I230/12*0,IF($J230=5,-$E230*$I230/12*1,IF($J230=6,-$E230*$I230/12*2,IF($J230&gt;=7,-$E230*$I230/12*3,0))))))</f>
        <v>0</v>
      </c>
      <c r="BR230" s="442">
        <f>IF($H230&lt;&gt;BT$5,0,IF(BT230&lt;0,IF(OR($J230=1,$J230=2,$J230=3,$J230=4,$J230=5,$J230=6,$J230=7),-$E230*$I230/12*3,IF($J230=8,-$E230*$I230/12*2,IF($J230=9,-$E230*$I230/12*1,0)))))+IF(BO$5&lt;&gt;$H230,0,IF(BO230&lt;0,IF($J230=7,-$E230*$I230/12*0,IF($J230=8,-$E230*$I230/12*1,IF($J230=9,-$E230*$I230/12*2,IF($J230&gt;=10,-$E230*$I230/12*3,0))))))</f>
        <v>0</v>
      </c>
      <c r="BS230" s="443">
        <f>IF($H230&lt;&gt;BT$5,0,IF(BT230&lt;0,IF(OR($J230=1,$J230=2,$J230=3,$J230=4,$J230=5,$J230=6,$J230=7,$J230=8,$J230=9,$J230=10),-$E230*$I230/12*3,IF($J230=11,-$E230*$I230/12*2,IF($J230=12,-$E230*$I230/12*1,0)))))+IF(BO$5&lt;&gt;$H230,0,IF(BO230&lt;0,IF($J230=10,-$E230*$I230/12*0,IF($J230=11,-$E230*$I230/12*1,IF($J230=12,-$E230*$I230/12*2,0)))))</f>
        <v>0</v>
      </c>
      <c r="BT230" s="440">
        <f>IF(AND(BO230&lt;&gt;0,BO$5=$H230),-$I230*$E230-BO230,IF(BT$5=$H230,-$I230*$E230*(12-$J230+1)/12,0))</f>
        <v>0</v>
      </c>
      <c r="BU230" s="441">
        <f>IF($H230&lt;&gt;BY$5,0,IF(BY230&lt;0,IF($J230=1,-$E230*$I230/12*3,IF($J230=2,-$E230*$I230/12*2,IF($J230=3,-$E230*$I230/12*1,0)))))+IF(BT$5&lt;&gt;$H230,0,IF(BT230&lt;0,IF($J230=1,-$E230*$I230/12*0,IF($J230=2,-$E230*$I230/12*1,IF($J230=3,-$E230*$I230/12*2,IF($J230&gt;=4,-$E230*$I230/12*3,0))))))</f>
        <v>0</v>
      </c>
      <c r="BV230" s="442">
        <f>IF($H230&lt;&gt;BY$5,0,IF(BY230&lt;0,IF(OR($J230=1,$J230=2,$J230=3,$J230=4),-$E230*$I230/12*3,IF($J230=5,-$E230*$I230/12*2,IF($J230=6,-$E230*$I230/12*1,0)))))+IF(BT$5&lt;&gt;$H230,0,IF(BT230&lt;0,IF($J230=4,-$E230*$I230/12*0,IF($J230=5,-$E230*$I230/12*1,IF($J230=6,-$E230*$I230/12*2,IF($J230&gt;=7,-$E230*$I230/12*3,0))))))</f>
        <v>0</v>
      </c>
      <c r="BW230" s="442">
        <f>IF($H230&lt;&gt;BY$5,0,IF(BY230&lt;0,IF(OR($J230=1,$J230=2,$J230=3,$J230=4,$J230=5,$J230=6,$J230=7),-$E230*$I230/12*3,IF($J230=8,-$E230*$I230/12*2,IF($J230=9,-$E230*$I230/12*1,0)))))+IF(BT$5&lt;&gt;$H230,0,IF(BT230&lt;0,IF($J230=7,-$E230*$I230/12*0,IF($J230=8,-$E230*$I230/12*1,IF($J230=9,-$E230*$I230/12*2,IF($J230&gt;=10,-$E230*$I230/12*3,0))))))</f>
        <v>0</v>
      </c>
      <c r="BX230" s="443">
        <f>IF($H230&lt;&gt;BY$5,0,IF(BY230&lt;0,IF(OR($J230=1,$J230=2,$J230=3,$J230=4,$J230=5,$J230=6,$J230=7,$J230=8,$J230=9,$J230=10),-$E230*$I230/12*3,IF($J230=11,-$E230*$I230/12*2,IF($J230=12,-$E230*$I230/12*1,0)))))+IF(BT$5&lt;&gt;$H230,0,IF(BT230&lt;0,IF($J230=10,-$E230*$I230/12*0,IF($J230=11,-$E230*$I230/12*1,IF($J230=12,-$E230*$I230/12*2,0)))))</f>
        <v>0</v>
      </c>
      <c r="BY230" s="440">
        <f>IF(AND(BT230&lt;&gt;0,BT$5=$H230),-$I230*$E230-BT230,IF(BY$5=$H230,-$I230*$E230*(12-$J230+1)/12,0))</f>
        <v>0</v>
      </c>
      <c r="BZ230" s="441">
        <f>IF($H230&lt;&gt;CD$5,0,IF(CD230&lt;0,IF($J230=1,-$E230*$I230/12*3,IF($J230=2,-$E230*$I230/12*2,IF($J230=3,-$E230*$I230/12*1,0)))))+IF(BY$5&lt;&gt;$H230,0,IF(BY230&lt;0,IF($J230=1,-$E230*$I230/12*0,IF($J230=2,-$E230*$I230/12*1,IF($J230=3,-$E230*$I230/12*2,IF($J230&gt;=4,-$E230*$I230/12*3,0))))))</f>
        <v>0</v>
      </c>
      <c r="CA230" s="442">
        <f>IF($H230&lt;&gt;CD$5,0,IF(CD230&lt;0,IF(OR($J230=1,$J230=2,$J230=3,$J230=4),-$E230*$I230/12*3,IF($J230=5,-$E230*$I230/12*2,IF($J230=6,-$E230*$I230/12*1,0)))))+IF(BY$5&lt;&gt;$H230,0,IF(BY230&lt;0,IF($J230=4,-$E230*$I230/12*0,IF($J230=5,-$E230*$I230/12*1,IF($J230=6,-$E230*$I230/12*2,IF($J230&gt;=7,-$E230*$I230/12*3,0))))))</f>
        <v>0</v>
      </c>
      <c r="CB230" s="442">
        <f>IF($H230&lt;&gt;CD$5,0,IF(CD230&lt;0,IF(OR($J230=1,$J230=2,$J230=3,$J230=4,$J230=5,$J230=6,$J230=7),-$E230*$I230/12*3,IF($J230=8,-$E230*$I230/12*2,IF($J230=9,-$E230*$I230/12*1,0)))))+IF(BY$5&lt;&gt;$H230,0,IF(BY230&lt;0,IF($J230=7,-$E230*$I230/12*0,IF($J230=8,-$E230*$I230/12*1,IF($J230=9,-$E230*$I230/12*2,IF($J230&gt;=10,-$E230*$I230/12*3,0))))))</f>
        <v>0</v>
      </c>
      <c r="CC230" s="443">
        <f>IF($H230&lt;&gt;CD$5,0,IF(CD230&lt;0,IF(OR($J230=1,$J230=2,$J230=3,$J230=4,$J230=5,$J230=6,$J230=7,$J230=8,$J230=9,$J230=10),-$E230*$I230/12*3,IF($J230=11,-$E230*$I230/12*2,IF($J230=12,-$E230*$I230/12*1,0)))))+IF(BY$5&lt;&gt;$H230,0,IF(BY230&lt;0,IF($J230=10,-$E230*$I230/12*0,IF($J230=11,-$E230*$I230/12*1,IF($J230=12,-$E230*$I230/12*2,0)))))</f>
        <v>0</v>
      </c>
      <c r="CD230" s="440">
        <f>IF(AND(BY230&lt;&gt;0,BY$5=$H230),-$I230*$E230-BY230,IF(CD$5=$H230,-$I230*$E230*(12-$J230+1)/12,0))</f>
        <v>0</v>
      </c>
      <c r="CE230" s="441">
        <f>IF($H230&lt;&gt;CI$5,0,IF(CI230&lt;0,IF($J230=1,-$E230*$I230/12*3,IF($J230=2,-$E230*$I230/12*2,IF($J230=3,-$E230*$I230/12*1,0)))))+IF(CD$5&lt;&gt;$H230,0,IF(CD230&lt;0,IF($J230=1,-$E230*$I230/12*0,IF($J230=2,-$E230*$I230/12*1,IF($J230=3,-$E230*$I230/12*2,IF($J230&gt;=4,-$E230*$I230/12*3,0))))))</f>
        <v>0</v>
      </c>
      <c r="CF230" s="442">
        <f>IF($H230&lt;&gt;CI$5,0,IF(CI230&lt;0,IF(OR($J230=1,$J230=2,$J230=3,$J230=4),-$E230*$I230/12*3,IF($J230=5,-$E230*$I230/12*2,IF($J230=6,-$E230*$I230/12*1,0)))))+IF(CD$5&lt;&gt;$H230,0,IF(CD230&lt;0,IF($J230=4,-$E230*$I230/12*0,IF($J230=5,-$E230*$I230/12*1,IF($J230=6,-$E230*$I230/12*2,IF($J230&gt;=7,-$E230*$I230/12*3,0))))))</f>
        <v>0</v>
      </c>
      <c r="CG230" s="442">
        <f>IF($H230&lt;&gt;CI$5,0,IF(CI230&lt;0,IF(OR($J230=1,$J230=2,$J230=3,$J230=4,$J230=5,$J230=6,$J230=7),-$E230*$I230/12*3,IF($J230=8,-$E230*$I230/12*2,IF($J230=9,-$E230*$I230/12*1,0)))))+IF(CD$5&lt;&gt;$H230,0,IF(CD230&lt;0,IF($J230=7,-$E230*$I230/12*0,IF($J230=8,-$E230*$I230/12*1,IF($J230=9,-$E230*$I230/12*2,IF($J230&gt;=10,-$E230*$I230/12*3,0))))))</f>
        <v>0</v>
      </c>
      <c r="CH230" s="443">
        <f>IF($H230&lt;&gt;CI$5,0,IF(CI230&lt;0,IF(OR($J230=1,$J230=2,$J230=3,$J230=4,$J230=5,$J230=6,$J230=7,$J230=8,$J230=9,$J230=10),-$E230*$I230/12*3,IF($J230=11,-$E230*$I230/12*2,IF($J230=12,-$E230*$I230/12*1,0)))))+IF(CD$5&lt;&gt;$H230,0,IF(CD230&lt;0,IF($J230=10,-$E230*$I230/12*0,IF($J230=11,-$E230*$I230/12*1,IF($J230=12,-$E230*$I230/12*2,0)))))</f>
        <v>0</v>
      </c>
      <c r="CI230" s="440">
        <f>IF(AND(CD230&lt;&gt;0,CD$5=$H230),-$I230*$E230-CD230,IF(CI$5=$H230,-$I230*$E230*(12-$J230+1)/12,0))</f>
        <v>0</v>
      </c>
      <c r="CJ230" s="441">
        <f>IF($H230&lt;&gt;CN$5,0,IF(CN230&lt;0,IF($J230=1,-$E230*$I230/12*3,IF($J230=2,-$E230*$I230/12*2,IF($J230=3,-$E230*$I230/12*1,0)))))+IF(CI$5&lt;&gt;$H230,0,IF(CI230&lt;0,IF($J230=1,-$E230*$I230/12*0,IF($J230=2,-$E230*$I230/12*1,IF($J230=3,-$E230*$I230/12*2,IF($J230&gt;=4,-$E230*$I230/12*3,0))))))</f>
        <v>0</v>
      </c>
      <c r="CK230" s="442">
        <f>IF($H230&lt;&gt;CN$5,0,IF(CN230&lt;0,IF(OR($J230=1,$J230=2,$J230=3,$J230=4),-$E230*$I230/12*3,IF($J230=5,-$E230*$I230/12*2,IF($J230=6,-$E230*$I230/12*1,0)))))+IF(CI$5&lt;&gt;$H230,0,IF(CI230&lt;0,IF($J230=4,-$E230*$I230/12*0,IF($J230=5,-$E230*$I230/12*1,IF($J230=6,-$E230*$I230/12*2,IF($J230&gt;=7,-$E230*$I230/12*3,0))))))</f>
        <v>0</v>
      </c>
      <c r="CL230" s="442">
        <f>IF($H230&lt;&gt;CN$5,0,IF(CN230&lt;0,IF(OR($J230=1,$J230=2,$J230=3,$J230=4,$J230=5,$J230=6,$J230=7),-$E230*$I230/12*3,IF($J230=8,-$E230*$I230/12*2,IF($J230=9,-$E230*$I230/12*1,0)))))+IF(CI$5&lt;&gt;$H230,0,IF(CI230&lt;0,IF($J230=7,-$E230*$I230/12*0,IF($J230=8,-$E230*$I230/12*1,IF($J230=9,-$E230*$I230/12*2,IF($J230&gt;=10,-$E230*$I230/12*3,0))))))</f>
        <v>0</v>
      </c>
      <c r="CM230" s="443">
        <f>IF($H230&lt;&gt;CN$5,0,IF(CN230&lt;0,IF(OR($J230=1,$J230=2,$J230=3,$J230=4,$J230=5,$J230=6,$J230=7,$J230=8,$J230=9,$J230=10),-$E230*$I230/12*3,IF($J230=11,-$E230*$I230/12*2,IF($J230=12,-$E230*$I230/12*1,0)))))+IF(CI$5&lt;&gt;$H230,0,IF(CI230&lt;0,IF($J230=10,-$E230*$I230/12*0,IF($J230=11,-$E230*$I230/12*1,IF($J230=12,-$E230*$I230/12*2,0)))))</f>
        <v>0</v>
      </c>
      <c r="CN230" s="440">
        <f>IF(AND(CI230&lt;&gt;0,CI$5=$H230),-$I230*$E230-CI230,IF(CN$5=$H230,-$I230*$E230*(12-$J230+1)/12,0))</f>
        <v>0</v>
      </c>
      <c r="CO230" s="441">
        <f>IF($H230&lt;&gt;CS$5,0,IF(CS230&lt;0,IF($J230=1,-$E230*$I230/12*3,IF($J230=2,-$E230*$I230/12*2,IF($J230=3,-$E230*$I230/12*1,0)))))+IF(CN$5&lt;&gt;$H230,0,IF(CN230&lt;0,IF($J230=1,-$E230*$I230/12*0,IF($J230=2,-$E230*$I230/12*1,IF($J230=3,-$E230*$I230/12*2,IF($J230&gt;=4,-$E230*$I230/12*3,0))))))</f>
        <v>0</v>
      </c>
      <c r="CP230" s="442">
        <f>IF($H230&lt;&gt;CS$5,0,IF(CS230&lt;0,IF(OR($J230=1,$J230=2,$J230=3,$J230=4),-$E230*$I230/12*3,IF($J230=5,-$E230*$I230/12*2,IF($J230=6,-$E230*$I230/12*1,0)))))+IF(CN$5&lt;&gt;$H230,0,IF(CN230&lt;0,IF($J230=4,-$E230*$I230/12*0,IF($J230=5,-$E230*$I230/12*1,IF($J230=6,-$E230*$I230/12*2,IF($J230&gt;=7,-$E230*$I230/12*3,0))))))</f>
        <v>0</v>
      </c>
      <c r="CQ230" s="442">
        <f>IF($H230&lt;&gt;CS$5,0,IF(CS230&lt;0,IF(OR($J230=1,$J230=2,$J230=3,$J230=4,$J230=5,$J230=6,$J230=7),-$E230*$I230/12*3,IF($J230=8,-$E230*$I230/12*2,IF($J230=9,-$E230*$I230/12*1,0)))))+IF(CN$5&lt;&gt;$H230,0,IF(CN230&lt;0,IF($J230=7,-$E230*$I230/12*0,IF($J230=8,-$E230*$I230/12*1,IF($J230=9,-$E230*$I230/12*2,IF($J230&gt;=10,-$E230*$I230/12*3,0))))))</f>
        <v>0</v>
      </c>
      <c r="CR230" s="443">
        <f>IF($H230&lt;&gt;CS$5,0,IF(CS230&lt;0,IF(OR($J230=1,$J230=2,$J230=3,$J230=4,$J230=5,$J230=6,$J230=7,$J230=8,$J230=9,$J230=10),-$E230*$I230/12*3,IF($J230=11,-$E230*$I230/12*2,IF($J230=12,-$E230*$I230/12*1,0)))))+IF(CN$5&lt;&gt;$H230,0,IF(CN230&lt;0,IF($J230=10,-$E230*$I230/12*0,IF($J230=11,-$E230*$I230/12*1,IF($J230=12,-$E230*$I230/12*2,0)))))</f>
        <v>0</v>
      </c>
      <c r="CS230" s="440">
        <f>IF(AND(CN230&lt;&gt;0,CN$5=$H230),-$I230*$E230-CN230,IF(CS$5=$H230,-$I230*$E230*(12-$J230+1)/12,0))</f>
        <v>0</v>
      </c>
      <c r="CT230" s="441">
        <f>IF($H230&lt;&gt;CX$5,0,IF(CX230&lt;0,IF($J230=1,-$E230*$I230/12*3,IF($J230=2,-$E230*$I230/12*2,IF($J230=3,-$E230*$I230/12*1,0)))))+IF(CS$5&lt;&gt;$H230,0,IF(CS230&lt;0,IF($J230=1,-$E230*$I230/12*0,IF($J230=2,-$E230*$I230/12*1,IF($J230=3,-$E230*$I230/12*2,IF($J230&gt;=4,-$E230*$I230/12*3,0))))))</f>
        <v>0</v>
      </c>
      <c r="CU230" s="442">
        <f>IF($H230&lt;&gt;CX$5,0,IF(CX230&lt;0,IF(OR($J230=1,$J230=2,$J230=3,$J230=4),-$E230*$I230/12*3,IF($J230=5,-$E230*$I230/12*2,IF($J230=6,-$E230*$I230/12*1,0)))))+IF(CS$5&lt;&gt;$H230,0,IF(CS230&lt;0,IF($J230=4,-$E230*$I230/12*0,IF($J230=5,-$E230*$I230/12*1,IF($J230=6,-$E230*$I230/12*2,IF($J230&gt;=7,-$E230*$I230/12*3,0))))))</f>
        <v>0</v>
      </c>
      <c r="CV230" s="442">
        <f>IF($H230&lt;&gt;CX$5,0,IF(CX230&lt;0,IF(OR($J230=1,$J230=2,$J230=3,$J230=4,$J230=5,$J230=6,$J230=7),-$E230*$I230/12*3,IF($J230=8,-$E230*$I230/12*2,IF($J230=9,-$E230*$I230/12*1,0)))))+IF(CS$5&lt;&gt;$H230,0,IF(CS230&lt;0,IF($J230=7,-$E230*$I230/12*0,IF($J230=8,-$E230*$I230/12*1,IF($J230=9,-$E230*$I230/12*2,IF($J230&gt;=10,-$E230*$I230/12*3,0))))))</f>
        <v>0</v>
      </c>
      <c r="CW230" s="443">
        <f>IF($H230&lt;&gt;CX$5,0,IF(CX230&lt;0,IF(OR($J230=1,$J230=2,$J230=3,$J230=4,$J230=5,$J230=6,$J230=7,$J230=8,$J230=9,$J230=10),-$E230*$I230/12*3,IF($J230=11,-$E230*$I230/12*2,IF($J230=12,-$E230*$I230/12*1,0)))))+IF(CS$5&lt;&gt;$H230,0,IF(CS230&lt;0,IF($J230=10,-$E230*$I230/12*0,IF($J230=11,-$E230*$I230/12*1,IF($J230=12,-$E230*$I230/12*2,0)))))</f>
        <v>0</v>
      </c>
      <c r="CX230" s="440">
        <f>IF(AND(CS230&lt;&gt;0,CS$5=$H230),-$I230*$E230-CS230,IF(CX$5=$H230,-$I230*$E230*(12-$J230+1)/12,0))</f>
        <v>0</v>
      </c>
      <c r="CY230" s="441">
        <f>IF($H230&lt;&gt;DC$5,0,IF(DC230&lt;0,IF($J230=1,-$E230*$I230/12*3,IF($J230=2,-$E230*$I230/12*2,IF($J230=3,-$E230*$I230/12*1,0)))))+IF(CX$5&lt;&gt;$H230,0,IF(CX230&lt;0,IF($J230=1,-$E230*$I230/12*0,IF($J230=2,-$E230*$I230/12*1,IF($J230=3,-$E230*$I230/12*2,IF($J230&gt;=4,-$E230*$I230/12*3,0))))))</f>
        <v>0</v>
      </c>
      <c r="CZ230" s="442">
        <f>IF($H230&lt;&gt;DC$5,0,IF(DC230&lt;0,IF(OR($J230=1,$J230=2,$J230=3,$J230=4),-$E230*$I230/12*3,IF($J230=5,-$E230*$I230/12*2,IF($J230=6,-$E230*$I230/12*1,0)))))+IF(CX$5&lt;&gt;$H230,0,IF(CX230&lt;0,IF($J230=4,-$E230*$I230/12*0,IF($J230=5,-$E230*$I230/12*1,IF($J230=6,-$E230*$I230/12*2,IF($J230&gt;=7,-$E230*$I230/12*3,0))))))</f>
        <v>0</v>
      </c>
      <c r="DA230" s="442">
        <f>IF($H230&lt;&gt;DC$5,0,IF(DC230&lt;0,IF(OR($J230=1,$J230=2,$J230=3,$J230=4,$J230=5,$J230=6,$J230=7),-$E230*$I230/12*3,IF($J230=8,-$E230*$I230/12*2,IF($J230=9,-$E230*$I230/12*1,0)))))+IF(CX$5&lt;&gt;$H230,0,IF(CX230&lt;0,IF($J230=7,-$E230*$I230/12*0,IF($J230=8,-$E230*$I230/12*1,IF($J230=9,-$E230*$I230/12*2,IF($J230&gt;=10,-$E230*$I230/12*3,0))))))</f>
        <v>0</v>
      </c>
      <c r="DB230" s="443">
        <f>IF($H230&lt;&gt;DC$5,0,IF(DC230&lt;0,IF(OR($J230=1,$J230=2,$J230=3,$J230=4,$J230=5,$J230=6,$J230=7,$J230=8,$J230=9,$J230=10),-$E230*$I230/12*3,IF($J230=11,-$E230*$I230/12*2,IF($J230=12,-$E230*$I230/12*1,0)))))+IF(CX$5&lt;&gt;$H230,0,IF(CX230&lt;0,IF($J230=10,-$E230*$I230/12*0,IF($J230=11,-$E230*$I230/12*1,IF($J230=12,-$E230*$I230/12*2,0)))))</f>
        <v>0</v>
      </c>
      <c r="DC230" s="440">
        <f>IF(AND(CX230&lt;&gt;0,CX$5=$H230),-$I230*$E230-CX230,IF(DC$5=$H230,-$I230*$E230*(12-$J230+1)/12,0))</f>
        <v>0</v>
      </c>
      <c r="DD230" s="441">
        <f>IF($H230&lt;&gt;DH$5,0,IF(DH230&lt;0,IF($J230=1,-$E230*$I230/12*3,IF($J230=2,-$E230*$I230/12*2,IF($J230=3,-$E230*$I230/12*1,0)))))+IF(DC$5&lt;&gt;$H230,0,IF(DC230&lt;0,IF($J230=1,-$E230*$I230/12*0,IF($J230=2,-$E230*$I230/12*1,IF($J230=3,-$E230*$I230/12*2,IF($J230&gt;=4,-$E230*$I230/12*3,0))))))</f>
        <v>0</v>
      </c>
      <c r="DE230" s="442">
        <f>IF($H230&lt;&gt;DH$5,0,IF(DH230&lt;0,IF(OR($J230=1,$J230=2,$J230=3,$J230=4),-$E230*$I230/12*3,IF($J230=5,-$E230*$I230/12*2,IF($J230=6,-$E230*$I230/12*1,0)))))+IF(DC$5&lt;&gt;$H230,0,IF(DC230&lt;0,IF($J230=4,-$E230*$I230/12*0,IF($J230=5,-$E230*$I230/12*1,IF($J230=6,-$E230*$I230/12*2,IF($J230&gt;=7,-$E230*$I230/12*3,0))))))</f>
        <v>0</v>
      </c>
      <c r="DF230" s="442">
        <f>IF($H230&lt;&gt;DH$5,0,IF(DH230&lt;0,IF(OR($J230=1,$J230=2,$J230=3,$J230=4,$J230=5,$J230=6,$J230=7),-$E230*$I230/12*3,IF($J230=8,-$E230*$I230/12*2,IF($J230=9,-$E230*$I230/12*1,0)))))+IF(DC$5&lt;&gt;$H230,0,IF(DC230&lt;0,IF($J230=7,-$E230*$I230/12*0,IF($J230=8,-$E230*$I230/12*1,IF($J230=9,-$E230*$I230/12*2,IF($J230&gt;=10,-$E230*$I230/12*3,0))))))</f>
        <v>0</v>
      </c>
      <c r="DG230" s="443">
        <f>IF($H230&lt;&gt;DH$5,0,IF(DH230&lt;0,IF(OR($J230=1,$J230=2,$J230=3,$J230=4,$J230=5,$J230=6,$J230=7,$J230=8,$J230=9,$J230=10),-$E230*$I230/12*3,IF($J230=11,-$E230*$I230/12*2,IF($J230=12,-$E230*$I230/12*1,0)))))+IF(DC$5&lt;&gt;$H230,0,IF(DC230&lt;0,IF($J230=10,-$E230*$I230/12*0,IF($J230=11,-$E230*$I230/12*1,IF($J230=12,-$E230*$I230/12*2,0)))))</f>
        <v>0</v>
      </c>
      <c r="DH230" s="440">
        <f>IF(AND(DC230&lt;&gt;0,DC$5=$H230),-$I230*$E230-DC230,IF(DH$5=$H230,-$I230*$E230*(12-$J230+1)/12,0))</f>
        <v>0</v>
      </c>
      <c r="DI230" s="441">
        <f>IF($H230&lt;&gt;DM$5,0,IF(DM230&lt;0,IF($J230=1,-$E230*$I230/12*3,IF($J230=2,-$E230*$I230/12*2,IF($J230=3,-$E230*$I230/12*1,0)))))+IF(DH$5&lt;&gt;$H230,0,IF(DH230&lt;0,IF($J230=1,-$E230*$I230/12*0,IF($J230=2,-$E230*$I230/12*1,IF($J230=3,-$E230*$I230/12*2,IF($J230&gt;=4,-$E230*$I230/12*3,0))))))</f>
        <v>0</v>
      </c>
      <c r="DJ230" s="442">
        <f>IF($H230&lt;&gt;DM$5,0,IF(DM230&lt;0,IF(OR($J230=1,$J230=2,$J230=3,$J230=4),-$E230*$I230/12*3,IF($J230=5,-$E230*$I230/12*2,IF($J230=6,-$E230*$I230/12*1,0)))))+IF(DH$5&lt;&gt;$H230,0,IF(DH230&lt;0,IF($J230=4,-$E230*$I230/12*0,IF($J230=5,-$E230*$I230/12*1,IF($J230=6,-$E230*$I230/12*2,IF($J230&gt;=7,-$E230*$I230/12*3,0))))))</f>
        <v>0</v>
      </c>
      <c r="DK230" s="442">
        <f>IF($H230&lt;&gt;DM$5,0,IF(DM230&lt;0,IF(OR($J230=1,$J230=2,$J230=3,$J230=4,$J230=5,$J230=6,$J230=7),-$E230*$I230/12*3,IF($J230=8,-$E230*$I230/12*2,IF($J230=9,-$E230*$I230/12*1,0)))))+IF(DH$5&lt;&gt;$H230,0,IF(DH230&lt;0,IF($J230=7,-$E230*$I230/12*0,IF($J230=8,-$E230*$I230/12*1,IF($J230=9,-$E230*$I230/12*2,IF($J230&gt;=10,-$E230*$I230/12*3,0))))))</f>
        <v>0</v>
      </c>
      <c r="DL230" s="443">
        <f>IF($H230&lt;&gt;DM$5,0,IF(DM230&lt;0,IF(OR($J230=1,$J230=2,$J230=3,$J230=4,$J230=5,$J230=6,$J230=7,$J230=8,$J230=9,$J230=10),-$E230*$I230/12*3,IF($J230=11,-$E230*$I230/12*2,IF($J230=12,-$E230*$I230/12*1,0)))))+IF(DH$5&lt;&gt;$H230,0,IF(DH230&lt;0,IF($J230=10,-$E230*$I230/12*0,IF($J230=11,-$E230*$I230/12*1,IF($J230=12,-$E230*$I230/12*2,0)))))</f>
        <v>0</v>
      </c>
      <c r="DM230" s="440">
        <f>IF(AND(DH230&lt;&gt;0,DH$5=$H230),-$I230*$E230-DH230,IF(DM$5=$H230,-$I230*$E230*(12-$J230+1)/12,0))</f>
        <v>0</v>
      </c>
      <c r="DN230" s="441">
        <f>IF($H230&lt;&gt;DR$5,0,IF(DR230&lt;0,IF($J230=1,-$E230*$I230/12*3,IF($J230=2,-$E230*$I230/12*2,IF($J230=3,-$E230*$I230/12*1,0)))))+IF(DM$5&lt;&gt;$H230,0,IF(DM230&lt;0,IF($J230=1,-$E230*$I230/12*0,IF($J230=2,-$E230*$I230/12*1,IF($J230=3,-$E230*$I230/12*2,IF($J230&gt;=4,-$E230*$I230/12*3,0))))))</f>
        <v>0</v>
      </c>
      <c r="DO230" s="442">
        <f>IF($H230&lt;&gt;DR$5,0,IF(DR230&lt;0,IF(OR($J230=1,$J230=2,$J230=3,$J230=4),-$E230*$I230/12*3,IF($J230=5,-$E230*$I230/12*2,IF($J230=6,-$E230*$I230/12*1,0)))))+IF(DM$5&lt;&gt;$H230,0,IF(DM230&lt;0,IF($J230=4,-$E230*$I230/12*0,IF($J230=5,-$E230*$I230/12*1,IF($J230=6,-$E230*$I230/12*2,IF($J230&gt;=7,-$E230*$I230/12*3,0))))))</f>
        <v>0</v>
      </c>
      <c r="DP230" s="442">
        <f>IF($H230&lt;&gt;DR$5,0,IF(DR230&lt;0,IF(OR($J230=1,$J230=2,$J230=3,$J230=4,$J230=5,$J230=6,$J230=7),-$E230*$I230/12*3,IF($J230=8,-$E230*$I230/12*2,IF($J230=9,-$E230*$I230/12*1,0)))))+IF(DM$5&lt;&gt;$H230,0,IF(DM230&lt;0,IF($J230=7,-$E230*$I230/12*0,IF($J230=8,-$E230*$I230/12*1,IF($J230=9,-$E230*$I230/12*2,IF($J230&gt;=10,-$E230*$I230/12*3,0))))))</f>
        <v>0</v>
      </c>
      <c r="DQ230" s="443">
        <f>IF($H230&lt;&gt;DR$5,0,IF(DR230&lt;0,IF(OR($J230=1,$J230=2,$J230=3,$J230=4,$J230=5,$J230=6,$J230=7,$J230=8,$J230=9,$J230=10),-$E230*$I230/12*3,IF($J230=11,-$E230*$I230/12*2,IF($J230=12,-$E230*$I230/12*1,0)))))+IF(DM$5&lt;&gt;$H230,0,IF(DM230&lt;0,IF($J230=10,-$E230*$I230/12*0,IF($J230=11,-$E230*$I230/12*1,IF($J230=12,-$E230*$I230/12*2,0)))))</f>
        <v>0</v>
      </c>
      <c r="DR230" s="440">
        <f>IF(AND(DM230&lt;&gt;0,DM$5=$H230),-$I230*$E230-DM230,IF(DR$5=$H230,-$I230*$E230*(12-$J230+1)/12,0))</f>
        <v>0</v>
      </c>
    </row>
    <row r="231" spans="1:122" ht="12.75" customHeight="1">
      <c r="C231" s="1123" t="s">
        <v>333</v>
      </c>
      <c r="D231" s="395"/>
      <c r="E231" s="1950">
        <f t="shared" si="2885"/>
        <v>4.8117910000000004</v>
      </c>
      <c r="F231" s="1949">
        <v>4.8117910000000004</v>
      </c>
      <c r="G231" s="1949">
        <v>7.1762139999999999</v>
      </c>
      <c r="H231" s="414">
        <v>2039</v>
      </c>
      <c r="I231" s="1947">
        <v>0.05</v>
      </c>
      <c r="J231" s="656">
        <v>12</v>
      </c>
      <c r="K231" s="549"/>
      <c r="L231" s="441">
        <f t="shared" si="2886"/>
        <v>0</v>
      </c>
      <c r="M231" s="442">
        <f t="shared" si="2887"/>
        <v>0</v>
      </c>
      <c r="N231" s="442">
        <f t="shared" si="2888"/>
        <v>0</v>
      </c>
      <c r="O231" s="443">
        <f t="shared" si="2889"/>
        <v>0</v>
      </c>
      <c r="P231" s="440">
        <f t="shared" si="2890"/>
        <v>0</v>
      </c>
      <c r="Q231" s="441">
        <f t="shared" si="2891"/>
        <v>0</v>
      </c>
      <c r="R231" s="442">
        <f t="shared" si="2892"/>
        <v>0</v>
      </c>
      <c r="S231" s="442">
        <f t="shared" si="2893"/>
        <v>0</v>
      </c>
      <c r="T231" s="443">
        <f t="shared" si="2894"/>
        <v>0</v>
      </c>
      <c r="U231" s="440">
        <f t="shared" si="2895"/>
        <v>0</v>
      </c>
      <c r="V231" s="441">
        <f t="shared" si="2896"/>
        <v>0</v>
      </c>
      <c r="W231" s="442">
        <f t="shared" si="2897"/>
        <v>0</v>
      </c>
      <c r="X231" s="442">
        <f t="shared" si="2898"/>
        <v>0</v>
      </c>
      <c r="Y231" s="443">
        <f t="shared" si="2899"/>
        <v>0</v>
      </c>
      <c r="Z231" s="440">
        <f t="shared" si="2900"/>
        <v>0</v>
      </c>
      <c r="AA231" s="441">
        <f t="shared" si="2901"/>
        <v>0</v>
      </c>
      <c r="AB231" s="442">
        <f t="shared" si="2902"/>
        <v>0</v>
      </c>
      <c r="AC231" s="442">
        <f t="shared" si="2903"/>
        <v>0</v>
      </c>
      <c r="AD231" s="443">
        <f t="shared" si="2904"/>
        <v>0</v>
      </c>
      <c r="AE231" s="440">
        <f t="shared" si="2905"/>
        <v>0</v>
      </c>
      <c r="AF231" s="441">
        <f t="shared" si="2906"/>
        <v>0</v>
      </c>
      <c r="AG231" s="442">
        <f t="shared" si="2907"/>
        <v>0</v>
      </c>
      <c r="AH231" s="442">
        <f t="shared" si="2908"/>
        <v>0</v>
      </c>
      <c r="AI231" s="443">
        <f t="shared" si="2909"/>
        <v>0</v>
      </c>
      <c r="AJ231" s="440">
        <f t="shared" si="2910"/>
        <v>0</v>
      </c>
      <c r="AK231" s="441">
        <f t="shared" si="2911"/>
        <v>0</v>
      </c>
      <c r="AL231" s="442">
        <f t="shared" si="2912"/>
        <v>0</v>
      </c>
      <c r="AM231" s="442">
        <f t="shared" si="2913"/>
        <v>0</v>
      </c>
      <c r="AN231" s="443">
        <f t="shared" si="2914"/>
        <v>0</v>
      </c>
      <c r="AO231" s="440">
        <f t="shared" si="2915"/>
        <v>0</v>
      </c>
      <c r="AP231" s="441">
        <f t="shared" si="2916"/>
        <v>0</v>
      </c>
      <c r="AQ231" s="442">
        <f t="shared" si="2917"/>
        <v>0</v>
      </c>
      <c r="AR231" s="442">
        <f t="shared" si="2918"/>
        <v>0</v>
      </c>
      <c r="AS231" s="443">
        <f t="shared" si="2919"/>
        <v>0</v>
      </c>
      <c r="AT231" s="440">
        <f t="shared" si="2920"/>
        <v>0</v>
      </c>
      <c r="AU231" s="441">
        <f t="shared" si="2921"/>
        <v>0</v>
      </c>
      <c r="AV231" s="442">
        <f t="shared" si="2922"/>
        <v>0</v>
      </c>
      <c r="AW231" s="442">
        <f t="shared" si="2923"/>
        <v>0</v>
      </c>
      <c r="AX231" s="443">
        <f t="shared" si="2924"/>
        <v>0</v>
      </c>
      <c r="AY231" s="440">
        <f t="shared" si="2925"/>
        <v>0</v>
      </c>
      <c r="AZ231" s="441">
        <f t="shared" si="2926"/>
        <v>0</v>
      </c>
      <c r="BA231" s="442">
        <f t="shared" si="2927"/>
        <v>0</v>
      </c>
      <c r="BB231" s="442">
        <f t="shared" si="2928"/>
        <v>0</v>
      </c>
      <c r="BC231" s="443">
        <f t="shared" si="2929"/>
        <v>0</v>
      </c>
      <c r="BD231" s="440">
        <f t="shared" si="2930"/>
        <v>0</v>
      </c>
      <c r="BE231" s="441">
        <f t="shared" si="2931"/>
        <v>0</v>
      </c>
      <c r="BF231" s="442">
        <f t="shared" si="2932"/>
        <v>0</v>
      </c>
      <c r="BG231" s="442">
        <f t="shared" si="2933"/>
        <v>0</v>
      </c>
      <c r="BH231" s="443">
        <f t="shared" si="2934"/>
        <v>0</v>
      </c>
      <c r="BI231" s="440">
        <f t="shared" si="2935"/>
        <v>0</v>
      </c>
      <c r="BJ231" s="441">
        <f t="shared" si="2936"/>
        <v>0</v>
      </c>
      <c r="BK231" s="442">
        <f t="shared" si="2937"/>
        <v>0</v>
      </c>
      <c r="BL231" s="442">
        <f t="shared" si="2938"/>
        <v>0</v>
      </c>
      <c r="BM231" s="443">
        <f t="shared" si="2939"/>
        <v>0</v>
      </c>
      <c r="BN231" s="440">
        <f t="shared" si="2940"/>
        <v>0</v>
      </c>
      <c r="BO231" s="470"/>
      <c r="BP231" s="441">
        <f t="shared" si="2941"/>
        <v>0</v>
      </c>
      <c r="BQ231" s="442">
        <f t="shared" si="2942"/>
        <v>0</v>
      </c>
      <c r="BR231" s="442">
        <f t="shared" si="2943"/>
        <v>0</v>
      </c>
      <c r="BS231" s="443">
        <f t="shared" si="2944"/>
        <v>0</v>
      </c>
      <c r="BT231" s="440">
        <f t="shared" si="2945"/>
        <v>0</v>
      </c>
      <c r="BU231" s="441">
        <f t="shared" si="2946"/>
        <v>0</v>
      </c>
      <c r="BV231" s="442">
        <f t="shared" si="2947"/>
        <v>0</v>
      </c>
      <c r="BW231" s="442">
        <f t="shared" si="2948"/>
        <v>0</v>
      </c>
      <c r="BX231" s="443">
        <f t="shared" si="2949"/>
        <v>0</v>
      </c>
      <c r="BY231" s="440">
        <f t="shared" si="2950"/>
        <v>0</v>
      </c>
      <c r="BZ231" s="441">
        <f t="shared" si="2951"/>
        <v>0</v>
      </c>
      <c r="CA231" s="442">
        <f t="shared" si="2952"/>
        <v>0</v>
      </c>
      <c r="CB231" s="442">
        <f t="shared" si="2953"/>
        <v>0</v>
      </c>
      <c r="CC231" s="443">
        <f t="shared" si="2954"/>
        <v>0</v>
      </c>
      <c r="CD231" s="440">
        <f t="shared" si="2955"/>
        <v>0</v>
      </c>
      <c r="CE231" s="441">
        <f t="shared" si="2956"/>
        <v>0</v>
      </c>
      <c r="CF231" s="442">
        <f t="shared" si="2957"/>
        <v>0</v>
      </c>
      <c r="CG231" s="442">
        <f t="shared" si="2958"/>
        <v>0</v>
      </c>
      <c r="CH231" s="443">
        <f t="shared" si="2959"/>
        <v>0</v>
      </c>
      <c r="CI231" s="440">
        <f t="shared" si="2960"/>
        <v>0</v>
      </c>
      <c r="CJ231" s="441">
        <f t="shared" si="2961"/>
        <v>0</v>
      </c>
      <c r="CK231" s="442">
        <f t="shared" si="2962"/>
        <v>0</v>
      </c>
      <c r="CL231" s="442">
        <f t="shared" si="2963"/>
        <v>0</v>
      </c>
      <c r="CM231" s="443">
        <f t="shared" si="2964"/>
        <v>0</v>
      </c>
      <c r="CN231" s="440">
        <f t="shared" si="2965"/>
        <v>0</v>
      </c>
      <c r="CO231" s="441">
        <f t="shared" si="2966"/>
        <v>0</v>
      </c>
      <c r="CP231" s="442">
        <f t="shared" si="2967"/>
        <v>0</v>
      </c>
      <c r="CQ231" s="442">
        <f t="shared" si="2968"/>
        <v>0</v>
      </c>
      <c r="CR231" s="443">
        <f t="shared" si="2969"/>
        <v>0</v>
      </c>
      <c r="CS231" s="440">
        <f t="shared" si="2970"/>
        <v>0</v>
      </c>
      <c r="CT231" s="441">
        <f t="shared" si="2971"/>
        <v>0</v>
      </c>
      <c r="CU231" s="442">
        <f t="shared" si="2972"/>
        <v>0</v>
      </c>
      <c r="CV231" s="442">
        <f t="shared" si="2973"/>
        <v>0</v>
      </c>
      <c r="CW231" s="443">
        <f t="shared" si="2974"/>
        <v>0</v>
      </c>
      <c r="CX231" s="440">
        <f t="shared" si="2975"/>
        <v>0</v>
      </c>
      <c r="CY231" s="441">
        <f t="shared" si="2976"/>
        <v>0</v>
      </c>
      <c r="CZ231" s="442">
        <f t="shared" si="2977"/>
        <v>0</v>
      </c>
      <c r="DA231" s="442">
        <f t="shared" si="2978"/>
        <v>0</v>
      </c>
      <c r="DB231" s="443">
        <f t="shared" si="2979"/>
        <v>0</v>
      </c>
      <c r="DC231" s="440">
        <f t="shared" si="2980"/>
        <v>0</v>
      </c>
      <c r="DD231" s="441">
        <f t="shared" si="2981"/>
        <v>0</v>
      </c>
      <c r="DE231" s="442">
        <f t="shared" si="2982"/>
        <v>0</v>
      </c>
      <c r="DF231" s="442">
        <f t="shared" si="2983"/>
        <v>0</v>
      </c>
      <c r="DG231" s="443">
        <f t="shared" si="2984"/>
        <v>0</v>
      </c>
      <c r="DH231" s="440">
        <f t="shared" si="2985"/>
        <v>0</v>
      </c>
      <c r="DI231" s="441">
        <f t="shared" si="2986"/>
        <v>0</v>
      </c>
      <c r="DJ231" s="442">
        <f t="shared" si="2987"/>
        <v>0</v>
      </c>
      <c r="DK231" s="442">
        <f t="shared" si="2988"/>
        <v>0</v>
      </c>
      <c r="DL231" s="443">
        <f t="shared" si="2989"/>
        <v>0</v>
      </c>
      <c r="DM231" s="440">
        <f t="shared" si="2990"/>
        <v>0</v>
      </c>
      <c r="DN231" s="441">
        <f t="shared" si="2991"/>
        <v>0</v>
      </c>
      <c r="DO231" s="442">
        <f t="shared" si="2992"/>
        <v>0</v>
      </c>
      <c r="DP231" s="442">
        <f t="shared" si="2993"/>
        <v>0</v>
      </c>
      <c r="DQ231" s="443">
        <f t="shared" si="2994"/>
        <v>0</v>
      </c>
      <c r="DR231" s="440">
        <f t="shared" si="2995"/>
        <v>0</v>
      </c>
    </row>
    <row r="232" spans="1:122" s="94" customFormat="1">
      <c r="C232" s="1369"/>
      <c r="D232" s="1234"/>
      <c r="E232" s="1370"/>
      <c r="F232" s="300"/>
      <c r="G232" s="300"/>
      <c r="H232" s="651"/>
      <c r="I232" s="650"/>
      <c r="J232" s="656"/>
      <c r="K232" s="549"/>
      <c r="L232" s="442"/>
      <c r="M232" s="442"/>
      <c r="N232" s="442"/>
      <c r="O232" s="443"/>
      <c r="P232" s="440"/>
      <c r="Q232" s="441"/>
      <c r="R232" s="442"/>
      <c r="S232" s="442"/>
      <c r="T232" s="443"/>
      <c r="U232" s="440"/>
      <c r="V232" s="441"/>
      <c r="W232" s="442"/>
      <c r="X232" s="442"/>
      <c r="Y232" s="443"/>
      <c r="Z232" s="440"/>
      <c r="AA232" s="441"/>
      <c r="AB232" s="442"/>
      <c r="AC232" s="442"/>
      <c r="AD232" s="443"/>
      <c r="AE232" s="440"/>
      <c r="AF232" s="441"/>
      <c r="AG232" s="442"/>
      <c r="AH232" s="442"/>
      <c r="AI232" s="443"/>
      <c r="AJ232" s="440"/>
      <c r="AK232" s="441"/>
      <c r="AL232" s="442"/>
      <c r="AM232" s="442"/>
      <c r="AN232" s="443"/>
      <c r="AO232" s="440"/>
      <c r="AP232" s="441"/>
      <c r="AQ232" s="442"/>
      <c r="AR232" s="442"/>
      <c r="AS232" s="443"/>
      <c r="AT232" s="440"/>
      <c r="AU232" s="441"/>
      <c r="AV232" s="442"/>
      <c r="AW232" s="442"/>
      <c r="AX232" s="443"/>
      <c r="AY232" s="440"/>
      <c r="AZ232" s="441"/>
      <c r="BA232" s="442"/>
      <c r="BB232" s="442"/>
      <c r="BC232" s="443"/>
      <c r="BD232" s="440"/>
      <c r="BE232" s="441"/>
      <c r="BF232" s="442"/>
      <c r="BG232" s="442"/>
      <c r="BH232" s="443"/>
      <c r="BI232" s="440"/>
      <c r="BJ232" s="441"/>
      <c r="BK232" s="442"/>
      <c r="BL232" s="442"/>
      <c r="BM232" s="443"/>
      <c r="BN232" s="440"/>
      <c r="BO232" s="470"/>
      <c r="BP232" s="441"/>
      <c r="BQ232" s="442"/>
      <c r="BR232" s="442"/>
      <c r="BS232" s="443"/>
      <c r="BT232" s="440"/>
      <c r="BU232" s="441"/>
      <c r="BV232" s="442"/>
      <c r="BW232" s="442"/>
      <c r="BX232" s="443"/>
      <c r="BY232" s="440"/>
      <c r="BZ232" s="441"/>
      <c r="CA232" s="442"/>
      <c r="CB232" s="442"/>
      <c r="CC232" s="443"/>
      <c r="CD232" s="440"/>
      <c r="CE232" s="441"/>
      <c r="CF232" s="442"/>
      <c r="CG232" s="442"/>
      <c r="CH232" s="443"/>
      <c r="CI232" s="440"/>
      <c r="CJ232" s="441"/>
      <c r="CK232" s="442"/>
      <c r="CL232" s="442"/>
      <c r="CM232" s="443"/>
      <c r="CN232" s="440"/>
      <c r="CO232" s="441"/>
      <c r="CP232" s="442"/>
      <c r="CQ232" s="442"/>
      <c r="CR232" s="443"/>
      <c r="CS232" s="440"/>
      <c r="CT232" s="441"/>
      <c r="CU232" s="442"/>
      <c r="CV232" s="442"/>
      <c r="CW232" s="443"/>
      <c r="CX232" s="440"/>
      <c r="CY232" s="441"/>
      <c r="CZ232" s="442"/>
      <c r="DA232" s="442"/>
      <c r="DB232" s="443"/>
      <c r="DC232" s="440"/>
      <c r="DD232" s="441"/>
      <c r="DE232" s="442"/>
      <c r="DF232" s="442"/>
      <c r="DG232" s="443"/>
      <c r="DH232" s="440"/>
      <c r="DI232" s="441"/>
      <c r="DJ232" s="442"/>
      <c r="DK232" s="442"/>
      <c r="DL232" s="443"/>
      <c r="DM232" s="440"/>
      <c r="DN232" s="441"/>
      <c r="DO232" s="442"/>
      <c r="DP232" s="442"/>
      <c r="DQ232" s="443"/>
      <c r="DR232" s="440"/>
    </row>
    <row r="233" spans="1:122" s="94" customFormat="1">
      <c r="C233" s="1235" t="s">
        <v>637</v>
      </c>
      <c r="D233" s="1234"/>
      <c r="E233" s="1370"/>
      <c r="F233" s="300"/>
      <c r="G233" s="300"/>
      <c r="H233" s="414"/>
      <c r="I233" s="650"/>
      <c r="J233" s="656"/>
      <c r="K233" s="549"/>
      <c r="L233" s="442"/>
      <c r="M233" s="442"/>
      <c r="N233" s="442"/>
      <c r="O233" s="443"/>
      <c r="P233" s="440"/>
      <c r="Q233" s="441"/>
      <c r="R233" s="442"/>
      <c r="S233" s="442"/>
      <c r="T233" s="443"/>
      <c r="U233" s="440"/>
      <c r="V233" s="441"/>
      <c r="W233" s="442"/>
      <c r="X233" s="442"/>
      <c r="Y233" s="443"/>
      <c r="Z233" s="440"/>
      <c r="AA233" s="441"/>
      <c r="AB233" s="442"/>
      <c r="AC233" s="442"/>
      <c r="AD233" s="443"/>
      <c r="AE233" s="440"/>
      <c r="AF233" s="441"/>
      <c r="AG233" s="442"/>
      <c r="AH233" s="442"/>
      <c r="AI233" s="443"/>
      <c r="AJ233" s="440"/>
      <c r="AK233" s="441"/>
      <c r="AL233" s="442"/>
      <c r="AM233" s="442"/>
      <c r="AN233" s="443"/>
      <c r="AO233" s="440"/>
      <c r="AP233" s="441"/>
      <c r="AQ233" s="442"/>
      <c r="AR233" s="442"/>
      <c r="AS233" s="443"/>
      <c r="AT233" s="440"/>
      <c r="AU233" s="441"/>
      <c r="AV233" s="442"/>
      <c r="AW233" s="442"/>
      <c r="AX233" s="443"/>
      <c r="AY233" s="440"/>
      <c r="AZ233" s="441"/>
      <c r="BA233" s="442"/>
      <c r="BB233" s="442"/>
      <c r="BC233" s="443"/>
      <c r="BD233" s="440"/>
      <c r="BE233" s="441"/>
      <c r="BF233" s="442"/>
      <c r="BG233" s="442"/>
      <c r="BH233" s="443"/>
      <c r="BI233" s="440"/>
      <c r="BJ233" s="441"/>
      <c r="BK233" s="442"/>
      <c r="BL233" s="442"/>
      <c r="BM233" s="443"/>
      <c r="BN233" s="440"/>
      <c r="BO233" s="470"/>
      <c r="BP233" s="441"/>
      <c r="BQ233" s="442"/>
      <c r="BR233" s="442"/>
      <c r="BS233" s="443"/>
      <c r="BT233" s="440"/>
      <c r="BU233" s="441"/>
      <c r="BV233" s="442"/>
      <c r="BW233" s="442"/>
      <c r="BX233" s="443"/>
      <c r="BY233" s="440"/>
      <c r="BZ233" s="1378"/>
      <c r="CA233" s="1376"/>
      <c r="CB233" s="1376"/>
      <c r="CC233" s="1379"/>
      <c r="CD233" s="440"/>
      <c r="CE233" s="441"/>
      <c r="CF233" s="442"/>
      <c r="CG233" s="442"/>
      <c r="CH233" s="443"/>
      <c r="CI233" s="440"/>
      <c r="CJ233" s="441"/>
      <c r="CK233" s="442"/>
      <c r="CL233" s="442"/>
      <c r="CM233" s="443"/>
      <c r="CN233" s="440"/>
      <c r="CO233" s="441"/>
      <c r="CP233" s="442"/>
      <c r="CQ233" s="442"/>
      <c r="CR233" s="443"/>
      <c r="CS233" s="440"/>
      <c r="CT233" s="441"/>
      <c r="CU233" s="442"/>
      <c r="CV233" s="442"/>
      <c r="CW233" s="443"/>
      <c r="CX233" s="440"/>
      <c r="CY233" s="441"/>
      <c r="CZ233" s="442"/>
      <c r="DA233" s="442"/>
      <c r="DB233" s="443"/>
      <c r="DC233" s="440"/>
      <c r="DD233" s="441"/>
      <c r="DE233" s="442"/>
      <c r="DF233" s="442"/>
      <c r="DG233" s="443"/>
      <c r="DH233" s="440"/>
      <c r="DI233" s="441"/>
      <c r="DJ233" s="442"/>
      <c r="DK233" s="442"/>
      <c r="DL233" s="443"/>
      <c r="DM233" s="440"/>
      <c r="DN233" s="441"/>
      <c r="DO233" s="442"/>
      <c r="DP233" s="442"/>
      <c r="DQ233" s="443"/>
      <c r="DR233" s="440"/>
    </row>
    <row r="234" spans="1:122" ht="12.75" customHeight="1">
      <c r="A234" s="92"/>
      <c r="B234" s="92"/>
      <c r="C234" s="1590" t="s">
        <v>967</v>
      </c>
      <c r="D234" s="395"/>
      <c r="E234" s="1954">
        <f t="shared" ref="E234:E242" si="2997">IF(F234=0,G234,F234)</f>
        <v>600</v>
      </c>
      <c r="F234" s="1368">
        <v>600</v>
      </c>
      <c r="G234" s="1368">
        <v>600</v>
      </c>
      <c r="H234" s="1374">
        <v>2025</v>
      </c>
      <c r="I234" s="1948">
        <v>4.3499999999999997E-2</v>
      </c>
      <c r="J234" s="1357">
        <v>1</v>
      </c>
      <c r="K234" s="549"/>
      <c r="L234" s="441">
        <f t="shared" ref="L234:L242" si="2998">IF(P234=0,0,IF(P234&lt;0,IF($J234=3,P234,IF($J234=2,P234,IF($J234=1,P234,0)))))</f>
        <v>0</v>
      </c>
      <c r="M234" s="442">
        <f t="shared" ref="M234:M242" si="2999">IF(P234=0,0,IF(P234&lt;0,IF($J234=6,P234,IF($J234=5,P234,IF($J234=4,P234,0)))))</f>
        <v>0</v>
      </c>
      <c r="N234" s="442">
        <f t="shared" ref="N234:N242" si="3000">IF(P234=0,0,IF(P234&lt;0,IF($J234=9,P234,IF($J234=8,P234,IF($J234=7,P234,0)))))</f>
        <v>0</v>
      </c>
      <c r="O234" s="443">
        <f t="shared" ref="O234:O242" si="3001">IF(P234=0,0,IF(P234&lt;0,IF($J234=12,P234,IF($J234=11,P234,IF($J234=10,P234,0)))))</f>
        <v>0</v>
      </c>
      <c r="P234" s="440">
        <f t="shared" ref="P234:P242" si="3002">IF(P$5=$H234,-$E234,0)</f>
        <v>0</v>
      </c>
      <c r="Q234" s="441">
        <f t="shared" ref="Q234:Q242" si="3003">IF(U234=0,0,IF(U234&lt;0,IF($J234=3,U234,IF($J234=2,U234,IF($J234=1,U234,0)))))</f>
        <v>0</v>
      </c>
      <c r="R234" s="442">
        <f t="shared" ref="R234:R242" si="3004">IF(U234=0,0,IF(U234&lt;0,IF($J234=6,U234,IF($J234=5,U234,IF($J234=4,U234,0)))))</f>
        <v>0</v>
      </c>
      <c r="S234" s="442">
        <f t="shared" ref="S234:S242" si="3005">IF(U234=0,0,IF(U234&lt;0,IF($J234=9,U234,IF($J234=8,U234,IF($J234=7,U234,0)))))</f>
        <v>0</v>
      </c>
      <c r="T234" s="443">
        <f t="shared" ref="T234:T242" si="3006">IF(U234=0,0,IF(U234&lt;0,IF($J234=12,U234,IF($J234=11,U234,IF($J234=10,U234,0)))))</f>
        <v>0</v>
      </c>
      <c r="U234" s="440">
        <f t="shared" ref="U234:U242" si="3007">IF(U$5=$H234,-$E234,0)</f>
        <v>0</v>
      </c>
      <c r="V234" s="441">
        <f t="shared" ref="V234:V242" si="3008">IF(Z234=0,0,IF(Z234&lt;0,IF($J234=3,Z234,IF($J234=2,Z234,IF($J234=1,Z234,0)))))</f>
        <v>0</v>
      </c>
      <c r="W234" s="442">
        <f t="shared" ref="W234:W242" si="3009">IF(Z234=0,0,IF(Z234&lt;0,IF($J234=6,Z234,IF($J234=5,Z234,IF($J234=4,Z234,0)))))</f>
        <v>0</v>
      </c>
      <c r="X234" s="442">
        <f t="shared" ref="X234:X242" si="3010">IF(Z234=0,0,IF(Z234&lt;0,IF($J234=9,Z234,IF($J234=8,Z234,IF($J234=7,Z234,0)))))</f>
        <v>0</v>
      </c>
      <c r="Y234" s="443">
        <f t="shared" ref="Y234:Y242" si="3011">IF(Z234=0,0,IF(Z234&lt;0,IF($J234=12,Z234,IF($J234=11,Z234,IF($J234=10,Z234,0)))))</f>
        <v>0</v>
      </c>
      <c r="Z234" s="440">
        <f t="shared" ref="Z234:Z242" si="3012">IF(Z$5=$H234,-$E234,0)</f>
        <v>0</v>
      </c>
      <c r="AA234" s="441">
        <f t="shared" ref="AA234:AA242" si="3013">IF(AE234=0,0,IF(AE234&lt;0,IF($J234=3,AE234,IF($J234=2,AE234,IF($J234=1,AE234,0)))))</f>
        <v>0</v>
      </c>
      <c r="AB234" s="442">
        <f t="shared" ref="AB234:AB242" si="3014">IF(AE234=0,0,IF(AE234&lt;0,IF($J234=6,AE234,IF($J234=5,AE234,IF($J234=4,AE234,0)))))</f>
        <v>0</v>
      </c>
      <c r="AC234" s="442">
        <f t="shared" ref="AC234:AC242" si="3015">IF(AE234=0,0,IF(AE234&lt;0,IF($J234=9,AE234,IF($J234=8,AE234,IF($J234=7,AE234,0)))))</f>
        <v>0</v>
      </c>
      <c r="AD234" s="443">
        <f t="shared" ref="AD234:AD242" si="3016">IF(AE234=0,0,IF(AE234&lt;0,IF($J234=12,AE234,IF($J234=11,AE234,IF($J234=10,AE234,0)))))</f>
        <v>0</v>
      </c>
      <c r="AE234" s="440">
        <f t="shared" ref="AE234:AE242" si="3017">IF(AE$5=$H234,-$E234,0)</f>
        <v>0</v>
      </c>
      <c r="AF234" s="441">
        <f t="shared" ref="AF234:AF242" si="3018">IF(AJ234=0,0,IF(AJ234&lt;0,IF($J234=3,AJ234,IF($J234=2,AJ234,IF($J234=1,AJ234,0)))))</f>
        <v>0</v>
      </c>
      <c r="AG234" s="442">
        <f t="shared" ref="AG234:AG242" si="3019">IF(AJ234=0,0,IF(AJ234&lt;0,IF($J234=6,AJ234,IF($J234=5,AJ234,IF($J234=4,AJ234,0)))))</f>
        <v>0</v>
      </c>
      <c r="AH234" s="442">
        <f t="shared" ref="AH234:AH242" si="3020">IF(AJ234=0,0,IF(AJ234&lt;0,IF($J234=9,AJ234,IF($J234=8,AJ234,IF($J234=7,AJ234,0)))))</f>
        <v>0</v>
      </c>
      <c r="AI234" s="443">
        <f t="shared" ref="AI234:AI242" si="3021">IF(AJ234=0,0,IF(AJ234&lt;0,IF($J234=12,AJ234,IF($J234=11,AJ234,IF($J234=10,AJ234,0)))))</f>
        <v>0</v>
      </c>
      <c r="AJ234" s="440">
        <f t="shared" ref="AJ234:AJ242" si="3022">IF(AJ$5=$H234,-$E234,0)</f>
        <v>0</v>
      </c>
      <c r="AK234" s="441">
        <f t="shared" ref="AK234:AK242" si="3023">IF(AO234=0,0,IF(AO234&lt;0,IF($J234=3,AO234,IF($J234=2,AO234,IF($J234=1,AO234,0)))))</f>
        <v>0</v>
      </c>
      <c r="AL234" s="442">
        <f t="shared" ref="AL234:AL242" si="3024">IF(AO234=0,0,IF(AO234&lt;0,IF($J234=6,AO234,IF($J234=5,AO234,IF($J234=4,AO234,0)))))</f>
        <v>0</v>
      </c>
      <c r="AM234" s="442">
        <f t="shared" ref="AM234:AM242" si="3025">IF(AO234=0,0,IF(AO234&lt;0,IF($J234=9,AO234,IF($J234=8,AO234,IF($J234=7,AO234,0)))))</f>
        <v>0</v>
      </c>
      <c r="AN234" s="443">
        <f t="shared" ref="AN234:AN242" si="3026">IF(AO234=0,0,IF(AO234&lt;0,IF($J234=12,AO234,IF($J234=11,AO234,IF($J234=10,AO234,0)))))</f>
        <v>0</v>
      </c>
      <c r="AO234" s="440">
        <f t="shared" ref="AO234:AO242" si="3027">IF(AO$5=$H234,-$E234,0)</f>
        <v>0</v>
      </c>
      <c r="AP234" s="441">
        <f t="shared" ref="AP234:AP242" si="3028">IF(AT234=0,0,IF(AT234&lt;0,IF($J234=3,AT234,IF($J234=2,AT234,IF($J234=1,AT234,0)))))</f>
        <v>0</v>
      </c>
      <c r="AQ234" s="442">
        <f t="shared" ref="AQ234:AQ242" si="3029">IF(AT234=0,0,IF(AT234&lt;0,IF($J234=6,AT234,IF($J234=5,AT234,IF($J234=4,AT234,0)))))</f>
        <v>0</v>
      </c>
      <c r="AR234" s="442">
        <f t="shared" ref="AR234:AR242" si="3030">IF(AT234=0,0,IF(AT234&lt;0,IF($J234=9,AT234,IF($J234=8,AT234,IF($J234=7,AT234,0)))))</f>
        <v>0</v>
      </c>
      <c r="AS234" s="443">
        <f t="shared" ref="AS234:AS242" si="3031">IF(AT234=0,0,IF(AT234&lt;0,IF($J234=12,AT234,IF($J234=11,AT234,IF($J234=10,AT234,0)))))</f>
        <v>0</v>
      </c>
      <c r="AT234" s="440">
        <f t="shared" ref="AT234:AT242" si="3032">IF(AT$5=$H234,-$E234,0)</f>
        <v>0</v>
      </c>
      <c r="AU234" s="441">
        <f t="shared" ref="AU234:AU242" si="3033">IF(AY234=0,0,IF(AY234&lt;0,IF($J234=3,AY234,IF($J234=2,AY234,IF($J234=1,AY234,0)))))</f>
        <v>0</v>
      </c>
      <c r="AV234" s="442">
        <f t="shared" ref="AV234:AV242" si="3034">IF(AY234=0,0,IF(AY234&lt;0,IF($J234=6,AY234,IF($J234=5,AY234,IF($J234=4,AY234,0)))))</f>
        <v>0</v>
      </c>
      <c r="AW234" s="442">
        <f t="shared" ref="AW234:AW242" si="3035">IF(AY234=0,0,IF(AY234&lt;0,IF($J234=9,AY234,IF($J234=8,AY234,IF($J234=7,AY234,0)))))</f>
        <v>0</v>
      </c>
      <c r="AX234" s="443">
        <f t="shared" ref="AX234:AX242" si="3036">IF(AY234=0,0,IF(AY234&lt;0,IF($J234=12,AY234,IF($J234=11,AY234,IF($J234=10,AY234,0)))))</f>
        <v>0</v>
      </c>
      <c r="AY234" s="440">
        <f t="shared" ref="AY234:AY242" si="3037">IF(AY$5=$H234,-$E234,0)</f>
        <v>0</v>
      </c>
      <c r="AZ234" s="441">
        <f t="shared" ref="AZ234:AZ242" si="3038">IF(BD234=0,0,IF(BD234&lt;0,IF($J234=3,BD234,IF($J234=2,BD234,IF($J234=1,BD234,0)))))</f>
        <v>0</v>
      </c>
      <c r="BA234" s="442">
        <f t="shared" ref="BA234:BA242" si="3039">IF(BD234=0,0,IF(BD234&lt;0,IF($J234=6,BD234,IF($J234=5,BD234,IF($J234=4,BD234,0)))))</f>
        <v>0</v>
      </c>
      <c r="BB234" s="442">
        <f t="shared" ref="BB234:BB242" si="3040">IF(BD234=0,0,IF(BD234&lt;0,IF($J234=9,BD234,IF($J234=8,BD234,IF($J234=7,BD234,0)))))</f>
        <v>0</v>
      </c>
      <c r="BC234" s="443">
        <f t="shared" ref="BC234:BC242" si="3041">IF(BD234=0,0,IF(BD234&lt;0,IF($J234=12,BD234,IF($J234=11,BD234,IF($J234=10,BD234,0)))))</f>
        <v>0</v>
      </c>
      <c r="BD234" s="440">
        <f t="shared" ref="BD234:BD242" si="3042">IF(BD$5=$H234,-$E234,0)</f>
        <v>0</v>
      </c>
      <c r="BE234" s="441">
        <f t="shared" ref="BE234:BE242" si="3043">IF(BI234=0,0,IF(BI234&lt;0,IF($J234=3,BI234,IF($J234=2,BI234,IF($J234=1,BI234,0)))))</f>
        <v>0</v>
      </c>
      <c r="BF234" s="442">
        <f t="shared" ref="BF234:BF242" si="3044">IF(BI234=0,0,IF(BI234&lt;0,IF($J234=6,BI234,IF($J234=5,BI234,IF($J234=4,BI234,0)))))</f>
        <v>0</v>
      </c>
      <c r="BG234" s="442">
        <f t="shared" ref="BG234:BG242" si="3045">IF(BI234=0,0,IF(BI234&lt;0,IF($J234=9,BI234,IF($J234=8,BI234,IF($J234=7,BI234,0)))))</f>
        <v>0</v>
      </c>
      <c r="BH234" s="443">
        <f t="shared" ref="BH234:BH242" si="3046">IF(BI234=0,0,IF(BI234&lt;0,IF($J234=12,BI234,IF($J234=11,BI234,IF($J234=10,BI234,0)))))</f>
        <v>0</v>
      </c>
      <c r="BI234" s="440">
        <f t="shared" ref="BI234:BI242" si="3047">IF(BI$5=$H234,-$E234,0)</f>
        <v>0</v>
      </c>
      <c r="BJ234" s="441">
        <f t="shared" ref="BJ234:BJ242" si="3048">IF(BN234=0,0,IF(BN234&lt;0,IF($J234=3,BN234,IF($J234=2,BN234,IF($J234=1,BN234,0)))))</f>
        <v>0</v>
      </c>
      <c r="BK234" s="442">
        <f t="shared" ref="BK234:BK242" si="3049">IF(BN234=0,0,IF(BN234&lt;0,IF($J234=6,BN234,IF($J234=5,BN234,IF($J234=4,BN234,0)))))</f>
        <v>0</v>
      </c>
      <c r="BL234" s="442">
        <f t="shared" ref="BL234:BL242" si="3050">IF(BN234=0,0,IF(BN234&lt;0,IF($J234=9,BN234,IF($J234=8,BN234,IF($J234=7,BN234,0)))))</f>
        <v>0</v>
      </c>
      <c r="BM234" s="443">
        <f t="shared" ref="BM234:BM242" si="3051">IF(BN234=0,0,IF(BN234&lt;0,IF($J234=12,BN234,IF($J234=11,BN234,IF($J234=10,BN234,0)))))</f>
        <v>0</v>
      </c>
      <c r="BN234" s="440">
        <f t="shared" ref="BN234:BN242" si="3052">IF(BN$5=$H234,-$E234,0)</f>
        <v>0</v>
      </c>
      <c r="BO234" s="470"/>
      <c r="BP234" s="441">
        <f t="shared" ref="BP234:BP242" si="3053">IF($H234&lt;&gt;BT$5,0,IF(BT234&lt;0,IF($J234=1,-$E234*$I234/12*3,IF($J234=2,-$E234*$I234/12*2,IF($J234=3,-$E234*$I234/12*1,0)))))+IF(BO$5&lt;&gt;$H234,0,IF(BO234&lt;0,IF($J234=1,-$E234*$I234/12*0,IF($J234=2,-$E234*$I234/12*1,IF($J234=3,-$E234*$I234/12*2,IF($J234&gt;=4,-$E234*$I234/12*3,0))))))</f>
        <v>0</v>
      </c>
      <c r="BQ234" s="442">
        <f t="shared" ref="BQ234:BQ242" si="3054">IF($H234&lt;&gt;BT$5,0,IF(BT234&lt;0,IF(OR($J234=1,$J234=2,$J234=3,$J234=4),-$E234*$I234/12*3,IF($J234=5,-$E234*$I234/12*2,IF($J234=6,-$E234*$I234/12*1,0)))))+IF(BO$5&lt;&gt;$H234,0,IF(BO234&lt;0,IF($J234=4,-$E234*$I234/12*0,IF($J234=5,-$E234*$I234/12*1,IF($J234=6,-$E234*$I234/12*2,IF($J234&gt;=7,-$E234*$I234/12*3,0))))))</f>
        <v>0</v>
      </c>
      <c r="BR234" s="442">
        <f t="shared" ref="BR234:BR242" si="3055">IF($H234&lt;&gt;BT$5,0,IF(BT234&lt;0,IF(OR($J234=1,$J234=2,$J234=3,$J234=4,$J234=5,$J234=6,$J234=7),-$E234*$I234/12*3,IF($J234=8,-$E234*$I234/12*2,IF($J234=9,-$E234*$I234/12*1,0)))))+IF(BO$5&lt;&gt;$H234,0,IF(BO234&lt;0,IF($J234=7,-$E234*$I234/12*0,IF($J234=8,-$E234*$I234/12*1,IF($J234=9,-$E234*$I234/12*2,IF($J234&gt;=10,-$E234*$I234/12*3,0))))))</f>
        <v>0</v>
      </c>
      <c r="BS234" s="443">
        <f t="shared" ref="BS234:BS242" si="3056">IF($H234&lt;&gt;BT$5,0,IF(BT234&lt;0,IF(OR($J234=1,$J234=2,$J234=3,$J234=4,$J234=5,$J234=6,$J234=7,$J234=8,$J234=9,$J234=10),-$E234*$I234/12*3,IF($J234=11,-$E234*$I234/12*2,IF($J234=12,-$E234*$I234/12*1,0)))))+IF(BO$5&lt;&gt;$H234,0,IF(BO234&lt;0,IF($J234=10,-$E234*$I234/12*0,IF($J234=11,-$E234*$I234/12*1,IF($J234=12,-$E234*$I234/12*2,0)))))</f>
        <v>0</v>
      </c>
      <c r="BT234" s="440">
        <f t="shared" ref="BT234:BT242" si="3057">IF(AND(BO234&lt;&gt;0,BO$5=$H234),-$I234*$E234-BO234,IF(BT$5=$H234,-$I234*$E234*(12-$J234+1)/12,0))</f>
        <v>0</v>
      </c>
      <c r="BU234" s="441">
        <f t="shared" ref="BU234:BU242" si="3058">IF($H234&lt;&gt;BY$5,0,IF(BY234&lt;0,IF($J234=1,-$E234*$I234/12*3,IF($J234=2,-$E234*$I234/12*2,IF($J234=3,-$E234*$I234/12*1,0)))))+IF(BT$5&lt;&gt;$H234,0,IF(BT234&lt;0,IF($J234=1,-$E234*$I234/12*0,IF($J234=2,-$E234*$I234/12*1,IF($J234=3,-$E234*$I234/12*2,IF($J234&gt;=4,-$E234*$I234/12*3,0))))))</f>
        <v>0</v>
      </c>
      <c r="BV234" s="442">
        <f t="shared" ref="BV234:BV242" si="3059">IF($H234&lt;&gt;BY$5,0,IF(BY234&lt;0,IF(OR($J234=1,$J234=2,$J234=3,$J234=4),-$E234*$I234/12*3,IF($J234=5,-$E234*$I234/12*2,IF($J234=6,-$E234*$I234/12*1,0)))))+IF(BT$5&lt;&gt;$H234,0,IF(BT234&lt;0,IF($J234=4,-$E234*$I234/12*0,IF($J234=5,-$E234*$I234/12*1,IF($J234=6,-$E234*$I234/12*2,IF($J234&gt;=7,-$E234*$I234/12*3,0))))))</f>
        <v>0</v>
      </c>
      <c r="BW234" s="442">
        <f t="shared" ref="BW234:BW242" si="3060">IF($H234&lt;&gt;BY$5,0,IF(BY234&lt;0,IF(OR($J234=1,$J234=2,$J234=3,$J234=4,$J234=5,$J234=6,$J234=7),-$E234*$I234/12*3,IF($J234=8,-$E234*$I234/12*2,IF($J234=9,-$E234*$I234/12*1,0)))))+IF(BT$5&lt;&gt;$H234,0,IF(BT234&lt;0,IF($J234=7,-$E234*$I234/12*0,IF($J234=8,-$E234*$I234/12*1,IF($J234=9,-$E234*$I234/12*2,IF($J234&gt;=10,-$E234*$I234/12*3,0))))))</f>
        <v>0</v>
      </c>
      <c r="BX234" s="443">
        <f t="shared" ref="BX234:BX242" si="3061">IF($H234&lt;&gt;BY$5,0,IF(BY234&lt;0,IF(OR($J234=1,$J234=2,$J234=3,$J234=4,$J234=5,$J234=6,$J234=7,$J234=8,$J234=9,$J234=10),-$E234*$I234/12*3,IF($J234=11,-$E234*$I234/12*2,IF($J234=12,-$E234*$I234/12*1,0)))))+IF(BT$5&lt;&gt;$H234,0,IF(BT234&lt;0,IF($J234=10,-$E234*$I234/12*0,IF($J234=11,-$E234*$I234/12*1,IF($J234=12,-$E234*$I234/12*2,0)))))</f>
        <v>0</v>
      </c>
      <c r="BY234" s="440">
        <f t="shared" ref="BY234:BY242" si="3062">IF(AND(BT234&lt;&gt;0,BT$5=$H234),-$I234*$E234-BT234,IF(BY$5=$H234,-$I234*$E234*(12-$J234+1)/12,0))</f>
        <v>0</v>
      </c>
      <c r="BZ234" s="441">
        <f t="shared" ref="BZ234:BZ242" si="3063">IF($H234&lt;&gt;CD$5,0,IF(CD234&lt;0,IF($J234=1,-$E234*$I234/12*3,IF($J234=2,-$E234*$I234/12*2,IF($J234=3,-$E234*$I234/12*1,0)))))+IF(BY$5&lt;&gt;$H234,0,IF(BY234&lt;0,IF($J234=1,-$E234*$I234/12*0,IF($J234=2,-$E234*$I234/12*1,IF($J234=3,-$E234*$I234/12*2,IF($J234&gt;=4,-$E234*$I234/12*3,0))))))</f>
        <v>0</v>
      </c>
      <c r="CA234" s="442">
        <f t="shared" ref="CA234:CA242" si="3064">IF($H234&lt;&gt;CD$5,0,IF(CD234&lt;0,IF(OR($J234=1,$J234=2,$J234=3,$J234=4),-$E234*$I234/12*3,IF($J234=5,-$E234*$I234/12*2,IF($J234=6,-$E234*$I234/12*1,0)))))+IF(BY$5&lt;&gt;$H234,0,IF(BY234&lt;0,IF($J234=4,-$E234*$I234/12*0,IF($J234=5,-$E234*$I234/12*1,IF($J234=6,-$E234*$I234/12*2,IF($J234&gt;=7,-$E234*$I234/12*3,0))))))</f>
        <v>0</v>
      </c>
      <c r="CB234" s="442">
        <f t="shared" ref="CB234:CB242" si="3065">IF($H234&lt;&gt;CD$5,0,IF(CD234&lt;0,IF(OR($J234=1,$J234=2,$J234=3,$J234=4,$J234=5,$J234=6,$J234=7),-$E234*$I234/12*3,IF($J234=8,-$E234*$I234/12*2,IF($J234=9,-$E234*$I234/12*1,0)))))+IF(BY$5&lt;&gt;$H234,0,IF(BY234&lt;0,IF($J234=7,-$E234*$I234/12*0,IF($J234=8,-$E234*$I234/12*1,IF($J234=9,-$E234*$I234/12*2,IF($J234&gt;=10,-$E234*$I234/12*3,0))))))</f>
        <v>0</v>
      </c>
      <c r="CC234" s="443">
        <f t="shared" ref="CC234:CC242" si="3066">IF($H234&lt;&gt;CD$5,0,IF(CD234&lt;0,IF(OR($J234=1,$J234=2,$J234=3,$J234=4,$J234=5,$J234=6,$J234=7,$J234=8,$J234=9,$J234=10),-$E234*$I234/12*3,IF($J234=11,-$E234*$I234/12*2,IF($J234=12,-$E234*$I234/12*1,0)))))+IF(BY$5&lt;&gt;$H234,0,IF(BY234&lt;0,IF($J234=10,-$E234*$I234/12*0,IF($J234=11,-$E234*$I234/12*1,IF($J234=12,-$E234*$I234/12*2,0)))))</f>
        <v>0</v>
      </c>
      <c r="CD234" s="440">
        <f t="shared" ref="CD234:CD242" si="3067">IF(AND(BY234&lt;&gt;0,BY$5=$H234),-$I234*$E234-BY234,IF(CD$5=$H234,-$I234*$E234*(12-$J234+1)/12,0))</f>
        <v>0</v>
      </c>
      <c r="CE234" s="441">
        <f t="shared" ref="CE234:CE242" si="3068">IF($H234&lt;&gt;CI$5,0,IF(CI234&lt;0,IF($J234=1,-$E234*$I234/12*3,IF($J234=2,-$E234*$I234/12*2,IF($J234=3,-$E234*$I234/12*1,0)))))+IF(CD$5&lt;&gt;$H234,0,IF(CD234&lt;0,IF($J234=1,-$E234*$I234/12*0,IF($J234=2,-$E234*$I234/12*1,IF($J234=3,-$E234*$I234/12*2,IF($J234&gt;=4,-$E234*$I234/12*3,0))))))</f>
        <v>0</v>
      </c>
      <c r="CF234" s="442">
        <f t="shared" ref="CF234:CF242" si="3069">IF($H234&lt;&gt;CI$5,0,IF(CI234&lt;0,IF(OR($J234=1,$J234=2,$J234=3,$J234=4),-$E234*$I234/12*3,IF($J234=5,-$E234*$I234/12*2,IF($J234=6,-$E234*$I234/12*1,0)))))+IF(CD$5&lt;&gt;$H234,0,IF(CD234&lt;0,IF($J234=4,-$E234*$I234/12*0,IF($J234=5,-$E234*$I234/12*1,IF($J234=6,-$E234*$I234/12*2,IF($J234&gt;=7,-$E234*$I234/12*3,0))))))</f>
        <v>0</v>
      </c>
      <c r="CG234" s="442">
        <f t="shared" ref="CG234:CG242" si="3070">IF($H234&lt;&gt;CI$5,0,IF(CI234&lt;0,IF(OR($J234=1,$J234=2,$J234=3,$J234=4,$J234=5,$J234=6,$J234=7),-$E234*$I234/12*3,IF($J234=8,-$E234*$I234/12*2,IF($J234=9,-$E234*$I234/12*1,0)))))+IF(CD$5&lt;&gt;$H234,0,IF(CD234&lt;0,IF($J234=7,-$E234*$I234/12*0,IF($J234=8,-$E234*$I234/12*1,IF($J234=9,-$E234*$I234/12*2,IF($J234&gt;=10,-$E234*$I234/12*3,0))))))</f>
        <v>0</v>
      </c>
      <c r="CH234" s="443">
        <f t="shared" ref="CH234:CH242" si="3071">IF($H234&lt;&gt;CI$5,0,IF(CI234&lt;0,IF(OR($J234=1,$J234=2,$J234=3,$J234=4,$J234=5,$J234=6,$J234=7,$J234=8,$J234=9,$J234=10),-$E234*$I234/12*3,IF($J234=11,-$E234*$I234/12*2,IF($J234=12,-$E234*$I234/12*1,0)))))+IF(CD$5&lt;&gt;$H234,0,IF(CD234&lt;0,IF($J234=10,-$E234*$I234/12*0,IF($J234=11,-$E234*$I234/12*1,IF($J234=12,-$E234*$I234/12*2,0)))))</f>
        <v>0</v>
      </c>
      <c r="CI234" s="440">
        <f t="shared" ref="CI234:CI242" si="3072">IF(AND(CD234&lt;&gt;0,CD$5=$H234),-$I234*$E234-CD234,IF(CI$5=$H234,-$I234*$E234*(12-$J234+1)/12,0))</f>
        <v>0</v>
      </c>
      <c r="CJ234" s="441">
        <f t="shared" ref="CJ234:CJ242" si="3073">IF($H234&lt;&gt;CN$5,0,IF(CN234&lt;0,IF($J234=1,-$E234*$I234/12*3,IF($J234=2,-$E234*$I234/12*2,IF($J234=3,-$E234*$I234/12*1,0)))))+IF(CI$5&lt;&gt;$H234,0,IF(CI234&lt;0,IF($J234=1,-$E234*$I234/12*0,IF($J234=2,-$E234*$I234/12*1,IF($J234=3,-$E234*$I234/12*2,IF($J234&gt;=4,-$E234*$I234/12*3,0))))))</f>
        <v>0</v>
      </c>
      <c r="CK234" s="442">
        <f t="shared" ref="CK234:CK242" si="3074">IF($H234&lt;&gt;CN$5,0,IF(CN234&lt;0,IF(OR($J234=1,$J234=2,$J234=3,$J234=4),-$E234*$I234/12*3,IF($J234=5,-$E234*$I234/12*2,IF($J234=6,-$E234*$I234/12*1,0)))))+IF(CI$5&lt;&gt;$H234,0,IF(CI234&lt;0,IF($J234=4,-$E234*$I234/12*0,IF($J234=5,-$E234*$I234/12*1,IF($J234=6,-$E234*$I234/12*2,IF($J234&gt;=7,-$E234*$I234/12*3,0))))))</f>
        <v>0</v>
      </c>
      <c r="CL234" s="442">
        <f t="shared" ref="CL234:CL242" si="3075">IF($H234&lt;&gt;CN$5,0,IF(CN234&lt;0,IF(OR($J234=1,$J234=2,$J234=3,$J234=4,$J234=5,$J234=6,$J234=7),-$E234*$I234/12*3,IF($J234=8,-$E234*$I234/12*2,IF($J234=9,-$E234*$I234/12*1,0)))))+IF(CI$5&lt;&gt;$H234,0,IF(CI234&lt;0,IF($J234=7,-$E234*$I234/12*0,IF($J234=8,-$E234*$I234/12*1,IF($J234=9,-$E234*$I234/12*2,IF($J234&gt;=10,-$E234*$I234/12*3,0))))))</f>
        <v>0</v>
      </c>
      <c r="CM234" s="443">
        <f t="shared" ref="CM234:CM242" si="3076">IF($H234&lt;&gt;CN$5,0,IF(CN234&lt;0,IF(OR($J234=1,$J234=2,$J234=3,$J234=4,$J234=5,$J234=6,$J234=7,$J234=8,$J234=9,$J234=10),-$E234*$I234/12*3,IF($J234=11,-$E234*$I234/12*2,IF($J234=12,-$E234*$I234/12*1,0)))))+IF(CI$5&lt;&gt;$H234,0,IF(CI234&lt;0,IF($J234=10,-$E234*$I234/12*0,IF($J234=11,-$E234*$I234/12*1,IF($J234=12,-$E234*$I234/12*2,0)))))</f>
        <v>0</v>
      </c>
      <c r="CN234" s="440">
        <f t="shared" ref="CN234:CN242" si="3077">IF(AND(CI234&lt;&gt;0,CI$5=$H234),-$I234*$E234-CI234,IF(CN$5=$H234,-$I234*$E234*(12-$J234+1)/12,0))</f>
        <v>0</v>
      </c>
      <c r="CO234" s="441">
        <f t="shared" ref="CO234:CO242" si="3078">IF($H234&lt;&gt;CS$5,0,IF(CS234&lt;0,IF($J234=1,-$E234*$I234/12*3,IF($J234=2,-$E234*$I234/12*2,IF($J234=3,-$E234*$I234/12*1,0)))))+IF(CN$5&lt;&gt;$H234,0,IF(CN234&lt;0,IF($J234=1,-$E234*$I234/12*0,IF($J234=2,-$E234*$I234/12*1,IF($J234=3,-$E234*$I234/12*2,IF($J234&gt;=4,-$E234*$I234/12*3,0))))))</f>
        <v>0</v>
      </c>
      <c r="CP234" s="442">
        <f t="shared" ref="CP234:CP242" si="3079">IF($H234&lt;&gt;CS$5,0,IF(CS234&lt;0,IF(OR($J234=1,$J234=2,$J234=3,$J234=4),-$E234*$I234/12*3,IF($J234=5,-$E234*$I234/12*2,IF($J234=6,-$E234*$I234/12*1,0)))))+IF(CN$5&lt;&gt;$H234,0,IF(CN234&lt;0,IF($J234=4,-$E234*$I234/12*0,IF($J234=5,-$E234*$I234/12*1,IF($J234=6,-$E234*$I234/12*2,IF($J234&gt;=7,-$E234*$I234/12*3,0))))))</f>
        <v>0</v>
      </c>
      <c r="CQ234" s="442">
        <f t="shared" ref="CQ234:CQ242" si="3080">IF($H234&lt;&gt;CS$5,0,IF(CS234&lt;0,IF(OR($J234=1,$J234=2,$J234=3,$J234=4,$J234=5,$J234=6,$J234=7),-$E234*$I234/12*3,IF($J234=8,-$E234*$I234/12*2,IF($J234=9,-$E234*$I234/12*1,0)))))+IF(CN$5&lt;&gt;$H234,0,IF(CN234&lt;0,IF($J234=7,-$E234*$I234/12*0,IF($J234=8,-$E234*$I234/12*1,IF($J234=9,-$E234*$I234/12*2,IF($J234&gt;=10,-$E234*$I234/12*3,0))))))</f>
        <v>0</v>
      </c>
      <c r="CR234" s="443">
        <f t="shared" ref="CR234:CR242" si="3081">IF($H234&lt;&gt;CS$5,0,IF(CS234&lt;0,IF(OR($J234=1,$J234=2,$J234=3,$J234=4,$J234=5,$J234=6,$J234=7,$J234=8,$J234=9,$J234=10),-$E234*$I234/12*3,IF($J234=11,-$E234*$I234/12*2,IF($J234=12,-$E234*$I234/12*1,0)))))+IF(CN$5&lt;&gt;$H234,0,IF(CN234&lt;0,IF($J234=10,-$E234*$I234/12*0,IF($J234=11,-$E234*$I234/12*1,IF($J234=12,-$E234*$I234/12*2,0)))))</f>
        <v>0</v>
      </c>
      <c r="CS234" s="440">
        <f t="shared" ref="CS234:CS242" si="3082">IF(AND(CN234&lt;&gt;0,CN$5=$H234),-$I234*$E234-CN234,IF(CS$5=$H234,-$I234*$E234*(12-$J234+1)/12,0))</f>
        <v>0</v>
      </c>
      <c r="CT234" s="441">
        <f t="shared" ref="CT234:CT242" si="3083">IF($H234&lt;&gt;CX$5,0,IF(CX234&lt;0,IF($J234=1,-$E234*$I234/12*3,IF($J234=2,-$E234*$I234/12*2,IF($J234=3,-$E234*$I234/12*1,0)))))+IF(CS$5&lt;&gt;$H234,0,IF(CS234&lt;0,IF($J234=1,-$E234*$I234/12*0,IF($J234=2,-$E234*$I234/12*1,IF($J234=3,-$E234*$I234/12*2,IF($J234&gt;=4,-$E234*$I234/12*3,0))))))</f>
        <v>0</v>
      </c>
      <c r="CU234" s="442">
        <f t="shared" ref="CU234:CU242" si="3084">IF($H234&lt;&gt;CX$5,0,IF(CX234&lt;0,IF(OR($J234=1,$J234=2,$J234=3,$J234=4),-$E234*$I234/12*3,IF($J234=5,-$E234*$I234/12*2,IF($J234=6,-$E234*$I234/12*1,0)))))+IF(CS$5&lt;&gt;$H234,0,IF(CS234&lt;0,IF($J234=4,-$E234*$I234/12*0,IF($J234=5,-$E234*$I234/12*1,IF($J234=6,-$E234*$I234/12*2,IF($J234&gt;=7,-$E234*$I234/12*3,0))))))</f>
        <v>0</v>
      </c>
      <c r="CV234" s="442">
        <f t="shared" ref="CV234:CV242" si="3085">IF($H234&lt;&gt;CX$5,0,IF(CX234&lt;0,IF(OR($J234=1,$J234=2,$J234=3,$J234=4,$J234=5,$J234=6,$J234=7),-$E234*$I234/12*3,IF($J234=8,-$E234*$I234/12*2,IF($J234=9,-$E234*$I234/12*1,0)))))+IF(CS$5&lt;&gt;$H234,0,IF(CS234&lt;0,IF($J234=7,-$E234*$I234/12*0,IF($J234=8,-$E234*$I234/12*1,IF($J234=9,-$E234*$I234/12*2,IF($J234&gt;=10,-$E234*$I234/12*3,0))))))</f>
        <v>0</v>
      </c>
      <c r="CW234" s="443">
        <f t="shared" ref="CW234:CW242" si="3086">IF($H234&lt;&gt;CX$5,0,IF(CX234&lt;0,IF(OR($J234=1,$J234=2,$J234=3,$J234=4,$J234=5,$J234=6,$J234=7,$J234=8,$J234=9,$J234=10),-$E234*$I234/12*3,IF($J234=11,-$E234*$I234/12*2,IF($J234=12,-$E234*$I234/12*1,0)))))+IF(CS$5&lt;&gt;$H234,0,IF(CS234&lt;0,IF($J234=10,-$E234*$I234/12*0,IF($J234=11,-$E234*$I234/12*1,IF($J234=12,-$E234*$I234/12*2,0)))))</f>
        <v>0</v>
      </c>
      <c r="CX234" s="440">
        <f t="shared" ref="CX234:CX242" si="3087">IF(AND(CS234&lt;&gt;0,CS$5=$H234),-$I234*$E234-CS234,IF(CX$5=$H234,-$I234*$E234*(12-$J234+1)/12,0))</f>
        <v>0</v>
      </c>
      <c r="CY234" s="441">
        <f t="shared" ref="CY234:CY242" si="3088">IF($H234&lt;&gt;DC$5,0,IF(DC234&lt;0,IF($J234=1,-$E234*$I234/12*3,IF($J234=2,-$E234*$I234/12*2,IF($J234=3,-$E234*$I234/12*1,0)))))+IF(CX$5&lt;&gt;$H234,0,IF(CX234&lt;0,IF($J234=1,-$E234*$I234/12*0,IF($J234=2,-$E234*$I234/12*1,IF($J234=3,-$E234*$I234/12*2,IF($J234&gt;=4,-$E234*$I234/12*3,0))))))</f>
        <v>0</v>
      </c>
      <c r="CZ234" s="442">
        <f t="shared" ref="CZ234:CZ242" si="3089">IF($H234&lt;&gt;DC$5,0,IF(DC234&lt;0,IF(OR($J234=1,$J234=2,$J234=3,$J234=4),-$E234*$I234/12*3,IF($J234=5,-$E234*$I234/12*2,IF($J234=6,-$E234*$I234/12*1,0)))))+IF(CX$5&lt;&gt;$H234,0,IF(CX234&lt;0,IF($J234=4,-$E234*$I234/12*0,IF($J234=5,-$E234*$I234/12*1,IF($J234=6,-$E234*$I234/12*2,IF($J234&gt;=7,-$E234*$I234/12*3,0))))))</f>
        <v>0</v>
      </c>
      <c r="DA234" s="442">
        <f t="shared" ref="DA234:DA242" si="3090">IF($H234&lt;&gt;DC$5,0,IF(DC234&lt;0,IF(OR($J234=1,$J234=2,$J234=3,$J234=4,$J234=5,$J234=6,$J234=7),-$E234*$I234/12*3,IF($J234=8,-$E234*$I234/12*2,IF($J234=9,-$E234*$I234/12*1,0)))))+IF(CX$5&lt;&gt;$H234,0,IF(CX234&lt;0,IF($J234=7,-$E234*$I234/12*0,IF($J234=8,-$E234*$I234/12*1,IF($J234=9,-$E234*$I234/12*2,IF($J234&gt;=10,-$E234*$I234/12*3,0))))))</f>
        <v>0</v>
      </c>
      <c r="DB234" s="443">
        <f t="shared" ref="DB234:DB242" si="3091">IF($H234&lt;&gt;DC$5,0,IF(DC234&lt;0,IF(OR($J234=1,$J234=2,$J234=3,$J234=4,$J234=5,$J234=6,$J234=7,$J234=8,$J234=9,$J234=10),-$E234*$I234/12*3,IF($J234=11,-$E234*$I234/12*2,IF($J234=12,-$E234*$I234/12*1,0)))))+IF(CX$5&lt;&gt;$H234,0,IF(CX234&lt;0,IF($J234=10,-$E234*$I234/12*0,IF($J234=11,-$E234*$I234/12*1,IF($J234=12,-$E234*$I234/12*2,0)))))</f>
        <v>0</v>
      </c>
      <c r="DC234" s="440">
        <f t="shared" ref="DC234:DC242" si="3092">IF(AND(CX234&lt;&gt;0,CX$5=$H234),-$I234*$E234-CX234,IF(DC$5=$H234,-$I234*$E234*(12-$J234+1)/12,0))</f>
        <v>0</v>
      </c>
      <c r="DD234" s="441">
        <f t="shared" ref="DD234:DD242" si="3093">IF($H234&lt;&gt;DH$5,0,IF(DH234&lt;0,IF($J234=1,-$E234*$I234/12*3,IF($J234=2,-$E234*$I234/12*2,IF($J234=3,-$E234*$I234/12*1,0)))))+IF(DC$5&lt;&gt;$H234,0,IF(DC234&lt;0,IF($J234=1,-$E234*$I234/12*0,IF($J234=2,-$E234*$I234/12*1,IF($J234=3,-$E234*$I234/12*2,IF($J234&gt;=4,-$E234*$I234/12*3,0))))))</f>
        <v>0</v>
      </c>
      <c r="DE234" s="442">
        <f t="shared" ref="DE234:DE242" si="3094">IF($H234&lt;&gt;DH$5,0,IF(DH234&lt;0,IF(OR($J234=1,$J234=2,$J234=3,$J234=4),-$E234*$I234/12*3,IF($J234=5,-$E234*$I234/12*2,IF($J234=6,-$E234*$I234/12*1,0)))))+IF(DC$5&lt;&gt;$H234,0,IF(DC234&lt;0,IF($J234=4,-$E234*$I234/12*0,IF($J234=5,-$E234*$I234/12*1,IF($J234=6,-$E234*$I234/12*2,IF($J234&gt;=7,-$E234*$I234/12*3,0))))))</f>
        <v>0</v>
      </c>
      <c r="DF234" s="442">
        <f t="shared" ref="DF234:DF242" si="3095">IF($H234&lt;&gt;DH$5,0,IF(DH234&lt;0,IF(OR($J234=1,$J234=2,$J234=3,$J234=4,$J234=5,$J234=6,$J234=7),-$E234*$I234/12*3,IF($J234=8,-$E234*$I234/12*2,IF($J234=9,-$E234*$I234/12*1,0)))))+IF(DC$5&lt;&gt;$H234,0,IF(DC234&lt;0,IF($J234=7,-$E234*$I234/12*0,IF($J234=8,-$E234*$I234/12*1,IF($J234=9,-$E234*$I234/12*2,IF($J234&gt;=10,-$E234*$I234/12*3,0))))))</f>
        <v>0</v>
      </c>
      <c r="DG234" s="443">
        <f t="shared" ref="DG234:DG242" si="3096">IF($H234&lt;&gt;DH$5,0,IF(DH234&lt;0,IF(OR($J234=1,$J234=2,$J234=3,$J234=4,$J234=5,$J234=6,$J234=7,$J234=8,$J234=9,$J234=10),-$E234*$I234/12*3,IF($J234=11,-$E234*$I234/12*2,IF($J234=12,-$E234*$I234/12*1,0)))))+IF(DC$5&lt;&gt;$H234,0,IF(DC234&lt;0,IF($J234=10,-$E234*$I234/12*0,IF($J234=11,-$E234*$I234/12*1,IF($J234=12,-$E234*$I234/12*2,0)))))</f>
        <v>0</v>
      </c>
      <c r="DH234" s="440">
        <f t="shared" ref="DH234:DH242" si="3097">IF(AND(DC234&lt;&gt;0,DC$5=$H234),-$I234*$E234-DC234,IF(DH$5=$H234,-$I234*$E234*(12-$J234+1)/12,0))</f>
        <v>0</v>
      </c>
      <c r="DI234" s="441">
        <f t="shared" ref="DI234:DI242" si="3098">IF($H234&lt;&gt;DM$5,0,IF(DM234&lt;0,IF($J234=1,-$E234*$I234/12*3,IF($J234=2,-$E234*$I234/12*2,IF($J234=3,-$E234*$I234/12*1,0)))))+IF(DH$5&lt;&gt;$H234,0,IF(DH234&lt;0,IF($J234=1,-$E234*$I234/12*0,IF($J234=2,-$E234*$I234/12*1,IF($J234=3,-$E234*$I234/12*2,IF($J234&gt;=4,-$E234*$I234/12*3,0))))))</f>
        <v>0</v>
      </c>
      <c r="DJ234" s="442">
        <f t="shared" ref="DJ234:DJ242" si="3099">IF($H234&lt;&gt;DM$5,0,IF(DM234&lt;0,IF(OR($J234=1,$J234=2,$J234=3,$J234=4),-$E234*$I234/12*3,IF($J234=5,-$E234*$I234/12*2,IF($J234=6,-$E234*$I234/12*1,0)))))+IF(DH$5&lt;&gt;$H234,0,IF(DH234&lt;0,IF($J234=4,-$E234*$I234/12*0,IF($J234=5,-$E234*$I234/12*1,IF($J234=6,-$E234*$I234/12*2,IF($J234&gt;=7,-$E234*$I234/12*3,0))))))</f>
        <v>0</v>
      </c>
      <c r="DK234" s="442">
        <f t="shared" ref="DK234:DK242" si="3100">IF($H234&lt;&gt;DM$5,0,IF(DM234&lt;0,IF(OR($J234=1,$J234=2,$J234=3,$J234=4,$J234=5,$J234=6,$J234=7),-$E234*$I234/12*3,IF($J234=8,-$E234*$I234/12*2,IF($J234=9,-$E234*$I234/12*1,0)))))+IF(DH$5&lt;&gt;$H234,0,IF(DH234&lt;0,IF($J234=7,-$E234*$I234/12*0,IF($J234=8,-$E234*$I234/12*1,IF($J234=9,-$E234*$I234/12*2,IF($J234&gt;=10,-$E234*$I234/12*3,0))))))</f>
        <v>0</v>
      </c>
      <c r="DL234" s="443">
        <f t="shared" ref="DL234:DL242" si="3101">IF($H234&lt;&gt;DM$5,0,IF(DM234&lt;0,IF(OR($J234=1,$J234=2,$J234=3,$J234=4,$J234=5,$J234=6,$J234=7,$J234=8,$J234=9,$J234=10),-$E234*$I234/12*3,IF($J234=11,-$E234*$I234/12*2,IF($J234=12,-$E234*$I234/12*1,0)))))+IF(DH$5&lt;&gt;$H234,0,IF(DH234&lt;0,IF($J234=10,-$E234*$I234/12*0,IF($J234=11,-$E234*$I234/12*1,IF($J234=12,-$E234*$I234/12*2,0)))))</f>
        <v>0</v>
      </c>
      <c r="DM234" s="440">
        <f t="shared" ref="DM234:DM242" si="3102">IF(AND(DH234&lt;&gt;0,DH$5=$H234),-$I234*$E234-DH234,IF(DM$5=$H234,-$I234*$E234*(12-$J234+1)/12,0))</f>
        <v>0</v>
      </c>
      <c r="DN234" s="441">
        <f t="shared" ref="DN234:DN242" si="3103">IF($H234&lt;&gt;DR$5,0,IF(DR234&lt;0,IF($J234=1,-$E234*$I234/12*3,IF($J234=2,-$E234*$I234/12*2,IF($J234=3,-$E234*$I234/12*1,0)))))+IF(DM$5&lt;&gt;$H234,0,IF(DM234&lt;0,IF($J234=1,-$E234*$I234/12*0,IF($J234=2,-$E234*$I234/12*1,IF($J234=3,-$E234*$I234/12*2,IF($J234&gt;=4,-$E234*$I234/12*3,0))))))</f>
        <v>0</v>
      </c>
      <c r="DO234" s="442">
        <f t="shared" ref="DO234:DO242" si="3104">IF($H234&lt;&gt;DR$5,0,IF(DR234&lt;0,IF(OR($J234=1,$J234=2,$J234=3,$J234=4),-$E234*$I234/12*3,IF($J234=5,-$E234*$I234/12*2,IF($J234=6,-$E234*$I234/12*1,0)))))+IF(DM$5&lt;&gt;$H234,0,IF(DM234&lt;0,IF($J234=4,-$E234*$I234/12*0,IF($J234=5,-$E234*$I234/12*1,IF($J234=6,-$E234*$I234/12*2,IF($J234&gt;=7,-$E234*$I234/12*3,0))))))</f>
        <v>0</v>
      </c>
      <c r="DP234" s="442">
        <f t="shared" ref="DP234:DP242" si="3105">IF($H234&lt;&gt;DR$5,0,IF(DR234&lt;0,IF(OR($J234=1,$J234=2,$J234=3,$J234=4,$J234=5,$J234=6,$J234=7),-$E234*$I234/12*3,IF($J234=8,-$E234*$I234/12*2,IF($J234=9,-$E234*$I234/12*1,0)))))+IF(DM$5&lt;&gt;$H234,0,IF(DM234&lt;0,IF($J234=7,-$E234*$I234/12*0,IF($J234=8,-$E234*$I234/12*1,IF($J234=9,-$E234*$I234/12*2,IF($J234&gt;=10,-$E234*$I234/12*3,0))))))</f>
        <v>0</v>
      </c>
      <c r="DQ234" s="443">
        <f t="shared" ref="DQ234:DQ242" si="3106">IF($H234&lt;&gt;DR$5,0,IF(DR234&lt;0,IF(OR($J234=1,$J234=2,$J234=3,$J234=4,$J234=5,$J234=6,$J234=7,$J234=8,$J234=9,$J234=10),-$E234*$I234/12*3,IF($J234=11,-$E234*$I234/12*2,IF($J234=12,-$E234*$I234/12*1,0)))))+IF(DM$5&lt;&gt;$H234,0,IF(DM234&lt;0,IF($J234=10,-$E234*$I234/12*0,IF($J234=11,-$E234*$I234/12*1,IF($J234=12,-$E234*$I234/12*2,0)))))</f>
        <v>0</v>
      </c>
      <c r="DR234" s="440">
        <f t="shared" ref="DR234:DR242" si="3107">IF(AND(DM234&lt;&gt;0,DM$5=$H234),-$I234*$E234-DM234,IF(DR$5=$H234,-$I234*$E234*(12-$J234+1)/12,0))</f>
        <v>0</v>
      </c>
    </row>
    <row r="235" spans="1:122" ht="12.75" customHeight="1">
      <c r="A235" s="92"/>
      <c r="B235" s="92"/>
      <c r="C235" s="1590" t="s">
        <v>968</v>
      </c>
      <c r="D235" s="395"/>
      <c r="E235" s="1954">
        <f t="shared" si="2997"/>
        <v>400</v>
      </c>
      <c r="F235" s="1368">
        <v>400</v>
      </c>
      <c r="G235" s="1368">
        <v>400</v>
      </c>
      <c r="H235" s="1374">
        <v>2044</v>
      </c>
      <c r="I235" s="1948">
        <v>5.45E-2</v>
      </c>
      <c r="J235" s="1357">
        <v>7</v>
      </c>
      <c r="K235" s="549"/>
      <c r="L235" s="441">
        <f t="shared" si="2998"/>
        <v>0</v>
      </c>
      <c r="M235" s="442">
        <f t="shared" si="2999"/>
        <v>0</v>
      </c>
      <c r="N235" s="442">
        <f t="shared" si="3000"/>
        <v>0</v>
      </c>
      <c r="O235" s="443">
        <f t="shared" si="3001"/>
        <v>0</v>
      </c>
      <c r="P235" s="440">
        <f t="shared" si="3002"/>
        <v>0</v>
      </c>
      <c r="Q235" s="441">
        <f t="shared" si="3003"/>
        <v>0</v>
      </c>
      <c r="R235" s="442">
        <f t="shared" si="3004"/>
        <v>0</v>
      </c>
      <c r="S235" s="442">
        <f t="shared" si="3005"/>
        <v>0</v>
      </c>
      <c r="T235" s="443">
        <f t="shared" si="3006"/>
        <v>0</v>
      </c>
      <c r="U235" s="440">
        <f t="shared" si="3007"/>
        <v>0</v>
      </c>
      <c r="V235" s="441">
        <f t="shared" si="3008"/>
        <v>0</v>
      </c>
      <c r="W235" s="442">
        <f t="shared" si="3009"/>
        <v>0</v>
      </c>
      <c r="X235" s="442">
        <f t="shared" si="3010"/>
        <v>0</v>
      </c>
      <c r="Y235" s="443">
        <f t="shared" si="3011"/>
        <v>0</v>
      </c>
      <c r="Z235" s="440">
        <f t="shared" si="3012"/>
        <v>0</v>
      </c>
      <c r="AA235" s="441">
        <f t="shared" si="3013"/>
        <v>0</v>
      </c>
      <c r="AB235" s="442">
        <f t="shared" si="3014"/>
        <v>0</v>
      </c>
      <c r="AC235" s="442">
        <f t="shared" si="3015"/>
        <v>0</v>
      </c>
      <c r="AD235" s="443">
        <f t="shared" si="3016"/>
        <v>0</v>
      </c>
      <c r="AE235" s="440">
        <f t="shared" si="3017"/>
        <v>0</v>
      </c>
      <c r="AF235" s="441">
        <f t="shared" si="3018"/>
        <v>0</v>
      </c>
      <c r="AG235" s="442">
        <f t="shared" si="3019"/>
        <v>0</v>
      </c>
      <c r="AH235" s="442">
        <f t="shared" si="3020"/>
        <v>0</v>
      </c>
      <c r="AI235" s="443">
        <f t="shared" si="3021"/>
        <v>0</v>
      </c>
      <c r="AJ235" s="440">
        <f t="shared" si="3022"/>
        <v>0</v>
      </c>
      <c r="AK235" s="441">
        <f t="shared" si="3023"/>
        <v>0</v>
      </c>
      <c r="AL235" s="442">
        <f t="shared" si="3024"/>
        <v>0</v>
      </c>
      <c r="AM235" s="442">
        <f t="shared" si="3025"/>
        <v>0</v>
      </c>
      <c r="AN235" s="443">
        <f t="shared" si="3026"/>
        <v>0</v>
      </c>
      <c r="AO235" s="440">
        <f t="shared" si="3027"/>
        <v>0</v>
      </c>
      <c r="AP235" s="441">
        <f t="shared" si="3028"/>
        <v>0</v>
      </c>
      <c r="AQ235" s="442">
        <f t="shared" si="3029"/>
        <v>0</v>
      </c>
      <c r="AR235" s="442">
        <f t="shared" si="3030"/>
        <v>0</v>
      </c>
      <c r="AS235" s="443">
        <f t="shared" si="3031"/>
        <v>0</v>
      </c>
      <c r="AT235" s="440">
        <f t="shared" si="3032"/>
        <v>0</v>
      </c>
      <c r="AU235" s="441">
        <f t="shared" si="3033"/>
        <v>0</v>
      </c>
      <c r="AV235" s="442">
        <f t="shared" si="3034"/>
        <v>0</v>
      </c>
      <c r="AW235" s="442">
        <f t="shared" si="3035"/>
        <v>0</v>
      </c>
      <c r="AX235" s="443">
        <f t="shared" si="3036"/>
        <v>0</v>
      </c>
      <c r="AY235" s="440">
        <f t="shared" si="3037"/>
        <v>0</v>
      </c>
      <c r="AZ235" s="441">
        <f t="shared" si="3038"/>
        <v>0</v>
      </c>
      <c r="BA235" s="442">
        <f t="shared" si="3039"/>
        <v>0</v>
      </c>
      <c r="BB235" s="442">
        <f t="shared" si="3040"/>
        <v>0</v>
      </c>
      <c r="BC235" s="443">
        <f t="shared" si="3041"/>
        <v>0</v>
      </c>
      <c r="BD235" s="440">
        <f t="shared" si="3042"/>
        <v>0</v>
      </c>
      <c r="BE235" s="441">
        <f t="shared" si="3043"/>
        <v>0</v>
      </c>
      <c r="BF235" s="442">
        <f t="shared" si="3044"/>
        <v>0</v>
      </c>
      <c r="BG235" s="442">
        <f t="shared" si="3045"/>
        <v>0</v>
      </c>
      <c r="BH235" s="443">
        <f t="shared" si="3046"/>
        <v>0</v>
      </c>
      <c r="BI235" s="440">
        <f t="shared" si="3047"/>
        <v>0</v>
      </c>
      <c r="BJ235" s="441">
        <f t="shared" si="3048"/>
        <v>0</v>
      </c>
      <c r="BK235" s="442">
        <f t="shared" si="3049"/>
        <v>0</v>
      </c>
      <c r="BL235" s="442">
        <f t="shared" si="3050"/>
        <v>0</v>
      </c>
      <c r="BM235" s="443">
        <f t="shared" si="3051"/>
        <v>0</v>
      </c>
      <c r="BN235" s="440">
        <f t="shared" si="3052"/>
        <v>0</v>
      </c>
      <c r="BO235" s="470"/>
      <c r="BP235" s="441">
        <f t="shared" si="3053"/>
        <v>0</v>
      </c>
      <c r="BQ235" s="442">
        <f t="shared" si="3054"/>
        <v>0</v>
      </c>
      <c r="BR235" s="442">
        <f t="shared" si="3055"/>
        <v>0</v>
      </c>
      <c r="BS235" s="443">
        <f t="shared" si="3056"/>
        <v>0</v>
      </c>
      <c r="BT235" s="440">
        <f t="shared" si="3057"/>
        <v>0</v>
      </c>
      <c r="BU235" s="441">
        <f t="shared" si="3058"/>
        <v>0</v>
      </c>
      <c r="BV235" s="442">
        <f t="shared" si="3059"/>
        <v>0</v>
      </c>
      <c r="BW235" s="442">
        <f t="shared" si="3060"/>
        <v>0</v>
      </c>
      <c r="BX235" s="443">
        <f t="shared" si="3061"/>
        <v>0</v>
      </c>
      <c r="BY235" s="440">
        <f t="shared" si="3062"/>
        <v>0</v>
      </c>
      <c r="BZ235" s="441">
        <f t="shared" si="3063"/>
        <v>0</v>
      </c>
      <c r="CA235" s="442">
        <f t="shared" si="3064"/>
        <v>0</v>
      </c>
      <c r="CB235" s="442">
        <f t="shared" si="3065"/>
        <v>0</v>
      </c>
      <c r="CC235" s="443">
        <f t="shared" si="3066"/>
        <v>0</v>
      </c>
      <c r="CD235" s="440">
        <f t="shared" si="3067"/>
        <v>0</v>
      </c>
      <c r="CE235" s="441">
        <f t="shared" si="3068"/>
        <v>0</v>
      </c>
      <c r="CF235" s="442">
        <f t="shared" si="3069"/>
        <v>0</v>
      </c>
      <c r="CG235" s="442">
        <f t="shared" si="3070"/>
        <v>0</v>
      </c>
      <c r="CH235" s="443">
        <f t="shared" si="3071"/>
        <v>0</v>
      </c>
      <c r="CI235" s="440">
        <f t="shared" si="3072"/>
        <v>0</v>
      </c>
      <c r="CJ235" s="441">
        <f t="shared" si="3073"/>
        <v>0</v>
      </c>
      <c r="CK235" s="442">
        <f t="shared" si="3074"/>
        <v>0</v>
      </c>
      <c r="CL235" s="442">
        <f t="shared" si="3075"/>
        <v>0</v>
      </c>
      <c r="CM235" s="443">
        <f t="shared" si="3076"/>
        <v>0</v>
      </c>
      <c r="CN235" s="440">
        <f t="shared" si="3077"/>
        <v>0</v>
      </c>
      <c r="CO235" s="441">
        <f t="shared" si="3078"/>
        <v>0</v>
      </c>
      <c r="CP235" s="442">
        <f t="shared" si="3079"/>
        <v>0</v>
      </c>
      <c r="CQ235" s="442">
        <f t="shared" si="3080"/>
        <v>0</v>
      </c>
      <c r="CR235" s="443">
        <f t="shared" si="3081"/>
        <v>0</v>
      </c>
      <c r="CS235" s="440">
        <f t="shared" si="3082"/>
        <v>0</v>
      </c>
      <c r="CT235" s="441">
        <f t="shared" si="3083"/>
        <v>0</v>
      </c>
      <c r="CU235" s="442">
        <f t="shared" si="3084"/>
        <v>0</v>
      </c>
      <c r="CV235" s="442">
        <f t="shared" si="3085"/>
        <v>0</v>
      </c>
      <c r="CW235" s="443">
        <f t="shared" si="3086"/>
        <v>0</v>
      </c>
      <c r="CX235" s="440">
        <f t="shared" si="3087"/>
        <v>0</v>
      </c>
      <c r="CY235" s="441">
        <f t="shared" si="3088"/>
        <v>0</v>
      </c>
      <c r="CZ235" s="442">
        <f t="shared" si="3089"/>
        <v>0</v>
      </c>
      <c r="DA235" s="442">
        <f t="shared" si="3090"/>
        <v>0</v>
      </c>
      <c r="DB235" s="443">
        <f t="shared" si="3091"/>
        <v>0</v>
      </c>
      <c r="DC235" s="440">
        <f t="shared" si="3092"/>
        <v>0</v>
      </c>
      <c r="DD235" s="441">
        <f t="shared" si="3093"/>
        <v>0</v>
      </c>
      <c r="DE235" s="442">
        <f t="shared" si="3094"/>
        <v>0</v>
      </c>
      <c r="DF235" s="442">
        <f t="shared" si="3095"/>
        <v>0</v>
      </c>
      <c r="DG235" s="443">
        <f t="shared" si="3096"/>
        <v>0</v>
      </c>
      <c r="DH235" s="440">
        <f t="shared" si="3097"/>
        <v>0</v>
      </c>
      <c r="DI235" s="441">
        <f t="shared" si="3098"/>
        <v>0</v>
      </c>
      <c r="DJ235" s="442">
        <f t="shared" si="3099"/>
        <v>0</v>
      </c>
      <c r="DK235" s="442">
        <f t="shared" si="3100"/>
        <v>0</v>
      </c>
      <c r="DL235" s="443">
        <f t="shared" si="3101"/>
        <v>0</v>
      </c>
      <c r="DM235" s="440">
        <f t="shared" si="3102"/>
        <v>0</v>
      </c>
      <c r="DN235" s="441">
        <f t="shared" si="3103"/>
        <v>0</v>
      </c>
      <c r="DO235" s="442">
        <f t="shared" si="3104"/>
        <v>0</v>
      </c>
      <c r="DP235" s="442">
        <f t="shared" si="3105"/>
        <v>0</v>
      </c>
      <c r="DQ235" s="443">
        <f t="shared" si="3106"/>
        <v>0</v>
      </c>
      <c r="DR235" s="440">
        <f t="shared" si="3107"/>
        <v>0</v>
      </c>
    </row>
    <row r="236" spans="1:122" ht="12.75" customHeight="1">
      <c r="A236" s="92"/>
      <c r="B236" s="92"/>
      <c r="C236" s="1123" t="s">
        <v>636</v>
      </c>
      <c r="D236" s="395"/>
      <c r="E236" s="1954">
        <f>IF(F236=0,G236,F236)</f>
        <v>400</v>
      </c>
      <c r="F236" s="1368">
        <v>400</v>
      </c>
      <c r="G236" s="1368">
        <v>400</v>
      </c>
      <c r="H236" s="1374">
        <v>2022</v>
      </c>
      <c r="I236" s="1948">
        <v>5.2499999999999998E-2</v>
      </c>
      <c r="J236" s="1357">
        <v>1</v>
      </c>
      <c r="K236" s="549"/>
      <c r="L236" s="441">
        <f>IF(P236=0,0,IF(P236&lt;0,IF($J236=3,P236,IF($J236=2,P236,IF($J236=1,P236,0)))))</f>
        <v>0</v>
      </c>
      <c r="M236" s="442">
        <f>IF(P236=0,0,IF(P236&lt;0,IF($J236=6,P236,IF($J236=5,P236,IF($J236=4,P236,0)))))</f>
        <v>0</v>
      </c>
      <c r="N236" s="442">
        <f>IF(P236=0,0,IF(P236&lt;0,IF($J236=9,P236,IF($J236=8,P236,IF($J236=7,P236,0)))))</f>
        <v>0</v>
      </c>
      <c r="O236" s="443">
        <f>IF(P236=0,0,IF(P236&lt;0,IF($J236=12,P236,IF($J236=11,P236,IF($J236=10,P236,0)))))</f>
        <v>0</v>
      </c>
      <c r="P236" s="440">
        <f>IF(P$5=$H236,-$E236,0)</f>
        <v>0</v>
      </c>
      <c r="Q236" s="441">
        <f>IF(U236=0,0,IF(U236&lt;0,IF($J236=3,U236,IF($J236=2,U236,IF($J236=1,U236,0)))))</f>
        <v>0</v>
      </c>
      <c r="R236" s="442">
        <f>IF(U236=0,0,IF(U236&lt;0,IF($J236=6,U236,IF($J236=5,U236,IF($J236=4,U236,0)))))</f>
        <v>0</v>
      </c>
      <c r="S236" s="442">
        <f>IF(U236=0,0,IF(U236&lt;0,IF($J236=9,U236,IF($J236=8,U236,IF($J236=7,U236,0)))))</f>
        <v>0</v>
      </c>
      <c r="T236" s="443">
        <f>IF(U236=0,0,IF(U236&lt;0,IF($J236=12,U236,IF($J236=11,U236,IF($J236=10,U236,0)))))</f>
        <v>0</v>
      </c>
      <c r="U236" s="440">
        <f>IF(U$5=$H236,-$E236,0)</f>
        <v>0</v>
      </c>
      <c r="V236" s="441">
        <f>IF(Z236=0,0,IF(Z236&lt;0,IF($J236=3,Z236,IF($J236=2,Z236,IF($J236=1,Z236,0)))))</f>
        <v>0</v>
      </c>
      <c r="W236" s="442">
        <f>IF(Z236=0,0,IF(Z236&lt;0,IF($J236=6,Z236,IF($J236=5,Z236,IF($J236=4,Z236,0)))))</f>
        <v>0</v>
      </c>
      <c r="X236" s="442">
        <f>IF(Z236=0,0,IF(Z236&lt;0,IF($J236=9,Z236,IF($J236=8,Z236,IF($J236=7,Z236,0)))))</f>
        <v>0</v>
      </c>
      <c r="Y236" s="443">
        <f>IF(Z236=0,0,IF(Z236&lt;0,IF($J236=12,Z236,IF($J236=11,Z236,IF($J236=10,Z236,0)))))</f>
        <v>0</v>
      </c>
      <c r="Z236" s="440">
        <f>IF(Z$5=$H236,-$E236,0)</f>
        <v>0</v>
      </c>
      <c r="AA236" s="441">
        <f>IF(AE236=0,0,IF(AE236&lt;0,IF($J236=3,AE236,IF($J236=2,AE236,IF($J236=1,AE236,0)))))</f>
        <v>0</v>
      </c>
      <c r="AB236" s="442">
        <f>IF(AE236=0,0,IF(AE236&lt;0,IF($J236=6,AE236,IF($J236=5,AE236,IF($J236=4,AE236,0)))))</f>
        <v>0</v>
      </c>
      <c r="AC236" s="442">
        <f>IF(AE236=0,0,IF(AE236&lt;0,IF($J236=9,AE236,IF($J236=8,AE236,IF($J236=7,AE236,0)))))</f>
        <v>0</v>
      </c>
      <c r="AD236" s="443">
        <f>IF(AE236=0,0,IF(AE236&lt;0,IF($J236=12,AE236,IF($J236=11,AE236,IF($J236=10,AE236,0)))))</f>
        <v>0</v>
      </c>
      <c r="AE236" s="440">
        <f>IF(AE$5=$H236,-$E236,0)</f>
        <v>0</v>
      </c>
      <c r="AF236" s="441">
        <f>IF(AJ236=0,0,IF(AJ236&lt;0,IF($J236=3,AJ236,IF($J236=2,AJ236,IF($J236=1,AJ236,0)))))</f>
        <v>0</v>
      </c>
      <c r="AG236" s="442">
        <f>IF(AJ236=0,0,IF(AJ236&lt;0,IF($J236=6,AJ236,IF($J236=5,AJ236,IF($J236=4,AJ236,0)))))</f>
        <v>0</v>
      </c>
      <c r="AH236" s="442">
        <f>IF(AJ236=0,0,IF(AJ236&lt;0,IF($J236=9,AJ236,IF($J236=8,AJ236,IF($J236=7,AJ236,0)))))</f>
        <v>0</v>
      </c>
      <c r="AI236" s="443">
        <f>IF(AJ236=0,0,IF(AJ236&lt;0,IF($J236=12,AJ236,IF($J236=11,AJ236,IF($J236=10,AJ236,0)))))</f>
        <v>0</v>
      </c>
      <c r="AJ236" s="440">
        <f>IF(AJ$5=$H236,-$E236,0)</f>
        <v>0</v>
      </c>
      <c r="AK236" s="441">
        <f>IF(AO236=0,0,IF(AO236&lt;0,IF($J236=3,AO236,IF($J236=2,AO236,IF($J236=1,AO236,0)))))</f>
        <v>0</v>
      </c>
      <c r="AL236" s="442">
        <f>IF(AO236=0,0,IF(AO236&lt;0,IF($J236=6,AO236,IF($J236=5,AO236,IF($J236=4,AO236,0)))))</f>
        <v>0</v>
      </c>
      <c r="AM236" s="442">
        <f>IF(AO236=0,0,IF(AO236&lt;0,IF($J236=9,AO236,IF($J236=8,AO236,IF($J236=7,AO236,0)))))</f>
        <v>0</v>
      </c>
      <c r="AN236" s="443">
        <f>IF(AO236=0,0,IF(AO236&lt;0,IF($J236=12,AO236,IF($J236=11,AO236,IF($J236=10,AO236,0)))))</f>
        <v>0</v>
      </c>
      <c r="AO236" s="440">
        <f>IF(AO$5=$H236,-$E236,0)</f>
        <v>0</v>
      </c>
      <c r="AP236" s="441">
        <f>IF(AT236=0,0,IF(AT236&lt;0,IF($J236=3,AT236,IF($J236=2,AT236,IF($J236=1,AT236,0)))))</f>
        <v>0</v>
      </c>
      <c r="AQ236" s="442">
        <f>IF(AT236=0,0,IF(AT236&lt;0,IF($J236=6,AT236,IF($J236=5,AT236,IF($J236=4,AT236,0)))))</f>
        <v>0</v>
      </c>
      <c r="AR236" s="442">
        <f>IF(AT236=0,0,IF(AT236&lt;0,IF($J236=9,AT236,IF($J236=8,AT236,IF($J236=7,AT236,0)))))</f>
        <v>0</v>
      </c>
      <c r="AS236" s="443">
        <f>IF(AT236=0,0,IF(AT236&lt;0,IF($J236=12,AT236,IF($J236=11,AT236,IF($J236=10,AT236,0)))))</f>
        <v>0</v>
      </c>
      <c r="AT236" s="440">
        <f>IF(AT$5=$H236,-$E236,0)</f>
        <v>0</v>
      </c>
      <c r="AU236" s="441">
        <f>IF(AY236=0,0,IF(AY236&lt;0,IF($J236=3,AY236,IF($J236=2,AY236,IF($J236=1,AY236,0)))))</f>
        <v>0</v>
      </c>
      <c r="AV236" s="442">
        <f>IF(AY236=0,0,IF(AY236&lt;0,IF($J236=6,AY236,IF($J236=5,AY236,IF($J236=4,AY236,0)))))</f>
        <v>0</v>
      </c>
      <c r="AW236" s="442">
        <f>IF(AY236=0,0,IF(AY236&lt;0,IF($J236=9,AY236,IF($J236=8,AY236,IF($J236=7,AY236,0)))))</f>
        <v>0</v>
      </c>
      <c r="AX236" s="443">
        <f>IF(AY236=0,0,IF(AY236&lt;0,IF($J236=12,AY236,IF($J236=11,AY236,IF($J236=10,AY236,0)))))</f>
        <v>0</v>
      </c>
      <c r="AY236" s="440">
        <f>IF(AY$5=$H236,-$E236,0)</f>
        <v>0</v>
      </c>
      <c r="AZ236" s="441">
        <f>IF(BD236=0,0,IF(BD236&lt;0,IF($J236=3,BD236,IF($J236=2,BD236,IF($J236=1,BD236,0)))))</f>
        <v>0</v>
      </c>
      <c r="BA236" s="442">
        <f>IF(BD236=0,0,IF(BD236&lt;0,IF($J236=6,BD236,IF($J236=5,BD236,IF($J236=4,BD236,0)))))</f>
        <v>0</v>
      </c>
      <c r="BB236" s="442">
        <f>IF(BD236=0,0,IF(BD236&lt;0,IF($J236=9,BD236,IF($J236=8,BD236,IF($J236=7,BD236,0)))))</f>
        <v>0</v>
      </c>
      <c r="BC236" s="443">
        <f>IF(BD236=0,0,IF(BD236&lt;0,IF($J236=12,BD236,IF($J236=11,BD236,IF($J236=10,BD236,0)))))</f>
        <v>0</v>
      </c>
      <c r="BD236" s="440">
        <f>IF(BD$5=$H236,-$E236,0)</f>
        <v>0</v>
      </c>
      <c r="BE236" s="441">
        <f>IF(BI236=0,0,IF(BI236&lt;0,IF($J236=3,BI236,IF($J236=2,BI236,IF($J236=1,BI236,0)))))</f>
        <v>0</v>
      </c>
      <c r="BF236" s="442">
        <f>IF(BI236=0,0,IF(BI236&lt;0,IF($J236=6,BI236,IF($J236=5,BI236,IF($J236=4,BI236,0)))))</f>
        <v>0</v>
      </c>
      <c r="BG236" s="442">
        <f>IF(BI236=0,0,IF(BI236&lt;0,IF($J236=9,BI236,IF($J236=8,BI236,IF($J236=7,BI236,0)))))</f>
        <v>0</v>
      </c>
      <c r="BH236" s="443">
        <f>IF(BI236=0,0,IF(BI236&lt;0,IF($J236=12,BI236,IF($J236=11,BI236,IF($J236=10,BI236,0)))))</f>
        <v>0</v>
      </c>
      <c r="BI236" s="440">
        <f>IF(BI$5=$H236,-$E236,0)</f>
        <v>0</v>
      </c>
      <c r="BJ236" s="441">
        <f>IF(BN236=0,0,IF(BN236&lt;0,IF($J236=3,BN236,IF($J236=2,BN236,IF($J236=1,BN236,0)))))</f>
        <v>0</v>
      </c>
      <c r="BK236" s="442">
        <f>IF(BN236=0,0,IF(BN236&lt;0,IF($J236=6,BN236,IF($J236=5,BN236,IF($J236=4,BN236,0)))))</f>
        <v>0</v>
      </c>
      <c r="BL236" s="442">
        <f>IF(BN236=0,0,IF(BN236&lt;0,IF($J236=9,BN236,IF($J236=8,BN236,IF($J236=7,BN236,0)))))</f>
        <v>0</v>
      </c>
      <c r="BM236" s="443">
        <f>IF(BN236=0,0,IF(BN236&lt;0,IF($J236=12,BN236,IF($J236=11,BN236,IF($J236=10,BN236,0)))))</f>
        <v>0</v>
      </c>
      <c r="BN236" s="440">
        <f>IF(BN$5=$H236,-$E236,0)</f>
        <v>0</v>
      </c>
      <c r="BO236" s="470"/>
      <c r="BP236" s="441">
        <f>IF($H236&lt;&gt;BT$5,0,IF(BT236&lt;0,IF($J236=1,-$E236*$I236/12*3,IF($J236=2,-$E236*$I236/12*2,IF($J236=3,-$E236*$I236/12*1,0)))))+IF(BO$5&lt;&gt;$H236,0,IF(BO236&lt;0,IF($J236=1,-$E236*$I236/12*0,IF($J236=2,-$E236*$I236/12*1,IF($J236=3,-$E236*$I236/12*2,IF($J236&gt;=4,-$E236*$I236/12*3,0))))))</f>
        <v>0</v>
      </c>
      <c r="BQ236" s="442">
        <f>IF($H236&lt;&gt;BT$5,0,IF(BT236&lt;0,IF(OR($J236=1,$J236=2,$J236=3,$J236=4),-$E236*$I236/12*3,IF($J236=5,-$E236*$I236/12*2,IF($J236=6,-$E236*$I236/12*1,0)))))+IF(BO$5&lt;&gt;$H236,0,IF(BO236&lt;0,IF($J236=4,-$E236*$I236/12*0,IF($J236=5,-$E236*$I236/12*1,IF($J236=6,-$E236*$I236/12*2,IF($J236&gt;=7,-$E236*$I236/12*3,0))))))</f>
        <v>0</v>
      </c>
      <c r="BR236" s="442">
        <f>IF($H236&lt;&gt;BT$5,0,IF(BT236&lt;0,IF(OR($J236=1,$J236=2,$J236=3,$J236=4,$J236=5,$J236=6,$J236=7),-$E236*$I236/12*3,IF($J236=8,-$E236*$I236/12*2,IF($J236=9,-$E236*$I236/12*1,0)))))+IF(BO$5&lt;&gt;$H236,0,IF(BO236&lt;0,IF($J236=7,-$E236*$I236/12*0,IF($J236=8,-$E236*$I236/12*1,IF($J236=9,-$E236*$I236/12*2,IF($J236&gt;=10,-$E236*$I236/12*3,0))))))</f>
        <v>0</v>
      </c>
      <c r="BS236" s="443">
        <f>IF($H236&lt;&gt;BT$5,0,IF(BT236&lt;0,IF(OR($J236=1,$J236=2,$J236=3,$J236=4,$J236=5,$J236=6,$J236=7,$J236=8,$J236=9,$J236=10),-$E236*$I236/12*3,IF($J236=11,-$E236*$I236/12*2,IF($J236=12,-$E236*$I236/12*1,0)))))+IF(BO$5&lt;&gt;$H236,0,IF(BO236&lt;0,IF($J236=10,-$E236*$I236/12*0,IF($J236=11,-$E236*$I236/12*1,IF($J236=12,-$E236*$I236/12*2,0)))))</f>
        <v>0</v>
      </c>
      <c r="BT236" s="440">
        <f>IF(AND(BO236&lt;&gt;0,BO$5=$H236),-$I236*$E236-BO236,IF(BT$5=$H236,-$I236*$E236*(12-$J236+1)/12,0))</f>
        <v>0</v>
      </c>
      <c r="BU236" s="441">
        <f>IF($H236&lt;&gt;BY$5,0,IF(BY236&lt;0,IF($J236=1,-$E236*$I236/12*3,IF($J236=2,-$E236*$I236/12*2,IF($J236=3,-$E236*$I236/12*1,0)))))+IF(BT$5&lt;&gt;$H236,0,IF(BT236&lt;0,IF($J236=1,-$E236*$I236/12*0,IF($J236=2,-$E236*$I236/12*1,IF($J236=3,-$E236*$I236/12*2,IF($J236&gt;=4,-$E236*$I236/12*3,0))))))</f>
        <v>0</v>
      </c>
      <c r="BV236" s="442">
        <f>IF($H236&lt;&gt;BY$5,0,IF(BY236&lt;0,IF(OR($J236=1,$J236=2,$J236=3,$J236=4),-$E236*$I236/12*3,IF($J236=5,-$E236*$I236/12*2,IF($J236=6,-$E236*$I236/12*1,0)))))+IF(BT$5&lt;&gt;$H236,0,IF(BT236&lt;0,IF($J236=4,-$E236*$I236/12*0,IF($J236=5,-$E236*$I236/12*1,IF($J236=6,-$E236*$I236/12*2,IF($J236&gt;=7,-$E236*$I236/12*3,0))))))</f>
        <v>0</v>
      </c>
      <c r="BW236" s="442">
        <f>IF($H236&lt;&gt;BY$5,0,IF(BY236&lt;0,IF(OR($J236=1,$J236=2,$J236=3,$J236=4,$J236=5,$J236=6,$J236=7),-$E236*$I236/12*3,IF($J236=8,-$E236*$I236/12*2,IF($J236=9,-$E236*$I236/12*1,0)))))+IF(BT$5&lt;&gt;$H236,0,IF(BT236&lt;0,IF($J236=7,-$E236*$I236/12*0,IF($J236=8,-$E236*$I236/12*1,IF($J236=9,-$E236*$I236/12*2,IF($J236&gt;=10,-$E236*$I236/12*3,0))))))</f>
        <v>0</v>
      </c>
      <c r="BX236" s="443">
        <f>IF($H236&lt;&gt;BY$5,0,IF(BY236&lt;0,IF(OR($J236=1,$J236=2,$J236=3,$J236=4,$J236=5,$J236=6,$J236=7,$J236=8,$J236=9,$J236=10),-$E236*$I236/12*3,IF($J236=11,-$E236*$I236/12*2,IF($J236=12,-$E236*$I236/12*1,0)))))+IF(BT$5&lt;&gt;$H236,0,IF(BT236&lt;0,IF($J236=10,-$E236*$I236/12*0,IF($J236=11,-$E236*$I236/12*1,IF($J236=12,-$E236*$I236/12*2,0)))))</f>
        <v>0</v>
      </c>
      <c r="BY236" s="440">
        <f>IF(AND(BT236&lt;&gt;0,BT$5=$H236),-$I236*$E236-BT236,IF(BY$5=$H236,-$I236*$E236*(12-$J236+1)/12,0))</f>
        <v>0</v>
      </c>
      <c r="BZ236" s="441">
        <f>IF($H236&lt;&gt;CD$5,0,IF(CD236&lt;0,IF($J236=1,-$E236*$I236/12*3,IF($J236=2,-$E236*$I236/12*2,IF($J236=3,-$E236*$I236/12*1,0)))))+IF(BY$5&lt;&gt;$H236,0,IF(BY236&lt;0,IF($J236=1,-$E236*$I236/12*0,IF($J236=2,-$E236*$I236/12*1,IF($J236=3,-$E236*$I236/12*2,IF($J236&gt;=4,-$E236*$I236/12*3,0))))))</f>
        <v>0</v>
      </c>
      <c r="CA236" s="442">
        <f>IF($H236&lt;&gt;CD$5,0,IF(CD236&lt;0,IF(OR($J236=1,$J236=2,$J236=3,$J236=4),-$E236*$I236/12*3,IF($J236=5,-$E236*$I236/12*2,IF($J236=6,-$E236*$I236/12*1,0)))))+IF(BY$5&lt;&gt;$H236,0,IF(BY236&lt;0,IF($J236=4,-$E236*$I236/12*0,IF($J236=5,-$E236*$I236/12*1,IF($J236=6,-$E236*$I236/12*2,IF($J236&gt;=7,-$E236*$I236/12*3,0))))))</f>
        <v>0</v>
      </c>
      <c r="CB236" s="442">
        <f>IF($H236&lt;&gt;CD$5,0,IF(CD236&lt;0,IF(OR($J236=1,$J236=2,$J236=3,$J236=4,$J236=5,$J236=6,$J236=7),-$E236*$I236/12*3,IF($J236=8,-$E236*$I236/12*2,IF($J236=9,-$E236*$I236/12*1,0)))))+IF(BY$5&lt;&gt;$H236,0,IF(BY236&lt;0,IF($J236=7,-$E236*$I236/12*0,IF($J236=8,-$E236*$I236/12*1,IF($J236=9,-$E236*$I236/12*2,IF($J236&gt;=10,-$E236*$I236/12*3,0))))))</f>
        <v>0</v>
      </c>
      <c r="CC236" s="443">
        <f>IF($H236&lt;&gt;CD$5,0,IF(CD236&lt;0,IF(OR($J236=1,$J236=2,$J236=3,$J236=4,$J236=5,$J236=6,$J236=7,$J236=8,$J236=9,$J236=10),-$E236*$I236/12*3,IF($J236=11,-$E236*$I236/12*2,IF($J236=12,-$E236*$I236/12*1,0)))))+IF(BY$5&lt;&gt;$H236,0,IF(BY236&lt;0,IF($J236=10,-$E236*$I236/12*0,IF($J236=11,-$E236*$I236/12*1,IF($J236=12,-$E236*$I236/12*2,0)))))</f>
        <v>0</v>
      </c>
      <c r="CD236" s="440">
        <f>IF(AND(BY236&lt;&gt;0,BY$5=$H236),-$I236*$E236-BY236,IF(CD$5=$H236,-$I236*$E236*(12-$J236+1)/12,0))</f>
        <v>0</v>
      </c>
      <c r="CE236" s="441">
        <f>IF($H236&lt;&gt;CI$5,0,IF(CI236&lt;0,IF($J236=1,-$E236*$I236/12*3,IF($J236=2,-$E236*$I236/12*2,IF($J236=3,-$E236*$I236/12*1,0)))))+IF(CD$5&lt;&gt;$H236,0,IF(CD236&lt;0,IF($J236=1,-$E236*$I236/12*0,IF($J236=2,-$E236*$I236/12*1,IF($J236=3,-$E236*$I236/12*2,IF($J236&gt;=4,-$E236*$I236/12*3,0))))))</f>
        <v>0</v>
      </c>
      <c r="CF236" s="442">
        <f>IF($H236&lt;&gt;CI$5,0,IF(CI236&lt;0,IF(OR($J236=1,$J236=2,$J236=3,$J236=4),-$E236*$I236/12*3,IF($J236=5,-$E236*$I236/12*2,IF($J236=6,-$E236*$I236/12*1,0)))))+IF(CD$5&lt;&gt;$H236,0,IF(CD236&lt;0,IF($J236=4,-$E236*$I236/12*0,IF($J236=5,-$E236*$I236/12*1,IF($J236=6,-$E236*$I236/12*2,IF($J236&gt;=7,-$E236*$I236/12*3,0))))))</f>
        <v>0</v>
      </c>
      <c r="CG236" s="442">
        <f>IF($H236&lt;&gt;CI$5,0,IF(CI236&lt;0,IF(OR($J236=1,$J236=2,$J236=3,$J236=4,$J236=5,$J236=6,$J236=7),-$E236*$I236/12*3,IF($J236=8,-$E236*$I236/12*2,IF($J236=9,-$E236*$I236/12*1,0)))))+IF(CD$5&lt;&gt;$H236,0,IF(CD236&lt;0,IF($J236=7,-$E236*$I236/12*0,IF($J236=8,-$E236*$I236/12*1,IF($J236=9,-$E236*$I236/12*2,IF($J236&gt;=10,-$E236*$I236/12*3,0))))))</f>
        <v>0</v>
      </c>
      <c r="CH236" s="443">
        <f>IF($H236&lt;&gt;CI$5,0,IF(CI236&lt;0,IF(OR($J236=1,$J236=2,$J236=3,$J236=4,$J236=5,$J236=6,$J236=7,$J236=8,$J236=9,$J236=10),-$E236*$I236/12*3,IF($J236=11,-$E236*$I236/12*2,IF($J236=12,-$E236*$I236/12*1,0)))))+IF(CD$5&lt;&gt;$H236,0,IF(CD236&lt;0,IF($J236=10,-$E236*$I236/12*0,IF($J236=11,-$E236*$I236/12*1,IF($J236=12,-$E236*$I236/12*2,0)))))</f>
        <v>0</v>
      </c>
      <c r="CI236" s="440">
        <f>IF(AND(CD236&lt;&gt;0,CD$5=$H236),-$I236*$E236-CD236,IF(CI$5=$H236,-$I236*$E236*(12-$J236+1)/12,0))</f>
        <v>0</v>
      </c>
      <c r="CJ236" s="441">
        <f>IF($H236&lt;&gt;CN$5,0,IF(CN236&lt;0,IF($J236=1,-$E236*$I236/12*3,IF($J236=2,-$E236*$I236/12*2,IF($J236=3,-$E236*$I236/12*1,0)))))+IF(CI$5&lt;&gt;$H236,0,IF(CI236&lt;0,IF($J236=1,-$E236*$I236/12*0,IF($J236=2,-$E236*$I236/12*1,IF($J236=3,-$E236*$I236/12*2,IF($J236&gt;=4,-$E236*$I236/12*3,0))))))</f>
        <v>0</v>
      </c>
      <c r="CK236" s="442">
        <f>IF($H236&lt;&gt;CN$5,0,IF(CN236&lt;0,IF(OR($J236=1,$J236=2,$J236=3,$J236=4),-$E236*$I236/12*3,IF($J236=5,-$E236*$I236/12*2,IF($J236=6,-$E236*$I236/12*1,0)))))+IF(CI$5&lt;&gt;$H236,0,IF(CI236&lt;0,IF($J236=4,-$E236*$I236/12*0,IF($J236=5,-$E236*$I236/12*1,IF($J236=6,-$E236*$I236/12*2,IF($J236&gt;=7,-$E236*$I236/12*3,0))))))</f>
        <v>0</v>
      </c>
      <c r="CL236" s="442">
        <f>IF($H236&lt;&gt;CN$5,0,IF(CN236&lt;0,IF(OR($J236=1,$J236=2,$J236=3,$J236=4,$J236=5,$J236=6,$J236=7),-$E236*$I236/12*3,IF($J236=8,-$E236*$I236/12*2,IF($J236=9,-$E236*$I236/12*1,0)))))+IF(CI$5&lt;&gt;$H236,0,IF(CI236&lt;0,IF($J236=7,-$E236*$I236/12*0,IF($J236=8,-$E236*$I236/12*1,IF($J236=9,-$E236*$I236/12*2,IF($J236&gt;=10,-$E236*$I236/12*3,0))))))</f>
        <v>0</v>
      </c>
      <c r="CM236" s="443">
        <f>IF($H236&lt;&gt;CN$5,0,IF(CN236&lt;0,IF(OR($J236=1,$J236=2,$J236=3,$J236=4,$J236=5,$J236=6,$J236=7,$J236=8,$J236=9,$J236=10),-$E236*$I236/12*3,IF($J236=11,-$E236*$I236/12*2,IF($J236=12,-$E236*$I236/12*1,0)))))+IF(CI$5&lt;&gt;$H236,0,IF(CI236&lt;0,IF($J236=10,-$E236*$I236/12*0,IF($J236=11,-$E236*$I236/12*1,IF($J236=12,-$E236*$I236/12*2,0)))))</f>
        <v>0</v>
      </c>
      <c r="CN236" s="440">
        <f>IF(AND(CI236&lt;&gt;0,CI$5=$H236),-$I236*$E236-CI236,IF(CN$5=$H236,-$I236*$E236*(12-$J236+1)/12,0))</f>
        <v>0</v>
      </c>
      <c r="CO236" s="441">
        <f>IF($H236&lt;&gt;CS$5,0,IF(CS236&lt;0,IF($J236=1,-$E236*$I236/12*3,IF($J236=2,-$E236*$I236/12*2,IF($J236=3,-$E236*$I236/12*1,0)))))+IF(CN$5&lt;&gt;$H236,0,IF(CN236&lt;0,IF($J236=1,-$E236*$I236/12*0,IF($J236=2,-$E236*$I236/12*1,IF($J236=3,-$E236*$I236/12*2,IF($J236&gt;=4,-$E236*$I236/12*3,0))))))</f>
        <v>0</v>
      </c>
      <c r="CP236" s="442">
        <f>IF($H236&lt;&gt;CS$5,0,IF(CS236&lt;0,IF(OR($J236=1,$J236=2,$J236=3,$J236=4),-$E236*$I236/12*3,IF($J236=5,-$E236*$I236/12*2,IF($J236=6,-$E236*$I236/12*1,0)))))+IF(CN$5&lt;&gt;$H236,0,IF(CN236&lt;0,IF($J236=4,-$E236*$I236/12*0,IF($J236=5,-$E236*$I236/12*1,IF($J236=6,-$E236*$I236/12*2,IF($J236&gt;=7,-$E236*$I236/12*3,0))))))</f>
        <v>0</v>
      </c>
      <c r="CQ236" s="442">
        <f>IF($H236&lt;&gt;CS$5,0,IF(CS236&lt;0,IF(OR($J236=1,$J236=2,$J236=3,$J236=4,$J236=5,$J236=6,$J236=7),-$E236*$I236/12*3,IF($J236=8,-$E236*$I236/12*2,IF($J236=9,-$E236*$I236/12*1,0)))))+IF(CN$5&lt;&gt;$H236,0,IF(CN236&lt;0,IF($J236=7,-$E236*$I236/12*0,IF($J236=8,-$E236*$I236/12*1,IF($J236=9,-$E236*$I236/12*2,IF($J236&gt;=10,-$E236*$I236/12*3,0))))))</f>
        <v>0</v>
      </c>
      <c r="CR236" s="443">
        <f>IF($H236&lt;&gt;CS$5,0,IF(CS236&lt;0,IF(OR($J236=1,$J236=2,$J236=3,$J236=4,$J236=5,$J236=6,$J236=7,$J236=8,$J236=9,$J236=10),-$E236*$I236/12*3,IF($J236=11,-$E236*$I236/12*2,IF($J236=12,-$E236*$I236/12*1,0)))))+IF(CN$5&lt;&gt;$H236,0,IF(CN236&lt;0,IF($J236=10,-$E236*$I236/12*0,IF($J236=11,-$E236*$I236/12*1,IF($J236=12,-$E236*$I236/12*2,0)))))</f>
        <v>0</v>
      </c>
      <c r="CS236" s="440">
        <f>IF(AND(CN236&lt;&gt;0,CN$5=$H236),-$I236*$E236-CN236,IF(CS$5=$H236,-$I236*$E236*(12-$J236+1)/12,0))</f>
        <v>0</v>
      </c>
      <c r="CT236" s="441">
        <f>IF($H236&lt;&gt;CX$5,0,IF(CX236&lt;0,IF($J236=1,-$E236*$I236/12*3,IF($J236=2,-$E236*$I236/12*2,IF($J236=3,-$E236*$I236/12*1,0)))))+IF(CS$5&lt;&gt;$H236,0,IF(CS236&lt;0,IF($J236=1,-$E236*$I236/12*0,IF($J236=2,-$E236*$I236/12*1,IF($J236=3,-$E236*$I236/12*2,IF($J236&gt;=4,-$E236*$I236/12*3,0))))))</f>
        <v>0</v>
      </c>
      <c r="CU236" s="442">
        <f>IF($H236&lt;&gt;CX$5,0,IF(CX236&lt;0,IF(OR($J236=1,$J236=2,$J236=3,$J236=4),-$E236*$I236/12*3,IF($J236=5,-$E236*$I236/12*2,IF($J236=6,-$E236*$I236/12*1,0)))))+IF(CS$5&lt;&gt;$H236,0,IF(CS236&lt;0,IF($J236=4,-$E236*$I236/12*0,IF($J236=5,-$E236*$I236/12*1,IF($J236=6,-$E236*$I236/12*2,IF($J236&gt;=7,-$E236*$I236/12*3,0))))))</f>
        <v>0</v>
      </c>
      <c r="CV236" s="442">
        <f>IF($H236&lt;&gt;CX$5,0,IF(CX236&lt;0,IF(OR($J236=1,$J236=2,$J236=3,$J236=4,$J236=5,$J236=6,$J236=7),-$E236*$I236/12*3,IF($J236=8,-$E236*$I236/12*2,IF($J236=9,-$E236*$I236/12*1,0)))))+IF(CS$5&lt;&gt;$H236,0,IF(CS236&lt;0,IF($J236=7,-$E236*$I236/12*0,IF($J236=8,-$E236*$I236/12*1,IF($J236=9,-$E236*$I236/12*2,IF($J236&gt;=10,-$E236*$I236/12*3,0))))))</f>
        <v>0</v>
      </c>
      <c r="CW236" s="443">
        <f>IF($H236&lt;&gt;CX$5,0,IF(CX236&lt;0,IF(OR($J236=1,$J236=2,$J236=3,$J236=4,$J236=5,$J236=6,$J236=7,$J236=8,$J236=9,$J236=10),-$E236*$I236/12*3,IF($J236=11,-$E236*$I236/12*2,IF($J236=12,-$E236*$I236/12*1,0)))))+IF(CS$5&lt;&gt;$H236,0,IF(CS236&lt;0,IF($J236=10,-$E236*$I236/12*0,IF($J236=11,-$E236*$I236/12*1,IF($J236=12,-$E236*$I236/12*2,0)))))</f>
        <v>0</v>
      </c>
      <c r="CX236" s="440">
        <f>IF(AND(CS236&lt;&gt;0,CS$5=$H236),-$I236*$E236-CS236,IF(CX$5=$H236,-$I236*$E236*(12-$J236+1)/12,0))</f>
        <v>0</v>
      </c>
      <c r="CY236" s="441">
        <f>IF($H236&lt;&gt;DC$5,0,IF(DC236&lt;0,IF($J236=1,-$E236*$I236/12*3,IF($J236=2,-$E236*$I236/12*2,IF($J236=3,-$E236*$I236/12*1,0)))))+IF(CX$5&lt;&gt;$H236,0,IF(CX236&lt;0,IF($J236=1,-$E236*$I236/12*0,IF($J236=2,-$E236*$I236/12*1,IF($J236=3,-$E236*$I236/12*2,IF($J236&gt;=4,-$E236*$I236/12*3,0))))))</f>
        <v>0</v>
      </c>
      <c r="CZ236" s="442">
        <f>IF($H236&lt;&gt;DC$5,0,IF(DC236&lt;0,IF(OR($J236=1,$J236=2,$J236=3,$J236=4),-$E236*$I236/12*3,IF($J236=5,-$E236*$I236/12*2,IF($J236=6,-$E236*$I236/12*1,0)))))+IF(CX$5&lt;&gt;$H236,0,IF(CX236&lt;0,IF($J236=4,-$E236*$I236/12*0,IF($J236=5,-$E236*$I236/12*1,IF($J236=6,-$E236*$I236/12*2,IF($J236&gt;=7,-$E236*$I236/12*3,0))))))</f>
        <v>0</v>
      </c>
      <c r="DA236" s="442">
        <f>IF($H236&lt;&gt;DC$5,0,IF(DC236&lt;0,IF(OR($J236=1,$J236=2,$J236=3,$J236=4,$J236=5,$J236=6,$J236=7),-$E236*$I236/12*3,IF($J236=8,-$E236*$I236/12*2,IF($J236=9,-$E236*$I236/12*1,0)))))+IF(CX$5&lt;&gt;$H236,0,IF(CX236&lt;0,IF($J236=7,-$E236*$I236/12*0,IF($J236=8,-$E236*$I236/12*1,IF($J236=9,-$E236*$I236/12*2,IF($J236&gt;=10,-$E236*$I236/12*3,0))))))</f>
        <v>0</v>
      </c>
      <c r="DB236" s="443">
        <f>IF($H236&lt;&gt;DC$5,0,IF(DC236&lt;0,IF(OR($J236=1,$J236=2,$J236=3,$J236=4,$J236=5,$J236=6,$J236=7,$J236=8,$J236=9,$J236=10),-$E236*$I236/12*3,IF($J236=11,-$E236*$I236/12*2,IF($J236=12,-$E236*$I236/12*1,0)))))+IF(CX$5&lt;&gt;$H236,0,IF(CX236&lt;0,IF($J236=10,-$E236*$I236/12*0,IF($J236=11,-$E236*$I236/12*1,IF($J236=12,-$E236*$I236/12*2,0)))))</f>
        <v>0</v>
      </c>
      <c r="DC236" s="440">
        <f>IF(AND(CX236&lt;&gt;0,CX$5=$H236),-$I236*$E236-CX236,IF(DC$5=$H236,-$I236*$E236*(12-$J236+1)/12,0))</f>
        <v>0</v>
      </c>
      <c r="DD236" s="441">
        <f>IF($H236&lt;&gt;DH$5,0,IF(DH236&lt;0,IF($J236=1,-$E236*$I236/12*3,IF($J236=2,-$E236*$I236/12*2,IF($J236=3,-$E236*$I236/12*1,0)))))+IF(DC$5&lt;&gt;$H236,0,IF(DC236&lt;0,IF($J236=1,-$E236*$I236/12*0,IF($J236=2,-$E236*$I236/12*1,IF($J236=3,-$E236*$I236/12*2,IF($J236&gt;=4,-$E236*$I236/12*3,0))))))</f>
        <v>0</v>
      </c>
      <c r="DE236" s="442">
        <f>IF($H236&lt;&gt;DH$5,0,IF(DH236&lt;0,IF(OR($J236=1,$J236=2,$J236=3,$J236=4),-$E236*$I236/12*3,IF($J236=5,-$E236*$I236/12*2,IF($J236=6,-$E236*$I236/12*1,0)))))+IF(DC$5&lt;&gt;$H236,0,IF(DC236&lt;0,IF($J236=4,-$E236*$I236/12*0,IF($J236=5,-$E236*$I236/12*1,IF($J236=6,-$E236*$I236/12*2,IF($J236&gt;=7,-$E236*$I236/12*3,0))))))</f>
        <v>0</v>
      </c>
      <c r="DF236" s="442">
        <f>IF($H236&lt;&gt;DH$5,0,IF(DH236&lt;0,IF(OR($J236=1,$J236=2,$J236=3,$J236=4,$J236=5,$J236=6,$J236=7),-$E236*$I236/12*3,IF($J236=8,-$E236*$I236/12*2,IF($J236=9,-$E236*$I236/12*1,0)))))+IF(DC$5&lt;&gt;$H236,0,IF(DC236&lt;0,IF($J236=7,-$E236*$I236/12*0,IF($J236=8,-$E236*$I236/12*1,IF($J236=9,-$E236*$I236/12*2,IF($J236&gt;=10,-$E236*$I236/12*3,0))))))</f>
        <v>0</v>
      </c>
      <c r="DG236" s="443">
        <f>IF($H236&lt;&gt;DH$5,0,IF(DH236&lt;0,IF(OR($J236=1,$J236=2,$J236=3,$J236=4,$J236=5,$J236=6,$J236=7,$J236=8,$J236=9,$J236=10),-$E236*$I236/12*3,IF($J236=11,-$E236*$I236/12*2,IF($J236=12,-$E236*$I236/12*1,0)))))+IF(DC$5&lt;&gt;$H236,0,IF(DC236&lt;0,IF($J236=10,-$E236*$I236/12*0,IF($J236=11,-$E236*$I236/12*1,IF($J236=12,-$E236*$I236/12*2,0)))))</f>
        <v>0</v>
      </c>
      <c r="DH236" s="440">
        <f>IF(AND(DC236&lt;&gt;0,DC$5=$H236),-$I236*$E236-DC236,IF(DH$5=$H236,-$I236*$E236*(12-$J236+1)/12,0))</f>
        <v>0</v>
      </c>
      <c r="DI236" s="441">
        <f>IF($H236&lt;&gt;DM$5,0,IF(DM236&lt;0,IF($J236=1,-$E236*$I236/12*3,IF($J236=2,-$E236*$I236/12*2,IF($J236=3,-$E236*$I236/12*1,0)))))+IF(DH$5&lt;&gt;$H236,0,IF(DH236&lt;0,IF($J236=1,-$E236*$I236/12*0,IF($J236=2,-$E236*$I236/12*1,IF($J236=3,-$E236*$I236/12*2,IF($J236&gt;=4,-$E236*$I236/12*3,0))))))</f>
        <v>0</v>
      </c>
      <c r="DJ236" s="442">
        <f>IF($H236&lt;&gt;DM$5,0,IF(DM236&lt;0,IF(OR($J236=1,$J236=2,$J236=3,$J236=4),-$E236*$I236/12*3,IF($J236=5,-$E236*$I236/12*2,IF($J236=6,-$E236*$I236/12*1,0)))))+IF(DH$5&lt;&gt;$H236,0,IF(DH236&lt;0,IF($J236=4,-$E236*$I236/12*0,IF($J236=5,-$E236*$I236/12*1,IF($J236=6,-$E236*$I236/12*2,IF($J236&gt;=7,-$E236*$I236/12*3,0))))))</f>
        <v>0</v>
      </c>
      <c r="DK236" s="442">
        <f>IF($H236&lt;&gt;DM$5,0,IF(DM236&lt;0,IF(OR($J236=1,$J236=2,$J236=3,$J236=4,$J236=5,$J236=6,$J236=7),-$E236*$I236/12*3,IF($J236=8,-$E236*$I236/12*2,IF($J236=9,-$E236*$I236/12*1,0)))))+IF(DH$5&lt;&gt;$H236,0,IF(DH236&lt;0,IF($J236=7,-$E236*$I236/12*0,IF($J236=8,-$E236*$I236/12*1,IF($J236=9,-$E236*$I236/12*2,IF($J236&gt;=10,-$E236*$I236/12*3,0))))))</f>
        <v>0</v>
      </c>
      <c r="DL236" s="443">
        <f>IF($H236&lt;&gt;DM$5,0,IF(DM236&lt;0,IF(OR($J236=1,$J236=2,$J236=3,$J236=4,$J236=5,$J236=6,$J236=7,$J236=8,$J236=9,$J236=10),-$E236*$I236/12*3,IF($J236=11,-$E236*$I236/12*2,IF($J236=12,-$E236*$I236/12*1,0)))))+IF(DH$5&lt;&gt;$H236,0,IF(DH236&lt;0,IF($J236=10,-$E236*$I236/12*0,IF($J236=11,-$E236*$I236/12*1,IF($J236=12,-$E236*$I236/12*2,0)))))</f>
        <v>0</v>
      </c>
      <c r="DM236" s="440">
        <f>IF(AND(DH236&lt;&gt;0,DH$5=$H236),-$I236*$E236-DH236,IF(DM$5=$H236,-$I236*$E236*(12-$J236+1)/12,0))</f>
        <v>0</v>
      </c>
      <c r="DN236" s="441">
        <f>IF($H236&lt;&gt;DR$5,0,IF(DR236&lt;0,IF($J236=1,-$E236*$I236/12*3,IF($J236=2,-$E236*$I236/12*2,IF($J236=3,-$E236*$I236/12*1,0)))))+IF(DM$5&lt;&gt;$H236,0,IF(DM236&lt;0,IF($J236=1,-$E236*$I236/12*0,IF($J236=2,-$E236*$I236/12*1,IF($J236=3,-$E236*$I236/12*2,IF($J236&gt;=4,-$E236*$I236/12*3,0))))))</f>
        <v>0</v>
      </c>
      <c r="DO236" s="442">
        <f>IF($H236&lt;&gt;DR$5,0,IF(DR236&lt;0,IF(OR($J236=1,$J236=2,$J236=3,$J236=4),-$E236*$I236/12*3,IF($J236=5,-$E236*$I236/12*2,IF($J236=6,-$E236*$I236/12*1,0)))))+IF(DM$5&lt;&gt;$H236,0,IF(DM236&lt;0,IF($J236=4,-$E236*$I236/12*0,IF($J236=5,-$E236*$I236/12*1,IF($J236=6,-$E236*$I236/12*2,IF($J236&gt;=7,-$E236*$I236/12*3,0))))))</f>
        <v>0</v>
      </c>
      <c r="DP236" s="442">
        <f>IF($H236&lt;&gt;DR$5,0,IF(DR236&lt;0,IF(OR($J236=1,$J236=2,$J236=3,$J236=4,$J236=5,$J236=6,$J236=7),-$E236*$I236/12*3,IF($J236=8,-$E236*$I236/12*2,IF($J236=9,-$E236*$I236/12*1,0)))))+IF(DM$5&lt;&gt;$H236,0,IF(DM236&lt;0,IF($J236=7,-$E236*$I236/12*0,IF($J236=8,-$E236*$I236/12*1,IF($J236=9,-$E236*$I236/12*2,IF($J236&gt;=10,-$E236*$I236/12*3,0))))))</f>
        <v>0</v>
      </c>
      <c r="DQ236" s="443">
        <f>IF($H236&lt;&gt;DR$5,0,IF(DR236&lt;0,IF(OR($J236=1,$J236=2,$J236=3,$J236=4,$J236=5,$J236=6,$J236=7,$J236=8,$J236=9,$J236=10),-$E236*$I236/12*3,IF($J236=11,-$E236*$I236/12*2,IF($J236=12,-$E236*$I236/12*1,0)))))+IF(DM$5&lt;&gt;$H236,0,IF(DM236&lt;0,IF($J236=10,-$E236*$I236/12*0,IF($J236=11,-$E236*$I236/12*1,IF($J236=12,-$E236*$I236/12*2,0)))))</f>
        <v>0</v>
      </c>
      <c r="DR236" s="440">
        <f>IF(AND(DM236&lt;&gt;0,DM$5=$H236),-$I236*$E236-DM236,IF(DR$5=$H236,-$I236*$E236*(12-$J236+1)/12,0))</f>
        <v>0</v>
      </c>
    </row>
    <row r="237" spans="1:122">
      <c r="C237" s="1590" t="s">
        <v>1020</v>
      </c>
      <c r="D237" s="395"/>
      <c r="E237" s="1954">
        <f>IF(F237=0,G237,F237)</f>
        <v>75</v>
      </c>
      <c r="F237" s="1368">
        <v>75</v>
      </c>
      <c r="G237" s="1368">
        <v>75</v>
      </c>
      <c r="H237" s="1374">
        <v>2026</v>
      </c>
      <c r="I237" s="1948">
        <v>0.04</v>
      </c>
      <c r="J237" s="1357">
        <v>4</v>
      </c>
      <c r="K237" s="549"/>
      <c r="L237" s="441">
        <f>IF(P237=0,0,IF(P237&lt;0,IF($J237=3,P237,IF($J237=2,P237,IF($J237=1,P237,0)))))</f>
        <v>0</v>
      </c>
      <c r="M237" s="442">
        <f>IF(P237=0,0,IF(P237&lt;0,IF($J237=6,P237,IF($J237=5,P237,IF($J237=4,P237,0)))))</f>
        <v>0</v>
      </c>
      <c r="N237" s="442">
        <f>IF(P237=0,0,IF(P237&lt;0,IF($J237=9,P237,IF($J237=8,P237,IF($J237=7,P237,0)))))</f>
        <v>0</v>
      </c>
      <c r="O237" s="443">
        <f>IF(P237=0,0,IF(P237&lt;0,IF($J237=12,P237,IF($J237=11,P237,IF($J237=10,P237,0)))))</f>
        <v>0</v>
      </c>
      <c r="P237" s="440">
        <f>IF(P$5=$H237,-$E237,0)</f>
        <v>0</v>
      </c>
      <c r="Q237" s="441">
        <f>IF(U237=0,0,IF(U237&lt;0,IF($J237=3,U237,IF($J237=2,U237,IF($J237=1,U237,0)))))</f>
        <v>0</v>
      </c>
      <c r="R237" s="442">
        <f>IF(U237=0,0,IF(U237&lt;0,IF($J237=6,U237,IF($J237=5,U237,IF($J237=4,U237,0)))))</f>
        <v>0</v>
      </c>
      <c r="S237" s="442">
        <f>IF(U237=0,0,IF(U237&lt;0,IF($J237=9,U237,IF($J237=8,U237,IF($J237=7,U237,0)))))</f>
        <v>0</v>
      </c>
      <c r="T237" s="443">
        <f>IF(U237=0,0,IF(U237&lt;0,IF($J237=12,U237,IF($J237=11,U237,IF($J237=10,U237,0)))))</f>
        <v>0</v>
      </c>
      <c r="U237" s="440">
        <f>IF(U$5=$H237,-$E237,0)</f>
        <v>0</v>
      </c>
      <c r="V237" s="441">
        <f>IF(Z237=0,0,IF(Z237&lt;0,IF($J237=3,Z237,IF($J237=2,Z237,IF($J237=1,Z237,0)))))</f>
        <v>0</v>
      </c>
      <c r="W237" s="442">
        <f>IF(Z237=0,0,IF(Z237&lt;0,IF($J237=6,Z237,IF($J237=5,Z237,IF($J237=4,Z237,0)))))</f>
        <v>0</v>
      </c>
      <c r="X237" s="442">
        <f>IF(Z237=0,0,IF(Z237&lt;0,IF($J237=9,Z237,IF($J237=8,Z237,IF($J237=7,Z237,0)))))</f>
        <v>0</v>
      </c>
      <c r="Y237" s="443">
        <f>IF(Z237=0,0,IF(Z237&lt;0,IF($J237=12,Z237,IF($J237=11,Z237,IF($J237=10,Z237,0)))))</f>
        <v>0</v>
      </c>
      <c r="Z237" s="440">
        <f>IF(Z$5=$H237,-$E237,0)</f>
        <v>0</v>
      </c>
      <c r="AA237" s="441">
        <f>IF(AE237=0,0,IF(AE237&lt;0,IF($J237=3,AE237,IF($J237=2,AE237,IF($J237=1,AE237,0)))))</f>
        <v>0</v>
      </c>
      <c r="AB237" s="442">
        <f>IF(AE237=0,0,IF(AE237&lt;0,IF($J237=6,AE237,IF($J237=5,AE237,IF($J237=4,AE237,0)))))</f>
        <v>0</v>
      </c>
      <c r="AC237" s="442">
        <f>IF(AE237=0,0,IF(AE237&lt;0,IF($J237=9,AE237,IF($J237=8,AE237,IF($J237=7,AE237,0)))))</f>
        <v>0</v>
      </c>
      <c r="AD237" s="443">
        <f>IF(AE237=0,0,IF(AE237&lt;0,IF($J237=12,AE237,IF($J237=11,AE237,IF($J237=10,AE237,0)))))</f>
        <v>0</v>
      </c>
      <c r="AE237" s="440">
        <f>IF(AE$5=$H237,-$E237,0)</f>
        <v>0</v>
      </c>
      <c r="AF237" s="441">
        <f>IF(AJ237=0,0,IF(AJ237&lt;0,IF($J237=3,AJ237,IF($J237=2,AJ237,IF($J237=1,AJ237,0)))))</f>
        <v>0</v>
      </c>
      <c r="AG237" s="442">
        <f>IF(AJ237=0,0,IF(AJ237&lt;0,IF($J237=6,AJ237,IF($J237=5,AJ237,IF($J237=4,AJ237,0)))))</f>
        <v>0</v>
      </c>
      <c r="AH237" s="442">
        <f>IF(AJ237=0,0,IF(AJ237&lt;0,IF($J237=9,AJ237,IF($J237=8,AJ237,IF($J237=7,AJ237,0)))))</f>
        <v>0</v>
      </c>
      <c r="AI237" s="443">
        <f>IF(AJ237=0,0,IF(AJ237&lt;0,IF($J237=12,AJ237,IF($J237=11,AJ237,IF($J237=10,AJ237,0)))))</f>
        <v>0</v>
      </c>
      <c r="AJ237" s="440">
        <f>IF(AJ$5=$H237,-$E237,0)</f>
        <v>0</v>
      </c>
      <c r="AK237" s="441">
        <f>IF(AO237=0,0,IF(AO237&lt;0,IF($J237=3,AO237,IF($J237=2,AO237,IF($J237=1,AO237,0)))))</f>
        <v>0</v>
      </c>
      <c r="AL237" s="442">
        <f>IF(AO237=0,0,IF(AO237&lt;0,IF($J237=6,AO237,IF($J237=5,AO237,IF($J237=4,AO237,0)))))</f>
        <v>0</v>
      </c>
      <c r="AM237" s="442">
        <f>IF(AO237=0,0,IF(AO237&lt;0,IF($J237=9,AO237,IF($J237=8,AO237,IF($J237=7,AO237,0)))))</f>
        <v>0</v>
      </c>
      <c r="AN237" s="443">
        <f>IF(AO237=0,0,IF(AO237&lt;0,IF($J237=12,AO237,IF($J237=11,AO237,IF($J237=10,AO237,0)))))</f>
        <v>0</v>
      </c>
      <c r="AO237" s="440">
        <f>IF(AO$5=$H237,-$E237,0)</f>
        <v>0</v>
      </c>
      <c r="AP237" s="441">
        <f>IF(AT237=0,0,IF(AT237&lt;0,IF($J237=3,AT237,IF($J237=2,AT237,IF($J237=1,AT237,0)))))</f>
        <v>0</v>
      </c>
      <c r="AQ237" s="442">
        <f>IF(AT237=0,0,IF(AT237&lt;0,IF($J237=6,AT237,IF($J237=5,AT237,IF($J237=4,AT237,0)))))</f>
        <v>0</v>
      </c>
      <c r="AR237" s="442">
        <f>IF(AT237=0,0,IF(AT237&lt;0,IF($J237=9,AT237,IF($J237=8,AT237,IF($J237=7,AT237,0)))))</f>
        <v>0</v>
      </c>
      <c r="AS237" s="443">
        <f>IF(AT237=0,0,IF(AT237&lt;0,IF($J237=12,AT237,IF($J237=11,AT237,IF($J237=10,AT237,0)))))</f>
        <v>0</v>
      </c>
      <c r="AT237" s="440">
        <f>IF(AT$5=$H237,-$E237,0)</f>
        <v>0</v>
      </c>
      <c r="AU237" s="441">
        <f>IF(AY237=0,0,IF(AY237&lt;0,IF($J237=3,AY237,IF($J237=2,AY237,IF($J237=1,AY237,0)))))</f>
        <v>0</v>
      </c>
      <c r="AV237" s="442">
        <f>IF(AY237=0,0,IF(AY237&lt;0,IF($J237=6,AY237,IF($J237=5,AY237,IF($J237=4,AY237,0)))))</f>
        <v>0</v>
      </c>
      <c r="AW237" s="442">
        <f>IF(AY237=0,0,IF(AY237&lt;0,IF($J237=9,AY237,IF($J237=8,AY237,IF($J237=7,AY237,0)))))</f>
        <v>0</v>
      </c>
      <c r="AX237" s="443">
        <f>IF(AY237=0,0,IF(AY237&lt;0,IF($J237=12,AY237,IF($J237=11,AY237,IF($J237=10,AY237,0)))))</f>
        <v>0</v>
      </c>
      <c r="AY237" s="440">
        <f>IF(AY$5=$H237,-$E237,0)</f>
        <v>0</v>
      </c>
      <c r="AZ237" s="441">
        <f>IF(BD237=0,0,IF(BD237&lt;0,IF($J237=3,BD237,IF($J237=2,BD237,IF($J237=1,BD237,0)))))</f>
        <v>0</v>
      </c>
      <c r="BA237" s="442">
        <f>IF(BD237=0,0,IF(BD237&lt;0,IF($J237=6,BD237,IF($J237=5,BD237,IF($J237=4,BD237,0)))))</f>
        <v>0</v>
      </c>
      <c r="BB237" s="442">
        <f>IF(BD237=0,0,IF(BD237&lt;0,IF($J237=9,BD237,IF($J237=8,BD237,IF($J237=7,BD237,0)))))</f>
        <v>0</v>
      </c>
      <c r="BC237" s="443">
        <f>IF(BD237=0,0,IF(BD237&lt;0,IF($J237=12,BD237,IF($J237=11,BD237,IF($J237=10,BD237,0)))))</f>
        <v>0</v>
      </c>
      <c r="BD237" s="440">
        <f>IF(BD$5=$H237,-$E237,0)</f>
        <v>0</v>
      </c>
      <c r="BE237" s="441">
        <f>IF(BI237=0,0,IF(BI237&lt;0,IF($J237=3,BI237,IF($J237=2,BI237,IF($J237=1,BI237,0)))))</f>
        <v>0</v>
      </c>
      <c r="BF237" s="442">
        <f>IF(BI237=0,0,IF(BI237&lt;0,IF($J237=6,BI237,IF($J237=5,BI237,IF($J237=4,BI237,0)))))</f>
        <v>0</v>
      </c>
      <c r="BG237" s="442">
        <f>IF(BI237=0,0,IF(BI237&lt;0,IF($J237=9,BI237,IF($J237=8,BI237,IF($J237=7,BI237,0)))))</f>
        <v>0</v>
      </c>
      <c r="BH237" s="443">
        <f>IF(BI237=0,0,IF(BI237&lt;0,IF($J237=12,BI237,IF($J237=11,BI237,IF($J237=10,BI237,0)))))</f>
        <v>0</v>
      </c>
      <c r="BI237" s="440">
        <f>IF(BI$5=$H237,-$E237,0)</f>
        <v>0</v>
      </c>
      <c r="BJ237" s="441">
        <f>IF(BN237=0,0,IF(BN237&lt;0,IF($J237=3,BN237,IF($J237=2,BN237,IF($J237=1,BN237,0)))))</f>
        <v>0</v>
      </c>
      <c r="BK237" s="442">
        <f>IF(BN237=0,0,IF(BN237&lt;0,IF($J237=6,BN237,IF($J237=5,BN237,IF($J237=4,BN237,0)))))</f>
        <v>0</v>
      </c>
      <c r="BL237" s="442">
        <f>IF(BN237=0,0,IF(BN237&lt;0,IF($J237=9,BN237,IF($J237=8,BN237,IF($J237=7,BN237,0)))))</f>
        <v>0</v>
      </c>
      <c r="BM237" s="443">
        <f>IF(BN237=0,0,IF(BN237&lt;0,IF($J237=12,BN237,IF($J237=11,BN237,IF($J237=10,BN237,0)))))</f>
        <v>0</v>
      </c>
      <c r="BN237" s="440">
        <f>IF(BN$5=$H237,-$E237,0)</f>
        <v>0</v>
      </c>
      <c r="BO237" s="470"/>
      <c r="BP237" s="441">
        <f>IF($H237&lt;&gt;BT$5,0,IF(BT237&lt;0,IF($J237=1,-$E237*$I237/12*3,IF($J237=2,-$E237*$I237/12*2,IF($J237=3,-$E237*$I237/12*1,0)))))+IF(BO$5&lt;&gt;$H237,0,IF(BO237&lt;0,IF($J237=1,-$E237*$I237/12*0,IF($J237=2,-$E237*$I237/12*1,IF($J237=3,-$E237*$I237/12*2,IF($J237&gt;=4,-$E237*$I237/12*3,0))))))</f>
        <v>0</v>
      </c>
      <c r="BQ237" s="442">
        <f>IF($H237&lt;&gt;BT$5,0,IF(BT237&lt;0,IF(OR($J237=1,$J237=2,$J237=3,$J237=4),-$E237*$I237/12*3,IF($J237=5,-$E237*$I237/12*2,IF($J237=6,-$E237*$I237/12*1,0)))))+IF(BO$5&lt;&gt;$H237,0,IF(BO237&lt;0,IF($J237=4,-$E237*$I237/12*0,IF($J237=5,-$E237*$I237/12*1,IF($J237=6,-$E237*$I237/12*2,IF($J237&gt;=7,-$E237*$I237/12*3,0))))))</f>
        <v>0</v>
      </c>
      <c r="BR237" s="442">
        <f>IF($H237&lt;&gt;BT$5,0,IF(BT237&lt;0,IF(OR($J237=1,$J237=2,$J237=3,$J237=4,$J237=5,$J237=6,$J237=7),-$E237*$I237/12*3,IF($J237=8,-$E237*$I237/12*2,IF($J237=9,-$E237*$I237/12*1,0)))))+IF(BO$5&lt;&gt;$H237,0,IF(BO237&lt;0,IF($J237=7,-$E237*$I237/12*0,IF($J237=8,-$E237*$I237/12*1,IF($J237=9,-$E237*$I237/12*2,IF($J237&gt;=10,-$E237*$I237/12*3,0))))))</f>
        <v>0</v>
      </c>
      <c r="BS237" s="443">
        <f>IF($H237&lt;&gt;BT$5,0,IF(BT237&lt;0,IF(OR($J237=1,$J237=2,$J237=3,$J237=4,$J237=5,$J237=6,$J237=7,$J237=8,$J237=9,$J237=10),-$E237*$I237/12*3,IF($J237=11,-$E237*$I237/12*2,IF($J237=12,-$E237*$I237/12*1,0)))))+IF(BO$5&lt;&gt;$H237,0,IF(BO237&lt;0,IF($J237=10,-$E237*$I237/12*0,IF($J237=11,-$E237*$I237/12*1,IF($J237=12,-$E237*$I237/12*2,0)))))</f>
        <v>0</v>
      </c>
      <c r="BT237" s="440">
        <f>IF(AND(BO237&lt;&gt;0,BO$5=$H237),-$I237*$E237-BO237,IF(BT$5=$H237,-$I237*$E237*(12-$J237+1)/12,0))</f>
        <v>0</v>
      </c>
      <c r="BU237" s="441">
        <f>IF($H237&lt;&gt;BY$5,0,IF(BY237&lt;0,IF($J237=1,-$E237*$I237/12*3,IF($J237=2,-$E237*$I237/12*2,IF($J237=3,-$E237*$I237/12*1,0)))))+IF(BT$5&lt;&gt;$H237,0,IF(BT237&lt;0,IF($J237=1,-$E237*$I237/12*0,IF($J237=2,-$E237*$I237/12*1,IF($J237=3,-$E237*$I237/12*2,IF($J237&gt;=4,-$E237*$I237/12*3,0))))))</f>
        <v>0</v>
      </c>
      <c r="BV237" s="442">
        <f>IF($H237&lt;&gt;BY$5,0,IF(BY237&lt;0,IF(OR($J237=1,$J237=2,$J237=3,$J237=4),-$E237*$I237/12*3,IF($J237=5,-$E237*$I237/12*2,IF($J237=6,-$E237*$I237/12*1,0)))))+IF(BT$5&lt;&gt;$H237,0,IF(BT237&lt;0,IF($J237=4,-$E237*$I237/12*0,IF($J237=5,-$E237*$I237/12*1,IF($J237=6,-$E237*$I237/12*2,IF($J237&gt;=7,-$E237*$I237/12*3,0))))))</f>
        <v>0</v>
      </c>
      <c r="BW237" s="442">
        <f>IF($H237&lt;&gt;BY$5,0,IF(BY237&lt;0,IF(OR($J237=1,$J237=2,$J237=3,$J237=4,$J237=5,$J237=6,$J237=7),-$E237*$I237/12*3,IF($J237=8,-$E237*$I237/12*2,IF($J237=9,-$E237*$I237/12*1,0)))))+IF(BT$5&lt;&gt;$H237,0,IF(BT237&lt;0,IF($J237=7,-$E237*$I237/12*0,IF($J237=8,-$E237*$I237/12*1,IF($J237=9,-$E237*$I237/12*2,IF($J237&gt;=10,-$E237*$I237/12*3,0))))))</f>
        <v>0</v>
      </c>
      <c r="BX237" s="443">
        <f>IF($H237&lt;&gt;BY$5,0,IF(BY237&lt;0,IF(OR($J237=1,$J237=2,$J237=3,$J237=4,$J237=5,$J237=6,$J237=7,$J237=8,$J237=9,$J237=10),-$E237*$I237/12*3,IF($J237=11,-$E237*$I237/12*2,IF($J237=12,-$E237*$I237/12*1,0)))))+IF(BT$5&lt;&gt;$H237,0,IF(BT237&lt;0,IF($J237=10,-$E237*$I237/12*0,IF($J237=11,-$E237*$I237/12*1,IF($J237=12,-$E237*$I237/12*2,0)))))</f>
        <v>0</v>
      </c>
      <c r="BY237" s="440">
        <f>IF(AND(BT237&lt;&gt;0,BT$5=$H237),-$I237*$E237-BT237,IF(BY$5=$H237,-$I237*$E237*(12-$J237+1)/12,0))</f>
        <v>0</v>
      </c>
      <c r="BZ237" s="441">
        <f>IF($H237&lt;&gt;CD$5,0,IF(CD237&lt;0,IF($J237=1,-$E237*$I237/12*3,IF($J237=2,-$E237*$I237/12*2,IF($J237=3,-$E237*$I237/12*1,0)))))+IF(BY$5&lt;&gt;$H237,0,IF(BY237&lt;0,IF($J237=1,-$E237*$I237/12*0,IF($J237=2,-$E237*$I237/12*1,IF($J237=3,-$E237*$I237/12*2,IF($J237&gt;=4,-$E237*$I237/12*3,0))))))</f>
        <v>0</v>
      </c>
      <c r="CA237" s="442">
        <f>IF($H237&lt;&gt;CD$5,0,IF(CD237&lt;0,IF(OR($J237=1,$J237=2,$J237=3,$J237=4),-$E237*$I237/12*3,IF($J237=5,-$E237*$I237/12*2,IF($J237=6,-$E237*$I237/12*1,0)))))+IF(BY$5&lt;&gt;$H237,0,IF(BY237&lt;0,IF($J237=4,-$E237*$I237/12*0,IF($J237=5,-$E237*$I237/12*1,IF($J237=6,-$E237*$I237/12*2,IF($J237&gt;=7,-$E237*$I237/12*3,0))))))</f>
        <v>0</v>
      </c>
      <c r="CB237" s="442">
        <f>IF($H237&lt;&gt;CD$5,0,IF(CD237&lt;0,IF(OR($J237=1,$J237=2,$J237=3,$J237=4,$J237=5,$J237=6,$J237=7),-$E237*$I237/12*3,IF($J237=8,-$E237*$I237/12*2,IF($J237=9,-$E237*$I237/12*1,0)))))+IF(BY$5&lt;&gt;$H237,0,IF(BY237&lt;0,IF($J237=7,-$E237*$I237/12*0,IF($J237=8,-$E237*$I237/12*1,IF($J237=9,-$E237*$I237/12*2,IF($J237&gt;=10,-$E237*$I237/12*3,0))))))</f>
        <v>0</v>
      </c>
      <c r="CC237" s="443">
        <f>IF($H237&lt;&gt;CD$5,0,IF(CD237&lt;0,IF(OR($J237=1,$J237=2,$J237=3,$J237=4,$J237=5,$J237=6,$J237=7,$J237=8,$J237=9,$J237=10),-$E237*$I237/12*3,IF($J237=11,-$E237*$I237/12*2,IF($J237=12,-$E237*$I237/12*1,0)))))+IF(BY$5&lt;&gt;$H237,0,IF(BY237&lt;0,IF($J237=10,-$E237*$I237/12*0,IF($J237=11,-$E237*$I237/12*1,IF($J237=12,-$E237*$I237/12*2,0)))))</f>
        <v>0</v>
      </c>
      <c r="CD237" s="440">
        <f>IF(AND(BY237&lt;&gt;0,BY$5=$H237),-$I237*$E237-BY237,IF(CD$5=$H237,-$I237*$E237*(12-$J237+1)/12,0))</f>
        <v>0</v>
      </c>
      <c r="CE237" s="441">
        <f>IF($H237&lt;&gt;CI$5,0,IF(CI237&lt;0,IF($J237=1,-$E237*$I237/12*3,IF($J237=2,-$E237*$I237/12*2,IF($J237=3,-$E237*$I237/12*1,0)))))+IF(CD$5&lt;&gt;$H237,0,IF(CD237&lt;0,IF($J237=1,-$E237*$I237/12*0,IF($J237=2,-$E237*$I237/12*1,IF($J237=3,-$E237*$I237/12*2,IF($J237&gt;=4,-$E237*$I237/12*3,0))))))</f>
        <v>0</v>
      </c>
      <c r="CF237" s="442">
        <f>IF($H237&lt;&gt;CI$5,0,IF(CI237&lt;0,IF(OR($J237=1,$J237=2,$J237=3,$J237=4),-$E237*$I237/12*3,IF($J237=5,-$E237*$I237/12*2,IF($J237=6,-$E237*$I237/12*1,0)))))+IF(CD$5&lt;&gt;$H237,0,IF(CD237&lt;0,IF($J237=4,-$E237*$I237/12*0,IF($J237=5,-$E237*$I237/12*1,IF($J237=6,-$E237*$I237/12*2,IF($J237&gt;=7,-$E237*$I237/12*3,0))))))</f>
        <v>0</v>
      </c>
      <c r="CG237" s="442">
        <f>IF($H237&lt;&gt;CI$5,0,IF(CI237&lt;0,IF(OR($J237=1,$J237=2,$J237=3,$J237=4,$J237=5,$J237=6,$J237=7),-$E237*$I237/12*3,IF($J237=8,-$E237*$I237/12*2,IF($J237=9,-$E237*$I237/12*1,0)))))+IF(CD$5&lt;&gt;$H237,0,IF(CD237&lt;0,IF($J237=7,-$E237*$I237/12*0,IF($J237=8,-$E237*$I237/12*1,IF($J237=9,-$E237*$I237/12*2,IF($J237&gt;=10,-$E237*$I237/12*3,0))))))</f>
        <v>0</v>
      </c>
      <c r="CH237" s="443">
        <f>IF($H237&lt;&gt;CI$5,0,IF(CI237&lt;0,IF(OR($J237=1,$J237=2,$J237=3,$J237=4,$J237=5,$J237=6,$J237=7,$J237=8,$J237=9,$J237=10),-$E237*$I237/12*3,IF($J237=11,-$E237*$I237/12*2,IF($J237=12,-$E237*$I237/12*1,0)))))+IF(CD$5&lt;&gt;$H237,0,IF(CD237&lt;0,IF($J237=10,-$E237*$I237/12*0,IF($J237=11,-$E237*$I237/12*1,IF($J237=12,-$E237*$I237/12*2,0)))))</f>
        <v>0</v>
      </c>
      <c r="CI237" s="440">
        <f>IF(AND(CD237&lt;&gt;0,CD$5=$H237),-$I237*$E237-CD237,IF(CI$5=$H237,-$I237*$E237*(12-$J237+1)/12,0))</f>
        <v>0</v>
      </c>
      <c r="CJ237" s="441">
        <f>IF($H237&lt;&gt;CN$5,0,IF(CN237&lt;0,IF($J237=1,-$E237*$I237/12*3,IF($J237=2,-$E237*$I237/12*2,IF($J237=3,-$E237*$I237/12*1,0)))))+IF(CI$5&lt;&gt;$H237,0,IF(CI237&lt;0,IF($J237=1,-$E237*$I237/12*0,IF($J237=2,-$E237*$I237/12*1,IF($J237=3,-$E237*$I237/12*2,IF($J237&gt;=4,-$E237*$I237/12*3,0))))))</f>
        <v>0</v>
      </c>
      <c r="CK237" s="442">
        <f>IF($H237&lt;&gt;CN$5,0,IF(CN237&lt;0,IF(OR($J237=1,$J237=2,$J237=3,$J237=4),-$E237*$I237/12*3,IF($J237=5,-$E237*$I237/12*2,IF($J237=6,-$E237*$I237/12*1,0)))))+IF(CI$5&lt;&gt;$H237,0,IF(CI237&lt;0,IF($J237=4,-$E237*$I237/12*0,IF($J237=5,-$E237*$I237/12*1,IF($J237=6,-$E237*$I237/12*2,IF($J237&gt;=7,-$E237*$I237/12*3,0))))))</f>
        <v>0</v>
      </c>
      <c r="CL237" s="442">
        <f>IF($H237&lt;&gt;CN$5,0,IF(CN237&lt;0,IF(OR($J237=1,$J237=2,$J237=3,$J237=4,$J237=5,$J237=6,$J237=7),-$E237*$I237/12*3,IF($J237=8,-$E237*$I237/12*2,IF($J237=9,-$E237*$I237/12*1,0)))))+IF(CI$5&lt;&gt;$H237,0,IF(CI237&lt;0,IF($J237=7,-$E237*$I237/12*0,IF($J237=8,-$E237*$I237/12*1,IF($J237=9,-$E237*$I237/12*2,IF($J237&gt;=10,-$E237*$I237/12*3,0))))))</f>
        <v>0</v>
      </c>
      <c r="CM237" s="443">
        <f>IF($H237&lt;&gt;CN$5,0,IF(CN237&lt;0,IF(OR($J237=1,$J237=2,$J237=3,$J237=4,$J237=5,$J237=6,$J237=7,$J237=8,$J237=9,$J237=10),-$E237*$I237/12*3,IF($J237=11,-$E237*$I237/12*2,IF($J237=12,-$E237*$I237/12*1,0)))))+IF(CI$5&lt;&gt;$H237,0,IF(CI237&lt;0,IF($J237=10,-$E237*$I237/12*0,IF($J237=11,-$E237*$I237/12*1,IF($J237=12,-$E237*$I237/12*2,0)))))</f>
        <v>0</v>
      </c>
      <c r="CN237" s="440">
        <f>IF(AND(CI237&lt;&gt;0,CI$5=$H237),-$I237*$E237-CI237,IF(CN$5=$H237,-$I237*$E237*(12-$J237+1)/12,0))</f>
        <v>0</v>
      </c>
      <c r="CO237" s="441">
        <f>IF($H237&lt;&gt;CS$5,0,IF(CS237&lt;0,IF($J237=1,-$E237*$I237/12*3,IF($J237=2,-$E237*$I237/12*2,IF($J237=3,-$E237*$I237/12*1,0)))))+IF(CN$5&lt;&gt;$H237,0,IF(CN237&lt;0,IF($J237=1,-$E237*$I237/12*0,IF($J237=2,-$E237*$I237/12*1,IF($J237=3,-$E237*$I237/12*2,IF($J237&gt;=4,-$E237*$I237/12*3,0))))))</f>
        <v>0</v>
      </c>
      <c r="CP237" s="442">
        <f>IF($H237&lt;&gt;CS$5,0,IF(CS237&lt;0,IF(OR($J237=1,$J237=2,$J237=3,$J237=4),-$E237*$I237/12*3,IF($J237=5,-$E237*$I237/12*2,IF($J237=6,-$E237*$I237/12*1,0)))))+IF(CN$5&lt;&gt;$H237,0,IF(CN237&lt;0,IF($J237=4,-$E237*$I237/12*0,IF($J237=5,-$E237*$I237/12*1,IF($J237=6,-$E237*$I237/12*2,IF($J237&gt;=7,-$E237*$I237/12*3,0))))))</f>
        <v>0</v>
      </c>
      <c r="CQ237" s="442">
        <f>IF($H237&lt;&gt;CS$5,0,IF(CS237&lt;0,IF(OR($J237=1,$J237=2,$J237=3,$J237=4,$J237=5,$J237=6,$J237=7),-$E237*$I237/12*3,IF($J237=8,-$E237*$I237/12*2,IF($J237=9,-$E237*$I237/12*1,0)))))+IF(CN$5&lt;&gt;$H237,0,IF(CN237&lt;0,IF($J237=7,-$E237*$I237/12*0,IF($J237=8,-$E237*$I237/12*1,IF($J237=9,-$E237*$I237/12*2,IF($J237&gt;=10,-$E237*$I237/12*3,0))))))</f>
        <v>0</v>
      </c>
      <c r="CR237" s="443">
        <f>IF($H237&lt;&gt;CS$5,0,IF(CS237&lt;0,IF(OR($J237=1,$J237=2,$J237=3,$J237=4,$J237=5,$J237=6,$J237=7,$J237=8,$J237=9,$J237=10),-$E237*$I237/12*3,IF($J237=11,-$E237*$I237/12*2,IF($J237=12,-$E237*$I237/12*1,0)))))+IF(CN$5&lt;&gt;$H237,0,IF(CN237&lt;0,IF($J237=10,-$E237*$I237/12*0,IF($J237=11,-$E237*$I237/12*1,IF($J237=12,-$E237*$I237/12*2,0)))))</f>
        <v>0</v>
      </c>
      <c r="CS237" s="440">
        <f>IF(AND(CN237&lt;&gt;0,CN$5=$H237),-$I237*$E237-CN237,IF(CS$5=$H237,-$I237*$E237*(12-$J237+1)/12,0))</f>
        <v>0</v>
      </c>
      <c r="CT237" s="441">
        <f>IF($H237&lt;&gt;CX$5,0,IF(CX237&lt;0,IF($J237=1,-$E237*$I237/12*3,IF($J237=2,-$E237*$I237/12*2,IF($J237=3,-$E237*$I237/12*1,0)))))+IF(CS$5&lt;&gt;$H237,0,IF(CS237&lt;0,IF($J237=1,-$E237*$I237/12*0,IF($J237=2,-$E237*$I237/12*1,IF($J237=3,-$E237*$I237/12*2,IF($J237&gt;=4,-$E237*$I237/12*3,0))))))</f>
        <v>0</v>
      </c>
      <c r="CU237" s="442">
        <f>IF($H237&lt;&gt;CX$5,0,IF(CX237&lt;0,IF(OR($J237=1,$J237=2,$J237=3,$J237=4),-$E237*$I237/12*3,IF($J237=5,-$E237*$I237/12*2,IF($J237=6,-$E237*$I237/12*1,0)))))+IF(CS$5&lt;&gt;$H237,0,IF(CS237&lt;0,IF($J237=4,-$E237*$I237/12*0,IF($J237=5,-$E237*$I237/12*1,IF($J237=6,-$E237*$I237/12*2,IF($J237&gt;=7,-$E237*$I237/12*3,0))))))</f>
        <v>0</v>
      </c>
      <c r="CV237" s="442">
        <f>IF($H237&lt;&gt;CX$5,0,IF(CX237&lt;0,IF(OR($J237=1,$J237=2,$J237=3,$J237=4,$J237=5,$J237=6,$J237=7),-$E237*$I237/12*3,IF($J237=8,-$E237*$I237/12*2,IF($J237=9,-$E237*$I237/12*1,0)))))+IF(CS$5&lt;&gt;$H237,0,IF(CS237&lt;0,IF($J237=7,-$E237*$I237/12*0,IF($J237=8,-$E237*$I237/12*1,IF($J237=9,-$E237*$I237/12*2,IF($J237&gt;=10,-$E237*$I237/12*3,0))))))</f>
        <v>0</v>
      </c>
      <c r="CW237" s="443">
        <f>IF($H237&lt;&gt;CX$5,0,IF(CX237&lt;0,IF(OR($J237=1,$J237=2,$J237=3,$J237=4,$J237=5,$J237=6,$J237=7,$J237=8,$J237=9,$J237=10),-$E237*$I237/12*3,IF($J237=11,-$E237*$I237/12*2,IF($J237=12,-$E237*$I237/12*1,0)))))+IF(CS$5&lt;&gt;$H237,0,IF(CS237&lt;0,IF($J237=10,-$E237*$I237/12*0,IF($J237=11,-$E237*$I237/12*1,IF($J237=12,-$E237*$I237/12*2,0)))))</f>
        <v>0</v>
      </c>
      <c r="CX237" s="440">
        <f>IF(AND(CS237&lt;&gt;0,CS$5=$H237),-$I237*$E237-CS237,IF(CX$5=$H237,-$I237*$E237*(12-$J237+1)/12,0))</f>
        <v>0</v>
      </c>
      <c r="CY237" s="441">
        <f>IF($H237&lt;&gt;DC$5,0,IF(DC237&lt;0,IF($J237=1,-$E237*$I237/12*3,IF($J237=2,-$E237*$I237/12*2,IF($J237=3,-$E237*$I237/12*1,0)))))+IF(CX$5&lt;&gt;$H237,0,IF(CX237&lt;0,IF($J237=1,-$E237*$I237/12*0,IF($J237=2,-$E237*$I237/12*1,IF($J237=3,-$E237*$I237/12*2,IF($J237&gt;=4,-$E237*$I237/12*3,0))))))</f>
        <v>0</v>
      </c>
      <c r="CZ237" s="442">
        <f>IF($H237&lt;&gt;DC$5,0,IF(DC237&lt;0,IF(OR($J237=1,$J237=2,$J237=3,$J237=4),-$E237*$I237/12*3,IF($J237=5,-$E237*$I237/12*2,IF($J237=6,-$E237*$I237/12*1,0)))))+IF(CX$5&lt;&gt;$H237,0,IF(CX237&lt;0,IF($J237=4,-$E237*$I237/12*0,IF($J237=5,-$E237*$I237/12*1,IF($J237=6,-$E237*$I237/12*2,IF($J237&gt;=7,-$E237*$I237/12*3,0))))))</f>
        <v>0</v>
      </c>
      <c r="DA237" s="442">
        <f>IF($H237&lt;&gt;DC$5,0,IF(DC237&lt;0,IF(OR($J237=1,$J237=2,$J237=3,$J237=4,$J237=5,$J237=6,$J237=7),-$E237*$I237/12*3,IF($J237=8,-$E237*$I237/12*2,IF($J237=9,-$E237*$I237/12*1,0)))))+IF(CX$5&lt;&gt;$H237,0,IF(CX237&lt;0,IF($J237=7,-$E237*$I237/12*0,IF($J237=8,-$E237*$I237/12*1,IF($J237=9,-$E237*$I237/12*2,IF($J237&gt;=10,-$E237*$I237/12*3,0))))))</f>
        <v>0</v>
      </c>
      <c r="DB237" s="443">
        <f>IF($H237&lt;&gt;DC$5,0,IF(DC237&lt;0,IF(OR($J237=1,$J237=2,$J237=3,$J237=4,$J237=5,$J237=6,$J237=7,$J237=8,$J237=9,$J237=10),-$E237*$I237/12*3,IF($J237=11,-$E237*$I237/12*2,IF($J237=12,-$E237*$I237/12*1,0)))))+IF(CX$5&lt;&gt;$H237,0,IF(CX237&lt;0,IF($J237=10,-$E237*$I237/12*0,IF($J237=11,-$E237*$I237/12*1,IF($J237=12,-$E237*$I237/12*2,0)))))</f>
        <v>0</v>
      </c>
      <c r="DC237" s="440">
        <f>IF(AND(CX237&lt;&gt;0,CX$5=$H237),-$I237*$E237-CX237,IF(DC$5=$H237,-$I237*$E237*(12-$J237+1)/12,0))</f>
        <v>0</v>
      </c>
      <c r="DD237" s="441">
        <f>IF($H237&lt;&gt;DH$5,0,IF(DH237&lt;0,IF($J237=1,-$E237*$I237/12*3,IF($J237=2,-$E237*$I237/12*2,IF($J237=3,-$E237*$I237/12*1,0)))))+IF(DC$5&lt;&gt;$H237,0,IF(DC237&lt;0,IF($J237=1,-$E237*$I237/12*0,IF($J237=2,-$E237*$I237/12*1,IF($J237=3,-$E237*$I237/12*2,IF($J237&gt;=4,-$E237*$I237/12*3,0))))))</f>
        <v>0</v>
      </c>
      <c r="DE237" s="442">
        <f>IF($H237&lt;&gt;DH$5,0,IF(DH237&lt;0,IF(OR($J237=1,$J237=2,$J237=3,$J237=4),-$E237*$I237/12*3,IF($J237=5,-$E237*$I237/12*2,IF($J237=6,-$E237*$I237/12*1,0)))))+IF(DC$5&lt;&gt;$H237,0,IF(DC237&lt;0,IF($J237=4,-$E237*$I237/12*0,IF($J237=5,-$E237*$I237/12*1,IF($J237=6,-$E237*$I237/12*2,IF($J237&gt;=7,-$E237*$I237/12*3,0))))))</f>
        <v>0</v>
      </c>
      <c r="DF237" s="442">
        <f>IF($H237&lt;&gt;DH$5,0,IF(DH237&lt;0,IF(OR($J237=1,$J237=2,$J237=3,$J237=4,$J237=5,$J237=6,$J237=7),-$E237*$I237/12*3,IF($J237=8,-$E237*$I237/12*2,IF($J237=9,-$E237*$I237/12*1,0)))))+IF(DC$5&lt;&gt;$H237,0,IF(DC237&lt;0,IF($J237=7,-$E237*$I237/12*0,IF($J237=8,-$E237*$I237/12*1,IF($J237=9,-$E237*$I237/12*2,IF($J237&gt;=10,-$E237*$I237/12*3,0))))))</f>
        <v>0</v>
      </c>
      <c r="DG237" s="443">
        <f>IF($H237&lt;&gt;DH$5,0,IF(DH237&lt;0,IF(OR($J237=1,$J237=2,$J237=3,$J237=4,$J237=5,$J237=6,$J237=7,$J237=8,$J237=9,$J237=10),-$E237*$I237/12*3,IF($J237=11,-$E237*$I237/12*2,IF($J237=12,-$E237*$I237/12*1,0)))))+IF(DC$5&lt;&gt;$H237,0,IF(DC237&lt;0,IF($J237=10,-$E237*$I237/12*0,IF($J237=11,-$E237*$I237/12*1,IF($J237=12,-$E237*$I237/12*2,0)))))</f>
        <v>0</v>
      </c>
      <c r="DH237" s="440">
        <f>IF(AND(DC237&lt;&gt;0,DC$5=$H237),-$I237*$E237-DC237,IF(DH$5=$H237,-$I237*$E237*(12-$J237+1)/12,0))</f>
        <v>0</v>
      </c>
      <c r="DI237" s="441">
        <f>IF($H237&lt;&gt;DM$5,0,IF(DM237&lt;0,IF($J237=1,-$E237*$I237/12*3,IF($J237=2,-$E237*$I237/12*2,IF($J237=3,-$E237*$I237/12*1,0)))))+IF(DH$5&lt;&gt;$H237,0,IF(DH237&lt;0,IF($J237=1,-$E237*$I237/12*0,IF($J237=2,-$E237*$I237/12*1,IF($J237=3,-$E237*$I237/12*2,IF($J237&gt;=4,-$E237*$I237/12*3,0))))))</f>
        <v>0</v>
      </c>
      <c r="DJ237" s="442">
        <f>IF($H237&lt;&gt;DM$5,0,IF(DM237&lt;0,IF(OR($J237=1,$J237=2,$J237=3,$J237=4),-$E237*$I237/12*3,IF($J237=5,-$E237*$I237/12*2,IF($J237=6,-$E237*$I237/12*1,0)))))+IF(DH$5&lt;&gt;$H237,0,IF(DH237&lt;0,IF($J237=4,-$E237*$I237/12*0,IF($J237=5,-$E237*$I237/12*1,IF($J237=6,-$E237*$I237/12*2,IF($J237&gt;=7,-$E237*$I237/12*3,0))))))</f>
        <v>0</v>
      </c>
      <c r="DK237" s="442">
        <f>IF($H237&lt;&gt;DM$5,0,IF(DM237&lt;0,IF(OR($J237=1,$J237=2,$J237=3,$J237=4,$J237=5,$J237=6,$J237=7),-$E237*$I237/12*3,IF($J237=8,-$E237*$I237/12*2,IF($J237=9,-$E237*$I237/12*1,0)))))+IF(DH$5&lt;&gt;$H237,0,IF(DH237&lt;0,IF($J237=7,-$E237*$I237/12*0,IF($J237=8,-$E237*$I237/12*1,IF($J237=9,-$E237*$I237/12*2,IF($J237&gt;=10,-$E237*$I237/12*3,0))))))</f>
        <v>0</v>
      </c>
      <c r="DL237" s="443">
        <f>IF($H237&lt;&gt;DM$5,0,IF(DM237&lt;0,IF(OR($J237=1,$J237=2,$J237=3,$J237=4,$J237=5,$J237=6,$J237=7,$J237=8,$J237=9,$J237=10),-$E237*$I237/12*3,IF($J237=11,-$E237*$I237/12*2,IF($J237=12,-$E237*$I237/12*1,0)))))+IF(DH$5&lt;&gt;$H237,0,IF(DH237&lt;0,IF($J237=10,-$E237*$I237/12*0,IF($J237=11,-$E237*$I237/12*1,IF($J237=12,-$E237*$I237/12*2,0)))))</f>
        <v>0</v>
      </c>
      <c r="DM237" s="440">
        <f>IF(AND(DH237&lt;&gt;0,DH$5=$H237),-$I237*$E237-DH237,IF(DM$5=$H237,-$I237*$E237*(12-$J237+1)/12,0))</f>
        <v>0</v>
      </c>
      <c r="DN237" s="441">
        <f>IF($H237&lt;&gt;DR$5,0,IF(DR237&lt;0,IF($J237=1,-$E237*$I237/12*3,IF($J237=2,-$E237*$I237/12*2,IF($J237=3,-$E237*$I237/12*1,0)))))+IF(DM$5&lt;&gt;$H237,0,IF(DM237&lt;0,IF($J237=1,-$E237*$I237/12*0,IF($J237=2,-$E237*$I237/12*1,IF($J237=3,-$E237*$I237/12*2,IF($J237&gt;=4,-$E237*$I237/12*3,0))))))</f>
        <v>0</v>
      </c>
      <c r="DO237" s="442">
        <f>IF($H237&lt;&gt;DR$5,0,IF(DR237&lt;0,IF(OR($J237=1,$J237=2,$J237=3,$J237=4),-$E237*$I237/12*3,IF($J237=5,-$E237*$I237/12*2,IF($J237=6,-$E237*$I237/12*1,0)))))+IF(DM$5&lt;&gt;$H237,0,IF(DM237&lt;0,IF($J237=4,-$E237*$I237/12*0,IF($J237=5,-$E237*$I237/12*1,IF($J237=6,-$E237*$I237/12*2,IF($J237&gt;=7,-$E237*$I237/12*3,0))))))</f>
        <v>0</v>
      </c>
      <c r="DP237" s="442">
        <f>IF($H237&lt;&gt;DR$5,0,IF(DR237&lt;0,IF(OR($J237=1,$J237=2,$J237=3,$J237=4,$J237=5,$J237=6,$J237=7),-$E237*$I237/12*3,IF($J237=8,-$E237*$I237/12*2,IF($J237=9,-$E237*$I237/12*1,0)))))+IF(DM$5&lt;&gt;$H237,0,IF(DM237&lt;0,IF($J237=7,-$E237*$I237/12*0,IF($J237=8,-$E237*$I237/12*1,IF($J237=9,-$E237*$I237/12*2,IF($J237&gt;=10,-$E237*$I237/12*3,0))))))</f>
        <v>0</v>
      </c>
      <c r="DQ237" s="443">
        <f>IF($H237&lt;&gt;DR$5,0,IF(DR237&lt;0,IF(OR($J237=1,$J237=2,$J237=3,$J237=4,$J237=5,$J237=6,$J237=7,$J237=8,$J237=9,$J237=10),-$E237*$I237/12*3,IF($J237=11,-$E237*$I237/12*2,IF($J237=12,-$E237*$I237/12*1,0)))))+IF(DM$5&lt;&gt;$H237,0,IF(DM237&lt;0,IF($J237=10,-$E237*$I237/12*0,IF($J237=11,-$E237*$I237/12*1,IF($J237=12,-$E237*$I237/12*2,0)))))</f>
        <v>0</v>
      </c>
      <c r="DR237" s="440">
        <f>IF(AND(DM237&lt;&gt;0,DM$5=$H237),-$I237*$E237-DM237,IF(DR$5=$H237,-$I237*$E237*(12-$J237+1)/12,0))</f>
        <v>0</v>
      </c>
    </row>
    <row r="238" spans="1:122" ht="12.75" customHeight="1">
      <c r="A238" s="92"/>
      <c r="B238" s="92"/>
      <c r="C238" s="1946" t="s">
        <v>1210</v>
      </c>
      <c r="D238" s="1953"/>
      <c r="E238" s="1954">
        <f>IF(F238=0,G238,F238)</f>
        <v>150</v>
      </c>
      <c r="F238" s="1757">
        <v>150</v>
      </c>
      <c r="G238" s="1757">
        <v>0</v>
      </c>
      <c r="H238" s="1374">
        <v>2032</v>
      </c>
      <c r="I238" s="1956">
        <v>3.6600000000000001E-2</v>
      </c>
      <c r="J238" s="1357">
        <v>8</v>
      </c>
      <c r="K238" s="549"/>
      <c r="L238" s="441">
        <f>IF(P238=0,0,IF(P238&lt;0,IF($J238=3,P238,IF($J238=2,P238,IF($J238=1,P238,0)))))</f>
        <v>0</v>
      </c>
      <c r="M238" s="442">
        <f>IF(P238=0,0,IF(P238&lt;0,IF($J238=6,P238,IF($J238=5,P238,IF($J238=4,P238,0)))))</f>
        <v>0</v>
      </c>
      <c r="N238" s="442">
        <f>IF(P238=0,0,IF(P238&lt;0,IF($J238=9,P238,IF($J238=8,P238,IF($J238=7,P238,0)))))</f>
        <v>0</v>
      </c>
      <c r="O238" s="443">
        <f>IF(P238=0,0,IF(P238&lt;0,IF($J238=12,P238,IF($J238=11,P238,IF($J238=10,P238,0)))))</f>
        <v>0</v>
      </c>
      <c r="P238" s="440">
        <f>IF(P$5=$H238,-$E238,0)</f>
        <v>0</v>
      </c>
      <c r="Q238" s="441">
        <f>IF(U238=0,0,IF(U238&lt;0,IF($J238=3,U238,IF($J238=2,U238,IF($J238=1,U238,0)))))</f>
        <v>0</v>
      </c>
      <c r="R238" s="442">
        <f>IF(U238=0,0,IF(U238&lt;0,IF($J238=6,U238,IF($J238=5,U238,IF($J238=4,U238,0)))))</f>
        <v>0</v>
      </c>
      <c r="S238" s="442">
        <f>IF(U238=0,0,IF(U238&lt;0,IF($J238=9,U238,IF($J238=8,U238,IF($J238=7,U238,0)))))</f>
        <v>0</v>
      </c>
      <c r="T238" s="443">
        <f>IF(U238=0,0,IF(U238&lt;0,IF($J238=12,U238,IF($J238=11,U238,IF($J238=10,U238,0)))))</f>
        <v>0</v>
      </c>
      <c r="U238" s="440">
        <f>IF(U$5=$H238,-$E238,0)</f>
        <v>0</v>
      </c>
      <c r="V238" s="441">
        <f>IF(Z238=0,0,IF(Z238&lt;0,IF($J238=3,Z238,IF($J238=2,Z238,IF($J238=1,Z238,0)))))</f>
        <v>0</v>
      </c>
      <c r="W238" s="442">
        <f>IF(Z238=0,0,IF(Z238&lt;0,IF($J238=6,Z238,IF($J238=5,Z238,IF($J238=4,Z238,0)))))</f>
        <v>0</v>
      </c>
      <c r="X238" s="442">
        <f>IF(Z238=0,0,IF(Z238&lt;0,IF($J238=9,Z238,IF($J238=8,Z238,IF($J238=7,Z238,0)))))</f>
        <v>0</v>
      </c>
      <c r="Y238" s="443">
        <f>IF(Z238=0,0,IF(Z238&lt;0,IF($J238=12,Z238,IF($J238=11,Z238,IF($J238=10,Z238,0)))))</f>
        <v>0</v>
      </c>
      <c r="Z238" s="440">
        <f>IF(Z$5=$H238,-$E238,0)</f>
        <v>0</v>
      </c>
      <c r="AA238" s="441">
        <f>IF(AE238=0,0,IF(AE238&lt;0,IF($J238=3,AE238,IF($J238=2,AE238,IF($J238=1,AE238,0)))))</f>
        <v>0</v>
      </c>
      <c r="AB238" s="442">
        <f>IF(AE238=0,0,IF(AE238&lt;0,IF($J238=6,AE238,IF($J238=5,AE238,IF($J238=4,AE238,0)))))</f>
        <v>0</v>
      </c>
      <c r="AC238" s="442">
        <f>IF(AE238=0,0,IF(AE238&lt;0,IF($J238=9,AE238,IF($J238=8,AE238,IF($J238=7,AE238,0)))))</f>
        <v>0</v>
      </c>
      <c r="AD238" s="443">
        <f>IF(AE238=0,0,IF(AE238&lt;0,IF($J238=12,AE238,IF($J238=11,AE238,IF($J238=10,AE238,0)))))</f>
        <v>0</v>
      </c>
      <c r="AE238" s="440">
        <f>IF(AE$5=$H238,-$E238,0)</f>
        <v>0</v>
      </c>
      <c r="AF238" s="441">
        <f>IF(AJ238=0,0,IF(AJ238&lt;0,IF($J238=3,AJ238,IF($J238=2,AJ238,IF($J238=1,AJ238,0)))))</f>
        <v>0</v>
      </c>
      <c r="AG238" s="442">
        <f>IF(AJ238=0,0,IF(AJ238&lt;0,IF($J238=6,AJ238,IF($J238=5,AJ238,IF($J238=4,AJ238,0)))))</f>
        <v>0</v>
      </c>
      <c r="AH238" s="442">
        <f>IF(AJ238=0,0,IF(AJ238&lt;0,IF($J238=9,AJ238,IF($J238=8,AJ238,IF($J238=7,AJ238,0)))))</f>
        <v>0</v>
      </c>
      <c r="AI238" s="443">
        <f>IF(AJ238=0,0,IF(AJ238&lt;0,IF($J238=12,AJ238,IF($J238=11,AJ238,IF($J238=10,AJ238,0)))))</f>
        <v>0</v>
      </c>
      <c r="AJ238" s="440">
        <f>IF(AJ$5=$H238,-$E238,0)</f>
        <v>0</v>
      </c>
      <c r="AK238" s="441">
        <f>IF(AO238=0,0,IF(AO238&lt;0,IF($J238=3,AO238,IF($J238=2,AO238,IF($J238=1,AO238,0)))))</f>
        <v>0</v>
      </c>
      <c r="AL238" s="442">
        <f>IF(AO238=0,0,IF(AO238&lt;0,IF($J238=6,AO238,IF($J238=5,AO238,IF($J238=4,AO238,0)))))</f>
        <v>0</v>
      </c>
      <c r="AM238" s="442">
        <f>IF(AO238=0,0,IF(AO238&lt;0,IF($J238=9,AO238,IF($J238=8,AO238,IF($J238=7,AO238,0)))))</f>
        <v>0</v>
      </c>
      <c r="AN238" s="443">
        <f>IF(AO238=0,0,IF(AO238&lt;0,IF($J238=12,AO238,IF($J238=11,AO238,IF($J238=10,AO238,0)))))</f>
        <v>0</v>
      </c>
      <c r="AO238" s="440">
        <f>IF(AO$5=$H238,-$E238,0)</f>
        <v>0</v>
      </c>
      <c r="AP238" s="441">
        <f>IF(AT238=0,0,IF(AT238&lt;0,IF($J238=3,AT238,IF($J238=2,AT238,IF($J238=1,AT238,0)))))</f>
        <v>0</v>
      </c>
      <c r="AQ238" s="442">
        <f>IF(AT238=0,0,IF(AT238&lt;0,IF($J238=6,AT238,IF($J238=5,AT238,IF($J238=4,AT238,0)))))</f>
        <v>0</v>
      </c>
      <c r="AR238" s="442">
        <f>IF(AT238=0,0,IF(AT238&lt;0,IF($J238=9,AT238,IF($J238=8,AT238,IF($J238=7,AT238,0)))))</f>
        <v>0</v>
      </c>
      <c r="AS238" s="443">
        <f>IF(AT238=0,0,IF(AT238&lt;0,IF($J238=12,AT238,IF($J238=11,AT238,IF($J238=10,AT238,0)))))</f>
        <v>0</v>
      </c>
      <c r="AT238" s="440">
        <f>IF(AT$5=$H238,-$E238,0)</f>
        <v>0</v>
      </c>
      <c r="AU238" s="441">
        <f>IF(AY238=0,0,IF(AY238&lt;0,IF($J238=3,AY238,IF($J238=2,AY238,IF($J238=1,AY238,0)))))</f>
        <v>0</v>
      </c>
      <c r="AV238" s="442">
        <f>IF(AY238=0,0,IF(AY238&lt;0,IF($J238=6,AY238,IF($J238=5,AY238,IF($J238=4,AY238,0)))))</f>
        <v>0</v>
      </c>
      <c r="AW238" s="442">
        <f>IF(AY238=0,0,IF(AY238&lt;0,IF($J238=9,AY238,IF($J238=8,AY238,IF($J238=7,AY238,0)))))</f>
        <v>0</v>
      </c>
      <c r="AX238" s="443">
        <f>IF(AY238=0,0,IF(AY238&lt;0,IF($J238=12,AY238,IF($J238=11,AY238,IF($J238=10,AY238,0)))))</f>
        <v>0</v>
      </c>
      <c r="AY238" s="440">
        <f>IF(AY$5=$H238,-$E238,0)</f>
        <v>0</v>
      </c>
      <c r="AZ238" s="441">
        <f>IF(BD238=0,0,IF(BD238&lt;0,IF($J238=3,BD238,IF($J238=2,BD238,IF($J238=1,BD238,0)))))</f>
        <v>0</v>
      </c>
      <c r="BA238" s="442">
        <f>IF(BD238=0,0,IF(BD238&lt;0,IF($J238=6,BD238,IF($J238=5,BD238,IF($J238=4,BD238,0)))))</f>
        <v>0</v>
      </c>
      <c r="BB238" s="442">
        <f>IF(BD238=0,0,IF(BD238&lt;0,IF($J238=9,BD238,IF($J238=8,BD238,IF($J238=7,BD238,0)))))</f>
        <v>0</v>
      </c>
      <c r="BC238" s="443">
        <f>IF(BD238=0,0,IF(BD238&lt;0,IF($J238=12,BD238,IF($J238=11,BD238,IF($J238=10,BD238,0)))))</f>
        <v>0</v>
      </c>
      <c r="BD238" s="440">
        <f>IF(BD$5=$H238,-$E238,0)</f>
        <v>0</v>
      </c>
      <c r="BE238" s="441">
        <f>IF(BI238=0,0,IF(BI238&lt;0,IF($J238=3,BI238,IF($J238=2,BI238,IF($J238=1,BI238,0)))))</f>
        <v>0</v>
      </c>
      <c r="BF238" s="442">
        <f>IF(BI238=0,0,IF(BI238&lt;0,IF($J238=6,BI238,IF($J238=5,BI238,IF($J238=4,BI238,0)))))</f>
        <v>0</v>
      </c>
      <c r="BG238" s="442">
        <f>IF(BI238=0,0,IF(BI238&lt;0,IF($J238=9,BI238,IF($J238=8,BI238,IF($J238=7,BI238,0)))))</f>
        <v>0</v>
      </c>
      <c r="BH238" s="443">
        <f>IF(BI238=0,0,IF(BI238&lt;0,IF($J238=12,BI238,IF($J238=11,BI238,IF($J238=10,BI238,0)))))</f>
        <v>0</v>
      </c>
      <c r="BI238" s="440">
        <f>IF(BI$5=$H238,-$E238,0)</f>
        <v>0</v>
      </c>
      <c r="BJ238" s="441">
        <f>IF(BN238=0,0,IF(BN238&lt;0,IF($J238=3,BN238,IF($J238=2,BN238,IF($J238=1,BN238,0)))))</f>
        <v>0</v>
      </c>
      <c r="BK238" s="442">
        <f>IF(BN238=0,0,IF(BN238&lt;0,IF($J238=6,BN238,IF($J238=5,BN238,IF($J238=4,BN238,0)))))</f>
        <v>0</v>
      </c>
      <c r="BL238" s="442">
        <f>IF(BN238=0,0,IF(BN238&lt;0,IF($J238=9,BN238,IF($J238=8,BN238,IF($J238=7,BN238,0)))))</f>
        <v>0</v>
      </c>
      <c r="BM238" s="443">
        <f>IF(BN238=0,0,IF(BN238&lt;0,IF($J238=12,BN238,IF($J238=11,BN238,IF($J238=10,BN238,0)))))</f>
        <v>0</v>
      </c>
      <c r="BN238" s="440">
        <f>IF(BN$5=$H238,-$E238,0)</f>
        <v>0</v>
      </c>
      <c r="BO238" s="470"/>
      <c r="BP238" s="441">
        <f>IF($H238&lt;&gt;BT$5,0,IF(BT238&lt;0,IF($J238=1,-$E238*$I238/12*3,IF($J238=2,-$E238*$I238/12*2,IF($J238=3,-$E238*$I238/12*1,0)))))+IF(BO$5&lt;&gt;$H238,0,IF(BO238&lt;0,IF($J238=1,-$E238*$I238/12*0,IF($J238=2,-$E238*$I238/12*1,IF($J238=3,-$E238*$I238/12*2,IF($J238&gt;=4,-$E238*$I238/12*3,0))))))</f>
        <v>0</v>
      </c>
      <c r="BQ238" s="442">
        <f>IF($H238&lt;&gt;BT$5,0,IF(BT238&lt;0,IF(OR($J238=1,$J238=2,$J238=3,$J238=4),-$E238*$I238/12*3,IF($J238=5,-$E238*$I238/12*2,IF($J238=6,-$E238*$I238/12*1,0)))))+IF(BO$5&lt;&gt;$H238,0,IF(BO238&lt;0,IF($J238=4,-$E238*$I238/12*0,IF($J238=5,-$E238*$I238/12*1,IF($J238=6,-$E238*$I238/12*2,IF($J238&gt;=7,-$E238*$I238/12*3,0))))))</f>
        <v>0</v>
      </c>
      <c r="BR238" s="442">
        <f>IF($H238&lt;&gt;BT$5,0,IF(BT238&lt;0,IF(OR($J238=1,$J238=2,$J238=3,$J238=4,$J238=5,$J238=6,$J238=7),-$E238*$I238/12*3,IF($J238=8,-$E238*$I238/12*2,IF($J238=9,-$E238*$I238/12*1,0)))))+IF(BO$5&lt;&gt;$H238,0,IF(BO238&lt;0,IF($J238=7,-$E238*$I238/12*0,IF($J238=8,-$E238*$I238/12*1,IF($J238=9,-$E238*$I238/12*2,IF($J238&gt;=10,-$E238*$I238/12*3,0))))))</f>
        <v>0</v>
      </c>
      <c r="BS238" s="443">
        <f>IF($H238&lt;&gt;BT$5,0,IF(BT238&lt;0,IF(OR($J238=1,$J238=2,$J238=3,$J238=4,$J238=5,$J238=6,$J238=7,$J238=8,$J238=9,$J238=10),-$E238*$I238/12*3,IF($J238=11,-$E238*$I238/12*2,IF($J238=12,-$E238*$I238/12*1,0)))))+IF(BO$5&lt;&gt;$H238,0,IF(BO238&lt;0,IF($J238=10,-$E238*$I238/12*0,IF($J238=11,-$E238*$I238/12*1,IF($J238=12,-$E238*$I238/12*2,0)))))</f>
        <v>0</v>
      </c>
      <c r="BT238" s="440">
        <f>IF(AND(BO238&lt;&gt;0,BO$5=$H238),-$I238*$E238-BO238,IF(BT$5=$H238,-$I238*$E238*(12-$J238+1)/12,0))</f>
        <v>0</v>
      </c>
      <c r="BU238" s="441">
        <f>IF($H238&lt;&gt;BY$5,0,IF(BY238&lt;0,IF($J238=1,-$E238*$I238/12*3,IF($J238=2,-$E238*$I238/12*2,IF($J238=3,-$E238*$I238/12*1,0)))))+IF(BT$5&lt;&gt;$H238,0,IF(BT238&lt;0,IF($J238=1,-$E238*$I238/12*0,IF($J238=2,-$E238*$I238/12*1,IF($J238=3,-$E238*$I238/12*2,IF($J238&gt;=4,-$E238*$I238/12*3,0))))))</f>
        <v>0</v>
      </c>
      <c r="BV238" s="442">
        <f>IF($H238&lt;&gt;BY$5,0,IF(BY238&lt;0,IF(OR($J238=1,$J238=2,$J238=3,$J238=4),-$E238*$I238/12*3,IF($J238=5,-$E238*$I238/12*2,IF($J238=6,-$E238*$I238/12*1,0)))))+IF(BT$5&lt;&gt;$H238,0,IF(BT238&lt;0,IF($J238=4,-$E238*$I238/12*0,IF($J238=5,-$E238*$I238/12*1,IF($J238=6,-$E238*$I238/12*2,IF($J238&gt;=7,-$E238*$I238/12*3,0))))))</f>
        <v>0</v>
      </c>
      <c r="BW238" s="442">
        <f>IF($H238&lt;&gt;BY$5,0,IF(BY238&lt;0,IF(OR($J238=1,$J238=2,$J238=3,$J238=4,$J238=5,$J238=6,$J238=7),-$E238*$I238/12*3,IF($J238=8,-$E238*$I238/12*2,IF($J238=9,-$E238*$I238/12*1,0)))))+IF(BT$5&lt;&gt;$H238,0,IF(BT238&lt;0,IF($J238=7,-$E238*$I238/12*0,IF($J238=8,-$E238*$I238/12*1,IF($J238=9,-$E238*$I238/12*2,IF($J238&gt;=10,-$E238*$I238/12*3,0))))))</f>
        <v>0</v>
      </c>
      <c r="BX238" s="443">
        <f>IF($H238&lt;&gt;BY$5,0,IF(BY238&lt;0,IF(OR($J238=1,$J238=2,$J238=3,$J238=4,$J238=5,$J238=6,$J238=7,$J238=8,$J238=9,$J238=10),-$E238*$I238/12*3,IF($J238=11,-$E238*$I238/12*2,IF($J238=12,-$E238*$I238/12*1,0)))))+IF(BT$5&lt;&gt;$H238,0,IF(BT238&lt;0,IF($J238=10,-$E238*$I238/12*0,IF($J238=11,-$E238*$I238/12*1,IF($J238=12,-$E238*$I238/12*2,0)))))</f>
        <v>0</v>
      </c>
      <c r="BY238" s="440">
        <f>IF(AND(BT238&lt;&gt;0,BT$5=$H238),-$I238*$E238-BT238,IF(BY$5=$H238,-$I238*$E238*(12-$J238+1)/12,0))</f>
        <v>0</v>
      </c>
      <c r="BZ238" s="441">
        <f>IF($H238&lt;&gt;CD$5,0,IF(CD238&lt;0,IF($J238=1,-$E238*$I238/12*3,IF($J238=2,-$E238*$I238/12*2,IF($J238=3,-$E238*$I238/12*1,0)))))+IF(BY$5&lt;&gt;$H238,0,IF(BY238&lt;0,IF($J238=1,-$E238*$I238/12*0,IF($J238=2,-$E238*$I238/12*1,IF($J238=3,-$E238*$I238/12*2,IF($J238&gt;=4,-$E238*$I238/12*3,0))))))</f>
        <v>0</v>
      </c>
      <c r="CA238" s="442">
        <f>IF($H238&lt;&gt;CD$5,0,IF(CD238&lt;0,IF(OR($J238=1,$J238=2,$J238=3,$J238=4),-$E238*$I238/12*3,IF($J238=5,-$E238*$I238/12*2,IF($J238=6,-$E238*$I238/12*1,0)))))+IF(BY$5&lt;&gt;$H238,0,IF(BY238&lt;0,IF($J238=4,-$E238*$I238/12*0,IF($J238=5,-$E238*$I238/12*1,IF($J238=6,-$E238*$I238/12*2,IF($J238&gt;=7,-$E238*$I238/12*3,0))))))</f>
        <v>0</v>
      </c>
      <c r="CB238" s="442">
        <f>IF($H238&lt;&gt;CD$5,0,IF(CD238&lt;0,IF(OR($J238=1,$J238=2,$J238=3,$J238=4,$J238=5,$J238=6,$J238=7),-$E238*$I238/12*3,IF($J238=8,-$E238*$I238/12*2,IF($J238=9,-$E238*$I238/12*1,0)))))+IF(BY$5&lt;&gt;$H238,0,IF(BY238&lt;0,IF($J238=7,-$E238*$I238/12*0,IF($J238=8,-$E238*$I238/12*1,IF($J238=9,-$E238*$I238/12*2,IF($J238&gt;=10,-$E238*$I238/12*3,0))))))</f>
        <v>0</v>
      </c>
      <c r="CC238" s="443">
        <f>IF($H238&lt;&gt;CD$5,0,IF(CD238&lt;0,IF(OR($J238=1,$J238=2,$J238=3,$J238=4,$J238=5,$J238=6,$J238=7,$J238=8,$J238=9,$J238=10),-$E238*$I238/12*3,IF($J238=11,-$E238*$I238/12*2,IF($J238=12,-$E238*$I238/12*1,0)))))+IF(BY$5&lt;&gt;$H238,0,IF(BY238&lt;0,IF($J238=10,-$E238*$I238/12*0,IF($J238=11,-$E238*$I238/12*1,IF($J238=12,-$E238*$I238/12*2,0)))))</f>
        <v>0</v>
      </c>
      <c r="CD238" s="440">
        <f>IF(AND(BY238&lt;&gt;0,BY$5=$H238),-$I238*$E238-BY238,IF(CD$5=$H238,-$I238*$E238*(12-$J238+1)/12,0))</f>
        <v>0</v>
      </c>
      <c r="CE238" s="441">
        <f>IF($H238&lt;&gt;CI$5,0,IF(CI238&lt;0,IF($J238=1,-$E238*$I238/12*3,IF($J238=2,-$E238*$I238/12*2,IF($J238=3,-$E238*$I238/12*1,0)))))+IF(CD$5&lt;&gt;$H238,0,IF(CD238&lt;0,IF($J238=1,-$E238*$I238/12*0,IF($J238=2,-$E238*$I238/12*1,IF($J238=3,-$E238*$I238/12*2,IF($J238&gt;=4,-$E238*$I238/12*3,0))))))</f>
        <v>0</v>
      </c>
      <c r="CF238" s="442">
        <f>IF($H238&lt;&gt;CI$5,0,IF(CI238&lt;0,IF(OR($J238=1,$J238=2,$J238=3,$J238=4),-$E238*$I238/12*3,IF($J238=5,-$E238*$I238/12*2,IF($J238=6,-$E238*$I238/12*1,0)))))+IF(CD$5&lt;&gt;$H238,0,IF(CD238&lt;0,IF($J238=4,-$E238*$I238/12*0,IF($J238=5,-$E238*$I238/12*1,IF($J238=6,-$E238*$I238/12*2,IF($J238&gt;=7,-$E238*$I238/12*3,0))))))</f>
        <v>0</v>
      </c>
      <c r="CG238" s="442">
        <f>IF($H238&lt;&gt;CI$5,0,IF(CI238&lt;0,IF(OR($J238=1,$J238=2,$J238=3,$J238=4,$J238=5,$J238=6,$J238=7),-$E238*$I238/12*3,IF($J238=8,-$E238*$I238/12*2,IF($J238=9,-$E238*$I238/12*1,0)))))+IF(CD$5&lt;&gt;$H238,0,IF(CD238&lt;0,IF($J238=7,-$E238*$I238/12*0,IF($J238=8,-$E238*$I238/12*1,IF($J238=9,-$E238*$I238/12*2,IF($J238&gt;=10,-$E238*$I238/12*3,0))))))</f>
        <v>0</v>
      </c>
      <c r="CH238" s="443">
        <f>IF($H238&lt;&gt;CI$5,0,IF(CI238&lt;0,IF(OR($J238=1,$J238=2,$J238=3,$J238=4,$J238=5,$J238=6,$J238=7,$J238=8,$J238=9,$J238=10),-$E238*$I238/12*3,IF($J238=11,-$E238*$I238/12*2,IF($J238=12,-$E238*$I238/12*1,0)))))+IF(CD$5&lt;&gt;$H238,0,IF(CD238&lt;0,IF($J238=10,-$E238*$I238/12*0,IF($J238=11,-$E238*$I238/12*1,IF($J238=12,-$E238*$I238/12*2,0)))))</f>
        <v>0</v>
      </c>
      <c r="CI238" s="440">
        <f>IF(AND(CD238&lt;&gt;0,CD$5=$H238),-$I238*$E238-CD238,IF(CI$5=$H238,-$I238*$E238*(12-$J238+1)/12,0))</f>
        <v>0</v>
      </c>
      <c r="CJ238" s="441">
        <f>IF($H238&lt;&gt;CN$5,0,IF(CN238&lt;0,IF($J238=1,-$E238*$I238/12*3,IF($J238=2,-$E238*$I238/12*2,IF($J238=3,-$E238*$I238/12*1,0)))))+IF(CI$5&lt;&gt;$H238,0,IF(CI238&lt;0,IF($J238=1,-$E238*$I238/12*0,IF($J238=2,-$E238*$I238/12*1,IF($J238=3,-$E238*$I238/12*2,IF($J238&gt;=4,-$E238*$I238/12*3,0))))))</f>
        <v>0</v>
      </c>
      <c r="CK238" s="442">
        <f>IF($H238&lt;&gt;CN$5,0,IF(CN238&lt;0,IF(OR($J238=1,$J238=2,$J238=3,$J238=4),-$E238*$I238/12*3,IF($J238=5,-$E238*$I238/12*2,IF($J238=6,-$E238*$I238/12*1,0)))))+IF(CI$5&lt;&gt;$H238,0,IF(CI238&lt;0,IF($J238=4,-$E238*$I238/12*0,IF($J238=5,-$E238*$I238/12*1,IF($J238=6,-$E238*$I238/12*2,IF($J238&gt;=7,-$E238*$I238/12*3,0))))))</f>
        <v>0</v>
      </c>
      <c r="CL238" s="442">
        <f>IF($H238&lt;&gt;CN$5,0,IF(CN238&lt;0,IF(OR($J238=1,$J238=2,$J238=3,$J238=4,$J238=5,$J238=6,$J238=7),-$E238*$I238/12*3,IF($J238=8,-$E238*$I238/12*2,IF($J238=9,-$E238*$I238/12*1,0)))))+IF(CI$5&lt;&gt;$H238,0,IF(CI238&lt;0,IF($J238=7,-$E238*$I238/12*0,IF($J238=8,-$E238*$I238/12*1,IF($J238=9,-$E238*$I238/12*2,IF($J238&gt;=10,-$E238*$I238/12*3,0))))))</f>
        <v>0</v>
      </c>
      <c r="CM238" s="443">
        <f>IF($H238&lt;&gt;CN$5,0,IF(CN238&lt;0,IF(OR($J238=1,$J238=2,$J238=3,$J238=4,$J238=5,$J238=6,$J238=7,$J238=8,$J238=9,$J238=10),-$E238*$I238/12*3,IF($J238=11,-$E238*$I238/12*2,IF($J238=12,-$E238*$I238/12*1,0)))))+IF(CI$5&lt;&gt;$H238,0,IF(CI238&lt;0,IF($J238=10,-$E238*$I238/12*0,IF($J238=11,-$E238*$I238/12*1,IF($J238=12,-$E238*$I238/12*2,0)))))</f>
        <v>0</v>
      </c>
      <c r="CN238" s="440">
        <f>IF(AND(CI238&lt;&gt;0,CI$5=$H238),-$I238*$E238-CI238,IF(CN$5=$H238,-$I238*$E238*(12-$J238+1)/12,0))</f>
        <v>0</v>
      </c>
      <c r="CO238" s="441">
        <f>IF($H238&lt;&gt;CS$5,0,IF(CS238&lt;0,IF($J238=1,-$E238*$I238/12*3,IF($J238=2,-$E238*$I238/12*2,IF($J238=3,-$E238*$I238/12*1,0)))))+IF(CN$5&lt;&gt;$H238,0,IF(CN238&lt;0,IF($J238=1,-$E238*$I238/12*0,IF($J238=2,-$E238*$I238/12*1,IF($J238=3,-$E238*$I238/12*2,IF($J238&gt;=4,-$E238*$I238/12*3,0))))))</f>
        <v>0</v>
      </c>
      <c r="CP238" s="442">
        <f>IF($H238&lt;&gt;CS$5,0,IF(CS238&lt;0,IF(OR($J238=1,$J238=2,$J238=3,$J238=4),-$E238*$I238/12*3,IF($J238=5,-$E238*$I238/12*2,IF($J238=6,-$E238*$I238/12*1,0)))))+IF(CN$5&lt;&gt;$H238,0,IF(CN238&lt;0,IF($J238=4,-$E238*$I238/12*0,IF($J238=5,-$E238*$I238/12*1,IF($J238=6,-$E238*$I238/12*2,IF($J238&gt;=7,-$E238*$I238/12*3,0))))))</f>
        <v>0</v>
      </c>
      <c r="CQ238" s="442">
        <f>IF($H238&lt;&gt;CS$5,0,IF(CS238&lt;0,IF(OR($J238=1,$J238=2,$J238=3,$J238=4,$J238=5,$J238=6,$J238=7),-$E238*$I238/12*3,IF($J238=8,-$E238*$I238/12*2,IF($J238=9,-$E238*$I238/12*1,0)))))+IF(CN$5&lt;&gt;$H238,0,IF(CN238&lt;0,IF($J238=7,-$E238*$I238/12*0,IF($J238=8,-$E238*$I238/12*1,IF($J238=9,-$E238*$I238/12*2,IF($J238&gt;=10,-$E238*$I238/12*3,0))))))</f>
        <v>0</v>
      </c>
      <c r="CR238" s="443">
        <f>IF($H238&lt;&gt;CS$5,0,IF(CS238&lt;0,IF(OR($J238=1,$J238=2,$J238=3,$J238=4,$J238=5,$J238=6,$J238=7,$J238=8,$J238=9,$J238=10),-$E238*$I238/12*3,IF($J238=11,-$E238*$I238/12*2,IF($J238=12,-$E238*$I238/12*1,0)))))+IF(CN$5&lt;&gt;$H238,0,IF(CN238&lt;0,IF($J238=10,-$E238*$I238/12*0,IF($J238=11,-$E238*$I238/12*1,IF($J238=12,-$E238*$I238/12*2,0)))))</f>
        <v>0</v>
      </c>
      <c r="CS238" s="440">
        <f>IF(AND(CN238&lt;&gt;0,CN$5=$H238),-$I238*$E238-CN238,IF(CS$5=$H238,-$I238*$E238*(12-$J238+1)/12,0))</f>
        <v>0</v>
      </c>
      <c r="CT238" s="441">
        <f>IF($H238&lt;&gt;CX$5,0,IF(CX238&lt;0,IF($J238=1,-$E238*$I238/12*3,IF($J238=2,-$E238*$I238/12*2,IF($J238=3,-$E238*$I238/12*1,0)))))+IF(CS$5&lt;&gt;$H238,0,IF(CS238&lt;0,IF($J238=1,-$E238*$I238/12*0,IF($J238=2,-$E238*$I238/12*1,IF($J238=3,-$E238*$I238/12*2,IF($J238&gt;=4,-$E238*$I238/12*3,0))))))</f>
        <v>0</v>
      </c>
      <c r="CU238" s="442">
        <f>IF($H238&lt;&gt;CX$5,0,IF(CX238&lt;0,IF(OR($J238=1,$J238=2,$J238=3,$J238=4),-$E238*$I238/12*3,IF($J238=5,-$E238*$I238/12*2,IF($J238=6,-$E238*$I238/12*1,0)))))+IF(CS$5&lt;&gt;$H238,0,IF(CS238&lt;0,IF($J238=4,-$E238*$I238/12*0,IF($J238=5,-$E238*$I238/12*1,IF($J238=6,-$E238*$I238/12*2,IF($J238&gt;=7,-$E238*$I238/12*3,0))))))</f>
        <v>0</v>
      </c>
      <c r="CV238" s="442">
        <f>IF($H238&lt;&gt;CX$5,0,IF(CX238&lt;0,IF(OR($J238=1,$J238=2,$J238=3,$J238=4,$J238=5,$J238=6,$J238=7),-$E238*$I238/12*3,IF($J238=8,-$E238*$I238/12*2,IF($J238=9,-$E238*$I238/12*1,0)))))+IF(CS$5&lt;&gt;$H238,0,IF(CS238&lt;0,IF($J238=7,-$E238*$I238/12*0,IF($J238=8,-$E238*$I238/12*1,IF($J238=9,-$E238*$I238/12*2,IF($J238&gt;=10,-$E238*$I238/12*3,0))))))</f>
        <v>0</v>
      </c>
      <c r="CW238" s="443">
        <f>IF($H238&lt;&gt;CX$5,0,IF(CX238&lt;0,IF(OR($J238=1,$J238=2,$J238=3,$J238=4,$J238=5,$J238=6,$J238=7,$J238=8,$J238=9,$J238=10),-$E238*$I238/12*3,IF($J238=11,-$E238*$I238/12*2,IF($J238=12,-$E238*$I238/12*1,0)))))+IF(CS$5&lt;&gt;$H238,0,IF(CS238&lt;0,IF($J238=10,-$E238*$I238/12*0,IF($J238=11,-$E238*$I238/12*1,IF($J238=12,-$E238*$I238/12*2,0)))))</f>
        <v>0</v>
      </c>
      <c r="CX238" s="440">
        <f>IF(AND(CS238&lt;&gt;0,CS$5=$H238),-$I238*$E238-CS238,IF(CX$5=$H238,-$I238*$E238*(12-$J238+1)/12,0))</f>
        <v>0</v>
      </c>
      <c r="CY238" s="441">
        <f>IF($H238&lt;&gt;DC$5,0,IF(DC238&lt;0,IF($J238=1,-$E238*$I238/12*3,IF($J238=2,-$E238*$I238/12*2,IF($J238=3,-$E238*$I238/12*1,0)))))+IF(CX$5&lt;&gt;$H238,0,IF(CX238&lt;0,IF($J238=1,-$E238*$I238/12*0,IF($J238=2,-$E238*$I238/12*1,IF($J238=3,-$E238*$I238/12*2,IF($J238&gt;=4,-$E238*$I238/12*3,0))))))</f>
        <v>0</v>
      </c>
      <c r="CZ238" s="442">
        <f>IF($H238&lt;&gt;DC$5,0,IF(DC238&lt;0,IF(OR($J238=1,$J238=2,$J238=3,$J238=4),-$E238*$I238/12*3,IF($J238=5,-$E238*$I238/12*2,IF($J238=6,-$E238*$I238/12*1,0)))))+IF(CX$5&lt;&gt;$H238,0,IF(CX238&lt;0,IF($J238=4,-$E238*$I238/12*0,IF($J238=5,-$E238*$I238/12*1,IF($J238=6,-$E238*$I238/12*2,IF($J238&gt;=7,-$E238*$I238/12*3,0))))))</f>
        <v>0</v>
      </c>
      <c r="DA238" s="442">
        <f>IF($H238&lt;&gt;DC$5,0,IF(DC238&lt;0,IF(OR($J238=1,$J238=2,$J238=3,$J238=4,$J238=5,$J238=6,$J238=7),-$E238*$I238/12*3,IF($J238=8,-$E238*$I238/12*2,IF($J238=9,-$E238*$I238/12*1,0)))))+IF(CX$5&lt;&gt;$H238,0,IF(CX238&lt;0,IF($J238=7,-$E238*$I238/12*0,IF($J238=8,-$E238*$I238/12*1,IF($J238=9,-$E238*$I238/12*2,IF($J238&gt;=10,-$E238*$I238/12*3,0))))))</f>
        <v>0</v>
      </c>
      <c r="DB238" s="443">
        <f>IF($H238&lt;&gt;DC$5,0,IF(DC238&lt;0,IF(OR($J238=1,$J238=2,$J238=3,$J238=4,$J238=5,$J238=6,$J238=7,$J238=8,$J238=9,$J238=10),-$E238*$I238/12*3,IF($J238=11,-$E238*$I238/12*2,IF($J238=12,-$E238*$I238/12*1,0)))))+IF(CX$5&lt;&gt;$H238,0,IF(CX238&lt;0,IF($J238=10,-$E238*$I238/12*0,IF($J238=11,-$E238*$I238/12*1,IF($J238=12,-$E238*$I238/12*2,0)))))</f>
        <v>0</v>
      </c>
      <c r="DC238" s="440">
        <f>IF(AND(CX238&lt;&gt;0,CX$5=$H238),-$I238*$E238-CX238,IF(DC$5=$H238,-$I238*$E238*(12-$J238+1)/12,0))</f>
        <v>0</v>
      </c>
      <c r="DD238" s="441">
        <f>IF($H238&lt;&gt;DH$5,0,IF(DH238&lt;0,IF($J238=1,-$E238*$I238/12*3,IF($J238=2,-$E238*$I238/12*2,IF($J238=3,-$E238*$I238/12*1,0)))))+IF(DC$5&lt;&gt;$H238,0,IF(DC238&lt;0,IF($J238=1,-$E238*$I238/12*0,IF($J238=2,-$E238*$I238/12*1,IF($J238=3,-$E238*$I238/12*2,IF($J238&gt;=4,-$E238*$I238/12*3,0))))))</f>
        <v>0</v>
      </c>
      <c r="DE238" s="442">
        <f>IF($H238&lt;&gt;DH$5,0,IF(DH238&lt;0,IF(OR($J238=1,$J238=2,$J238=3,$J238=4),-$E238*$I238/12*3,IF($J238=5,-$E238*$I238/12*2,IF($J238=6,-$E238*$I238/12*1,0)))))+IF(DC$5&lt;&gt;$H238,0,IF(DC238&lt;0,IF($J238=4,-$E238*$I238/12*0,IF($J238=5,-$E238*$I238/12*1,IF($J238=6,-$E238*$I238/12*2,IF($J238&gt;=7,-$E238*$I238/12*3,0))))))</f>
        <v>0</v>
      </c>
      <c r="DF238" s="442">
        <f>IF($H238&lt;&gt;DH$5,0,IF(DH238&lt;0,IF(OR($J238=1,$J238=2,$J238=3,$J238=4,$J238=5,$J238=6,$J238=7),-$E238*$I238/12*3,IF($J238=8,-$E238*$I238/12*2,IF($J238=9,-$E238*$I238/12*1,0)))))+IF(DC$5&lt;&gt;$H238,0,IF(DC238&lt;0,IF($J238=7,-$E238*$I238/12*0,IF($J238=8,-$E238*$I238/12*1,IF($J238=9,-$E238*$I238/12*2,IF($J238&gt;=10,-$E238*$I238/12*3,0))))))</f>
        <v>0</v>
      </c>
      <c r="DG238" s="443">
        <f>IF($H238&lt;&gt;DH$5,0,IF(DH238&lt;0,IF(OR($J238=1,$J238=2,$J238=3,$J238=4,$J238=5,$J238=6,$J238=7,$J238=8,$J238=9,$J238=10),-$E238*$I238/12*3,IF($J238=11,-$E238*$I238/12*2,IF($J238=12,-$E238*$I238/12*1,0)))))+IF(DC$5&lt;&gt;$H238,0,IF(DC238&lt;0,IF($J238=10,-$E238*$I238/12*0,IF($J238=11,-$E238*$I238/12*1,IF($J238=12,-$E238*$I238/12*2,0)))))</f>
        <v>0</v>
      </c>
      <c r="DH238" s="440">
        <f>IF(AND(DC238&lt;&gt;0,DC$5=$H238),-$I238*$E238-DC238,IF(DH$5=$H238,-$I238*$E238*(12-$J238+1)/12,0))</f>
        <v>0</v>
      </c>
      <c r="DI238" s="441">
        <f>IF($H238&lt;&gt;DM$5,0,IF(DM238&lt;0,IF($J238=1,-$E238*$I238/12*3,IF($J238=2,-$E238*$I238/12*2,IF($J238=3,-$E238*$I238/12*1,0)))))+IF(DH$5&lt;&gt;$H238,0,IF(DH238&lt;0,IF($J238=1,-$E238*$I238/12*0,IF($J238=2,-$E238*$I238/12*1,IF($J238=3,-$E238*$I238/12*2,IF($J238&gt;=4,-$E238*$I238/12*3,0))))))</f>
        <v>0</v>
      </c>
      <c r="DJ238" s="442">
        <f>IF($H238&lt;&gt;DM$5,0,IF(DM238&lt;0,IF(OR($J238=1,$J238=2,$J238=3,$J238=4),-$E238*$I238/12*3,IF($J238=5,-$E238*$I238/12*2,IF($J238=6,-$E238*$I238/12*1,0)))))+IF(DH$5&lt;&gt;$H238,0,IF(DH238&lt;0,IF($J238=4,-$E238*$I238/12*0,IF($J238=5,-$E238*$I238/12*1,IF($J238=6,-$E238*$I238/12*2,IF($J238&gt;=7,-$E238*$I238/12*3,0))))))</f>
        <v>0</v>
      </c>
      <c r="DK238" s="442">
        <f>IF($H238&lt;&gt;DM$5,0,IF(DM238&lt;0,IF(OR($J238=1,$J238=2,$J238=3,$J238=4,$J238=5,$J238=6,$J238=7),-$E238*$I238/12*3,IF($J238=8,-$E238*$I238/12*2,IF($J238=9,-$E238*$I238/12*1,0)))))+IF(DH$5&lt;&gt;$H238,0,IF(DH238&lt;0,IF($J238=7,-$E238*$I238/12*0,IF($J238=8,-$E238*$I238/12*1,IF($J238=9,-$E238*$I238/12*2,IF($J238&gt;=10,-$E238*$I238/12*3,0))))))</f>
        <v>0</v>
      </c>
      <c r="DL238" s="443">
        <f>IF($H238&lt;&gt;DM$5,0,IF(DM238&lt;0,IF(OR($J238=1,$J238=2,$J238=3,$J238=4,$J238=5,$J238=6,$J238=7,$J238=8,$J238=9,$J238=10),-$E238*$I238/12*3,IF($J238=11,-$E238*$I238/12*2,IF($J238=12,-$E238*$I238/12*1,0)))))+IF(DH$5&lt;&gt;$H238,0,IF(DH238&lt;0,IF($J238=10,-$E238*$I238/12*0,IF($J238=11,-$E238*$I238/12*1,IF($J238=12,-$E238*$I238/12*2,0)))))</f>
        <v>0</v>
      </c>
      <c r="DM238" s="440">
        <f>IF(AND(DH238&lt;&gt;0,DH$5=$H238),-$I238*$E238-DH238,IF(DM$5=$H238,-$I238*$E238*(12-$J238+1)/12,0))</f>
        <v>0</v>
      </c>
      <c r="DN238" s="441">
        <f>IF($H238&lt;&gt;DR$5,0,IF(DR238&lt;0,IF($J238=1,-$E238*$I238/12*3,IF($J238=2,-$E238*$I238/12*2,IF($J238=3,-$E238*$I238/12*1,0)))))+IF(DM$5&lt;&gt;$H238,0,IF(DM238&lt;0,IF($J238=1,-$E238*$I238/12*0,IF($J238=2,-$E238*$I238/12*1,IF($J238=3,-$E238*$I238/12*2,IF($J238&gt;=4,-$E238*$I238/12*3,0))))))</f>
        <v>0</v>
      </c>
      <c r="DO238" s="442">
        <f>IF($H238&lt;&gt;DR$5,0,IF(DR238&lt;0,IF(OR($J238=1,$J238=2,$J238=3,$J238=4),-$E238*$I238/12*3,IF($J238=5,-$E238*$I238/12*2,IF($J238=6,-$E238*$I238/12*1,0)))))+IF(DM$5&lt;&gt;$H238,0,IF(DM238&lt;0,IF($J238=4,-$E238*$I238/12*0,IF($J238=5,-$E238*$I238/12*1,IF($J238=6,-$E238*$I238/12*2,IF($J238&gt;=7,-$E238*$I238/12*3,0))))))</f>
        <v>0</v>
      </c>
      <c r="DP238" s="442">
        <f>IF($H238&lt;&gt;DR$5,0,IF(DR238&lt;0,IF(OR($J238=1,$J238=2,$J238=3,$J238=4,$J238=5,$J238=6,$J238=7),-$E238*$I238/12*3,IF($J238=8,-$E238*$I238/12*2,IF($J238=9,-$E238*$I238/12*1,0)))))+IF(DM$5&lt;&gt;$H238,0,IF(DM238&lt;0,IF($J238=7,-$E238*$I238/12*0,IF($J238=8,-$E238*$I238/12*1,IF($J238=9,-$E238*$I238/12*2,IF($J238&gt;=10,-$E238*$I238/12*3,0))))))</f>
        <v>0</v>
      </c>
      <c r="DQ238" s="443">
        <f>IF($H238&lt;&gt;DR$5,0,IF(DR238&lt;0,IF(OR($J238=1,$J238=2,$J238=3,$J238=4,$J238=5,$J238=6,$J238=7,$J238=8,$J238=9,$J238=10),-$E238*$I238/12*3,IF($J238=11,-$E238*$I238/12*2,IF($J238=12,-$E238*$I238/12*1,0)))))+IF(DM$5&lt;&gt;$H238,0,IF(DM238&lt;0,IF($J238=10,-$E238*$I238/12*0,IF($J238=11,-$E238*$I238/12*1,IF($J238=12,-$E238*$I238/12*2,0)))))</f>
        <v>0</v>
      </c>
      <c r="DR238" s="440">
        <f>IF(AND(DM238&lt;&gt;0,DM$5=$H238),-$I238*$E238-DM238,IF(DR$5=$H238,-$I238*$E238*(12-$J238+1)/12,0))</f>
        <v>0</v>
      </c>
    </row>
    <row r="239" spans="1:122" ht="12.75" customHeight="1">
      <c r="A239" s="92"/>
      <c r="B239" s="92"/>
      <c r="C239" s="1946" t="s">
        <v>1185</v>
      </c>
      <c r="D239" s="1953"/>
      <c r="E239" s="1954">
        <f>IF(F239=0,G239,F239)</f>
        <v>400</v>
      </c>
      <c r="F239" s="1757">
        <v>400</v>
      </c>
      <c r="G239" s="1757">
        <v>400</v>
      </c>
      <c r="H239" s="1374">
        <v>2044</v>
      </c>
      <c r="I239" s="1956">
        <v>0.05</v>
      </c>
      <c r="J239" s="1357">
        <v>9</v>
      </c>
      <c r="K239" s="549"/>
      <c r="L239" s="441">
        <f>IF(P239=0,0,IF(P239&lt;0,IF($J239=3,P239,IF($J239=2,P239,IF($J239=1,P239,0)))))</f>
        <v>0</v>
      </c>
      <c r="M239" s="442">
        <f>IF(P239=0,0,IF(P239&lt;0,IF($J239=6,P239,IF($J239=5,P239,IF($J239=4,P239,0)))))</f>
        <v>0</v>
      </c>
      <c r="N239" s="442">
        <f>IF(P239=0,0,IF(P239&lt;0,IF($J239=9,P239,IF($J239=8,P239,IF($J239=7,P239,0)))))</f>
        <v>0</v>
      </c>
      <c r="O239" s="443">
        <f>IF(P239=0,0,IF(P239&lt;0,IF($J239=12,P239,IF($J239=11,P239,IF($J239=10,P239,0)))))</f>
        <v>0</v>
      </c>
      <c r="P239" s="440">
        <f>IF(P$5=$H239,-$E239,0)</f>
        <v>0</v>
      </c>
      <c r="Q239" s="441">
        <f>IF(U239=0,0,IF(U239&lt;0,IF($J239=3,U239,IF($J239=2,U239,IF($J239=1,U239,0)))))</f>
        <v>0</v>
      </c>
      <c r="R239" s="442">
        <f>IF(U239=0,0,IF(U239&lt;0,IF($J239=6,U239,IF($J239=5,U239,IF($J239=4,U239,0)))))</f>
        <v>0</v>
      </c>
      <c r="S239" s="442">
        <f>IF(U239=0,0,IF(U239&lt;0,IF($J239=9,U239,IF($J239=8,U239,IF($J239=7,U239,0)))))</f>
        <v>0</v>
      </c>
      <c r="T239" s="443">
        <f>IF(U239=0,0,IF(U239&lt;0,IF($J239=12,U239,IF($J239=11,U239,IF($J239=10,U239,0)))))</f>
        <v>0</v>
      </c>
      <c r="U239" s="440">
        <f>IF(U$5=$H239,-$E239,0)</f>
        <v>0</v>
      </c>
      <c r="V239" s="441">
        <f>IF(Z239=0,0,IF(Z239&lt;0,IF($J239=3,Z239,IF($J239=2,Z239,IF($J239=1,Z239,0)))))</f>
        <v>0</v>
      </c>
      <c r="W239" s="442">
        <f>IF(Z239=0,0,IF(Z239&lt;0,IF($J239=6,Z239,IF($J239=5,Z239,IF($J239=4,Z239,0)))))</f>
        <v>0</v>
      </c>
      <c r="X239" s="442">
        <f>IF(Z239=0,0,IF(Z239&lt;0,IF($J239=9,Z239,IF($J239=8,Z239,IF($J239=7,Z239,0)))))</f>
        <v>0</v>
      </c>
      <c r="Y239" s="443">
        <f>IF(Z239=0,0,IF(Z239&lt;0,IF($J239=12,Z239,IF($J239=11,Z239,IF($J239=10,Z239,0)))))</f>
        <v>0</v>
      </c>
      <c r="Z239" s="440">
        <f>IF(Z$5=$H239,-$E239,0)</f>
        <v>0</v>
      </c>
      <c r="AA239" s="441">
        <f>IF(AE239=0,0,IF(AE239&lt;0,IF($J239=3,AE239,IF($J239=2,AE239,IF($J239=1,AE239,0)))))</f>
        <v>0</v>
      </c>
      <c r="AB239" s="442">
        <f>IF(AE239=0,0,IF(AE239&lt;0,IF($J239=6,AE239,IF($J239=5,AE239,IF($J239=4,AE239,0)))))</f>
        <v>0</v>
      </c>
      <c r="AC239" s="442">
        <f>IF(AE239=0,0,IF(AE239&lt;0,IF($J239=9,AE239,IF($J239=8,AE239,IF($J239=7,AE239,0)))))</f>
        <v>0</v>
      </c>
      <c r="AD239" s="443">
        <f>IF(AE239=0,0,IF(AE239&lt;0,IF($J239=12,AE239,IF($J239=11,AE239,IF($J239=10,AE239,0)))))</f>
        <v>0</v>
      </c>
      <c r="AE239" s="440">
        <f>IF(AE$5=$H239,-$E239,0)</f>
        <v>0</v>
      </c>
      <c r="AF239" s="441">
        <f>IF(AJ239=0,0,IF(AJ239&lt;0,IF($J239=3,AJ239,IF($J239=2,AJ239,IF($J239=1,AJ239,0)))))</f>
        <v>0</v>
      </c>
      <c r="AG239" s="442">
        <f>IF(AJ239=0,0,IF(AJ239&lt;0,IF($J239=6,AJ239,IF($J239=5,AJ239,IF($J239=4,AJ239,0)))))</f>
        <v>0</v>
      </c>
      <c r="AH239" s="442">
        <f>IF(AJ239=0,0,IF(AJ239&lt;0,IF($J239=9,AJ239,IF($J239=8,AJ239,IF($J239=7,AJ239,0)))))</f>
        <v>0</v>
      </c>
      <c r="AI239" s="443">
        <f>IF(AJ239=0,0,IF(AJ239&lt;0,IF($J239=12,AJ239,IF($J239=11,AJ239,IF($J239=10,AJ239,0)))))</f>
        <v>0</v>
      </c>
      <c r="AJ239" s="440">
        <f>IF(AJ$5=$H239,-$E239,0)</f>
        <v>0</v>
      </c>
      <c r="AK239" s="441">
        <f>IF(AO239=0,0,IF(AO239&lt;0,IF($J239=3,AO239,IF($J239=2,AO239,IF($J239=1,AO239,0)))))</f>
        <v>0</v>
      </c>
      <c r="AL239" s="442">
        <f>IF(AO239=0,0,IF(AO239&lt;0,IF($J239=6,AO239,IF($J239=5,AO239,IF($J239=4,AO239,0)))))</f>
        <v>0</v>
      </c>
      <c r="AM239" s="442">
        <f>IF(AO239=0,0,IF(AO239&lt;0,IF($J239=9,AO239,IF($J239=8,AO239,IF($J239=7,AO239,0)))))</f>
        <v>0</v>
      </c>
      <c r="AN239" s="443">
        <f>IF(AO239=0,0,IF(AO239&lt;0,IF($J239=12,AO239,IF($J239=11,AO239,IF($J239=10,AO239,0)))))</f>
        <v>0</v>
      </c>
      <c r="AO239" s="440">
        <f>IF(AO$5=$H239,-$E239,0)</f>
        <v>0</v>
      </c>
      <c r="AP239" s="441">
        <f>IF(AT239=0,0,IF(AT239&lt;0,IF($J239=3,AT239,IF($J239=2,AT239,IF($J239=1,AT239,0)))))</f>
        <v>0</v>
      </c>
      <c r="AQ239" s="442">
        <f>IF(AT239=0,0,IF(AT239&lt;0,IF($J239=6,AT239,IF($J239=5,AT239,IF($J239=4,AT239,0)))))</f>
        <v>0</v>
      </c>
      <c r="AR239" s="442">
        <f>IF(AT239=0,0,IF(AT239&lt;0,IF($J239=9,AT239,IF($J239=8,AT239,IF($J239=7,AT239,0)))))</f>
        <v>0</v>
      </c>
      <c r="AS239" s="443">
        <f>IF(AT239=0,0,IF(AT239&lt;0,IF($J239=12,AT239,IF($J239=11,AT239,IF($J239=10,AT239,0)))))</f>
        <v>0</v>
      </c>
      <c r="AT239" s="440">
        <f>IF(AT$5=$H239,-$E239,0)</f>
        <v>0</v>
      </c>
      <c r="AU239" s="441">
        <f>IF(AY239=0,0,IF(AY239&lt;0,IF($J239=3,AY239,IF($J239=2,AY239,IF($J239=1,AY239,0)))))</f>
        <v>0</v>
      </c>
      <c r="AV239" s="442">
        <f>IF(AY239=0,0,IF(AY239&lt;0,IF($J239=6,AY239,IF($J239=5,AY239,IF($J239=4,AY239,0)))))</f>
        <v>0</v>
      </c>
      <c r="AW239" s="442">
        <f>IF(AY239=0,0,IF(AY239&lt;0,IF($J239=9,AY239,IF($J239=8,AY239,IF($J239=7,AY239,0)))))</f>
        <v>0</v>
      </c>
      <c r="AX239" s="443">
        <f>IF(AY239=0,0,IF(AY239&lt;0,IF($J239=12,AY239,IF($J239=11,AY239,IF($J239=10,AY239,0)))))</f>
        <v>0</v>
      </c>
      <c r="AY239" s="440">
        <f>IF(AY$5=$H239,-$E239,0)</f>
        <v>0</v>
      </c>
      <c r="AZ239" s="441">
        <f>IF(BD239=0,0,IF(BD239&lt;0,IF($J239=3,BD239,IF($J239=2,BD239,IF($J239=1,BD239,0)))))</f>
        <v>0</v>
      </c>
      <c r="BA239" s="442">
        <f>IF(BD239=0,0,IF(BD239&lt;0,IF($J239=6,BD239,IF($J239=5,BD239,IF($J239=4,BD239,0)))))</f>
        <v>0</v>
      </c>
      <c r="BB239" s="442">
        <f>IF(BD239=0,0,IF(BD239&lt;0,IF($J239=9,BD239,IF($J239=8,BD239,IF($J239=7,BD239,0)))))</f>
        <v>0</v>
      </c>
      <c r="BC239" s="443">
        <f>IF(BD239=0,0,IF(BD239&lt;0,IF($J239=12,BD239,IF($J239=11,BD239,IF($J239=10,BD239,0)))))</f>
        <v>0</v>
      </c>
      <c r="BD239" s="440">
        <f>IF(BD$5=$H239,-$E239,0)</f>
        <v>0</v>
      </c>
      <c r="BE239" s="441">
        <f>IF(BI239=0,0,IF(BI239&lt;0,IF($J239=3,BI239,IF($J239=2,BI239,IF($J239=1,BI239,0)))))</f>
        <v>0</v>
      </c>
      <c r="BF239" s="442">
        <f>IF(BI239=0,0,IF(BI239&lt;0,IF($J239=6,BI239,IF($J239=5,BI239,IF($J239=4,BI239,0)))))</f>
        <v>0</v>
      </c>
      <c r="BG239" s="442">
        <f>IF(BI239=0,0,IF(BI239&lt;0,IF($J239=9,BI239,IF($J239=8,BI239,IF($J239=7,BI239,0)))))</f>
        <v>0</v>
      </c>
      <c r="BH239" s="443">
        <f>IF(BI239=0,0,IF(BI239&lt;0,IF($J239=12,BI239,IF($J239=11,BI239,IF($J239=10,BI239,0)))))</f>
        <v>0</v>
      </c>
      <c r="BI239" s="440">
        <f>IF(BI$5=$H239,-$E239,0)</f>
        <v>0</v>
      </c>
      <c r="BJ239" s="441">
        <f>IF(BN239=0,0,IF(BN239&lt;0,IF($J239=3,BN239,IF($J239=2,BN239,IF($J239=1,BN239,0)))))</f>
        <v>0</v>
      </c>
      <c r="BK239" s="442">
        <f>IF(BN239=0,0,IF(BN239&lt;0,IF($J239=6,BN239,IF($J239=5,BN239,IF($J239=4,BN239,0)))))</f>
        <v>0</v>
      </c>
      <c r="BL239" s="442">
        <f>IF(BN239=0,0,IF(BN239&lt;0,IF($J239=9,BN239,IF($J239=8,BN239,IF($J239=7,BN239,0)))))</f>
        <v>0</v>
      </c>
      <c r="BM239" s="443">
        <f>IF(BN239=0,0,IF(BN239&lt;0,IF($J239=12,BN239,IF($J239=11,BN239,IF($J239=10,BN239,0)))))</f>
        <v>0</v>
      </c>
      <c r="BN239" s="440">
        <f>IF(BN$5=$H239,-$E239,0)</f>
        <v>0</v>
      </c>
      <c r="BO239" s="470"/>
      <c r="BP239" s="441">
        <f>IF($H239&lt;&gt;BT$5,0,IF(BT239&lt;0,IF($J239=1,-$E239*$I239/12*3,IF($J239=2,-$E239*$I239/12*2,IF($J239=3,-$E239*$I239/12*1,0)))))+IF(BO$5&lt;&gt;$H239,0,IF(BO239&lt;0,IF($J239=1,-$E239*$I239/12*0,IF($J239=2,-$E239*$I239/12*1,IF($J239=3,-$E239*$I239/12*2,IF($J239&gt;=4,-$E239*$I239/12*3,0))))))</f>
        <v>0</v>
      </c>
      <c r="BQ239" s="442">
        <f>IF($H239&lt;&gt;BT$5,0,IF(BT239&lt;0,IF(OR($J239=1,$J239=2,$J239=3,$J239=4),-$E239*$I239/12*3,IF($J239=5,-$E239*$I239/12*2,IF($J239=6,-$E239*$I239/12*1,0)))))+IF(BO$5&lt;&gt;$H239,0,IF(BO239&lt;0,IF($J239=4,-$E239*$I239/12*0,IF($J239=5,-$E239*$I239/12*1,IF($J239=6,-$E239*$I239/12*2,IF($J239&gt;=7,-$E239*$I239/12*3,0))))))</f>
        <v>0</v>
      </c>
      <c r="BR239" s="442">
        <f>IF($H239&lt;&gt;BT$5,0,IF(BT239&lt;0,IF(OR($J239=1,$J239=2,$J239=3,$J239=4,$J239=5,$J239=6,$J239=7),-$E239*$I239/12*3,IF($J239=8,-$E239*$I239/12*2,IF($J239=9,-$E239*$I239/12*1,0)))))+IF(BO$5&lt;&gt;$H239,0,IF(BO239&lt;0,IF($J239=7,-$E239*$I239/12*0,IF($J239=8,-$E239*$I239/12*1,IF($J239=9,-$E239*$I239/12*2,IF($J239&gt;=10,-$E239*$I239/12*3,0))))))</f>
        <v>0</v>
      </c>
      <c r="BS239" s="443">
        <f>IF($H239&lt;&gt;BT$5,0,IF(BT239&lt;0,IF(OR($J239=1,$J239=2,$J239=3,$J239=4,$J239=5,$J239=6,$J239=7,$J239=8,$J239=9,$J239=10),-$E239*$I239/12*3,IF($J239=11,-$E239*$I239/12*2,IF($J239=12,-$E239*$I239/12*1,0)))))+IF(BO$5&lt;&gt;$H239,0,IF(BO239&lt;0,IF($J239=10,-$E239*$I239/12*0,IF($J239=11,-$E239*$I239/12*1,IF($J239=12,-$E239*$I239/12*2,0)))))</f>
        <v>0</v>
      </c>
      <c r="BT239" s="440">
        <f>IF(AND(BO239&lt;&gt;0,BO$5=$H239),-$I239*$E239-BO239,IF(BT$5=$H239,-$I239*$E239*(12-$J239+1)/12,0))</f>
        <v>0</v>
      </c>
      <c r="BU239" s="441">
        <f>IF($H239&lt;&gt;BY$5,0,IF(BY239&lt;0,IF($J239=1,-$E239*$I239/12*3,IF($J239=2,-$E239*$I239/12*2,IF($J239=3,-$E239*$I239/12*1,0)))))+IF(BT$5&lt;&gt;$H239,0,IF(BT239&lt;0,IF($J239=1,-$E239*$I239/12*0,IF($J239=2,-$E239*$I239/12*1,IF($J239=3,-$E239*$I239/12*2,IF($J239&gt;=4,-$E239*$I239/12*3,0))))))</f>
        <v>0</v>
      </c>
      <c r="BV239" s="442">
        <f>IF($H239&lt;&gt;BY$5,0,IF(BY239&lt;0,IF(OR($J239=1,$J239=2,$J239=3,$J239=4),-$E239*$I239/12*3,IF($J239=5,-$E239*$I239/12*2,IF($J239=6,-$E239*$I239/12*1,0)))))+IF(BT$5&lt;&gt;$H239,0,IF(BT239&lt;0,IF($J239=4,-$E239*$I239/12*0,IF($J239=5,-$E239*$I239/12*1,IF($J239=6,-$E239*$I239/12*2,IF($J239&gt;=7,-$E239*$I239/12*3,0))))))</f>
        <v>0</v>
      </c>
      <c r="BW239" s="442">
        <f>IF($H239&lt;&gt;BY$5,0,IF(BY239&lt;0,IF(OR($J239=1,$J239=2,$J239=3,$J239=4,$J239=5,$J239=6,$J239=7),-$E239*$I239/12*3,IF($J239=8,-$E239*$I239/12*2,IF($J239=9,-$E239*$I239/12*1,0)))))+IF(BT$5&lt;&gt;$H239,0,IF(BT239&lt;0,IF($J239=7,-$E239*$I239/12*0,IF($J239=8,-$E239*$I239/12*1,IF($J239=9,-$E239*$I239/12*2,IF($J239&gt;=10,-$E239*$I239/12*3,0))))))</f>
        <v>0</v>
      </c>
      <c r="BX239" s="443">
        <f>IF($H239&lt;&gt;BY$5,0,IF(BY239&lt;0,IF(OR($J239=1,$J239=2,$J239=3,$J239=4,$J239=5,$J239=6,$J239=7,$J239=8,$J239=9,$J239=10),-$E239*$I239/12*3,IF($J239=11,-$E239*$I239/12*2,IF($J239=12,-$E239*$I239/12*1,0)))))+IF(BT$5&lt;&gt;$H239,0,IF(BT239&lt;0,IF($J239=10,-$E239*$I239/12*0,IF($J239=11,-$E239*$I239/12*1,IF($J239=12,-$E239*$I239/12*2,0)))))</f>
        <v>0</v>
      </c>
      <c r="BY239" s="440">
        <f>IF(AND(BT239&lt;&gt;0,BT$5=$H239),-$I239*$E239-BT239,IF(BY$5=$H239,-$I239*$E239*(12-$J239+1)/12,0))</f>
        <v>0</v>
      </c>
      <c r="BZ239" s="441">
        <f>IF($H239&lt;&gt;CD$5,0,IF(CD239&lt;0,IF($J239=1,-$E239*$I239/12*3,IF($J239=2,-$E239*$I239/12*2,IF($J239=3,-$E239*$I239/12*1,0)))))+IF(BY$5&lt;&gt;$H239,0,IF(BY239&lt;0,IF($J239=1,-$E239*$I239/12*0,IF($J239=2,-$E239*$I239/12*1,IF($J239=3,-$E239*$I239/12*2,IF($J239&gt;=4,-$E239*$I239/12*3,0))))))</f>
        <v>0</v>
      </c>
      <c r="CA239" s="442">
        <f>IF($H239&lt;&gt;CD$5,0,IF(CD239&lt;0,IF(OR($J239=1,$J239=2,$J239=3,$J239=4),-$E239*$I239/12*3,IF($J239=5,-$E239*$I239/12*2,IF($J239=6,-$E239*$I239/12*1,0)))))+IF(BY$5&lt;&gt;$H239,0,IF(BY239&lt;0,IF($J239=4,-$E239*$I239/12*0,IF($J239=5,-$E239*$I239/12*1,IF($J239=6,-$E239*$I239/12*2,IF($J239&gt;=7,-$E239*$I239/12*3,0))))))</f>
        <v>0</v>
      </c>
      <c r="CB239" s="442">
        <f>IF($H239&lt;&gt;CD$5,0,IF(CD239&lt;0,IF(OR($J239=1,$J239=2,$J239=3,$J239=4,$J239=5,$J239=6,$J239=7),-$E239*$I239/12*3,IF($J239=8,-$E239*$I239/12*2,IF($J239=9,-$E239*$I239/12*1,0)))))+IF(BY$5&lt;&gt;$H239,0,IF(BY239&lt;0,IF($J239=7,-$E239*$I239/12*0,IF($J239=8,-$E239*$I239/12*1,IF($J239=9,-$E239*$I239/12*2,IF($J239&gt;=10,-$E239*$I239/12*3,0))))))</f>
        <v>0</v>
      </c>
      <c r="CC239" s="443">
        <f>IF($H239&lt;&gt;CD$5,0,IF(CD239&lt;0,IF(OR($J239=1,$J239=2,$J239=3,$J239=4,$J239=5,$J239=6,$J239=7,$J239=8,$J239=9,$J239=10),-$E239*$I239/12*3,IF($J239=11,-$E239*$I239/12*2,IF($J239=12,-$E239*$I239/12*1,0)))))+IF(BY$5&lt;&gt;$H239,0,IF(BY239&lt;0,IF($J239=10,-$E239*$I239/12*0,IF($J239=11,-$E239*$I239/12*1,IF($J239=12,-$E239*$I239/12*2,0)))))</f>
        <v>0</v>
      </c>
      <c r="CD239" s="440">
        <f>IF(AND(BY239&lt;&gt;0,BY$5=$H239),-$I239*$E239-BY239,IF(CD$5=$H239,-$I239*$E239*(12-$J239+1)/12,0))</f>
        <v>0</v>
      </c>
      <c r="CE239" s="441">
        <f>IF($H239&lt;&gt;CI$5,0,IF(CI239&lt;0,IF($J239=1,-$E239*$I239/12*3,IF($J239=2,-$E239*$I239/12*2,IF($J239=3,-$E239*$I239/12*1,0)))))+IF(CD$5&lt;&gt;$H239,0,IF(CD239&lt;0,IF($J239=1,-$E239*$I239/12*0,IF($J239=2,-$E239*$I239/12*1,IF($J239=3,-$E239*$I239/12*2,IF($J239&gt;=4,-$E239*$I239/12*3,0))))))</f>
        <v>0</v>
      </c>
      <c r="CF239" s="442">
        <f>IF($H239&lt;&gt;CI$5,0,IF(CI239&lt;0,IF(OR($J239=1,$J239=2,$J239=3,$J239=4),-$E239*$I239/12*3,IF($J239=5,-$E239*$I239/12*2,IF($J239=6,-$E239*$I239/12*1,0)))))+IF(CD$5&lt;&gt;$H239,0,IF(CD239&lt;0,IF($J239=4,-$E239*$I239/12*0,IF($J239=5,-$E239*$I239/12*1,IF($J239=6,-$E239*$I239/12*2,IF($J239&gt;=7,-$E239*$I239/12*3,0))))))</f>
        <v>0</v>
      </c>
      <c r="CG239" s="442">
        <f>IF($H239&lt;&gt;CI$5,0,IF(CI239&lt;0,IF(OR($J239=1,$J239=2,$J239=3,$J239=4,$J239=5,$J239=6,$J239=7),-$E239*$I239/12*3,IF($J239=8,-$E239*$I239/12*2,IF($J239=9,-$E239*$I239/12*1,0)))))+IF(CD$5&lt;&gt;$H239,0,IF(CD239&lt;0,IF($J239=7,-$E239*$I239/12*0,IF($J239=8,-$E239*$I239/12*1,IF($J239=9,-$E239*$I239/12*2,IF($J239&gt;=10,-$E239*$I239/12*3,0))))))</f>
        <v>0</v>
      </c>
      <c r="CH239" s="443">
        <f>IF($H239&lt;&gt;CI$5,0,IF(CI239&lt;0,IF(OR($J239=1,$J239=2,$J239=3,$J239=4,$J239=5,$J239=6,$J239=7,$J239=8,$J239=9,$J239=10),-$E239*$I239/12*3,IF($J239=11,-$E239*$I239/12*2,IF($J239=12,-$E239*$I239/12*1,0)))))+IF(CD$5&lt;&gt;$H239,0,IF(CD239&lt;0,IF($J239=10,-$E239*$I239/12*0,IF($J239=11,-$E239*$I239/12*1,IF($J239=12,-$E239*$I239/12*2,0)))))</f>
        <v>0</v>
      </c>
      <c r="CI239" s="440">
        <f>IF(AND(CD239&lt;&gt;0,CD$5=$H239),-$I239*$E239-CD239,IF(CI$5=$H239,-$I239*$E239*(12-$J239+1)/12,0))</f>
        <v>0</v>
      </c>
      <c r="CJ239" s="441">
        <f>IF($H239&lt;&gt;CN$5,0,IF(CN239&lt;0,IF($J239=1,-$E239*$I239/12*3,IF($J239=2,-$E239*$I239/12*2,IF($J239=3,-$E239*$I239/12*1,0)))))+IF(CI$5&lt;&gt;$H239,0,IF(CI239&lt;0,IF($J239=1,-$E239*$I239/12*0,IF($J239=2,-$E239*$I239/12*1,IF($J239=3,-$E239*$I239/12*2,IF($J239&gt;=4,-$E239*$I239/12*3,0))))))</f>
        <v>0</v>
      </c>
      <c r="CK239" s="442">
        <f>IF($H239&lt;&gt;CN$5,0,IF(CN239&lt;0,IF(OR($J239=1,$J239=2,$J239=3,$J239=4),-$E239*$I239/12*3,IF($J239=5,-$E239*$I239/12*2,IF($J239=6,-$E239*$I239/12*1,0)))))+IF(CI$5&lt;&gt;$H239,0,IF(CI239&lt;0,IF($J239=4,-$E239*$I239/12*0,IF($J239=5,-$E239*$I239/12*1,IF($J239=6,-$E239*$I239/12*2,IF($J239&gt;=7,-$E239*$I239/12*3,0))))))</f>
        <v>0</v>
      </c>
      <c r="CL239" s="442">
        <f>IF($H239&lt;&gt;CN$5,0,IF(CN239&lt;0,IF(OR($J239=1,$J239=2,$J239=3,$J239=4,$J239=5,$J239=6,$J239=7),-$E239*$I239/12*3,IF($J239=8,-$E239*$I239/12*2,IF($J239=9,-$E239*$I239/12*1,0)))))+IF(CI$5&lt;&gt;$H239,0,IF(CI239&lt;0,IF($J239=7,-$E239*$I239/12*0,IF($J239=8,-$E239*$I239/12*1,IF($J239=9,-$E239*$I239/12*2,IF($J239&gt;=10,-$E239*$I239/12*3,0))))))</f>
        <v>0</v>
      </c>
      <c r="CM239" s="443">
        <f>IF($H239&lt;&gt;CN$5,0,IF(CN239&lt;0,IF(OR($J239=1,$J239=2,$J239=3,$J239=4,$J239=5,$J239=6,$J239=7,$J239=8,$J239=9,$J239=10),-$E239*$I239/12*3,IF($J239=11,-$E239*$I239/12*2,IF($J239=12,-$E239*$I239/12*1,0)))))+IF(CI$5&lt;&gt;$H239,0,IF(CI239&lt;0,IF($J239=10,-$E239*$I239/12*0,IF($J239=11,-$E239*$I239/12*1,IF($J239=12,-$E239*$I239/12*2,0)))))</f>
        <v>0</v>
      </c>
      <c r="CN239" s="440">
        <f>IF(AND(CI239&lt;&gt;0,CI$5=$H239),-$I239*$E239-CI239,IF(CN$5=$H239,-$I239*$E239*(12-$J239+1)/12,0))</f>
        <v>0</v>
      </c>
      <c r="CO239" s="441">
        <f>IF($H239&lt;&gt;CS$5,0,IF(CS239&lt;0,IF($J239=1,-$E239*$I239/12*3,IF($J239=2,-$E239*$I239/12*2,IF($J239=3,-$E239*$I239/12*1,0)))))+IF(CN$5&lt;&gt;$H239,0,IF(CN239&lt;0,IF($J239=1,-$E239*$I239/12*0,IF($J239=2,-$E239*$I239/12*1,IF($J239=3,-$E239*$I239/12*2,IF($J239&gt;=4,-$E239*$I239/12*3,0))))))</f>
        <v>0</v>
      </c>
      <c r="CP239" s="442">
        <f>IF($H239&lt;&gt;CS$5,0,IF(CS239&lt;0,IF(OR($J239=1,$J239=2,$J239=3,$J239=4),-$E239*$I239/12*3,IF($J239=5,-$E239*$I239/12*2,IF($J239=6,-$E239*$I239/12*1,0)))))+IF(CN$5&lt;&gt;$H239,0,IF(CN239&lt;0,IF($J239=4,-$E239*$I239/12*0,IF($J239=5,-$E239*$I239/12*1,IF($J239=6,-$E239*$I239/12*2,IF($J239&gt;=7,-$E239*$I239/12*3,0))))))</f>
        <v>0</v>
      </c>
      <c r="CQ239" s="442">
        <f>IF($H239&lt;&gt;CS$5,0,IF(CS239&lt;0,IF(OR($J239=1,$J239=2,$J239=3,$J239=4,$J239=5,$J239=6,$J239=7),-$E239*$I239/12*3,IF($J239=8,-$E239*$I239/12*2,IF($J239=9,-$E239*$I239/12*1,0)))))+IF(CN$5&lt;&gt;$H239,0,IF(CN239&lt;0,IF($J239=7,-$E239*$I239/12*0,IF($J239=8,-$E239*$I239/12*1,IF($J239=9,-$E239*$I239/12*2,IF($J239&gt;=10,-$E239*$I239/12*3,0))))))</f>
        <v>0</v>
      </c>
      <c r="CR239" s="443">
        <f>IF($H239&lt;&gt;CS$5,0,IF(CS239&lt;0,IF(OR($J239=1,$J239=2,$J239=3,$J239=4,$J239=5,$J239=6,$J239=7,$J239=8,$J239=9,$J239=10),-$E239*$I239/12*3,IF($J239=11,-$E239*$I239/12*2,IF($J239=12,-$E239*$I239/12*1,0)))))+IF(CN$5&lt;&gt;$H239,0,IF(CN239&lt;0,IF($J239=10,-$E239*$I239/12*0,IF($J239=11,-$E239*$I239/12*1,IF($J239=12,-$E239*$I239/12*2,0)))))</f>
        <v>0</v>
      </c>
      <c r="CS239" s="440">
        <f>IF(AND(CN239&lt;&gt;0,CN$5=$H239),-$I239*$E239-CN239,IF(CS$5=$H239,-$I239*$E239*(12-$J239+1)/12,0))</f>
        <v>0</v>
      </c>
      <c r="CT239" s="441">
        <f>IF($H239&lt;&gt;CX$5,0,IF(CX239&lt;0,IF($J239=1,-$E239*$I239/12*3,IF($J239=2,-$E239*$I239/12*2,IF($J239=3,-$E239*$I239/12*1,0)))))+IF(CS$5&lt;&gt;$H239,0,IF(CS239&lt;0,IF($J239=1,-$E239*$I239/12*0,IF($J239=2,-$E239*$I239/12*1,IF($J239=3,-$E239*$I239/12*2,IF($J239&gt;=4,-$E239*$I239/12*3,0))))))</f>
        <v>0</v>
      </c>
      <c r="CU239" s="442">
        <f>IF($H239&lt;&gt;CX$5,0,IF(CX239&lt;0,IF(OR($J239=1,$J239=2,$J239=3,$J239=4),-$E239*$I239/12*3,IF($J239=5,-$E239*$I239/12*2,IF($J239=6,-$E239*$I239/12*1,0)))))+IF(CS$5&lt;&gt;$H239,0,IF(CS239&lt;0,IF($J239=4,-$E239*$I239/12*0,IF($J239=5,-$E239*$I239/12*1,IF($J239=6,-$E239*$I239/12*2,IF($J239&gt;=7,-$E239*$I239/12*3,0))))))</f>
        <v>0</v>
      </c>
      <c r="CV239" s="442">
        <f>IF($H239&lt;&gt;CX$5,0,IF(CX239&lt;0,IF(OR($J239=1,$J239=2,$J239=3,$J239=4,$J239=5,$J239=6,$J239=7),-$E239*$I239/12*3,IF($J239=8,-$E239*$I239/12*2,IF($J239=9,-$E239*$I239/12*1,0)))))+IF(CS$5&lt;&gt;$H239,0,IF(CS239&lt;0,IF($J239=7,-$E239*$I239/12*0,IF($J239=8,-$E239*$I239/12*1,IF($J239=9,-$E239*$I239/12*2,IF($J239&gt;=10,-$E239*$I239/12*3,0))))))</f>
        <v>0</v>
      </c>
      <c r="CW239" s="443">
        <f>IF($H239&lt;&gt;CX$5,0,IF(CX239&lt;0,IF(OR($J239=1,$J239=2,$J239=3,$J239=4,$J239=5,$J239=6,$J239=7,$J239=8,$J239=9,$J239=10),-$E239*$I239/12*3,IF($J239=11,-$E239*$I239/12*2,IF($J239=12,-$E239*$I239/12*1,0)))))+IF(CS$5&lt;&gt;$H239,0,IF(CS239&lt;0,IF($J239=10,-$E239*$I239/12*0,IF($J239=11,-$E239*$I239/12*1,IF($J239=12,-$E239*$I239/12*2,0)))))</f>
        <v>0</v>
      </c>
      <c r="CX239" s="440">
        <f>IF(AND(CS239&lt;&gt;0,CS$5=$H239),-$I239*$E239-CS239,IF(CX$5=$H239,-$I239*$E239*(12-$J239+1)/12,0))</f>
        <v>0</v>
      </c>
      <c r="CY239" s="441">
        <f>IF($H239&lt;&gt;DC$5,0,IF(DC239&lt;0,IF($J239=1,-$E239*$I239/12*3,IF($J239=2,-$E239*$I239/12*2,IF($J239=3,-$E239*$I239/12*1,0)))))+IF(CX$5&lt;&gt;$H239,0,IF(CX239&lt;0,IF($J239=1,-$E239*$I239/12*0,IF($J239=2,-$E239*$I239/12*1,IF($J239=3,-$E239*$I239/12*2,IF($J239&gt;=4,-$E239*$I239/12*3,0))))))</f>
        <v>0</v>
      </c>
      <c r="CZ239" s="442">
        <f>IF($H239&lt;&gt;DC$5,0,IF(DC239&lt;0,IF(OR($J239=1,$J239=2,$J239=3,$J239=4),-$E239*$I239/12*3,IF($J239=5,-$E239*$I239/12*2,IF($J239=6,-$E239*$I239/12*1,0)))))+IF(CX$5&lt;&gt;$H239,0,IF(CX239&lt;0,IF($J239=4,-$E239*$I239/12*0,IF($J239=5,-$E239*$I239/12*1,IF($J239=6,-$E239*$I239/12*2,IF($J239&gt;=7,-$E239*$I239/12*3,0))))))</f>
        <v>0</v>
      </c>
      <c r="DA239" s="442">
        <f>IF($H239&lt;&gt;DC$5,0,IF(DC239&lt;0,IF(OR($J239=1,$J239=2,$J239=3,$J239=4,$J239=5,$J239=6,$J239=7),-$E239*$I239/12*3,IF($J239=8,-$E239*$I239/12*2,IF($J239=9,-$E239*$I239/12*1,0)))))+IF(CX$5&lt;&gt;$H239,0,IF(CX239&lt;0,IF($J239=7,-$E239*$I239/12*0,IF($J239=8,-$E239*$I239/12*1,IF($J239=9,-$E239*$I239/12*2,IF($J239&gt;=10,-$E239*$I239/12*3,0))))))</f>
        <v>0</v>
      </c>
      <c r="DB239" s="443">
        <f>IF($H239&lt;&gt;DC$5,0,IF(DC239&lt;0,IF(OR($J239=1,$J239=2,$J239=3,$J239=4,$J239=5,$J239=6,$J239=7,$J239=8,$J239=9,$J239=10),-$E239*$I239/12*3,IF($J239=11,-$E239*$I239/12*2,IF($J239=12,-$E239*$I239/12*1,0)))))+IF(CX$5&lt;&gt;$H239,0,IF(CX239&lt;0,IF($J239=10,-$E239*$I239/12*0,IF($J239=11,-$E239*$I239/12*1,IF($J239=12,-$E239*$I239/12*2,0)))))</f>
        <v>0</v>
      </c>
      <c r="DC239" s="440">
        <f>IF(AND(CX239&lt;&gt;0,CX$5=$H239),-$I239*$E239-CX239,IF(DC$5=$H239,-$I239*$E239*(12-$J239+1)/12,0))</f>
        <v>0</v>
      </c>
      <c r="DD239" s="441">
        <f>IF($H239&lt;&gt;DH$5,0,IF(DH239&lt;0,IF($J239=1,-$E239*$I239/12*3,IF($J239=2,-$E239*$I239/12*2,IF($J239=3,-$E239*$I239/12*1,0)))))+IF(DC$5&lt;&gt;$H239,0,IF(DC239&lt;0,IF($J239=1,-$E239*$I239/12*0,IF($J239=2,-$E239*$I239/12*1,IF($J239=3,-$E239*$I239/12*2,IF($J239&gt;=4,-$E239*$I239/12*3,0))))))</f>
        <v>0</v>
      </c>
      <c r="DE239" s="442">
        <f>IF($H239&lt;&gt;DH$5,0,IF(DH239&lt;0,IF(OR($J239=1,$J239=2,$J239=3,$J239=4),-$E239*$I239/12*3,IF($J239=5,-$E239*$I239/12*2,IF($J239=6,-$E239*$I239/12*1,0)))))+IF(DC$5&lt;&gt;$H239,0,IF(DC239&lt;0,IF($J239=4,-$E239*$I239/12*0,IF($J239=5,-$E239*$I239/12*1,IF($J239=6,-$E239*$I239/12*2,IF($J239&gt;=7,-$E239*$I239/12*3,0))))))</f>
        <v>0</v>
      </c>
      <c r="DF239" s="442">
        <f>IF($H239&lt;&gt;DH$5,0,IF(DH239&lt;0,IF(OR($J239=1,$J239=2,$J239=3,$J239=4,$J239=5,$J239=6,$J239=7),-$E239*$I239/12*3,IF($J239=8,-$E239*$I239/12*2,IF($J239=9,-$E239*$I239/12*1,0)))))+IF(DC$5&lt;&gt;$H239,0,IF(DC239&lt;0,IF($J239=7,-$E239*$I239/12*0,IF($J239=8,-$E239*$I239/12*1,IF($J239=9,-$E239*$I239/12*2,IF($J239&gt;=10,-$E239*$I239/12*3,0))))))</f>
        <v>0</v>
      </c>
      <c r="DG239" s="443">
        <f>IF($H239&lt;&gt;DH$5,0,IF(DH239&lt;0,IF(OR($J239=1,$J239=2,$J239=3,$J239=4,$J239=5,$J239=6,$J239=7,$J239=8,$J239=9,$J239=10),-$E239*$I239/12*3,IF($J239=11,-$E239*$I239/12*2,IF($J239=12,-$E239*$I239/12*1,0)))))+IF(DC$5&lt;&gt;$H239,0,IF(DC239&lt;0,IF($J239=10,-$E239*$I239/12*0,IF($J239=11,-$E239*$I239/12*1,IF($J239=12,-$E239*$I239/12*2,0)))))</f>
        <v>0</v>
      </c>
      <c r="DH239" s="440">
        <f>IF(AND(DC239&lt;&gt;0,DC$5=$H239),-$I239*$E239-DC239,IF(DH$5=$H239,-$I239*$E239*(12-$J239+1)/12,0))</f>
        <v>0</v>
      </c>
      <c r="DI239" s="441">
        <f>IF($H239&lt;&gt;DM$5,0,IF(DM239&lt;0,IF($J239=1,-$E239*$I239/12*3,IF($J239=2,-$E239*$I239/12*2,IF($J239=3,-$E239*$I239/12*1,0)))))+IF(DH$5&lt;&gt;$H239,0,IF(DH239&lt;0,IF($J239=1,-$E239*$I239/12*0,IF($J239=2,-$E239*$I239/12*1,IF($J239=3,-$E239*$I239/12*2,IF($J239&gt;=4,-$E239*$I239/12*3,0))))))</f>
        <v>0</v>
      </c>
      <c r="DJ239" s="442">
        <f>IF($H239&lt;&gt;DM$5,0,IF(DM239&lt;0,IF(OR($J239=1,$J239=2,$J239=3,$J239=4),-$E239*$I239/12*3,IF($J239=5,-$E239*$I239/12*2,IF($J239=6,-$E239*$I239/12*1,0)))))+IF(DH$5&lt;&gt;$H239,0,IF(DH239&lt;0,IF($J239=4,-$E239*$I239/12*0,IF($J239=5,-$E239*$I239/12*1,IF($J239=6,-$E239*$I239/12*2,IF($J239&gt;=7,-$E239*$I239/12*3,0))))))</f>
        <v>0</v>
      </c>
      <c r="DK239" s="442">
        <f>IF($H239&lt;&gt;DM$5,0,IF(DM239&lt;0,IF(OR($J239=1,$J239=2,$J239=3,$J239=4,$J239=5,$J239=6,$J239=7),-$E239*$I239/12*3,IF($J239=8,-$E239*$I239/12*2,IF($J239=9,-$E239*$I239/12*1,0)))))+IF(DH$5&lt;&gt;$H239,0,IF(DH239&lt;0,IF($J239=7,-$E239*$I239/12*0,IF($J239=8,-$E239*$I239/12*1,IF($J239=9,-$E239*$I239/12*2,IF($J239&gt;=10,-$E239*$I239/12*3,0))))))</f>
        <v>0</v>
      </c>
      <c r="DL239" s="443">
        <f>IF($H239&lt;&gt;DM$5,0,IF(DM239&lt;0,IF(OR($J239=1,$J239=2,$J239=3,$J239=4,$J239=5,$J239=6,$J239=7,$J239=8,$J239=9,$J239=10),-$E239*$I239/12*3,IF($J239=11,-$E239*$I239/12*2,IF($J239=12,-$E239*$I239/12*1,0)))))+IF(DH$5&lt;&gt;$H239,0,IF(DH239&lt;0,IF($J239=10,-$E239*$I239/12*0,IF($J239=11,-$E239*$I239/12*1,IF($J239=12,-$E239*$I239/12*2,0)))))</f>
        <v>0</v>
      </c>
      <c r="DM239" s="440">
        <f>IF(AND(DH239&lt;&gt;0,DH$5=$H239),-$I239*$E239-DH239,IF(DM$5=$H239,-$I239*$E239*(12-$J239+1)/12,0))</f>
        <v>0</v>
      </c>
      <c r="DN239" s="441">
        <f>IF($H239&lt;&gt;DR$5,0,IF(DR239&lt;0,IF($J239=1,-$E239*$I239/12*3,IF($J239=2,-$E239*$I239/12*2,IF($J239=3,-$E239*$I239/12*1,0)))))+IF(DM$5&lt;&gt;$H239,0,IF(DM239&lt;0,IF($J239=1,-$E239*$I239/12*0,IF($J239=2,-$E239*$I239/12*1,IF($J239=3,-$E239*$I239/12*2,IF($J239&gt;=4,-$E239*$I239/12*3,0))))))</f>
        <v>0</v>
      </c>
      <c r="DO239" s="442">
        <f>IF($H239&lt;&gt;DR$5,0,IF(DR239&lt;0,IF(OR($J239=1,$J239=2,$J239=3,$J239=4),-$E239*$I239/12*3,IF($J239=5,-$E239*$I239/12*2,IF($J239=6,-$E239*$I239/12*1,0)))))+IF(DM$5&lt;&gt;$H239,0,IF(DM239&lt;0,IF($J239=4,-$E239*$I239/12*0,IF($J239=5,-$E239*$I239/12*1,IF($J239=6,-$E239*$I239/12*2,IF($J239&gt;=7,-$E239*$I239/12*3,0))))))</f>
        <v>0</v>
      </c>
      <c r="DP239" s="442">
        <f>IF($H239&lt;&gt;DR$5,0,IF(DR239&lt;0,IF(OR($J239=1,$J239=2,$J239=3,$J239=4,$J239=5,$J239=6,$J239=7),-$E239*$I239/12*3,IF($J239=8,-$E239*$I239/12*2,IF($J239=9,-$E239*$I239/12*1,0)))))+IF(DM$5&lt;&gt;$H239,0,IF(DM239&lt;0,IF($J239=7,-$E239*$I239/12*0,IF($J239=8,-$E239*$I239/12*1,IF($J239=9,-$E239*$I239/12*2,IF($J239&gt;=10,-$E239*$I239/12*3,0))))))</f>
        <v>0</v>
      </c>
      <c r="DQ239" s="443">
        <f>IF($H239&lt;&gt;DR$5,0,IF(DR239&lt;0,IF(OR($J239=1,$J239=2,$J239=3,$J239=4,$J239=5,$J239=6,$J239=7,$J239=8,$J239=9,$J239=10),-$E239*$I239/12*3,IF($J239=11,-$E239*$I239/12*2,IF($J239=12,-$E239*$I239/12*1,0)))))+IF(DM$5&lt;&gt;$H239,0,IF(DM239&lt;0,IF($J239=10,-$E239*$I239/12*0,IF($J239=11,-$E239*$I239/12*1,IF($J239=12,-$E239*$I239/12*2,0)))))</f>
        <v>0</v>
      </c>
      <c r="DR239" s="440">
        <f>IF(AND(DM239&lt;&gt;0,DM$5=$H239),-$I239*$E239-DM239,IF(DR$5=$H239,-$I239*$E239*(12-$J239+1)/12,0))</f>
        <v>0</v>
      </c>
    </row>
    <row r="240" spans="1:122" ht="12.75" customHeight="1">
      <c r="A240" s="92"/>
      <c r="B240" s="92"/>
      <c r="C240" s="1590" t="s">
        <v>1021</v>
      </c>
      <c r="D240" s="395"/>
      <c r="E240" s="1954">
        <f>IF(F240=0,G240,F240)</f>
        <v>75</v>
      </c>
      <c r="F240" s="1368">
        <v>75</v>
      </c>
      <c r="G240" s="1368">
        <v>75</v>
      </c>
      <c r="H240" s="1374">
        <v>2045</v>
      </c>
      <c r="I240" s="1948">
        <v>5.2299999999999999E-2</v>
      </c>
      <c r="J240" s="1357">
        <v>10</v>
      </c>
      <c r="K240" s="549"/>
      <c r="L240" s="441">
        <f>IF(P240=0,0,IF(P240&lt;0,IF($J240=3,P240,IF($J240=2,P240,IF($J240=1,P240,0)))))</f>
        <v>0</v>
      </c>
      <c r="M240" s="442">
        <f>IF(P240=0,0,IF(P240&lt;0,IF($J240=6,P240,IF($J240=5,P240,IF($J240=4,P240,0)))))</f>
        <v>0</v>
      </c>
      <c r="N240" s="442">
        <f>IF(P240=0,0,IF(P240&lt;0,IF($J240=9,P240,IF($J240=8,P240,IF($J240=7,P240,0)))))</f>
        <v>0</v>
      </c>
      <c r="O240" s="443">
        <f>IF(P240=0,0,IF(P240&lt;0,IF($J240=12,P240,IF($J240=11,P240,IF($J240=10,P240,0)))))</f>
        <v>0</v>
      </c>
      <c r="P240" s="440">
        <f>IF(P$5=$H240,-$E240,0)</f>
        <v>0</v>
      </c>
      <c r="Q240" s="441">
        <f>IF(U240=0,0,IF(U240&lt;0,IF($J240=3,U240,IF($J240=2,U240,IF($J240=1,U240,0)))))</f>
        <v>0</v>
      </c>
      <c r="R240" s="442">
        <f>IF(U240=0,0,IF(U240&lt;0,IF($J240=6,U240,IF($J240=5,U240,IF($J240=4,U240,0)))))</f>
        <v>0</v>
      </c>
      <c r="S240" s="442">
        <f>IF(U240=0,0,IF(U240&lt;0,IF($J240=9,U240,IF($J240=8,U240,IF($J240=7,U240,0)))))</f>
        <v>0</v>
      </c>
      <c r="T240" s="443">
        <f>IF(U240=0,0,IF(U240&lt;0,IF($J240=12,U240,IF($J240=11,U240,IF($J240=10,U240,0)))))</f>
        <v>0</v>
      </c>
      <c r="U240" s="440">
        <f>IF(U$5=$H240,-$E240,0)</f>
        <v>0</v>
      </c>
      <c r="V240" s="441">
        <f>IF(Z240=0,0,IF(Z240&lt;0,IF($J240=3,Z240,IF($J240=2,Z240,IF($J240=1,Z240,0)))))</f>
        <v>0</v>
      </c>
      <c r="W240" s="442">
        <f>IF(Z240=0,0,IF(Z240&lt;0,IF($J240=6,Z240,IF($J240=5,Z240,IF($J240=4,Z240,0)))))</f>
        <v>0</v>
      </c>
      <c r="X240" s="442">
        <f>IF(Z240=0,0,IF(Z240&lt;0,IF($J240=9,Z240,IF($J240=8,Z240,IF($J240=7,Z240,0)))))</f>
        <v>0</v>
      </c>
      <c r="Y240" s="443">
        <f>IF(Z240=0,0,IF(Z240&lt;0,IF($J240=12,Z240,IF($J240=11,Z240,IF($J240=10,Z240,0)))))</f>
        <v>0</v>
      </c>
      <c r="Z240" s="440">
        <f>IF(Z$5=$H240,-$E240,0)</f>
        <v>0</v>
      </c>
      <c r="AA240" s="441">
        <f>IF(AE240=0,0,IF(AE240&lt;0,IF($J240=3,AE240,IF($J240=2,AE240,IF($J240=1,AE240,0)))))</f>
        <v>0</v>
      </c>
      <c r="AB240" s="442">
        <f>IF(AE240=0,0,IF(AE240&lt;0,IF($J240=6,AE240,IF($J240=5,AE240,IF($J240=4,AE240,0)))))</f>
        <v>0</v>
      </c>
      <c r="AC240" s="442">
        <f>IF(AE240=0,0,IF(AE240&lt;0,IF($J240=9,AE240,IF($J240=8,AE240,IF($J240=7,AE240,0)))))</f>
        <v>0</v>
      </c>
      <c r="AD240" s="443">
        <f>IF(AE240=0,0,IF(AE240&lt;0,IF($J240=12,AE240,IF($J240=11,AE240,IF($J240=10,AE240,0)))))</f>
        <v>0</v>
      </c>
      <c r="AE240" s="440">
        <f>IF(AE$5=$H240,-$E240,0)</f>
        <v>0</v>
      </c>
      <c r="AF240" s="441">
        <f>IF(AJ240=0,0,IF(AJ240&lt;0,IF($J240=3,AJ240,IF($J240=2,AJ240,IF($J240=1,AJ240,0)))))</f>
        <v>0</v>
      </c>
      <c r="AG240" s="442">
        <f>IF(AJ240=0,0,IF(AJ240&lt;0,IF($J240=6,AJ240,IF($J240=5,AJ240,IF($J240=4,AJ240,0)))))</f>
        <v>0</v>
      </c>
      <c r="AH240" s="442">
        <f>IF(AJ240=0,0,IF(AJ240&lt;0,IF($J240=9,AJ240,IF($J240=8,AJ240,IF($J240=7,AJ240,0)))))</f>
        <v>0</v>
      </c>
      <c r="AI240" s="443">
        <f>IF(AJ240=0,0,IF(AJ240&lt;0,IF($J240=12,AJ240,IF($J240=11,AJ240,IF($J240=10,AJ240,0)))))</f>
        <v>0</v>
      </c>
      <c r="AJ240" s="440">
        <f>IF(AJ$5=$H240,-$E240,0)</f>
        <v>0</v>
      </c>
      <c r="AK240" s="441">
        <f>IF(AO240=0,0,IF(AO240&lt;0,IF($J240=3,AO240,IF($J240=2,AO240,IF($J240=1,AO240,0)))))</f>
        <v>0</v>
      </c>
      <c r="AL240" s="442">
        <f>IF(AO240=0,0,IF(AO240&lt;0,IF($J240=6,AO240,IF($J240=5,AO240,IF($J240=4,AO240,0)))))</f>
        <v>0</v>
      </c>
      <c r="AM240" s="442">
        <f>IF(AO240=0,0,IF(AO240&lt;0,IF($J240=9,AO240,IF($J240=8,AO240,IF($J240=7,AO240,0)))))</f>
        <v>0</v>
      </c>
      <c r="AN240" s="443">
        <f>IF(AO240=0,0,IF(AO240&lt;0,IF($J240=12,AO240,IF($J240=11,AO240,IF($J240=10,AO240,0)))))</f>
        <v>0</v>
      </c>
      <c r="AO240" s="440">
        <f>IF(AO$5=$H240,-$E240,0)</f>
        <v>0</v>
      </c>
      <c r="AP240" s="441">
        <f>IF(AT240=0,0,IF(AT240&lt;0,IF($J240=3,AT240,IF($J240=2,AT240,IF($J240=1,AT240,0)))))</f>
        <v>0</v>
      </c>
      <c r="AQ240" s="442">
        <f>IF(AT240=0,0,IF(AT240&lt;0,IF($J240=6,AT240,IF($J240=5,AT240,IF($J240=4,AT240,0)))))</f>
        <v>0</v>
      </c>
      <c r="AR240" s="442">
        <f>IF(AT240=0,0,IF(AT240&lt;0,IF($J240=9,AT240,IF($J240=8,AT240,IF($J240=7,AT240,0)))))</f>
        <v>0</v>
      </c>
      <c r="AS240" s="443">
        <f>IF(AT240=0,0,IF(AT240&lt;0,IF($J240=12,AT240,IF($J240=11,AT240,IF($J240=10,AT240,0)))))</f>
        <v>0</v>
      </c>
      <c r="AT240" s="440">
        <f>IF(AT$5=$H240,-$E240,0)</f>
        <v>0</v>
      </c>
      <c r="AU240" s="441">
        <f>IF(AY240=0,0,IF(AY240&lt;0,IF($J240=3,AY240,IF($J240=2,AY240,IF($J240=1,AY240,0)))))</f>
        <v>0</v>
      </c>
      <c r="AV240" s="442">
        <f>IF(AY240=0,0,IF(AY240&lt;0,IF($J240=6,AY240,IF($J240=5,AY240,IF($J240=4,AY240,0)))))</f>
        <v>0</v>
      </c>
      <c r="AW240" s="442">
        <f>IF(AY240=0,0,IF(AY240&lt;0,IF($J240=9,AY240,IF($J240=8,AY240,IF($J240=7,AY240,0)))))</f>
        <v>0</v>
      </c>
      <c r="AX240" s="443">
        <f>IF(AY240=0,0,IF(AY240&lt;0,IF($J240=12,AY240,IF($J240=11,AY240,IF($J240=10,AY240,0)))))</f>
        <v>0</v>
      </c>
      <c r="AY240" s="440">
        <f>IF(AY$5=$H240,-$E240,0)</f>
        <v>0</v>
      </c>
      <c r="AZ240" s="441">
        <f>IF(BD240=0,0,IF(BD240&lt;0,IF($J240=3,BD240,IF($J240=2,BD240,IF($J240=1,BD240,0)))))</f>
        <v>0</v>
      </c>
      <c r="BA240" s="442">
        <f>IF(BD240=0,0,IF(BD240&lt;0,IF($J240=6,BD240,IF($J240=5,BD240,IF($J240=4,BD240,0)))))</f>
        <v>0</v>
      </c>
      <c r="BB240" s="442">
        <f>IF(BD240=0,0,IF(BD240&lt;0,IF($J240=9,BD240,IF($J240=8,BD240,IF($J240=7,BD240,0)))))</f>
        <v>0</v>
      </c>
      <c r="BC240" s="443">
        <f>IF(BD240=0,0,IF(BD240&lt;0,IF($J240=12,BD240,IF($J240=11,BD240,IF($J240=10,BD240,0)))))</f>
        <v>0</v>
      </c>
      <c r="BD240" s="440">
        <f>IF(BD$5=$H240,-$E240,0)</f>
        <v>0</v>
      </c>
      <c r="BE240" s="441">
        <f>IF(BI240=0,0,IF(BI240&lt;0,IF($J240=3,BI240,IF($J240=2,BI240,IF($J240=1,BI240,0)))))</f>
        <v>0</v>
      </c>
      <c r="BF240" s="442">
        <f>IF(BI240=0,0,IF(BI240&lt;0,IF($J240=6,BI240,IF($J240=5,BI240,IF($J240=4,BI240,0)))))</f>
        <v>0</v>
      </c>
      <c r="BG240" s="442">
        <f>IF(BI240=0,0,IF(BI240&lt;0,IF($J240=9,BI240,IF($J240=8,BI240,IF($J240=7,BI240,0)))))</f>
        <v>0</v>
      </c>
      <c r="BH240" s="443">
        <f>IF(BI240=0,0,IF(BI240&lt;0,IF($J240=12,BI240,IF($J240=11,BI240,IF($J240=10,BI240,0)))))</f>
        <v>0</v>
      </c>
      <c r="BI240" s="440">
        <f>IF(BI$5=$H240,-$E240,0)</f>
        <v>0</v>
      </c>
      <c r="BJ240" s="441">
        <f>IF(BN240=0,0,IF(BN240&lt;0,IF($J240=3,BN240,IF($J240=2,BN240,IF($J240=1,BN240,0)))))</f>
        <v>0</v>
      </c>
      <c r="BK240" s="442">
        <f>IF(BN240=0,0,IF(BN240&lt;0,IF($J240=6,BN240,IF($J240=5,BN240,IF($J240=4,BN240,0)))))</f>
        <v>0</v>
      </c>
      <c r="BL240" s="442">
        <f>IF(BN240=0,0,IF(BN240&lt;0,IF($J240=9,BN240,IF($J240=8,BN240,IF($J240=7,BN240,0)))))</f>
        <v>0</v>
      </c>
      <c r="BM240" s="443">
        <f>IF(BN240=0,0,IF(BN240&lt;0,IF($J240=12,BN240,IF($J240=11,BN240,IF($J240=10,BN240,0)))))</f>
        <v>0</v>
      </c>
      <c r="BN240" s="440">
        <f>IF(BN$5=$H240,-$E240,0)</f>
        <v>0</v>
      </c>
      <c r="BO240" s="470"/>
      <c r="BP240" s="441">
        <f>IF($H240&lt;&gt;BT$5,0,IF(BT240&lt;0,IF($J240=1,-$E240*$I240/12*3,IF($J240=2,-$E240*$I240/12*2,IF($J240=3,-$E240*$I240/12*1,0)))))+IF(BO$5&lt;&gt;$H240,0,IF(BO240&lt;0,IF($J240=1,-$E240*$I240/12*0,IF($J240=2,-$E240*$I240/12*1,IF($J240=3,-$E240*$I240/12*2,IF($J240&gt;=4,-$E240*$I240/12*3,0))))))</f>
        <v>0</v>
      </c>
      <c r="BQ240" s="442">
        <f>IF($H240&lt;&gt;BT$5,0,IF(BT240&lt;0,IF(OR($J240=1,$J240=2,$J240=3,$J240=4),-$E240*$I240/12*3,IF($J240=5,-$E240*$I240/12*2,IF($J240=6,-$E240*$I240/12*1,0)))))+IF(BO$5&lt;&gt;$H240,0,IF(BO240&lt;0,IF($J240=4,-$E240*$I240/12*0,IF($J240=5,-$E240*$I240/12*1,IF($J240=6,-$E240*$I240/12*2,IF($J240&gt;=7,-$E240*$I240/12*3,0))))))</f>
        <v>0</v>
      </c>
      <c r="BR240" s="442">
        <f>IF($H240&lt;&gt;BT$5,0,IF(BT240&lt;0,IF(OR($J240=1,$J240=2,$J240=3,$J240=4,$J240=5,$J240=6,$J240=7),-$E240*$I240/12*3,IF($J240=8,-$E240*$I240/12*2,IF($J240=9,-$E240*$I240/12*1,0)))))+IF(BO$5&lt;&gt;$H240,0,IF(BO240&lt;0,IF($J240=7,-$E240*$I240/12*0,IF($J240=8,-$E240*$I240/12*1,IF($J240=9,-$E240*$I240/12*2,IF($J240&gt;=10,-$E240*$I240/12*3,0))))))</f>
        <v>0</v>
      </c>
      <c r="BS240" s="443">
        <f>IF($H240&lt;&gt;BT$5,0,IF(BT240&lt;0,IF(OR($J240=1,$J240=2,$J240=3,$J240=4,$J240=5,$J240=6,$J240=7,$J240=8,$J240=9,$J240=10),-$E240*$I240/12*3,IF($J240=11,-$E240*$I240/12*2,IF($J240=12,-$E240*$I240/12*1,0)))))+IF(BO$5&lt;&gt;$H240,0,IF(BO240&lt;0,IF($J240=10,-$E240*$I240/12*0,IF($J240=11,-$E240*$I240/12*1,IF($J240=12,-$E240*$I240/12*2,0)))))</f>
        <v>0</v>
      </c>
      <c r="BT240" s="440">
        <f>IF(AND(BO240&lt;&gt;0,BO$5=$H240),-$I240*$E240-BO240,IF(BT$5=$H240,-$I240*$E240*(12-$J240+1)/12,0))</f>
        <v>0</v>
      </c>
      <c r="BU240" s="441">
        <f>IF($H240&lt;&gt;BY$5,0,IF(BY240&lt;0,IF($J240=1,-$E240*$I240/12*3,IF($J240=2,-$E240*$I240/12*2,IF($J240=3,-$E240*$I240/12*1,0)))))+IF(BT$5&lt;&gt;$H240,0,IF(BT240&lt;0,IF($J240=1,-$E240*$I240/12*0,IF($J240=2,-$E240*$I240/12*1,IF($J240=3,-$E240*$I240/12*2,IF($J240&gt;=4,-$E240*$I240/12*3,0))))))</f>
        <v>0</v>
      </c>
      <c r="BV240" s="442">
        <f>IF($H240&lt;&gt;BY$5,0,IF(BY240&lt;0,IF(OR($J240=1,$J240=2,$J240=3,$J240=4),-$E240*$I240/12*3,IF($J240=5,-$E240*$I240/12*2,IF($J240=6,-$E240*$I240/12*1,0)))))+IF(BT$5&lt;&gt;$H240,0,IF(BT240&lt;0,IF($J240=4,-$E240*$I240/12*0,IF($J240=5,-$E240*$I240/12*1,IF($J240=6,-$E240*$I240/12*2,IF($J240&gt;=7,-$E240*$I240/12*3,0))))))</f>
        <v>0</v>
      </c>
      <c r="BW240" s="442">
        <f>IF($H240&lt;&gt;BY$5,0,IF(BY240&lt;0,IF(OR($J240=1,$J240=2,$J240=3,$J240=4,$J240=5,$J240=6,$J240=7),-$E240*$I240/12*3,IF($J240=8,-$E240*$I240/12*2,IF($J240=9,-$E240*$I240/12*1,0)))))+IF(BT$5&lt;&gt;$H240,0,IF(BT240&lt;0,IF($J240=7,-$E240*$I240/12*0,IF($J240=8,-$E240*$I240/12*1,IF($J240=9,-$E240*$I240/12*2,IF($J240&gt;=10,-$E240*$I240/12*3,0))))))</f>
        <v>0</v>
      </c>
      <c r="BX240" s="443">
        <f>IF($H240&lt;&gt;BY$5,0,IF(BY240&lt;0,IF(OR($J240=1,$J240=2,$J240=3,$J240=4,$J240=5,$J240=6,$J240=7,$J240=8,$J240=9,$J240=10),-$E240*$I240/12*3,IF($J240=11,-$E240*$I240/12*2,IF($J240=12,-$E240*$I240/12*1,0)))))+IF(BT$5&lt;&gt;$H240,0,IF(BT240&lt;0,IF($J240=10,-$E240*$I240/12*0,IF($J240=11,-$E240*$I240/12*1,IF($J240=12,-$E240*$I240/12*2,0)))))</f>
        <v>0</v>
      </c>
      <c r="BY240" s="440">
        <f>IF(AND(BT240&lt;&gt;0,BT$5=$H240),-$I240*$E240-BT240,IF(BY$5=$H240,-$I240*$E240*(12-$J240+1)/12,0))</f>
        <v>0</v>
      </c>
      <c r="BZ240" s="441">
        <f>IF($H240&lt;&gt;CD$5,0,IF(CD240&lt;0,IF($J240=1,-$E240*$I240/12*3,IF($J240=2,-$E240*$I240/12*2,IF($J240=3,-$E240*$I240/12*1,0)))))+IF(BY$5&lt;&gt;$H240,0,IF(BY240&lt;0,IF($J240=1,-$E240*$I240/12*0,IF($J240=2,-$E240*$I240/12*1,IF($J240=3,-$E240*$I240/12*2,IF($J240&gt;=4,-$E240*$I240/12*3,0))))))</f>
        <v>0</v>
      </c>
      <c r="CA240" s="442">
        <f>IF($H240&lt;&gt;CD$5,0,IF(CD240&lt;0,IF(OR($J240=1,$J240=2,$J240=3,$J240=4),-$E240*$I240/12*3,IF($J240=5,-$E240*$I240/12*2,IF($J240=6,-$E240*$I240/12*1,0)))))+IF(BY$5&lt;&gt;$H240,0,IF(BY240&lt;0,IF($J240=4,-$E240*$I240/12*0,IF($J240=5,-$E240*$I240/12*1,IF($J240=6,-$E240*$I240/12*2,IF($J240&gt;=7,-$E240*$I240/12*3,0))))))</f>
        <v>0</v>
      </c>
      <c r="CB240" s="442">
        <f>IF($H240&lt;&gt;CD$5,0,IF(CD240&lt;0,IF(OR($J240=1,$J240=2,$J240=3,$J240=4,$J240=5,$J240=6,$J240=7),-$E240*$I240/12*3,IF($J240=8,-$E240*$I240/12*2,IF($J240=9,-$E240*$I240/12*1,0)))))+IF(BY$5&lt;&gt;$H240,0,IF(BY240&lt;0,IF($J240=7,-$E240*$I240/12*0,IF($J240=8,-$E240*$I240/12*1,IF($J240=9,-$E240*$I240/12*2,IF($J240&gt;=10,-$E240*$I240/12*3,0))))))</f>
        <v>0</v>
      </c>
      <c r="CC240" s="443">
        <f>IF($H240&lt;&gt;CD$5,0,IF(CD240&lt;0,IF(OR($J240=1,$J240=2,$J240=3,$J240=4,$J240=5,$J240=6,$J240=7,$J240=8,$J240=9,$J240=10),-$E240*$I240/12*3,IF($J240=11,-$E240*$I240/12*2,IF($J240=12,-$E240*$I240/12*1,0)))))+IF(BY$5&lt;&gt;$H240,0,IF(BY240&lt;0,IF($J240=10,-$E240*$I240/12*0,IF($J240=11,-$E240*$I240/12*1,IF($J240=12,-$E240*$I240/12*2,0)))))</f>
        <v>0</v>
      </c>
      <c r="CD240" s="440">
        <f>IF(AND(BY240&lt;&gt;0,BY$5=$H240),-$I240*$E240-BY240,IF(CD$5=$H240,-$I240*$E240*(12-$J240+1)/12,0))</f>
        <v>0</v>
      </c>
      <c r="CE240" s="441">
        <f>IF($H240&lt;&gt;CI$5,0,IF(CI240&lt;0,IF($J240=1,-$E240*$I240/12*3,IF($J240=2,-$E240*$I240/12*2,IF($J240=3,-$E240*$I240/12*1,0)))))+IF(CD$5&lt;&gt;$H240,0,IF(CD240&lt;0,IF($J240=1,-$E240*$I240/12*0,IF($J240=2,-$E240*$I240/12*1,IF($J240=3,-$E240*$I240/12*2,IF($J240&gt;=4,-$E240*$I240/12*3,0))))))</f>
        <v>0</v>
      </c>
      <c r="CF240" s="442">
        <f>IF($H240&lt;&gt;CI$5,0,IF(CI240&lt;0,IF(OR($J240=1,$J240=2,$J240=3,$J240=4),-$E240*$I240/12*3,IF($J240=5,-$E240*$I240/12*2,IF($J240=6,-$E240*$I240/12*1,0)))))+IF(CD$5&lt;&gt;$H240,0,IF(CD240&lt;0,IF($J240=4,-$E240*$I240/12*0,IF($J240=5,-$E240*$I240/12*1,IF($J240=6,-$E240*$I240/12*2,IF($J240&gt;=7,-$E240*$I240/12*3,0))))))</f>
        <v>0</v>
      </c>
      <c r="CG240" s="442">
        <f>IF($H240&lt;&gt;CI$5,0,IF(CI240&lt;0,IF(OR($J240=1,$J240=2,$J240=3,$J240=4,$J240=5,$J240=6,$J240=7),-$E240*$I240/12*3,IF($J240=8,-$E240*$I240/12*2,IF($J240=9,-$E240*$I240/12*1,0)))))+IF(CD$5&lt;&gt;$H240,0,IF(CD240&lt;0,IF($J240=7,-$E240*$I240/12*0,IF($J240=8,-$E240*$I240/12*1,IF($J240=9,-$E240*$I240/12*2,IF($J240&gt;=10,-$E240*$I240/12*3,0))))))</f>
        <v>0</v>
      </c>
      <c r="CH240" s="443">
        <f>IF($H240&lt;&gt;CI$5,0,IF(CI240&lt;0,IF(OR($J240=1,$J240=2,$J240=3,$J240=4,$J240=5,$J240=6,$J240=7,$J240=8,$J240=9,$J240=10),-$E240*$I240/12*3,IF($J240=11,-$E240*$I240/12*2,IF($J240=12,-$E240*$I240/12*1,0)))))+IF(CD$5&lt;&gt;$H240,0,IF(CD240&lt;0,IF($J240=10,-$E240*$I240/12*0,IF($J240=11,-$E240*$I240/12*1,IF($J240=12,-$E240*$I240/12*2,0)))))</f>
        <v>0</v>
      </c>
      <c r="CI240" s="440">
        <f>IF(AND(CD240&lt;&gt;0,CD$5=$H240),-$I240*$E240-CD240,IF(CI$5=$H240,-$I240*$E240*(12-$J240+1)/12,0))</f>
        <v>0</v>
      </c>
      <c r="CJ240" s="441">
        <f>IF($H240&lt;&gt;CN$5,0,IF(CN240&lt;0,IF($J240=1,-$E240*$I240/12*3,IF($J240=2,-$E240*$I240/12*2,IF($J240=3,-$E240*$I240/12*1,0)))))+IF(CI$5&lt;&gt;$H240,0,IF(CI240&lt;0,IF($J240=1,-$E240*$I240/12*0,IF($J240=2,-$E240*$I240/12*1,IF($J240=3,-$E240*$I240/12*2,IF($J240&gt;=4,-$E240*$I240/12*3,0))))))</f>
        <v>0</v>
      </c>
      <c r="CK240" s="442">
        <f>IF($H240&lt;&gt;CN$5,0,IF(CN240&lt;0,IF(OR($J240=1,$J240=2,$J240=3,$J240=4),-$E240*$I240/12*3,IF($J240=5,-$E240*$I240/12*2,IF($J240=6,-$E240*$I240/12*1,0)))))+IF(CI$5&lt;&gt;$H240,0,IF(CI240&lt;0,IF($J240=4,-$E240*$I240/12*0,IF($J240=5,-$E240*$I240/12*1,IF($J240=6,-$E240*$I240/12*2,IF($J240&gt;=7,-$E240*$I240/12*3,0))))))</f>
        <v>0</v>
      </c>
      <c r="CL240" s="442">
        <f>IF($H240&lt;&gt;CN$5,0,IF(CN240&lt;0,IF(OR($J240=1,$J240=2,$J240=3,$J240=4,$J240=5,$J240=6,$J240=7),-$E240*$I240/12*3,IF($J240=8,-$E240*$I240/12*2,IF($J240=9,-$E240*$I240/12*1,0)))))+IF(CI$5&lt;&gt;$H240,0,IF(CI240&lt;0,IF($J240=7,-$E240*$I240/12*0,IF($J240=8,-$E240*$I240/12*1,IF($J240=9,-$E240*$I240/12*2,IF($J240&gt;=10,-$E240*$I240/12*3,0))))))</f>
        <v>0</v>
      </c>
      <c r="CM240" s="443">
        <f>IF($H240&lt;&gt;CN$5,0,IF(CN240&lt;0,IF(OR($J240=1,$J240=2,$J240=3,$J240=4,$J240=5,$J240=6,$J240=7,$J240=8,$J240=9,$J240=10),-$E240*$I240/12*3,IF($J240=11,-$E240*$I240/12*2,IF($J240=12,-$E240*$I240/12*1,0)))))+IF(CI$5&lt;&gt;$H240,0,IF(CI240&lt;0,IF($J240=10,-$E240*$I240/12*0,IF($J240=11,-$E240*$I240/12*1,IF($J240=12,-$E240*$I240/12*2,0)))))</f>
        <v>0</v>
      </c>
      <c r="CN240" s="440">
        <f>IF(AND(CI240&lt;&gt;0,CI$5=$H240),-$I240*$E240-CI240,IF(CN$5=$H240,-$I240*$E240*(12-$J240+1)/12,0))</f>
        <v>0</v>
      </c>
      <c r="CO240" s="441">
        <f>IF($H240&lt;&gt;CS$5,0,IF(CS240&lt;0,IF($J240=1,-$E240*$I240/12*3,IF($J240=2,-$E240*$I240/12*2,IF($J240=3,-$E240*$I240/12*1,0)))))+IF(CN$5&lt;&gt;$H240,0,IF(CN240&lt;0,IF($J240=1,-$E240*$I240/12*0,IF($J240=2,-$E240*$I240/12*1,IF($J240=3,-$E240*$I240/12*2,IF($J240&gt;=4,-$E240*$I240/12*3,0))))))</f>
        <v>0</v>
      </c>
      <c r="CP240" s="442">
        <f>IF($H240&lt;&gt;CS$5,0,IF(CS240&lt;0,IF(OR($J240=1,$J240=2,$J240=3,$J240=4),-$E240*$I240/12*3,IF($J240=5,-$E240*$I240/12*2,IF($J240=6,-$E240*$I240/12*1,0)))))+IF(CN$5&lt;&gt;$H240,0,IF(CN240&lt;0,IF($J240=4,-$E240*$I240/12*0,IF($J240=5,-$E240*$I240/12*1,IF($J240=6,-$E240*$I240/12*2,IF($J240&gt;=7,-$E240*$I240/12*3,0))))))</f>
        <v>0</v>
      </c>
      <c r="CQ240" s="442">
        <f>IF($H240&lt;&gt;CS$5,0,IF(CS240&lt;0,IF(OR($J240=1,$J240=2,$J240=3,$J240=4,$J240=5,$J240=6,$J240=7),-$E240*$I240/12*3,IF($J240=8,-$E240*$I240/12*2,IF($J240=9,-$E240*$I240/12*1,0)))))+IF(CN$5&lt;&gt;$H240,0,IF(CN240&lt;0,IF($J240=7,-$E240*$I240/12*0,IF($J240=8,-$E240*$I240/12*1,IF($J240=9,-$E240*$I240/12*2,IF($J240&gt;=10,-$E240*$I240/12*3,0))))))</f>
        <v>0</v>
      </c>
      <c r="CR240" s="443">
        <f>IF($H240&lt;&gt;CS$5,0,IF(CS240&lt;0,IF(OR($J240=1,$J240=2,$J240=3,$J240=4,$J240=5,$J240=6,$J240=7,$J240=8,$J240=9,$J240=10),-$E240*$I240/12*3,IF($J240=11,-$E240*$I240/12*2,IF($J240=12,-$E240*$I240/12*1,0)))))+IF(CN$5&lt;&gt;$H240,0,IF(CN240&lt;0,IF($J240=10,-$E240*$I240/12*0,IF($J240=11,-$E240*$I240/12*1,IF($J240=12,-$E240*$I240/12*2,0)))))</f>
        <v>0</v>
      </c>
      <c r="CS240" s="440">
        <f>IF(AND(CN240&lt;&gt;0,CN$5=$H240),-$I240*$E240-CN240,IF(CS$5=$H240,-$I240*$E240*(12-$J240+1)/12,0))</f>
        <v>0</v>
      </c>
      <c r="CT240" s="441">
        <f>IF($H240&lt;&gt;CX$5,0,IF(CX240&lt;0,IF($J240=1,-$E240*$I240/12*3,IF($J240=2,-$E240*$I240/12*2,IF($J240=3,-$E240*$I240/12*1,0)))))+IF(CS$5&lt;&gt;$H240,0,IF(CS240&lt;0,IF($J240=1,-$E240*$I240/12*0,IF($J240=2,-$E240*$I240/12*1,IF($J240=3,-$E240*$I240/12*2,IF($J240&gt;=4,-$E240*$I240/12*3,0))))))</f>
        <v>0</v>
      </c>
      <c r="CU240" s="442">
        <f>IF($H240&lt;&gt;CX$5,0,IF(CX240&lt;0,IF(OR($J240=1,$J240=2,$J240=3,$J240=4),-$E240*$I240/12*3,IF($J240=5,-$E240*$I240/12*2,IF($J240=6,-$E240*$I240/12*1,0)))))+IF(CS$5&lt;&gt;$H240,0,IF(CS240&lt;0,IF($J240=4,-$E240*$I240/12*0,IF($J240=5,-$E240*$I240/12*1,IF($J240=6,-$E240*$I240/12*2,IF($J240&gt;=7,-$E240*$I240/12*3,0))))))</f>
        <v>0</v>
      </c>
      <c r="CV240" s="442">
        <f>IF($H240&lt;&gt;CX$5,0,IF(CX240&lt;0,IF(OR($J240=1,$J240=2,$J240=3,$J240=4,$J240=5,$J240=6,$J240=7),-$E240*$I240/12*3,IF($J240=8,-$E240*$I240/12*2,IF($J240=9,-$E240*$I240/12*1,0)))))+IF(CS$5&lt;&gt;$H240,0,IF(CS240&lt;0,IF($J240=7,-$E240*$I240/12*0,IF($J240=8,-$E240*$I240/12*1,IF($J240=9,-$E240*$I240/12*2,IF($J240&gt;=10,-$E240*$I240/12*3,0))))))</f>
        <v>0</v>
      </c>
      <c r="CW240" s="443">
        <f>IF($H240&lt;&gt;CX$5,0,IF(CX240&lt;0,IF(OR($J240=1,$J240=2,$J240=3,$J240=4,$J240=5,$J240=6,$J240=7,$J240=8,$J240=9,$J240=10),-$E240*$I240/12*3,IF($J240=11,-$E240*$I240/12*2,IF($J240=12,-$E240*$I240/12*1,0)))))+IF(CS$5&lt;&gt;$H240,0,IF(CS240&lt;0,IF($J240=10,-$E240*$I240/12*0,IF($J240=11,-$E240*$I240/12*1,IF($J240=12,-$E240*$I240/12*2,0)))))</f>
        <v>0</v>
      </c>
      <c r="CX240" s="440">
        <f>IF(AND(CS240&lt;&gt;0,CS$5=$H240),-$I240*$E240-CS240,IF(CX$5=$H240,-$I240*$E240*(12-$J240+1)/12,0))</f>
        <v>0</v>
      </c>
      <c r="CY240" s="441">
        <f>IF($H240&lt;&gt;DC$5,0,IF(DC240&lt;0,IF($J240=1,-$E240*$I240/12*3,IF($J240=2,-$E240*$I240/12*2,IF($J240=3,-$E240*$I240/12*1,0)))))+IF(CX$5&lt;&gt;$H240,0,IF(CX240&lt;0,IF($J240=1,-$E240*$I240/12*0,IF($J240=2,-$E240*$I240/12*1,IF($J240=3,-$E240*$I240/12*2,IF($J240&gt;=4,-$E240*$I240/12*3,0))))))</f>
        <v>0</v>
      </c>
      <c r="CZ240" s="442">
        <f>IF($H240&lt;&gt;DC$5,0,IF(DC240&lt;0,IF(OR($J240=1,$J240=2,$J240=3,$J240=4),-$E240*$I240/12*3,IF($J240=5,-$E240*$I240/12*2,IF($J240=6,-$E240*$I240/12*1,0)))))+IF(CX$5&lt;&gt;$H240,0,IF(CX240&lt;0,IF($J240=4,-$E240*$I240/12*0,IF($J240=5,-$E240*$I240/12*1,IF($J240=6,-$E240*$I240/12*2,IF($J240&gt;=7,-$E240*$I240/12*3,0))))))</f>
        <v>0</v>
      </c>
      <c r="DA240" s="442">
        <f>IF($H240&lt;&gt;DC$5,0,IF(DC240&lt;0,IF(OR($J240=1,$J240=2,$J240=3,$J240=4,$J240=5,$J240=6,$J240=7),-$E240*$I240/12*3,IF($J240=8,-$E240*$I240/12*2,IF($J240=9,-$E240*$I240/12*1,0)))))+IF(CX$5&lt;&gt;$H240,0,IF(CX240&lt;0,IF($J240=7,-$E240*$I240/12*0,IF($J240=8,-$E240*$I240/12*1,IF($J240=9,-$E240*$I240/12*2,IF($J240&gt;=10,-$E240*$I240/12*3,0))))))</f>
        <v>0</v>
      </c>
      <c r="DB240" s="443">
        <f>IF($H240&lt;&gt;DC$5,0,IF(DC240&lt;0,IF(OR($J240=1,$J240=2,$J240=3,$J240=4,$J240=5,$J240=6,$J240=7,$J240=8,$J240=9,$J240=10),-$E240*$I240/12*3,IF($J240=11,-$E240*$I240/12*2,IF($J240=12,-$E240*$I240/12*1,0)))))+IF(CX$5&lt;&gt;$H240,0,IF(CX240&lt;0,IF($J240=10,-$E240*$I240/12*0,IF($J240=11,-$E240*$I240/12*1,IF($J240=12,-$E240*$I240/12*2,0)))))</f>
        <v>0</v>
      </c>
      <c r="DC240" s="440">
        <f>IF(AND(CX240&lt;&gt;0,CX$5=$H240),-$I240*$E240-CX240,IF(DC$5=$H240,-$I240*$E240*(12-$J240+1)/12,0))</f>
        <v>0</v>
      </c>
      <c r="DD240" s="441">
        <f>IF($H240&lt;&gt;DH$5,0,IF(DH240&lt;0,IF($J240=1,-$E240*$I240/12*3,IF($J240=2,-$E240*$I240/12*2,IF($J240=3,-$E240*$I240/12*1,0)))))+IF(DC$5&lt;&gt;$H240,0,IF(DC240&lt;0,IF($J240=1,-$E240*$I240/12*0,IF($J240=2,-$E240*$I240/12*1,IF($J240=3,-$E240*$I240/12*2,IF($J240&gt;=4,-$E240*$I240/12*3,0))))))</f>
        <v>0</v>
      </c>
      <c r="DE240" s="442">
        <f>IF($H240&lt;&gt;DH$5,0,IF(DH240&lt;0,IF(OR($J240=1,$J240=2,$J240=3,$J240=4),-$E240*$I240/12*3,IF($J240=5,-$E240*$I240/12*2,IF($J240=6,-$E240*$I240/12*1,0)))))+IF(DC$5&lt;&gt;$H240,0,IF(DC240&lt;0,IF($J240=4,-$E240*$I240/12*0,IF($J240=5,-$E240*$I240/12*1,IF($J240=6,-$E240*$I240/12*2,IF($J240&gt;=7,-$E240*$I240/12*3,0))))))</f>
        <v>0</v>
      </c>
      <c r="DF240" s="442">
        <f>IF($H240&lt;&gt;DH$5,0,IF(DH240&lt;0,IF(OR($J240=1,$J240=2,$J240=3,$J240=4,$J240=5,$J240=6,$J240=7),-$E240*$I240/12*3,IF($J240=8,-$E240*$I240/12*2,IF($J240=9,-$E240*$I240/12*1,0)))))+IF(DC$5&lt;&gt;$H240,0,IF(DC240&lt;0,IF($J240=7,-$E240*$I240/12*0,IF($J240=8,-$E240*$I240/12*1,IF($J240=9,-$E240*$I240/12*2,IF($J240&gt;=10,-$E240*$I240/12*3,0))))))</f>
        <v>0</v>
      </c>
      <c r="DG240" s="443">
        <f>IF($H240&lt;&gt;DH$5,0,IF(DH240&lt;0,IF(OR($J240=1,$J240=2,$J240=3,$J240=4,$J240=5,$J240=6,$J240=7,$J240=8,$J240=9,$J240=10),-$E240*$I240/12*3,IF($J240=11,-$E240*$I240/12*2,IF($J240=12,-$E240*$I240/12*1,0)))))+IF(DC$5&lt;&gt;$H240,0,IF(DC240&lt;0,IF($J240=10,-$E240*$I240/12*0,IF($J240=11,-$E240*$I240/12*1,IF($J240=12,-$E240*$I240/12*2,0)))))</f>
        <v>0</v>
      </c>
      <c r="DH240" s="440">
        <f>IF(AND(DC240&lt;&gt;0,DC$5=$H240),-$I240*$E240-DC240,IF(DH$5=$H240,-$I240*$E240*(12-$J240+1)/12,0))</f>
        <v>0</v>
      </c>
      <c r="DI240" s="441">
        <f>IF($H240&lt;&gt;DM$5,0,IF(DM240&lt;0,IF($J240=1,-$E240*$I240/12*3,IF($J240=2,-$E240*$I240/12*2,IF($J240=3,-$E240*$I240/12*1,0)))))+IF(DH$5&lt;&gt;$H240,0,IF(DH240&lt;0,IF($J240=1,-$E240*$I240/12*0,IF($J240=2,-$E240*$I240/12*1,IF($J240=3,-$E240*$I240/12*2,IF($J240&gt;=4,-$E240*$I240/12*3,0))))))</f>
        <v>0</v>
      </c>
      <c r="DJ240" s="442">
        <f>IF($H240&lt;&gt;DM$5,0,IF(DM240&lt;0,IF(OR($J240=1,$J240=2,$J240=3,$J240=4),-$E240*$I240/12*3,IF($J240=5,-$E240*$I240/12*2,IF($J240=6,-$E240*$I240/12*1,0)))))+IF(DH$5&lt;&gt;$H240,0,IF(DH240&lt;0,IF($J240=4,-$E240*$I240/12*0,IF($J240=5,-$E240*$I240/12*1,IF($J240=6,-$E240*$I240/12*2,IF($J240&gt;=7,-$E240*$I240/12*3,0))))))</f>
        <v>0</v>
      </c>
      <c r="DK240" s="442">
        <f>IF($H240&lt;&gt;DM$5,0,IF(DM240&lt;0,IF(OR($J240=1,$J240=2,$J240=3,$J240=4,$J240=5,$J240=6,$J240=7),-$E240*$I240/12*3,IF($J240=8,-$E240*$I240/12*2,IF($J240=9,-$E240*$I240/12*1,0)))))+IF(DH$5&lt;&gt;$H240,0,IF(DH240&lt;0,IF($J240=7,-$E240*$I240/12*0,IF($J240=8,-$E240*$I240/12*1,IF($J240=9,-$E240*$I240/12*2,IF($J240&gt;=10,-$E240*$I240/12*3,0))))))</f>
        <v>0</v>
      </c>
      <c r="DL240" s="443">
        <f>IF($H240&lt;&gt;DM$5,0,IF(DM240&lt;0,IF(OR($J240=1,$J240=2,$J240=3,$J240=4,$J240=5,$J240=6,$J240=7,$J240=8,$J240=9,$J240=10),-$E240*$I240/12*3,IF($J240=11,-$E240*$I240/12*2,IF($J240=12,-$E240*$I240/12*1,0)))))+IF(DH$5&lt;&gt;$H240,0,IF(DH240&lt;0,IF($J240=10,-$E240*$I240/12*0,IF($J240=11,-$E240*$I240/12*1,IF($J240=12,-$E240*$I240/12*2,0)))))</f>
        <v>0</v>
      </c>
      <c r="DM240" s="440">
        <f>IF(AND(DH240&lt;&gt;0,DH$5=$H240),-$I240*$E240-DH240,IF(DM$5=$H240,-$I240*$E240*(12-$J240+1)/12,0))</f>
        <v>0</v>
      </c>
      <c r="DN240" s="441">
        <f>IF($H240&lt;&gt;DR$5,0,IF(DR240&lt;0,IF($J240=1,-$E240*$I240/12*3,IF($J240=2,-$E240*$I240/12*2,IF($J240=3,-$E240*$I240/12*1,0)))))+IF(DM$5&lt;&gt;$H240,0,IF(DM240&lt;0,IF($J240=1,-$E240*$I240/12*0,IF($J240=2,-$E240*$I240/12*1,IF($J240=3,-$E240*$I240/12*2,IF($J240&gt;=4,-$E240*$I240/12*3,0))))))</f>
        <v>0</v>
      </c>
      <c r="DO240" s="442">
        <f>IF($H240&lt;&gt;DR$5,0,IF(DR240&lt;0,IF(OR($J240=1,$J240=2,$J240=3,$J240=4),-$E240*$I240/12*3,IF($J240=5,-$E240*$I240/12*2,IF($J240=6,-$E240*$I240/12*1,0)))))+IF(DM$5&lt;&gt;$H240,0,IF(DM240&lt;0,IF($J240=4,-$E240*$I240/12*0,IF($J240=5,-$E240*$I240/12*1,IF($J240=6,-$E240*$I240/12*2,IF($J240&gt;=7,-$E240*$I240/12*3,0))))))</f>
        <v>0</v>
      </c>
      <c r="DP240" s="442">
        <f>IF($H240&lt;&gt;DR$5,0,IF(DR240&lt;0,IF(OR($J240=1,$J240=2,$J240=3,$J240=4,$J240=5,$J240=6,$J240=7),-$E240*$I240/12*3,IF($J240=8,-$E240*$I240/12*2,IF($J240=9,-$E240*$I240/12*1,0)))))+IF(DM$5&lt;&gt;$H240,0,IF(DM240&lt;0,IF($J240=7,-$E240*$I240/12*0,IF($J240=8,-$E240*$I240/12*1,IF($J240=9,-$E240*$I240/12*2,IF($J240&gt;=10,-$E240*$I240/12*3,0))))))</f>
        <v>0</v>
      </c>
      <c r="DQ240" s="443">
        <f>IF($H240&lt;&gt;DR$5,0,IF(DR240&lt;0,IF(OR($J240=1,$J240=2,$J240=3,$J240=4,$J240=5,$J240=6,$J240=7,$J240=8,$J240=9,$J240=10),-$E240*$I240/12*3,IF($J240=11,-$E240*$I240/12*2,IF($J240=12,-$E240*$I240/12*1,0)))))+IF(DM$5&lt;&gt;$H240,0,IF(DM240&lt;0,IF($J240=10,-$E240*$I240/12*0,IF($J240=11,-$E240*$I240/12*1,IF($J240=12,-$E240*$I240/12*2,0)))))</f>
        <v>0</v>
      </c>
      <c r="DR240" s="440">
        <f>IF(AND(DM240&lt;&gt;0,DM$5=$H240),-$I240*$E240-DM240,IF(DR$5=$H240,-$I240*$E240*(12-$J240+1)/12,0))</f>
        <v>0</v>
      </c>
    </row>
    <row r="241" spans="1:122" ht="12.75" customHeight="1">
      <c r="A241" s="92"/>
      <c r="B241" s="92"/>
      <c r="C241" s="1590" t="s">
        <v>1022</v>
      </c>
      <c r="D241" s="395"/>
      <c r="E241" s="1954">
        <f t="shared" si="2997"/>
        <v>75</v>
      </c>
      <c r="F241" s="1368">
        <v>75</v>
      </c>
      <c r="G241" s="1368">
        <v>75</v>
      </c>
      <c r="H241" s="1374">
        <v>2025</v>
      </c>
      <c r="I241" s="1948">
        <v>3.7600000000000001E-2</v>
      </c>
      <c r="J241" s="1357">
        <v>5</v>
      </c>
      <c r="K241" s="549"/>
      <c r="L241" s="441">
        <f t="shared" si="2998"/>
        <v>0</v>
      </c>
      <c r="M241" s="442">
        <f t="shared" si="2999"/>
        <v>0</v>
      </c>
      <c r="N241" s="442">
        <f t="shared" si="3000"/>
        <v>0</v>
      </c>
      <c r="O241" s="443">
        <f t="shared" si="3001"/>
        <v>0</v>
      </c>
      <c r="P241" s="440">
        <f t="shared" si="3002"/>
        <v>0</v>
      </c>
      <c r="Q241" s="441">
        <f t="shared" si="3003"/>
        <v>0</v>
      </c>
      <c r="R241" s="442">
        <f t="shared" si="3004"/>
        <v>0</v>
      </c>
      <c r="S241" s="442">
        <f t="shared" si="3005"/>
        <v>0</v>
      </c>
      <c r="T241" s="443">
        <f t="shared" si="3006"/>
        <v>0</v>
      </c>
      <c r="U241" s="440">
        <f t="shared" si="3007"/>
        <v>0</v>
      </c>
      <c r="V241" s="441">
        <f t="shared" si="3008"/>
        <v>0</v>
      </c>
      <c r="W241" s="442">
        <f t="shared" si="3009"/>
        <v>0</v>
      </c>
      <c r="X241" s="442">
        <f t="shared" si="3010"/>
        <v>0</v>
      </c>
      <c r="Y241" s="443">
        <f t="shared" si="3011"/>
        <v>0</v>
      </c>
      <c r="Z241" s="440">
        <f t="shared" si="3012"/>
        <v>0</v>
      </c>
      <c r="AA241" s="441">
        <f t="shared" si="3013"/>
        <v>0</v>
      </c>
      <c r="AB241" s="442">
        <f t="shared" si="3014"/>
        <v>0</v>
      </c>
      <c r="AC241" s="442">
        <f t="shared" si="3015"/>
        <v>0</v>
      </c>
      <c r="AD241" s="443">
        <f t="shared" si="3016"/>
        <v>0</v>
      </c>
      <c r="AE241" s="440">
        <f t="shared" si="3017"/>
        <v>0</v>
      </c>
      <c r="AF241" s="441">
        <f t="shared" si="3018"/>
        <v>0</v>
      </c>
      <c r="AG241" s="442">
        <f t="shared" si="3019"/>
        <v>0</v>
      </c>
      <c r="AH241" s="442">
        <f t="shared" si="3020"/>
        <v>0</v>
      </c>
      <c r="AI241" s="443">
        <f t="shared" si="3021"/>
        <v>0</v>
      </c>
      <c r="AJ241" s="440">
        <f t="shared" si="3022"/>
        <v>0</v>
      </c>
      <c r="AK241" s="441">
        <f t="shared" si="3023"/>
        <v>0</v>
      </c>
      <c r="AL241" s="442">
        <f t="shared" si="3024"/>
        <v>0</v>
      </c>
      <c r="AM241" s="442">
        <f t="shared" si="3025"/>
        <v>0</v>
      </c>
      <c r="AN241" s="443">
        <f t="shared" si="3026"/>
        <v>0</v>
      </c>
      <c r="AO241" s="440">
        <f t="shared" si="3027"/>
        <v>0</v>
      </c>
      <c r="AP241" s="441">
        <f t="shared" si="3028"/>
        <v>0</v>
      </c>
      <c r="AQ241" s="442">
        <f t="shared" si="3029"/>
        <v>0</v>
      </c>
      <c r="AR241" s="442">
        <f t="shared" si="3030"/>
        <v>0</v>
      </c>
      <c r="AS241" s="443">
        <f t="shared" si="3031"/>
        <v>0</v>
      </c>
      <c r="AT241" s="440">
        <f t="shared" si="3032"/>
        <v>0</v>
      </c>
      <c r="AU241" s="441">
        <f t="shared" si="3033"/>
        <v>0</v>
      </c>
      <c r="AV241" s="442">
        <f t="shared" si="3034"/>
        <v>0</v>
      </c>
      <c r="AW241" s="442">
        <f t="shared" si="3035"/>
        <v>0</v>
      </c>
      <c r="AX241" s="443">
        <f t="shared" si="3036"/>
        <v>0</v>
      </c>
      <c r="AY241" s="440">
        <f t="shared" si="3037"/>
        <v>0</v>
      </c>
      <c r="AZ241" s="441">
        <f t="shared" si="3038"/>
        <v>0</v>
      </c>
      <c r="BA241" s="442">
        <f t="shared" si="3039"/>
        <v>0</v>
      </c>
      <c r="BB241" s="442">
        <f t="shared" si="3040"/>
        <v>0</v>
      </c>
      <c r="BC241" s="443">
        <f t="shared" si="3041"/>
        <v>0</v>
      </c>
      <c r="BD241" s="440">
        <f t="shared" si="3042"/>
        <v>0</v>
      </c>
      <c r="BE241" s="441">
        <f t="shared" si="3043"/>
        <v>0</v>
      </c>
      <c r="BF241" s="442">
        <f t="shared" si="3044"/>
        <v>0</v>
      </c>
      <c r="BG241" s="442">
        <f t="shared" si="3045"/>
        <v>0</v>
      </c>
      <c r="BH241" s="443">
        <f t="shared" si="3046"/>
        <v>0</v>
      </c>
      <c r="BI241" s="440">
        <f t="shared" si="3047"/>
        <v>0</v>
      </c>
      <c r="BJ241" s="441">
        <f t="shared" si="3048"/>
        <v>0</v>
      </c>
      <c r="BK241" s="442">
        <f t="shared" si="3049"/>
        <v>0</v>
      </c>
      <c r="BL241" s="442">
        <f t="shared" si="3050"/>
        <v>0</v>
      </c>
      <c r="BM241" s="443">
        <f t="shared" si="3051"/>
        <v>0</v>
      </c>
      <c r="BN241" s="440">
        <f t="shared" si="3052"/>
        <v>0</v>
      </c>
      <c r="BO241" s="470"/>
      <c r="BP241" s="441">
        <f t="shared" ref="BP241" si="3108">IF($H241&lt;&gt;BT$5,0,IF(BT241&lt;0,IF($J241=1,-$E241*$I241/12*3,IF($J241=2,-$E241*$I241/12*2,IF($J241=3,-$E241*$I241/12*1,0)))))+IF(BO$5&lt;&gt;$H241,0,IF(BO241&lt;0,IF($J241=1,-$E241*$I241/12*0,IF($J241=2,-$E241*$I241/12*1,IF($J241=3,-$E241*$I241/12*2,IF($J241&gt;=4,-$E241*$I241/12*3,0))))))</f>
        <v>0</v>
      </c>
      <c r="BQ241" s="442">
        <f t="shared" ref="BQ241" si="3109">IF($H241&lt;&gt;BT$5,0,IF(BT241&lt;0,IF(OR($J241=1,$J241=2,$J241=3,$J241=4),-$E241*$I241/12*3,IF($J241=5,-$E241*$I241/12*2,IF($J241=6,-$E241*$I241/12*1,0)))))+IF(BO$5&lt;&gt;$H241,0,IF(BO241&lt;0,IF($J241=4,-$E241*$I241/12*0,IF($J241=5,-$E241*$I241/12*1,IF($J241=6,-$E241*$I241/12*2,IF($J241&gt;=7,-$E241*$I241/12*3,0))))))</f>
        <v>0</v>
      </c>
      <c r="BR241" s="442">
        <f t="shared" ref="BR241" si="3110">IF($H241&lt;&gt;BT$5,0,IF(BT241&lt;0,IF(OR($J241=1,$J241=2,$J241=3,$J241=4,$J241=5,$J241=6,$J241=7),-$E241*$I241/12*3,IF($J241=8,-$E241*$I241/12*2,IF($J241=9,-$E241*$I241/12*1,0)))))+IF(BO$5&lt;&gt;$H241,0,IF(BO241&lt;0,IF($J241=7,-$E241*$I241/12*0,IF($J241=8,-$E241*$I241/12*1,IF($J241=9,-$E241*$I241/12*2,IF($J241&gt;=10,-$E241*$I241/12*3,0))))))</f>
        <v>0</v>
      </c>
      <c r="BS241" s="443">
        <f t="shared" ref="BS241" si="3111">IF($H241&lt;&gt;BT$5,0,IF(BT241&lt;0,IF(OR($J241=1,$J241=2,$J241=3,$J241=4,$J241=5,$J241=6,$J241=7,$J241=8,$J241=9,$J241=10),-$E241*$I241/12*3,IF($J241=11,-$E241*$I241/12*2,IF($J241=12,-$E241*$I241/12*1,0)))))+IF(BO$5&lt;&gt;$H241,0,IF(BO241&lt;0,IF($J241=10,-$E241*$I241/12*0,IF($J241=11,-$E241*$I241/12*1,IF($J241=12,-$E241*$I241/12*2,0)))))</f>
        <v>0</v>
      </c>
      <c r="BT241" s="440">
        <f t="shared" ref="BT241" si="3112">IF(AND(BO241&lt;&gt;0,BO$5=$H241),-$I241*$E241-BO241,IF(BT$5=$H241,-$I241*$E241*(12-$J241+1)/12,0))</f>
        <v>0</v>
      </c>
      <c r="BU241" s="441">
        <f t="shared" ref="BU241" si="3113">IF($H241&lt;&gt;BY$5,0,IF(BY241&lt;0,IF($J241=1,-$E241*$I241/12*3,IF($J241=2,-$E241*$I241/12*2,IF($J241=3,-$E241*$I241/12*1,0)))))+IF(BT$5&lt;&gt;$H241,0,IF(BT241&lt;0,IF($J241=1,-$E241*$I241/12*0,IF($J241=2,-$E241*$I241/12*1,IF($J241=3,-$E241*$I241/12*2,IF($J241&gt;=4,-$E241*$I241/12*3,0))))))</f>
        <v>0</v>
      </c>
      <c r="BV241" s="442">
        <f t="shared" ref="BV241" si="3114">IF($H241&lt;&gt;BY$5,0,IF(BY241&lt;0,IF(OR($J241=1,$J241=2,$J241=3,$J241=4),-$E241*$I241/12*3,IF($J241=5,-$E241*$I241/12*2,IF($J241=6,-$E241*$I241/12*1,0)))))+IF(BT$5&lt;&gt;$H241,0,IF(BT241&lt;0,IF($J241=4,-$E241*$I241/12*0,IF($J241=5,-$E241*$I241/12*1,IF($J241=6,-$E241*$I241/12*2,IF($J241&gt;=7,-$E241*$I241/12*3,0))))))</f>
        <v>0</v>
      </c>
      <c r="BW241" s="442">
        <f t="shared" ref="BW241" si="3115">IF($H241&lt;&gt;BY$5,0,IF(BY241&lt;0,IF(OR($J241=1,$J241=2,$J241=3,$J241=4,$J241=5,$J241=6,$J241=7),-$E241*$I241/12*3,IF($J241=8,-$E241*$I241/12*2,IF($J241=9,-$E241*$I241/12*1,0)))))+IF(BT$5&lt;&gt;$H241,0,IF(BT241&lt;0,IF($J241=7,-$E241*$I241/12*0,IF($J241=8,-$E241*$I241/12*1,IF($J241=9,-$E241*$I241/12*2,IF($J241&gt;=10,-$E241*$I241/12*3,0))))))</f>
        <v>0</v>
      </c>
      <c r="BX241" s="443">
        <f t="shared" ref="BX241" si="3116">IF($H241&lt;&gt;BY$5,0,IF(BY241&lt;0,IF(OR($J241=1,$J241=2,$J241=3,$J241=4,$J241=5,$J241=6,$J241=7,$J241=8,$J241=9,$J241=10),-$E241*$I241/12*3,IF($J241=11,-$E241*$I241/12*2,IF($J241=12,-$E241*$I241/12*1,0)))))+IF(BT$5&lt;&gt;$H241,0,IF(BT241&lt;0,IF($J241=10,-$E241*$I241/12*0,IF($J241=11,-$E241*$I241/12*1,IF($J241=12,-$E241*$I241/12*2,0)))))</f>
        <v>0</v>
      </c>
      <c r="BY241" s="440">
        <f t="shared" ref="BY241" si="3117">IF(AND(BT241&lt;&gt;0,BT$5=$H241),-$I241*$E241-BT241,IF(BY$5=$H241,-$I241*$E241*(12-$J241+1)/12,0))</f>
        <v>0</v>
      </c>
      <c r="BZ241" s="441">
        <f t="shared" ref="BZ241" si="3118">IF($H241&lt;&gt;CD$5,0,IF(CD241&lt;0,IF($J241=1,-$E241*$I241/12*3,IF($J241=2,-$E241*$I241/12*2,IF($J241=3,-$E241*$I241/12*1,0)))))+IF(BY$5&lt;&gt;$H241,0,IF(BY241&lt;0,IF($J241=1,-$E241*$I241/12*0,IF($J241=2,-$E241*$I241/12*1,IF($J241=3,-$E241*$I241/12*2,IF($J241&gt;=4,-$E241*$I241/12*3,0))))))</f>
        <v>0</v>
      </c>
      <c r="CA241" s="442">
        <f t="shared" ref="CA241" si="3119">IF($H241&lt;&gt;CD$5,0,IF(CD241&lt;0,IF(OR($J241=1,$J241=2,$J241=3,$J241=4),-$E241*$I241/12*3,IF($J241=5,-$E241*$I241/12*2,IF($J241=6,-$E241*$I241/12*1,0)))))+IF(BY$5&lt;&gt;$H241,0,IF(BY241&lt;0,IF($J241=4,-$E241*$I241/12*0,IF($J241=5,-$E241*$I241/12*1,IF($J241=6,-$E241*$I241/12*2,IF($J241&gt;=7,-$E241*$I241/12*3,0))))))</f>
        <v>0</v>
      </c>
      <c r="CB241" s="442">
        <f t="shared" ref="CB241" si="3120">IF($H241&lt;&gt;CD$5,0,IF(CD241&lt;0,IF(OR($J241=1,$J241=2,$J241=3,$J241=4,$J241=5,$J241=6,$J241=7),-$E241*$I241/12*3,IF($J241=8,-$E241*$I241/12*2,IF($J241=9,-$E241*$I241/12*1,0)))))+IF(BY$5&lt;&gt;$H241,0,IF(BY241&lt;0,IF($J241=7,-$E241*$I241/12*0,IF($J241=8,-$E241*$I241/12*1,IF($J241=9,-$E241*$I241/12*2,IF($J241&gt;=10,-$E241*$I241/12*3,0))))))</f>
        <v>0</v>
      </c>
      <c r="CC241" s="443">
        <f t="shared" ref="CC241" si="3121">IF($H241&lt;&gt;CD$5,0,IF(CD241&lt;0,IF(OR($J241=1,$J241=2,$J241=3,$J241=4,$J241=5,$J241=6,$J241=7,$J241=8,$J241=9,$J241=10),-$E241*$I241/12*3,IF($J241=11,-$E241*$I241/12*2,IF($J241=12,-$E241*$I241/12*1,0)))))+IF(BY$5&lt;&gt;$H241,0,IF(BY241&lt;0,IF($J241=10,-$E241*$I241/12*0,IF($J241=11,-$E241*$I241/12*1,IF($J241=12,-$E241*$I241/12*2,0)))))</f>
        <v>0</v>
      </c>
      <c r="CD241" s="440">
        <f t="shared" ref="CD241" si="3122">IF(AND(BY241&lt;&gt;0,BY$5=$H241),-$I241*$E241-BY241,IF(CD$5=$H241,-$I241*$E241*(12-$J241+1)/12,0))</f>
        <v>0</v>
      </c>
      <c r="CE241" s="441">
        <f t="shared" ref="CE241" si="3123">IF($H241&lt;&gt;CI$5,0,IF(CI241&lt;0,IF($J241=1,-$E241*$I241/12*3,IF($J241=2,-$E241*$I241/12*2,IF($J241=3,-$E241*$I241/12*1,0)))))+IF(CD$5&lt;&gt;$H241,0,IF(CD241&lt;0,IF($J241=1,-$E241*$I241/12*0,IF($J241=2,-$E241*$I241/12*1,IF($J241=3,-$E241*$I241/12*2,IF($J241&gt;=4,-$E241*$I241/12*3,0))))))</f>
        <v>0</v>
      </c>
      <c r="CF241" s="442">
        <f t="shared" ref="CF241" si="3124">IF($H241&lt;&gt;CI$5,0,IF(CI241&lt;0,IF(OR($J241=1,$J241=2,$J241=3,$J241=4),-$E241*$I241/12*3,IF($J241=5,-$E241*$I241/12*2,IF($J241=6,-$E241*$I241/12*1,0)))))+IF(CD$5&lt;&gt;$H241,0,IF(CD241&lt;0,IF($J241=4,-$E241*$I241/12*0,IF($J241=5,-$E241*$I241/12*1,IF($J241=6,-$E241*$I241/12*2,IF($J241&gt;=7,-$E241*$I241/12*3,0))))))</f>
        <v>0</v>
      </c>
      <c r="CG241" s="442">
        <f t="shared" ref="CG241" si="3125">IF($H241&lt;&gt;CI$5,0,IF(CI241&lt;0,IF(OR($J241=1,$J241=2,$J241=3,$J241=4,$J241=5,$J241=6,$J241=7),-$E241*$I241/12*3,IF($J241=8,-$E241*$I241/12*2,IF($J241=9,-$E241*$I241/12*1,0)))))+IF(CD$5&lt;&gt;$H241,0,IF(CD241&lt;0,IF($J241=7,-$E241*$I241/12*0,IF($J241=8,-$E241*$I241/12*1,IF($J241=9,-$E241*$I241/12*2,IF($J241&gt;=10,-$E241*$I241/12*3,0))))))</f>
        <v>0</v>
      </c>
      <c r="CH241" s="443">
        <f t="shared" ref="CH241" si="3126">IF($H241&lt;&gt;CI$5,0,IF(CI241&lt;0,IF(OR($J241=1,$J241=2,$J241=3,$J241=4,$J241=5,$J241=6,$J241=7,$J241=8,$J241=9,$J241=10),-$E241*$I241/12*3,IF($J241=11,-$E241*$I241/12*2,IF($J241=12,-$E241*$I241/12*1,0)))))+IF(CD$5&lt;&gt;$H241,0,IF(CD241&lt;0,IF($J241=10,-$E241*$I241/12*0,IF($J241=11,-$E241*$I241/12*1,IF($J241=12,-$E241*$I241/12*2,0)))))</f>
        <v>0</v>
      </c>
      <c r="CI241" s="440">
        <f t="shared" ref="CI241" si="3127">IF(AND(CD241&lt;&gt;0,CD$5=$H241),-$I241*$E241-CD241,IF(CI$5=$H241,-$I241*$E241*(12-$J241+1)/12,0))</f>
        <v>0</v>
      </c>
      <c r="CJ241" s="441">
        <f t="shared" ref="CJ241" si="3128">IF($H241&lt;&gt;CN$5,0,IF(CN241&lt;0,IF($J241=1,-$E241*$I241/12*3,IF($J241=2,-$E241*$I241/12*2,IF($J241=3,-$E241*$I241/12*1,0)))))+IF(CI$5&lt;&gt;$H241,0,IF(CI241&lt;0,IF($J241=1,-$E241*$I241/12*0,IF($J241=2,-$E241*$I241/12*1,IF($J241=3,-$E241*$I241/12*2,IF($J241&gt;=4,-$E241*$I241/12*3,0))))))</f>
        <v>0</v>
      </c>
      <c r="CK241" s="442">
        <f t="shared" ref="CK241" si="3129">IF($H241&lt;&gt;CN$5,0,IF(CN241&lt;0,IF(OR($J241=1,$J241=2,$J241=3,$J241=4),-$E241*$I241/12*3,IF($J241=5,-$E241*$I241/12*2,IF($J241=6,-$E241*$I241/12*1,0)))))+IF(CI$5&lt;&gt;$H241,0,IF(CI241&lt;0,IF($J241=4,-$E241*$I241/12*0,IF($J241=5,-$E241*$I241/12*1,IF($J241=6,-$E241*$I241/12*2,IF($J241&gt;=7,-$E241*$I241/12*3,0))))))</f>
        <v>0</v>
      </c>
      <c r="CL241" s="442">
        <f t="shared" ref="CL241" si="3130">IF($H241&lt;&gt;CN$5,0,IF(CN241&lt;0,IF(OR($J241=1,$J241=2,$J241=3,$J241=4,$J241=5,$J241=6,$J241=7),-$E241*$I241/12*3,IF($J241=8,-$E241*$I241/12*2,IF($J241=9,-$E241*$I241/12*1,0)))))+IF(CI$5&lt;&gt;$H241,0,IF(CI241&lt;0,IF($J241=7,-$E241*$I241/12*0,IF($J241=8,-$E241*$I241/12*1,IF($J241=9,-$E241*$I241/12*2,IF($J241&gt;=10,-$E241*$I241/12*3,0))))))</f>
        <v>0</v>
      </c>
      <c r="CM241" s="443">
        <f t="shared" ref="CM241" si="3131">IF($H241&lt;&gt;CN$5,0,IF(CN241&lt;0,IF(OR($J241=1,$J241=2,$J241=3,$J241=4,$J241=5,$J241=6,$J241=7,$J241=8,$J241=9,$J241=10),-$E241*$I241/12*3,IF($J241=11,-$E241*$I241/12*2,IF($J241=12,-$E241*$I241/12*1,0)))))+IF(CI$5&lt;&gt;$H241,0,IF(CI241&lt;0,IF($J241=10,-$E241*$I241/12*0,IF($J241=11,-$E241*$I241/12*1,IF($J241=12,-$E241*$I241/12*2,0)))))</f>
        <v>0</v>
      </c>
      <c r="CN241" s="440">
        <f t="shared" ref="CN241" si="3132">IF(AND(CI241&lt;&gt;0,CI$5=$H241),-$I241*$E241-CI241,IF(CN$5=$H241,-$I241*$E241*(12-$J241+1)/12,0))</f>
        <v>0</v>
      </c>
      <c r="CO241" s="441">
        <f t="shared" ref="CO241" si="3133">IF($H241&lt;&gt;CS$5,0,IF(CS241&lt;0,IF($J241=1,-$E241*$I241/12*3,IF($J241=2,-$E241*$I241/12*2,IF($J241=3,-$E241*$I241/12*1,0)))))+IF(CN$5&lt;&gt;$H241,0,IF(CN241&lt;0,IF($J241=1,-$E241*$I241/12*0,IF($J241=2,-$E241*$I241/12*1,IF($J241=3,-$E241*$I241/12*2,IF($J241&gt;=4,-$E241*$I241/12*3,0))))))</f>
        <v>0</v>
      </c>
      <c r="CP241" s="442">
        <f t="shared" ref="CP241" si="3134">IF($H241&lt;&gt;CS$5,0,IF(CS241&lt;0,IF(OR($J241=1,$J241=2,$J241=3,$J241=4),-$E241*$I241/12*3,IF($J241=5,-$E241*$I241/12*2,IF($J241=6,-$E241*$I241/12*1,0)))))+IF(CN$5&lt;&gt;$H241,0,IF(CN241&lt;0,IF($J241=4,-$E241*$I241/12*0,IF($J241=5,-$E241*$I241/12*1,IF($J241=6,-$E241*$I241/12*2,IF($J241&gt;=7,-$E241*$I241/12*3,0))))))</f>
        <v>0</v>
      </c>
      <c r="CQ241" s="442">
        <f t="shared" ref="CQ241" si="3135">IF($H241&lt;&gt;CS$5,0,IF(CS241&lt;0,IF(OR($J241=1,$J241=2,$J241=3,$J241=4,$J241=5,$J241=6,$J241=7),-$E241*$I241/12*3,IF($J241=8,-$E241*$I241/12*2,IF($J241=9,-$E241*$I241/12*1,0)))))+IF(CN$5&lt;&gt;$H241,0,IF(CN241&lt;0,IF($J241=7,-$E241*$I241/12*0,IF($J241=8,-$E241*$I241/12*1,IF($J241=9,-$E241*$I241/12*2,IF($J241&gt;=10,-$E241*$I241/12*3,0))))))</f>
        <v>0</v>
      </c>
      <c r="CR241" s="443">
        <f t="shared" ref="CR241" si="3136">IF($H241&lt;&gt;CS$5,0,IF(CS241&lt;0,IF(OR($J241=1,$J241=2,$J241=3,$J241=4,$J241=5,$J241=6,$J241=7,$J241=8,$J241=9,$J241=10),-$E241*$I241/12*3,IF($J241=11,-$E241*$I241/12*2,IF($J241=12,-$E241*$I241/12*1,0)))))+IF(CN$5&lt;&gt;$H241,0,IF(CN241&lt;0,IF($J241=10,-$E241*$I241/12*0,IF($J241=11,-$E241*$I241/12*1,IF($J241=12,-$E241*$I241/12*2,0)))))</f>
        <v>0</v>
      </c>
      <c r="CS241" s="440">
        <f t="shared" ref="CS241" si="3137">IF(AND(CN241&lt;&gt;0,CN$5=$H241),-$I241*$E241-CN241,IF(CS$5=$H241,-$I241*$E241*(12-$J241+1)/12,0))</f>
        <v>0</v>
      </c>
      <c r="CT241" s="441">
        <f t="shared" ref="CT241" si="3138">IF($H241&lt;&gt;CX$5,0,IF(CX241&lt;0,IF($J241=1,-$E241*$I241/12*3,IF($J241=2,-$E241*$I241/12*2,IF($J241=3,-$E241*$I241/12*1,0)))))+IF(CS$5&lt;&gt;$H241,0,IF(CS241&lt;0,IF($J241=1,-$E241*$I241/12*0,IF($J241=2,-$E241*$I241/12*1,IF($J241=3,-$E241*$I241/12*2,IF($J241&gt;=4,-$E241*$I241/12*3,0))))))</f>
        <v>0</v>
      </c>
      <c r="CU241" s="442">
        <f t="shared" ref="CU241" si="3139">IF($H241&lt;&gt;CX$5,0,IF(CX241&lt;0,IF(OR($J241=1,$J241=2,$J241=3,$J241=4),-$E241*$I241/12*3,IF($J241=5,-$E241*$I241/12*2,IF($J241=6,-$E241*$I241/12*1,0)))))+IF(CS$5&lt;&gt;$H241,0,IF(CS241&lt;0,IF($J241=4,-$E241*$I241/12*0,IF($J241=5,-$E241*$I241/12*1,IF($J241=6,-$E241*$I241/12*2,IF($J241&gt;=7,-$E241*$I241/12*3,0))))))</f>
        <v>0</v>
      </c>
      <c r="CV241" s="442">
        <f t="shared" ref="CV241" si="3140">IF($H241&lt;&gt;CX$5,0,IF(CX241&lt;0,IF(OR($J241=1,$J241=2,$J241=3,$J241=4,$J241=5,$J241=6,$J241=7),-$E241*$I241/12*3,IF($J241=8,-$E241*$I241/12*2,IF($J241=9,-$E241*$I241/12*1,0)))))+IF(CS$5&lt;&gt;$H241,0,IF(CS241&lt;0,IF($J241=7,-$E241*$I241/12*0,IF($J241=8,-$E241*$I241/12*1,IF($J241=9,-$E241*$I241/12*2,IF($J241&gt;=10,-$E241*$I241/12*3,0))))))</f>
        <v>0</v>
      </c>
      <c r="CW241" s="443">
        <f t="shared" ref="CW241" si="3141">IF($H241&lt;&gt;CX$5,0,IF(CX241&lt;0,IF(OR($J241=1,$J241=2,$J241=3,$J241=4,$J241=5,$J241=6,$J241=7,$J241=8,$J241=9,$J241=10),-$E241*$I241/12*3,IF($J241=11,-$E241*$I241/12*2,IF($J241=12,-$E241*$I241/12*1,0)))))+IF(CS$5&lt;&gt;$H241,0,IF(CS241&lt;0,IF($J241=10,-$E241*$I241/12*0,IF($J241=11,-$E241*$I241/12*1,IF($J241=12,-$E241*$I241/12*2,0)))))</f>
        <v>0</v>
      </c>
      <c r="CX241" s="440">
        <f t="shared" ref="CX241" si="3142">IF(AND(CS241&lt;&gt;0,CS$5=$H241),-$I241*$E241-CS241,IF(CX$5=$H241,-$I241*$E241*(12-$J241+1)/12,0))</f>
        <v>0</v>
      </c>
      <c r="CY241" s="441">
        <f t="shared" ref="CY241" si="3143">IF($H241&lt;&gt;DC$5,0,IF(DC241&lt;0,IF($J241=1,-$E241*$I241/12*3,IF($J241=2,-$E241*$I241/12*2,IF($J241=3,-$E241*$I241/12*1,0)))))+IF(CX$5&lt;&gt;$H241,0,IF(CX241&lt;0,IF($J241=1,-$E241*$I241/12*0,IF($J241=2,-$E241*$I241/12*1,IF($J241=3,-$E241*$I241/12*2,IF($J241&gt;=4,-$E241*$I241/12*3,0))))))</f>
        <v>0</v>
      </c>
      <c r="CZ241" s="442">
        <f t="shared" ref="CZ241" si="3144">IF($H241&lt;&gt;DC$5,0,IF(DC241&lt;0,IF(OR($J241=1,$J241=2,$J241=3,$J241=4),-$E241*$I241/12*3,IF($J241=5,-$E241*$I241/12*2,IF($J241=6,-$E241*$I241/12*1,0)))))+IF(CX$5&lt;&gt;$H241,0,IF(CX241&lt;0,IF($J241=4,-$E241*$I241/12*0,IF($J241=5,-$E241*$I241/12*1,IF($J241=6,-$E241*$I241/12*2,IF($J241&gt;=7,-$E241*$I241/12*3,0))))))</f>
        <v>0</v>
      </c>
      <c r="DA241" s="442">
        <f t="shared" ref="DA241" si="3145">IF($H241&lt;&gt;DC$5,0,IF(DC241&lt;0,IF(OR($J241=1,$J241=2,$J241=3,$J241=4,$J241=5,$J241=6,$J241=7),-$E241*$I241/12*3,IF($J241=8,-$E241*$I241/12*2,IF($J241=9,-$E241*$I241/12*1,0)))))+IF(CX$5&lt;&gt;$H241,0,IF(CX241&lt;0,IF($J241=7,-$E241*$I241/12*0,IF($J241=8,-$E241*$I241/12*1,IF($J241=9,-$E241*$I241/12*2,IF($J241&gt;=10,-$E241*$I241/12*3,0))))))</f>
        <v>0</v>
      </c>
      <c r="DB241" s="443">
        <f t="shared" ref="DB241" si="3146">IF($H241&lt;&gt;DC$5,0,IF(DC241&lt;0,IF(OR($J241=1,$J241=2,$J241=3,$J241=4,$J241=5,$J241=6,$J241=7,$J241=8,$J241=9,$J241=10),-$E241*$I241/12*3,IF($J241=11,-$E241*$I241/12*2,IF($J241=12,-$E241*$I241/12*1,0)))))+IF(CX$5&lt;&gt;$H241,0,IF(CX241&lt;0,IF($J241=10,-$E241*$I241/12*0,IF($J241=11,-$E241*$I241/12*1,IF($J241=12,-$E241*$I241/12*2,0)))))</f>
        <v>0</v>
      </c>
      <c r="DC241" s="440">
        <f t="shared" ref="DC241" si="3147">IF(AND(CX241&lt;&gt;0,CX$5=$H241),-$I241*$E241-CX241,IF(DC$5=$H241,-$I241*$E241*(12-$J241+1)/12,0))</f>
        <v>0</v>
      </c>
      <c r="DD241" s="441">
        <f t="shared" ref="DD241" si="3148">IF($H241&lt;&gt;DH$5,0,IF(DH241&lt;0,IF($J241=1,-$E241*$I241/12*3,IF($J241=2,-$E241*$I241/12*2,IF($J241=3,-$E241*$I241/12*1,0)))))+IF(DC$5&lt;&gt;$H241,0,IF(DC241&lt;0,IF($J241=1,-$E241*$I241/12*0,IF($J241=2,-$E241*$I241/12*1,IF($J241=3,-$E241*$I241/12*2,IF($J241&gt;=4,-$E241*$I241/12*3,0))))))</f>
        <v>0</v>
      </c>
      <c r="DE241" s="442">
        <f t="shared" ref="DE241" si="3149">IF($H241&lt;&gt;DH$5,0,IF(DH241&lt;0,IF(OR($J241=1,$J241=2,$J241=3,$J241=4),-$E241*$I241/12*3,IF($J241=5,-$E241*$I241/12*2,IF($J241=6,-$E241*$I241/12*1,0)))))+IF(DC$5&lt;&gt;$H241,0,IF(DC241&lt;0,IF($J241=4,-$E241*$I241/12*0,IF($J241=5,-$E241*$I241/12*1,IF($J241=6,-$E241*$I241/12*2,IF($J241&gt;=7,-$E241*$I241/12*3,0))))))</f>
        <v>0</v>
      </c>
      <c r="DF241" s="442">
        <f t="shared" ref="DF241" si="3150">IF($H241&lt;&gt;DH$5,0,IF(DH241&lt;0,IF(OR($J241=1,$J241=2,$J241=3,$J241=4,$J241=5,$J241=6,$J241=7),-$E241*$I241/12*3,IF($J241=8,-$E241*$I241/12*2,IF($J241=9,-$E241*$I241/12*1,0)))))+IF(DC$5&lt;&gt;$H241,0,IF(DC241&lt;0,IF($J241=7,-$E241*$I241/12*0,IF($J241=8,-$E241*$I241/12*1,IF($J241=9,-$E241*$I241/12*2,IF($J241&gt;=10,-$E241*$I241/12*3,0))))))</f>
        <v>0</v>
      </c>
      <c r="DG241" s="443">
        <f t="shared" ref="DG241" si="3151">IF($H241&lt;&gt;DH$5,0,IF(DH241&lt;0,IF(OR($J241=1,$J241=2,$J241=3,$J241=4,$J241=5,$J241=6,$J241=7,$J241=8,$J241=9,$J241=10),-$E241*$I241/12*3,IF($J241=11,-$E241*$I241/12*2,IF($J241=12,-$E241*$I241/12*1,0)))))+IF(DC$5&lt;&gt;$H241,0,IF(DC241&lt;0,IF($J241=10,-$E241*$I241/12*0,IF($J241=11,-$E241*$I241/12*1,IF($J241=12,-$E241*$I241/12*2,0)))))</f>
        <v>0</v>
      </c>
      <c r="DH241" s="440">
        <f t="shared" ref="DH241" si="3152">IF(AND(DC241&lt;&gt;0,DC$5=$H241),-$I241*$E241-DC241,IF(DH$5=$H241,-$I241*$E241*(12-$J241+1)/12,0))</f>
        <v>0</v>
      </c>
      <c r="DI241" s="441">
        <f t="shared" ref="DI241" si="3153">IF($H241&lt;&gt;DM$5,0,IF(DM241&lt;0,IF($J241=1,-$E241*$I241/12*3,IF($J241=2,-$E241*$I241/12*2,IF($J241=3,-$E241*$I241/12*1,0)))))+IF(DH$5&lt;&gt;$H241,0,IF(DH241&lt;0,IF($J241=1,-$E241*$I241/12*0,IF($J241=2,-$E241*$I241/12*1,IF($J241=3,-$E241*$I241/12*2,IF($J241&gt;=4,-$E241*$I241/12*3,0))))))</f>
        <v>0</v>
      </c>
      <c r="DJ241" s="442">
        <f t="shared" ref="DJ241" si="3154">IF($H241&lt;&gt;DM$5,0,IF(DM241&lt;0,IF(OR($J241=1,$J241=2,$J241=3,$J241=4),-$E241*$I241/12*3,IF($J241=5,-$E241*$I241/12*2,IF($J241=6,-$E241*$I241/12*1,0)))))+IF(DH$5&lt;&gt;$H241,0,IF(DH241&lt;0,IF($J241=4,-$E241*$I241/12*0,IF($J241=5,-$E241*$I241/12*1,IF($J241=6,-$E241*$I241/12*2,IF($J241&gt;=7,-$E241*$I241/12*3,0))))))</f>
        <v>0</v>
      </c>
      <c r="DK241" s="442">
        <f t="shared" ref="DK241" si="3155">IF($H241&lt;&gt;DM$5,0,IF(DM241&lt;0,IF(OR($J241=1,$J241=2,$J241=3,$J241=4,$J241=5,$J241=6,$J241=7),-$E241*$I241/12*3,IF($J241=8,-$E241*$I241/12*2,IF($J241=9,-$E241*$I241/12*1,0)))))+IF(DH$5&lt;&gt;$H241,0,IF(DH241&lt;0,IF($J241=7,-$E241*$I241/12*0,IF($J241=8,-$E241*$I241/12*1,IF($J241=9,-$E241*$I241/12*2,IF($J241&gt;=10,-$E241*$I241/12*3,0))))))</f>
        <v>0</v>
      </c>
      <c r="DL241" s="443">
        <f t="shared" ref="DL241" si="3156">IF($H241&lt;&gt;DM$5,0,IF(DM241&lt;0,IF(OR($J241=1,$J241=2,$J241=3,$J241=4,$J241=5,$J241=6,$J241=7,$J241=8,$J241=9,$J241=10),-$E241*$I241/12*3,IF($J241=11,-$E241*$I241/12*2,IF($J241=12,-$E241*$I241/12*1,0)))))+IF(DH$5&lt;&gt;$H241,0,IF(DH241&lt;0,IF($J241=10,-$E241*$I241/12*0,IF($J241=11,-$E241*$I241/12*1,IF($J241=12,-$E241*$I241/12*2,0)))))</f>
        <v>0</v>
      </c>
      <c r="DM241" s="440">
        <f t="shared" ref="DM241" si="3157">IF(AND(DH241&lt;&gt;0,DH$5=$H241),-$I241*$E241-DH241,IF(DM$5=$H241,-$I241*$E241*(12-$J241+1)/12,0))</f>
        <v>0</v>
      </c>
      <c r="DN241" s="441">
        <f t="shared" si="3103"/>
        <v>0</v>
      </c>
      <c r="DO241" s="442">
        <f t="shared" si="3104"/>
        <v>0</v>
      </c>
      <c r="DP241" s="442">
        <f t="shared" si="3105"/>
        <v>0</v>
      </c>
      <c r="DQ241" s="443">
        <f t="shared" si="3106"/>
        <v>0</v>
      </c>
      <c r="DR241" s="440">
        <f t="shared" si="3107"/>
        <v>0</v>
      </c>
    </row>
    <row r="242" spans="1:122" ht="12.75" customHeight="1">
      <c r="A242" s="92"/>
      <c r="B242" s="92"/>
      <c r="C242" s="1946" t="s">
        <v>989</v>
      </c>
      <c r="D242" s="1953"/>
      <c r="E242" s="1954">
        <f t="shared" si="2997"/>
        <v>550</v>
      </c>
      <c r="F242" s="1757">
        <v>550</v>
      </c>
      <c r="G242" s="1757">
        <v>550</v>
      </c>
      <c r="H242" s="1374">
        <v>2025</v>
      </c>
      <c r="I242" s="1956">
        <v>3.85E-2</v>
      </c>
      <c r="J242" s="1357">
        <v>6</v>
      </c>
      <c r="K242" s="549"/>
      <c r="L242" s="441">
        <f t="shared" si="2998"/>
        <v>0</v>
      </c>
      <c r="M242" s="442">
        <f t="shared" si="2999"/>
        <v>0</v>
      </c>
      <c r="N242" s="442">
        <f t="shared" si="3000"/>
        <v>0</v>
      </c>
      <c r="O242" s="443">
        <f t="shared" si="3001"/>
        <v>0</v>
      </c>
      <c r="P242" s="440">
        <f t="shared" si="3002"/>
        <v>0</v>
      </c>
      <c r="Q242" s="441">
        <f t="shared" si="3003"/>
        <v>0</v>
      </c>
      <c r="R242" s="442">
        <f t="shared" si="3004"/>
        <v>0</v>
      </c>
      <c r="S242" s="442">
        <f t="shared" si="3005"/>
        <v>0</v>
      </c>
      <c r="T242" s="443">
        <f t="shared" si="3006"/>
        <v>0</v>
      </c>
      <c r="U242" s="440">
        <f t="shared" si="3007"/>
        <v>0</v>
      </c>
      <c r="V242" s="441">
        <f t="shared" si="3008"/>
        <v>0</v>
      </c>
      <c r="W242" s="442">
        <f t="shared" si="3009"/>
        <v>0</v>
      </c>
      <c r="X242" s="442">
        <f t="shared" si="3010"/>
        <v>0</v>
      </c>
      <c r="Y242" s="443">
        <f t="shared" si="3011"/>
        <v>0</v>
      </c>
      <c r="Z242" s="440">
        <f t="shared" si="3012"/>
        <v>0</v>
      </c>
      <c r="AA242" s="441">
        <f t="shared" si="3013"/>
        <v>0</v>
      </c>
      <c r="AB242" s="442">
        <f t="shared" si="3014"/>
        <v>0</v>
      </c>
      <c r="AC242" s="442">
        <f t="shared" si="3015"/>
        <v>0</v>
      </c>
      <c r="AD242" s="443">
        <f t="shared" si="3016"/>
        <v>0</v>
      </c>
      <c r="AE242" s="440">
        <f t="shared" si="3017"/>
        <v>0</v>
      </c>
      <c r="AF242" s="441">
        <f t="shared" si="3018"/>
        <v>0</v>
      </c>
      <c r="AG242" s="442">
        <f t="shared" si="3019"/>
        <v>0</v>
      </c>
      <c r="AH242" s="442">
        <f t="shared" si="3020"/>
        <v>0</v>
      </c>
      <c r="AI242" s="443">
        <f t="shared" si="3021"/>
        <v>0</v>
      </c>
      <c r="AJ242" s="440">
        <f t="shared" si="3022"/>
        <v>0</v>
      </c>
      <c r="AK242" s="441">
        <f t="shared" si="3023"/>
        <v>0</v>
      </c>
      <c r="AL242" s="442">
        <f t="shared" si="3024"/>
        <v>0</v>
      </c>
      <c r="AM242" s="442">
        <f t="shared" si="3025"/>
        <v>0</v>
      </c>
      <c r="AN242" s="443">
        <f t="shared" si="3026"/>
        <v>0</v>
      </c>
      <c r="AO242" s="440">
        <f t="shared" si="3027"/>
        <v>0</v>
      </c>
      <c r="AP242" s="441">
        <f t="shared" si="3028"/>
        <v>0</v>
      </c>
      <c r="AQ242" s="442">
        <f t="shared" si="3029"/>
        <v>0</v>
      </c>
      <c r="AR242" s="442">
        <f t="shared" si="3030"/>
        <v>0</v>
      </c>
      <c r="AS242" s="443">
        <f t="shared" si="3031"/>
        <v>0</v>
      </c>
      <c r="AT242" s="440">
        <f t="shared" si="3032"/>
        <v>0</v>
      </c>
      <c r="AU242" s="441">
        <f t="shared" si="3033"/>
        <v>0</v>
      </c>
      <c r="AV242" s="442">
        <f t="shared" si="3034"/>
        <v>0</v>
      </c>
      <c r="AW242" s="442">
        <f t="shared" si="3035"/>
        <v>0</v>
      </c>
      <c r="AX242" s="443">
        <f t="shared" si="3036"/>
        <v>0</v>
      </c>
      <c r="AY242" s="440">
        <f t="shared" si="3037"/>
        <v>0</v>
      </c>
      <c r="AZ242" s="441">
        <f t="shared" si="3038"/>
        <v>0</v>
      </c>
      <c r="BA242" s="442">
        <f t="shared" si="3039"/>
        <v>0</v>
      </c>
      <c r="BB242" s="442">
        <f t="shared" si="3040"/>
        <v>0</v>
      </c>
      <c r="BC242" s="443">
        <f t="shared" si="3041"/>
        <v>0</v>
      </c>
      <c r="BD242" s="440">
        <f t="shared" si="3042"/>
        <v>0</v>
      </c>
      <c r="BE242" s="441">
        <f t="shared" si="3043"/>
        <v>0</v>
      </c>
      <c r="BF242" s="442">
        <f t="shared" si="3044"/>
        <v>0</v>
      </c>
      <c r="BG242" s="442">
        <f t="shared" si="3045"/>
        <v>0</v>
      </c>
      <c r="BH242" s="443">
        <f t="shared" si="3046"/>
        <v>0</v>
      </c>
      <c r="BI242" s="440">
        <f t="shared" si="3047"/>
        <v>0</v>
      </c>
      <c r="BJ242" s="441">
        <f t="shared" si="3048"/>
        <v>0</v>
      </c>
      <c r="BK242" s="442">
        <f t="shared" si="3049"/>
        <v>0</v>
      </c>
      <c r="BL242" s="442">
        <f t="shared" si="3050"/>
        <v>0</v>
      </c>
      <c r="BM242" s="443">
        <f t="shared" si="3051"/>
        <v>0</v>
      </c>
      <c r="BN242" s="440">
        <f t="shared" si="3052"/>
        <v>0</v>
      </c>
      <c r="BO242" s="470"/>
      <c r="BP242" s="441">
        <f t="shared" si="3053"/>
        <v>0</v>
      </c>
      <c r="BQ242" s="442">
        <f t="shared" si="3054"/>
        <v>0</v>
      </c>
      <c r="BR242" s="442">
        <f t="shared" si="3055"/>
        <v>0</v>
      </c>
      <c r="BS242" s="443">
        <f t="shared" si="3056"/>
        <v>0</v>
      </c>
      <c r="BT242" s="440">
        <f t="shared" si="3057"/>
        <v>0</v>
      </c>
      <c r="BU242" s="441">
        <f t="shared" si="3058"/>
        <v>0</v>
      </c>
      <c r="BV242" s="442">
        <f t="shared" si="3059"/>
        <v>0</v>
      </c>
      <c r="BW242" s="442">
        <f t="shared" si="3060"/>
        <v>0</v>
      </c>
      <c r="BX242" s="443">
        <f t="shared" si="3061"/>
        <v>0</v>
      </c>
      <c r="BY242" s="440">
        <f t="shared" si="3062"/>
        <v>0</v>
      </c>
      <c r="BZ242" s="441">
        <f t="shared" si="3063"/>
        <v>0</v>
      </c>
      <c r="CA242" s="442">
        <f t="shared" si="3064"/>
        <v>0</v>
      </c>
      <c r="CB242" s="442">
        <f t="shared" si="3065"/>
        <v>0</v>
      </c>
      <c r="CC242" s="443">
        <f t="shared" si="3066"/>
        <v>0</v>
      </c>
      <c r="CD242" s="440">
        <f t="shared" si="3067"/>
        <v>0</v>
      </c>
      <c r="CE242" s="441">
        <f t="shared" si="3068"/>
        <v>0</v>
      </c>
      <c r="CF242" s="442">
        <f t="shared" si="3069"/>
        <v>0</v>
      </c>
      <c r="CG242" s="442">
        <f t="shared" si="3070"/>
        <v>0</v>
      </c>
      <c r="CH242" s="443">
        <f t="shared" si="3071"/>
        <v>0</v>
      </c>
      <c r="CI242" s="440">
        <f t="shared" si="3072"/>
        <v>0</v>
      </c>
      <c r="CJ242" s="441">
        <f t="shared" si="3073"/>
        <v>0</v>
      </c>
      <c r="CK242" s="442">
        <f t="shared" si="3074"/>
        <v>0</v>
      </c>
      <c r="CL242" s="442">
        <f t="shared" si="3075"/>
        <v>0</v>
      </c>
      <c r="CM242" s="443">
        <f t="shared" si="3076"/>
        <v>0</v>
      </c>
      <c r="CN242" s="440">
        <f t="shared" si="3077"/>
        <v>0</v>
      </c>
      <c r="CO242" s="441">
        <f t="shared" si="3078"/>
        <v>0</v>
      </c>
      <c r="CP242" s="442">
        <f t="shared" si="3079"/>
        <v>0</v>
      </c>
      <c r="CQ242" s="442">
        <f t="shared" si="3080"/>
        <v>0</v>
      </c>
      <c r="CR242" s="443">
        <f t="shared" si="3081"/>
        <v>0</v>
      </c>
      <c r="CS242" s="440">
        <f t="shared" si="3082"/>
        <v>0</v>
      </c>
      <c r="CT242" s="441">
        <f t="shared" si="3083"/>
        <v>0</v>
      </c>
      <c r="CU242" s="442">
        <f t="shared" si="3084"/>
        <v>0</v>
      </c>
      <c r="CV242" s="442">
        <f t="shared" si="3085"/>
        <v>0</v>
      </c>
      <c r="CW242" s="443">
        <f t="shared" si="3086"/>
        <v>0</v>
      </c>
      <c r="CX242" s="440">
        <f t="shared" si="3087"/>
        <v>0</v>
      </c>
      <c r="CY242" s="441">
        <f t="shared" si="3088"/>
        <v>0</v>
      </c>
      <c r="CZ242" s="442">
        <f t="shared" si="3089"/>
        <v>0</v>
      </c>
      <c r="DA242" s="442">
        <f t="shared" si="3090"/>
        <v>0</v>
      </c>
      <c r="DB242" s="443">
        <f t="shared" si="3091"/>
        <v>0</v>
      </c>
      <c r="DC242" s="440">
        <f t="shared" si="3092"/>
        <v>0</v>
      </c>
      <c r="DD242" s="441">
        <f t="shared" si="3093"/>
        <v>0</v>
      </c>
      <c r="DE242" s="442">
        <f t="shared" si="3094"/>
        <v>0</v>
      </c>
      <c r="DF242" s="442">
        <f t="shared" si="3095"/>
        <v>0</v>
      </c>
      <c r="DG242" s="443">
        <f t="shared" si="3096"/>
        <v>0</v>
      </c>
      <c r="DH242" s="440">
        <f t="shared" si="3097"/>
        <v>0</v>
      </c>
      <c r="DI242" s="441">
        <f t="shared" si="3098"/>
        <v>0</v>
      </c>
      <c r="DJ242" s="442">
        <f t="shared" si="3099"/>
        <v>0</v>
      </c>
      <c r="DK242" s="442">
        <f t="shared" si="3100"/>
        <v>0</v>
      </c>
      <c r="DL242" s="443">
        <f t="shared" si="3101"/>
        <v>0</v>
      </c>
      <c r="DM242" s="440">
        <f t="shared" si="3102"/>
        <v>0</v>
      </c>
      <c r="DN242" s="441">
        <f t="shared" si="3103"/>
        <v>0</v>
      </c>
      <c r="DO242" s="442">
        <f t="shared" si="3104"/>
        <v>0</v>
      </c>
      <c r="DP242" s="442">
        <f t="shared" si="3105"/>
        <v>0</v>
      </c>
      <c r="DQ242" s="443">
        <f t="shared" si="3106"/>
        <v>0</v>
      </c>
      <c r="DR242" s="440">
        <f t="shared" si="3107"/>
        <v>0</v>
      </c>
    </row>
    <row r="243" spans="1:122" ht="12.75" customHeight="1">
      <c r="A243" s="92"/>
      <c r="B243" s="92"/>
      <c r="C243" s="561"/>
      <c r="D243" s="561"/>
      <c r="E243" s="575"/>
      <c r="F243" s="575"/>
      <c r="G243" s="575"/>
      <c r="H243" s="591"/>
      <c r="I243" s="613"/>
      <c r="J243" s="626"/>
      <c r="K243" s="536"/>
      <c r="L243" s="435"/>
      <c r="M243" s="436"/>
      <c r="N243" s="436"/>
      <c r="O243" s="437"/>
      <c r="P243" s="444"/>
      <c r="Q243" s="435"/>
      <c r="R243" s="436"/>
      <c r="S243" s="436"/>
      <c r="T243" s="437"/>
      <c r="U243" s="444"/>
      <c r="V243" s="435"/>
      <c r="W243" s="436"/>
      <c r="X243" s="436"/>
      <c r="Y243" s="437"/>
      <c r="Z243" s="444"/>
      <c r="AA243" s="435"/>
      <c r="AB243" s="436"/>
      <c r="AC243" s="436"/>
      <c r="AD243" s="437"/>
      <c r="AE243" s="444"/>
      <c r="AF243" s="435"/>
      <c r="AG243" s="436"/>
      <c r="AH243" s="436"/>
      <c r="AI243" s="437"/>
      <c r="AJ243" s="444"/>
      <c r="AK243" s="435"/>
      <c r="AL243" s="436"/>
      <c r="AM243" s="436"/>
      <c r="AN243" s="437"/>
      <c r="AO243" s="444"/>
      <c r="AP243" s="435"/>
      <c r="AQ243" s="436"/>
      <c r="AR243" s="436"/>
      <c r="AS243" s="437"/>
      <c r="AT243" s="444"/>
      <c r="AU243" s="435"/>
      <c r="AV243" s="436"/>
      <c r="AW243" s="436"/>
      <c r="AX243" s="437"/>
      <c r="AY243" s="444"/>
      <c r="AZ243" s="435"/>
      <c r="BA243" s="436"/>
      <c r="BB243" s="436"/>
      <c r="BC243" s="437"/>
      <c r="BD243" s="444"/>
      <c r="BE243" s="435"/>
      <c r="BF243" s="436"/>
      <c r="BG243" s="436"/>
      <c r="BH243" s="437"/>
      <c r="BI243" s="444"/>
      <c r="BJ243" s="435"/>
      <c r="BK243" s="436"/>
      <c r="BL243" s="436"/>
      <c r="BM243" s="437"/>
      <c r="BN243" s="444"/>
      <c r="BO243" s="470"/>
      <c r="BP243" s="435"/>
      <c r="BQ243" s="436"/>
      <c r="BR243" s="436"/>
      <c r="BS243" s="437"/>
      <c r="BT243" s="444"/>
      <c r="BU243" s="435"/>
      <c r="BV243" s="436"/>
      <c r="BW243" s="436"/>
      <c r="BX243" s="437"/>
      <c r="BY243" s="444"/>
      <c r="BZ243" s="435"/>
      <c r="CA243" s="436"/>
      <c r="CB243" s="436"/>
      <c r="CC243" s="437"/>
      <c r="CD243" s="444"/>
      <c r="CE243" s="435"/>
      <c r="CF243" s="436"/>
      <c r="CG243" s="436"/>
      <c r="CH243" s="437"/>
      <c r="CI243" s="444"/>
      <c r="CJ243" s="435"/>
      <c r="CK243" s="436"/>
      <c r="CL243" s="436"/>
      <c r="CM243" s="437"/>
      <c r="CN243" s="444"/>
      <c r="CO243" s="435"/>
      <c r="CP243" s="436"/>
      <c r="CQ243" s="436"/>
      <c r="CR243" s="437"/>
      <c r="CS243" s="444"/>
      <c r="CT243" s="435"/>
      <c r="CU243" s="436"/>
      <c r="CV243" s="436"/>
      <c r="CW243" s="437"/>
      <c r="CX243" s="444"/>
      <c r="CY243" s="435"/>
      <c r="CZ243" s="436"/>
      <c r="DA243" s="436"/>
      <c r="DB243" s="437"/>
      <c r="DC243" s="444"/>
      <c r="DD243" s="435"/>
      <c r="DE243" s="436"/>
      <c r="DF243" s="436"/>
      <c r="DG243" s="437"/>
      <c r="DH243" s="444"/>
      <c r="DI243" s="435"/>
      <c r="DJ243" s="436"/>
      <c r="DK243" s="436"/>
      <c r="DL243" s="437"/>
      <c r="DM243" s="444"/>
      <c r="DN243" s="435"/>
      <c r="DO243" s="436"/>
      <c r="DP243" s="436"/>
      <c r="DQ243" s="437"/>
      <c r="DR243" s="444"/>
    </row>
    <row r="244" spans="1:122" s="13" customFormat="1" ht="12.75" customHeight="1">
      <c r="A244" s="136"/>
      <c r="B244" s="136"/>
      <c r="C244" s="394" t="s">
        <v>215</v>
      </c>
      <c r="D244" s="394"/>
      <c r="E244" s="389">
        <f>SUM(E126:E242)</f>
        <v>13603.090001999999</v>
      </c>
      <c r="F244" s="389">
        <f>SUM(F126:F242)</f>
        <v>12177.514584000002</v>
      </c>
      <c r="G244" s="389">
        <f>SUM(G126:G242)</f>
        <v>12239.747491</v>
      </c>
      <c r="H244" s="629"/>
      <c r="I244" s="630"/>
      <c r="J244" s="631"/>
      <c r="K244" s="387"/>
      <c r="L244" s="390"/>
      <c r="M244" s="391"/>
      <c r="N244" s="391"/>
      <c r="O244" s="392">
        <f>SUM(O127:O243)</f>
        <v>0</v>
      </c>
      <c r="P244" s="389">
        <f t="shared" ref="P244:AU244" si="3158">SUM(P126:P242)</f>
        <v>0</v>
      </c>
      <c r="Q244" s="390">
        <f t="shared" si="3158"/>
        <v>0</v>
      </c>
      <c r="R244" s="391">
        <f t="shared" si="3158"/>
        <v>0</v>
      </c>
      <c r="S244" s="391">
        <f t="shared" si="3158"/>
        <v>0</v>
      </c>
      <c r="T244" s="392">
        <f t="shared" si="3158"/>
        <v>0</v>
      </c>
      <c r="U244" s="389">
        <f t="shared" si="3158"/>
        <v>0</v>
      </c>
      <c r="V244" s="390">
        <f t="shared" si="3158"/>
        <v>0</v>
      </c>
      <c r="W244" s="391">
        <f t="shared" si="3158"/>
        <v>0</v>
      </c>
      <c r="X244" s="391">
        <f t="shared" si="3158"/>
        <v>0</v>
      </c>
      <c r="Y244" s="392">
        <f t="shared" si="3158"/>
        <v>0</v>
      </c>
      <c r="Z244" s="389">
        <f t="shared" si="3158"/>
        <v>0</v>
      </c>
      <c r="AA244" s="390">
        <f t="shared" si="3158"/>
        <v>0</v>
      </c>
      <c r="AB244" s="391">
        <f t="shared" si="3158"/>
        <v>0</v>
      </c>
      <c r="AC244" s="391">
        <f t="shared" si="3158"/>
        <v>0</v>
      </c>
      <c r="AD244" s="392">
        <f t="shared" si="3158"/>
        <v>0</v>
      </c>
      <c r="AE244" s="389">
        <f t="shared" si="3158"/>
        <v>0</v>
      </c>
      <c r="AF244" s="390">
        <f t="shared" si="3158"/>
        <v>0</v>
      </c>
      <c r="AG244" s="391">
        <f t="shared" si="3158"/>
        <v>0</v>
      </c>
      <c r="AH244" s="391">
        <f t="shared" si="3158"/>
        <v>0</v>
      </c>
      <c r="AI244" s="392">
        <f t="shared" si="3158"/>
        <v>0</v>
      </c>
      <c r="AJ244" s="389">
        <f t="shared" si="3158"/>
        <v>0</v>
      </c>
      <c r="AK244" s="390">
        <f t="shared" si="3158"/>
        <v>0</v>
      </c>
      <c r="AL244" s="391">
        <f t="shared" si="3158"/>
        <v>0</v>
      </c>
      <c r="AM244" s="391">
        <f t="shared" si="3158"/>
        <v>0</v>
      </c>
      <c r="AN244" s="392">
        <f t="shared" si="3158"/>
        <v>0</v>
      </c>
      <c r="AO244" s="389">
        <f t="shared" si="3158"/>
        <v>0</v>
      </c>
      <c r="AP244" s="390">
        <f t="shared" si="3158"/>
        <v>-155.89433700000001</v>
      </c>
      <c r="AQ244" s="391">
        <f t="shared" si="3158"/>
        <v>-14.681081000000001</v>
      </c>
      <c r="AR244" s="391">
        <f t="shared" si="3158"/>
        <v>-680</v>
      </c>
      <c r="AS244" s="392">
        <f t="shared" si="3158"/>
        <v>-575</v>
      </c>
      <c r="AT244" s="389">
        <f t="shared" si="3158"/>
        <v>-1425.5754179999999</v>
      </c>
      <c r="AU244" s="390">
        <f t="shared" si="3158"/>
        <v>0</v>
      </c>
      <c r="AV244" s="391">
        <f t="shared" ref="AV244:BN244" si="3159">SUM(AV126:AV242)</f>
        <v>-154.60229200000001</v>
      </c>
      <c r="AW244" s="391">
        <f t="shared" si="3159"/>
        <v>0</v>
      </c>
      <c r="AX244" s="392">
        <f t="shared" si="3159"/>
        <v>-325</v>
      </c>
      <c r="AY244" s="389">
        <f t="shared" si="3159"/>
        <v>-479.60229199999998</v>
      </c>
      <c r="AZ244" s="390">
        <f t="shared" si="3159"/>
        <v>-600</v>
      </c>
      <c r="BA244" s="391">
        <f t="shared" si="3159"/>
        <v>-125</v>
      </c>
      <c r="BB244" s="391">
        <f t="shared" si="3159"/>
        <v>-40.962215999999998</v>
      </c>
      <c r="BC244" s="392">
        <f t="shared" si="3159"/>
        <v>-1.9610000000000001</v>
      </c>
      <c r="BD244" s="389">
        <f t="shared" si="3159"/>
        <v>-767.92321600000002</v>
      </c>
      <c r="BE244" s="390">
        <f t="shared" si="3159"/>
        <v>-102.95805300000001</v>
      </c>
      <c r="BF244" s="391">
        <f t="shared" si="3159"/>
        <v>-250</v>
      </c>
      <c r="BG244" s="391">
        <f t="shared" si="3159"/>
        <v>0</v>
      </c>
      <c r="BH244" s="392">
        <f t="shared" si="3159"/>
        <v>0</v>
      </c>
      <c r="BI244" s="389">
        <f t="shared" si="3159"/>
        <v>-352.95805300000001</v>
      </c>
      <c r="BJ244" s="390">
        <f t="shared" si="3159"/>
        <v>0</v>
      </c>
      <c r="BK244" s="391">
        <f t="shared" si="3159"/>
        <v>-51.139000000000003</v>
      </c>
      <c r="BL244" s="391">
        <f t="shared" si="3159"/>
        <v>0</v>
      </c>
      <c r="BM244" s="392">
        <f t="shared" si="3159"/>
        <v>0</v>
      </c>
      <c r="BN244" s="389">
        <f t="shared" si="3159"/>
        <v>-51.139000000000003</v>
      </c>
      <c r="BO244" s="475"/>
      <c r="BP244" s="390">
        <f>SUM(BP127:BP243)</f>
        <v>0</v>
      </c>
      <c r="BQ244" s="391">
        <f>SUM(BQ127:BQ243)</f>
        <v>0</v>
      </c>
      <c r="BR244" s="391">
        <f>SUM(BR127:BR243)</f>
        <v>0</v>
      </c>
      <c r="BS244" s="392">
        <f>SUM(BS127:BS243)</f>
        <v>0</v>
      </c>
      <c r="BT244" s="389">
        <f t="shared" ref="BT244:CY244" si="3160">SUM(BT126:BT242)</f>
        <v>0</v>
      </c>
      <c r="BU244" s="390">
        <f t="shared" si="3160"/>
        <v>0</v>
      </c>
      <c r="BV244" s="391">
        <f t="shared" si="3160"/>
        <v>0</v>
      </c>
      <c r="BW244" s="391">
        <f t="shared" si="3160"/>
        <v>0</v>
      </c>
      <c r="BX244" s="392">
        <f t="shared" si="3160"/>
        <v>0</v>
      </c>
      <c r="BY244" s="389">
        <f t="shared" si="3160"/>
        <v>0</v>
      </c>
      <c r="BZ244" s="390">
        <f t="shared" si="3160"/>
        <v>0</v>
      </c>
      <c r="CA244" s="391">
        <f t="shared" si="3160"/>
        <v>0</v>
      </c>
      <c r="CB244" s="391">
        <f t="shared" si="3160"/>
        <v>0</v>
      </c>
      <c r="CC244" s="392">
        <f t="shared" si="3160"/>
        <v>0</v>
      </c>
      <c r="CD244" s="389">
        <f t="shared" si="3160"/>
        <v>0</v>
      </c>
      <c r="CE244" s="390">
        <f t="shared" si="3160"/>
        <v>0</v>
      </c>
      <c r="CF244" s="391">
        <f t="shared" si="3160"/>
        <v>0</v>
      </c>
      <c r="CG244" s="391">
        <f t="shared" si="3160"/>
        <v>0</v>
      </c>
      <c r="CH244" s="392">
        <f t="shared" si="3160"/>
        <v>0</v>
      </c>
      <c r="CI244" s="389">
        <f t="shared" si="3160"/>
        <v>0</v>
      </c>
      <c r="CJ244" s="390">
        <f t="shared" si="3160"/>
        <v>0</v>
      </c>
      <c r="CK244" s="391">
        <f t="shared" si="3160"/>
        <v>0</v>
      </c>
      <c r="CL244" s="391">
        <f t="shared" si="3160"/>
        <v>0</v>
      </c>
      <c r="CM244" s="392">
        <f t="shared" si="3160"/>
        <v>0</v>
      </c>
      <c r="CN244" s="389">
        <f t="shared" si="3160"/>
        <v>0</v>
      </c>
      <c r="CO244" s="390">
        <f t="shared" si="3160"/>
        <v>0</v>
      </c>
      <c r="CP244" s="391">
        <f t="shared" si="3160"/>
        <v>0</v>
      </c>
      <c r="CQ244" s="391">
        <f t="shared" si="3160"/>
        <v>0</v>
      </c>
      <c r="CR244" s="392">
        <f t="shared" si="3160"/>
        <v>0</v>
      </c>
      <c r="CS244" s="389">
        <f t="shared" si="3160"/>
        <v>0</v>
      </c>
      <c r="CT244" s="390">
        <f t="shared" si="3160"/>
        <v>-0.72250563705750004</v>
      </c>
      <c r="CU244" s="391">
        <f t="shared" si="3160"/>
        <v>-2.2228685195241669</v>
      </c>
      <c r="CV244" s="391">
        <f t="shared" si="3160"/>
        <v>-5.6806776177908338</v>
      </c>
      <c r="CW244" s="392">
        <f t="shared" si="3160"/>
        <v>-17.598385951124168</v>
      </c>
      <c r="CX244" s="389">
        <f t="shared" si="3160"/>
        <v>-26.224437725496667</v>
      </c>
      <c r="CY244" s="390">
        <f t="shared" si="3160"/>
        <v>-21.572963647400002</v>
      </c>
      <c r="CZ244" s="391">
        <f t="shared" ref="CZ244:DR244" si="3161">SUM(CZ126:CZ242)</f>
        <v>-20.693771308133332</v>
      </c>
      <c r="DA244" s="391">
        <f t="shared" si="3161"/>
        <v>-18.478303296266667</v>
      </c>
      <c r="DB244" s="392">
        <f t="shared" si="3161"/>
        <v>-11.513719962933333</v>
      </c>
      <c r="DC244" s="389">
        <f t="shared" si="3161"/>
        <v>-72.258758214733334</v>
      </c>
      <c r="DD244" s="390">
        <f t="shared" si="3161"/>
        <v>-18.485386629600001</v>
      </c>
      <c r="DE244" s="391">
        <f t="shared" si="3161"/>
        <v>-21.772028586399998</v>
      </c>
      <c r="DF244" s="391">
        <f t="shared" si="3161"/>
        <v>-21.065524488050002</v>
      </c>
      <c r="DG244" s="392">
        <f t="shared" si="3161"/>
        <v>-16.144233054716665</v>
      </c>
      <c r="DH244" s="389">
        <f t="shared" si="3161"/>
        <v>-77.467172758766665</v>
      </c>
      <c r="DI244" s="390">
        <f t="shared" si="3161"/>
        <v>-5.0219971700783326</v>
      </c>
      <c r="DJ244" s="391">
        <f t="shared" si="3161"/>
        <v>-4.9683513367450001</v>
      </c>
      <c r="DK244" s="391">
        <f t="shared" si="3161"/>
        <v>-4.4325143486950003</v>
      </c>
      <c r="DL244" s="392">
        <f t="shared" si="3161"/>
        <v>-4.400680782028334</v>
      </c>
      <c r="DM244" s="389">
        <f t="shared" si="3161"/>
        <v>-18.82354363754667</v>
      </c>
      <c r="DN244" s="390">
        <f t="shared" si="3161"/>
        <v>-3.854166666666667</v>
      </c>
      <c r="DO244" s="391">
        <f t="shared" si="3161"/>
        <v>-0.23907482500000002</v>
      </c>
      <c r="DP244" s="391">
        <f t="shared" si="3161"/>
        <v>-0.71722447500000008</v>
      </c>
      <c r="DQ244" s="392">
        <f t="shared" si="3161"/>
        <v>-0.71722447500000008</v>
      </c>
      <c r="DR244" s="389">
        <f t="shared" si="3161"/>
        <v>-5.5276904416666675</v>
      </c>
    </row>
    <row r="245" spans="1:122" s="13" customFormat="1" ht="12.75" customHeight="1">
      <c r="A245" s="136"/>
      <c r="B245" s="136"/>
      <c r="C245" s="1146"/>
      <c r="D245" s="394"/>
      <c r="E245" s="636"/>
      <c r="F245" s="637"/>
      <c r="G245" s="637"/>
      <c r="H245" s="629"/>
      <c r="I245" s="630"/>
      <c r="J245" s="638"/>
      <c r="K245" s="387"/>
      <c r="L245" s="390"/>
      <c r="M245" s="391"/>
      <c r="N245" s="391"/>
      <c r="O245" s="392"/>
      <c r="P245" s="389"/>
      <c r="Q245" s="390"/>
      <c r="R245" s="391"/>
      <c r="S245" s="391"/>
      <c r="T245" s="392"/>
      <c r="U245" s="389"/>
      <c r="V245" s="390"/>
      <c r="W245" s="391"/>
      <c r="X245" s="391"/>
      <c r="Y245" s="392"/>
      <c r="Z245" s="389"/>
      <c r="AA245" s="390"/>
      <c r="AB245" s="391"/>
      <c r="AC245" s="391"/>
      <c r="AD245" s="392"/>
      <c r="AE245" s="389"/>
      <c r="AF245" s="390"/>
      <c r="AG245" s="391"/>
      <c r="AH245" s="391"/>
      <c r="AI245" s="392"/>
      <c r="AJ245" s="389"/>
      <c r="AK245" s="390"/>
      <c r="AL245" s="391"/>
      <c r="AM245" s="391"/>
      <c r="AN245" s="392"/>
      <c r="AO245" s="389"/>
      <c r="AP245" s="390"/>
      <c r="AQ245" s="391"/>
      <c r="AR245" s="391"/>
      <c r="AS245" s="392"/>
      <c r="AT245" s="389"/>
      <c r="AU245" s="390"/>
      <c r="AV245" s="391"/>
      <c r="AW245" s="391"/>
      <c r="AX245" s="392"/>
      <c r="AY245" s="389"/>
      <c r="AZ245" s="390"/>
      <c r="BA245" s="391"/>
      <c r="BB245" s="391"/>
      <c r="BC245" s="392"/>
      <c r="BD245" s="389"/>
      <c r="BE245" s="390"/>
      <c r="BF245" s="391"/>
      <c r="BG245" s="391"/>
      <c r="BH245" s="392"/>
      <c r="BI245" s="389"/>
      <c r="BJ245" s="390"/>
      <c r="BK245" s="391"/>
      <c r="BL245" s="391"/>
      <c r="BM245" s="392"/>
      <c r="BN245" s="389"/>
      <c r="BO245" s="475"/>
      <c r="BP245" s="390"/>
      <c r="BQ245" s="391"/>
      <c r="BR245" s="391"/>
      <c r="BS245" s="392"/>
      <c r="BT245" s="389"/>
      <c r="BU245" s="390"/>
      <c r="BV245" s="391"/>
      <c r="BW245" s="391"/>
      <c r="BX245" s="392"/>
      <c r="BY245" s="389"/>
      <c r="BZ245" s="390"/>
      <c r="CA245" s="391"/>
      <c r="CB245" s="391"/>
      <c r="CC245" s="392"/>
      <c r="CD245" s="389"/>
      <c r="CE245" s="390"/>
      <c r="CF245" s="391"/>
      <c r="CG245" s="391"/>
      <c r="CH245" s="392"/>
      <c r="CI245" s="389"/>
      <c r="CJ245" s="390"/>
      <c r="CK245" s="391"/>
      <c r="CL245" s="391"/>
      <c r="CM245" s="392"/>
      <c r="CN245" s="389"/>
      <c r="CO245" s="390"/>
      <c r="CP245" s="391"/>
      <c r="CQ245" s="391"/>
      <c r="CR245" s="392"/>
      <c r="CS245" s="389"/>
      <c r="CT245" s="390"/>
      <c r="CU245" s="391"/>
      <c r="CV245" s="391"/>
      <c r="CW245" s="392"/>
      <c r="CX245" s="389"/>
      <c r="CY245" s="390"/>
      <c r="CZ245" s="391"/>
      <c r="DA245" s="391"/>
      <c r="DB245" s="392"/>
      <c r="DC245" s="389"/>
      <c r="DD245" s="390"/>
      <c r="DE245" s="391"/>
      <c r="DF245" s="391"/>
      <c r="DG245" s="392"/>
      <c r="DH245" s="389"/>
      <c r="DI245" s="390"/>
      <c r="DJ245" s="391"/>
      <c r="DK245" s="391"/>
      <c r="DL245" s="392"/>
      <c r="DM245" s="389"/>
      <c r="DN245" s="390"/>
      <c r="DO245" s="391"/>
      <c r="DP245" s="391"/>
      <c r="DQ245" s="392"/>
      <c r="DR245" s="389"/>
    </row>
    <row r="246" spans="1:122" ht="12.75" customHeight="1">
      <c r="A246" s="92"/>
      <c r="B246" s="92"/>
      <c r="C246" s="408" t="s">
        <v>306</v>
      </c>
      <c r="D246" s="408"/>
      <c r="E246" s="553"/>
      <c r="F246" s="554"/>
      <c r="G246" s="554"/>
      <c r="H246" s="583"/>
      <c r="I246" s="608"/>
      <c r="J246" s="622"/>
      <c r="K246" s="555"/>
      <c r="L246" s="427"/>
      <c r="M246" s="428"/>
      <c r="N246" s="428"/>
      <c r="O246" s="429"/>
      <c r="P246" s="426"/>
      <c r="Q246" s="427"/>
      <c r="R246" s="428"/>
      <c r="S246" s="428"/>
      <c r="T246" s="429"/>
      <c r="U246" s="426"/>
      <c r="V246" s="427"/>
      <c r="W246" s="428"/>
      <c r="X246" s="428"/>
      <c r="Y246" s="429"/>
      <c r="Z246" s="426"/>
      <c r="AA246" s="427"/>
      <c r="AB246" s="428"/>
      <c r="AC246" s="428"/>
      <c r="AD246" s="429"/>
      <c r="AE246" s="426"/>
      <c r="AF246" s="427"/>
      <c r="AG246" s="428"/>
      <c r="AH246" s="428"/>
      <c r="AI246" s="429"/>
      <c r="AJ246" s="426"/>
      <c r="AK246" s="427"/>
      <c r="AL246" s="428"/>
      <c r="AM246" s="428"/>
      <c r="AN246" s="429"/>
      <c r="AO246" s="426"/>
      <c r="AP246" s="427"/>
      <c r="AQ246" s="428"/>
      <c r="AR246" s="428"/>
      <c r="AS246" s="429"/>
      <c r="AT246" s="426"/>
      <c r="AU246" s="427"/>
      <c r="AV246" s="428"/>
      <c r="AW246" s="428"/>
      <c r="AX246" s="429"/>
      <c r="AY246" s="426"/>
      <c r="AZ246" s="427"/>
      <c r="BA246" s="428"/>
      <c r="BB246" s="428"/>
      <c r="BC246" s="429"/>
      <c r="BD246" s="426"/>
      <c r="BE246" s="427"/>
      <c r="BF246" s="428"/>
      <c r="BG246" s="428"/>
      <c r="BH246" s="429"/>
      <c r="BI246" s="426"/>
      <c r="BJ246" s="427"/>
      <c r="BK246" s="428"/>
      <c r="BL246" s="428"/>
      <c r="BM246" s="429"/>
      <c r="BN246" s="426"/>
      <c r="BO246" s="598"/>
      <c r="BP246" s="427"/>
      <c r="BQ246" s="428"/>
      <c r="BR246" s="428"/>
      <c r="BS246" s="429"/>
      <c r="BT246" s="426"/>
      <c r="BU246" s="427"/>
      <c r="BV246" s="428"/>
      <c r="BW246" s="428"/>
      <c r="BX246" s="429"/>
      <c r="BY246" s="426"/>
      <c r="BZ246" s="427"/>
      <c r="CA246" s="428"/>
      <c r="CB246" s="428"/>
      <c r="CC246" s="429"/>
      <c r="CD246" s="426"/>
      <c r="CE246" s="427"/>
      <c r="CF246" s="428"/>
      <c r="CG246" s="428"/>
      <c r="CH246" s="429"/>
      <c r="CI246" s="426"/>
      <c r="CJ246" s="427"/>
      <c r="CK246" s="428"/>
      <c r="CL246" s="428"/>
      <c r="CM246" s="429"/>
      <c r="CN246" s="426"/>
      <c r="CO246" s="427"/>
      <c r="CP246" s="428"/>
      <c r="CQ246" s="428"/>
      <c r="CR246" s="429"/>
      <c r="CS246" s="426"/>
      <c r="CT246" s="427"/>
      <c r="CU246" s="428"/>
      <c r="CV246" s="428"/>
      <c r="CW246" s="429"/>
      <c r="CX246" s="426"/>
      <c r="CY246" s="427"/>
      <c r="CZ246" s="428"/>
      <c r="DA246" s="428"/>
      <c r="DB246" s="429"/>
      <c r="DC246" s="426"/>
      <c r="DD246" s="427"/>
      <c r="DE246" s="428"/>
      <c r="DF246" s="428"/>
      <c r="DG246" s="429"/>
      <c r="DH246" s="426"/>
      <c r="DI246" s="427"/>
      <c r="DJ246" s="428"/>
      <c r="DK246" s="428"/>
      <c r="DL246" s="429"/>
      <c r="DM246" s="426"/>
      <c r="DN246" s="427"/>
      <c r="DO246" s="428"/>
      <c r="DP246" s="428"/>
      <c r="DQ246" s="429"/>
      <c r="DR246" s="426"/>
    </row>
    <row r="247" spans="1:122" ht="12.75" customHeight="1">
      <c r="A247" s="92"/>
      <c r="B247" s="92"/>
      <c r="C247" s="1946" t="s">
        <v>1204</v>
      </c>
      <c r="D247" s="1953"/>
      <c r="E247" s="1757">
        <v>250</v>
      </c>
      <c r="F247" s="1757"/>
      <c r="G247" s="1757"/>
      <c r="H247" s="1750">
        <v>2017</v>
      </c>
      <c r="I247" s="1956">
        <v>3.5499999999999997E-2</v>
      </c>
      <c r="J247" s="1749">
        <v>5</v>
      </c>
      <c r="K247" s="528"/>
      <c r="L247" s="441">
        <f t="shared" ref="L247" si="3162">IF(P247=0,0,IF(P247&gt;0,IF($J247=3,P247,IF($J247=2,P247,IF($J247=1,P247,0)))))</f>
        <v>0</v>
      </c>
      <c r="M247" s="442">
        <f t="shared" ref="M247" si="3163">IF(P247=0,0,IF(P247&gt;0,IF($J247=6,P247,IF($J247=5,P247,IF($J247=4,P247,0)))))</f>
        <v>0</v>
      </c>
      <c r="N247" s="442">
        <f t="shared" ref="N247" si="3164">IF(P247=0,0,IF(P247&gt;0,IF($J247=9,P247,IF($J247=8,P247,IF($J247=7,P247,0)))))</f>
        <v>0</v>
      </c>
      <c r="O247" s="443">
        <f t="shared" ref="O247" si="3165">IF(P247=0,0,IF(P247&gt;0,IF($J247=12,P247,IF($J247=11,P247,IF($J247=10,P247,0)))))</f>
        <v>0</v>
      </c>
      <c r="P247" s="440">
        <f t="shared" ref="P247:P257" si="3166">IF(P$5=$H247,$E247,0)</f>
        <v>0</v>
      </c>
      <c r="Q247" s="441">
        <f t="shared" ref="Q247" si="3167">IF(U247=0,0,IF(U247&gt;0,IF($J247=3,U247,IF($J247=2,U247,IF($J247=1,U247,0)))))</f>
        <v>0</v>
      </c>
      <c r="R247" s="442">
        <f t="shared" ref="R247" si="3168">IF(U247=0,0,IF(U247&gt;0,IF($J247=6,U247,IF($J247=5,U247,IF($J247=4,U247,0)))))</f>
        <v>0</v>
      </c>
      <c r="S247" s="442">
        <f t="shared" ref="S247" si="3169">IF(U247=0,0,IF(U247&gt;0,IF($J247=9,U247,IF($J247=8,U247,IF($J247=7,U247,0)))))</f>
        <v>0</v>
      </c>
      <c r="T247" s="443">
        <f t="shared" ref="T247" si="3170">IF(U247=0,0,IF(U247&gt;0,IF($J247=12,U247,IF($J247=11,U247,IF($J247=10,U247,0)))))</f>
        <v>0</v>
      </c>
      <c r="U247" s="440">
        <f t="shared" ref="U247:U257" si="3171">IF(U$5=$H247,$E247,0)</f>
        <v>0</v>
      </c>
      <c r="V247" s="441">
        <f t="shared" ref="V247" si="3172">IF(Z247=0,0,IF(Z247&gt;0,IF($J247=3,Z247,IF($J247=2,Z247,IF($J247=1,Z247,0)))))</f>
        <v>0</v>
      </c>
      <c r="W247" s="442">
        <f t="shared" ref="W247" si="3173">IF(Z247=0,0,IF(Z247&gt;0,IF($J247=6,Z247,IF($J247=5,Z247,IF($J247=4,Z247,0)))))</f>
        <v>0</v>
      </c>
      <c r="X247" s="442">
        <f t="shared" ref="X247" si="3174">IF(Z247=0,0,IF(Z247&gt;0,IF($J247=9,Z247,IF($J247=8,Z247,IF($J247=7,Z247,0)))))</f>
        <v>0</v>
      </c>
      <c r="Y247" s="443">
        <f t="shared" ref="Y247" si="3175">IF(Z247=0,0,IF(Z247&gt;0,IF($J247=12,Z247,IF($J247=11,Z247,IF($J247=10,Z247,0)))))</f>
        <v>0</v>
      </c>
      <c r="Z247" s="440">
        <f t="shared" ref="Z247:Z257" si="3176">IF(Z$5=$H247,$E247,0)</f>
        <v>0</v>
      </c>
      <c r="AA247" s="441">
        <f t="shared" ref="AA247" si="3177">IF(AE247=0,0,IF(AE247&gt;0,IF($J247=3,AE247,IF($J247=2,AE247,IF($J247=1,AE247,0)))))</f>
        <v>0</v>
      </c>
      <c r="AB247" s="442">
        <f t="shared" ref="AB247" si="3178">IF(AE247=0,0,IF(AE247&gt;0,IF($J247=6,AE247,IF($J247=5,AE247,IF($J247=4,AE247,0)))))</f>
        <v>0</v>
      </c>
      <c r="AC247" s="442">
        <f t="shared" ref="AC247" si="3179">IF(AE247=0,0,IF(AE247&gt;0,IF($J247=9,AE247,IF($J247=8,AE247,IF($J247=7,AE247,0)))))</f>
        <v>0</v>
      </c>
      <c r="AD247" s="443">
        <f t="shared" ref="AD247" si="3180">IF(AE247=0,0,IF(AE247&gt;0,IF($J247=12,AE247,IF($J247=11,AE247,IF($J247=10,AE247,0)))))</f>
        <v>0</v>
      </c>
      <c r="AE247" s="440">
        <f t="shared" ref="AE247:AE257" si="3181">IF(AE$5=$H247,$E247,0)</f>
        <v>0</v>
      </c>
      <c r="AF247" s="441">
        <f t="shared" ref="AF247" si="3182">IF(AJ247=0,0,IF(AJ247&gt;0,IF($J247=3,AJ247,IF($J247=2,AJ247,IF($J247=1,AJ247,0)))))</f>
        <v>0</v>
      </c>
      <c r="AG247" s="442">
        <f t="shared" ref="AG247" si="3183">IF(AJ247=0,0,IF(AJ247&gt;0,IF($J247=6,AJ247,IF($J247=5,AJ247,IF($J247=4,AJ247,0)))))</f>
        <v>0</v>
      </c>
      <c r="AH247" s="442">
        <f t="shared" ref="AH247" si="3184">IF(AJ247=0,0,IF(AJ247&gt;0,IF($J247=9,AJ247,IF($J247=8,AJ247,IF($J247=7,AJ247,0)))))</f>
        <v>0</v>
      </c>
      <c r="AI247" s="443">
        <f t="shared" ref="AI247" si="3185">IF(AJ247=0,0,IF(AJ247&gt;0,IF($J247=12,AJ247,IF($J247=11,AJ247,IF($J247=10,AJ247,0)))))</f>
        <v>0</v>
      </c>
      <c r="AJ247" s="440">
        <f t="shared" ref="AJ247:AJ257" si="3186">IF(AJ$5=$H247,$E247,0)</f>
        <v>0</v>
      </c>
      <c r="AK247" s="441">
        <f t="shared" ref="AK247" si="3187">IF(AO247=0,0,IF(AO247&gt;0,IF($J247=3,AO247,IF($J247=2,AO247,IF($J247=1,AO247,0)))))</f>
        <v>0</v>
      </c>
      <c r="AL247" s="442">
        <f t="shared" ref="AL247" si="3188">IF(AO247=0,0,IF(AO247&gt;0,IF($J247=6,AO247,IF($J247=5,AO247,IF($J247=4,AO247,0)))))</f>
        <v>0</v>
      </c>
      <c r="AM247" s="442">
        <f t="shared" ref="AM247" si="3189">IF(AO247=0,0,IF(AO247&gt;0,IF($J247=9,AO247,IF($J247=8,AO247,IF($J247=7,AO247,0)))))</f>
        <v>0</v>
      </c>
      <c r="AN247" s="443">
        <f t="shared" ref="AN247" si="3190">IF(AO247=0,0,IF(AO247&gt;0,IF($J247=12,AO247,IF($J247=11,AO247,IF($J247=10,AO247,0)))))</f>
        <v>0</v>
      </c>
      <c r="AO247" s="440">
        <f t="shared" ref="AO247:AO257" si="3191">IF(AO$5=$H247,$E247,0)</f>
        <v>0</v>
      </c>
      <c r="AP247" s="441">
        <f t="shared" ref="AP247" si="3192">IF(AT247=0,0,IF(AT247&gt;0,IF($J247=3,AT247,IF($J247=2,AT247,IF($J247=1,AT247,0)))))</f>
        <v>0</v>
      </c>
      <c r="AQ247" s="442">
        <f t="shared" ref="AQ247" si="3193">IF(AT247=0,0,IF(AT247&gt;0,IF($J247=6,AT247,IF($J247=5,AT247,IF($J247=4,AT247,0)))))</f>
        <v>250</v>
      </c>
      <c r="AR247" s="442">
        <f t="shared" ref="AR247" si="3194">IF(AT247=0,0,IF(AT247&gt;0,IF($J247=9,AT247,IF($J247=8,AT247,IF($J247=7,AT247,0)))))</f>
        <v>0</v>
      </c>
      <c r="AS247" s="443">
        <f t="shared" ref="AS247" si="3195">IF(AT247=0,0,IF(AT247&gt;0,IF($J247=12,AT247,IF($J247=11,AT247,IF($J247=10,AT247,0)))))</f>
        <v>0</v>
      </c>
      <c r="AT247" s="440">
        <f t="shared" ref="AT247:AT257" si="3196">IF(AT$5=$H247,$E247,0)</f>
        <v>250</v>
      </c>
      <c r="AU247" s="441">
        <f t="shared" ref="AU247" si="3197">IF(AY247=0,0,IF(AY247&gt;0,IF($J247=3,AY247,IF($J247=2,AY247,IF($J247=1,AY247,0)))))</f>
        <v>0</v>
      </c>
      <c r="AV247" s="442">
        <f t="shared" ref="AV247" si="3198">IF(AY247=0,0,IF(AY247&gt;0,IF($J247=6,AY247,IF($J247=5,AY247,IF($J247=4,AY247,0)))))</f>
        <v>0</v>
      </c>
      <c r="AW247" s="442">
        <f t="shared" ref="AW247" si="3199">IF(AY247=0,0,IF(AY247&gt;0,IF($J247=9,AY247,IF($J247=8,AY247,IF($J247=7,AY247,0)))))</f>
        <v>0</v>
      </c>
      <c r="AX247" s="443">
        <f t="shared" ref="AX247" si="3200">IF(AY247=0,0,IF(AY247&gt;0,IF($J247=12,AY247,IF($J247=11,AY247,IF($J247=10,AY247,0)))))</f>
        <v>0</v>
      </c>
      <c r="AY247" s="440">
        <f t="shared" ref="AY247:AY257" si="3201">IF(AY$5=$H247,$E247,0)</f>
        <v>0</v>
      </c>
      <c r="AZ247" s="441">
        <f t="shared" ref="AZ247" si="3202">IF(BD247=0,0,IF(BD247&gt;0,IF($J247=3,BD247,IF($J247=2,BD247,IF($J247=1,BD247,0)))))</f>
        <v>0</v>
      </c>
      <c r="BA247" s="442">
        <f t="shared" ref="BA247" si="3203">IF(BD247=0,0,IF(BD247&gt;0,IF($J247=6,BD247,IF($J247=5,BD247,IF($J247=4,BD247,0)))))</f>
        <v>0</v>
      </c>
      <c r="BB247" s="442">
        <f t="shared" ref="BB247" si="3204">IF(BD247=0,0,IF(BD247&gt;0,IF($J247=9,BD247,IF($J247=8,BD247,IF($J247=7,BD247,0)))))</f>
        <v>0</v>
      </c>
      <c r="BC247" s="443">
        <f t="shared" ref="BC247" si="3205">IF(BD247=0,0,IF(BD247&gt;0,IF($J247=12,BD247,IF($J247=11,BD247,IF($J247=10,BD247,0)))))</f>
        <v>0</v>
      </c>
      <c r="BD247" s="440">
        <f t="shared" ref="BD247:BD257" si="3206">IF(BD$5=$H247,$E247,0)</f>
        <v>0</v>
      </c>
      <c r="BE247" s="441">
        <f t="shared" ref="BE247" si="3207">IF(BI247=0,0,IF(BI247&gt;0,IF($J247=3,BI247,IF($J247=2,BI247,IF($J247=1,BI247,0)))))</f>
        <v>0</v>
      </c>
      <c r="BF247" s="442">
        <f t="shared" ref="BF247" si="3208">IF(BI247=0,0,IF(BI247&gt;0,IF($J247=6,BI247,IF($J247=5,BI247,IF($J247=4,BI247,0)))))</f>
        <v>0</v>
      </c>
      <c r="BG247" s="442">
        <f t="shared" ref="BG247" si="3209">IF(BI247=0,0,IF(BI247&gt;0,IF($J247=9,BI247,IF($J247=8,BI247,IF($J247=7,BI247,0)))))</f>
        <v>0</v>
      </c>
      <c r="BH247" s="443">
        <f t="shared" ref="BH247" si="3210">IF(BI247=0,0,IF(BI247&gt;0,IF($J247=12,BI247,IF($J247=11,BI247,IF($J247=10,BI247,0)))))</f>
        <v>0</v>
      </c>
      <c r="BI247" s="440">
        <f t="shared" ref="BI247:BI257" si="3211">IF(BI$5=$H247,$E247,0)</f>
        <v>0</v>
      </c>
      <c r="BJ247" s="441">
        <f t="shared" ref="BJ247" si="3212">IF(BN247=0,0,IF(BN247&gt;0,IF($J247=3,BN247,IF($J247=2,BN247,IF($J247=1,BN247,0)))))</f>
        <v>0</v>
      </c>
      <c r="BK247" s="442">
        <f t="shared" ref="BK247" si="3213">IF(BN247=0,0,IF(BN247&gt;0,IF($J247=6,BN247,IF($J247=5,BN247,IF($J247=4,BN247,0)))))</f>
        <v>0</v>
      </c>
      <c r="BL247" s="442">
        <f t="shared" ref="BL247" si="3214">IF(BN247=0,0,IF(BN247&gt;0,IF($J247=9,BN247,IF($J247=8,BN247,IF($J247=7,BN247,0)))))</f>
        <v>0</v>
      </c>
      <c r="BM247" s="443">
        <f t="shared" ref="BM247" si="3215">IF(BN247=0,0,IF(BN247&gt;0,IF($J247=12,BN247,IF($J247=11,BN247,IF($J247=10,BN247,0)))))</f>
        <v>0</v>
      </c>
      <c r="BN247" s="440">
        <f t="shared" ref="BN247:BN257" si="3216">IF(BN$5=$H247,$E247,0)</f>
        <v>0</v>
      </c>
      <c r="BO247" s="463"/>
      <c r="BP247" s="441">
        <f t="shared" ref="BP247" si="3217">IF($H247&lt;&gt;BT$5,0,IF(BT247&gt;0,IF($J247=1,$E247*$I247/12*3,IF($J247=2,$E247*$I247/12*2,IF($J247=3,$E247*$I247/12*1,0)))))+IF(BO$5&lt;&gt;$H247,0,IF(BO247&gt;0,IF($J247=1,$E247*$I247/12*0,IF($J247=2,$E247*$I247/12*1,IF($J247=3,$E247*$I247/12*2,IF($J247&gt;=4,$E247*$I247/12*3,0))))))</f>
        <v>0</v>
      </c>
      <c r="BQ247" s="442">
        <f t="shared" ref="BQ247" si="3218">IF($H247&lt;&gt;BT$5,0,IF(BT247&gt;0,IF(OR($J247=1,$J247=2,$J247=3,$J247=4),$E247*$I247/12*3,IF($J247=5,$E247*$I247/12*2,IF($J247=6,$E247*$I247/12*1,0)))))+IF(BO$5&lt;&gt;$H247,0,IF(BO247&gt;0,IF($J247=4,$E247*$I247/12*0,IF($J247=5,$E247*$I247/12*1,IF($J247=6,$E247*$I247/12*2,IF($J247&gt;=7,$E247*$I247/12*3,0))))))</f>
        <v>0</v>
      </c>
      <c r="BR247" s="442">
        <f t="shared" ref="BR247" si="3219">IF($H247&lt;&gt;BT$5,0,IF(BT247&gt;0,IF(OR($J247=1,$J247=2,$J247=3,$J247=4,$J247=5,$J247=6,$J247=7),$E247*$I247/12*3,IF($J247=8,$E247*$I247/12*2,IF($J247=9,$E247*$I247/12*1,0)))))+IF(BO$5&lt;&gt;$H247,0,IF(BO247&gt;0,IF($J247=7,$E247*$I247/12*0,IF($J247=8,$E247*$I247/12*1,IF($J247=9,$E247*$I247/12*2,IF($J247&gt;=10,$E247*$I247/12*3,0))))))</f>
        <v>0</v>
      </c>
      <c r="BS247" s="443">
        <f t="shared" ref="BS247" si="3220">IF($H247&lt;&gt;BT$5,0,IF(BT247&gt;0,IF(OR($J247=1,$J247=2,$J247=3,$J247=4,$J247=5,$J247=6,$J247=7,$J247=8,$J247=9,$J247=10),$E247*$I247/12*3,IF($J247=11,$E247*$I247/12*2,IF($J247=12,$E247*$I247/12*1,0)))))+IF(BO$5&lt;&gt;$H247,0,IF(BO247&gt;0,IF($J247=10,$E247*$I247/12*0,IF($J247=11,$E247*$I247/12*1,IF($J247=12,$E247*$I247/12*2,0)))))</f>
        <v>0</v>
      </c>
      <c r="BT247" s="440">
        <f t="shared" ref="BT247" si="3221">IF(AND(BO247&lt;&gt;0,BO$5=$H247),$I247*$E247-BO247,IF(BT$5=$H247,$I247*$E247*(12-$J247+1)/12,0))</f>
        <v>0</v>
      </c>
      <c r="BU247" s="441">
        <f t="shared" ref="BU247" si="3222">IF($H247&lt;&gt;BY$5,0,IF(BY247&gt;0,IF($J247=1,$E247*$I247/12*3,IF($J247=2,$E247*$I247/12*2,IF($J247=3,$E247*$I247/12*1,0)))))+IF(BT$5&lt;&gt;$H247,0,IF(BT247&gt;0,IF($J247=1,$E247*$I247/12*0,IF($J247=2,$E247*$I247/12*1,IF($J247=3,$E247*$I247/12*2,IF($J247&gt;=4,$E247*$I247/12*3,0))))))</f>
        <v>0</v>
      </c>
      <c r="BV247" s="442">
        <f t="shared" ref="BV247" si="3223">IF($H247&lt;&gt;BY$5,0,IF(BY247&gt;0,IF(OR($J247=1,$J247=2,$J247=3,$J247=4),$E247*$I247/12*3,IF($J247=5,$E247*$I247/12*2,IF($J247=6,$E247*$I247/12*1,0)))))+IF(BT$5&lt;&gt;$H247,0,IF(BT247&gt;0,IF($J247=4,$E247*$I247/12*0,IF($J247=5,$E247*$I247/12*1,IF($J247=6,$E247*$I247/12*2,IF($J247&gt;=7,$E247*$I247/12*3,0))))))</f>
        <v>0</v>
      </c>
      <c r="BW247" s="442">
        <f t="shared" ref="BW247" si="3224">IF($H247&lt;&gt;BY$5,0,IF(BY247&gt;0,IF(OR($J247=1,$J247=2,$J247=3,$J247=4,$J247=5,$J247=6,$J247=7),$E247*$I247/12*3,IF($J247=8,$E247*$I247/12*2,IF($J247=9,$E247*$I247/12*1,0)))))+IF(BT$5&lt;&gt;$H247,0,IF(BT247&gt;0,IF($J247=7,$E247*$I247/12*0,IF($J247=8,$E247*$I247/12*1,IF($J247=9,$E247*$I247/12*2,IF($J247&gt;=10,$E247*$I247/12*3,0))))))</f>
        <v>0</v>
      </c>
      <c r="BX247" s="443">
        <f t="shared" ref="BX247" si="3225">IF($H247&lt;&gt;BY$5,0,IF(BY247&gt;0,IF(OR($J247=1,$J247=2,$J247=3,$J247=4,$J247=5,$J247=6,$J247=7,$J247=8,$J247=9,$J247=10),$E247*$I247/12*3,IF($J247=11,$E247*$I247/12*2,IF($J247=12,$E247*$I247/12*1,0)))))+IF(BT$5&lt;&gt;$H247,0,IF(BT247&gt;0,IF($J247=10,$E247*$I247/12*0,IF($J247=11,$E247*$I247/12*1,IF($J247=12,$E247*$I247/12*2,0)))))</f>
        <v>0</v>
      </c>
      <c r="BY247" s="440">
        <f t="shared" ref="BY247" si="3226">IF(AND(BT247&lt;&gt;0,BT$5=$H247),$I247*$E247-BT247,IF(BY$5=$H247,$I247*$E247*(12-$J247+1)/12,0))</f>
        <v>0</v>
      </c>
      <c r="BZ247" s="441">
        <f t="shared" ref="BZ247" si="3227">IF($H247&lt;&gt;CD$5,0,IF(CD247&gt;0,IF($J247=1,$E247*$I247/12*3,IF($J247=2,$E247*$I247/12*2,IF($J247=3,$E247*$I247/12*1,0)))))+IF(BY$5&lt;&gt;$H247,0,IF(BY247&gt;0,IF($J247=1,$E247*$I247/12*0,IF($J247=2,$E247*$I247/12*1,IF($J247=3,$E247*$I247/12*2,IF($J247&gt;=4,$E247*$I247/12*3,0))))))</f>
        <v>0</v>
      </c>
      <c r="CA247" s="442">
        <f t="shared" ref="CA247" si="3228">IF($H247&lt;&gt;CD$5,0,IF(CD247&gt;0,IF(OR($J247=1,$J247=2,$J247=3,$J247=4),$E247*$I247/12*3,IF($J247=5,$E247*$I247/12*2,IF($J247=6,$E247*$I247/12*1,0)))))+IF(BY$5&lt;&gt;$H247,0,IF(BY247&gt;0,IF($J247=4,$E247*$I247/12*0,IF($J247=5,$E247*$I247/12*1,IF($J247=6,$E247*$I247/12*2,IF($J247&gt;=7,$E247*$I247/12*3,0))))))</f>
        <v>0</v>
      </c>
      <c r="CB247" s="442">
        <f t="shared" ref="CB247" si="3229">IF($H247&lt;&gt;CD$5,0,IF(CD247&gt;0,IF(OR($J247=1,$J247=2,$J247=3,$J247=4,$J247=5,$J247=6,$J247=7),$E247*$I247/12*3,IF($J247=8,$E247*$I247/12*2,IF($J247=9,$E247*$I247/12*1,0)))))+IF(BY$5&lt;&gt;$H247,0,IF(BY247&gt;0,IF($J247=7,$E247*$I247/12*0,IF($J247=8,$E247*$I247/12*1,IF($J247=9,$E247*$I247/12*2,IF($J247&gt;=10,$E247*$I247/12*3,0))))))</f>
        <v>0</v>
      </c>
      <c r="CC247" s="443">
        <f t="shared" ref="CC247" si="3230">IF($H247&lt;&gt;CD$5,0,IF(CD247&gt;0,IF(OR($J247=1,$J247=2,$J247=3,$J247=4,$J247=5,$J247=6,$J247=7,$J247=8,$J247=9,$J247=10),$E247*$I247/12*3,IF($J247=11,$E247*$I247/12*2,IF($J247=12,$E247*$I247/12*1,0)))))+IF(BY$5&lt;&gt;$H247,0,IF(BY247&gt;0,IF($J247=10,$E247*$I247/12*0,IF($J247=11,$E247*$I247/12*1,IF($J247=12,$E247*$I247/12*2,0)))))</f>
        <v>0</v>
      </c>
      <c r="CD247" s="440">
        <f t="shared" ref="CD247" si="3231">IF(AND(BY247&lt;&gt;0,BY$5=$H247),$I247*$E247-BY247,IF(CD$5=$H247,$I247*$E247*(12-$J247+1)/12,0))</f>
        <v>0</v>
      </c>
      <c r="CE247" s="441">
        <f t="shared" ref="CE247" si="3232">IF($H247&lt;&gt;CI$5,0,IF(CI247&gt;0,IF($J247=1,$E247*$I247/12*3,IF($J247=2,$E247*$I247/12*2,IF($J247=3,$E247*$I247/12*1,0)))))+IF(CD$5&lt;&gt;$H247,0,IF(CD247&gt;0,IF($J247=1,$E247*$I247/12*0,IF($J247=2,$E247*$I247/12*1,IF($J247=3,$E247*$I247/12*2,IF($J247&gt;=4,$E247*$I247/12*3,0))))))</f>
        <v>0</v>
      </c>
      <c r="CF247" s="442">
        <f t="shared" ref="CF247" si="3233">IF($H247&lt;&gt;CI$5,0,IF(CI247&gt;0,IF(OR($J247=1,$J247=2,$J247=3,$J247=4),$E247*$I247/12*3,IF($J247=5,$E247*$I247/12*2,IF($J247=6,$E247*$I247/12*1,0)))))+IF(CD$5&lt;&gt;$H247,0,IF(CD247&gt;0,IF($J247=4,$E247*$I247/12*0,IF($J247=5,$E247*$I247/12*1,IF($J247=6,$E247*$I247/12*2,IF($J247&gt;=7,$E247*$I247/12*3,0))))))</f>
        <v>0</v>
      </c>
      <c r="CG247" s="442">
        <f t="shared" ref="CG247" si="3234">IF($H247&lt;&gt;CI$5,0,IF(CI247&gt;0,IF(OR($J247=1,$J247=2,$J247=3,$J247=4,$J247=5,$J247=6,$J247=7),$E247*$I247/12*3,IF($J247=8,$E247*$I247/12*2,IF($J247=9,$E247*$I247/12*1,0)))))+IF(CD$5&lt;&gt;$H247,0,IF(CD247&gt;0,IF($J247=7,$E247*$I247/12*0,IF($J247=8,$E247*$I247/12*1,IF($J247=9,$E247*$I247/12*2,IF($J247&gt;=10,$E247*$I247/12*3,0))))))</f>
        <v>0</v>
      </c>
      <c r="CH247" s="443">
        <f t="shared" ref="CH247" si="3235">IF($H247&lt;&gt;CI$5,0,IF(CI247&gt;0,IF(OR($J247=1,$J247=2,$J247=3,$J247=4,$J247=5,$J247=6,$J247=7,$J247=8,$J247=9,$J247=10),$E247*$I247/12*3,IF($J247=11,$E247*$I247/12*2,IF($J247=12,$E247*$I247/12*1,0)))))+IF(CD$5&lt;&gt;$H247,0,IF(CD247&gt;0,IF($J247=10,$E247*$I247/12*0,IF($J247=11,$E247*$I247/12*1,IF($J247=12,$E247*$I247/12*2,0)))))</f>
        <v>0</v>
      </c>
      <c r="CI247" s="440">
        <f t="shared" ref="CI247" si="3236">IF(AND(CD247&lt;&gt;0,CD$5=$H247),$I247*$E247-CD247,IF(CI$5=$H247,$I247*$E247*(12-$J247+1)/12,0))</f>
        <v>0</v>
      </c>
      <c r="CJ247" s="441">
        <f t="shared" ref="CJ247" si="3237">IF($H247&lt;&gt;CN$5,0,IF(CN247&gt;0,IF($J247=1,$E247*$I247/12*3,IF($J247=2,$E247*$I247/12*2,IF($J247=3,$E247*$I247/12*1,0)))))+IF(CI$5&lt;&gt;$H247,0,IF(CI247&gt;0,IF($J247=1,$E247*$I247/12*0,IF($J247=2,$E247*$I247/12*1,IF($J247=3,$E247*$I247/12*2,IF($J247&gt;=4,$E247*$I247/12*3,0))))))</f>
        <v>0</v>
      </c>
      <c r="CK247" s="442">
        <f t="shared" ref="CK247" si="3238">IF($H247&lt;&gt;CN$5,0,IF(CN247&gt;0,IF(OR($J247=1,$J247=2,$J247=3,$J247=4),$E247*$I247/12*3,IF($J247=5,$E247*$I247/12*2,IF($J247=6,$E247*$I247/12*1,0)))))+IF(CI$5&lt;&gt;$H247,0,IF(CI247&gt;0,IF($J247=4,$E247*$I247/12*0,IF($J247=5,$E247*$I247/12*1,IF($J247=6,$E247*$I247/12*2,IF($J247&gt;=7,$E247*$I247/12*3,0))))))</f>
        <v>0</v>
      </c>
      <c r="CL247" s="442">
        <f t="shared" ref="CL247" si="3239">IF($H247&lt;&gt;CN$5,0,IF(CN247&gt;0,IF(OR($J247=1,$J247=2,$J247=3,$J247=4,$J247=5,$J247=6,$J247=7),$E247*$I247/12*3,IF($J247=8,$E247*$I247/12*2,IF($J247=9,$E247*$I247/12*1,0)))))+IF(CI$5&lt;&gt;$H247,0,IF(CI247&gt;0,IF($J247=7,$E247*$I247/12*0,IF($J247=8,$E247*$I247/12*1,IF($J247=9,$E247*$I247/12*2,IF($J247&gt;=10,$E247*$I247/12*3,0))))))</f>
        <v>0</v>
      </c>
      <c r="CM247" s="443">
        <f t="shared" ref="CM247" si="3240">IF($H247&lt;&gt;CN$5,0,IF(CN247&gt;0,IF(OR($J247=1,$J247=2,$J247=3,$J247=4,$J247=5,$J247=6,$J247=7,$J247=8,$J247=9,$J247=10),$E247*$I247/12*3,IF($J247=11,$E247*$I247/12*2,IF($J247=12,$E247*$I247/12*1,0)))))+IF(CI$5&lt;&gt;$H247,0,IF(CI247&gt;0,IF($J247=10,$E247*$I247/12*0,IF($J247=11,$E247*$I247/12*1,IF($J247=12,$E247*$I247/12*2,0)))))</f>
        <v>0</v>
      </c>
      <c r="CN247" s="440">
        <f t="shared" ref="CN247" si="3241">IF(AND(CI247&lt;&gt;0,CI$5=$H247),$I247*$E247-CI247,IF(CN$5=$H247,$I247*$E247*(12-$J247+1)/12,0))</f>
        <v>0</v>
      </c>
      <c r="CO247" s="441">
        <f t="shared" ref="CO247" si="3242">IF($H247&lt;&gt;CS$5,0,IF(CS247&gt;0,IF($J247=1,$E247*$I247/12*3,IF($J247=2,$E247*$I247/12*2,IF($J247=3,$E247*$I247/12*1,0)))))+IF(CN$5&lt;&gt;$H247,0,IF(CN247&gt;0,IF($J247=1,$E247*$I247/12*0,IF($J247=2,$E247*$I247/12*1,IF($J247=3,$E247*$I247/12*2,IF($J247&gt;=4,$E247*$I247/12*3,0))))))</f>
        <v>0</v>
      </c>
      <c r="CP247" s="442">
        <f t="shared" ref="CP247" si="3243">IF($H247&lt;&gt;CS$5,0,IF(CS247&gt;0,IF(OR($J247=1,$J247=2,$J247=3,$J247=4),$E247*$I247/12*3,IF($J247=5,$E247*$I247/12*2,IF($J247=6,$E247*$I247/12*1,0)))))+IF(CN$5&lt;&gt;$H247,0,IF(CN247&gt;0,IF($J247=4,$E247*$I247/12*0,IF($J247=5,$E247*$I247/12*1,IF($J247=6,$E247*$I247/12*2,IF($J247&gt;=7,$E247*$I247/12*3,0))))))</f>
        <v>0</v>
      </c>
      <c r="CQ247" s="442">
        <f t="shared" ref="CQ247" si="3244">IF($H247&lt;&gt;CS$5,0,IF(CS247&gt;0,IF(OR($J247=1,$J247=2,$J247=3,$J247=4,$J247=5,$J247=6,$J247=7),$E247*$I247/12*3,IF($J247=8,$E247*$I247/12*2,IF($J247=9,$E247*$I247/12*1,0)))))+IF(CN$5&lt;&gt;$H247,0,IF(CN247&gt;0,IF($J247=7,$E247*$I247/12*0,IF($J247=8,$E247*$I247/12*1,IF($J247=9,$E247*$I247/12*2,IF($J247&gt;=10,$E247*$I247/12*3,0))))))</f>
        <v>0</v>
      </c>
      <c r="CR247" s="443">
        <f t="shared" ref="CR247" si="3245">IF($H247&lt;&gt;CS$5,0,IF(CS247&gt;0,IF(OR($J247=1,$J247=2,$J247=3,$J247=4,$J247=5,$J247=6,$J247=7,$J247=8,$J247=9,$J247=10),$E247*$I247/12*3,IF($J247=11,$E247*$I247/12*2,IF($J247=12,$E247*$I247/12*1,0)))))+IF(CN$5&lt;&gt;$H247,0,IF(CN247&gt;0,IF($J247=10,$E247*$I247/12*0,IF($J247=11,$E247*$I247/12*1,IF($J247=12,$E247*$I247/12*2,0)))))</f>
        <v>0</v>
      </c>
      <c r="CS247" s="440">
        <f t="shared" ref="CS247" si="3246">IF(AND(CN247&lt;&gt;0,CN$5=$H247),$I247*$E247-CN247,IF(CS$5=$H247,$I247*$E247*(12-$J247+1)/12,0))</f>
        <v>0</v>
      </c>
      <c r="CT247" s="441">
        <f t="shared" ref="CT247" si="3247">IF($H247&lt;&gt;CX$5,0,IF(CX247&gt;0,IF($J247=1,$E247*$I247/12*3,IF($J247=2,$E247*$I247/12*2,IF($J247=3,$E247*$I247/12*1,0)))))+IF(CS$5&lt;&gt;$H247,0,IF(CS247&gt;0,IF($J247=1,$E247*$I247/12*0,IF($J247=2,$E247*$I247/12*1,IF($J247=3,$E247*$I247/12*2,IF($J247&gt;=4,$E247*$I247/12*3,0))))))</f>
        <v>0</v>
      </c>
      <c r="CU247" s="442">
        <f t="shared" ref="CU247" si="3248">IF($H247&lt;&gt;CX$5,0,IF(CX247&gt;0,IF(OR($J247=1,$J247=2,$J247=3,$J247=4),$E247*$I247/12*3,IF($J247=5,$E247*$I247/12*2,IF($J247=6,$E247*$I247/12*1,0)))))+IF(CS$5&lt;&gt;$H247,0,IF(CS247&gt;0,IF($J247=4,$E247*$I247/12*0,IF($J247=5,$E247*$I247/12*1,IF($J247=6,$E247*$I247/12*2,IF($J247&gt;=7,$E247*$I247/12*3,0))))))</f>
        <v>1.4791666666666667</v>
      </c>
      <c r="CV247" s="442">
        <f t="shared" ref="CV247" si="3249">IF($H247&lt;&gt;CX$5,0,IF(CX247&gt;0,IF(OR($J247=1,$J247=2,$J247=3,$J247=4,$J247=5,$J247=6,$J247=7),$E247*$I247/12*3,IF($J247=8,$E247*$I247/12*2,IF($J247=9,$E247*$I247/12*1,0)))))+IF(CS$5&lt;&gt;$H247,0,IF(CS247&gt;0,IF($J247=7,$E247*$I247/12*0,IF($J247=8,$E247*$I247/12*1,IF($J247=9,$E247*$I247/12*2,IF($J247&gt;=10,$E247*$I247/12*3,0))))))</f>
        <v>2.21875</v>
      </c>
      <c r="CW247" s="443">
        <f t="shared" ref="CW247" si="3250">IF($H247&lt;&gt;CX$5,0,IF(CX247&gt;0,IF(OR($J247=1,$J247=2,$J247=3,$J247=4,$J247=5,$J247=6,$J247=7,$J247=8,$J247=9,$J247=10),$E247*$I247/12*3,IF($J247=11,$E247*$I247/12*2,IF($J247=12,$E247*$I247/12*1,0)))))+IF(CS$5&lt;&gt;$H247,0,IF(CS247&gt;0,IF($J247=10,$E247*$I247/12*0,IF($J247=11,$E247*$I247/12*1,IF($J247=12,$E247*$I247/12*2,0)))))</f>
        <v>2.21875</v>
      </c>
      <c r="CX247" s="440">
        <f t="shared" ref="CX247" si="3251">IF(AND(CS247&lt;&gt;0,CS$5=$H247),$I247*$E247-CS247,IF(CX$5=$H247,$I247*$E247*(12-$J247+1)/12,0))</f>
        <v>5.916666666666667</v>
      </c>
      <c r="CY247" s="441">
        <f t="shared" ref="CY247" si="3252">IF($H247&lt;&gt;DC$5,0,IF(DC247&gt;0,IF($J247=1,$E247*$I247/12*3,IF($J247=2,$E247*$I247/12*2,IF($J247=3,$E247*$I247/12*1,0)))))+IF(CX$5&lt;&gt;$H247,0,IF(CX247&gt;0,IF($J247=1,$E247*$I247/12*0,IF($J247=2,$E247*$I247/12*1,IF($J247=3,$E247*$I247/12*2,IF($J247&gt;=4,$E247*$I247/12*3,0))))))</f>
        <v>2.21875</v>
      </c>
      <c r="CZ247" s="442">
        <f t="shared" ref="CZ247" si="3253">IF($H247&lt;&gt;DC$5,0,IF(DC247&gt;0,IF(OR($J247=1,$J247=2,$J247=3,$J247=4),$E247*$I247/12*3,IF($J247=5,$E247*$I247/12*2,IF($J247=6,$E247*$I247/12*1,0)))))+IF(CX$5&lt;&gt;$H247,0,IF(CX247&gt;0,IF($J247=4,$E247*$I247/12*0,IF($J247=5,$E247*$I247/12*1,IF($J247=6,$E247*$I247/12*2,IF($J247&gt;=7,$E247*$I247/12*3,0))))))</f>
        <v>0.73958333333333337</v>
      </c>
      <c r="DA247" s="442">
        <f t="shared" ref="DA247" si="3254">IF($H247&lt;&gt;DC$5,0,IF(DC247&gt;0,IF(OR($J247=1,$J247=2,$J247=3,$J247=4,$J247=5,$J247=6,$J247=7),$E247*$I247/12*3,IF($J247=8,$E247*$I247/12*2,IF($J247=9,$E247*$I247/12*1,0)))))+IF(CX$5&lt;&gt;$H247,0,IF(CX247&gt;0,IF($J247=7,$E247*$I247/12*0,IF($J247=8,$E247*$I247/12*1,IF($J247=9,$E247*$I247/12*2,IF($J247&gt;=10,$E247*$I247/12*3,0))))))</f>
        <v>0</v>
      </c>
      <c r="DB247" s="443">
        <f t="shared" ref="DB247" si="3255">IF($H247&lt;&gt;DC$5,0,IF(DC247&gt;0,IF(OR($J247=1,$J247=2,$J247=3,$J247=4,$J247=5,$J247=6,$J247=7,$J247=8,$J247=9,$J247=10),$E247*$I247/12*3,IF($J247=11,$E247*$I247/12*2,IF($J247=12,$E247*$I247/12*1,0)))))+IF(CX$5&lt;&gt;$H247,0,IF(CX247&gt;0,IF($J247=10,$E247*$I247/12*0,IF($J247=11,$E247*$I247/12*1,IF($J247=12,$E247*$I247/12*2,0)))))</f>
        <v>0</v>
      </c>
      <c r="DC247" s="440">
        <f t="shared" ref="DC247" si="3256">IF(AND(CX247&lt;&gt;0,CX$5=$H247),$I247*$E247-CX247,IF(DC$5=$H247,$I247*$E247*(12-$J247+1)/12,0))</f>
        <v>2.958333333333333</v>
      </c>
      <c r="DD247" s="441">
        <f t="shared" ref="DD247" si="3257">IF($H247&lt;&gt;DH$5,0,IF(DH247&gt;0,IF($J247=1,$E247*$I247/12*3,IF($J247=2,$E247*$I247/12*2,IF($J247=3,$E247*$I247/12*1,0)))))+IF(DC$5&lt;&gt;$H247,0,IF(DC247&gt;0,IF($J247=1,$E247*$I247/12*0,IF($J247=2,$E247*$I247/12*1,IF($J247=3,$E247*$I247/12*2,IF($J247&gt;=4,$E247*$I247/12*3,0))))))</f>
        <v>0</v>
      </c>
      <c r="DE247" s="442">
        <f t="shared" ref="DE247" si="3258">IF($H247&lt;&gt;DH$5,0,IF(DH247&gt;0,IF(OR($J247=1,$J247=2,$J247=3,$J247=4),$E247*$I247/12*3,IF($J247=5,$E247*$I247/12*2,IF($J247=6,$E247*$I247/12*1,0)))))+IF(DC$5&lt;&gt;$H247,0,IF(DC247&gt;0,IF($J247=4,$E247*$I247/12*0,IF($J247=5,$E247*$I247/12*1,IF($J247=6,$E247*$I247/12*2,IF($J247&gt;=7,$E247*$I247/12*3,0))))))</f>
        <v>0</v>
      </c>
      <c r="DF247" s="442">
        <f t="shared" ref="DF247" si="3259">IF($H247&lt;&gt;DH$5,0,IF(DH247&gt;0,IF(OR($J247=1,$J247=2,$J247=3,$J247=4,$J247=5,$J247=6,$J247=7),$E247*$I247/12*3,IF($J247=8,$E247*$I247/12*2,IF($J247=9,$E247*$I247/12*1,0)))))+IF(DC$5&lt;&gt;$H247,0,IF(DC247&gt;0,IF($J247=7,$E247*$I247/12*0,IF($J247=8,$E247*$I247/12*1,IF($J247=9,$E247*$I247/12*2,IF($J247&gt;=10,$E247*$I247/12*3,0))))))</f>
        <v>0</v>
      </c>
      <c r="DG247" s="443">
        <f t="shared" ref="DG247" si="3260">IF($H247&lt;&gt;DH$5,0,IF(DH247&gt;0,IF(OR($J247=1,$J247=2,$J247=3,$J247=4,$J247=5,$J247=6,$J247=7,$J247=8,$J247=9,$J247=10),$E247*$I247/12*3,IF($J247=11,$E247*$I247/12*2,IF($J247=12,$E247*$I247/12*1,0)))))+IF(DC$5&lt;&gt;$H247,0,IF(DC247&gt;0,IF($J247=10,$E247*$I247/12*0,IF($J247=11,$E247*$I247/12*1,IF($J247=12,$E247*$I247/12*2,0)))))</f>
        <v>0</v>
      </c>
      <c r="DH247" s="440">
        <f t="shared" ref="DH247" si="3261">IF(AND(DC247&lt;&gt;0,DC$5=$H247),$I247*$E247-DC247,IF(DH$5=$H247,$I247*$E247*(12-$J247+1)/12,0))</f>
        <v>0</v>
      </c>
      <c r="DI247" s="441">
        <f t="shared" ref="DI247" si="3262">IF($H247&lt;&gt;DM$5,0,IF(DM247&gt;0,IF($J247=1,$E247*$I247/12*3,IF($J247=2,$E247*$I247/12*2,IF($J247=3,$E247*$I247/12*1,0)))))+IF(DH$5&lt;&gt;$H247,0,IF(DH247&gt;0,IF($J247=1,$E247*$I247/12*0,IF($J247=2,$E247*$I247/12*1,IF($J247=3,$E247*$I247/12*2,IF($J247&gt;=4,$E247*$I247/12*3,0))))))</f>
        <v>0</v>
      </c>
      <c r="DJ247" s="442">
        <f t="shared" ref="DJ247" si="3263">IF($H247&lt;&gt;DM$5,0,IF(DM247&gt;0,IF(OR($J247=1,$J247=2,$J247=3,$J247=4),$E247*$I247/12*3,IF($J247=5,$E247*$I247/12*2,IF($J247=6,$E247*$I247/12*1,0)))))+IF(DH$5&lt;&gt;$H247,0,IF(DH247&gt;0,IF($J247=4,$E247*$I247/12*0,IF($J247=5,$E247*$I247/12*1,IF($J247=6,$E247*$I247/12*2,IF($J247&gt;=7,$E247*$I247/12*3,0))))))</f>
        <v>0</v>
      </c>
      <c r="DK247" s="442">
        <f t="shared" ref="DK247" si="3264">IF($H247&lt;&gt;DM$5,0,IF(DM247&gt;0,IF(OR($J247=1,$J247=2,$J247=3,$J247=4,$J247=5,$J247=6,$J247=7),$E247*$I247/12*3,IF($J247=8,$E247*$I247/12*2,IF($J247=9,$E247*$I247/12*1,0)))))+IF(DH$5&lt;&gt;$H247,0,IF(DH247&gt;0,IF($J247=7,$E247*$I247/12*0,IF($J247=8,$E247*$I247/12*1,IF($J247=9,$E247*$I247/12*2,IF($J247&gt;=10,$E247*$I247/12*3,0))))))</f>
        <v>0</v>
      </c>
      <c r="DL247" s="443">
        <f t="shared" ref="DL247" si="3265">IF($H247&lt;&gt;DM$5,0,IF(DM247&gt;0,IF(OR($J247=1,$J247=2,$J247=3,$J247=4,$J247=5,$J247=6,$J247=7,$J247=8,$J247=9,$J247=10),$E247*$I247/12*3,IF($J247=11,$E247*$I247/12*2,IF($J247=12,$E247*$I247/12*1,0)))))+IF(DH$5&lt;&gt;$H247,0,IF(DH247&gt;0,IF($J247=10,$E247*$I247/12*0,IF($J247=11,$E247*$I247/12*1,IF($J247=12,$E247*$I247/12*2,0)))))</f>
        <v>0</v>
      </c>
      <c r="DM247" s="440">
        <f t="shared" ref="DM247" si="3266">IF(AND(DH247&lt;&gt;0,DH$5=$H247),$I247*$E247-DH247,IF(DM$5=$H247,$I247*$E247*(12-$J247+1)/12,0))</f>
        <v>0</v>
      </c>
      <c r="DN247" s="441">
        <f t="shared" ref="DN247" si="3267">IF($H247&lt;&gt;DR$5,0,IF(DR247&gt;0,IF($J247=1,$E247*$I247/12*3,IF($J247=2,$E247*$I247/12*2,IF($J247=3,$E247*$I247/12*1,0)))))+IF(DM$5&lt;&gt;$H247,0,IF(DM247&gt;0,IF($J247=1,$E247*$I247/12*0,IF($J247=2,$E247*$I247/12*1,IF($J247=3,$E247*$I247/12*2,IF($J247&gt;=4,$E247*$I247/12*3,0))))))</f>
        <v>0</v>
      </c>
      <c r="DO247" s="442">
        <f t="shared" ref="DO247" si="3268">IF($H247&lt;&gt;DR$5,0,IF(DR247&gt;0,IF(OR($J247=1,$J247=2,$J247=3,$J247=4),$E247*$I247/12*3,IF($J247=5,$E247*$I247/12*2,IF($J247=6,$E247*$I247/12*1,0)))))+IF(DM$5&lt;&gt;$H247,0,IF(DM247&gt;0,IF($J247=4,$E247*$I247/12*0,IF($J247=5,$E247*$I247/12*1,IF($J247=6,$E247*$I247/12*2,IF($J247&gt;=7,$E247*$I247/12*3,0))))))</f>
        <v>0</v>
      </c>
      <c r="DP247" s="442">
        <f t="shared" ref="DP247" si="3269">IF($H247&lt;&gt;DR$5,0,IF(DR247&gt;0,IF(OR($J247=1,$J247=2,$J247=3,$J247=4,$J247=5,$J247=6,$J247=7),$E247*$I247/12*3,IF($J247=8,$E247*$I247/12*2,IF($J247=9,$E247*$I247/12*1,0)))))+IF(DM$5&lt;&gt;$H247,0,IF(DM247&gt;0,IF($J247=7,$E247*$I247/12*0,IF($J247=8,$E247*$I247/12*1,IF($J247=9,$E247*$I247/12*2,IF($J247&gt;=10,$E247*$I247/12*3,0))))))</f>
        <v>0</v>
      </c>
      <c r="DQ247" s="443">
        <f t="shared" ref="DQ247" si="3270">IF($H247&lt;&gt;DR$5,0,IF(DR247&gt;0,IF(OR($J247=1,$J247=2,$J247=3,$J247=4,$J247=5,$J247=6,$J247=7,$J247=8,$J247=9,$J247=10),$E247*$I247/12*3,IF($J247=11,$E247*$I247/12*2,IF($J247=12,$E247*$I247/12*1,0)))))+IF(DM$5&lt;&gt;$H247,0,IF(DM247&gt;0,IF($J247=10,$E247*$I247/12*0,IF($J247=11,$E247*$I247/12*1,IF($J247=12,$E247*$I247/12*2,0)))))</f>
        <v>0</v>
      </c>
      <c r="DR247" s="440">
        <f t="shared" ref="DR247" si="3271">IF(AND(DM247&lt;&gt;0,DM$5=$H247),$I247*$E247-DM247,IF(DR$5=$H247,$I247*$E247*(12-$J247+1)/12,0))</f>
        <v>0</v>
      </c>
    </row>
    <row r="248" spans="1:122" ht="12.75" customHeight="1">
      <c r="A248" s="92"/>
      <c r="B248" s="92"/>
      <c r="C248" s="1946" t="s">
        <v>1210</v>
      </c>
      <c r="D248" s="1953"/>
      <c r="E248" s="1757">
        <v>150</v>
      </c>
      <c r="F248" s="1757"/>
      <c r="G248" s="1757"/>
      <c r="H248" s="1750">
        <v>2017</v>
      </c>
      <c r="I248" s="1956">
        <v>3.6600000000000001E-2</v>
      </c>
      <c r="J248" s="1749">
        <v>8</v>
      </c>
      <c r="K248" s="528"/>
      <c r="L248" s="441">
        <f t="shared" ref="L248" si="3272">IF(P248=0,0,IF(P248&gt;0,IF($J248=3,P248,IF($J248=2,P248,IF($J248=1,P248,0)))))</f>
        <v>0</v>
      </c>
      <c r="M248" s="442">
        <f t="shared" ref="M248" si="3273">IF(P248=0,0,IF(P248&gt;0,IF($J248=6,P248,IF($J248=5,P248,IF($J248=4,P248,0)))))</f>
        <v>0</v>
      </c>
      <c r="N248" s="442">
        <f t="shared" ref="N248" si="3274">IF(P248=0,0,IF(P248&gt;0,IF($J248=9,P248,IF($J248=8,P248,IF($J248=7,P248,0)))))</f>
        <v>0</v>
      </c>
      <c r="O248" s="443">
        <f t="shared" ref="O248" si="3275">IF(P248=0,0,IF(P248&gt;0,IF($J248=12,P248,IF($J248=11,P248,IF($J248=10,P248,0)))))</f>
        <v>0</v>
      </c>
      <c r="P248" s="440">
        <f t="shared" si="3166"/>
        <v>0</v>
      </c>
      <c r="Q248" s="441">
        <f t="shared" ref="Q248" si="3276">IF(U248=0,0,IF(U248&gt;0,IF($J248=3,U248,IF($J248=2,U248,IF($J248=1,U248,0)))))</f>
        <v>0</v>
      </c>
      <c r="R248" s="442">
        <f t="shared" ref="R248" si="3277">IF(U248=0,0,IF(U248&gt;0,IF($J248=6,U248,IF($J248=5,U248,IF($J248=4,U248,0)))))</f>
        <v>0</v>
      </c>
      <c r="S248" s="442">
        <f t="shared" ref="S248" si="3278">IF(U248=0,0,IF(U248&gt;0,IF($J248=9,U248,IF($J248=8,U248,IF($J248=7,U248,0)))))</f>
        <v>0</v>
      </c>
      <c r="T248" s="443">
        <f t="shared" ref="T248" si="3279">IF(U248=0,0,IF(U248&gt;0,IF($J248=12,U248,IF($J248=11,U248,IF($J248=10,U248,0)))))</f>
        <v>0</v>
      </c>
      <c r="U248" s="440">
        <f t="shared" si="3171"/>
        <v>0</v>
      </c>
      <c r="V248" s="441">
        <f t="shared" ref="V248" si="3280">IF(Z248=0,0,IF(Z248&gt;0,IF($J248=3,Z248,IF($J248=2,Z248,IF($J248=1,Z248,0)))))</f>
        <v>0</v>
      </c>
      <c r="W248" s="442">
        <f t="shared" ref="W248" si="3281">IF(Z248=0,0,IF(Z248&gt;0,IF($J248=6,Z248,IF($J248=5,Z248,IF($J248=4,Z248,0)))))</f>
        <v>0</v>
      </c>
      <c r="X248" s="442">
        <f t="shared" ref="X248" si="3282">IF(Z248=0,0,IF(Z248&gt;0,IF($J248=9,Z248,IF($J248=8,Z248,IF($J248=7,Z248,0)))))</f>
        <v>0</v>
      </c>
      <c r="Y248" s="443">
        <f t="shared" ref="Y248" si="3283">IF(Z248=0,0,IF(Z248&gt;0,IF($J248=12,Z248,IF($J248=11,Z248,IF($J248=10,Z248,0)))))</f>
        <v>0</v>
      </c>
      <c r="Z248" s="440">
        <f t="shared" si="3176"/>
        <v>0</v>
      </c>
      <c r="AA248" s="441">
        <f t="shared" ref="AA248" si="3284">IF(AE248=0,0,IF(AE248&gt;0,IF($J248=3,AE248,IF($J248=2,AE248,IF($J248=1,AE248,0)))))</f>
        <v>0</v>
      </c>
      <c r="AB248" s="442">
        <f t="shared" ref="AB248" si="3285">IF(AE248=0,0,IF(AE248&gt;0,IF($J248=6,AE248,IF($J248=5,AE248,IF($J248=4,AE248,0)))))</f>
        <v>0</v>
      </c>
      <c r="AC248" s="442">
        <f t="shared" ref="AC248" si="3286">IF(AE248=0,0,IF(AE248&gt;0,IF($J248=9,AE248,IF($J248=8,AE248,IF($J248=7,AE248,0)))))</f>
        <v>0</v>
      </c>
      <c r="AD248" s="443">
        <f t="shared" ref="AD248" si="3287">IF(AE248=0,0,IF(AE248&gt;0,IF($J248=12,AE248,IF($J248=11,AE248,IF($J248=10,AE248,0)))))</f>
        <v>0</v>
      </c>
      <c r="AE248" s="440">
        <f t="shared" si="3181"/>
        <v>0</v>
      </c>
      <c r="AF248" s="441">
        <f t="shared" ref="AF248" si="3288">IF(AJ248=0,0,IF(AJ248&gt;0,IF($J248=3,AJ248,IF($J248=2,AJ248,IF($J248=1,AJ248,0)))))</f>
        <v>0</v>
      </c>
      <c r="AG248" s="442">
        <f t="shared" ref="AG248" si="3289">IF(AJ248=0,0,IF(AJ248&gt;0,IF($J248=6,AJ248,IF($J248=5,AJ248,IF($J248=4,AJ248,0)))))</f>
        <v>0</v>
      </c>
      <c r="AH248" s="442">
        <f t="shared" ref="AH248" si="3290">IF(AJ248=0,0,IF(AJ248&gt;0,IF($J248=9,AJ248,IF($J248=8,AJ248,IF($J248=7,AJ248,0)))))</f>
        <v>0</v>
      </c>
      <c r="AI248" s="443">
        <f t="shared" ref="AI248" si="3291">IF(AJ248=0,0,IF(AJ248&gt;0,IF($J248=12,AJ248,IF($J248=11,AJ248,IF($J248=10,AJ248,0)))))</f>
        <v>0</v>
      </c>
      <c r="AJ248" s="440">
        <f t="shared" si="3186"/>
        <v>0</v>
      </c>
      <c r="AK248" s="441">
        <f t="shared" ref="AK248" si="3292">IF(AO248=0,0,IF(AO248&gt;0,IF($J248=3,AO248,IF($J248=2,AO248,IF($J248=1,AO248,0)))))</f>
        <v>0</v>
      </c>
      <c r="AL248" s="442">
        <f t="shared" ref="AL248" si="3293">IF(AO248=0,0,IF(AO248&gt;0,IF($J248=6,AO248,IF($J248=5,AO248,IF($J248=4,AO248,0)))))</f>
        <v>0</v>
      </c>
      <c r="AM248" s="442">
        <f t="shared" ref="AM248" si="3294">IF(AO248=0,0,IF(AO248&gt;0,IF($J248=9,AO248,IF($J248=8,AO248,IF($J248=7,AO248,0)))))</f>
        <v>0</v>
      </c>
      <c r="AN248" s="443">
        <f t="shared" ref="AN248" si="3295">IF(AO248=0,0,IF(AO248&gt;0,IF($J248=12,AO248,IF($J248=11,AO248,IF($J248=10,AO248,0)))))</f>
        <v>0</v>
      </c>
      <c r="AO248" s="440">
        <f t="shared" si="3191"/>
        <v>0</v>
      </c>
      <c r="AP248" s="441">
        <f t="shared" ref="AP248" si="3296">IF(AT248=0,0,IF(AT248&gt;0,IF($J248=3,AT248,IF($J248=2,AT248,IF($J248=1,AT248,0)))))</f>
        <v>0</v>
      </c>
      <c r="AQ248" s="442">
        <f t="shared" ref="AQ248" si="3297">IF(AT248=0,0,IF(AT248&gt;0,IF($J248=6,AT248,IF($J248=5,AT248,IF($J248=4,AT248,0)))))</f>
        <v>0</v>
      </c>
      <c r="AR248" s="442">
        <f t="shared" ref="AR248" si="3298">IF(AT248=0,0,IF(AT248&gt;0,IF($J248=9,AT248,IF($J248=8,AT248,IF($J248=7,AT248,0)))))</f>
        <v>150</v>
      </c>
      <c r="AS248" s="443">
        <f t="shared" ref="AS248" si="3299">IF(AT248=0,0,IF(AT248&gt;0,IF($J248=12,AT248,IF($J248=11,AT248,IF($J248=10,AT248,0)))))</f>
        <v>0</v>
      </c>
      <c r="AT248" s="440">
        <f t="shared" si="3196"/>
        <v>150</v>
      </c>
      <c r="AU248" s="441">
        <f t="shared" ref="AU248" si="3300">IF(AY248=0,0,IF(AY248&gt;0,IF($J248=3,AY248,IF($J248=2,AY248,IF($J248=1,AY248,0)))))</f>
        <v>0</v>
      </c>
      <c r="AV248" s="442">
        <f t="shared" ref="AV248" si="3301">IF(AY248=0,0,IF(AY248&gt;0,IF($J248=6,AY248,IF($J248=5,AY248,IF($J248=4,AY248,0)))))</f>
        <v>0</v>
      </c>
      <c r="AW248" s="442">
        <f t="shared" ref="AW248" si="3302">IF(AY248=0,0,IF(AY248&gt;0,IF($J248=9,AY248,IF($J248=8,AY248,IF($J248=7,AY248,0)))))</f>
        <v>0</v>
      </c>
      <c r="AX248" s="443">
        <f t="shared" ref="AX248" si="3303">IF(AY248=0,0,IF(AY248&gt;0,IF($J248=12,AY248,IF($J248=11,AY248,IF($J248=10,AY248,0)))))</f>
        <v>0</v>
      </c>
      <c r="AY248" s="440">
        <f t="shared" si="3201"/>
        <v>0</v>
      </c>
      <c r="AZ248" s="441">
        <f t="shared" ref="AZ248" si="3304">IF(BD248=0,0,IF(BD248&gt;0,IF($J248=3,BD248,IF($J248=2,BD248,IF($J248=1,BD248,0)))))</f>
        <v>0</v>
      </c>
      <c r="BA248" s="442">
        <f t="shared" ref="BA248" si="3305">IF(BD248=0,0,IF(BD248&gt;0,IF($J248=6,BD248,IF($J248=5,BD248,IF($J248=4,BD248,0)))))</f>
        <v>0</v>
      </c>
      <c r="BB248" s="442">
        <f t="shared" ref="BB248" si="3306">IF(BD248=0,0,IF(BD248&gt;0,IF($J248=9,BD248,IF($J248=8,BD248,IF($J248=7,BD248,0)))))</f>
        <v>0</v>
      </c>
      <c r="BC248" s="443">
        <f t="shared" ref="BC248" si="3307">IF(BD248=0,0,IF(BD248&gt;0,IF($J248=12,BD248,IF($J248=11,BD248,IF($J248=10,BD248,0)))))</f>
        <v>0</v>
      </c>
      <c r="BD248" s="440">
        <f t="shared" si="3206"/>
        <v>0</v>
      </c>
      <c r="BE248" s="441">
        <f t="shared" ref="BE248" si="3308">IF(BI248=0,0,IF(BI248&gt;0,IF($J248=3,BI248,IF($J248=2,BI248,IF($J248=1,BI248,0)))))</f>
        <v>0</v>
      </c>
      <c r="BF248" s="442">
        <f t="shared" ref="BF248" si="3309">IF(BI248=0,0,IF(BI248&gt;0,IF($J248=6,BI248,IF($J248=5,BI248,IF($J248=4,BI248,0)))))</f>
        <v>0</v>
      </c>
      <c r="BG248" s="442">
        <f t="shared" ref="BG248" si="3310">IF(BI248=0,0,IF(BI248&gt;0,IF($J248=9,BI248,IF($J248=8,BI248,IF($J248=7,BI248,0)))))</f>
        <v>0</v>
      </c>
      <c r="BH248" s="443">
        <f t="shared" ref="BH248" si="3311">IF(BI248=0,0,IF(BI248&gt;0,IF($J248=12,BI248,IF($J248=11,BI248,IF($J248=10,BI248,0)))))</f>
        <v>0</v>
      </c>
      <c r="BI248" s="440">
        <f t="shared" si="3211"/>
        <v>0</v>
      </c>
      <c r="BJ248" s="441">
        <f t="shared" ref="BJ248" si="3312">IF(BN248=0,0,IF(BN248&gt;0,IF($J248=3,BN248,IF($J248=2,BN248,IF($J248=1,BN248,0)))))</f>
        <v>0</v>
      </c>
      <c r="BK248" s="442">
        <f t="shared" ref="BK248" si="3313">IF(BN248=0,0,IF(BN248&gt;0,IF($J248=6,BN248,IF($J248=5,BN248,IF($J248=4,BN248,0)))))</f>
        <v>0</v>
      </c>
      <c r="BL248" s="442">
        <f t="shared" ref="BL248" si="3314">IF(BN248=0,0,IF(BN248&gt;0,IF($J248=9,BN248,IF($J248=8,BN248,IF($J248=7,BN248,0)))))</f>
        <v>0</v>
      </c>
      <c r="BM248" s="443">
        <f t="shared" ref="BM248" si="3315">IF(BN248=0,0,IF(BN248&gt;0,IF($J248=12,BN248,IF($J248=11,BN248,IF($J248=10,BN248,0)))))</f>
        <v>0</v>
      </c>
      <c r="BN248" s="440">
        <f t="shared" si="3216"/>
        <v>0</v>
      </c>
      <c r="BO248" s="463"/>
      <c r="BP248" s="441">
        <f t="shared" ref="BP248" si="3316">IF($H248&lt;&gt;BT$5,0,IF(BT248&gt;0,IF($J248=1,$E248*$I248/12*3,IF($J248=2,$E248*$I248/12*2,IF($J248=3,$E248*$I248/12*1,0)))))+IF(BO$5&lt;&gt;$H248,0,IF(BO248&gt;0,IF($J248=1,$E248*$I248/12*0,IF($J248=2,$E248*$I248/12*1,IF($J248=3,$E248*$I248/12*2,IF($J248&gt;=4,$E248*$I248/12*3,0))))))</f>
        <v>0</v>
      </c>
      <c r="BQ248" s="442">
        <f t="shared" ref="BQ248" si="3317">IF($H248&lt;&gt;BT$5,0,IF(BT248&gt;0,IF(OR($J248=1,$J248=2,$J248=3,$J248=4),$E248*$I248/12*3,IF($J248=5,$E248*$I248/12*2,IF($J248=6,$E248*$I248/12*1,0)))))+IF(BO$5&lt;&gt;$H248,0,IF(BO248&gt;0,IF($J248=4,$E248*$I248/12*0,IF($J248=5,$E248*$I248/12*1,IF($J248=6,$E248*$I248/12*2,IF($J248&gt;=7,$E248*$I248/12*3,0))))))</f>
        <v>0</v>
      </c>
      <c r="BR248" s="442">
        <f t="shared" ref="BR248" si="3318">IF($H248&lt;&gt;BT$5,0,IF(BT248&gt;0,IF(OR($J248=1,$J248=2,$J248=3,$J248=4,$J248=5,$J248=6,$J248=7),$E248*$I248/12*3,IF($J248=8,$E248*$I248/12*2,IF($J248=9,$E248*$I248/12*1,0)))))+IF(BO$5&lt;&gt;$H248,0,IF(BO248&gt;0,IF($J248=7,$E248*$I248/12*0,IF($J248=8,$E248*$I248/12*1,IF($J248=9,$E248*$I248/12*2,IF($J248&gt;=10,$E248*$I248/12*3,0))))))</f>
        <v>0</v>
      </c>
      <c r="BS248" s="443">
        <f t="shared" ref="BS248" si="3319">IF($H248&lt;&gt;BT$5,0,IF(BT248&gt;0,IF(OR($J248=1,$J248=2,$J248=3,$J248=4,$J248=5,$J248=6,$J248=7,$J248=8,$J248=9,$J248=10),$E248*$I248/12*3,IF($J248=11,$E248*$I248/12*2,IF($J248=12,$E248*$I248/12*1,0)))))+IF(BO$5&lt;&gt;$H248,0,IF(BO248&gt;0,IF($J248=10,$E248*$I248/12*0,IF($J248=11,$E248*$I248/12*1,IF($J248=12,$E248*$I248/12*2,0)))))</f>
        <v>0</v>
      </c>
      <c r="BT248" s="440">
        <f t="shared" ref="BT248" si="3320">IF(AND(BO248&lt;&gt;0,BO$5=$H248),$I248*$E248-BO248,IF(BT$5=$H248,$I248*$E248*(12-$J248+1)/12,0))</f>
        <v>0</v>
      </c>
      <c r="BU248" s="441">
        <f t="shared" ref="BU248" si="3321">IF($H248&lt;&gt;BY$5,0,IF(BY248&gt;0,IF($J248=1,$E248*$I248/12*3,IF($J248=2,$E248*$I248/12*2,IF($J248=3,$E248*$I248/12*1,0)))))+IF(BT$5&lt;&gt;$H248,0,IF(BT248&gt;0,IF($J248=1,$E248*$I248/12*0,IF($J248=2,$E248*$I248/12*1,IF($J248=3,$E248*$I248/12*2,IF($J248&gt;=4,$E248*$I248/12*3,0))))))</f>
        <v>0</v>
      </c>
      <c r="BV248" s="442">
        <f t="shared" ref="BV248" si="3322">IF($H248&lt;&gt;BY$5,0,IF(BY248&gt;0,IF(OR($J248=1,$J248=2,$J248=3,$J248=4),$E248*$I248/12*3,IF($J248=5,$E248*$I248/12*2,IF($J248=6,$E248*$I248/12*1,0)))))+IF(BT$5&lt;&gt;$H248,0,IF(BT248&gt;0,IF($J248=4,$E248*$I248/12*0,IF($J248=5,$E248*$I248/12*1,IF($J248=6,$E248*$I248/12*2,IF($J248&gt;=7,$E248*$I248/12*3,0))))))</f>
        <v>0</v>
      </c>
      <c r="BW248" s="442">
        <f t="shared" ref="BW248" si="3323">IF($H248&lt;&gt;BY$5,0,IF(BY248&gt;0,IF(OR($J248=1,$J248=2,$J248=3,$J248=4,$J248=5,$J248=6,$J248=7),$E248*$I248/12*3,IF($J248=8,$E248*$I248/12*2,IF($J248=9,$E248*$I248/12*1,0)))))+IF(BT$5&lt;&gt;$H248,0,IF(BT248&gt;0,IF($J248=7,$E248*$I248/12*0,IF($J248=8,$E248*$I248/12*1,IF($J248=9,$E248*$I248/12*2,IF($J248&gt;=10,$E248*$I248/12*3,0))))))</f>
        <v>0</v>
      </c>
      <c r="BX248" s="443">
        <f t="shared" ref="BX248" si="3324">IF($H248&lt;&gt;BY$5,0,IF(BY248&gt;0,IF(OR($J248=1,$J248=2,$J248=3,$J248=4,$J248=5,$J248=6,$J248=7,$J248=8,$J248=9,$J248=10),$E248*$I248/12*3,IF($J248=11,$E248*$I248/12*2,IF($J248=12,$E248*$I248/12*1,0)))))+IF(BT$5&lt;&gt;$H248,0,IF(BT248&gt;0,IF($J248=10,$E248*$I248/12*0,IF($J248=11,$E248*$I248/12*1,IF($J248=12,$E248*$I248/12*2,0)))))</f>
        <v>0</v>
      </c>
      <c r="BY248" s="440">
        <f t="shared" ref="BY248" si="3325">IF(AND(BT248&lt;&gt;0,BT$5=$H248),$I248*$E248-BT248,IF(BY$5=$H248,$I248*$E248*(12-$J248+1)/12,0))</f>
        <v>0</v>
      </c>
      <c r="BZ248" s="441">
        <f t="shared" ref="BZ248" si="3326">IF($H248&lt;&gt;CD$5,0,IF(CD248&gt;0,IF($J248=1,$E248*$I248/12*3,IF($J248=2,$E248*$I248/12*2,IF($J248=3,$E248*$I248/12*1,0)))))+IF(BY$5&lt;&gt;$H248,0,IF(BY248&gt;0,IF($J248=1,$E248*$I248/12*0,IF($J248=2,$E248*$I248/12*1,IF($J248=3,$E248*$I248/12*2,IF($J248&gt;=4,$E248*$I248/12*3,0))))))</f>
        <v>0</v>
      </c>
      <c r="CA248" s="442">
        <f t="shared" ref="CA248" si="3327">IF($H248&lt;&gt;CD$5,0,IF(CD248&gt;0,IF(OR($J248=1,$J248=2,$J248=3,$J248=4),$E248*$I248/12*3,IF($J248=5,$E248*$I248/12*2,IF($J248=6,$E248*$I248/12*1,0)))))+IF(BY$5&lt;&gt;$H248,0,IF(BY248&gt;0,IF($J248=4,$E248*$I248/12*0,IF($J248=5,$E248*$I248/12*1,IF($J248=6,$E248*$I248/12*2,IF($J248&gt;=7,$E248*$I248/12*3,0))))))</f>
        <v>0</v>
      </c>
      <c r="CB248" s="442">
        <f t="shared" ref="CB248" si="3328">IF($H248&lt;&gt;CD$5,0,IF(CD248&gt;0,IF(OR($J248=1,$J248=2,$J248=3,$J248=4,$J248=5,$J248=6,$J248=7),$E248*$I248/12*3,IF($J248=8,$E248*$I248/12*2,IF($J248=9,$E248*$I248/12*1,0)))))+IF(BY$5&lt;&gt;$H248,0,IF(BY248&gt;0,IF($J248=7,$E248*$I248/12*0,IF($J248=8,$E248*$I248/12*1,IF($J248=9,$E248*$I248/12*2,IF($J248&gt;=10,$E248*$I248/12*3,0))))))</f>
        <v>0</v>
      </c>
      <c r="CC248" s="443">
        <f t="shared" ref="CC248" si="3329">IF($H248&lt;&gt;CD$5,0,IF(CD248&gt;0,IF(OR($J248=1,$J248=2,$J248=3,$J248=4,$J248=5,$J248=6,$J248=7,$J248=8,$J248=9,$J248=10),$E248*$I248/12*3,IF($J248=11,$E248*$I248/12*2,IF($J248=12,$E248*$I248/12*1,0)))))+IF(BY$5&lt;&gt;$H248,0,IF(BY248&gt;0,IF($J248=10,$E248*$I248/12*0,IF($J248=11,$E248*$I248/12*1,IF($J248=12,$E248*$I248/12*2,0)))))</f>
        <v>0</v>
      </c>
      <c r="CD248" s="440">
        <f t="shared" ref="CD248" si="3330">IF(AND(BY248&lt;&gt;0,BY$5=$H248),$I248*$E248-BY248,IF(CD$5=$H248,$I248*$E248*(12-$J248+1)/12,0))</f>
        <v>0</v>
      </c>
      <c r="CE248" s="441">
        <f t="shared" ref="CE248" si="3331">IF($H248&lt;&gt;CI$5,0,IF(CI248&gt;0,IF($J248=1,$E248*$I248/12*3,IF($J248=2,$E248*$I248/12*2,IF($J248=3,$E248*$I248/12*1,0)))))+IF(CD$5&lt;&gt;$H248,0,IF(CD248&gt;0,IF($J248=1,$E248*$I248/12*0,IF($J248=2,$E248*$I248/12*1,IF($J248=3,$E248*$I248/12*2,IF($J248&gt;=4,$E248*$I248/12*3,0))))))</f>
        <v>0</v>
      </c>
      <c r="CF248" s="442">
        <f t="shared" ref="CF248" si="3332">IF($H248&lt;&gt;CI$5,0,IF(CI248&gt;0,IF(OR($J248=1,$J248=2,$J248=3,$J248=4),$E248*$I248/12*3,IF($J248=5,$E248*$I248/12*2,IF($J248=6,$E248*$I248/12*1,0)))))+IF(CD$5&lt;&gt;$H248,0,IF(CD248&gt;0,IF($J248=4,$E248*$I248/12*0,IF($J248=5,$E248*$I248/12*1,IF($J248=6,$E248*$I248/12*2,IF($J248&gt;=7,$E248*$I248/12*3,0))))))</f>
        <v>0</v>
      </c>
      <c r="CG248" s="442">
        <f t="shared" ref="CG248" si="3333">IF($H248&lt;&gt;CI$5,0,IF(CI248&gt;0,IF(OR($J248=1,$J248=2,$J248=3,$J248=4,$J248=5,$J248=6,$J248=7),$E248*$I248/12*3,IF($J248=8,$E248*$I248/12*2,IF($J248=9,$E248*$I248/12*1,0)))))+IF(CD$5&lt;&gt;$H248,0,IF(CD248&gt;0,IF($J248=7,$E248*$I248/12*0,IF($J248=8,$E248*$I248/12*1,IF($J248=9,$E248*$I248/12*2,IF($J248&gt;=10,$E248*$I248/12*3,0))))))</f>
        <v>0</v>
      </c>
      <c r="CH248" s="443">
        <f t="shared" ref="CH248" si="3334">IF($H248&lt;&gt;CI$5,0,IF(CI248&gt;0,IF(OR($J248=1,$J248=2,$J248=3,$J248=4,$J248=5,$J248=6,$J248=7,$J248=8,$J248=9,$J248=10),$E248*$I248/12*3,IF($J248=11,$E248*$I248/12*2,IF($J248=12,$E248*$I248/12*1,0)))))+IF(CD$5&lt;&gt;$H248,0,IF(CD248&gt;0,IF($J248=10,$E248*$I248/12*0,IF($J248=11,$E248*$I248/12*1,IF($J248=12,$E248*$I248/12*2,0)))))</f>
        <v>0</v>
      </c>
      <c r="CI248" s="440">
        <f t="shared" ref="CI248" si="3335">IF(AND(CD248&lt;&gt;0,CD$5=$H248),$I248*$E248-CD248,IF(CI$5=$H248,$I248*$E248*(12-$J248+1)/12,0))</f>
        <v>0</v>
      </c>
      <c r="CJ248" s="441">
        <f t="shared" ref="CJ248" si="3336">IF($H248&lt;&gt;CN$5,0,IF(CN248&gt;0,IF($J248=1,$E248*$I248/12*3,IF($J248=2,$E248*$I248/12*2,IF($J248=3,$E248*$I248/12*1,0)))))+IF(CI$5&lt;&gt;$H248,0,IF(CI248&gt;0,IF($J248=1,$E248*$I248/12*0,IF($J248=2,$E248*$I248/12*1,IF($J248=3,$E248*$I248/12*2,IF($J248&gt;=4,$E248*$I248/12*3,0))))))</f>
        <v>0</v>
      </c>
      <c r="CK248" s="442">
        <f t="shared" ref="CK248" si="3337">IF($H248&lt;&gt;CN$5,0,IF(CN248&gt;0,IF(OR($J248=1,$J248=2,$J248=3,$J248=4),$E248*$I248/12*3,IF($J248=5,$E248*$I248/12*2,IF($J248=6,$E248*$I248/12*1,0)))))+IF(CI$5&lt;&gt;$H248,0,IF(CI248&gt;0,IF($J248=4,$E248*$I248/12*0,IF($J248=5,$E248*$I248/12*1,IF($J248=6,$E248*$I248/12*2,IF($J248&gt;=7,$E248*$I248/12*3,0))))))</f>
        <v>0</v>
      </c>
      <c r="CL248" s="442">
        <f t="shared" ref="CL248" si="3338">IF($H248&lt;&gt;CN$5,0,IF(CN248&gt;0,IF(OR($J248=1,$J248=2,$J248=3,$J248=4,$J248=5,$J248=6,$J248=7),$E248*$I248/12*3,IF($J248=8,$E248*$I248/12*2,IF($J248=9,$E248*$I248/12*1,0)))))+IF(CI$5&lt;&gt;$H248,0,IF(CI248&gt;0,IF($J248=7,$E248*$I248/12*0,IF($J248=8,$E248*$I248/12*1,IF($J248=9,$E248*$I248/12*2,IF($J248&gt;=10,$E248*$I248/12*3,0))))))</f>
        <v>0</v>
      </c>
      <c r="CM248" s="443">
        <f t="shared" ref="CM248" si="3339">IF($H248&lt;&gt;CN$5,0,IF(CN248&gt;0,IF(OR($J248=1,$J248=2,$J248=3,$J248=4,$J248=5,$J248=6,$J248=7,$J248=8,$J248=9,$J248=10),$E248*$I248/12*3,IF($J248=11,$E248*$I248/12*2,IF($J248=12,$E248*$I248/12*1,0)))))+IF(CI$5&lt;&gt;$H248,0,IF(CI248&gt;0,IF($J248=10,$E248*$I248/12*0,IF($J248=11,$E248*$I248/12*1,IF($J248=12,$E248*$I248/12*2,0)))))</f>
        <v>0</v>
      </c>
      <c r="CN248" s="440">
        <f t="shared" ref="CN248" si="3340">IF(AND(CI248&lt;&gt;0,CI$5=$H248),$I248*$E248-CI248,IF(CN$5=$H248,$I248*$E248*(12-$J248+1)/12,0))</f>
        <v>0</v>
      </c>
      <c r="CO248" s="441">
        <f t="shared" ref="CO248" si="3341">IF($H248&lt;&gt;CS$5,0,IF(CS248&gt;0,IF($J248=1,$E248*$I248/12*3,IF($J248=2,$E248*$I248/12*2,IF($J248=3,$E248*$I248/12*1,0)))))+IF(CN$5&lt;&gt;$H248,0,IF(CN248&gt;0,IF($J248=1,$E248*$I248/12*0,IF($J248=2,$E248*$I248/12*1,IF($J248=3,$E248*$I248/12*2,IF($J248&gt;=4,$E248*$I248/12*3,0))))))</f>
        <v>0</v>
      </c>
      <c r="CP248" s="442">
        <f t="shared" ref="CP248" si="3342">IF($H248&lt;&gt;CS$5,0,IF(CS248&gt;0,IF(OR($J248=1,$J248=2,$J248=3,$J248=4),$E248*$I248/12*3,IF($J248=5,$E248*$I248/12*2,IF($J248=6,$E248*$I248/12*1,0)))))+IF(CN$5&lt;&gt;$H248,0,IF(CN248&gt;0,IF($J248=4,$E248*$I248/12*0,IF($J248=5,$E248*$I248/12*1,IF($J248=6,$E248*$I248/12*2,IF($J248&gt;=7,$E248*$I248/12*3,0))))))</f>
        <v>0</v>
      </c>
      <c r="CQ248" s="442">
        <f t="shared" ref="CQ248" si="3343">IF($H248&lt;&gt;CS$5,0,IF(CS248&gt;0,IF(OR($J248=1,$J248=2,$J248=3,$J248=4,$J248=5,$J248=6,$J248=7),$E248*$I248/12*3,IF($J248=8,$E248*$I248/12*2,IF($J248=9,$E248*$I248/12*1,0)))))+IF(CN$5&lt;&gt;$H248,0,IF(CN248&gt;0,IF($J248=7,$E248*$I248/12*0,IF($J248=8,$E248*$I248/12*1,IF($J248=9,$E248*$I248/12*2,IF($J248&gt;=10,$E248*$I248/12*3,0))))))</f>
        <v>0</v>
      </c>
      <c r="CR248" s="443">
        <f t="shared" ref="CR248" si="3344">IF($H248&lt;&gt;CS$5,0,IF(CS248&gt;0,IF(OR($J248=1,$J248=2,$J248=3,$J248=4,$J248=5,$J248=6,$J248=7,$J248=8,$J248=9,$J248=10),$E248*$I248/12*3,IF($J248=11,$E248*$I248/12*2,IF($J248=12,$E248*$I248/12*1,0)))))+IF(CN$5&lt;&gt;$H248,0,IF(CN248&gt;0,IF($J248=10,$E248*$I248/12*0,IF($J248=11,$E248*$I248/12*1,IF($J248=12,$E248*$I248/12*2,0)))))</f>
        <v>0</v>
      </c>
      <c r="CS248" s="440">
        <f t="shared" ref="CS248" si="3345">IF(AND(CN248&lt;&gt;0,CN$5=$H248),$I248*$E248-CN248,IF(CS$5=$H248,$I248*$E248*(12-$J248+1)/12,0))</f>
        <v>0</v>
      </c>
      <c r="CT248" s="441">
        <f t="shared" ref="CT248" si="3346">IF($H248&lt;&gt;CX$5,0,IF(CX248&gt;0,IF($J248=1,$E248*$I248/12*3,IF($J248=2,$E248*$I248/12*2,IF($J248=3,$E248*$I248/12*1,0)))))+IF(CS$5&lt;&gt;$H248,0,IF(CS248&gt;0,IF($J248=1,$E248*$I248/12*0,IF($J248=2,$E248*$I248/12*1,IF($J248=3,$E248*$I248/12*2,IF($J248&gt;=4,$E248*$I248/12*3,0))))))</f>
        <v>0</v>
      </c>
      <c r="CU248" s="442">
        <f t="shared" ref="CU248" si="3347">IF($H248&lt;&gt;CX$5,0,IF(CX248&gt;0,IF(OR($J248=1,$J248=2,$J248=3,$J248=4),$E248*$I248/12*3,IF($J248=5,$E248*$I248/12*2,IF($J248=6,$E248*$I248/12*1,0)))))+IF(CS$5&lt;&gt;$H248,0,IF(CS248&gt;0,IF($J248=4,$E248*$I248/12*0,IF($J248=5,$E248*$I248/12*1,IF($J248=6,$E248*$I248/12*2,IF($J248&gt;=7,$E248*$I248/12*3,0))))))</f>
        <v>0</v>
      </c>
      <c r="CV248" s="442">
        <f t="shared" ref="CV248" si="3348">IF($H248&lt;&gt;CX$5,0,IF(CX248&gt;0,IF(OR($J248=1,$J248=2,$J248=3,$J248=4,$J248=5,$J248=6,$J248=7),$E248*$I248/12*3,IF($J248=8,$E248*$I248/12*2,IF($J248=9,$E248*$I248/12*1,0)))))+IF(CS$5&lt;&gt;$H248,0,IF(CS248&gt;0,IF($J248=7,$E248*$I248/12*0,IF($J248=8,$E248*$I248/12*1,IF($J248=9,$E248*$I248/12*2,IF($J248&gt;=10,$E248*$I248/12*3,0))))))</f>
        <v>0.91500000000000004</v>
      </c>
      <c r="CW248" s="443">
        <f t="shared" ref="CW248" si="3349">IF($H248&lt;&gt;CX$5,0,IF(CX248&gt;0,IF(OR($J248=1,$J248=2,$J248=3,$J248=4,$J248=5,$J248=6,$J248=7,$J248=8,$J248=9,$J248=10),$E248*$I248/12*3,IF($J248=11,$E248*$I248/12*2,IF($J248=12,$E248*$I248/12*1,0)))))+IF(CS$5&lt;&gt;$H248,0,IF(CS248&gt;0,IF($J248=10,$E248*$I248/12*0,IF($J248=11,$E248*$I248/12*1,IF($J248=12,$E248*$I248/12*2,0)))))</f>
        <v>1.3725000000000001</v>
      </c>
      <c r="CX248" s="440">
        <f t="shared" ref="CX248" si="3350">IF(AND(CS248&lt;&gt;0,CS$5=$H248),$I248*$E248-CS248,IF(CX$5=$H248,$I248*$E248*(12-$J248+1)/12,0))</f>
        <v>2.2875000000000001</v>
      </c>
      <c r="CY248" s="441">
        <f t="shared" ref="CY248" si="3351">IF($H248&lt;&gt;DC$5,0,IF(DC248&gt;0,IF($J248=1,$E248*$I248/12*3,IF($J248=2,$E248*$I248/12*2,IF($J248=3,$E248*$I248/12*1,0)))))+IF(CX$5&lt;&gt;$H248,0,IF(CX248&gt;0,IF($J248=1,$E248*$I248/12*0,IF($J248=2,$E248*$I248/12*1,IF($J248=3,$E248*$I248/12*2,IF($J248&gt;=4,$E248*$I248/12*3,0))))))</f>
        <v>1.3725000000000001</v>
      </c>
      <c r="CZ248" s="442">
        <f t="shared" ref="CZ248" si="3352">IF($H248&lt;&gt;DC$5,0,IF(DC248&gt;0,IF(OR($J248=1,$J248=2,$J248=3,$J248=4),$E248*$I248/12*3,IF($J248=5,$E248*$I248/12*2,IF($J248=6,$E248*$I248/12*1,0)))))+IF(CX$5&lt;&gt;$H248,0,IF(CX248&gt;0,IF($J248=4,$E248*$I248/12*0,IF($J248=5,$E248*$I248/12*1,IF($J248=6,$E248*$I248/12*2,IF($J248&gt;=7,$E248*$I248/12*3,0))))))</f>
        <v>1.3725000000000001</v>
      </c>
      <c r="DA248" s="442">
        <f t="shared" ref="DA248" si="3353">IF($H248&lt;&gt;DC$5,0,IF(DC248&gt;0,IF(OR($J248=1,$J248=2,$J248=3,$J248=4,$J248=5,$J248=6,$J248=7),$E248*$I248/12*3,IF($J248=8,$E248*$I248/12*2,IF($J248=9,$E248*$I248/12*1,0)))))+IF(CX$5&lt;&gt;$H248,0,IF(CX248&gt;0,IF($J248=7,$E248*$I248/12*0,IF($J248=8,$E248*$I248/12*1,IF($J248=9,$E248*$I248/12*2,IF($J248&gt;=10,$E248*$I248/12*3,0))))))</f>
        <v>0.45750000000000002</v>
      </c>
      <c r="DB248" s="443">
        <f t="shared" ref="DB248" si="3354">IF($H248&lt;&gt;DC$5,0,IF(DC248&gt;0,IF(OR($J248=1,$J248=2,$J248=3,$J248=4,$J248=5,$J248=6,$J248=7,$J248=8,$J248=9,$J248=10),$E248*$I248/12*3,IF($J248=11,$E248*$I248/12*2,IF($J248=12,$E248*$I248/12*1,0)))))+IF(CX$5&lt;&gt;$H248,0,IF(CX248&gt;0,IF($J248=10,$E248*$I248/12*0,IF($J248=11,$E248*$I248/12*1,IF($J248=12,$E248*$I248/12*2,0)))))</f>
        <v>0</v>
      </c>
      <c r="DC248" s="440">
        <f t="shared" ref="DC248" si="3355">IF(AND(CX248&lt;&gt;0,CX$5=$H248),$I248*$E248-CX248,IF(DC$5=$H248,$I248*$E248*(12-$J248+1)/12,0))</f>
        <v>3.2025000000000001</v>
      </c>
      <c r="DD248" s="441">
        <f t="shared" ref="DD248" si="3356">IF($H248&lt;&gt;DH$5,0,IF(DH248&gt;0,IF($J248=1,$E248*$I248/12*3,IF($J248=2,$E248*$I248/12*2,IF($J248=3,$E248*$I248/12*1,0)))))+IF(DC$5&lt;&gt;$H248,0,IF(DC248&gt;0,IF($J248=1,$E248*$I248/12*0,IF($J248=2,$E248*$I248/12*1,IF($J248=3,$E248*$I248/12*2,IF($J248&gt;=4,$E248*$I248/12*3,0))))))</f>
        <v>0</v>
      </c>
      <c r="DE248" s="442">
        <f t="shared" ref="DE248" si="3357">IF($H248&lt;&gt;DH$5,0,IF(DH248&gt;0,IF(OR($J248=1,$J248=2,$J248=3,$J248=4),$E248*$I248/12*3,IF($J248=5,$E248*$I248/12*2,IF($J248=6,$E248*$I248/12*1,0)))))+IF(DC$5&lt;&gt;$H248,0,IF(DC248&gt;0,IF($J248=4,$E248*$I248/12*0,IF($J248=5,$E248*$I248/12*1,IF($J248=6,$E248*$I248/12*2,IF($J248&gt;=7,$E248*$I248/12*3,0))))))</f>
        <v>0</v>
      </c>
      <c r="DF248" s="442">
        <f t="shared" ref="DF248" si="3358">IF($H248&lt;&gt;DH$5,0,IF(DH248&gt;0,IF(OR($J248=1,$J248=2,$J248=3,$J248=4,$J248=5,$J248=6,$J248=7),$E248*$I248/12*3,IF($J248=8,$E248*$I248/12*2,IF($J248=9,$E248*$I248/12*1,0)))))+IF(DC$5&lt;&gt;$H248,0,IF(DC248&gt;0,IF($J248=7,$E248*$I248/12*0,IF($J248=8,$E248*$I248/12*1,IF($J248=9,$E248*$I248/12*2,IF($J248&gt;=10,$E248*$I248/12*3,0))))))</f>
        <v>0</v>
      </c>
      <c r="DG248" s="443">
        <f t="shared" ref="DG248" si="3359">IF($H248&lt;&gt;DH$5,0,IF(DH248&gt;0,IF(OR($J248=1,$J248=2,$J248=3,$J248=4,$J248=5,$J248=6,$J248=7,$J248=8,$J248=9,$J248=10),$E248*$I248/12*3,IF($J248=11,$E248*$I248/12*2,IF($J248=12,$E248*$I248/12*1,0)))))+IF(DC$5&lt;&gt;$H248,0,IF(DC248&gt;0,IF($J248=10,$E248*$I248/12*0,IF($J248=11,$E248*$I248/12*1,IF($J248=12,$E248*$I248/12*2,0)))))</f>
        <v>0</v>
      </c>
      <c r="DH248" s="440">
        <f t="shared" ref="DH248" si="3360">IF(AND(DC248&lt;&gt;0,DC$5=$H248),$I248*$E248-DC248,IF(DH$5=$H248,$I248*$E248*(12-$J248+1)/12,0))</f>
        <v>0</v>
      </c>
      <c r="DI248" s="441">
        <f t="shared" ref="DI248" si="3361">IF($H248&lt;&gt;DM$5,0,IF(DM248&gt;0,IF($J248=1,$E248*$I248/12*3,IF($J248=2,$E248*$I248/12*2,IF($J248=3,$E248*$I248/12*1,0)))))+IF(DH$5&lt;&gt;$H248,0,IF(DH248&gt;0,IF($J248=1,$E248*$I248/12*0,IF($J248=2,$E248*$I248/12*1,IF($J248=3,$E248*$I248/12*2,IF($J248&gt;=4,$E248*$I248/12*3,0))))))</f>
        <v>0</v>
      </c>
      <c r="DJ248" s="442">
        <f t="shared" ref="DJ248" si="3362">IF($H248&lt;&gt;DM$5,0,IF(DM248&gt;0,IF(OR($J248=1,$J248=2,$J248=3,$J248=4),$E248*$I248/12*3,IF($J248=5,$E248*$I248/12*2,IF($J248=6,$E248*$I248/12*1,0)))))+IF(DH$5&lt;&gt;$H248,0,IF(DH248&gt;0,IF($J248=4,$E248*$I248/12*0,IF($J248=5,$E248*$I248/12*1,IF($J248=6,$E248*$I248/12*2,IF($J248&gt;=7,$E248*$I248/12*3,0))))))</f>
        <v>0</v>
      </c>
      <c r="DK248" s="442">
        <f t="shared" ref="DK248" si="3363">IF($H248&lt;&gt;DM$5,0,IF(DM248&gt;0,IF(OR($J248=1,$J248=2,$J248=3,$J248=4,$J248=5,$J248=6,$J248=7),$E248*$I248/12*3,IF($J248=8,$E248*$I248/12*2,IF($J248=9,$E248*$I248/12*1,0)))))+IF(DH$5&lt;&gt;$H248,0,IF(DH248&gt;0,IF($J248=7,$E248*$I248/12*0,IF($J248=8,$E248*$I248/12*1,IF($J248=9,$E248*$I248/12*2,IF($J248&gt;=10,$E248*$I248/12*3,0))))))</f>
        <v>0</v>
      </c>
      <c r="DL248" s="443">
        <f t="shared" ref="DL248" si="3364">IF($H248&lt;&gt;DM$5,0,IF(DM248&gt;0,IF(OR($J248=1,$J248=2,$J248=3,$J248=4,$J248=5,$J248=6,$J248=7,$J248=8,$J248=9,$J248=10),$E248*$I248/12*3,IF($J248=11,$E248*$I248/12*2,IF($J248=12,$E248*$I248/12*1,0)))))+IF(DH$5&lt;&gt;$H248,0,IF(DH248&gt;0,IF($J248=10,$E248*$I248/12*0,IF($J248=11,$E248*$I248/12*1,IF($J248=12,$E248*$I248/12*2,0)))))</f>
        <v>0</v>
      </c>
      <c r="DM248" s="440">
        <f t="shared" ref="DM248" si="3365">IF(AND(DH248&lt;&gt;0,DH$5=$H248),$I248*$E248-DH248,IF(DM$5=$H248,$I248*$E248*(12-$J248+1)/12,0))</f>
        <v>0</v>
      </c>
      <c r="DN248" s="441">
        <f t="shared" ref="DN248" si="3366">IF($H248&lt;&gt;DR$5,0,IF(DR248&gt;0,IF($J248=1,$E248*$I248/12*3,IF($J248=2,$E248*$I248/12*2,IF($J248=3,$E248*$I248/12*1,0)))))+IF(DM$5&lt;&gt;$H248,0,IF(DM248&gt;0,IF($J248=1,$E248*$I248/12*0,IF($J248=2,$E248*$I248/12*1,IF($J248=3,$E248*$I248/12*2,IF($J248&gt;=4,$E248*$I248/12*3,0))))))</f>
        <v>0</v>
      </c>
      <c r="DO248" s="442">
        <f t="shared" ref="DO248" si="3367">IF($H248&lt;&gt;DR$5,0,IF(DR248&gt;0,IF(OR($J248=1,$J248=2,$J248=3,$J248=4),$E248*$I248/12*3,IF($J248=5,$E248*$I248/12*2,IF($J248=6,$E248*$I248/12*1,0)))))+IF(DM$5&lt;&gt;$H248,0,IF(DM248&gt;0,IF($J248=4,$E248*$I248/12*0,IF($J248=5,$E248*$I248/12*1,IF($J248=6,$E248*$I248/12*2,IF($J248&gt;=7,$E248*$I248/12*3,0))))))</f>
        <v>0</v>
      </c>
      <c r="DP248" s="442">
        <f t="shared" ref="DP248" si="3368">IF($H248&lt;&gt;DR$5,0,IF(DR248&gt;0,IF(OR($J248=1,$J248=2,$J248=3,$J248=4,$J248=5,$J248=6,$J248=7),$E248*$I248/12*3,IF($J248=8,$E248*$I248/12*2,IF($J248=9,$E248*$I248/12*1,0)))))+IF(DM$5&lt;&gt;$H248,0,IF(DM248&gt;0,IF($J248=7,$E248*$I248/12*0,IF($J248=8,$E248*$I248/12*1,IF($J248=9,$E248*$I248/12*2,IF($J248&gt;=10,$E248*$I248/12*3,0))))))</f>
        <v>0</v>
      </c>
      <c r="DQ248" s="443">
        <f t="shared" ref="DQ248" si="3369">IF($H248&lt;&gt;DR$5,0,IF(DR248&gt;0,IF(OR($J248=1,$J248=2,$J248=3,$J248=4,$J248=5,$J248=6,$J248=7,$J248=8,$J248=9,$J248=10),$E248*$I248/12*3,IF($J248=11,$E248*$I248/12*2,IF($J248=12,$E248*$I248/12*1,0)))))+IF(DM$5&lt;&gt;$H248,0,IF(DM248&gt;0,IF($J248=10,$E248*$I248/12*0,IF($J248=11,$E248*$I248/12*1,IF($J248=12,$E248*$I248/12*2,0)))))</f>
        <v>0</v>
      </c>
      <c r="DR248" s="440">
        <f t="shared" ref="DR248" si="3370">IF(AND(DM248&lt;&gt;0,DM$5=$H248),$I248*$E248-DM248,IF(DR$5=$H248,$I248*$E248*(12-$J248+1)/12,0))</f>
        <v>0</v>
      </c>
    </row>
    <row r="249" spans="1:122" ht="12.75" customHeight="1">
      <c r="A249" s="92"/>
      <c r="B249" s="92"/>
      <c r="C249" s="1946" t="s">
        <v>1222</v>
      </c>
      <c r="D249" s="1953"/>
      <c r="E249" s="1757">
        <v>275</v>
      </c>
      <c r="F249" s="1757"/>
      <c r="G249" s="1757"/>
      <c r="H249" s="1750">
        <v>2017</v>
      </c>
      <c r="I249" s="1956">
        <v>4.1399999999999999E-2</v>
      </c>
      <c r="J249" s="1749">
        <v>12</v>
      </c>
      <c r="K249" s="528"/>
      <c r="L249" s="441">
        <f t="shared" ref="L249" si="3371">IF(P249=0,0,IF(P249&gt;0,IF($J249=3,P249,IF($J249=2,P249,IF($J249=1,P249,0)))))</f>
        <v>0</v>
      </c>
      <c r="M249" s="442">
        <f t="shared" ref="M249" si="3372">IF(P249=0,0,IF(P249&gt;0,IF($J249=6,P249,IF($J249=5,P249,IF($J249=4,P249,0)))))</f>
        <v>0</v>
      </c>
      <c r="N249" s="442">
        <f t="shared" ref="N249" si="3373">IF(P249=0,0,IF(P249&gt;0,IF($J249=9,P249,IF($J249=8,P249,IF($J249=7,P249,0)))))</f>
        <v>0</v>
      </c>
      <c r="O249" s="443">
        <f t="shared" ref="O249" si="3374">IF(P249=0,0,IF(P249&gt;0,IF($J249=12,P249,IF($J249=11,P249,IF($J249=10,P249,0)))))</f>
        <v>0</v>
      </c>
      <c r="P249" s="440">
        <f t="shared" si="3166"/>
        <v>0</v>
      </c>
      <c r="Q249" s="441">
        <f t="shared" ref="Q249" si="3375">IF(U249=0,0,IF(U249&gt;0,IF($J249=3,U249,IF($J249=2,U249,IF($J249=1,U249,0)))))</f>
        <v>0</v>
      </c>
      <c r="R249" s="442">
        <f t="shared" ref="R249" si="3376">IF(U249=0,0,IF(U249&gt;0,IF($J249=6,U249,IF($J249=5,U249,IF($J249=4,U249,0)))))</f>
        <v>0</v>
      </c>
      <c r="S249" s="442">
        <f t="shared" ref="S249" si="3377">IF(U249=0,0,IF(U249&gt;0,IF($J249=9,U249,IF($J249=8,U249,IF($J249=7,U249,0)))))</f>
        <v>0</v>
      </c>
      <c r="T249" s="443">
        <f t="shared" ref="T249" si="3378">IF(U249=0,0,IF(U249&gt;0,IF($J249=12,U249,IF($J249=11,U249,IF($J249=10,U249,0)))))</f>
        <v>0</v>
      </c>
      <c r="U249" s="440">
        <f t="shared" si="3171"/>
        <v>0</v>
      </c>
      <c r="V249" s="441">
        <f t="shared" ref="V249" si="3379">IF(Z249=0,0,IF(Z249&gt;0,IF($J249=3,Z249,IF($J249=2,Z249,IF($J249=1,Z249,0)))))</f>
        <v>0</v>
      </c>
      <c r="W249" s="442">
        <f t="shared" ref="W249" si="3380">IF(Z249=0,0,IF(Z249&gt;0,IF($J249=6,Z249,IF($J249=5,Z249,IF($J249=4,Z249,0)))))</f>
        <v>0</v>
      </c>
      <c r="X249" s="442">
        <f t="shared" ref="X249" si="3381">IF(Z249=0,0,IF(Z249&gt;0,IF($J249=9,Z249,IF($J249=8,Z249,IF($J249=7,Z249,0)))))</f>
        <v>0</v>
      </c>
      <c r="Y249" s="443">
        <f t="shared" ref="Y249" si="3382">IF(Z249=0,0,IF(Z249&gt;0,IF($J249=12,Z249,IF($J249=11,Z249,IF($J249=10,Z249,0)))))</f>
        <v>0</v>
      </c>
      <c r="Z249" s="440">
        <f t="shared" si="3176"/>
        <v>0</v>
      </c>
      <c r="AA249" s="441">
        <f t="shared" ref="AA249" si="3383">IF(AE249=0,0,IF(AE249&gt;0,IF($J249=3,AE249,IF($J249=2,AE249,IF($J249=1,AE249,0)))))</f>
        <v>0</v>
      </c>
      <c r="AB249" s="442">
        <f t="shared" ref="AB249" si="3384">IF(AE249=0,0,IF(AE249&gt;0,IF($J249=6,AE249,IF($J249=5,AE249,IF($J249=4,AE249,0)))))</f>
        <v>0</v>
      </c>
      <c r="AC249" s="442">
        <f t="shared" ref="AC249" si="3385">IF(AE249=0,0,IF(AE249&gt;0,IF($J249=9,AE249,IF($J249=8,AE249,IF($J249=7,AE249,0)))))</f>
        <v>0</v>
      </c>
      <c r="AD249" s="443">
        <f t="shared" ref="AD249" si="3386">IF(AE249=0,0,IF(AE249&gt;0,IF($J249=12,AE249,IF($J249=11,AE249,IF($J249=10,AE249,0)))))</f>
        <v>0</v>
      </c>
      <c r="AE249" s="440">
        <f t="shared" si="3181"/>
        <v>0</v>
      </c>
      <c r="AF249" s="441">
        <f t="shared" ref="AF249" si="3387">IF(AJ249=0,0,IF(AJ249&gt;0,IF($J249=3,AJ249,IF($J249=2,AJ249,IF($J249=1,AJ249,0)))))</f>
        <v>0</v>
      </c>
      <c r="AG249" s="442">
        <f t="shared" ref="AG249" si="3388">IF(AJ249=0,0,IF(AJ249&gt;0,IF($J249=6,AJ249,IF($J249=5,AJ249,IF($J249=4,AJ249,0)))))</f>
        <v>0</v>
      </c>
      <c r="AH249" s="442">
        <f t="shared" ref="AH249" si="3389">IF(AJ249=0,0,IF(AJ249&gt;0,IF($J249=9,AJ249,IF($J249=8,AJ249,IF($J249=7,AJ249,0)))))</f>
        <v>0</v>
      </c>
      <c r="AI249" s="443">
        <f t="shared" ref="AI249" si="3390">IF(AJ249=0,0,IF(AJ249&gt;0,IF($J249=12,AJ249,IF($J249=11,AJ249,IF($J249=10,AJ249,0)))))</f>
        <v>0</v>
      </c>
      <c r="AJ249" s="440">
        <f t="shared" si="3186"/>
        <v>0</v>
      </c>
      <c r="AK249" s="441">
        <f t="shared" ref="AK249" si="3391">IF(AO249=0,0,IF(AO249&gt;0,IF($J249=3,AO249,IF($J249=2,AO249,IF($J249=1,AO249,0)))))</f>
        <v>0</v>
      </c>
      <c r="AL249" s="442">
        <f t="shared" ref="AL249" si="3392">IF(AO249=0,0,IF(AO249&gt;0,IF($J249=6,AO249,IF($J249=5,AO249,IF($J249=4,AO249,0)))))</f>
        <v>0</v>
      </c>
      <c r="AM249" s="442">
        <f t="shared" ref="AM249" si="3393">IF(AO249=0,0,IF(AO249&gt;0,IF($J249=9,AO249,IF($J249=8,AO249,IF($J249=7,AO249,0)))))</f>
        <v>0</v>
      </c>
      <c r="AN249" s="443">
        <f t="shared" ref="AN249" si="3394">IF(AO249=0,0,IF(AO249&gt;0,IF($J249=12,AO249,IF($J249=11,AO249,IF($J249=10,AO249,0)))))</f>
        <v>0</v>
      </c>
      <c r="AO249" s="440">
        <f t="shared" si="3191"/>
        <v>0</v>
      </c>
      <c r="AP249" s="441">
        <f t="shared" ref="AP249" si="3395">IF(AT249=0,0,IF(AT249&gt;0,IF($J249=3,AT249,IF($J249=2,AT249,IF($J249=1,AT249,0)))))</f>
        <v>0</v>
      </c>
      <c r="AQ249" s="442">
        <f t="shared" ref="AQ249" si="3396">IF(AT249=0,0,IF(AT249&gt;0,IF($J249=6,AT249,IF($J249=5,AT249,IF($J249=4,AT249,0)))))</f>
        <v>0</v>
      </c>
      <c r="AR249" s="442">
        <f t="shared" ref="AR249" si="3397">IF(AT249=0,0,IF(AT249&gt;0,IF($J249=9,AT249,IF($J249=8,AT249,IF($J249=7,AT249,0)))))</f>
        <v>0</v>
      </c>
      <c r="AS249" s="443">
        <f t="shared" ref="AS249" si="3398">IF(AT249=0,0,IF(AT249&gt;0,IF($J249=12,AT249,IF($J249=11,AT249,IF($J249=10,AT249,0)))))</f>
        <v>275</v>
      </c>
      <c r="AT249" s="440">
        <f t="shared" si="3196"/>
        <v>275</v>
      </c>
      <c r="AU249" s="441">
        <f t="shared" ref="AU249" si="3399">IF(AY249=0,0,IF(AY249&gt;0,IF($J249=3,AY249,IF($J249=2,AY249,IF($J249=1,AY249,0)))))</f>
        <v>0</v>
      </c>
      <c r="AV249" s="442">
        <f t="shared" ref="AV249" si="3400">IF(AY249=0,0,IF(AY249&gt;0,IF($J249=6,AY249,IF($J249=5,AY249,IF($J249=4,AY249,0)))))</f>
        <v>0</v>
      </c>
      <c r="AW249" s="442">
        <f t="shared" ref="AW249" si="3401">IF(AY249=0,0,IF(AY249&gt;0,IF($J249=9,AY249,IF($J249=8,AY249,IF($J249=7,AY249,0)))))</f>
        <v>0</v>
      </c>
      <c r="AX249" s="443">
        <f t="shared" ref="AX249" si="3402">IF(AY249=0,0,IF(AY249&gt;0,IF($J249=12,AY249,IF($J249=11,AY249,IF($J249=10,AY249,0)))))</f>
        <v>0</v>
      </c>
      <c r="AY249" s="440">
        <f t="shared" si="3201"/>
        <v>0</v>
      </c>
      <c r="AZ249" s="441">
        <f t="shared" ref="AZ249" si="3403">IF(BD249=0,0,IF(BD249&gt;0,IF($J249=3,BD249,IF($J249=2,BD249,IF($J249=1,BD249,0)))))</f>
        <v>0</v>
      </c>
      <c r="BA249" s="442">
        <f t="shared" ref="BA249" si="3404">IF(BD249=0,0,IF(BD249&gt;0,IF($J249=6,BD249,IF($J249=5,BD249,IF($J249=4,BD249,0)))))</f>
        <v>0</v>
      </c>
      <c r="BB249" s="442">
        <f t="shared" ref="BB249" si="3405">IF(BD249=0,0,IF(BD249&gt;0,IF($J249=9,BD249,IF($J249=8,BD249,IF($J249=7,BD249,0)))))</f>
        <v>0</v>
      </c>
      <c r="BC249" s="443">
        <f t="shared" ref="BC249" si="3406">IF(BD249=0,0,IF(BD249&gt;0,IF($J249=12,BD249,IF($J249=11,BD249,IF($J249=10,BD249,0)))))</f>
        <v>0</v>
      </c>
      <c r="BD249" s="440">
        <f t="shared" si="3206"/>
        <v>0</v>
      </c>
      <c r="BE249" s="441">
        <f t="shared" ref="BE249" si="3407">IF(BI249=0,0,IF(BI249&gt;0,IF($J249=3,BI249,IF($J249=2,BI249,IF($J249=1,BI249,0)))))</f>
        <v>0</v>
      </c>
      <c r="BF249" s="442">
        <f t="shared" ref="BF249" si="3408">IF(BI249=0,0,IF(BI249&gt;0,IF($J249=6,BI249,IF($J249=5,BI249,IF($J249=4,BI249,0)))))</f>
        <v>0</v>
      </c>
      <c r="BG249" s="442">
        <f t="shared" ref="BG249" si="3409">IF(BI249=0,0,IF(BI249&gt;0,IF($J249=9,BI249,IF($J249=8,BI249,IF($J249=7,BI249,0)))))</f>
        <v>0</v>
      </c>
      <c r="BH249" s="443">
        <f t="shared" ref="BH249" si="3410">IF(BI249=0,0,IF(BI249&gt;0,IF($J249=12,BI249,IF($J249=11,BI249,IF($J249=10,BI249,0)))))</f>
        <v>0</v>
      </c>
      <c r="BI249" s="440">
        <f t="shared" si="3211"/>
        <v>0</v>
      </c>
      <c r="BJ249" s="441">
        <f t="shared" ref="BJ249" si="3411">IF(BN249=0,0,IF(BN249&gt;0,IF($J249=3,BN249,IF($J249=2,BN249,IF($J249=1,BN249,0)))))</f>
        <v>0</v>
      </c>
      <c r="BK249" s="442">
        <f t="shared" ref="BK249" si="3412">IF(BN249=0,0,IF(BN249&gt;0,IF($J249=6,BN249,IF($J249=5,BN249,IF($J249=4,BN249,0)))))</f>
        <v>0</v>
      </c>
      <c r="BL249" s="442">
        <f t="shared" ref="BL249" si="3413">IF(BN249=0,0,IF(BN249&gt;0,IF($J249=9,BN249,IF($J249=8,BN249,IF($J249=7,BN249,0)))))</f>
        <v>0</v>
      </c>
      <c r="BM249" s="443">
        <f t="shared" ref="BM249" si="3414">IF(BN249=0,0,IF(BN249&gt;0,IF($J249=12,BN249,IF($J249=11,BN249,IF($J249=10,BN249,0)))))</f>
        <v>0</v>
      </c>
      <c r="BN249" s="440">
        <f t="shared" si="3216"/>
        <v>0</v>
      </c>
      <c r="BO249" s="463"/>
      <c r="BP249" s="441">
        <f t="shared" ref="BP249" si="3415">IF($H249&lt;&gt;BT$5,0,IF(BT249&gt;0,IF($J249=1,$E249*$I249/12*3,IF($J249=2,$E249*$I249/12*2,IF($J249=3,$E249*$I249/12*1,0)))))+IF(BO$5&lt;&gt;$H249,0,IF(BO249&gt;0,IF($J249=1,$E249*$I249/12*0,IF($J249=2,$E249*$I249/12*1,IF($J249=3,$E249*$I249/12*2,IF($J249&gt;=4,$E249*$I249/12*3,0))))))</f>
        <v>0</v>
      </c>
      <c r="BQ249" s="442">
        <f t="shared" ref="BQ249" si="3416">IF($H249&lt;&gt;BT$5,0,IF(BT249&gt;0,IF(OR($J249=1,$J249=2,$J249=3,$J249=4),$E249*$I249/12*3,IF($J249=5,$E249*$I249/12*2,IF($J249=6,$E249*$I249/12*1,0)))))+IF(BO$5&lt;&gt;$H249,0,IF(BO249&gt;0,IF($J249=4,$E249*$I249/12*0,IF($J249=5,$E249*$I249/12*1,IF($J249=6,$E249*$I249/12*2,IF($J249&gt;=7,$E249*$I249/12*3,0))))))</f>
        <v>0</v>
      </c>
      <c r="BR249" s="442">
        <f t="shared" ref="BR249" si="3417">IF($H249&lt;&gt;BT$5,0,IF(BT249&gt;0,IF(OR($J249=1,$J249=2,$J249=3,$J249=4,$J249=5,$J249=6,$J249=7),$E249*$I249/12*3,IF($J249=8,$E249*$I249/12*2,IF($J249=9,$E249*$I249/12*1,0)))))+IF(BO$5&lt;&gt;$H249,0,IF(BO249&gt;0,IF($J249=7,$E249*$I249/12*0,IF($J249=8,$E249*$I249/12*1,IF($J249=9,$E249*$I249/12*2,IF($J249&gt;=10,$E249*$I249/12*3,0))))))</f>
        <v>0</v>
      </c>
      <c r="BS249" s="443">
        <f t="shared" ref="BS249" si="3418">IF($H249&lt;&gt;BT$5,0,IF(BT249&gt;0,IF(OR($J249=1,$J249=2,$J249=3,$J249=4,$J249=5,$J249=6,$J249=7,$J249=8,$J249=9,$J249=10),$E249*$I249/12*3,IF($J249=11,$E249*$I249/12*2,IF($J249=12,$E249*$I249/12*1,0)))))+IF(BO$5&lt;&gt;$H249,0,IF(BO249&gt;0,IF($J249=10,$E249*$I249/12*0,IF($J249=11,$E249*$I249/12*1,IF($J249=12,$E249*$I249/12*2,0)))))</f>
        <v>0</v>
      </c>
      <c r="BT249" s="440">
        <f t="shared" ref="BT249" si="3419">IF(AND(BO249&lt;&gt;0,BO$5=$H249),$I249*$E249-BO249,IF(BT$5=$H249,$I249*$E249*(12-$J249+1)/12,0))</f>
        <v>0</v>
      </c>
      <c r="BU249" s="441">
        <f t="shared" ref="BU249" si="3420">IF($H249&lt;&gt;BY$5,0,IF(BY249&gt;0,IF($J249=1,$E249*$I249/12*3,IF($J249=2,$E249*$I249/12*2,IF($J249=3,$E249*$I249/12*1,0)))))+IF(BT$5&lt;&gt;$H249,0,IF(BT249&gt;0,IF($J249=1,$E249*$I249/12*0,IF($J249=2,$E249*$I249/12*1,IF($J249=3,$E249*$I249/12*2,IF($J249&gt;=4,$E249*$I249/12*3,0))))))</f>
        <v>0</v>
      </c>
      <c r="BV249" s="442">
        <f t="shared" ref="BV249" si="3421">IF($H249&lt;&gt;BY$5,0,IF(BY249&gt;0,IF(OR($J249=1,$J249=2,$J249=3,$J249=4),$E249*$I249/12*3,IF($J249=5,$E249*$I249/12*2,IF($J249=6,$E249*$I249/12*1,0)))))+IF(BT$5&lt;&gt;$H249,0,IF(BT249&gt;0,IF($J249=4,$E249*$I249/12*0,IF($J249=5,$E249*$I249/12*1,IF($J249=6,$E249*$I249/12*2,IF($J249&gt;=7,$E249*$I249/12*3,0))))))</f>
        <v>0</v>
      </c>
      <c r="BW249" s="442">
        <f t="shared" ref="BW249" si="3422">IF($H249&lt;&gt;BY$5,0,IF(BY249&gt;0,IF(OR($J249=1,$J249=2,$J249=3,$J249=4,$J249=5,$J249=6,$J249=7),$E249*$I249/12*3,IF($J249=8,$E249*$I249/12*2,IF($J249=9,$E249*$I249/12*1,0)))))+IF(BT$5&lt;&gt;$H249,0,IF(BT249&gt;0,IF($J249=7,$E249*$I249/12*0,IF($J249=8,$E249*$I249/12*1,IF($J249=9,$E249*$I249/12*2,IF($J249&gt;=10,$E249*$I249/12*3,0))))))</f>
        <v>0</v>
      </c>
      <c r="BX249" s="443">
        <f t="shared" ref="BX249" si="3423">IF($H249&lt;&gt;BY$5,0,IF(BY249&gt;0,IF(OR($J249=1,$J249=2,$J249=3,$J249=4,$J249=5,$J249=6,$J249=7,$J249=8,$J249=9,$J249=10),$E249*$I249/12*3,IF($J249=11,$E249*$I249/12*2,IF($J249=12,$E249*$I249/12*1,0)))))+IF(BT$5&lt;&gt;$H249,0,IF(BT249&gt;0,IF($J249=10,$E249*$I249/12*0,IF($J249=11,$E249*$I249/12*1,IF($J249=12,$E249*$I249/12*2,0)))))</f>
        <v>0</v>
      </c>
      <c r="BY249" s="440">
        <f t="shared" ref="BY249" si="3424">IF(AND(BT249&lt;&gt;0,BT$5=$H249),$I249*$E249-BT249,IF(BY$5=$H249,$I249*$E249*(12-$J249+1)/12,0))</f>
        <v>0</v>
      </c>
      <c r="BZ249" s="441">
        <f t="shared" ref="BZ249" si="3425">IF($H249&lt;&gt;CD$5,0,IF(CD249&gt;0,IF($J249=1,$E249*$I249/12*3,IF($J249=2,$E249*$I249/12*2,IF($J249=3,$E249*$I249/12*1,0)))))+IF(BY$5&lt;&gt;$H249,0,IF(BY249&gt;0,IF($J249=1,$E249*$I249/12*0,IF($J249=2,$E249*$I249/12*1,IF($J249=3,$E249*$I249/12*2,IF($J249&gt;=4,$E249*$I249/12*3,0))))))</f>
        <v>0</v>
      </c>
      <c r="CA249" s="442">
        <f t="shared" ref="CA249" si="3426">IF($H249&lt;&gt;CD$5,0,IF(CD249&gt;0,IF(OR($J249=1,$J249=2,$J249=3,$J249=4),$E249*$I249/12*3,IF($J249=5,$E249*$I249/12*2,IF($J249=6,$E249*$I249/12*1,0)))))+IF(BY$5&lt;&gt;$H249,0,IF(BY249&gt;0,IF($J249=4,$E249*$I249/12*0,IF($J249=5,$E249*$I249/12*1,IF($J249=6,$E249*$I249/12*2,IF($J249&gt;=7,$E249*$I249/12*3,0))))))</f>
        <v>0</v>
      </c>
      <c r="CB249" s="442">
        <f t="shared" ref="CB249" si="3427">IF($H249&lt;&gt;CD$5,0,IF(CD249&gt;0,IF(OR($J249=1,$J249=2,$J249=3,$J249=4,$J249=5,$J249=6,$J249=7),$E249*$I249/12*3,IF($J249=8,$E249*$I249/12*2,IF($J249=9,$E249*$I249/12*1,0)))))+IF(BY$5&lt;&gt;$H249,0,IF(BY249&gt;0,IF($J249=7,$E249*$I249/12*0,IF($J249=8,$E249*$I249/12*1,IF($J249=9,$E249*$I249/12*2,IF($J249&gt;=10,$E249*$I249/12*3,0))))))</f>
        <v>0</v>
      </c>
      <c r="CC249" s="443">
        <f t="shared" ref="CC249" si="3428">IF($H249&lt;&gt;CD$5,0,IF(CD249&gt;0,IF(OR($J249=1,$J249=2,$J249=3,$J249=4,$J249=5,$J249=6,$J249=7,$J249=8,$J249=9,$J249=10),$E249*$I249/12*3,IF($J249=11,$E249*$I249/12*2,IF($J249=12,$E249*$I249/12*1,0)))))+IF(BY$5&lt;&gt;$H249,0,IF(BY249&gt;0,IF($J249=10,$E249*$I249/12*0,IF($J249=11,$E249*$I249/12*1,IF($J249=12,$E249*$I249/12*2,0)))))</f>
        <v>0</v>
      </c>
      <c r="CD249" s="440">
        <f t="shared" ref="CD249" si="3429">IF(AND(BY249&lt;&gt;0,BY$5=$H249),$I249*$E249-BY249,IF(CD$5=$H249,$I249*$E249*(12-$J249+1)/12,0))</f>
        <v>0</v>
      </c>
      <c r="CE249" s="441">
        <f t="shared" ref="CE249" si="3430">IF($H249&lt;&gt;CI$5,0,IF(CI249&gt;0,IF($J249=1,$E249*$I249/12*3,IF($J249=2,$E249*$I249/12*2,IF($J249=3,$E249*$I249/12*1,0)))))+IF(CD$5&lt;&gt;$H249,0,IF(CD249&gt;0,IF($J249=1,$E249*$I249/12*0,IF($J249=2,$E249*$I249/12*1,IF($J249=3,$E249*$I249/12*2,IF($J249&gt;=4,$E249*$I249/12*3,0))))))</f>
        <v>0</v>
      </c>
      <c r="CF249" s="442">
        <f t="shared" ref="CF249" si="3431">IF($H249&lt;&gt;CI$5,0,IF(CI249&gt;0,IF(OR($J249=1,$J249=2,$J249=3,$J249=4),$E249*$I249/12*3,IF($J249=5,$E249*$I249/12*2,IF($J249=6,$E249*$I249/12*1,0)))))+IF(CD$5&lt;&gt;$H249,0,IF(CD249&gt;0,IF($J249=4,$E249*$I249/12*0,IF($J249=5,$E249*$I249/12*1,IF($J249=6,$E249*$I249/12*2,IF($J249&gt;=7,$E249*$I249/12*3,0))))))</f>
        <v>0</v>
      </c>
      <c r="CG249" s="442">
        <f t="shared" ref="CG249" si="3432">IF($H249&lt;&gt;CI$5,0,IF(CI249&gt;0,IF(OR($J249=1,$J249=2,$J249=3,$J249=4,$J249=5,$J249=6,$J249=7),$E249*$I249/12*3,IF($J249=8,$E249*$I249/12*2,IF($J249=9,$E249*$I249/12*1,0)))))+IF(CD$5&lt;&gt;$H249,0,IF(CD249&gt;0,IF($J249=7,$E249*$I249/12*0,IF($J249=8,$E249*$I249/12*1,IF($J249=9,$E249*$I249/12*2,IF($J249&gt;=10,$E249*$I249/12*3,0))))))</f>
        <v>0</v>
      </c>
      <c r="CH249" s="443">
        <f t="shared" ref="CH249" si="3433">IF($H249&lt;&gt;CI$5,0,IF(CI249&gt;0,IF(OR($J249=1,$J249=2,$J249=3,$J249=4,$J249=5,$J249=6,$J249=7,$J249=8,$J249=9,$J249=10),$E249*$I249/12*3,IF($J249=11,$E249*$I249/12*2,IF($J249=12,$E249*$I249/12*1,0)))))+IF(CD$5&lt;&gt;$H249,0,IF(CD249&gt;0,IF($J249=10,$E249*$I249/12*0,IF($J249=11,$E249*$I249/12*1,IF($J249=12,$E249*$I249/12*2,0)))))</f>
        <v>0</v>
      </c>
      <c r="CI249" s="440">
        <f t="shared" ref="CI249" si="3434">IF(AND(CD249&lt;&gt;0,CD$5=$H249),$I249*$E249-CD249,IF(CI$5=$H249,$I249*$E249*(12-$J249+1)/12,0))</f>
        <v>0</v>
      </c>
      <c r="CJ249" s="441">
        <f t="shared" ref="CJ249" si="3435">IF($H249&lt;&gt;CN$5,0,IF(CN249&gt;0,IF($J249=1,$E249*$I249/12*3,IF($J249=2,$E249*$I249/12*2,IF($J249=3,$E249*$I249/12*1,0)))))+IF(CI$5&lt;&gt;$H249,0,IF(CI249&gt;0,IF($J249=1,$E249*$I249/12*0,IF($J249=2,$E249*$I249/12*1,IF($J249=3,$E249*$I249/12*2,IF($J249&gt;=4,$E249*$I249/12*3,0))))))</f>
        <v>0</v>
      </c>
      <c r="CK249" s="442">
        <f t="shared" ref="CK249" si="3436">IF($H249&lt;&gt;CN$5,0,IF(CN249&gt;0,IF(OR($J249=1,$J249=2,$J249=3,$J249=4),$E249*$I249/12*3,IF($J249=5,$E249*$I249/12*2,IF($J249=6,$E249*$I249/12*1,0)))))+IF(CI$5&lt;&gt;$H249,0,IF(CI249&gt;0,IF($J249=4,$E249*$I249/12*0,IF($J249=5,$E249*$I249/12*1,IF($J249=6,$E249*$I249/12*2,IF($J249&gt;=7,$E249*$I249/12*3,0))))))</f>
        <v>0</v>
      </c>
      <c r="CL249" s="442">
        <f t="shared" ref="CL249" si="3437">IF($H249&lt;&gt;CN$5,0,IF(CN249&gt;0,IF(OR($J249=1,$J249=2,$J249=3,$J249=4,$J249=5,$J249=6,$J249=7),$E249*$I249/12*3,IF($J249=8,$E249*$I249/12*2,IF($J249=9,$E249*$I249/12*1,0)))))+IF(CI$5&lt;&gt;$H249,0,IF(CI249&gt;0,IF($J249=7,$E249*$I249/12*0,IF($J249=8,$E249*$I249/12*1,IF($J249=9,$E249*$I249/12*2,IF($J249&gt;=10,$E249*$I249/12*3,0))))))</f>
        <v>0</v>
      </c>
      <c r="CM249" s="443">
        <f t="shared" ref="CM249" si="3438">IF($H249&lt;&gt;CN$5,0,IF(CN249&gt;0,IF(OR($J249=1,$J249=2,$J249=3,$J249=4,$J249=5,$J249=6,$J249=7,$J249=8,$J249=9,$J249=10),$E249*$I249/12*3,IF($J249=11,$E249*$I249/12*2,IF($J249=12,$E249*$I249/12*1,0)))))+IF(CI$5&lt;&gt;$H249,0,IF(CI249&gt;0,IF($J249=10,$E249*$I249/12*0,IF($J249=11,$E249*$I249/12*1,IF($J249=12,$E249*$I249/12*2,0)))))</f>
        <v>0</v>
      </c>
      <c r="CN249" s="440">
        <f t="shared" ref="CN249" si="3439">IF(AND(CI249&lt;&gt;0,CI$5=$H249),$I249*$E249-CI249,IF(CN$5=$H249,$I249*$E249*(12-$J249+1)/12,0))</f>
        <v>0</v>
      </c>
      <c r="CO249" s="441">
        <f t="shared" ref="CO249" si="3440">IF($H249&lt;&gt;CS$5,0,IF(CS249&gt;0,IF($J249=1,$E249*$I249/12*3,IF($J249=2,$E249*$I249/12*2,IF($J249=3,$E249*$I249/12*1,0)))))+IF(CN$5&lt;&gt;$H249,0,IF(CN249&gt;0,IF($J249=1,$E249*$I249/12*0,IF($J249=2,$E249*$I249/12*1,IF($J249=3,$E249*$I249/12*2,IF($J249&gt;=4,$E249*$I249/12*3,0))))))</f>
        <v>0</v>
      </c>
      <c r="CP249" s="442">
        <f t="shared" ref="CP249" si="3441">IF($H249&lt;&gt;CS$5,0,IF(CS249&gt;0,IF(OR($J249=1,$J249=2,$J249=3,$J249=4),$E249*$I249/12*3,IF($J249=5,$E249*$I249/12*2,IF($J249=6,$E249*$I249/12*1,0)))))+IF(CN$5&lt;&gt;$H249,0,IF(CN249&gt;0,IF($J249=4,$E249*$I249/12*0,IF($J249=5,$E249*$I249/12*1,IF($J249=6,$E249*$I249/12*2,IF($J249&gt;=7,$E249*$I249/12*3,0))))))</f>
        <v>0</v>
      </c>
      <c r="CQ249" s="442">
        <f t="shared" ref="CQ249" si="3442">IF($H249&lt;&gt;CS$5,0,IF(CS249&gt;0,IF(OR($J249=1,$J249=2,$J249=3,$J249=4,$J249=5,$J249=6,$J249=7),$E249*$I249/12*3,IF($J249=8,$E249*$I249/12*2,IF($J249=9,$E249*$I249/12*1,0)))))+IF(CN$5&lt;&gt;$H249,0,IF(CN249&gt;0,IF($J249=7,$E249*$I249/12*0,IF($J249=8,$E249*$I249/12*1,IF($J249=9,$E249*$I249/12*2,IF($J249&gt;=10,$E249*$I249/12*3,0))))))</f>
        <v>0</v>
      </c>
      <c r="CR249" s="443">
        <f t="shared" ref="CR249" si="3443">IF($H249&lt;&gt;CS$5,0,IF(CS249&gt;0,IF(OR($J249=1,$J249=2,$J249=3,$J249=4,$J249=5,$J249=6,$J249=7,$J249=8,$J249=9,$J249=10),$E249*$I249/12*3,IF($J249=11,$E249*$I249/12*2,IF($J249=12,$E249*$I249/12*1,0)))))+IF(CN$5&lt;&gt;$H249,0,IF(CN249&gt;0,IF($J249=10,$E249*$I249/12*0,IF($J249=11,$E249*$I249/12*1,IF($J249=12,$E249*$I249/12*2,0)))))</f>
        <v>0</v>
      </c>
      <c r="CS249" s="440">
        <f t="shared" ref="CS249" si="3444">IF(AND(CN249&lt;&gt;0,CN$5=$H249),$I249*$E249-CN249,IF(CS$5=$H249,$I249*$E249*(12-$J249+1)/12,0))</f>
        <v>0</v>
      </c>
      <c r="CT249" s="441">
        <f t="shared" ref="CT249" si="3445">IF($H249&lt;&gt;CX$5,0,IF(CX249&gt;0,IF($J249=1,$E249*$I249/12*3,IF($J249=2,$E249*$I249/12*2,IF($J249=3,$E249*$I249/12*1,0)))))+IF(CS$5&lt;&gt;$H249,0,IF(CS249&gt;0,IF($J249=1,$E249*$I249/12*0,IF($J249=2,$E249*$I249/12*1,IF($J249=3,$E249*$I249/12*2,IF($J249&gt;=4,$E249*$I249/12*3,0))))))</f>
        <v>0</v>
      </c>
      <c r="CU249" s="442">
        <f t="shared" ref="CU249" si="3446">IF($H249&lt;&gt;CX$5,0,IF(CX249&gt;0,IF(OR($J249=1,$J249=2,$J249=3,$J249=4),$E249*$I249/12*3,IF($J249=5,$E249*$I249/12*2,IF($J249=6,$E249*$I249/12*1,0)))))+IF(CS$5&lt;&gt;$H249,0,IF(CS249&gt;0,IF($J249=4,$E249*$I249/12*0,IF($J249=5,$E249*$I249/12*1,IF($J249=6,$E249*$I249/12*2,IF($J249&gt;=7,$E249*$I249/12*3,0))))))</f>
        <v>0</v>
      </c>
      <c r="CV249" s="442">
        <f t="shared" ref="CV249" si="3447">IF($H249&lt;&gt;CX$5,0,IF(CX249&gt;0,IF(OR($J249=1,$J249=2,$J249=3,$J249=4,$J249=5,$J249=6,$J249=7),$E249*$I249/12*3,IF($J249=8,$E249*$I249/12*2,IF($J249=9,$E249*$I249/12*1,0)))))+IF(CS$5&lt;&gt;$H249,0,IF(CS249&gt;0,IF($J249=7,$E249*$I249/12*0,IF($J249=8,$E249*$I249/12*1,IF($J249=9,$E249*$I249/12*2,IF($J249&gt;=10,$E249*$I249/12*3,0))))))</f>
        <v>0</v>
      </c>
      <c r="CW249" s="443">
        <f t="shared" ref="CW249" si="3448">IF($H249&lt;&gt;CX$5,0,IF(CX249&gt;0,IF(OR($J249=1,$J249=2,$J249=3,$J249=4,$J249=5,$J249=6,$J249=7,$J249=8,$J249=9,$J249=10),$E249*$I249/12*3,IF($J249=11,$E249*$I249/12*2,IF($J249=12,$E249*$I249/12*1,0)))))+IF(CS$5&lt;&gt;$H249,0,IF(CS249&gt;0,IF($J249=10,$E249*$I249/12*0,IF($J249=11,$E249*$I249/12*1,IF($J249=12,$E249*$I249/12*2,0)))))</f>
        <v>0.94874999999999998</v>
      </c>
      <c r="CX249" s="440">
        <f t="shared" ref="CX249" si="3449">IF(AND(CS249&lt;&gt;0,CS$5=$H249),$I249*$E249-CS249,IF(CX$5=$H249,$I249*$E249*(12-$J249+1)/12,0))</f>
        <v>0.94874999999999998</v>
      </c>
      <c r="CY249" s="441">
        <f t="shared" ref="CY249" si="3450">IF($H249&lt;&gt;DC$5,0,IF(DC249&gt;0,IF($J249=1,$E249*$I249/12*3,IF($J249=2,$E249*$I249/12*2,IF($J249=3,$E249*$I249/12*1,0)))))+IF(CX$5&lt;&gt;$H249,0,IF(CX249&gt;0,IF($J249=1,$E249*$I249/12*0,IF($J249=2,$E249*$I249/12*1,IF($J249=3,$E249*$I249/12*2,IF($J249&gt;=4,$E249*$I249/12*3,0))))))</f>
        <v>2.8462499999999999</v>
      </c>
      <c r="CZ249" s="442">
        <f t="shared" ref="CZ249" si="3451">IF($H249&lt;&gt;DC$5,0,IF(DC249&gt;0,IF(OR($J249=1,$J249=2,$J249=3,$J249=4),$E249*$I249/12*3,IF($J249=5,$E249*$I249/12*2,IF($J249=6,$E249*$I249/12*1,0)))))+IF(CX$5&lt;&gt;$H249,0,IF(CX249&gt;0,IF($J249=4,$E249*$I249/12*0,IF($J249=5,$E249*$I249/12*1,IF($J249=6,$E249*$I249/12*2,IF($J249&gt;=7,$E249*$I249/12*3,0))))))</f>
        <v>2.8462499999999999</v>
      </c>
      <c r="DA249" s="442">
        <f t="shared" ref="DA249" si="3452">IF($H249&lt;&gt;DC$5,0,IF(DC249&gt;0,IF(OR($J249=1,$J249=2,$J249=3,$J249=4,$J249=5,$J249=6,$J249=7),$E249*$I249/12*3,IF($J249=8,$E249*$I249/12*2,IF($J249=9,$E249*$I249/12*1,0)))))+IF(CX$5&lt;&gt;$H249,0,IF(CX249&gt;0,IF($J249=7,$E249*$I249/12*0,IF($J249=8,$E249*$I249/12*1,IF($J249=9,$E249*$I249/12*2,IF($J249&gt;=10,$E249*$I249/12*3,0))))))</f>
        <v>2.8462499999999999</v>
      </c>
      <c r="DB249" s="443">
        <f t="shared" ref="DB249" si="3453">IF($H249&lt;&gt;DC$5,0,IF(DC249&gt;0,IF(OR($J249=1,$J249=2,$J249=3,$J249=4,$J249=5,$J249=6,$J249=7,$J249=8,$J249=9,$J249=10),$E249*$I249/12*3,IF($J249=11,$E249*$I249/12*2,IF($J249=12,$E249*$I249/12*1,0)))))+IF(CX$5&lt;&gt;$H249,0,IF(CX249&gt;0,IF($J249=10,$E249*$I249/12*0,IF($J249=11,$E249*$I249/12*1,IF($J249=12,$E249*$I249/12*2,0)))))</f>
        <v>1.8975</v>
      </c>
      <c r="DC249" s="440">
        <f t="shared" ref="DC249" si="3454">IF(AND(CX249&lt;&gt;0,CX$5=$H249),$I249*$E249-CX249,IF(DC$5=$H249,$I249*$E249*(12-$J249+1)/12,0))</f>
        <v>10.436249999999999</v>
      </c>
      <c r="DD249" s="441">
        <f t="shared" ref="DD249" si="3455">IF($H249&lt;&gt;DH$5,0,IF(DH249&gt;0,IF($J249=1,$E249*$I249/12*3,IF($J249=2,$E249*$I249/12*2,IF($J249=3,$E249*$I249/12*1,0)))))+IF(DC$5&lt;&gt;$H249,0,IF(DC249&gt;0,IF($J249=1,$E249*$I249/12*0,IF($J249=2,$E249*$I249/12*1,IF($J249=3,$E249*$I249/12*2,IF($J249&gt;=4,$E249*$I249/12*3,0))))))</f>
        <v>0</v>
      </c>
      <c r="DE249" s="442">
        <f t="shared" ref="DE249" si="3456">IF($H249&lt;&gt;DH$5,0,IF(DH249&gt;0,IF(OR($J249=1,$J249=2,$J249=3,$J249=4),$E249*$I249/12*3,IF($J249=5,$E249*$I249/12*2,IF($J249=6,$E249*$I249/12*1,0)))))+IF(DC$5&lt;&gt;$H249,0,IF(DC249&gt;0,IF($J249=4,$E249*$I249/12*0,IF($J249=5,$E249*$I249/12*1,IF($J249=6,$E249*$I249/12*2,IF($J249&gt;=7,$E249*$I249/12*3,0))))))</f>
        <v>0</v>
      </c>
      <c r="DF249" s="442">
        <f t="shared" ref="DF249" si="3457">IF($H249&lt;&gt;DH$5,0,IF(DH249&gt;0,IF(OR($J249=1,$J249=2,$J249=3,$J249=4,$J249=5,$J249=6,$J249=7),$E249*$I249/12*3,IF($J249=8,$E249*$I249/12*2,IF($J249=9,$E249*$I249/12*1,0)))))+IF(DC$5&lt;&gt;$H249,0,IF(DC249&gt;0,IF($J249=7,$E249*$I249/12*0,IF($J249=8,$E249*$I249/12*1,IF($J249=9,$E249*$I249/12*2,IF($J249&gt;=10,$E249*$I249/12*3,0))))))</f>
        <v>0</v>
      </c>
      <c r="DG249" s="443">
        <f t="shared" ref="DG249" si="3458">IF($H249&lt;&gt;DH$5,0,IF(DH249&gt;0,IF(OR($J249=1,$J249=2,$J249=3,$J249=4,$J249=5,$J249=6,$J249=7,$J249=8,$J249=9,$J249=10),$E249*$I249/12*3,IF($J249=11,$E249*$I249/12*2,IF($J249=12,$E249*$I249/12*1,0)))))+IF(DC$5&lt;&gt;$H249,0,IF(DC249&gt;0,IF($J249=10,$E249*$I249/12*0,IF($J249=11,$E249*$I249/12*1,IF($J249=12,$E249*$I249/12*2,0)))))</f>
        <v>0</v>
      </c>
      <c r="DH249" s="440">
        <f t="shared" ref="DH249" si="3459">IF(AND(DC249&lt;&gt;0,DC$5=$H249),$I249*$E249-DC249,IF(DH$5=$H249,$I249*$E249*(12-$J249+1)/12,0))</f>
        <v>0</v>
      </c>
      <c r="DI249" s="441">
        <f t="shared" ref="DI249" si="3460">IF($H249&lt;&gt;DM$5,0,IF(DM249&gt;0,IF($J249=1,$E249*$I249/12*3,IF($J249=2,$E249*$I249/12*2,IF($J249=3,$E249*$I249/12*1,0)))))+IF(DH$5&lt;&gt;$H249,0,IF(DH249&gt;0,IF($J249=1,$E249*$I249/12*0,IF($J249=2,$E249*$I249/12*1,IF($J249=3,$E249*$I249/12*2,IF($J249&gt;=4,$E249*$I249/12*3,0))))))</f>
        <v>0</v>
      </c>
      <c r="DJ249" s="442">
        <f t="shared" ref="DJ249" si="3461">IF($H249&lt;&gt;DM$5,0,IF(DM249&gt;0,IF(OR($J249=1,$J249=2,$J249=3,$J249=4),$E249*$I249/12*3,IF($J249=5,$E249*$I249/12*2,IF($J249=6,$E249*$I249/12*1,0)))))+IF(DH$5&lt;&gt;$H249,0,IF(DH249&gt;0,IF($J249=4,$E249*$I249/12*0,IF($J249=5,$E249*$I249/12*1,IF($J249=6,$E249*$I249/12*2,IF($J249&gt;=7,$E249*$I249/12*3,0))))))</f>
        <v>0</v>
      </c>
      <c r="DK249" s="442">
        <f t="shared" ref="DK249" si="3462">IF($H249&lt;&gt;DM$5,0,IF(DM249&gt;0,IF(OR($J249=1,$J249=2,$J249=3,$J249=4,$J249=5,$J249=6,$J249=7),$E249*$I249/12*3,IF($J249=8,$E249*$I249/12*2,IF($J249=9,$E249*$I249/12*1,0)))))+IF(DH$5&lt;&gt;$H249,0,IF(DH249&gt;0,IF($J249=7,$E249*$I249/12*0,IF($J249=8,$E249*$I249/12*1,IF($J249=9,$E249*$I249/12*2,IF($J249&gt;=10,$E249*$I249/12*3,0))))))</f>
        <v>0</v>
      </c>
      <c r="DL249" s="443">
        <f t="shared" ref="DL249" si="3463">IF($H249&lt;&gt;DM$5,0,IF(DM249&gt;0,IF(OR($J249=1,$J249=2,$J249=3,$J249=4,$J249=5,$J249=6,$J249=7,$J249=8,$J249=9,$J249=10),$E249*$I249/12*3,IF($J249=11,$E249*$I249/12*2,IF($J249=12,$E249*$I249/12*1,0)))))+IF(DH$5&lt;&gt;$H249,0,IF(DH249&gt;0,IF($J249=10,$E249*$I249/12*0,IF($J249=11,$E249*$I249/12*1,IF($J249=12,$E249*$I249/12*2,0)))))</f>
        <v>0</v>
      </c>
      <c r="DM249" s="440">
        <f t="shared" ref="DM249" si="3464">IF(AND(DH249&lt;&gt;0,DH$5=$H249),$I249*$E249-DH249,IF(DM$5=$H249,$I249*$E249*(12-$J249+1)/12,0))</f>
        <v>0</v>
      </c>
      <c r="DN249" s="441">
        <f t="shared" ref="DN249" si="3465">IF($H249&lt;&gt;DR$5,0,IF(DR249&gt;0,IF($J249=1,$E249*$I249/12*3,IF($J249=2,$E249*$I249/12*2,IF($J249=3,$E249*$I249/12*1,0)))))+IF(DM$5&lt;&gt;$H249,0,IF(DM249&gt;0,IF($J249=1,$E249*$I249/12*0,IF($J249=2,$E249*$I249/12*1,IF($J249=3,$E249*$I249/12*2,IF($J249&gt;=4,$E249*$I249/12*3,0))))))</f>
        <v>0</v>
      </c>
      <c r="DO249" s="442">
        <f t="shared" ref="DO249" si="3466">IF($H249&lt;&gt;DR$5,0,IF(DR249&gt;0,IF(OR($J249=1,$J249=2,$J249=3,$J249=4),$E249*$I249/12*3,IF($J249=5,$E249*$I249/12*2,IF($J249=6,$E249*$I249/12*1,0)))))+IF(DM$5&lt;&gt;$H249,0,IF(DM249&gt;0,IF($J249=4,$E249*$I249/12*0,IF($J249=5,$E249*$I249/12*1,IF($J249=6,$E249*$I249/12*2,IF($J249&gt;=7,$E249*$I249/12*3,0))))))</f>
        <v>0</v>
      </c>
      <c r="DP249" s="442">
        <f t="shared" ref="DP249" si="3467">IF($H249&lt;&gt;DR$5,0,IF(DR249&gt;0,IF(OR($J249=1,$J249=2,$J249=3,$J249=4,$J249=5,$J249=6,$J249=7),$E249*$I249/12*3,IF($J249=8,$E249*$I249/12*2,IF($J249=9,$E249*$I249/12*1,0)))))+IF(DM$5&lt;&gt;$H249,0,IF(DM249&gt;0,IF($J249=7,$E249*$I249/12*0,IF($J249=8,$E249*$I249/12*1,IF($J249=9,$E249*$I249/12*2,IF($J249&gt;=10,$E249*$I249/12*3,0))))))</f>
        <v>0</v>
      </c>
      <c r="DQ249" s="443">
        <f t="shared" ref="DQ249" si="3468">IF($H249&lt;&gt;DR$5,0,IF(DR249&gt;0,IF(OR($J249=1,$J249=2,$J249=3,$J249=4,$J249=5,$J249=6,$J249=7,$J249=8,$J249=9,$J249=10),$E249*$I249/12*3,IF($J249=11,$E249*$I249/12*2,IF($J249=12,$E249*$I249/12*1,0)))))+IF(DM$5&lt;&gt;$H249,0,IF(DM249&gt;0,IF($J249=10,$E249*$I249/12*0,IF($J249=11,$E249*$I249/12*1,IF($J249=12,$E249*$I249/12*2,0)))))</f>
        <v>0</v>
      </c>
      <c r="DR249" s="440">
        <f t="shared" ref="DR249" si="3469">IF(AND(DM249&lt;&gt;0,DM$5=$H249),$I249*$E249-DM249,IF(DR$5=$H249,$I249*$E249*(12-$J249+1)/12,0))</f>
        <v>0</v>
      </c>
    </row>
    <row r="250" spans="1:122" ht="12.75" customHeight="1">
      <c r="A250" s="92"/>
      <c r="B250" s="92"/>
      <c r="C250" s="1946" t="s">
        <v>1208</v>
      </c>
      <c r="D250" s="1953"/>
      <c r="E250" s="1757">
        <v>100</v>
      </c>
      <c r="F250" s="1757"/>
      <c r="G250" s="1757"/>
      <c r="H250" s="1750">
        <v>2017</v>
      </c>
      <c r="I250" s="1956">
        <v>4.0899999999999999E-2</v>
      </c>
      <c r="J250" s="1749">
        <v>9</v>
      </c>
      <c r="K250" s="528"/>
      <c r="L250" s="441">
        <f t="shared" ref="L250" si="3470">IF(P250=0,0,IF(P250&gt;0,IF($J250=3,P250,IF($J250=2,P250,IF($J250=1,P250,0)))))</f>
        <v>0</v>
      </c>
      <c r="M250" s="442">
        <f t="shared" ref="M250" si="3471">IF(P250=0,0,IF(P250&gt;0,IF($J250=6,P250,IF($J250=5,P250,IF($J250=4,P250,0)))))</f>
        <v>0</v>
      </c>
      <c r="N250" s="442">
        <f t="shared" ref="N250" si="3472">IF(P250=0,0,IF(P250&gt;0,IF($J250=9,P250,IF($J250=8,P250,IF($J250=7,P250,0)))))</f>
        <v>0</v>
      </c>
      <c r="O250" s="443">
        <f t="shared" ref="O250" si="3473">IF(P250=0,0,IF(P250&gt;0,IF($J250=12,P250,IF($J250=11,P250,IF($J250=10,P250,0)))))</f>
        <v>0</v>
      </c>
      <c r="P250" s="440">
        <f t="shared" si="3166"/>
        <v>0</v>
      </c>
      <c r="Q250" s="441">
        <f t="shared" ref="Q250" si="3474">IF(U250=0,0,IF(U250&gt;0,IF($J250=3,U250,IF($J250=2,U250,IF($J250=1,U250,0)))))</f>
        <v>0</v>
      </c>
      <c r="R250" s="442">
        <f t="shared" ref="R250" si="3475">IF(U250=0,0,IF(U250&gt;0,IF($J250=6,U250,IF($J250=5,U250,IF($J250=4,U250,0)))))</f>
        <v>0</v>
      </c>
      <c r="S250" s="442">
        <f t="shared" ref="S250" si="3476">IF(U250=0,0,IF(U250&gt;0,IF($J250=9,U250,IF($J250=8,U250,IF($J250=7,U250,0)))))</f>
        <v>0</v>
      </c>
      <c r="T250" s="443">
        <f t="shared" ref="T250" si="3477">IF(U250=0,0,IF(U250&gt;0,IF($J250=12,U250,IF($J250=11,U250,IF($J250=10,U250,0)))))</f>
        <v>0</v>
      </c>
      <c r="U250" s="440">
        <f t="shared" si="3171"/>
        <v>0</v>
      </c>
      <c r="V250" s="441">
        <f t="shared" ref="V250" si="3478">IF(Z250=0,0,IF(Z250&gt;0,IF($J250=3,Z250,IF($J250=2,Z250,IF($J250=1,Z250,0)))))</f>
        <v>0</v>
      </c>
      <c r="W250" s="442">
        <f t="shared" ref="W250" si="3479">IF(Z250=0,0,IF(Z250&gt;0,IF($J250=6,Z250,IF($J250=5,Z250,IF($J250=4,Z250,0)))))</f>
        <v>0</v>
      </c>
      <c r="X250" s="442">
        <f t="shared" ref="X250" si="3480">IF(Z250=0,0,IF(Z250&gt;0,IF($J250=9,Z250,IF($J250=8,Z250,IF($J250=7,Z250,0)))))</f>
        <v>0</v>
      </c>
      <c r="Y250" s="443">
        <f t="shared" ref="Y250" si="3481">IF(Z250=0,0,IF(Z250&gt;0,IF($J250=12,Z250,IF($J250=11,Z250,IF($J250=10,Z250,0)))))</f>
        <v>0</v>
      </c>
      <c r="Z250" s="440">
        <f t="shared" si="3176"/>
        <v>0</v>
      </c>
      <c r="AA250" s="441">
        <f t="shared" ref="AA250" si="3482">IF(AE250=0,0,IF(AE250&gt;0,IF($J250=3,AE250,IF($J250=2,AE250,IF($J250=1,AE250,0)))))</f>
        <v>0</v>
      </c>
      <c r="AB250" s="442">
        <f t="shared" ref="AB250" si="3483">IF(AE250=0,0,IF(AE250&gt;0,IF($J250=6,AE250,IF($J250=5,AE250,IF($J250=4,AE250,0)))))</f>
        <v>0</v>
      </c>
      <c r="AC250" s="442">
        <f t="shared" ref="AC250" si="3484">IF(AE250=0,0,IF(AE250&gt;0,IF($J250=9,AE250,IF($J250=8,AE250,IF($J250=7,AE250,0)))))</f>
        <v>0</v>
      </c>
      <c r="AD250" s="443">
        <f t="shared" ref="AD250" si="3485">IF(AE250=0,0,IF(AE250&gt;0,IF($J250=12,AE250,IF($J250=11,AE250,IF($J250=10,AE250,0)))))</f>
        <v>0</v>
      </c>
      <c r="AE250" s="440">
        <f t="shared" si="3181"/>
        <v>0</v>
      </c>
      <c r="AF250" s="441">
        <f t="shared" ref="AF250" si="3486">IF(AJ250=0,0,IF(AJ250&gt;0,IF($J250=3,AJ250,IF($J250=2,AJ250,IF($J250=1,AJ250,0)))))</f>
        <v>0</v>
      </c>
      <c r="AG250" s="442">
        <f t="shared" ref="AG250" si="3487">IF(AJ250=0,0,IF(AJ250&gt;0,IF($J250=6,AJ250,IF($J250=5,AJ250,IF($J250=4,AJ250,0)))))</f>
        <v>0</v>
      </c>
      <c r="AH250" s="442">
        <f t="shared" ref="AH250" si="3488">IF(AJ250=0,0,IF(AJ250&gt;0,IF($J250=9,AJ250,IF($J250=8,AJ250,IF($J250=7,AJ250,0)))))</f>
        <v>0</v>
      </c>
      <c r="AI250" s="443">
        <f t="shared" ref="AI250" si="3489">IF(AJ250=0,0,IF(AJ250&gt;0,IF($J250=12,AJ250,IF($J250=11,AJ250,IF($J250=10,AJ250,0)))))</f>
        <v>0</v>
      </c>
      <c r="AJ250" s="440">
        <f t="shared" si="3186"/>
        <v>0</v>
      </c>
      <c r="AK250" s="441">
        <f t="shared" ref="AK250" si="3490">IF(AO250=0,0,IF(AO250&gt;0,IF($J250=3,AO250,IF($J250=2,AO250,IF($J250=1,AO250,0)))))</f>
        <v>0</v>
      </c>
      <c r="AL250" s="442">
        <f t="shared" ref="AL250" si="3491">IF(AO250=0,0,IF(AO250&gt;0,IF($J250=6,AO250,IF($J250=5,AO250,IF($J250=4,AO250,0)))))</f>
        <v>0</v>
      </c>
      <c r="AM250" s="442">
        <f t="shared" ref="AM250" si="3492">IF(AO250=0,0,IF(AO250&gt;0,IF($J250=9,AO250,IF($J250=8,AO250,IF($J250=7,AO250,0)))))</f>
        <v>0</v>
      </c>
      <c r="AN250" s="443">
        <f t="shared" ref="AN250" si="3493">IF(AO250=0,0,IF(AO250&gt;0,IF($J250=12,AO250,IF($J250=11,AO250,IF($J250=10,AO250,0)))))</f>
        <v>0</v>
      </c>
      <c r="AO250" s="440">
        <f t="shared" si="3191"/>
        <v>0</v>
      </c>
      <c r="AP250" s="441">
        <f t="shared" ref="AP250" si="3494">IF(AT250=0,0,IF(AT250&gt;0,IF($J250=3,AT250,IF($J250=2,AT250,IF($J250=1,AT250,0)))))</f>
        <v>0</v>
      </c>
      <c r="AQ250" s="442">
        <f t="shared" ref="AQ250" si="3495">IF(AT250=0,0,IF(AT250&gt;0,IF($J250=6,AT250,IF($J250=5,AT250,IF($J250=4,AT250,0)))))</f>
        <v>0</v>
      </c>
      <c r="AR250" s="442">
        <f t="shared" ref="AR250" si="3496">IF(AT250=0,0,IF(AT250&gt;0,IF($J250=9,AT250,IF($J250=8,AT250,IF($J250=7,AT250,0)))))</f>
        <v>100</v>
      </c>
      <c r="AS250" s="443">
        <f t="shared" ref="AS250" si="3497">IF(AT250=0,0,IF(AT250&gt;0,IF($J250=12,AT250,IF($J250=11,AT250,IF($J250=10,AT250,0)))))</f>
        <v>0</v>
      </c>
      <c r="AT250" s="440">
        <f t="shared" si="3196"/>
        <v>100</v>
      </c>
      <c r="AU250" s="441">
        <f t="shared" ref="AU250" si="3498">IF(AY250=0,0,IF(AY250&gt;0,IF($J250=3,AY250,IF($J250=2,AY250,IF($J250=1,AY250,0)))))</f>
        <v>0</v>
      </c>
      <c r="AV250" s="442">
        <f t="shared" ref="AV250" si="3499">IF(AY250=0,0,IF(AY250&gt;0,IF($J250=6,AY250,IF($J250=5,AY250,IF($J250=4,AY250,0)))))</f>
        <v>0</v>
      </c>
      <c r="AW250" s="442">
        <f t="shared" ref="AW250" si="3500">IF(AY250=0,0,IF(AY250&gt;0,IF($J250=9,AY250,IF($J250=8,AY250,IF($J250=7,AY250,0)))))</f>
        <v>0</v>
      </c>
      <c r="AX250" s="443">
        <f t="shared" ref="AX250" si="3501">IF(AY250=0,0,IF(AY250&gt;0,IF($J250=12,AY250,IF($J250=11,AY250,IF($J250=10,AY250,0)))))</f>
        <v>0</v>
      </c>
      <c r="AY250" s="440">
        <f t="shared" si="3201"/>
        <v>0</v>
      </c>
      <c r="AZ250" s="441">
        <f t="shared" ref="AZ250" si="3502">IF(BD250=0,0,IF(BD250&gt;0,IF($J250=3,BD250,IF($J250=2,BD250,IF($J250=1,BD250,0)))))</f>
        <v>0</v>
      </c>
      <c r="BA250" s="442">
        <f t="shared" ref="BA250" si="3503">IF(BD250=0,0,IF(BD250&gt;0,IF($J250=6,BD250,IF($J250=5,BD250,IF($J250=4,BD250,0)))))</f>
        <v>0</v>
      </c>
      <c r="BB250" s="442">
        <f t="shared" ref="BB250" si="3504">IF(BD250=0,0,IF(BD250&gt;0,IF($J250=9,BD250,IF($J250=8,BD250,IF($J250=7,BD250,0)))))</f>
        <v>0</v>
      </c>
      <c r="BC250" s="443">
        <f t="shared" ref="BC250" si="3505">IF(BD250=0,0,IF(BD250&gt;0,IF($J250=12,BD250,IF($J250=11,BD250,IF($J250=10,BD250,0)))))</f>
        <v>0</v>
      </c>
      <c r="BD250" s="440">
        <f t="shared" si="3206"/>
        <v>0</v>
      </c>
      <c r="BE250" s="441">
        <f t="shared" ref="BE250" si="3506">IF(BI250=0,0,IF(BI250&gt;0,IF($J250=3,BI250,IF($J250=2,BI250,IF($J250=1,BI250,0)))))</f>
        <v>0</v>
      </c>
      <c r="BF250" s="442">
        <f t="shared" ref="BF250" si="3507">IF(BI250=0,0,IF(BI250&gt;0,IF($J250=6,BI250,IF($J250=5,BI250,IF($J250=4,BI250,0)))))</f>
        <v>0</v>
      </c>
      <c r="BG250" s="442">
        <f t="shared" ref="BG250" si="3508">IF(BI250=0,0,IF(BI250&gt;0,IF($J250=9,BI250,IF($J250=8,BI250,IF($J250=7,BI250,0)))))</f>
        <v>0</v>
      </c>
      <c r="BH250" s="443">
        <f t="shared" ref="BH250" si="3509">IF(BI250=0,0,IF(BI250&gt;0,IF($J250=12,BI250,IF($J250=11,BI250,IF($J250=10,BI250,0)))))</f>
        <v>0</v>
      </c>
      <c r="BI250" s="440">
        <f t="shared" si="3211"/>
        <v>0</v>
      </c>
      <c r="BJ250" s="441">
        <f t="shared" ref="BJ250" si="3510">IF(BN250=0,0,IF(BN250&gt;0,IF($J250=3,BN250,IF($J250=2,BN250,IF($J250=1,BN250,0)))))</f>
        <v>0</v>
      </c>
      <c r="BK250" s="442">
        <f t="shared" ref="BK250" si="3511">IF(BN250=0,0,IF(BN250&gt;0,IF($J250=6,BN250,IF($J250=5,BN250,IF($J250=4,BN250,0)))))</f>
        <v>0</v>
      </c>
      <c r="BL250" s="442">
        <f t="shared" ref="BL250" si="3512">IF(BN250=0,0,IF(BN250&gt;0,IF($J250=9,BN250,IF($J250=8,BN250,IF($J250=7,BN250,0)))))</f>
        <v>0</v>
      </c>
      <c r="BM250" s="443">
        <f t="shared" ref="BM250" si="3513">IF(BN250=0,0,IF(BN250&gt;0,IF($J250=12,BN250,IF($J250=11,BN250,IF($J250=10,BN250,0)))))</f>
        <v>0</v>
      </c>
      <c r="BN250" s="440">
        <f t="shared" si="3216"/>
        <v>0</v>
      </c>
      <c r="BO250" s="463"/>
      <c r="BP250" s="441">
        <f t="shared" ref="BP250" si="3514">IF($H250&lt;&gt;BT$5,0,IF(BT250&gt;0,IF($J250=1,$E250*$I250/12*3,IF($J250=2,$E250*$I250/12*2,IF($J250=3,$E250*$I250/12*1,0)))))+IF(BO$5&lt;&gt;$H250,0,IF(BO250&gt;0,IF($J250=1,$E250*$I250/12*0,IF($J250=2,$E250*$I250/12*1,IF($J250=3,$E250*$I250/12*2,IF($J250&gt;=4,$E250*$I250/12*3,0))))))</f>
        <v>0</v>
      </c>
      <c r="BQ250" s="442">
        <f t="shared" ref="BQ250" si="3515">IF($H250&lt;&gt;BT$5,0,IF(BT250&gt;0,IF(OR($J250=1,$J250=2,$J250=3,$J250=4),$E250*$I250/12*3,IF($J250=5,$E250*$I250/12*2,IF($J250=6,$E250*$I250/12*1,0)))))+IF(BO$5&lt;&gt;$H250,0,IF(BO250&gt;0,IF($J250=4,$E250*$I250/12*0,IF($J250=5,$E250*$I250/12*1,IF($J250=6,$E250*$I250/12*2,IF($J250&gt;=7,$E250*$I250/12*3,0))))))</f>
        <v>0</v>
      </c>
      <c r="BR250" s="442">
        <f t="shared" ref="BR250" si="3516">IF($H250&lt;&gt;BT$5,0,IF(BT250&gt;0,IF(OR($J250=1,$J250=2,$J250=3,$J250=4,$J250=5,$J250=6,$J250=7),$E250*$I250/12*3,IF($J250=8,$E250*$I250/12*2,IF($J250=9,$E250*$I250/12*1,0)))))+IF(BO$5&lt;&gt;$H250,0,IF(BO250&gt;0,IF($J250=7,$E250*$I250/12*0,IF($J250=8,$E250*$I250/12*1,IF($J250=9,$E250*$I250/12*2,IF($J250&gt;=10,$E250*$I250/12*3,0))))))</f>
        <v>0</v>
      </c>
      <c r="BS250" s="443">
        <f t="shared" ref="BS250" si="3517">IF($H250&lt;&gt;BT$5,0,IF(BT250&gt;0,IF(OR($J250=1,$J250=2,$J250=3,$J250=4,$J250=5,$J250=6,$J250=7,$J250=8,$J250=9,$J250=10),$E250*$I250/12*3,IF($J250=11,$E250*$I250/12*2,IF($J250=12,$E250*$I250/12*1,0)))))+IF(BO$5&lt;&gt;$H250,0,IF(BO250&gt;0,IF($J250=10,$E250*$I250/12*0,IF($J250=11,$E250*$I250/12*1,IF($J250=12,$E250*$I250/12*2,0)))))</f>
        <v>0</v>
      </c>
      <c r="BT250" s="440">
        <f t="shared" ref="BT250" si="3518">IF(AND(BO250&lt;&gt;0,BO$5=$H250),$I250*$E250-BO250,IF(BT$5=$H250,$I250*$E250*(12-$J250+1)/12,0))</f>
        <v>0</v>
      </c>
      <c r="BU250" s="441">
        <f t="shared" ref="BU250" si="3519">IF($H250&lt;&gt;BY$5,0,IF(BY250&gt;0,IF($J250=1,$E250*$I250/12*3,IF($J250=2,$E250*$I250/12*2,IF($J250=3,$E250*$I250/12*1,0)))))+IF(BT$5&lt;&gt;$H250,0,IF(BT250&gt;0,IF($J250=1,$E250*$I250/12*0,IF($J250=2,$E250*$I250/12*1,IF($J250=3,$E250*$I250/12*2,IF($J250&gt;=4,$E250*$I250/12*3,0))))))</f>
        <v>0</v>
      </c>
      <c r="BV250" s="442">
        <f t="shared" ref="BV250" si="3520">IF($H250&lt;&gt;BY$5,0,IF(BY250&gt;0,IF(OR($J250=1,$J250=2,$J250=3,$J250=4),$E250*$I250/12*3,IF($J250=5,$E250*$I250/12*2,IF($J250=6,$E250*$I250/12*1,0)))))+IF(BT$5&lt;&gt;$H250,0,IF(BT250&gt;0,IF($J250=4,$E250*$I250/12*0,IF($J250=5,$E250*$I250/12*1,IF($J250=6,$E250*$I250/12*2,IF($J250&gt;=7,$E250*$I250/12*3,0))))))</f>
        <v>0</v>
      </c>
      <c r="BW250" s="442">
        <f t="shared" ref="BW250" si="3521">IF($H250&lt;&gt;BY$5,0,IF(BY250&gt;0,IF(OR($J250=1,$J250=2,$J250=3,$J250=4,$J250=5,$J250=6,$J250=7),$E250*$I250/12*3,IF($J250=8,$E250*$I250/12*2,IF($J250=9,$E250*$I250/12*1,0)))))+IF(BT$5&lt;&gt;$H250,0,IF(BT250&gt;0,IF($J250=7,$E250*$I250/12*0,IF($J250=8,$E250*$I250/12*1,IF($J250=9,$E250*$I250/12*2,IF($J250&gt;=10,$E250*$I250/12*3,0))))))</f>
        <v>0</v>
      </c>
      <c r="BX250" s="443">
        <f t="shared" ref="BX250" si="3522">IF($H250&lt;&gt;BY$5,0,IF(BY250&gt;0,IF(OR($J250=1,$J250=2,$J250=3,$J250=4,$J250=5,$J250=6,$J250=7,$J250=8,$J250=9,$J250=10),$E250*$I250/12*3,IF($J250=11,$E250*$I250/12*2,IF($J250=12,$E250*$I250/12*1,0)))))+IF(BT$5&lt;&gt;$H250,0,IF(BT250&gt;0,IF($J250=10,$E250*$I250/12*0,IF($J250=11,$E250*$I250/12*1,IF($J250=12,$E250*$I250/12*2,0)))))</f>
        <v>0</v>
      </c>
      <c r="BY250" s="440">
        <f t="shared" ref="BY250" si="3523">IF(AND(BT250&lt;&gt;0,BT$5=$H250),$I250*$E250-BT250,IF(BY$5=$H250,$I250*$E250*(12-$J250+1)/12,0))</f>
        <v>0</v>
      </c>
      <c r="BZ250" s="441">
        <f t="shared" ref="BZ250" si="3524">IF($H250&lt;&gt;CD$5,0,IF(CD250&gt;0,IF($J250=1,$E250*$I250/12*3,IF($J250=2,$E250*$I250/12*2,IF($J250=3,$E250*$I250/12*1,0)))))+IF(BY$5&lt;&gt;$H250,0,IF(BY250&gt;0,IF($J250=1,$E250*$I250/12*0,IF($J250=2,$E250*$I250/12*1,IF($J250=3,$E250*$I250/12*2,IF($J250&gt;=4,$E250*$I250/12*3,0))))))</f>
        <v>0</v>
      </c>
      <c r="CA250" s="442">
        <f t="shared" ref="CA250" si="3525">IF($H250&lt;&gt;CD$5,0,IF(CD250&gt;0,IF(OR($J250=1,$J250=2,$J250=3,$J250=4),$E250*$I250/12*3,IF($J250=5,$E250*$I250/12*2,IF($J250=6,$E250*$I250/12*1,0)))))+IF(BY$5&lt;&gt;$H250,0,IF(BY250&gt;0,IF($J250=4,$E250*$I250/12*0,IF($J250=5,$E250*$I250/12*1,IF($J250=6,$E250*$I250/12*2,IF($J250&gt;=7,$E250*$I250/12*3,0))))))</f>
        <v>0</v>
      </c>
      <c r="CB250" s="442">
        <f t="shared" ref="CB250" si="3526">IF($H250&lt;&gt;CD$5,0,IF(CD250&gt;0,IF(OR($J250=1,$J250=2,$J250=3,$J250=4,$J250=5,$J250=6,$J250=7),$E250*$I250/12*3,IF($J250=8,$E250*$I250/12*2,IF($J250=9,$E250*$I250/12*1,0)))))+IF(BY$5&lt;&gt;$H250,0,IF(BY250&gt;0,IF($J250=7,$E250*$I250/12*0,IF($J250=8,$E250*$I250/12*1,IF($J250=9,$E250*$I250/12*2,IF($J250&gt;=10,$E250*$I250/12*3,0))))))</f>
        <v>0</v>
      </c>
      <c r="CC250" s="443">
        <f t="shared" ref="CC250" si="3527">IF($H250&lt;&gt;CD$5,0,IF(CD250&gt;0,IF(OR($J250=1,$J250=2,$J250=3,$J250=4,$J250=5,$J250=6,$J250=7,$J250=8,$J250=9,$J250=10),$E250*$I250/12*3,IF($J250=11,$E250*$I250/12*2,IF($J250=12,$E250*$I250/12*1,0)))))+IF(BY$5&lt;&gt;$H250,0,IF(BY250&gt;0,IF($J250=10,$E250*$I250/12*0,IF($J250=11,$E250*$I250/12*1,IF($J250=12,$E250*$I250/12*2,0)))))</f>
        <v>0</v>
      </c>
      <c r="CD250" s="440">
        <f t="shared" ref="CD250" si="3528">IF(AND(BY250&lt;&gt;0,BY$5=$H250),$I250*$E250-BY250,IF(CD$5=$H250,$I250*$E250*(12-$J250+1)/12,0))</f>
        <v>0</v>
      </c>
      <c r="CE250" s="441">
        <f t="shared" ref="CE250" si="3529">IF($H250&lt;&gt;CI$5,0,IF(CI250&gt;0,IF($J250=1,$E250*$I250/12*3,IF($J250=2,$E250*$I250/12*2,IF($J250=3,$E250*$I250/12*1,0)))))+IF(CD$5&lt;&gt;$H250,0,IF(CD250&gt;0,IF($J250=1,$E250*$I250/12*0,IF($J250=2,$E250*$I250/12*1,IF($J250=3,$E250*$I250/12*2,IF($J250&gt;=4,$E250*$I250/12*3,0))))))</f>
        <v>0</v>
      </c>
      <c r="CF250" s="442">
        <f t="shared" ref="CF250" si="3530">IF($H250&lt;&gt;CI$5,0,IF(CI250&gt;0,IF(OR($J250=1,$J250=2,$J250=3,$J250=4),$E250*$I250/12*3,IF($J250=5,$E250*$I250/12*2,IF($J250=6,$E250*$I250/12*1,0)))))+IF(CD$5&lt;&gt;$H250,0,IF(CD250&gt;0,IF($J250=4,$E250*$I250/12*0,IF($J250=5,$E250*$I250/12*1,IF($J250=6,$E250*$I250/12*2,IF($J250&gt;=7,$E250*$I250/12*3,0))))))</f>
        <v>0</v>
      </c>
      <c r="CG250" s="442">
        <f t="shared" ref="CG250" si="3531">IF($H250&lt;&gt;CI$5,0,IF(CI250&gt;0,IF(OR($J250=1,$J250=2,$J250=3,$J250=4,$J250=5,$J250=6,$J250=7),$E250*$I250/12*3,IF($J250=8,$E250*$I250/12*2,IF($J250=9,$E250*$I250/12*1,0)))))+IF(CD$5&lt;&gt;$H250,0,IF(CD250&gt;0,IF($J250=7,$E250*$I250/12*0,IF($J250=8,$E250*$I250/12*1,IF($J250=9,$E250*$I250/12*2,IF($J250&gt;=10,$E250*$I250/12*3,0))))))</f>
        <v>0</v>
      </c>
      <c r="CH250" s="443">
        <f t="shared" ref="CH250" si="3532">IF($H250&lt;&gt;CI$5,0,IF(CI250&gt;0,IF(OR($J250=1,$J250=2,$J250=3,$J250=4,$J250=5,$J250=6,$J250=7,$J250=8,$J250=9,$J250=10),$E250*$I250/12*3,IF($J250=11,$E250*$I250/12*2,IF($J250=12,$E250*$I250/12*1,0)))))+IF(CD$5&lt;&gt;$H250,0,IF(CD250&gt;0,IF($J250=10,$E250*$I250/12*0,IF($J250=11,$E250*$I250/12*1,IF($J250=12,$E250*$I250/12*2,0)))))</f>
        <v>0</v>
      </c>
      <c r="CI250" s="440">
        <f t="shared" ref="CI250" si="3533">IF(AND(CD250&lt;&gt;0,CD$5=$H250),$I250*$E250-CD250,IF(CI$5=$H250,$I250*$E250*(12-$J250+1)/12,0))</f>
        <v>0</v>
      </c>
      <c r="CJ250" s="441">
        <f t="shared" ref="CJ250" si="3534">IF($H250&lt;&gt;CN$5,0,IF(CN250&gt;0,IF($J250=1,$E250*$I250/12*3,IF($J250=2,$E250*$I250/12*2,IF($J250=3,$E250*$I250/12*1,0)))))+IF(CI$5&lt;&gt;$H250,0,IF(CI250&gt;0,IF($J250=1,$E250*$I250/12*0,IF($J250=2,$E250*$I250/12*1,IF($J250=3,$E250*$I250/12*2,IF($J250&gt;=4,$E250*$I250/12*3,0))))))</f>
        <v>0</v>
      </c>
      <c r="CK250" s="442">
        <f t="shared" ref="CK250" si="3535">IF($H250&lt;&gt;CN$5,0,IF(CN250&gt;0,IF(OR($J250=1,$J250=2,$J250=3,$J250=4),$E250*$I250/12*3,IF($J250=5,$E250*$I250/12*2,IF($J250=6,$E250*$I250/12*1,0)))))+IF(CI$5&lt;&gt;$H250,0,IF(CI250&gt;0,IF($J250=4,$E250*$I250/12*0,IF($J250=5,$E250*$I250/12*1,IF($J250=6,$E250*$I250/12*2,IF($J250&gt;=7,$E250*$I250/12*3,0))))))</f>
        <v>0</v>
      </c>
      <c r="CL250" s="442">
        <f t="shared" ref="CL250" si="3536">IF($H250&lt;&gt;CN$5,0,IF(CN250&gt;0,IF(OR($J250=1,$J250=2,$J250=3,$J250=4,$J250=5,$J250=6,$J250=7),$E250*$I250/12*3,IF($J250=8,$E250*$I250/12*2,IF($J250=9,$E250*$I250/12*1,0)))))+IF(CI$5&lt;&gt;$H250,0,IF(CI250&gt;0,IF($J250=7,$E250*$I250/12*0,IF($J250=8,$E250*$I250/12*1,IF($J250=9,$E250*$I250/12*2,IF($J250&gt;=10,$E250*$I250/12*3,0))))))</f>
        <v>0</v>
      </c>
      <c r="CM250" s="443">
        <f t="shared" ref="CM250" si="3537">IF($H250&lt;&gt;CN$5,0,IF(CN250&gt;0,IF(OR($J250=1,$J250=2,$J250=3,$J250=4,$J250=5,$J250=6,$J250=7,$J250=8,$J250=9,$J250=10),$E250*$I250/12*3,IF($J250=11,$E250*$I250/12*2,IF($J250=12,$E250*$I250/12*1,0)))))+IF(CI$5&lt;&gt;$H250,0,IF(CI250&gt;0,IF($J250=10,$E250*$I250/12*0,IF($J250=11,$E250*$I250/12*1,IF($J250=12,$E250*$I250/12*2,0)))))</f>
        <v>0</v>
      </c>
      <c r="CN250" s="440">
        <f t="shared" ref="CN250" si="3538">IF(AND(CI250&lt;&gt;0,CI$5=$H250),$I250*$E250-CI250,IF(CN$5=$H250,$I250*$E250*(12-$J250+1)/12,0))</f>
        <v>0</v>
      </c>
      <c r="CO250" s="441">
        <f t="shared" ref="CO250" si="3539">IF($H250&lt;&gt;CS$5,0,IF(CS250&gt;0,IF($J250=1,$E250*$I250/12*3,IF($J250=2,$E250*$I250/12*2,IF($J250=3,$E250*$I250/12*1,0)))))+IF(CN$5&lt;&gt;$H250,0,IF(CN250&gt;0,IF($J250=1,$E250*$I250/12*0,IF($J250=2,$E250*$I250/12*1,IF($J250=3,$E250*$I250/12*2,IF($J250&gt;=4,$E250*$I250/12*3,0))))))</f>
        <v>0</v>
      </c>
      <c r="CP250" s="442">
        <f t="shared" ref="CP250" si="3540">IF($H250&lt;&gt;CS$5,0,IF(CS250&gt;0,IF(OR($J250=1,$J250=2,$J250=3,$J250=4),$E250*$I250/12*3,IF($J250=5,$E250*$I250/12*2,IF($J250=6,$E250*$I250/12*1,0)))))+IF(CN$5&lt;&gt;$H250,0,IF(CN250&gt;0,IF($J250=4,$E250*$I250/12*0,IF($J250=5,$E250*$I250/12*1,IF($J250=6,$E250*$I250/12*2,IF($J250&gt;=7,$E250*$I250/12*3,0))))))</f>
        <v>0</v>
      </c>
      <c r="CQ250" s="442">
        <f t="shared" ref="CQ250" si="3541">IF($H250&lt;&gt;CS$5,0,IF(CS250&gt;0,IF(OR($J250=1,$J250=2,$J250=3,$J250=4,$J250=5,$J250=6,$J250=7),$E250*$I250/12*3,IF($J250=8,$E250*$I250/12*2,IF($J250=9,$E250*$I250/12*1,0)))))+IF(CN$5&lt;&gt;$H250,0,IF(CN250&gt;0,IF($J250=7,$E250*$I250/12*0,IF($J250=8,$E250*$I250/12*1,IF($J250=9,$E250*$I250/12*2,IF($J250&gt;=10,$E250*$I250/12*3,0))))))</f>
        <v>0</v>
      </c>
      <c r="CR250" s="443">
        <f t="shared" ref="CR250" si="3542">IF($H250&lt;&gt;CS$5,0,IF(CS250&gt;0,IF(OR($J250=1,$J250=2,$J250=3,$J250=4,$J250=5,$J250=6,$J250=7,$J250=8,$J250=9,$J250=10),$E250*$I250/12*3,IF($J250=11,$E250*$I250/12*2,IF($J250=12,$E250*$I250/12*1,0)))))+IF(CN$5&lt;&gt;$H250,0,IF(CN250&gt;0,IF($J250=10,$E250*$I250/12*0,IF($J250=11,$E250*$I250/12*1,IF($J250=12,$E250*$I250/12*2,0)))))</f>
        <v>0</v>
      </c>
      <c r="CS250" s="440">
        <f t="shared" ref="CS250" si="3543">IF(AND(CN250&lt;&gt;0,CN$5=$H250),$I250*$E250-CN250,IF(CS$5=$H250,$I250*$E250*(12-$J250+1)/12,0))</f>
        <v>0</v>
      </c>
      <c r="CT250" s="441">
        <f t="shared" ref="CT250" si="3544">IF($H250&lt;&gt;CX$5,0,IF(CX250&gt;0,IF($J250=1,$E250*$I250/12*3,IF($J250=2,$E250*$I250/12*2,IF($J250=3,$E250*$I250/12*1,0)))))+IF(CS$5&lt;&gt;$H250,0,IF(CS250&gt;0,IF($J250=1,$E250*$I250/12*0,IF($J250=2,$E250*$I250/12*1,IF($J250=3,$E250*$I250/12*2,IF($J250&gt;=4,$E250*$I250/12*3,0))))))</f>
        <v>0</v>
      </c>
      <c r="CU250" s="442">
        <f t="shared" ref="CU250" si="3545">IF($H250&lt;&gt;CX$5,0,IF(CX250&gt;0,IF(OR($J250=1,$J250=2,$J250=3,$J250=4),$E250*$I250/12*3,IF($J250=5,$E250*$I250/12*2,IF($J250=6,$E250*$I250/12*1,0)))))+IF(CS$5&lt;&gt;$H250,0,IF(CS250&gt;0,IF($J250=4,$E250*$I250/12*0,IF($J250=5,$E250*$I250/12*1,IF($J250=6,$E250*$I250/12*2,IF($J250&gt;=7,$E250*$I250/12*3,0))))))</f>
        <v>0</v>
      </c>
      <c r="CV250" s="442">
        <f t="shared" ref="CV250" si="3546">IF($H250&lt;&gt;CX$5,0,IF(CX250&gt;0,IF(OR($J250=1,$J250=2,$J250=3,$J250=4,$J250=5,$J250=6,$J250=7),$E250*$I250/12*3,IF($J250=8,$E250*$I250/12*2,IF($J250=9,$E250*$I250/12*1,0)))))+IF(CS$5&lt;&gt;$H250,0,IF(CS250&gt;0,IF($J250=7,$E250*$I250/12*0,IF($J250=8,$E250*$I250/12*1,IF($J250=9,$E250*$I250/12*2,IF($J250&gt;=10,$E250*$I250/12*3,0))))))</f>
        <v>0.34083333333333332</v>
      </c>
      <c r="CW250" s="443">
        <f t="shared" ref="CW250" si="3547">IF($H250&lt;&gt;CX$5,0,IF(CX250&gt;0,IF(OR($J250=1,$J250=2,$J250=3,$J250=4,$J250=5,$J250=6,$J250=7,$J250=8,$J250=9,$J250=10),$E250*$I250/12*3,IF($J250=11,$E250*$I250/12*2,IF($J250=12,$E250*$I250/12*1,0)))))+IF(CS$5&lt;&gt;$H250,0,IF(CS250&gt;0,IF($J250=10,$E250*$I250/12*0,IF($J250=11,$E250*$I250/12*1,IF($J250=12,$E250*$I250/12*2,0)))))</f>
        <v>1.0225</v>
      </c>
      <c r="CX250" s="440">
        <f t="shared" ref="CX250" si="3548">IF(AND(CS250&lt;&gt;0,CS$5=$H250),$I250*$E250-CS250,IF(CX$5=$H250,$I250*$E250*(12-$J250+1)/12,0))</f>
        <v>1.3633333333333333</v>
      </c>
      <c r="CY250" s="441">
        <f t="shared" ref="CY250" si="3549">IF($H250&lt;&gt;DC$5,0,IF(DC250&gt;0,IF($J250=1,$E250*$I250/12*3,IF($J250=2,$E250*$I250/12*2,IF($J250=3,$E250*$I250/12*1,0)))))+IF(CX$5&lt;&gt;$H250,0,IF(CX250&gt;0,IF($J250=1,$E250*$I250/12*0,IF($J250=2,$E250*$I250/12*1,IF($J250=3,$E250*$I250/12*2,IF($J250&gt;=4,$E250*$I250/12*3,0))))))</f>
        <v>1.0225</v>
      </c>
      <c r="CZ250" s="442">
        <f t="shared" ref="CZ250" si="3550">IF($H250&lt;&gt;DC$5,0,IF(DC250&gt;0,IF(OR($J250=1,$J250=2,$J250=3,$J250=4),$E250*$I250/12*3,IF($J250=5,$E250*$I250/12*2,IF($J250=6,$E250*$I250/12*1,0)))))+IF(CX$5&lt;&gt;$H250,0,IF(CX250&gt;0,IF($J250=4,$E250*$I250/12*0,IF($J250=5,$E250*$I250/12*1,IF($J250=6,$E250*$I250/12*2,IF($J250&gt;=7,$E250*$I250/12*3,0))))))</f>
        <v>1.0225</v>
      </c>
      <c r="DA250" s="442">
        <f t="shared" ref="DA250" si="3551">IF($H250&lt;&gt;DC$5,0,IF(DC250&gt;0,IF(OR($J250=1,$J250=2,$J250=3,$J250=4,$J250=5,$J250=6,$J250=7),$E250*$I250/12*3,IF($J250=8,$E250*$I250/12*2,IF($J250=9,$E250*$I250/12*1,0)))))+IF(CX$5&lt;&gt;$H250,0,IF(CX250&gt;0,IF($J250=7,$E250*$I250/12*0,IF($J250=8,$E250*$I250/12*1,IF($J250=9,$E250*$I250/12*2,IF($J250&gt;=10,$E250*$I250/12*3,0))))))</f>
        <v>0.68166666666666664</v>
      </c>
      <c r="DB250" s="443">
        <f t="shared" ref="DB250" si="3552">IF($H250&lt;&gt;DC$5,0,IF(DC250&gt;0,IF(OR($J250=1,$J250=2,$J250=3,$J250=4,$J250=5,$J250=6,$J250=7,$J250=8,$J250=9,$J250=10),$E250*$I250/12*3,IF($J250=11,$E250*$I250/12*2,IF($J250=12,$E250*$I250/12*1,0)))))+IF(CX$5&lt;&gt;$H250,0,IF(CX250&gt;0,IF($J250=10,$E250*$I250/12*0,IF($J250=11,$E250*$I250/12*1,IF($J250=12,$E250*$I250/12*2,0)))))</f>
        <v>0</v>
      </c>
      <c r="DC250" s="440">
        <f t="shared" ref="DC250" si="3553">IF(AND(CX250&lt;&gt;0,CX$5=$H250),$I250*$E250-CX250,IF(DC$5=$H250,$I250*$E250*(12-$J250+1)/12,0))</f>
        <v>2.7266666666666666</v>
      </c>
      <c r="DD250" s="441">
        <f t="shared" ref="DD250" si="3554">IF($H250&lt;&gt;DH$5,0,IF(DH250&gt;0,IF($J250=1,$E250*$I250/12*3,IF($J250=2,$E250*$I250/12*2,IF($J250=3,$E250*$I250/12*1,0)))))+IF(DC$5&lt;&gt;$H250,0,IF(DC250&gt;0,IF($J250=1,$E250*$I250/12*0,IF($J250=2,$E250*$I250/12*1,IF($J250=3,$E250*$I250/12*2,IF($J250&gt;=4,$E250*$I250/12*3,0))))))</f>
        <v>0</v>
      </c>
      <c r="DE250" s="442">
        <f t="shared" ref="DE250" si="3555">IF($H250&lt;&gt;DH$5,0,IF(DH250&gt;0,IF(OR($J250=1,$J250=2,$J250=3,$J250=4),$E250*$I250/12*3,IF($J250=5,$E250*$I250/12*2,IF($J250=6,$E250*$I250/12*1,0)))))+IF(DC$5&lt;&gt;$H250,0,IF(DC250&gt;0,IF($J250=4,$E250*$I250/12*0,IF($J250=5,$E250*$I250/12*1,IF($J250=6,$E250*$I250/12*2,IF($J250&gt;=7,$E250*$I250/12*3,0))))))</f>
        <v>0</v>
      </c>
      <c r="DF250" s="442">
        <f t="shared" ref="DF250" si="3556">IF($H250&lt;&gt;DH$5,0,IF(DH250&gt;0,IF(OR($J250=1,$J250=2,$J250=3,$J250=4,$J250=5,$J250=6,$J250=7),$E250*$I250/12*3,IF($J250=8,$E250*$I250/12*2,IF($J250=9,$E250*$I250/12*1,0)))))+IF(DC$5&lt;&gt;$H250,0,IF(DC250&gt;0,IF($J250=7,$E250*$I250/12*0,IF($J250=8,$E250*$I250/12*1,IF($J250=9,$E250*$I250/12*2,IF($J250&gt;=10,$E250*$I250/12*3,0))))))</f>
        <v>0</v>
      </c>
      <c r="DG250" s="443">
        <f t="shared" ref="DG250" si="3557">IF($H250&lt;&gt;DH$5,0,IF(DH250&gt;0,IF(OR($J250=1,$J250=2,$J250=3,$J250=4,$J250=5,$J250=6,$J250=7,$J250=8,$J250=9,$J250=10),$E250*$I250/12*3,IF($J250=11,$E250*$I250/12*2,IF($J250=12,$E250*$I250/12*1,0)))))+IF(DC$5&lt;&gt;$H250,0,IF(DC250&gt;0,IF($J250=10,$E250*$I250/12*0,IF($J250=11,$E250*$I250/12*1,IF($J250=12,$E250*$I250/12*2,0)))))</f>
        <v>0</v>
      </c>
      <c r="DH250" s="440">
        <f t="shared" ref="DH250" si="3558">IF(AND(DC250&lt;&gt;0,DC$5=$H250),$I250*$E250-DC250,IF(DH$5=$H250,$I250*$E250*(12-$J250+1)/12,0))</f>
        <v>0</v>
      </c>
      <c r="DI250" s="441">
        <f t="shared" ref="DI250" si="3559">IF($H250&lt;&gt;DM$5,0,IF(DM250&gt;0,IF($J250=1,$E250*$I250/12*3,IF($J250=2,$E250*$I250/12*2,IF($J250=3,$E250*$I250/12*1,0)))))+IF(DH$5&lt;&gt;$H250,0,IF(DH250&gt;0,IF($J250=1,$E250*$I250/12*0,IF($J250=2,$E250*$I250/12*1,IF($J250=3,$E250*$I250/12*2,IF($J250&gt;=4,$E250*$I250/12*3,0))))))</f>
        <v>0</v>
      </c>
      <c r="DJ250" s="442">
        <f t="shared" ref="DJ250" si="3560">IF($H250&lt;&gt;DM$5,0,IF(DM250&gt;0,IF(OR($J250=1,$J250=2,$J250=3,$J250=4),$E250*$I250/12*3,IF($J250=5,$E250*$I250/12*2,IF($J250=6,$E250*$I250/12*1,0)))))+IF(DH$5&lt;&gt;$H250,0,IF(DH250&gt;0,IF($J250=4,$E250*$I250/12*0,IF($J250=5,$E250*$I250/12*1,IF($J250=6,$E250*$I250/12*2,IF($J250&gt;=7,$E250*$I250/12*3,0))))))</f>
        <v>0</v>
      </c>
      <c r="DK250" s="442">
        <f t="shared" ref="DK250" si="3561">IF($H250&lt;&gt;DM$5,0,IF(DM250&gt;0,IF(OR($J250=1,$J250=2,$J250=3,$J250=4,$J250=5,$J250=6,$J250=7),$E250*$I250/12*3,IF($J250=8,$E250*$I250/12*2,IF($J250=9,$E250*$I250/12*1,0)))))+IF(DH$5&lt;&gt;$H250,0,IF(DH250&gt;0,IF($J250=7,$E250*$I250/12*0,IF($J250=8,$E250*$I250/12*1,IF($J250=9,$E250*$I250/12*2,IF($J250&gt;=10,$E250*$I250/12*3,0))))))</f>
        <v>0</v>
      </c>
      <c r="DL250" s="443">
        <f t="shared" ref="DL250" si="3562">IF($H250&lt;&gt;DM$5,0,IF(DM250&gt;0,IF(OR($J250=1,$J250=2,$J250=3,$J250=4,$J250=5,$J250=6,$J250=7,$J250=8,$J250=9,$J250=10),$E250*$I250/12*3,IF($J250=11,$E250*$I250/12*2,IF($J250=12,$E250*$I250/12*1,0)))))+IF(DH$5&lt;&gt;$H250,0,IF(DH250&gt;0,IF($J250=10,$E250*$I250/12*0,IF($J250=11,$E250*$I250/12*1,IF($J250=12,$E250*$I250/12*2,0)))))</f>
        <v>0</v>
      </c>
      <c r="DM250" s="440">
        <f t="shared" ref="DM250" si="3563">IF(AND(DH250&lt;&gt;0,DH$5=$H250),$I250*$E250-DH250,IF(DM$5=$H250,$I250*$E250*(12-$J250+1)/12,0))</f>
        <v>0</v>
      </c>
      <c r="DN250" s="441">
        <f t="shared" ref="DN250" si="3564">IF($H250&lt;&gt;DR$5,0,IF(DR250&gt;0,IF($J250=1,$E250*$I250/12*3,IF($J250=2,$E250*$I250/12*2,IF($J250=3,$E250*$I250/12*1,0)))))+IF(DM$5&lt;&gt;$H250,0,IF(DM250&gt;0,IF($J250=1,$E250*$I250/12*0,IF($J250=2,$E250*$I250/12*1,IF($J250=3,$E250*$I250/12*2,IF($J250&gt;=4,$E250*$I250/12*3,0))))))</f>
        <v>0</v>
      </c>
      <c r="DO250" s="442">
        <f t="shared" ref="DO250" si="3565">IF($H250&lt;&gt;DR$5,0,IF(DR250&gt;0,IF(OR($J250=1,$J250=2,$J250=3,$J250=4),$E250*$I250/12*3,IF($J250=5,$E250*$I250/12*2,IF($J250=6,$E250*$I250/12*1,0)))))+IF(DM$5&lt;&gt;$H250,0,IF(DM250&gt;0,IF($J250=4,$E250*$I250/12*0,IF($J250=5,$E250*$I250/12*1,IF($J250=6,$E250*$I250/12*2,IF($J250&gt;=7,$E250*$I250/12*3,0))))))</f>
        <v>0</v>
      </c>
      <c r="DP250" s="442">
        <f t="shared" ref="DP250" si="3566">IF($H250&lt;&gt;DR$5,0,IF(DR250&gt;0,IF(OR($J250=1,$J250=2,$J250=3,$J250=4,$J250=5,$J250=6,$J250=7),$E250*$I250/12*3,IF($J250=8,$E250*$I250/12*2,IF($J250=9,$E250*$I250/12*1,0)))))+IF(DM$5&lt;&gt;$H250,0,IF(DM250&gt;0,IF($J250=7,$E250*$I250/12*0,IF($J250=8,$E250*$I250/12*1,IF($J250=9,$E250*$I250/12*2,IF($J250&gt;=10,$E250*$I250/12*3,0))))))</f>
        <v>0</v>
      </c>
      <c r="DQ250" s="443">
        <f t="shared" ref="DQ250" si="3567">IF($H250&lt;&gt;DR$5,0,IF(DR250&gt;0,IF(OR($J250=1,$J250=2,$J250=3,$J250=4,$J250=5,$J250=6,$J250=7,$J250=8,$J250=9,$J250=10),$E250*$I250/12*3,IF($J250=11,$E250*$I250/12*2,IF($J250=12,$E250*$I250/12*1,0)))))+IF(DM$5&lt;&gt;$H250,0,IF(DM250&gt;0,IF($J250=10,$E250*$I250/12*0,IF($J250=11,$E250*$I250/12*1,IF($J250=12,$E250*$I250/12*2,0)))))</f>
        <v>0</v>
      </c>
      <c r="DR250" s="440">
        <f t="shared" ref="DR250" si="3568">IF(AND(DM250&lt;&gt;0,DM$5=$H250),$I250*$E250-DM250,IF(DR$5=$H250,$I250*$E250*(12-$J250+1)/12,0))</f>
        <v>0</v>
      </c>
    </row>
    <row r="251" spans="1:122" ht="12.75" customHeight="1">
      <c r="A251" s="92"/>
      <c r="B251" s="92"/>
      <c r="C251" s="1946" t="s">
        <v>1209</v>
      </c>
      <c r="D251" s="1953"/>
      <c r="E251" s="1757">
        <v>300</v>
      </c>
      <c r="F251" s="1757"/>
      <c r="G251" s="1757"/>
      <c r="H251" s="1750">
        <v>2017</v>
      </c>
      <c r="I251" s="1956">
        <v>3.2500000000000001E-2</v>
      </c>
      <c r="J251" s="1749">
        <v>9</v>
      </c>
      <c r="K251" s="528"/>
      <c r="L251" s="441">
        <f t="shared" ref="L251" si="3569">IF(P251=0,0,IF(P251&gt;0,IF($J251=3,P251,IF($J251=2,P251,IF($J251=1,P251,0)))))</f>
        <v>0</v>
      </c>
      <c r="M251" s="442">
        <f t="shared" ref="M251" si="3570">IF(P251=0,0,IF(P251&gt;0,IF($J251=6,P251,IF($J251=5,P251,IF($J251=4,P251,0)))))</f>
        <v>0</v>
      </c>
      <c r="N251" s="442">
        <f t="shared" ref="N251" si="3571">IF(P251=0,0,IF(P251&gt;0,IF($J251=9,P251,IF($J251=8,P251,IF($J251=7,P251,0)))))</f>
        <v>0</v>
      </c>
      <c r="O251" s="443">
        <f t="shared" ref="O251" si="3572">IF(P251=0,0,IF(P251&gt;0,IF($J251=12,P251,IF($J251=11,P251,IF($J251=10,P251,0)))))</f>
        <v>0</v>
      </c>
      <c r="P251" s="440">
        <f t="shared" si="3166"/>
        <v>0</v>
      </c>
      <c r="Q251" s="441">
        <f t="shared" ref="Q251" si="3573">IF(U251=0,0,IF(U251&gt;0,IF($J251=3,U251,IF($J251=2,U251,IF($J251=1,U251,0)))))</f>
        <v>0</v>
      </c>
      <c r="R251" s="442">
        <f t="shared" ref="R251" si="3574">IF(U251=0,0,IF(U251&gt;0,IF($J251=6,U251,IF($J251=5,U251,IF($J251=4,U251,0)))))</f>
        <v>0</v>
      </c>
      <c r="S251" s="442">
        <f t="shared" ref="S251" si="3575">IF(U251=0,0,IF(U251&gt;0,IF($J251=9,U251,IF($J251=8,U251,IF($J251=7,U251,0)))))</f>
        <v>0</v>
      </c>
      <c r="T251" s="443">
        <f t="shared" ref="T251" si="3576">IF(U251=0,0,IF(U251&gt;0,IF($J251=12,U251,IF($J251=11,U251,IF($J251=10,U251,0)))))</f>
        <v>0</v>
      </c>
      <c r="U251" s="440">
        <f t="shared" si="3171"/>
        <v>0</v>
      </c>
      <c r="V251" s="441">
        <f t="shared" ref="V251" si="3577">IF(Z251=0,0,IF(Z251&gt;0,IF($J251=3,Z251,IF($J251=2,Z251,IF($J251=1,Z251,0)))))</f>
        <v>0</v>
      </c>
      <c r="W251" s="442">
        <f t="shared" ref="W251" si="3578">IF(Z251=0,0,IF(Z251&gt;0,IF($J251=6,Z251,IF($J251=5,Z251,IF($J251=4,Z251,0)))))</f>
        <v>0</v>
      </c>
      <c r="X251" s="442">
        <f t="shared" ref="X251" si="3579">IF(Z251=0,0,IF(Z251&gt;0,IF($J251=9,Z251,IF($J251=8,Z251,IF($J251=7,Z251,0)))))</f>
        <v>0</v>
      </c>
      <c r="Y251" s="443">
        <f t="shared" ref="Y251" si="3580">IF(Z251=0,0,IF(Z251&gt;0,IF($J251=12,Z251,IF($J251=11,Z251,IF($J251=10,Z251,0)))))</f>
        <v>0</v>
      </c>
      <c r="Z251" s="440">
        <f t="shared" si="3176"/>
        <v>0</v>
      </c>
      <c r="AA251" s="441">
        <f t="shared" ref="AA251" si="3581">IF(AE251=0,0,IF(AE251&gt;0,IF($J251=3,AE251,IF($J251=2,AE251,IF($J251=1,AE251,0)))))</f>
        <v>0</v>
      </c>
      <c r="AB251" s="442">
        <f t="shared" ref="AB251" si="3582">IF(AE251=0,0,IF(AE251&gt;0,IF($J251=6,AE251,IF($J251=5,AE251,IF($J251=4,AE251,0)))))</f>
        <v>0</v>
      </c>
      <c r="AC251" s="442">
        <f t="shared" ref="AC251" si="3583">IF(AE251=0,0,IF(AE251&gt;0,IF($J251=9,AE251,IF($J251=8,AE251,IF($J251=7,AE251,0)))))</f>
        <v>0</v>
      </c>
      <c r="AD251" s="443">
        <f t="shared" ref="AD251" si="3584">IF(AE251=0,0,IF(AE251&gt;0,IF($J251=12,AE251,IF($J251=11,AE251,IF($J251=10,AE251,0)))))</f>
        <v>0</v>
      </c>
      <c r="AE251" s="440">
        <f t="shared" si="3181"/>
        <v>0</v>
      </c>
      <c r="AF251" s="441">
        <f t="shared" ref="AF251" si="3585">IF(AJ251=0,0,IF(AJ251&gt;0,IF($J251=3,AJ251,IF($J251=2,AJ251,IF($J251=1,AJ251,0)))))</f>
        <v>0</v>
      </c>
      <c r="AG251" s="442">
        <f t="shared" ref="AG251" si="3586">IF(AJ251=0,0,IF(AJ251&gt;0,IF($J251=6,AJ251,IF($J251=5,AJ251,IF($J251=4,AJ251,0)))))</f>
        <v>0</v>
      </c>
      <c r="AH251" s="442">
        <f t="shared" ref="AH251" si="3587">IF(AJ251=0,0,IF(AJ251&gt;0,IF($J251=9,AJ251,IF($J251=8,AJ251,IF($J251=7,AJ251,0)))))</f>
        <v>0</v>
      </c>
      <c r="AI251" s="443">
        <f t="shared" ref="AI251" si="3588">IF(AJ251=0,0,IF(AJ251&gt;0,IF($J251=12,AJ251,IF($J251=11,AJ251,IF($J251=10,AJ251,0)))))</f>
        <v>0</v>
      </c>
      <c r="AJ251" s="440">
        <f t="shared" si="3186"/>
        <v>0</v>
      </c>
      <c r="AK251" s="441">
        <f t="shared" ref="AK251" si="3589">IF(AO251=0,0,IF(AO251&gt;0,IF($J251=3,AO251,IF($J251=2,AO251,IF($J251=1,AO251,0)))))</f>
        <v>0</v>
      </c>
      <c r="AL251" s="442">
        <f t="shared" ref="AL251" si="3590">IF(AO251=0,0,IF(AO251&gt;0,IF($J251=6,AO251,IF($J251=5,AO251,IF($J251=4,AO251,0)))))</f>
        <v>0</v>
      </c>
      <c r="AM251" s="442">
        <f t="shared" ref="AM251" si="3591">IF(AO251=0,0,IF(AO251&gt;0,IF($J251=9,AO251,IF($J251=8,AO251,IF($J251=7,AO251,0)))))</f>
        <v>0</v>
      </c>
      <c r="AN251" s="443">
        <f t="shared" ref="AN251" si="3592">IF(AO251=0,0,IF(AO251&gt;0,IF($J251=12,AO251,IF($J251=11,AO251,IF($J251=10,AO251,0)))))</f>
        <v>0</v>
      </c>
      <c r="AO251" s="440">
        <f t="shared" si="3191"/>
        <v>0</v>
      </c>
      <c r="AP251" s="441">
        <f t="shared" ref="AP251" si="3593">IF(AT251=0,0,IF(AT251&gt;0,IF($J251=3,AT251,IF($J251=2,AT251,IF($J251=1,AT251,0)))))</f>
        <v>0</v>
      </c>
      <c r="AQ251" s="442">
        <f t="shared" ref="AQ251" si="3594">IF(AT251=0,0,IF(AT251&gt;0,IF($J251=6,AT251,IF($J251=5,AT251,IF($J251=4,AT251,0)))))</f>
        <v>0</v>
      </c>
      <c r="AR251" s="442">
        <f t="shared" ref="AR251" si="3595">IF(AT251=0,0,IF(AT251&gt;0,IF($J251=9,AT251,IF($J251=8,AT251,IF($J251=7,AT251,0)))))</f>
        <v>300</v>
      </c>
      <c r="AS251" s="443">
        <f t="shared" ref="AS251" si="3596">IF(AT251=0,0,IF(AT251&gt;0,IF($J251=12,AT251,IF($J251=11,AT251,IF($J251=10,AT251,0)))))</f>
        <v>0</v>
      </c>
      <c r="AT251" s="440">
        <f t="shared" si="3196"/>
        <v>300</v>
      </c>
      <c r="AU251" s="441">
        <f t="shared" ref="AU251" si="3597">IF(AY251=0,0,IF(AY251&gt;0,IF($J251=3,AY251,IF($J251=2,AY251,IF($J251=1,AY251,0)))))</f>
        <v>0</v>
      </c>
      <c r="AV251" s="442">
        <f t="shared" ref="AV251" si="3598">IF(AY251=0,0,IF(AY251&gt;0,IF($J251=6,AY251,IF($J251=5,AY251,IF($J251=4,AY251,0)))))</f>
        <v>0</v>
      </c>
      <c r="AW251" s="442">
        <f t="shared" ref="AW251" si="3599">IF(AY251=0,0,IF(AY251&gt;0,IF($J251=9,AY251,IF($J251=8,AY251,IF($J251=7,AY251,0)))))</f>
        <v>0</v>
      </c>
      <c r="AX251" s="443">
        <f t="shared" ref="AX251" si="3600">IF(AY251=0,0,IF(AY251&gt;0,IF($J251=12,AY251,IF($J251=11,AY251,IF($J251=10,AY251,0)))))</f>
        <v>0</v>
      </c>
      <c r="AY251" s="440">
        <f t="shared" si="3201"/>
        <v>0</v>
      </c>
      <c r="AZ251" s="441">
        <f t="shared" ref="AZ251" si="3601">IF(BD251=0,0,IF(BD251&gt;0,IF($J251=3,BD251,IF($J251=2,BD251,IF($J251=1,BD251,0)))))</f>
        <v>0</v>
      </c>
      <c r="BA251" s="442">
        <f t="shared" ref="BA251" si="3602">IF(BD251=0,0,IF(BD251&gt;0,IF($J251=6,BD251,IF($J251=5,BD251,IF($J251=4,BD251,0)))))</f>
        <v>0</v>
      </c>
      <c r="BB251" s="442">
        <f t="shared" ref="BB251" si="3603">IF(BD251=0,0,IF(BD251&gt;0,IF($J251=9,BD251,IF($J251=8,BD251,IF($J251=7,BD251,0)))))</f>
        <v>0</v>
      </c>
      <c r="BC251" s="443">
        <f t="shared" ref="BC251" si="3604">IF(BD251=0,0,IF(BD251&gt;0,IF($J251=12,BD251,IF($J251=11,BD251,IF($J251=10,BD251,0)))))</f>
        <v>0</v>
      </c>
      <c r="BD251" s="440">
        <f t="shared" si="3206"/>
        <v>0</v>
      </c>
      <c r="BE251" s="441">
        <f t="shared" ref="BE251" si="3605">IF(BI251=0,0,IF(BI251&gt;0,IF($J251=3,BI251,IF($J251=2,BI251,IF($J251=1,BI251,0)))))</f>
        <v>0</v>
      </c>
      <c r="BF251" s="442">
        <f t="shared" ref="BF251" si="3606">IF(BI251=0,0,IF(BI251&gt;0,IF($J251=6,BI251,IF($J251=5,BI251,IF($J251=4,BI251,0)))))</f>
        <v>0</v>
      </c>
      <c r="BG251" s="442">
        <f t="shared" ref="BG251" si="3607">IF(BI251=0,0,IF(BI251&gt;0,IF($J251=9,BI251,IF($J251=8,BI251,IF($J251=7,BI251,0)))))</f>
        <v>0</v>
      </c>
      <c r="BH251" s="443">
        <f t="shared" ref="BH251" si="3608">IF(BI251=0,0,IF(BI251&gt;0,IF($J251=12,BI251,IF($J251=11,BI251,IF($J251=10,BI251,0)))))</f>
        <v>0</v>
      </c>
      <c r="BI251" s="440">
        <f t="shared" si="3211"/>
        <v>0</v>
      </c>
      <c r="BJ251" s="441">
        <f t="shared" ref="BJ251" si="3609">IF(BN251=0,0,IF(BN251&gt;0,IF($J251=3,BN251,IF($J251=2,BN251,IF($J251=1,BN251,0)))))</f>
        <v>0</v>
      </c>
      <c r="BK251" s="442">
        <f t="shared" ref="BK251" si="3610">IF(BN251=0,0,IF(BN251&gt;0,IF($J251=6,BN251,IF($J251=5,BN251,IF($J251=4,BN251,0)))))</f>
        <v>0</v>
      </c>
      <c r="BL251" s="442">
        <f t="shared" ref="BL251" si="3611">IF(BN251=0,0,IF(BN251&gt;0,IF($J251=9,BN251,IF($J251=8,BN251,IF($J251=7,BN251,0)))))</f>
        <v>0</v>
      </c>
      <c r="BM251" s="443">
        <f t="shared" ref="BM251" si="3612">IF(BN251=0,0,IF(BN251&gt;0,IF($J251=12,BN251,IF($J251=11,BN251,IF($J251=10,BN251,0)))))</f>
        <v>0</v>
      </c>
      <c r="BN251" s="440">
        <f t="shared" si="3216"/>
        <v>0</v>
      </c>
      <c r="BO251" s="463"/>
      <c r="BP251" s="441">
        <f t="shared" ref="BP251" si="3613">IF($H251&lt;&gt;BT$5,0,IF(BT251&gt;0,IF($J251=1,$E251*$I251/12*3,IF($J251=2,$E251*$I251/12*2,IF($J251=3,$E251*$I251/12*1,0)))))+IF(BO$5&lt;&gt;$H251,0,IF(BO251&gt;0,IF($J251=1,$E251*$I251/12*0,IF($J251=2,$E251*$I251/12*1,IF($J251=3,$E251*$I251/12*2,IF($J251&gt;=4,$E251*$I251/12*3,0))))))</f>
        <v>0</v>
      </c>
      <c r="BQ251" s="442">
        <f t="shared" ref="BQ251" si="3614">IF($H251&lt;&gt;BT$5,0,IF(BT251&gt;0,IF(OR($J251=1,$J251=2,$J251=3,$J251=4),$E251*$I251/12*3,IF($J251=5,$E251*$I251/12*2,IF($J251=6,$E251*$I251/12*1,0)))))+IF(BO$5&lt;&gt;$H251,0,IF(BO251&gt;0,IF($J251=4,$E251*$I251/12*0,IF($J251=5,$E251*$I251/12*1,IF($J251=6,$E251*$I251/12*2,IF($J251&gt;=7,$E251*$I251/12*3,0))))))</f>
        <v>0</v>
      </c>
      <c r="BR251" s="442">
        <f t="shared" ref="BR251" si="3615">IF($H251&lt;&gt;BT$5,0,IF(BT251&gt;0,IF(OR($J251=1,$J251=2,$J251=3,$J251=4,$J251=5,$J251=6,$J251=7),$E251*$I251/12*3,IF($J251=8,$E251*$I251/12*2,IF($J251=9,$E251*$I251/12*1,0)))))+IF(BO$5&lt;&gt;$H251,0,IF(BO251&gt;0,IF($J251=7,$E251*$I251/12*0,IF($J251=8,$E251*$I251/12*1,IF($J251=9,$E251*$I251/12*2,IF($J251&gt;=10,$E251*$I251/12*3,0))))))</f>
        <v>0</v>
      </c>
      <c r="BS251" s="443">
        <f t="shared" ref="BS251" si="3616">IF($H251&lt;&gt;BT$5,0,IF(BT251&gt;0,IF(OR($J251=1,$J251=2,$J251=3,$J251=4,$J251=5,$J251=6,$J251=7,$J251=8,$J251=9,$J251=10),$E251*$I251/12*3,IF($J251=11,$E251*$I251/12*2,IF($J251=12,$E251*$I251/12*1,0)))))+IF(BO$5&lt;&gt;$H251,0,IF(BO251&gt;0,IF($J251=10,$E251*$I251/12*0,IF($J251=11,$E251*$I251/12*1,IF($J251=12,$E251*$I251/12*2,0)))))</f>
        <v>0</v>
      </c>
      <c r="BT251" s="440">
        <f t="shared" ref="BT251" si="3617">IF(AND(BO251&lt;&gt;0,BO$5=$H251),$I251*$E251-BO251,IF(BT$5=$H251,$I251*$E251*(12-$J251+1)/12,0))</f>
        <v>0</v>
      </c>
      <c r="BU251" s="441">
        <f t="shared" ref="BU251" si="3618">IF($H251&lt;&gt;BY$5,0,IF(BY251&gt;0,IF($J251=1,$E251*$I251/12*3,IF($J251=2,$E251*$I251/12*2,IF($J251=3,$E251*$I251/12*1,0)))))+IF(BT$5&lt;&gt;$H251,0,IF(BT251&gt;0,IF($J251=1,$E251*$I251/12*0,IF($J251=2,$E251*$I251/12*1,IF($J251=3,$E251*$I251/12*2,IF($J251&gt;=4,$E251*$I251/12*3,0))))))</f>
        <v>0</v>
      </c>
      <c r="BV251" s="442">
        <f t="shared" ref="BV251" si="3619">IF($H251&lt;&gt;BY$5,0,IF(BY251&gt;0,IF(OR($J251=1,$J251=2,$J251=3,$J251=4),$E251*$I251/12*3,IF($J251=5,$E251*$I251/12*2,IF($J251=6,$E251*$I251/12*1,0)))))+IF(BT$5&lt;&gt;$H251,0,IF(BT251&gt;0,IF($J251=4,$E251*$I251/12*0,IF($J251=5,$E251*$I251/12*1,IF($J251=6,$E251*$I251/12*2,IF($J251&gt;=7,$E251*$I251/12*3,0))))))</f>
        <v>0</v>
      </c>
      <c r="BW251" s="442">
        <f t="shared" ref="BW251" si="3620">IF($H251&lt;&gt;BY$5,0,IF(BY251&gt;0,IF(OR($J251=1,$J251=2,$J251=3,$J251=4,$J251=5,$J251=6,$J251=7),$E251*$I251/12*3,IF($J251=8,$E251*$I251/12*2,IF($J251=9,$E251*$I251/12*1,0)))))+IF(BT$5&lt;&gt;$H251,0,IF(BT251&gt;0,IF($J251=7,$E251*$I251/12*0,IF($J251=8,$E251*$I251/12*1,IF($J251=9,$E251*$I251/12*2,IF($J251&gt;=10,$E251*$I251/12*3,0))))))</f>
        <v>0</v>
      </c>
      <c r="BX251" s="443">
        <f t="shared" ref="BX251" si="3621">IF($H251&lt;&gt;BY$5,0,IF(BY251&gt;0,IF(OR($J251=1,$J251=2,$J251=3,$J251=4,$J251=5,$J251=6,$J251=7,$J251=8,$J251=9,$J251=10),$E251*$I251/12*3,IF($J251=11,$E251*$I251/12*2,IF($J251=12,$E251*$I251/12*1,0)))))+IF(BT$5&lt;&gt;$H251,0,IF(BT251&gt;0,IF($J251=10,$E251*$I251/12*0,IF($J251=11,$E251*$I251/12*1,IF($J251=12,$E251*$I251/12*2,0)))))</f>
        <v>0</v>
      </c>
      <c r="BY251" s="440">
        <f t="shared" ref="BY251" si="3622">IF(AND(BT251&lt;&gt;0,BT$5=$H251),$I251*$E251-BT251,IF(BY$5=$H251,$I251*$E251*(12-$J251+1)/12,0))</f>
        <v>0</v>
      </c>
      <c r="BZ251" s="441">
        <f t="shared" ref="BZ251" si="3623">IF($H251&lt;&gt;CD$5,0,IF(CD251&gt;0,IF($J251=1,$E251*$I251/12*3,IF($J251=2,$E251*$I251/12*2,IF($J251=3,$E251*$I251/12*1,0)))))+IF(BY$5&lt;&gt;$H251,0,IF(BY251&gt;0,IF($J251=1,$E251*$I251/12*0,IF($J251=2,$E251*$I251/12*1,IF($J251=3,$E251*$I251/12*2,IF($J251&gt;=4,$E251*$I251/12*3,0))))))</f>
        <v>0</v>
      </c>
      <c r="CA251" s="442">
        <f t="shared" ref="CA251" si="3624">IF($H251&lt;&gt;CD$5,0,IF(CD251&gt;0,IF(OR($J251=1,$J251=2,$J251=3,$J251=4),$E251*$I251/12*3,IF($J251=5,$E251*$I251/12*2,IF($J251=6,$E251*$I251/12*1,0)))))+IF(BY$5&lt;&gt;$H251,0,IF(BY251&gt;0,IF($J251=4,$E251*$I251/12*0,IF($J251=5,$E251*$I251/12*1,IF($J251=6,$E251*$I251/12*2,IF($J251&gt;=7,$E251*$I251/12*3,0))))))</f>
        <v>0</v>
      </c>
      <c r="CB251" s="442">
        <f t="shared" ref="CB251" si="3625">IF($H251&lt;&gt;CD$5,0,IF(CD251&gt;0,IF(OR($J251=1,$J251=2,$J251=3,$J251=4,$J251=5,$J251=6,$J251=7),$E251*$I251/12*3,IF($J251=8,$E251*$I251/12*2,IF($J251=9,$E251*$I251/12*1,0)))))+IF(BY$5&lt;&gt;$H251,0,IF(BY251&gt;0,IF($J251=7,$E251*$I251/12*0,IF($J251=8,$E251*$I251/12*1,IF($J251=9,$E251*$I251/12*2,IF($J251&gt;=10,$E251*$I251/12*3,0))))))</f>
        <v>0</v>
      </c>
      <c r="CC251" s="443">
        <f t="shared" ref="CC251" si="3626">IF($H251&lt;&gt;CD$5,0,IF(CD251&gt;0,IF(OR($J251=1,$J251=2,$J251=3,$J251=4,$J251=5,$J251=6,$J251=7,$J251=8,$J251=9,$J251=10),$E251*$I251/12*3,IF($J251=11,$E251*$I251/12*2,IF($J251=12,$E251*$I251/12*1,0)))))+IF(BY$5&lt;&gt;$H251,0,IF(BY251&gt;0,IF($J251=10,$E251*$I251/12*0,IF($J251=11,$E251*$I251/12*1,IF($J251=12,$E251*$I251/12*2,0)))))</f>
        <v>0</v>
      </c>
      <c r="CD251" s="440">
        <f t="shared" ref="CD251" si="3627">IF(AND(BY251&lt;&gt;0,BY$5=$H251),$I251*$E251-BY251,IF(CD$5=$H251,$I251*$E251*(12-$J251+1)/12,0))</f>
        <v>0</v>
      </c>
      <c r="CE251" s="441">
        <f t="shared" ref="CE251" si="3628">IF($H251&lt;&gt;CI$5,0,IF(CI251&gt;0,IF($J251=1,$E251*$I251/12*3,IF($J251=2,$E251*$I251/12*2,IF($J251=3,$E251*$I251/12*1,0)))))+IF(CD$5&lt;&gt;$H251,0,IF(CD251&gt;0,IF($J251=1,$E251*$I251/12*0,IF($J251=2,$E251*$I251/12*1,IF($J251=3,$E251*$I251/12*2,IF($J251&gt;=4,$E251*$I251/12*3,0))))))</f>
        <v>0</v>
      </c>
      <c r="CF251" s="442">
        <f t="shared" ref="CF251" si="3629">IF($H251&lt;&gt;CI$5,0,IF(CI251&gt;0,IF(OR($J251=1,$J251=2,$J251=3,$J251=4),$E251*$I251/12*3,IF($J251=5,$E251*$I251/12*2,IF($J251=6,$E251*$I251/12*1,0)))))+IF(CD$5&lt;&gt;$H251,0,IF(CD251&gt;0,IF($J251=4,$E251*$I251/12*0,IF($J251=5,$E251*$I251/12*1,IF($J251=6,$E251*$I251/12*2,IF($J251&gt;=7,$E251*$I251/12*3,0))))))</f>
        <v>0</v>
      </c>
      <c r="CG251" s="442">
        <f t="shared" ref="CG251" si="3630">IF($H251&lt;&gt;CI$5,0,IF(CI251&gt;0,IF(OR($J251=1,$J251=2,$J251=3,$J251=4,$J251=5,$J251=6,$J251=7),$E251*$I251/12*3,IF($J251=8,$E251*$I251/12*2,IF($J251=9,$E251*$I251/12*1,0)))))+IF(CD$5&lt;&gt;$H251,0,IF(CD251&gt;0,IF($J251=7,$E251*$I251/12*0,IF($J251=8,$E251*$I251/12*1,IF($J251=9,$E251*$I251/12*2,IF($J251&gt;=10,$E251*$I251/12*3,0))))))</f>
        <v>0</v>
      </c>
      <c r="CH251" s="443">
        <f t="shared" ref="CH251" si="3631">IF($H251&lt;&gt;CI$5,0,IF(CI251&gt;0,IF(OR($J251=1,$J251=2,$J251=3,$J251=4,$J251=5,$J251=6,$J251=7,$J251=8,$J251=9,$J251=10),$E251*$I251/12*3,IF($J251=11,$E251*$I251/12*2,IF($J251=12,$E251*$I251/12*1,0)))))+IF(CD$5&lt;&gt;$H251,0,IF(CD251&gt;0,IF($J251=10,$E251*$I251/12*0,IF($J251=11,$E251*$I251/12*1,IF($J251=12,$E251*$I251/12*2,0)))))</f>
        <v>0</v>
      </c>
      <c r="CI251" s="440">
        <f t="shared" ref="CI251" si="3632">IF(AND(CD251&lt;&gt;0,CD$5=$H251),$I251*$E251-CD251,IF(CI$5=$H251,$I251*$E251*(12-$J251+1)/12,0))</f>
        <v>0</v>
      </c>
      <c r="CJ251" s="441">
        <f t="shared" ref="CJ251" si="3633">IF($H251&lt;&gt;CN$5,0,IF(CN251&gt;0,IF($J251=1,$E251*$I251/12*3,IF($J251=2,$E251*$I251/12*2,IF($J251=3,$E251*$I251/12*1,0)))))+IF(CI$5&lt;&gt;$H251,0,IF(CI251&gt;0,IF($J251=1,$E251*$I251/12*0,IF($J251=2,$E251*$I251/12*1,IF($J251=3,$E251*$I251/12*2,IF($J251&gt;=4,$E251*$I251/12*3,0))))))</f>
        <v>0</v>
      </c>
      <c r="CK251" s="442">
        <f t="shared" ref="CK251" si="3634">IF($H251&lt;&gt;CN$5,0,IF(CN251&gt;0,IF(OR($J251=1,$J251=2,$J251=3,$J251=4),$E251*$I251/12*3,IF($J251=5,$E251*$I251/12*2,IF($J251=6,$E251*$I251/12*1,0)))))+IF(CI$5&lt;&gt;$H251,0,IF(CI251&gt;0,IF($J251=4,$E251*$I251/12*0,IF($J251=5,$E251*$I251/12*1,IF($J251=6,$E251*$I251/12*2,IF($J251&gt;=7,$E251*$I251/12*3,0))))))</f>
        <v>0</v>
      </c>
      <c r="CL251" s="442">
        <f t="shared" ref="CL251" si="3635">IF($H251&lt;&gt;CN$5,0,IF(CN251&gt;0,IF(OR($J251=1,$J251=2,$J251=3,$J251=4,$J251=5,$J251=6,$J251=7),$E251*$I251/12*3,IF($J251=8,$E251*$I251/12*2,IF($J251=9,$E251*$I251/12*1,0)))))+IF(CI$5&lt;&gt;$H251,0,IF(CI251&gt;0,IF($J251=7,$E251*$I251/12*0,IF($J251=8,$E251*$I251/12*1,IF($J251=9,$E251*$I251/12*2,IF($J251&gt;=10,$E251*$I251/12*3,0))))))</f>
        <v>0</v>
      </c>
      <c r="CM251" s="443">
        <f t="shared" ref="CM251" si="3636">IF($H251&lt;&gt;CN$5,0,IF(CN251&gt;0,IF(OR($J251=1,$J251=2,$J251=3,$J251=4,$J251=5,$J251=6,$J251=7,$J251=8,$J251=9,$J251=10),$E251*$I251/12*3,IF($J251=11,$E251*$I251/12*2,IF($J251=12,$E251*$I251/12*1,0)))))+IF(CI$5&lt;&gt;$H251,0,IF(CI251&gt;0,IF($J251=10,$E251*$I251/12*0,IF($J251=11,$E251*$I251/12*1,IF($J251=12,$E251*$I251/12*2,0)))))</f>
        <v>0</v>
      </c>
      <c r="CN251" s="440">
        <f t="shared" ref="CN251" si="3637">IF(AND(CI251&lt;&gt;0,CI$5=$H251),$I251*$E251-CI251,IF(CN$5=$H251,$I251*$E251*(12-$J251+1)/12,0))</f>
        <v>0</v>
      </c>
      <c r="CO251" s="441">
        <f t="shared" ref="CO251" si="3638">IF($H251&lt;&gt;CS$5,0,IF(CS251&gt;0,IF($J251=1,$E251*$I251/12*3,IF($J251=2,$E251*$I251/12*2,IF($J251=3,$E251*$I251/12*1,0)))))+IF(CN$5&lt;&gt;$H251,0,IF(CN251&gt;0,IF($J251=1,$E251*$I251/12*0,IF($J251=2,$E251*$I251/12*1,IF($J251=3,$E251*$I251/12*2,IF($J251&gt;=4,$E251*$I251/12*3,0))))))</f>
        <v>0</v>
      </c>
      <c r="CP251" s="442">
        <f t="shared" ref="CP251" si="3639">IF($H251&lt;&gt;CS$5,0,IF(CS251&gt;0,IF(OR($J251=1,$J251=2,$J251=3,$J251=4),$E251*$I251/12*3,IF($J251=5,$E251*$I251/12*2,IF($J251=6,$E251*$I251/12*1,0)))))+IF(CN$5&lt;&gt;$H251,0,IF(CN251&gt;0,IF($J251=4,$E251*$I251/12*0,IF($J251=5,$E251*$I251/12*1,IF($J251=6,$E251*$I251/12*2,IF($J251&gt;=7,$E251*$I251/12*3,0))))))</f>
        <v>0</v>
      </c>
      <c r="CQ251" s="442">
        <f t="shared" ref="CQ251" si="3640">IF($H251&lt;&gt;CS$5,0,IF(CS251&gt;0,IF(OR($J251=1,$J251=2,$J251=3,$J251=4,$J251=5,$J251=6,$J251=7),$E251*$I251/12*3,IF($J251=8,$E251*$I251/12*2,IF($J251=9,$E251*$I251/12*1,0)))))+IF(CN$5&lt;&gt;$H251,0,IF(CN251&gt;0,IF($J251=7,$E251*$I251/12*0,IF($J251=8,$E251*$I251/12*1,IF($J251=9,$E251*$I251/12*2,IF($J251&gt;=10,$E251*$I251/12*3,0))))))</f>
        <v>0</v>
      </c>
      <c r="CR251" s="443">
        <f t="shared" ref="CR251" si="3641">IF($H251&lt;&gt;CS$5,0,IF(CS251&gt;0,IF(OR($J251=1,$J251=2,$J251=3,$J251=4,$J251=5,$J251=6,$J251=7,$J251=8,$J251=9,$J251=10),$E251*$I251/12*3,IF($J251=11,$E251*$I251/12*2,IF($J251=12,$E251*$I251/12*1,0)))))+IF(CN$5&lt;&gt;$H251,0,IF(CN251&gt;0,IF($J251=10,$E251*$I251/12*0,IF($J251=11,$E251*$I251/12*1,IF($J251=12,$E251*$I251/12*2,0)))))</f>
        <v>0</v>
      </c>
      <c r="CS251" s="440">
        <f t="shared" ref="CS251" si="3642">IF(AND(CN251&lt;&gt;0,CN$5=$H251),$I251*$E251-CN251,IF(CS$5=$H251,$I251*$E251*(12-$J251+1)/12,0))</f>
        <v>0</v>
      </c>
      <c r="CT251" s="441">
        <f t="shared" ref="CT251" si="3643">IF($H251&lt;&gt;CX$5,0,IF(CX251&gt;0,IF($J251=1,$E251*$I251/12*3,IF($J251=2,$E251*$I251/12*2,IF($J251=3,$E251*$I251/12*1,0)))))+IF(CS$5&lt;&gt;$H251,0,IF(CS251&gt;0,IF($J251=1,$E251*$I251/12*0,IF($J251=2,$E251*$I251/12*1,IF($J251=3,$E251*$I251/12*2,IF($J251&gt;=4,$E251*$I251/12*3,0))))))</f>
        <v>0</v>
      </c>
      <c r="CU251" s="442">
        <f t="shared" ref="CU251" si="3644">IF($H251&lt;&gt;CX$5,0,IF(CX251&gt;0,IF(OR($J251=1,$J251=2,$J251=3,$J251=4),$E251*$I251/12*3,IF($J251=5,$E251*$I251/12*2,IF($J251=6,$E251*$I251/12*1,0)))))+IF(CS$5&lt;&gt;$H251,0,IF(CS251&gt;0,IF($J251=4,$E251*$I251/12*0,IF($J251=5,$E251*$I251/12*1,IF($J251=6,$E251*$I251/12*2,IF($J251&gt;=7,$E251*$I251/12*3,0))))))</f>
        <v>0</v>
      </c>
      <c r="CV251" s="442">
        <f t="shared" ref="CV251" si="3645">IF($H251&lt;&gt;CX$5,0,IF(CX251&gt;0,IF(OR($J251=1,$J251=2,$J251=3,$J251=4,$J251=5,$J251=6,$J251=7),$E251*$I251/12*3,IF($J251=8,$E251*$I251/12*2,IF($J251=9,$E251*$I251/12*1,0)))))+IF(CS$5&lt;&gt;$H251,0,IF(CS251&gt;0,IF($J251=7,$E251*$I251/12*0,IF($J251=8,$E251*$I251/12*1,IF($J251=9,$E251*$I251/12*2,IF($J251&gt;=10,$E251*$I251/12*3,0))))))</f>
        <v>0.8125</v>
      </c>
      <c r="CW251" s="443">
        <f t="shared" ref="CW251" si="3646">IF($H251&lt;&gt;CX$5,0,IF(CX251&gt;0,IF(OR($J251=1,$J251=2,$J251=3,$J251=4,$J251=5,$J251=6,$J251=7,$J251=8,$J251=9,$J251=10),$E251*$I251/12*3,IF($J251=11,$E251*$I251/12*2,IF($J251=12,$E251*$I251/12*1,0)))))+IF(CS$5&lt;&gt;$H251,0,IF(CS251&gt;0,IF($J251=10,$E251*$I251/12*0,IF($J251=11,$E251*$I251/12*1,IF($J251=12,$E251*$I251/12*2,0)))))</f>
        <v>2.4375</v>
      </c>
      <c r="CX251" s="440">
        <f t="shared" ref="CX251" si="3647">IF(AND(CS251&lt;&gt;0,CS$5=$H251),$I251*$E251-CS251,IF(CX$5=$H251,$I251*$E251*(12-$J251+1)/12,0))</f>
        <v>3.25</v>
      </c>
      <c r="CY251" s="441">
        <f t="shared" ref="CY251" si="3648">IF($H251&lt;&gt;DC$5,0,IF(DC251&gt;0,IF($J251=1,$E251*$I251/12*3,IF($J251=2,$E251*$I251/12*2,IF($J251=3,$E251*$I251/12*1,0)))))+IF(CX$5&lt;&gt;$H251,0,IF(CX251&gt;0,IF($J251=1,$E251*$I251/12*0,IF($J251=2,$E251*$I251/12*1,IF($J251=3,$E251*$I251/12*2,IF($J251&gt;=4,$E251*$I251/12*3,0))))))</f>
        <v>2.4375</v>
      </c>
      <c r="CZ251" s="442">
        <f t="shared" ref="CZ251" si="3649">IF($H251&lt;&gt;DC$5,0,IF(DC251&gt;0,IF(OR($J251=1,$J251=2,$J251=3,$J251=4),$E251*$I251/12*3,IF($J251=5,$E251*$I251/12*2,IF($J251=6,$E251*$I251/12*1,0)))))+IF(CX$5&lt;&gt;$H251,0,IF(CX251&gt;0,IF($J251=4,$E251*$I251/12*0,IF($J251=5,$E251*$I251/12*1,IF($J251=6,$E251*$I251/12*2,IF($J251&gt;=7,$E251*$I251/12*3,0))))))</f>
        <v>2.4375</v>
      </c>
      <c r="DA251" s="442">
        <f t="shared" ref="DA251" si="3650">IF($H251&lt;&gt;DC$5,0,IF(DC251&gt;0,IF(OR($J251=1,$J251=2,$J251=3,$J251=4,$J251=5,$J251=6,$J251=7),$E251*$I251/12*3,IF($J251=8,$E251*$I251/12*2,IF($J251=9,$E251*$I251/12*1,0)))))+IF(CX$5&lt;&gt;$H251,0,IF(CX251&gt;0,IF($J251=7,$E251*$I251/12*0,IF($J251=8,$E251*$I251/12*1,IF($J251=9,$E251*$I251/12*2,IF($J251&gt;=10,$E251*$I251/12*3,0))))))</f>
        <v>1.625</v>
      </c>
      <c r="DB251" s="443">
        <f t="shared" ref="DB251" si="3651">IF($H251&lt;&gt;DC$5,0,IF(DC251&gt;0,IF(OR($J251=1,$J251=2,$J251=3,$J251=4,$J251=5,$J251=6,$J251=7,$J251=8,$J251=9,$J251=10),$E251*$I251/12*3,IF($J251=11,$E251*$I251/12*2,IF($J251=12,$E251*$I251/12*1,0)))))+IF(CX$5&lt;&gt;$H251,0,IF(CX251&gt;0,IF($J251=10,$E251*$I251/12*0,IF($J251=11,$E251*$I251/12*1,IF($J251=12,$E251*$I251/12*2,0)))))</f>
        <v>0</v>
      </c>
      <c r="DC251" s="440">
        <f t="shared" ref="DC251" si="3652">IF(AND(CX251&lt;&gt;0,CX$5=$H251),$I251*$E251-CX251,IF(DC$5=$H251,$I251*$E251*(12-$J251+1)/12,0))</f>
        <v>6.5</v>
      </c>
      <c r="DD251" s="441">
        <f t="shared" ref="DD251" si="3653">IF($H251&lt;&gt;DH$5,0,IF(DH251&gt;0,IF($J251=1,$E251*$I251/12*3,IF($J251=2,$E251*$I251/12*2,IF($J251=3,$E251*$I251/12*1,0)))))+IF(DC$5&lt;&gt;$H251,0,IF(DC251&gt;0,IF($J251=1,$E251*$I251/12*0,IF($J251=2,$E251*$I251/12*1,IF($J251=3,$E251*$I251/12*2,IF($J251&gt;=4,$E251*$I251/12*3,0))))))</f>
        <v>0</v>
      </c>
      <c r="DE251" s="442">
        <f t="shared" ref="DE251" si="3654">IF($H251&lt;&gt;DH$5,0,IF(DH251&gt;0,IF(OR($J251=1,$J251=2,$J251=3,$J251=4),$E251*$I251/12*3,IF($J251=5,$E251*$I251/12*2,IF($J251=6,$E251*$I251/12*1,0)))))+IF(DC$5&lt;&gt;$H251,0,IF(DC251&gt;0,IF($J251=4,$E251*$I251/12*0,IF($J251=5,$E251*$I251/12*1,IF($J251=6,$E251*$I251/12*2,IF($J251&gt;=7,$E251*$I251/12*3,0))))))</f>
        <v>0</v>
      </c>
      <c r="DF251" s="442">
        <f t="shared" ref="DF251" si="3655">IF($H251&lt;&gt;DH$5,0,IF(DH251&gt;0,IF(OR($J251=1,$J251=2,$J251=3,$J251=4,$J251=5,$J251=6,$J251=7),$E251*$I251/12*3,IF($J251=8,$E251*$I251/12*2,IF($J251=9,$E251*$I251/12*1,0)))))+IF(DC$5&lt;&gt;$H251,0,IF(DC251&gt;0,IF($J251=7,$E251*$I251/12*0,IF($J251=8,$E251*$I251/12*1,IF($J251=9,$E251*$I251/12*2,IF($J251&gt;=10,$E251*$I251/12*3,0))))))</f>
        <v>0</v>
      </c>
      <c r="DG251" s="443">
        <f t="shared" ref="DG251" si="3656">IF($H251&lt;&gt;DH$5,0,IF(DH251&gt;0,IF(OR($J251=1,$J251=2,$J251=3,$J251=4,$J251=5,$J251=6,$J251=7,$J251=8,$J251=9,$J251=10),$E251*$I251/12*3,IF($J251=11,$E251*$I251/12*2,IF($J251=12,$E251*$I251/12*1,0)))))+IF(DC$5&lt;&gt;$H251,0,IF(DC251&gt;0,IF($J251=10,$E251*$I251/12*0,IF($J251=11,$E251*$I251/12*1,IF($J251=12,$E251*$I251/12*2,0)))))</f>
        <v>0</v>
      </c>
      <c r="DH251" s="440">
        <f t="shared" ref="DH251" si="3657">IF(AND(DC251&lt;&gt;0,DC$5=$H251),$I251*$E251-DC251,IF(DH$5=$H251,$I251*$E251*(12-$J251+1)/12,0))</f>
        <v>0</v>
      </c>
      <c r="DI251" s="441">
        <f t="shared" ref="DI251" si="3658">IF($H251&lt;&gt;DM$5,0,IF(DM251&gt;0,IF($J251=1,$E251*$I251/12*3,IF($J251=2,$E251*$I251/12*2,IF($J251=3,$E251*$I251/12*1,0)))))+IF(DH$5&lt;&gt;$H251,0,IF(DH251&gt;0,IF($J251=1,$E251*$I251/12*0,IF($J251=2,$E251*$I251/12*1,IF($J251=3,$E251*$I251/12*2,IF($J251&gt;=4,$E251*$I251/12*3,0))))))</f>
        <v>0</v>
      </c>
      <c r="DJ251" s="442">
        <f t="shared" ref="DJ251" si="3659">IF($H251&lt;&gt;DM$5,0,IF(DM251&gt;0,IF(OR($J251=1,$J251=2,$J251=3,$J251=4),$E251*$I251/12*3,IF($J251=5,$E251*$I251/12*2,IF($J251=6,$E251*$I251/12*1,0)))))+IF(DH$5&lt;&gt;$H251,0,IF(DH251&gt;0,IF($J251=4,$E251*$I251/12*0,IF($J251=5,$E251*$I251/12*1,IF($J251=6,$E251*$I251/12*2,IF($J251&gt;=7,$E251*$I251/12*3,0))))))</f>
        <v>0</v>
      </c>
      <c r="DK251" s="442">
        <f t="shared" ref="DK251" si="3660">IF($H251&lt;&gt;DM$5,0,IF(DM251&gt;0,IF(OR($J251=1,$J251=2,$J251=3,$J251=4,$J251=5,$J251=6,$J251=7),$E251*$I251/12*3,IF($J251=8,$E251*$I251/12*2,IF($J251=9,$E251*$I251/12*1,0)))))+IF(DH$5&lt;&gt;$H251,0,IF(DH251&gt;0,IF($J251=7,$E251*$I251/12*0,IF($J251=8,$E251*$I251/12*1,IF($J251=9,$E251*$I251/12*2,IF($J251&gt;=10,$E251*$I251/12*3,0))))))</f>
        <v>0</v>
      </c>
      <c r="DL251" s="443">
        <f t="shared" ref="DL251" si="3661">IF($H251&lt;&gt;DM$5,0,IF(DM251&gt;0,IF(OR($J251=1,$J251=2,$J251=3,$J251=4,$J251=5,$J251=6,$J251=7,$J251=8,$J251=9,$J251=10),$E251*$I251/12*3,IF($J251=11,$E251*$I251/12*2,IF($J251=12,$E251*$I251/12*1,0)))))+IF(DH$5&lt;&gt;$H251,0,IF(DH251&gt;0,IF($J251=10,$E251*$I251/12*0,IF($J251=11,$E251*$I251/12*1,IF($J251=12,$E251*$I251/12*2,0)))))</f>
        <v>0</v>
      </c>
      <c r="DM251" s="440">
        <f t="shared" ref="DM251" si="3662">IF(AND(DH251&lt;&gt;0,DH$5=$H251),$I251*$E251-DH251,IF(DM$5=$H251,$I251*$E251*(12-$J251+1)/12,0))</f>
        <v>0</v>
      </c>
      <c r="DN251" s="441">
        <f t="shared" ref="DN251" si="3663">IF($H251&lt;&gt;DR$5,0,IF(DR251&gt;0,IF($J251=1,$E251*$I251/12*3,IF($J251=2,$E251*$I251/12*2,IF($J251=3,$E251*$I251/12*1,0)))))+IF(DM$5&lt;&gt;$H251,0,IF(DM251&gt;0,IF($J251=1,$E251*$I251/12*0,IF($J251=2,$E251*$I251/12*1,IF($J251=3,$E251*$I251/12*2,IF($J251&gt;=4,$E251*$I251/12*3,0))))))</f>
        <v>0</v>
      </c>
      <c r="DO251" s="442">
        <f t="shared" ref="DO251" si="3664">IF($H251&lt;&gt;DR$5,0,IF(DR251&gt;0,IF(OR($J251=1,$J251=2,$J251=3,$J251=4),$E251*$I251/12*3,IF($J251=5,$E251*$I251/12*2,IF($J251=6,$E251*$I251/12*1,0)))))+IF(DM$5&lt;&gt;$H251,0,IF(DM251&gt;0,IF($J251=4,$E251*$I251/12*0,IF($J251=5,$E251*$I251/12*1,IF($J251=6,$E251*$I251/12*2,IF($J251&gt;=7,$E251*$I251/12*3,0))))))</f>
        <v>0</v>
      </c>
      <c r="DP251" s="442">
        <f t="shared" ref="DP251" si="3665">IF($H251&lt;&gt;DR$5,0,IF(DR251&gt;0,IF(OR($J251=1,$J251=2,$J251=3,$J251=4,$J251=5,$J251=6,$J251=7),$E251*$I251/12*3,IF($J251=8,$E251*$I251/12*2,IF($J251=9,$E251*$I251/12*1,0)))))+IF(DM$5&lt;&gt;$H251,0,IF(DM251&gt;0,IF($J251=7,$E251*$I251/12*0,IF($J251=8,$E251*$I251/12*1,IF($J251=9,$E251*$I251/12*2,IF($J251&gt;=10,$E251*$I251/12*3,0))))))</f>
        <v>0</v>
      </c>
      <c r="DQ251" s="443">
        <f t="shared" ref="DQ251" si="3666">IF($H251&lt;&gt;DR$5,0,IF(DR251&gt;0,IF(OR($J251=1,$J251=2,$J251=3,$J251=4,$J251=5,$J251=6,$J251=7,$J251=8,$J251=9,$J251=10),$E251*$I251/12*3,IF($J251=11,$E251*$I251/12*2,IF($J251=12,$E251*$I251/12*1,0)))))+IF(DM$5&lt;&gt;$H251,0,IF(DM251&gt;0,IF($J251=10,$E251*$I251/12*0,IF($J251=11,$E251*$I251/12*1,IF($J251=12,$E251*$I251/12*2,0)))))</f>
        <v>0</v>
      </c>
      <c r="DR251" s="440">
        <f t="shared" ref="DR251" si="3667">IF(AND(DM251&lt;&gt;0,DM$5=$H251),$I251*$E251-DM251,IF(DR$5=$H251,$I251*$E251*(12-$J251+1)/12,0))</f>
        <v>0</v>
      </c>
    </row>
    <row r="252" spans="1:122" ht="12.75" customHeight="1">
      <c r="A252" s="92"/>
      <c r="B252" s="92"/>
      <c r="C252" s="1946" t="s">
        <v>1211</v>
      </c>
      <c r="D252" s="1953"/>
      <c r="E252" s="1757">
        <v>350</v>
      </c>
      <c r="F252" s="1757"/>
      <c r="G252" s="1757"/>
      <c r="H252" s="1750">
        <v>2017</v>
      </c>
      <c r="I252" s="1956">
        <v>3.5000000000000003E-2</v>
      </c>
      <c r="J252" s="1749">
        <v>10</v>
      </c>
      <c r="K252" s="528"/>
      <c r="L252" s="441">
        <f t="shared" ref="L252" si="3668">IF(P252=0,0,IF(P252&gt;0,IF($J252=3,P252,IF($J252=2,P252,IF($J252=1,P252,0)))))</f>
        <v>0</v>
      </c>
      <c r="M252" s="442">
        <f t="shared" ref="M252" si="3669">IF(P252=0,0,IF(P252&gt;0,IF($J252=6,P252,IF($J252=5,P252,IF($J252=4,P252,0)))))</f>
        <v>0</v>
      </c>
      <c r="N252" s="442">
        <f t="shared" ref="N252" si="3670">IF(P252=0,0,IF(P252&gt;0,IF($J252=9,P252,IF($J252=8,P252,IF($J252=7,P252,0)))))</f>
        <v>0</v>
      </c>
      <c r="O252" s="443">
        <f t="shared" ref="O252" si="3671">IF(P252=0,0,IF(P252&gt;0,IF($J252=12,P252,IF($J252=11,P252,IF($J252=10,P252,0)))))</f>
        <v>0</v>
      </c>
      <c r="P252" s="440">
        <f t="shared" si="3166"/>
        <v>0</v>
      </c>
      <c r="Q252" s="441">
        <f t="shared" ref="Q252" si="3672">IF(U252=0,0,IF(U252&gt;0,IF($J252=3,U252,IF($J252=2,U252,IF($J252=1,U252,0)))))</f>
        <v>0</v>
      </c>
      <c r="R252" s="442">
        <f t="shared" ref="R252" si="3673">IF(U252=0,0,IF(U252&gt;0,IF($J252=6,U252,IF($J252=5,U252,IF($J252=4,U252,0)))))</f>
        <v>0</v>
      </c>
      <c r="S252" s="442">
        <f t="shared" ref="S252" si="3674">IF(U252=0,0,IF(U252&gt;0,IF($J252=9,U252,IF($J252=8,U252,IF($J252=7,U252,0)))))</f>
        <v>0</v>
      </c>
      <c r="T252" s="443">
        <f t="shared" ref="T252" si="3675">IF(U252=0,0,IF(U252&gt;0,IF($J252=12,U252,IF($J252=11,U252,IF($J252=10,U252,0)))))</f>
        <v>0</v>
      </c>
      <c r="U252" s="440">
        <f t="shared" si="3171"/>
        <v>0</v>
      </c>
      <c r="V252" s="441">
        <f t="shared" ref="V252" si="3676">IF(Z252=0,0,IF(Z252&gt;0,IF($J252=3,Z252,IF($J252=2,Z252,IF($J252=1,Z252,0)))))</f>
        <v>0</v>
      </c>
      <c r="W252" s="442">
        <f t="shared" ref="W252" si="3677">IF(Z252=0,0,IF(Z252&gt;0,IF($J252=6,Z252,IF($J252=5,Z252,IF($J252=4,Z252,0)))))</f>
        <v>0</v>
      </c>
      <c r="X252" s="442">
        <f t="shared" ref="X252" si="3678">IF(Z252=0,0,IF(Z252&gt;0,IF($J252=9,Z252,IF($J252=8,Z252,IF($J252=7,Z252,0)))))</f>
        <v>0</v>
      </c>
      <c r="Y252" s="443">
        <f t="shared" ref="Y252" si="3679">IF(Z252=0,0,IF(Z252&gt;0,IF($J252=12,Z252,IF($J252=11,Z252,IF($J252=10,Z252,0)))))</f>
        <v>0</v>
      </c>
      <c r="Z252" s="440">
        <f t="shared" si="3176"/>
        <v>0</v>
      </c>
      <c r="AA252" s="441">
        <f t="shared" ref="AA252" si="3680">IF(AE252=0,0,IF(AE252&gt;0,IF($J252=3,AE252,IF($J252=2,AE252,IF($J252=1,AE252,0)))))</f>
        <v>0</v>
      </c>
      <c r="AB252" s="442">
        <f t="shared" ref="AB252" si="3681">IF(AE252=0,0,IF(AE252&gt;0,IF($J252=6,AE252,IF($J252=5,AE252,IF($J252=4,AE252,0)))))</f>
        <v>0</v>
      </c>
      <c r="AC252" s="442">
        <f t="shared" ref="AC252" si="3682">IF(AE252=0,0,IF(AE252&gt;0,IF($J252=9,AE252,IF($J252=8,AE252,IF($J252=7,AE252,0)))))</f>
        <v>0</v>
      </c>
      <c r="AD252" s="443">
        <f t="shared" ref="AD252" si="3683">IF(AE252=0,0,IF(AE252&gt;0,IF($J252=12,AE252,IF($J252=11,AE252,IF($J252=10,AE252,0)))))</f>
        <v>0</v>
      </c>
      <c r="AE252" s="440">
        <f t="shared" si="3181"/>
        <v>0</v>
      </c>
      <c r="AF252" s="441">
        <f t="shared" ref="AF252" si="3684">IF(AJ252=0,0,IF(AJ252&gt;0,IF($J252=3,AJ252,IF($J252=2,AJ252,IF($J252=1,AJ252,0)))))</f>
        <v>0</v>
      </c>
      <c r="AG252" s="442">
        <f t="shared" ref="AG252" si="3685">IF(AJ252=0,0,IF(AJ252&gt;0,IF($J252=6,AJ252,IF($J252=5,AJ252,IF($J252=4,AJ252,0)))))</f>
        <v>0</v>
      </c>
      <c r="AH252" s="442">
        <f t="shared" ref="AH252" si="3686">IF(AJ252=0,0,IF(AJ252&gt;0,IF($J252=9,AJ252,IF($J252=8,AJ252,IF($J252=7,AJ252,0)))))</f>
        <v>0</v>
      </c>
      <c r="AI252" s="443">
        <f t="shared" ref="AI252" si="3687">IF(AJ252=0,0,IF(AJ252&gt;0,IF($J252=12,AJ252,IF($J252=11,AJ252,IF($J252=10,AJ252,0)))))</f>
        <v>0</v>
      </c>
      <c r="AJ252" s="440">
        <f t="shared" si="3186"/>
        <v>0</v>
      </c>
      <c r="AK252" s="441">
        <f t="shared" ref="AK252" si="3688">IF(AO252=0,0,IF(AO252&gt;0,IF($J252=3,AO252,IF($J252=2,AO252,IF($J252=1,AO252,0)))))</f>
        <v>0</v>
      </c>
      <c r="AL252" s="442">
        <f t="shared" ref="AL252" si="3689">IF(AO252=0,0,IF(AO252&gt;0,IF($J252=6,AO252,IF($J252=5,AO252,IF($J252=4,AO252,0)))))</f>
        <v>0</v>
      </c>
      <c r="AM252" s="442">
        <f t="shared" ref="AM252" si="3690">IF(AO252=0,0,IF(AO252&gt;0,IF($J252=9,AO252,IF($J252=8,AO252,IF($J252=7,AO252,0)))))</f>
        <v>0</v>
      </c>
      <c r="AN252" s="443">
        <f t="shared" ref="AN252" si="3691">IF(AO252=0,0,IF(AO252&gt;0,IF($J252=12,AO252,IF($J252=11,AO252,IF($J252=10,AO252,0)))))</f>
        <v>0</v>
      </c>
      <c r="AO252" s="440">
        <f t="shared" si="3191"/>
        <v>0</v>
      </c>
      <c r="AP252" s="441">
        <f t="shared" ref="AP252" si="3692">IF(AT252=0,0,IF(AT252&gt;0,IF($J252=3,AT252,IF($J252=2,AT252,IF($J252=1,AT252,0)))))</f>
        <v>0</v>
      </c>
      <c r="AQ252" s="442">
        <f t="shared" ref="AQ252" si="3693">IF(AT252=0,0,IF(AT252&gt;0,IF($J252=6,AT252,IF($J252=5,AT252,IF($J252=4,AT252,0)))))</f>
        <v>0</v>
      </c>
      <c r="AR252" s="442">
        <f t="shared" ref="AR252" si="3694">IF(AT252=0,0,IF(AT252&gt;0,IF($J252=9,AT252,IF($J252=8,AT252,IF($J252=7,AT252,0)))))</f>
        <v>0</v>
      </c>
      <c r="AS252" s="443">
        <f t="shared" ref="AS252" si="3695">IF(AT252=0,0,IF(AT252&gt;0,IF($J252=12,AT252,IF($J252=11,AT252,IF($J252=10,AT252,0)))))</f>
        <v>350</v>
      </c>
      <c r="AT252" s="440">
        <f t="shared" si="3196"/>
        <v>350</v>
      </c>
      <c r="AU252" s="441">
        <f t="shared" ref="AU252" si="3696">IF(AY252=0,0,IF(AY252&gt;0,IF($J252=3,AY252,IF($J252=2,AY252,IF($J252=1,AY252,0)))))</f>
        <v>0</v>
      </c>
      <c r="AV252" s="442">
        <f t="shared" ref="AV252" si="3697">IF(AY252=0,0,IF(AY252&gt;0,IF($J252=6,AY252,IF($J252=5,AY252,IF($J252=4,AY252,0)))))</f>
        <v>0</v>
      </c>
      <c r="AW252" s="442">
        <f t="shared" ref="AW252" si="3698">IF(AY252=0,0,IF(AY252&gt;0,IF($J252=9,AY252,IF($J252=8,AY252,IF($J252=7,AY252,0)))))</f>
        <v>0</v>
      </c>
      <c r="AX252" s="443">
        <f t="shared" ref="AX252" si="3699">IF(AY252=0,0,IF(AY252&gt;0,IF($J252=12,AY252,IF($J252=11,AY252,IF($J252=10,AY252,0)))))</f>
        <v>0</v>
      </c>
      <c r="AY252" s="440">
        <f t="shared" si="3201"/>
        <v>0</v>
      </c>
      <c r="AZ252" s="441">
        <f t="shared" ref="AZ252" si="3700">IF(BD252=0,0,IF(BD252&gt;0,IF($J252=3,BD252,IF($J252=2,BD252,IF($J252=1,BD252,0)))))</f>
        <v>0</v>
      </c>
      <c r="BA252" s="442">
        <f t="shared" ref="BA252" si="3701">IF(BD252=0,0,IF(BD252&gt;0,IF($J252=6,BD252,IF($J252=5,BD252,IF($J252=4,BD252,0)))))</f>
        <v>0</v>
      </c>
      <c r="BB252" s="442">
        <f t="shared" ref="BB252" si="3702">IF(BD252=0,0,IF(BD252&gt;0,IF($J252=9,BD252,IF($J252=8,BD252,IF($J252=7,BD252,0)))))</f>
        <v>0</v>
      </c>
      <c r="BC252" s="443">
        <f t="shared" ref="BC252" si="3703">IF(BD252=0,0,IF(BD252&gt;0,IF($J252=12,BD252,IF($J252=11,BD252,IF($J252=10,BD252,0)))))</f>
        <v>0</v>
      </c>
      <c r="BD252" s="440">
        <f t="shared" si="3206"/>
        <v>0</v>
      </c>
      <c r="BE252" s="441">
        <f t="shared" ref="BE252" si="3704">IF(BI252=0,0,IF(BI252&gt;0,IF($J252=3,BI252,IF($J252=2,BI252,IF($J252=1,BI252,0)))))</f>
        <v>0</v>
      </c>
      <c r="BF252" s="442">
        <f t="shared" ref="BF252" si="3705">IF(BI252=0,0,IF(BI252&gt;0,IF($J252=6,BI252,IF($J252=5,BI252,IF($J252=4,BI252,0)))))</f>
        <v>0</v>
      </c>
      <c r="BG252" s="442">
        <f t="shared" ref="BG252" si="3706">IF(BI252=0,0,IF(BI252&gt;0,IF($J252=9,BI252,IF($J252=8,BI252,IF($J252=7,BI252,0)))))</f>
        <v>0</v>
      </c>
      <c r="BH252" s="443">
        <f t="shared" ref="BH252" si="3707">IF(BI252=0,0,IF(BI252&gt;0,IF($J252=12,BI252,IF($J252=11,BI252,IF($J252=10,BI252,0)))))</f>
        <v>0</v>
      </c>
      <c r="BI252" s="440">
        <f t="shared" si="3211"/>
        <v>0</v>
      </c>
      <c r="BJ252" s="441">
        <f t="shared" ref="BJ252" si="3708">IF(BN252=0,0,IF(BN252&gt;0,IF($J252=3,BN252,IF($J252=2,BN252,IF($J252=1,BN252,0)))))</f>
        <v>0</v>
      </c>
      <c r="BK252" s="442">
        <f t="shared" ref="BK252" si="3709">IF(BN252=0,0,IF(BN252&gt;0,IF($J252=6,BN252,IF($J252=5,BN252,IF($J252=4,BN252,0)))))</f>
        <v>0</v>
      </c>
      <c r="BL252" s="442">
        <f t="shared" ref="BL252" si="3710">IF(BN252=0,0,IF(BN252&gt;0,IF($J252=9,BN252,IF($J252=8,BN252,IF($J252=7,BN252,0)))))</f>
        <v>0</v>
      </c>
      <c r="BM252" s="443">
        <f t="shared" ref="BM252" si="3711">IF(BN252=0,0,IF(BN252&gt;0,IF($J252=12,BN252,IF($J252=11,BN252,IF($J252=10,BN252,0)))))</f>
        <v>0</v>
      </c>
      <c r="BN252" s="440">
        <f t="shared" si="3216"/>
        <v>0</v>
      </c>
      <c r="BO252" s="463"/>
      <c r="BP252" s="441">
        <f t="shared" ref="BP252" si="3712">IF($H252&lt;&gt;BT$5,0,IF(BT252&gt;0,IF($J252=1,$E252*$I252/12*3,IF($J252=2,$E252*$I252/12*2,IF($J252=3,$E252*$I252/12*1,0)))))+IF(BO$5&lt;&gt;$H252,0,IF(BO252&gt;0,IF($J252=1,$E252*$I252/12*0,IF($J252=2,$E252*$I252/12*1,IF($J252=3,$E252*$I252/12*2,IF($J252&gt;=4,$E252*$I252/12*3,0))))))</f>
        <v>0</v>
      </c>
      <c r="BQ252" s="442">
        <f t="shared" ref="BQ252" si="3713">IF($H252&lt;&gt;BT$5,0,IF(BT252&gt;0,IF(OR($J252=1,$J252=2,$J252=3,$J252=4),$E252*$I252/12*3,IF($J252=5,$E252*$I252/12*2,IF($J252=6,$E252*$I252/12*1,0)))))+IF(BO$5&lt;&gt;$H252,0,IF(BO252&gt;0,IF($J252=4,$E252*$I252/12*0,IF($J252=5,$E252*$I252/12*1,IF($J252=6,$E252*$I252/12*2,IF($J252&gt;=7,$E252*$I252/12*3,0))))))</f>
        <v>0</v>
      </c>
      <c r="BR252" s="442">
        <f t="shared" ref="BR252" si="3714">IF($H252&lt;&gt;BT$5,0,IF(BT252&gt;0,IF(OR($J252=1,$J252=2,$J252=3,$J252=4,$J252=5,$J252=6,$J252=7),$E252*$I252/12*3,IF($J252=8,$E252*$I252/12*2,IF($J252=9,$E252*$I252/12*1,0)))))+IF(BO$5&lt;&gt;$H252,0,IF(BO252&gt;0,IF($J252=7,$E252*$I252/12*0,IF($J252=8,$E252*$I252/12*1,IF($J252=9,$E252*$I252/12*2,IF($J252&gt;=10,$E252*$I252/12*3,0))))))</f>
        <v>0</v>
      </c>
      <c r="BS252" s="443">
        <f t="shared" ref="BS252" si="3715">IF($H252&lt;&gt;BT$5,0,IF(BT252&gt;0,IF(OR($J252=1,$J252=2,$J252=3,$J252=4,$J252=5,$J252=6,$J252=7,$J252=8,$J252=9,$J252=10),$E252*$I252/12*3,IF($J252=11,$E252*$I252/12*2,IF($J252=12,$E252*$I252/12*1,0)))))+IF(BO$5&lt;&gt;$H252,0,IF(BO252&gt;0,IF($J252=10,$E252*$I252/12*0,IF($J252=11,$E252*$I252/12*1,IF($J252=12,$E252*$I252/12*2,0)))))</f>
        <v>0</v>
      </c>
      <c r="BT252" s="440">
        <f t="shared" ref="BT252" si="3716">IF(AND(BO252&lt;&gt;0,BO$5=$H252),$I252*$E252-BO252,IF(BT$5=$H252,$I252*$E252*(12-$J252+1)/12,0))</f>
        <v>0</v>
      </c>
      <c r="BU252" s="441">
        <f t="shared" ref="BU252" si="3717">IF($H252&lt;&gt;BY$5,0,IF(BY252&gt;0,IF($J252=1,$E252*$I252/12*3,IF($J252=2,$E252*$I252/12*2,IF($J252=3,$E252*$I252/12*1,0)))))+IF(BT$5&lt;&gt;$H252,0,IF(BT252&gt;0,IF($J252=1,$E252*$I252/12*0,IF($J252=2,$E252*$I252/12*1,IF($J252=3,$E252*$I252/12*2,IF($J252&gt;=4,$E252*$I252/12*3,0))))))</f>
        <v>0</v>
      </c>
      <c r="BV252" s="442">
        <f t="shared" ref="BV252" si="3718">IF($H252&lt;&gt;BY$5,0,IF(BY252&gt;0,IF(OR($J252=1,$J252=2,$J252=3,$J252=4),$E252*$I252/12*3,IF($J252=5,$E252*$I252/12*2,IF($J252=6,$E252*$I252/12*1,0)))))+IF(BT$5&lt;&gt;$H252,0,IF(BT252&gt;0,IF($J252=4,$E252*$I252/12*0,IF($J252=5,$E252*$I252/12*1,IF($J252=6,$E252*$I252/12*2,IF($J252&gt;=7,$E252*$I252/12*3,0))))))</f>
        <v>0</v>
      </c>
      <c r="BW252" s="442">
        <f t="shared" ref="BW252" si="3719">IF($H252&lt;&gt;BY$5,0,IF(BY252&gt;0,IF(OR($J252=1,$J252=2,$J252=3,$J252=4,$J252=5,$J252=6,$J252=7),$E252*$I252/12*3,IF($J252=8,$E252*$I252/12*2,IF($J252=9,$E252*$I252/12*1,0)))))+IF(BT$5&lt;&gt;$H252,0,IF(BT252&gt;0,IF($J252=7,$E252*$I252/12*0,IF($J252=8,$E252*$I252/12*1,IF($J252=9,$E252*$I252/12*2,IF($J252&gt;=10,$E252*$I252/12*3,0))))))</f>
        <v>0</v>
      </c>
      <c r="BX252" s="443">
        <f t="shared" ref="BX252" si="3720">IF($H252&lt;&gt;BY$5,0,IF(BY252&gt;0,IF(OR($J252=1,$J252=2,$J252=3,$J252=4,$J252=5,$J252=6,$J252=7,$J252=8,$J252=9,$J252=10),$E252*$I252/12*3,IF($J252=11,$E252*$I252/12*2,IF($J252=12,$E252*$I252/12*1,0)))))+IF(BT$5&lt;&gt;$H252,0,IF(BT252&gt;0,IF($J252=10,$E252*$I252/12*0,IF($J252=11,$E252*$I252/12*1,IF($J252=12,$E252*$I252/12*2,0)))))</f>
        <v>0</v>
      </c>
      <c r="BY252" s="440">
        <f t="shared" ref="BY252" si="3721">IF(AND(BT252&lt;&gt;0,BT$5=$H252),$I252*$E252-BT252,IF(BY$5=$H252,$I252*$E252*(12-$J252+1)/12,0))</f>
        <v>0</v>
      </c>
      <c r="BZ252" s="441">
        <f t="shared" ref="BZ252" si="3722">IF($H252&lt;&gt;CD$5,0,IF(CD252&gt;0,IF($J252=1,$E252*$I252/12*3,IF($J252=2,$E252*$I252/12*2,IF($J252=3,$E252*$I252/12*1,0)))))+IF(BY$5&lt;&gt;$H252,0,IF(BY252&gt;0,IF($J252=1,$E252*$I252/12*0,IF($J252=2,$E252*$I252/12*1,IF($J252=3,$E252*$I252/12*2,IF($J252&gt;=4,$E252*$I252/12*3,0))))))</f>
        <v>0</v>
      </c>
      <c r="CA252" s="442">
        <f t="shared" ref="CA252" si="3723">IF($H252&lt;&gt;CD$5,0,IF(CD252&gt;0,IF(OR($J252=1,$J252=2,$J252=3,$J252=4),$E252*$I252/12*3,IF($J252=5,$E252*$I252/12*2,IF($J252=6,$E252*$I252/12*1,0)))))+IF(BY$5&lt;&gt;$H252,0,IF(BY252&gt;0,IF($J252=4,$E252*$I252/12*0,IF($J252=5,$E252*$I252/12*1,IF($J252=6,$E252*$I252/12*2,IF($J252&gt;=7,$E252*$I252/12*3,0))))))</f>
        <v>0</v>
      </c>
      <c r="CB252" s="442">
        <f t="shared" ref="CB252" si="3724">IF($H252&lt;&gt;CD$5,0,IF(CD252&gt;0,IF(OR($J252=1,$J252=2,$J252=3,$J252=4,$J252=5,$J252=6,$J252=7),$E252*$I252/12*3,IF($J252=8,$E252*$I252/12*2,IF($J252=9,$E252*$I252/12*1,0)))))+IF(BY$5&lt;&gt;$H252,0,IF(BY252&gt;0,IF($J252=7,$E252*$I252/12*0,IF($J252=8,$E252*$I252/12*1,IF($J252=9,$E252*$I252/12*2,IF($J252&gt;=10,$E252*$I252/12*3,0))))))</f>
        <v>0</v>
      </c>
      <c r="CC252" s="443">
        <f t="shared" ref="CC252" si="3725">IF($H252&lt;&gt;CD$5,0,IF(CD252&gt;0,IF(OR($J252=1,$J252=2,$J252=3,$J252=4,$J252=5,$J252=6,$J252=7,$J252=8,$J252=9,$J252=10),$E252*$I252/12*3,IF($J252=11,$E252*$I252/12*2,IF($J252=12,$E252*$I252/12*1,0)))))+IF(BY$5&lt;&gt;$H252,0,IF(BY252&gt;0,IF($J252=10,$E252*$I252/12*0,IF($J252=11,$E252*$I252/12*1,IF($J252=12,$E252*$I252/12*2,0)))))</f>
        <v>0</v>
      </c>
      <c r="CD252" s="440">
        <f t="shared" ref="CD252" si="3726">IF(AND(BY252&lt;&gt;0,BY$5=$H252),$I252*$E252-BY252,IF(CD$5=$H252,$I252*$E252*(12-$J252+1)/12,0))</f>
        <v>0</v>
      </c>
      <c r="CE252" s="441">
        <f t="shared" ref="CE252" si="3727">IF($H252&lt;&gt;CI$5,0,IF(CI252&gt;0,IF($J252=1,$E252*$I252/12*3,IF($J252=2,$E252*$I252/12*2,IF($J252=3,$E252*$I252/12*1,0)))))+IF(CD$5&lt;&gt;$H252,0,IF(CD252&gt;0,IF($J252=1,$E252*$I252/12*0,IF($J252=2,$E252*$I252/12*1,IF($J252=3,$E252*$I252/12*2,IF($J252&gt;=4,$E252*$I252/12*3,0))))))</f>
        <v>0</v>
      </c>
      <c r="CF252" s="442">
        <f t="shared" ref="CF252" si="3728">IF($H252&lt;&gt;CI$5,0,IF(CI252&gt;0,IF(OR($J252=1,$J252=2,$J252=3,$J252=4),$E252*$I252/12*3,IF($J252=5,$E252*$I252/12*2,IF($J252=6,$E252*$I252/12*1,0)))))+IF(CD$5&lt;&gt;$H252,0,IF(CD252&gt;0,IF($J252=4,$E252*$I252/12*0,IF($J252=5,$E252*$I252/12*1,IF($J252=6,$E252*$I252/12*2,IF($J252&gt;=7,$E252*$I252/12*3,0))))))</f>
        <v>0</v>
      </c>
      <c r="CG252" s="442">
        <f t="shared" ref="CG252" si="3729">IF($H252&lt;&gt;CI$5,0,IF(CI252&gt;0,IF(OR($J252=1,$J252=2,$J252=3,$J252=4,$J252=5,$J252=6,$J252=7),$E252*$I252/12*3,IF($J252=8,$E252*$I252/12*2,IF($J252=9,$E252*$I252/12*1,0)))))+IF(CD$5&lt;&gt;$H252,0,IF(CD252&gt;0,IF($J252=7,$E252*$I252/12*0,IF($J252=8,$E252*$I252/12*1,IF($J252=9,$E252*$I252/12*2,IF($J252&gt;=10,$E252*$I252/12*3,0))))))</f>
        <v>0</v>
      </c>
      <c r="CH252" s="443">
        <f t="shared" ref="CH252" si="3730">IF($H252&lt;&gt;CI$5,0,IF(CI252&gt;0,IF(OR($J252=1,$J252=2,$J252=3,$J252=4,$J252=5,$J252=6,$J252=7,$J252=8,$J252=9,$J252=10),$E252*$I252/12*3,IF($J252=11,$E252*$I252/12*2,IF($J252=12,$E252*$I252/12*1,0)))))+IF(CD$5&lt;&gt;$H252,0,IF(CD252&gt;0,IF($J252=10,$E252*$I252/12*0,IF($J252=11,$E252*$I252/12*1,IF($J252=12,$E252*$I252/12*2,0)))))</f>
        <v>0</v>
      </c>
      <c r="CI252" s="440">
        <f t="shared" ref="CI252" si="3731">IF(AND(CD252&lt;&gt;0,CD$5=$H252),$I252*$E252-CD252,IF(CI$5=$H252,$I252*$E252*(12-$J252+1)/12,0))</f>
        <v>0</v>
      </c>
      <c r="CJ252" s="441">
        <f t="shared" ref="CJ252" si="3732">IF($H252&lt;&gt;CN$5,0,IF(CN252&gt;0,IF($J252=1,$E252*$I252/12*3,IF($J252=2,$E252*$I252/12*2,IF($J252=3,$E252*$I252/12*1,0)))))+IF(CI$5&lt;&gt;$H252,0,IF(CI252&gt;0,IF($J252=1,$E252*$I252/12*0,IF($J252=2,$E252*$I252/12*1,IF($J252=3,$E252*$I252/12*2,IF($J252&gt;=4,$E252*$I252/12*3,0))))))</f>
        <v>0</v>
      </c>
      <c r="CK252" s="442">
        <f t="shared" ref="CK252" si="3733">IF($H252&lt;&gt;CN$5,0,IF(CN252&gt;0,IF(OR($J252=1,$J252=2,$J252=3,$J252=4),$E252*$I252/12*3,IF($J252=5,$E252*$I252/12*2,IF($J252=6,$E252*$I252/12*1,0)))))+IF(CI$5&lt;&gt;$H252,0,IF(CI252&gt;0,IF($J252=4,$E252*$I252/12*0,IF($J252=5,$E252*$I252/12*1,IF($J252=6,$E252*$I252/12*2,IF($J252&gt;=7,$E252*$I252/12*3,0))))))</f>
        <v>0</v>
      </c>
      <c r="CL252" s="442">
        <f t="shared" ref="CL252" si="3734">IF($H252&lt;&gt;CN$5,0,IF(CN252&gt;0,IF(OR($J252=1,$J252=2,$J252=3,$J252=4,$J252=5,$J252=6,$J252=7),$E252*$I252/12*3,IF($J252=8,$E252*$I252/12*2,IF($J252=9,$E252*$I252/12*1,0)))))+IF(CI$5&lt;&gt;$H252,0,IF(CI252&gt;0,IF($J252=7,$E252*$I252/12*0,IF($J252=8,$E252*$I252/12*1,IF($J252=9,$E252*$I252/12*2,IF($J252&gt;=10,$E252*$I252/12*3,0))))))</f>
        <v>0</v>
      </c>
      <c r="CM252" s="443">
        <f t="shared" ref="CM252" si="3735">IF($H252&lt;&gt;CN$5,0,IF(CN252&gt;0,IF(OR($J252=1,$J252=2,$J252=3,$J252=4,$J252=5,$J252=6,$J252=7,$J252=8,$J252=9,$J252=10),$E252*$I252/12*3,IF($J252=11,$E252*$I252/12*2,IF($J252=12,$E252*$I252/12*1,0)))))+IF(CI$5&lt;&gt;$H252,0,IF(CI252&gt;0,IF($J252=10,$E252*$I252/12*0,IF($J252=11,$E252*$I252/12*1,IF($J252=12,$E252*$I252/12*2,0)))))</f>
        <v>0</v>
      </c>
      <c r="CN252" s="440">
        <f t="shared" ref="CN252" si="3736">IF(AND(CI252&lt;&gt;0,CI$5=$H252),$I252*$E252-CI252,IF(CN$5=$H252,$I252*$E252*(12-$J252+1)/12,0))</f>
        <v>0</v>
      </c>
      <c r="CO252" s="441">
        <f t="shared" ref="CO252" si="3737">IF($H252&lt;&gt;CS$5,0,IF(CS252&gt;0,IF($J252=1,$E252*$I252/12*3,IF($J252=2,$E252*$I252/12*2,IF($J252=3,$E252*$I252/12*1,0)))))+IF(CN$5&lt;&gt;$H252,0,IF(CN252&gt;0,IF($J252=1,$E252*$I252/12*0,IF($J252=2,$E252*$I252/12*1,IF($J252=3,$E252*$I252/12*2,IF($J252&gt;=4,$E252*$I252/12*3,0))))))</f>
        <v>0</v>
      </c>
      <c r="CP252" s="442">
        <f t="shared" ref="CP252" si="3738">IF($H252&lt;&gt;CS$5,0,IF(CS252&gt;0,IF(OR($J252=1,$J252=2,$J252=3,$J252=4),$E252*$I252/12*3,IF($J252=5,$E252*$I252/12*2,IF($J252=6,$E252*$I252/12*1,0)))))+IF(CN$5&lt;&gt;$H252,0,IF(CN252&gt;0,IF($J252=4,$E252*$I252/12*0,IF($J252=5,$E252*$I252/12*1,IF($J252=6,$E252*$I252/12*2,IF($J252&gt;=7,$E252*$I252/12*3,0))))))</f>
        <v>0</v>
      </c>
      <c r="CQ252" s="442">
        <f t="shared" ref="CQ252" si="3739">IF($H252&lt;&gt;CS$5,0,IF(CS252&gt;0,IF(OR($J252=1,$J252=2,$J252=3,$J252=4,$J252=5,$J252=6,$J252=7),$E252*$I252/12*3,IF($J252=8,$E252*$I252/12*2,IF($J252=9,$E252*$I252/12*1,0)))))+IF(CN$5&lt;&gt;$H252,0,IF(CN252&gt;0,IF($J252=7,$E252*$I252/12*0,IF($J252=8,$E252*$I252/12*1,IF($J252=9,$E252*$I252/12*2,IF($J252&gt;=10,$E252*$I252/12*3,0))))))</f>
        <v>0</v>
      </c>
      <c r="CR252" s="443">
        <f t="shared" ref="CR252" si="3740">IF($H252&lt;&gt;CS$5,0,IF(CS252&gt;0,IF(OR($J252=1,$J252=2,$J252=3,$J252=4,$J252=5,$J252=6,$J252=7,$J252=8,$J252=9,$J252=10),$E252*$I252/12*3,IF($J252=11,$E252*$I252/12*2,IF($J252=12,$E252*$I252/12*1,0)))))+IF(CN$5&lt;&gt;$H252,0,IF(CN252&gt;0,IF($J252=10,$E252*$I252/12*0,IF($J252=11,$E252*$I252/12*1,IF($J252=12,$E252*$I252/12*2,0)))))</f>
        <v>0</v>
      </c>
      <c r="CS252" s="440">
        <f t="shared" ref="CS252" si="3741">IF(AND(CN252&lt;&gt;0,CN$5=$H252),$I252*$E252-CN252,IF(CS$5=$H252,$I252*$E252*(12-$J252+1)/12,0))</f>
        <v>0</v>
      </c>
      <c r="CT252" s="441">
        <f t="shared" ref="CT252" si="3742">IF($H252&lt;&gt;CX$5,0,IF(CX252&gt;0,IF($J252=1,$E252*$I252/12*3,IF($J252=2,$E252*$I252/12*2,IF($J252=3,$E252*$I252/12*1,0)))))+IF(CS$5&lt;&gt;$H252,0,IF(CS252&gt;0,IF($J252=1,$E252*$I252/12*0,IF($J252=2,$E252*$I252/12*1,IF($J252=3,$E252*$I252/12*2,IF($J252&gt;=4,$E252*$I252/12*3,0))))))</f>
        <v>0</v>
      </c>
      <c r="CU252" s="442">
        <f t="shared" ref="CU252" si="3743">IF($H252&lt;&gt;CX$5,0,IF(CX252&gt;0,IF(OR($J252=1,$J252=2,$J252=3,$J252=4),$E252*$I252/12*3,IF($J252=5,$E252*$I252/12*2,IF($J252=6,$E252*$I252/12*1,0)))))+IF(CS$5&lt;&gt;$H252,0,IF(CS252&gt;0,IF($J252=4,$E252*$I252/12*0,IF($J252=5,$E252*$I252/12*1,IF($J252=6,$E252*$I252/12*2,IF($J252&gt;=7,$E252*$I252/12*3,0))))))</f>
        <v>0</v>
      </c>
      <c r="CV252" s="442">
        <f t="shared" ref="CV252" si="3744">IF($H252&lt;&gt;CX$5,0,IF(CX252&gt;0,IF(OR($J252=1,$J252=2,$J252=3,$J252=4,$J252=5,$J252=6,$J252=7),$E252*$I252/12*3,IF($J252=8,$E252*$I252/12*2,IF($J252=9,$E252*$I252/12*1,0)))))+IF(CS$5&lt;&gt;$H252,0,IF(CS252&gt;0,IF($J252=7,$E252*$I252/12*0,IF($J252=8,$E252*$I252/12*1,IF($J252=9,$E252*$I252/12*2,IF($J252&gt;=10,$E252*$I252/12*3,0))))))</f>
        <v>0</v>
      </c>
      <c r="CW252" s="443">
        <f t="shared" ref="CW252" si="3745">IF($H252&lt;&gt;CX$5,0,IF(CX252&gt;0,IF(OR($J252=1,$J252=2,$J252=3,$J252=4,$J252=5,$J252=6,$J252=7,$J252=8,$J252=9,$J252=10),$E252*$I252/12*3,IF($J252=11,$E252*$I252/12*2,IF($J252=12,$E252*$I252/12*1,0)))))+IF(CS$5&lt;&gt;$H252,0,IF(CS252&gt;0,IF($J252=10,$E252*$I252/12*0,IF($J252=11,$E252*$I252/12*1,IF($J252=12,$E252*$I252/12*2,0)))))</f>
        <v>3.0625000000000004</v>
      </c>
      <c r="CX252" s="440">
        <f t="shared" ref="CX252" si="3746">IF(AND(CS252&lt;&gt;0,CS$5=$H252),$I252*$E252-CS252,IF(CX$5=$H252,$I252*$E252*(12-$J252+1)/12,0))</f>
        <v>3.0625000000000004</v>
      </c>
      <c r="CY252" s="441">
        <f t="shared" ref="CY252" si="3747">IF($H252&lt;&gt;DC$5,0,IF(DC252&gt;0,IF($J252=1,$E252*$I252/12*3,IF($J252=2,$E252*$I252/12*2,IF($J252=3,$E252*$I252/12*1,0)))))+IF(CX$5&lt;&gt;$H252,0,IF(CX252&gt;0,IF($J252=1,$E252*$I252/12*0,IF($J252=2,$E252*$I252/12*1,IF($J252=3,$E252*$I252/12*2,IF($J252&gt;=4,$E252*$I252/12*3,0))))))</f>
        <v>3.0625000000000004</v>
      </c>
      <c r="CZ252" s="442">
        <f t="shared" ref="CZ252" si="3748">IF($H252&lt;&gt;DC$5,0,IF(DC252&gt;0,IF(OR($J252=1,$J252=2,$J252=3,$J252=4),$E252*$I252/12*3,IF($J252=5,$E252*$I252/12*2,IF($J252=6,$E252*$I252/12*1,0)))))+IF(CX$5&lt;&gt;$H252,0,IF(CX252&gt;0,IF($J252=4,$E252*$I252/12*0,IF($J252=5,$E252*$I252/12*1,IF($J252=6,$E252*$I252/12*2,IF($J252&gt;=7,$E252*$I252/12*3,0))))))</f>
        <v>3.0625000000000004</v>
      </c>
      <c r="DA252" s="442">
        <f t="shared" ref="DA252" si="3749">IF($H252&lt;&gt;DC$5,0,IF(DC252&gt;0,IF(OR($J252=1,$J252=2,$J252=3,$J252=4,$J252=5,$J252=6,$J252=7),$E252*$I252/12*3,IF($J252=8,$E252*$I252/12*2,IF($J252=9,$E252*$I252/12*1,0)))))+IF(CX$5&lt;&gt;$H252,0,IF(CX252&gt;0,IF($J252=7,$E252*$I252/12*0,IF($J252=8,$E252*$I252/12*1,IF($J252=9,$E252*$I252/12*2,IF($J252&gt;=10,$E252*$I252/12*3,0))))))</f>
        <v>3.0625000000000004</v>
      </c>
      <c r="DB252" s="443">
        <f t="shared" ref="DB252" si="3750">IF($H252&lt;&gt;DC$5,0,IF(DC252&gt;0,IF(OR($J252=1,$J252=2,$J252=3,$J252=4,$J252=5,$J252=6,$J252=7,$J252=8,$J252=9,$J252=10),$E252*$I252/12*3,IF($J252=11,$E252*$I252/12*2,IF($J252=12,$E252*$I252/12*1,0)))))+IF(CX$5&lt;&gt;$H252,0,IF(CX252&gt;0,IF($J252=10,$E252*$I252/12*0,IF($J252=11,$E252*$I252/12*1,IF($J252=12,$E252*$I252/12*2,0)))))</f>
        <v>0</v>
      </c>
      <c r="DC252" s="440">
        <f t="shared" ref="DC252" si="3751">IF(AND(CX252&lt;&gt;0,CX$5=$H252),$I252*$E252-CX252,IF(DC$5=$H252,$I252*$E252*(12-$J252+1)/12,0))</f>
        <v>9.1875000000000018</v>
      </c>
      <c r="DD252" s="441">
        <f t="shared" ref="DD252" si="3752">IF($H252&lt;&gt;DH$5,0,IF(DH252&gt;0,IF($J252=1,$E252*$I252/12*3,IF($J252=2,$E252*$I252/12*2,IF($J252=3,$E252*$I252/12*1,0)))))+IF(DC$5&lt;&gt;$H252,0,IF(DC252&gt;0,IF($J252=1,$E252*$I252/12*0,IF($J252=2,$E252*$I252/12*1,IF($J252=3,$E252*$I252/12*2,IF($J252&gt;=4,$E252*$I252/12*3,0))))))</f>
        <v>0</v>
      </c>
      <c r="DE252" s="442">
        <f t="shared" ref="DE252" si="3753">IF($H252&lt;&gt;DH$5,0,IF(DH252&gt;0,IF(OR($J252=1,$J252=2,$J252=3,$J252=4),$E252*$I252/12*3,IF($J252=5,$E252*$I252/12*2,IF($J252=6,$E252*$I252/12*1,0)))))+IF(DC$5&lt;&gt;$H252,0,IF(DC252&gt;0,IF($J252=4,$E252*$I252/12*0,IF($J252=5,$E252*$I252/12*1,IF($J252=6,$E252*$I252/12*2,IF($J252&gt;=7,$E252*$I252/12*3,0))))))</f>
        <v>0</v>
      </c>
      <c r="DF252" s="442">
        <f t="shared" ref="DF252" si="3754">IF($H252&lt;&gt;DH$5,0,IF(DH252&gt;0,IF(OR($J252=1,$J252=2,$J252=3,$J252=4,$J252=5,$J252=6,$J252=7),$E252*$I252/12*3,IF($J252=8,$E252*$I252/12*2,IF($J252=9,$E252*$I252/12*1,0)))))+IF(DC$5&lt;&gt;$H252,0,IF(DC252&gt;0,IF($J252=7,$E252*$I252/12*0,IF($J252=8,$E252*$I252/12*1,IF($J252=9,$E252*$I252/12*2,IF($J252&gt;=10,$E252*$I252/12*3,0))))))</f>
        <v>0</v>
      </c>
      <c r="DG252" s="443">
        <f t="shared" ref="DG252" si="3755">IF($H252&lt;&gt;DH$5,0,IF(DH252&gt;0,IF(OR($J252=1,$J252=2,$J252=3,$J252=4,$J252=5,$J252=6,$J252=7,$J252=8,$J252=9,$J252=10),$E252*$I252/12*3,IF($J252=11,$E252*$I252/12*2,IF($J252=12,$E252*$I252/12*1,0)))))+IF(DC$5&lt;&gt;$H252,0,IF(DC252&gt;0,IF($J252=10,$E252*$I252/12*0,IF($J252=11,$E252*$I252/12*1,IF($J252=12,$E252*$I252/12*2,0)))))</f>
        <v>0</v>
      </c>
      <c r="DH252" s="440">
        <f t="shared" ref="DH252" si="3756">IF(AND(DC252&lt;&gt;0,DC$5=$H252),$I252*$E252-DC252,IF(DH$5=$H252,$I252*$E252*(12-$J252+1)/12,0))</f>
        <v>0</v>
      </c>
      <c r="DI252" s="441">
        <f t="shared" ref="DI252" si="3757">IF($H252&lt;&gt;DM$5,0,IF(DM252&gt;0,IF($J252=1,$E252*$I252/12*3,IF($J252=2,$E252*$I252/12*2,IF($J252=3,$E252*$I252/12*1,0)))))+IF(DH$5&lt;&gt;$H252,0,IF(DH252&gt;0,IF($J252=1,$E252*$I252/12*0,IF($J252=2,$E252*$I252/12*1,IF($J252=3,$E252*$I252/12*2,IF($J252&gt;=4,$E252*$I252/12*3,0))))))</f>
        <v>0</v>
      </c>
      <c r="DJ252" s="442">
        <f t="shared" ref="DJ252" si="3758">IF($H252&lt;&gt;DM$5,0,IF(DM252&gt;0,IF(OR($J252=1,$J252=2,$J252=3,$J252=4),$E252*$I252/12*3,IF($J252=5,$E252*$I252/12*2,IF($J252=6,$E252*$I252/12*1,0)))))+IF(DH$5&lt;&gt;$H252,0,IF(DH252&gt;0,IF($J252=4,$E252*$I252/12*0,IF($J252=5,$E252*$I252/12*1,IF($J252=6,$E252*$I252/12*2,IF($J252&gt;=7,$E252*$I252/12*3,0))))))</f>
        <v>0</v>
      </c>
      <c r="DK252" s="442">
        <f t="shared" ref="DK252" si="3759">IF($H252&lt;&gt;DM$5,0,IF(DM252&gt;0,IF(OR($J252=1,$J252=2,$J252=3,$J252=4,$J252=5,$J252=6,$J252=7),$E252*$I252/12*3,IF($J252=8,$E252*$I252/12*2,IF($J252=9,$E252*$I252/12*1,0)))))+IF(DH$5&lt;&gt;$H252,0,IF(DH252&gt;0,IF($J252=7,$E252*$I252/12*0,IF($J252=8,$E252*$I252/12*1,IF($J252=9,$E252*$I252/12*2,IF($J252&gt;=10,$E252*$I252/12*3,0))))))</f>
        <v>0</v>
      </c>
      <c r="DL252" s="443">
        <f t="shared" ref="DL252" si="3760">IF($H252&lt;&gt;DM$5,0,IF(DM252&gt;0,IF(OR($J252=1,$J252=2,$J252=3,$J252=4,$J252=5,$J252=6,$J252=7,$J252=8,$J252=9,$J252=10),$E252*$I252/12*3,IF($J252=11,$E252*$I252/12*2,IF($J252=12,$E252*$I252/12*1,0)))))+IF(DH$5&lt;&gt;$H252,0,IF(DH252&gt;0,IF($J252=10,$E252*$I252/12*0,IF($J252=11,$E252*$I252/12*1,IF($J252=12,$E252*$I252/12*2,0)))))</f>
        <v>0</v>
      </c>
      <c r="DM252" s="440">
        <f t="shared" ref="DM252" si="3761">IF(AND(DH252&lt;&gt;0,DH$5=$H252),$I252*$E252-DH252,IF(DM$5=$H252,$I252*$E252*(12-$J252+1)/12,0))</f>
        <v>0</v>
      </c>
      <c r="DN252" s="441">
        <f t="shared" ref="DN252" si="3762">IF($H252&lt;&gt;DR$5,0,IF(DR252&gt;0,IF($J252=1,$E252*$I252/12*3,IF($J252=2,$E252*$I252/12*2,IF($J252=3,$E252*$I252/12*1,0)))))+IF(DM$5&lt;&gt;$H252,0,IF(DM252&gt;0,IF($J252=1,$E252*$I252/12*0,IF($J252=2,$E252*$I252/12*1,IF($J252=3,$E252*$I252/12*2,IF($J252&gt;=4,$E252*$I252/12*3,0))))))</f>
        <v>0</v>
      </c>
      <c r="DO252" s="442">
        <f t="shared" ref="DO252" si="3763">IF($H252&lt;&gt;DR$5,0,IF(DR252&gt;0,IF(OR($J252=1,$J252=2,$J252=3,$J252=4),$E252*$I252/12*3,IF($J252=5,$E252*$I252/12*2,IF($J252=6,$E252*$I252/12*1,0)))))+IF(DM$5&lt;&gt;$H252,0,IF(DM252&gt;0,IF($J252=4,$E252*$I252/12*0,IF($J252=5,$E252*$I252/12*1,IF($J252=6,$E252*$I252/12*2,IF($J252&gt;=7,$E252*$I252/12*3,0))))))</f>
        <v>0</v>
      </c>
      <c r="DP252" s="442">
        <f t="shared" ref="DP252" si="3764">IF($H252&lt;&gt;DR$5,0,IF(DR252&gt;0,IF(OR($J252=1,$J252=2,$J252=3,$J252=4,$J252=5,$J252=6,$J252=7),$E252*$I252/12*3,IF($J252=8,$E252*$I252/12*2,IF($J252=9,$E252*$I252/12*1,0)))))+IF(DM$5&lt;&gt;$H252,0,IF(DM252&gt;0,IF($J252=7,$E252*$I252/12*0,IF($J252=8,$E252*$I252/12*1,IF($J252=9,$E252*$I252/12*2,IF($J252&gt;=10,$E252*$I252/12*3,0))))))</f>
        <v>0</v>
      </c>
      <c r="DQ252" s="443">
        <f t="shared" ref="DQ252" si="3765">IF($H252&lt;&gt;DR$5,0,IF(DR252&gt;0,IF(OR($J252=1,$J252=2,$J252=3,$J252=4,$J252=5,$J252=6,$J252=7,$J252=8,$J252=9,$J252=10),$E252*$I252/12*3,IF($J252=11,$E252*$I252/12*2,IF($J252=12,$E252*$I252/12*1,0)))))+IF(DM$5&lt;&gt;$H252,0,IF(DM252&gt;0,IF($J252=10,$E252*$I252/12*0,IF($J252=11,$E252*$I252/12*1,IF($J252=12,$E252*$I252/12*2,0)))))</f>
        <v>0</v>
      </c>
      <c r="DR252" s="440">
        <f t="shared" ref="DR252" si="3766">IF(AND(DM252&lt;&gt;0,DM$5=$H252),$I252*$E252-DM252,IF(DR$5=$H252,$I252*$E252*(12-$J252+1)/12,0))</f>
        <v>0</v>
      </c>
    </row>
    <row r="253" spans="1:122" ht="12.75" customHeight="1">
      <c r="A253" s="92"/>
      <c r="B253" s="92"/>
      <c r="C253" s="25" t="s">
        <v>139</v>
      </c>
      <c r="D253" s="574"/>
      <c r="E253" s="781">
        <f>Distribution!BB132</f>
        <v>800</v>
      </c>
      <c r="F253" s="559"/>
      <c r="G253" s="559"/>
      <c r="H253" s="1751">
        <v>2018</v>
      </c>
      <c r="I253" s="2036">
        <v>0.05</v>
      </c>
      <c r="J253" s="656">
        <v>7</v>
      </c>
      <c r="K253" s="528"/>
      <c r="L253" s="441">
        <f t="shared" ref="L253:L257" si="3767">IF(P253=0,0,IF(P253&gt;0,IF($J253=3,P253,IF($J253=2,P253,IF($J253=1,P253,0)))))</f>
        <v>0</v>
      </c>
      <c r="M253" s="442">
        <f t="shared" ref="M253:M257" si="3768">IF(P253=0,0,IF(P253&gt;0,IF($J253=6,P253,IF($J253=5,P253,IF($J253=4,P253,0)))))</f>
        <v>0</v>
      </c>
      <c r="N253" s="442">
        <f t="shared" ref="N253:N257" si="3769">IF(P253=0,0,IF(P253&gt;0,IF($J253=9,P253,IF($J253=8,P253,IF($J253=7,P253,0)))))</f>
        <v>0</v>
      </c>
      <c r="O253" s="443">
        <f t="shared" ref="O253:O257" si="3770">IF(P253=0,0,IF(P253&gt;0,IF($J253=12,P253,IF($J253=11,P253,IF($J253=10,P253,0)))))</f>
        <v>0</v>
      </c>
      <c r="P253" s="440">
        <f t="shared" si="3166"/>
        <v>0</v>
      </c>
      <c r="Q253" s="441">
        <f t="shared" ref="Q253:Q257" si="3771">IF(U253=0,0,IF(U253&gt;0,IF($J253=3,U253,IF($J253=2,U253,IF($J253=1,U253,0)))))</f>
        <v>0</v>
      </c>
      <c r="R253" s="442">
        <f t="shared" ref="R253:R257" si="3772">IF(U253=0,0,IF(U253&gt;0,IF($J253=6,U253,IF($J253=5,U253,IF($J253=4,U253,0)))))</f>
        <v>0</v>
      </c>
      <c r="S253" s="442">
        <f t="shared" ref="S253:S257" si="3773">IF(U253=0,0,IF(U253&gt;0,IF($J253=9,U253,IF($J253=8,U253,IF($J253=7,U253,0)))))</f>
        <v>0</v>
      </c>
      <c r="T253" s="443">
        <f t="shared" ref="T253:T257" si="3774">IF(U253=0,0,IF(U253&gt;0,IF($J253=12,U253,IF($J253=11,U253,IF($J253=10,U253,0)))))</f>
        <v>0</v>
      </c>
      <c r="U253" s="440">
        <f t="shared" si="3171"/>
        <v>0</v>
      </c>
      <c r="V253" s="441">
        <f t="shared" ref="V253:V257" si="3775">IF(Z253=0,0,IF(Z253&gt;0,IF($J253=3,Z253,IF($J253=2,Z253,IF($J253=1,Z253,0)))))</f>
        <v>0</v>
      </c>
      <c r="W253" s="442">
        <f t="shared" ref="W253:W257" si="3776">IF(Z253=0,0,IF(Z253&gt;0,IF($J253=6,Z253,IF($J253=5,Z253,IF($J253=4,Z253,0)))))</f>
        <v>0</v>
      </c>
      <c r="X253" s="442">
        <f t="shared" ref="X253:X257" si="3777">IF(Z253=0,0,IF(Z253&gt;0,IF($J253=9,Z253,IF($J253=8,Z253,IF($J253=7,Z253,0)))))</f>
        <v>0</v>
      </c>
      <c r="Y253" s="443">
        <f t="shared" ref="Y253:Y257" si="3778">IF(Z253=0,0,IF(Z253&gt;0,IF($J253=12,Z253,IF($J253=11,Z253,IF($J253=10,Z253,0)))))</f>
        <v>0</v>
      </c>
      <c r="Z253" s="440">
        <f t="shared" si="3176"/>
        <v>0</v>
      </c>
      <c r="AA253" s="441">
        <f t="shared" ref="AA253:AA257" si="3779">IF(AE253=0,0,IF(AE253&gt;0,IF($J253=3,AE253,IF($J253=2,AE253,IF($J253=1,AE253,0)))))</f>
        <v>0</v>
      </c>
      <c r="AB253" s="442">
        <f t="shared" ref="AB253:AB257" si="3780">IF(AE253=0,0,IF(AE253&gt;0,IF($J253=6,AE253,IF($J253=5,AE253,IF($J253=4,AE253,0)))))</f>
        <v>0</v>
      </c>
      <c r="AC253" s="442">
        <f t="shared" ref="AC253:AC257" si="3781">IF(AE253=0,0,IF(AE253&gt;0,IF($J253=9,AE253,IF($J253=8,AE253,IF($J253=7,AE253,0)))))</f>
        <v>0</v>
      </c>
      <c r="AD253" s="443">
        <f t="shared" ref="AD253:AD257" si="3782">IF(AE253=0,0,IF(AE253&gt;0,IF($J253=12,AE253,IF($J253=11,AE253,IF($J253=10,AE253,0)))))</f>
        <v>0</v>
      </c>
      <c r="AE253" s="440">
        <f t="shared" si="3181"/>
        <v>0</v>
      </c>
      <c r="AF253" s="441">
        <f t="shared" ref="AF253:AF257" si="3783">IF(AJ253=0,0,IF(AJ253&gt;0,IF($J253=3,AJ253,IF($J253=2,AJ253,IF($J253=1,AJ253,0)))))</f>
        <v>0</v>
      </c>
      <c r="AG253" s="442">
        <f t="shared" ref="AG253:AG257" si="3784">IF(AJ253=0,0,IF(AJ253&gt;0,IF($J253=6,AJ253,IF($J253=5,AJ253,IF($J253=4,AJ253,0)))))</f>
        <v>0</v>
      </c>
      <c r="AH253" s="442">
        <f t="shared" ref="AH253:AH257" si="3785">IF(AJ253=0,0,IF(AJ253&gt;0,IF($J253=9,AJ253,IF($J253=8,AJ253,IF($J253=7,AJ253,0)))))</f>
        <v>0</v>
      </c>
      <c r="AI253" s="443">
        <f t="shared" ref="AI253:AI257" si="3786">IF(AJ253=0,0,IF(AJ253&gt;0,IF($J253=12,AJ253,IF($J253=11,AJ253,IF($J253=10,AJ253,0)))))</f>
        <v>0</v>
      </c>
      <c r="AJ253" s="440">
        <f t="shared" si="3186"/>
        <v>0</v>
      </c>
      <c r="AK253" s="441">
        <f t="shared" ref="AK253:AK257" si="3787">IF(AO253=0,0,IF(AO253&gt;0,IF($J253=3,AO253,IF($J253=2,AO253,IF($J253=1,AO253,0)))))</f>
        <v>0</v>
      </c>
      <c r="AL253" s="442">
        <f t="shared" ref="AL253:AL257" si="3788">IF(AO253=0,0,IF(AO253&gt;0,IF($J253=6,AO253,IF($J253=5,AO253,IF($J253=4,AO253,0)))))</f>
        <v>0</v>
      </c>
      <c r="AM253" s="442">
        <f t="shared" ref="AM253:AM257" si="3789">IF(AO253=0,0,IF(AO253&gt;0,IF($J253=9,AO253,IF($J253=8,AO253,IF($J253=7,AO253,0)))))</f>
        <v>0</v>
      </c>
      <c r="AN253" s="443">
        <f t="shared" ref="AN253:AN257" si="3790">IF(AO253=0,0,IF(AO253&gt;0,IF($J253=12,AO253,IF($J253=11,AO253,IF($J253=10,AO253,0)))))</f>
        <v>0</v>
      </c>
      <c r="AO253" s="440">
        <f t="shared" si="3191"/>
        <v>0</v>
      </c>
      <c r="AP253" s="441">
        <f t="shared" ref="AP253:AP257" si="3791">IF(AT253=0,0,IF(AT253&gt;0,IF($J253=3,AT253,IF($J253=2,AT253,IF($J253=1,AT253,0)))))</f>
        <v>0</v>
      </c>
      <c r="AQ253" s="442">
        <f t="shared" ref="AQ253:AQ257" si="3792">IF(AT253=0,0,IF(AT253&gt;0,IF($J253=6,AT253,IF($J253=5,AT253,IF($J253=4,AT253,0)))))</f>
        <v>0</v>
      </c>
      <c r="AR253" s="442">
        <f t="shared" ref="AR253:AR257" si="3793">IF(AT253=0,0,IF(AT253&gt;0,IF($J253=9,AT253,IF($J253=8,AT253,IF($J253=7,AT253,0)))))</f>
        <v>0</v>
      </c>
      <c r="AS253" s="443">
        <f t="shared" ref="AS253:AS257" si="3794">IF(AT253=0,0,IF(AT253&gt;0,IF($J253=12,AT253,IF($J253=11,AT253,IF($J253=10,AT253,0)))))</f>
        <v>0</v>
      </c>
      <c r="AT253" s="440">
        <f t="shared" si="3196"/>
        <v>0</v>
      </c>
      <c r="AU253" s="441">
        <f t="shared" ref="AU253:AU257" si="3795">IF(AY253=0,0,IF(AY253&gt;0,IF($J253=3,AY253,IF($J253=2,AY253,IF($J253=1,AY253,0)))))</f>
        <v>0</v>
      </c>
      <c r="AV253" s="442">
        <f t="shared" ref="AV253:AV257" si="3796">IF(AY253=0,0,IF(AY253&gt;0,IF($J253=6,AY253,IF($J253=5,AY253,IF($J253=4,AY253,0)))))</f>
        <v>0</v>
      </c>
      <c r="AW253" s="442">
        <f t="shared" ref="AW253:AW257" si="3797">IF(AY253=0,0,IF(AY253&gt;0,IF($J253=9,AY253,IF($J253=8,AY253,IF($J253=7,AY253,0)))))</f>
        <v>800</v>
      </c>
      <c r="AX253" s="443">
        <f t="shared" ref="AX253:AX257" si="3798">IF(AY253=0,0,IF(AY253&gt;0,IF($J253=12,AY253,IF($J253=11,AY253,IF($J253=10,AY253,0)))))</f>
        <v>0</v>
      </c>
      <c r="AY253" s="440">
        <f t="shared" si="3201"/>
        <v>800</v>
      </c>
      <c r="AZ253" s="441">
        <f t="shared" ref="AZ253:AZ257" si="3799">IF(BD253=0,0,IF(BD253&gt;0,IF($J253=3,BD253,IF($J253=2,BD253,IF($J253=1,BD253,0)))))</f>
        <v>0</v>
      </c>
      <c r="BA253" s="442">
        <f t="shared" ref="BA253:BA257" si="3800">IF(BD253=0,0,IF(BD253&gt;0,IF($J253=6,BD253,IF($J253=5,BD253,IF($J253=4,BD253,0)))))</f>
        <v>0</v>
      </c>
      <c r="BB253" s="442">
        <f t="shared" ref="BB253:BB257" si="3801">IF(BD253=0,0,IF(BD253&gt;0,IF($J253=9,BD253,IF($J253=8,BD253,IF($J253=7,BD253,0)))))</f>
        <v>0</v>
      </c>
      <c r="BC253" s="443">
        <f t="shared" ref="BC253:BC257" si="3802">IF(BD253=0,0,IF(BD253&gt;0,IF($J253=12,BD253,IF($J253=11,BD253,IF($J253=10,BD253,0)))))</f>
        <v>0</v>
      </c>
      <c r="BD253" s="440">
        <f t="shared" si="3206"/>
        <v>0</v>
      </c>
      <c r="BE253" s="441">
        <f t="shared" ref="BE253:BE257" si="3803">IF(BI253=0,0,IF(BI253&gt;0,IF($J253=3,BI253,IF($J253=2,BI253,IF($J253=1,BI253,0)))))</f>
        <v>0</v>
      </c>
      <c r="BF253" s="442">
        <f t="shared" ref="BF253:BF257" si="3804">IF(BI253=0,0,IF(BI253&gt;0,IF($J253=6,BI253,IF($J253=5,BI253,IF($J253=4,BI253,0)))))</f>
        <v>0</v>
      </c>
      <c r="BG253" s="442">
        <f t="shared" ref="BG253:BG257" si="3805">IF(BI253=0,0,IF(BI253&gt;0,IF($J253=9,BI253,IF($J253=8,BI253,IF($J253=7,BI253,0)))))</f>
        <v>0</v>
      </c>
      <c r="BH253" s="443">
        <f t="shared" ref="BH253:BH257" si="3806">IF(BI253=0,0,IF(BI253&gt;0,IF($J253=12,BI253,IF($J253=11,BI253,IF($J253=10,BI253,0)))))</f>
        <v>0</v>
      </c>
      <c r="BI253" s="440">
        <f t="shared" si="3211"/>
        <v>0</v>
      </c>
      <c r="BJ253" s="441">
        <f t="shared" ref="BJ253:BJ257" si="3807">IF(BN253=0,0,IF(BN253&gt;0,IF($J253=3,BN253,IF($J253=2,BN253,IF($J253=1,BN253,0)))))</f>
        <v>0</v>
      </c>
      <c r="BK253" s="442">
        <f t="shared" ref="BK253:BK257" si="3808">IF(BN253=0,0,IF(BN253&gt;0,IF($J253=6,BN253,IF($J253=5,BN253,IF($J253=4,BN253,0)))))</f>
        <v>0</v>
      </c>
      <c r="BL253" s="442">
        <f t="shared" ref="BL253:BL257" si="3809">IF(BN253=0,0,IF(BN253&gt;0,IF($J253=9,BN253,IF($J253=8,BN253,IF($J253=7,BN253,0)))))</f>
        <v>0</v>
      </c>
      <c r="BM253" s="443">
        <f t="shared" ref="BM253:BM257" si="3810">IF(BN253=0,0,IF(BN253&gt;0,IF($J253=12,BN253,IF($J253=11,BN253,IF($J253=10,BN253,0)))))</f>
        <v>0</v>
      </c>
      <c r="BN253" s="440">
        <f t="shared" si="3216"/>
        <v>0</v>
      </c>
      <c r="BO253" s="463"/>
      <c r="BP253" s="441">
        <f t="shared" ref="BP253:BP255" si="3811">IF($H253&lt;&gt;BT$5,0,IF(BT253&gt;0,IF($J253=1,$E253*$I253/12*3,IF($J253=2,$E253*$I253/12*2,IF($J253=3,$E253*$I253/12*1,0)))))+IF(BO$5&lt;&gt;$H253,0,IF(BO253&gt;0,IF($J253=1,$E253*$I253/12*0,IF($J253=2,$E253*$I253/12*1,IF($J253=3,$E253*$I253/12*2,IF($J253&gt;=4,$E253*$I253/12*3,0))))))</f>
        <v>0</v>
      </c>
      <c r="BQ253" s="442">
        <f t="shared" ref="BQ253:BQ255" si="3812">IF($H253&lt;&gt;BT$5,0,IF(BT253&gt;0,IF(OR($J253=1,$J253=2,$J253=3,$J253=4),$E253*$I253/12*3,IF($J253=5,$E253*$I253/12*2,IF($J253=6,$E253*$I253/12*1,0)))))+IF(BO$5&lt;&gt;$H253,0,IF(BO253&gt;0,IF($J253=4,$E253*$I253/12*0,IF($J253=5,$E253*$I253/12*1,IF($J253=6,$E253*$I253/12*2,IF($J253&gt;=7,$E253*$I253/12*3,0))))))</f>
        <v>0</v>
      </c>
      <c r="BR253" s="442">
        <f t="shared" ref="BR253:BR255" si="3813">IF($H253&lt;&gt;BT$5,0,IF(BT253&gt;0,IF(OR($J253=1,$J253=2,$J253=3,$J253=4,$J253=5,$J253=6,$J253=7),$E253*$I253/12*3,IF($J253=8,$E253*$I253/12*2,IF($J253=9,$E253*$I253/12*1,0)))))+IF(BO$5&lt;&gt;$H253,0,IF(BO253&gt;0,IF($J253=7,$E253*$I253/12*0,IF($J253=8,$E253*$I253/12*1,IF($J253=9,$E253*$I253/12*2,IF($J253&gt;=10,$E253*$I253/12*3,0))))))</f>
        <v>0</v>
      </c>
      <c r="BS253" s="443">
        <f t="shared" ref="BS253:BS255" si="3814">IF($H253&lt;&gt;BT$5,0,IF(BT253&gt;0,IF(OR($J253=1,$J253=2,$J253=3,$J253=4,$J253=5,$J253=6,$J253=7,$J253=8,$J253=9,$J253=10),$E253*$I253/12*3,IF($J253=11,$E253*$I253/12*2,IF($J253=12,$E253*$I253/12*1,0)))))+IF(BO$5&lt;&gt;$H253,0,IF(BO253&gt;0,IF($J253=10,$E253*$I253/12*0,IF($J253=11,$E253*$I253/12*1,IF($J253=12,$E253*$I253/12*2,0)))))</f>
        <v>0</v>
      </c>
      <c r="BT253" s="440">
        <f t="shared" ref="BT253:BT255" si="3815">IF(AND(BO253&lt;&gt;0,BO$5=$H253),$I253*$E253-BO253,IF(BT$5=$H253,$I253*$E253*(12-$J253+1)/12,0))</f>
        <v>0</v>
      </c>
      <c r="BU253" s="441">
        <f t="shared" ref="BU253:BU255" si="3816">IF($H253&lt;&gt;BY$5,0,IF(BY253&gt;0,IF($J253=1,$E253*$I253/12*3,IF($J253=2,$E253*$I253/12*2,IF($J253=3,$E253*$I253/12*1,0)))))+IF(BT$5&lt;&gt;$H253,0,IF(BT253&gt;0,IF($J253=1,$E253*$I253/12*0,IF($J253=2,$E253*$I253/12*1,IF($J253=3,$E253*$I253/12*2,IF($J253&gt;=4,$E253*$I253/12*3,0))))))</f>
        <v>0</v>
      </c>
      <c r="BV253" s="442">
        <f t="shared" ref="BV253:BV255" si="3817">IF($H253&lt;&gt;BY$5,0,IF(BY253&gt;0,IF(OR($J253=1,$J253=2,$J253=3,$J253=4),$E253*$I253/12*3,IF($J253=5,$E253*$I253/12*2,IF($J253=6,$E253*$I253/12*1,0)))))+IF(BT$5&lt;&gt;$H253,0,IF(BT253&gt;0,IF($J253=4,$E253*$I253/12*0,IF($J253=5,$E253*$I253/12*1,IF($J253=6,$E253*$I253/12*2,IF($J253&gt;=7,$E253*$I253/12*3,0))))))</f>
        <v>0</v>
      </c>
      <c r="BW253" s="442">
        <f t="shared" ref="BW253:BW255" si="3818">IF($H253&lt;&gt;BY$5,0,IF(BY253&gt;0,IF(OR($J253=1,$J253=2,$J253=3,$J253=4,$J253=5,$J253=6,$J253=7),$E253*$I253/12*3,IF($J253=8,$E253*$I253/12*2,IF($J253=9,$E253*$I253/12*1,0)))))+IF(BT$5&lt;&gt;$H253,0,IF(BT253&gt;0,IF($J253=7,$E253*$I253/12*0,IF($J253=8,$E253*$I253/12*1,IF($J253=9,$E253*$I253/12*2,IF($J253&gt;=10,$E253*$I253/12*3,0))))))</f>
        <v>0</v>
      </c>
      <c r="BX253" s="443">
        <f t="shared" ref="BX253:BX255" si="3819">IF($H253&lt;&gt;BY$5,0,IF(BY253&gt;0,IF(OR($J253=1,$J253=2,$J253=3,$J253=4,$J253=5,$J253=6,$J253=7,$J253=8,$J253=9,$J253=10),$E253*$I253/12*3,IF($J253=11,$E253*$I253/12*2,IF($J253=12,$E253*$I253/12*1,0)))))+IF(BT$5&lt;&gt;$H253,0,IF(BT253&gt;0,IF($J253=10,$E253*$I253/12*0,IF($J253=11,$E253*$I253/12*1,IF($J253=12,$E253*$I253/12*2,0)))))</f>
        <v>0</v>
      </c>
      <c r="BY253" s="440">
        <f t="shared" ref="BY253:BY255" si="3820">IF(AND(BT253&lt;&gt;0,BT$5=$H253),$I253*$E253-BT253,IF(BY$5=$H253,$I253*$E253*(12-$J253+1)/12,0))</f>
        <v>0</v>
      </c>
      <c r="BZ253" s="441">
        <f t="shared" ref="BZ253:BZ255" si="3821">IF($H253&lt;&gt;CD$5,0,IF(CD253&gt;0,IF($J253=1,$E253*$I253/12*3,IF($J253=2,$E253*$I253/12*2,IF($J253=3,$E253*$I253/12*1,0)))))+IF(BY$5&lt;&gt;$H253,0,IF(BY253&gt;0,IF($J253=1,$E253*$I253/12*0,IF($J253=2,$E253*$I253/12*1,IF($J253=3,$E253*$I253/12*2,IF($J253&gt;=4,$E253*$I253/12*3,0))))))</f>
        <v>0</v>
      </c>
      <c r="CA253" s="442">
        <f t="shared" ref="CA253:CA255" si="3822">IF($H253&lt;&gt;CD$5,0,IF(CD253&gt;0,IF(OR($J253=1,$J253=2,$J253=3,$J253=4),$E253*$I253/12*3,IF($J253=5,$E253*$I253/12*2,IF($J253=6,$E253*$I253/12*1,0)))))+IF(BY$5&lt;&gt;$H253,0,IF(BY253&gt;0,IF($J253=4,$E253*$I253/12*0,IF($J253=5,$E253*$I253/12*1,IF($J253=6,$E253*$I253/12*2,IF($J253&gt;=7,$E253*$I253/12*3,0))))))</f>
        <v>0</v>
      </c>
      <c r="CB253" s="442">
        <f t="shared" ref="CB253:CB255" si="3823">IF($H253&lt;&gt;CD$5,0,IF(CD253&gt;0,IF(OR($J253=1,$J253=2,$J253=3,$J253=4,$J253=5,$J253=6,$J253=7),$E253*$I253/12*3,IF($J253=8,$E253*$I253/12*2,IF($J253=9,$E253*$I253/12*1,0)))))+IF(BY$5&lt;&gt;$H253,0,IF(BY253&gt;0,IF($J253=7,$E253*$I253/12*0,IF($J253=8,$E253*$I253/12*1,IF($J253=9,$E253*$I253/12*2,IF($J253&gt;=10,$E253*$I253/12*3,0))))))</f>
        <v>0</v>
      </c>
      <c r="CC253" s="443">
        <f t="shared" ref="CC253:CC255" si="3824">IF($H253&lt;&gt;CD$5,0,IF(CD253&gt;0,IF(OR($J253=1,$J253=2,$J253=3,$J253=4,$J253=5,$J253=6,$J253=7,$J253=8,$J253=9,$J253=10),$E253*$I253/12*3,IF($J253=11,$E253*$I253/12*2,IF($J253=12,$E253*$I253/12*1,0)))))+IF(BY$5&lt;&gt;$H253,0,IF(BY253&gt;0,IF($J253=10,$E253*$I253/12*0,IF($J253=11,$E253*$I253/12*1,IF($J253=12,$E253*$I253/12*2,0)))))</f>
        <v>0</v>
      </c>
      <c r="CD253" s="440">
        <f t="shared" ref="CD253:CD255" si="3825">IF(AND(BY253&lt;&gt;0,BY$5=$H253),$I253*$E253-BY253,IF(CD$5=$H253,$I253*$E253*(12-$J253+1)/12,0))</f>
        <v>0</v>
      </c>
      <c r="CE253" s="441">
        <f t="shared" ref="CE253:CE255" si="3826">IF($H253&lt;&gt;CI$5,0,IF(CI253&gt;0,IF($J253=1,$E253*$I253/12*3,IF($J253=2,$E253*$I253/12*2,IF($J253=3,$E253*$I253/12*1,0)))))+IF(CD$5&lt;&gt;$H253,0,IF(CD253&gt;0,IF($J253=1,$E253*$I253/12*0,IF($J253=2,$E253*$I253/12*1,IF($J253=3,$E253*$I253/12*2,IF($J253&gt;=4,$E253*$I253/12*3,0))))))</f>
        <v>0</v>
      </c>
      <c r="CF253" s="442">
        <f t="shared" ref="CF253:CF255" si="3827">IF($H253&lt;&gt;CI$5,0,IF(CI253&gt;0,IF(OR($J253=1,$J253=2,$J253=3,$J253=4),$E253*$I253/12*3,IF($J253=5,$E253*$I253/12*2,IF($J253=6,$E253*$I253/12*1,0)))))+IF(CD$5&lt;&gt;$H253,0,IF(CD253&gt;0,IF($J253=4,$E253*$I253/12*0,IF($J253=5,$E253*$I253/12*1,IF($J253=6,$E253*$I253/12*2,IF($J253&gt;=7,$E253*$I253/12*3,0))))))</f>
        <v>0</v>
      </c>
      <c r="CG253" s="442">
        <f t="shared" ref="CG253:CG255" si="3828">IF($H253&lt;&gt;CI$5,0,IF(CI253&gt;0,IF(OR($J253=1,$J253=2,$J253=3,$J253=4,$J253=5,$J253=6,$J253=7),$E253*$I253/12*3,IF($J253=8,$E253*$I253/12*2,IF($J253=9,$E253*$I253/12*1,0)))))+IF(CD$5&lt;&gt;$H253,0,IF(CD253&gt;0,IF($J253=7,$E253*$I253/12*0,IF($J253=8,$E253*$I253/12*1,IF($J253=9,$E253*$I253/12*2,IF($J253&gt;=10,$E253*$I253/12*3,0))))))</f>
        <v>0</v>
      </c>
      <c r="CH253" s="443">
        <f t="shared" ref="CH253:CH255" si="3829">IF($H253&lt;&gt;CI$5,0,IF(CI253&gt;0,IF(OR($J253=1,$J253=2,$J253=3,$J253=4,$J253=5,$J253=6,$J253=7,$J253=8,$J253=9,$J253=10),$E253*$I253/12*3,IF($J253=11,$E253*$I253/12*2,IF($J253=12,$E253*$I253/12*1,0)))))+IF(CD$5&lt;&gt;$H253,0,IF(CD253&gt;0,IF($J253=10,$E253*$I253/12*0,IF($J253=11,$E253*$I253/12*1,IF($J253=12,$E253*$I253/12*2,0)))))</f>
        <v>0</v>
      </c>
      <c r="CI253" s="440">
        <f t="shared" ref="CI253:CI255" si="3830">IF(AND(CD253&lt;&gt;0,CD$5=$H253),$I253*$E253-CD253,IF(CI$5=$H253,$I253*$E253*(12-$J253+1)/12,0))</f>
        <v>0</v>
      </c>
      <c r="CJ253" s="441">
        <f t="shared" ref="CJ253:CJ255" si="3831">IF($H253&lt;&gt;CN$5,0,IF(CN253&gt;0,IF($J253=1,$E253*$I253/12*3,IF($J253=2,$E253*$I253/12*2,IF($J253=3,$E253*$I253/12*1,0)))))+IF(CI$5&lt;&gt;$H253,0,IF(CI253&gt;0,IF($J253=1,$E253*$I253/12*0,IF($J253=2,$E253*$I253/12*1,IF($J253=3,$E253*$I253/12*2,IF($J253&gt;=4,$E253*$I253/12*3,0))))))</f>
        <v>0</v>
      </c>
      <c r="CK253" s="442">
        <f t="shared" ref="CK253:CK255" si="3832">IF($H253&lt;&gt;CN$5,0,IF(CN253&gt;0,IF(OR($J253=1,$J253=2,$J253=3,$J253=4),$E253*$I253/12*3,IF($J253=5,$E253*$I253/12*2,IF($J253=6,$E253*$I253/12*1,0)))))+IF(CI$5&lt;&gt;$H253,0,IF(CI253&gt;0,IF($J253=4,$E253*$I253/12*0,IF($J253=5,$E253*$I253/12*1,IF($J253=6,$E253*$I253/12*2,IF($J253&gt;=7,$E253*$I253/12*3,0))))))</f>
        <v>0</v>
      </c>
      <c r="CL253" s="442">
        <f t="shared" ref="CL253:CL255" si="3833">IF($H253&lt;&gt;CN$5,0,IF(CN253&gt;0,IF(OR($J253=1,$J253=2,$J253=3,$J253=4,$J253=5,$J253=6,$J253=7),$E253*$I253/12*3,IF($J253=8,$E253*$I253/12*2,IF($J253=9,$E253*$I253/12*1,0)))))+IF(CI$5&lt;&gt;$H253,0,IF(CI253&gt;0,IF($J253=7,$E253*$I253/12*0,IF($J253=8,$E253*$I253/12*1,IF($J253=9,$E253*$I253/12*2,IF($J253&gt;=10,$E253*$I253/12*3,0))))))</f>
        <v>0</v>
      </c>
      <c r="CM253" s="443">
        <f t="shared" ref="CM253:CM255" si="3834">IF($H253&lt;&gt;CN$5,0,IF(CN253&gt;0,IF(OR($J253=1,$J253=2,$J253=3,$J253=4,$J253=5,$J253=6,$J253=7,$J253=8,$J253=9,$J253=10),$E253*$I253/12*3,IF($J253=11,$E253*$I253/12*2,IF($J253=12,$E253*$I253/12*1,0)))))+IF(CI$5&lt;&gt;$H253,0,IF(CI253&gt;0,IF($J253=10,$E253*$I253/12*0,IF($J253=11,$E253*$I253/12*1,IF($J253=12,$E253*$I253/12*2,0)))))</f>
        <v>0</v>
      </c>
      <c r="CN253" s="440">
        <f t="shared" ref="CN253:CN255" si="3835">IF(AND(CI253&lt;&gt;0,CI$5=$H253),$I253*$E253-CI253,IF(CN$5=$H253,$I253*$E253*(12-$J253+1)/12,0))</f>
        <v>0</v>
      </c>
      <c r="CO253" s="441">
        <f t="shared" ref="CO253:CO255" si="3836">IF($H253&lt;&gt;CS$5,0,IF(CS253&gt;0,IF($J253=1,$E253*$I253/12*3,IF($J253=2,$E253*$I253/12*2,IF($J253=3,$E253*$I253/12*1,0)))))+IF(CN$5&lt;&gt;$H253,0,IF(CN253&gt;0,IF($J253=1,$E253*$I253/12*0,IF($J253=2,$E253*$I253/12*1,IF($J253=3,$E253*$I253/12*2,IF($J253&gt;=4,$E253*$I253/12*3,0))))))</f>
        <v>0</v>
      </c>
      <c r="CP253" s="442">
        <f t="shared" ref="CP253:CP255" si="3837">IF($H253&lt;&gt;CS$5,0,IF(CS253&gt;0,IF(OR($J253=1,$J253=2,$J253=3,$J253=4),$E253*$I253/12*3,IF($J253=5,$E253*$I253/12*2,IF($J253=6,$E253*$I253/12*1,0)))))+IF(CN$5&lt;&gt;$H253,0,IF(CN253&gt;0,IF($J253=4,$E253*$I253/12*0,IF($J253=5,$E253*$I253/12*1,IF($J253=6,$E253*$I253/12*2,IF($J253&gt;=7,$E253*$I253/12*3,0))))))</f>
        <v>0</v>
      </c>
      <c r="CQ253" s="442">
        <f t="shared" ref="CQ253:CQ255" si="3838">IF($H253&lt;&gt;CS$5,0,IF(CS253&gt;0,IF(OR($J253=1,$J253=2,$J253=3,$J253=4,$J253=5,$J253=6,$J253=7),$E253*$I253/12*3,IF($J253=8,$E253*$I253/12*2,IF($J253=9,$E253*$I253/12*1,0)))))+IF(CN$5&lt;&gt;$H253,0,IF(CN253&gt;0,IF($J253=7,$E253*$I253/12*0,IF($J253=8,$E253*$I253/12*1,IF($J253=9,$E253*$I253/12*2,IF($J253&gt;=10,$E253*$I253/12*3,0))))))</f>
        <v>0</v>
      </c>
      <c r="CR253" s="443">
        <f t="shared" ref="CR253:CR255" si="3839">IF($H253&lt;&gt;CS$5,0,IF(CS253&gt;0,IF(OR($J253=1,$J253=2,$J253=3,$J253=4,$J253=5,$J253=6,$J253=7,$J253=8,$J253=9,$J253=10),$E253*$I253/12*3,IF($J253=11,$E253*$I253/12*2,IF($J253=12,$E253*$I253/12*1,0)))))+IF(CN$5&lt;&gt;$H253,0,IF(CN253&gt;0,IF($J253=10,$E253*$I253/12*0,IF($J253=11,$E253*$I253/12*1,IF($J253=12,$E253*$I253/12*2,0)))))</f>
        <v>0</v>
      </c>
      <c r="CS253" s="440">
        <f t="shared" ref="CS253:CS255" si="3840">IF(AND(CN253&lt;&gt;0,CN$5=$H253),$I253*$E253-CN253,IF(CS$5=$H253,$I253*$E253*(12-$J253+1)/12,0))</f>
        <v>0</v>
      </c>
      <c r="CT253" s="441">
        <f t="shared" ref="CT253:CT255" si="3841">IF($H253&lt;&gt;CX$5,0,IF(CX253&gt;0,IF($J253=1,$E253*$I253/12*3,IF($J253=2,$E253*$I253/12*2,IF($J253=3,$E253*$I253/12*1,0)))))+IF(CS$5&lt;&gt;$H253,0,IF(CS253&gt;0,IF($J253=1,$E253*$I253/12*0,IF($J253=2,$E253*$I253/12*1,IF($J253=3,$E253*$I253/12*2,IF($J253&gt;=4,$E253*$I253/12*3,0))))))</f>
        <v>0</v>
      </c>
      <c r="CU253" s="442">
        <f t="shared" ref="CU253:CU255" si="3842">IF($H253&lt;&gt;CX$5,0,IF(CX253&gt;0,IF(OR($J253=1,$J253=2,$J253=3,$J253=4),$E253*$I253/12*3,IF($J253=5,$E253*$I253/12*2,IF($J253=6,$E253*$I253/12*1,0)))))+IF(CS$5&lt;&gt;$H253,0,IF(CS253&gt;0,IF($J253=4,$E253*$I253/12*0,IF($J253=5,$E253*$I253/12*1,IF($J253=6,$E253*$I253/12*2,IF($J253&gt;=7,$E253*$I253/12*3,0))))))</f>
        <v>0</v>
      </c>
      <c r="CV253" s="442">
        <f t="shared" ref="CV253:CV255" si="3843">IF($H253&lt;&gt;CX$5,0,IF(CX253&gt;0,IF(OR($J253=1,$J253=2,$J253=3,$J253=4,$J253=5,$J253=6,$J253=7),$E253*$I253/12*3,IF($J253=8,$E253*$I253/12*2,IF($J253=9,$E253*$I253/12*1,0)))))+IF(CS$5&lt;&gt;$H253,0,IF(CS253&gt;0,IF($J253=7,$E253*$I253/12*0,IF($J253=8,$E253*$I253/12*1,IF($J253=9,$E253*$I253/12*2,IF($J253&gt;=10,$E253*$I253/12*3,0))))))</f>
        <v>0</v>
      </c>
      <c r="CW253" s="443">
        <f t="shared" ref="CW253:CW255" si="3844">IF($H253&lt;&gt;CX$5,0,IF(CX253&gt;0,IF(OR($J253=1,$J253=2,$J253=3,$J253=4,$J253=5,$J253=6,$J253=7,$J253=8,$J253=9,$J253=10),$E253*$I253/12*3,IF($J253=11,$E253*$I253/12*2,IF($J253=12,$E253*$I253/12*1,0)))))+IF(CS$5&lt;&gt;$H253,0,IF(CS253&gt;0,IF($J253=10,$E253*$I253/12*0,IF($J253=11,$E253*$I253/12*1,IF($J253=12,$E253*$I253/12*2,0)))))</f>
        <v>0</v>
      </c>
      <c r="CX253" s="440">
        <f t="shared" ref="CX253:CX255" si="3845">IF(AND(CS253&lt;&gt;0,CS$5=$H253),$I253*$E253-CS253,IF(CX$5=$H253,$I253*$E253*(12-$J253+1)/12,0))</f>
        <v>0</v>
      </c>
      <c r="CY253" s="441">
        <f t="shared" ref="CY253:CY255" si="3846">IF($H253&lt;&gt;DC$5,0,IF(DC253&gt;0,IF($J253=1,$E253*$I253/12*3,IF($J253=2,$E253*$I253/12*2,IF($J253=3,$E253*$I253/12*1,0)))))+IF(CX$5&lt;&gt;$H253,0,IF(CX253&gt;0,IF($J253=1,$E253*$I253/12*0,IF($J253=2,$E253*$I253/12*1,IF($J253=3,$E253*$I253/12*2,IF($J253&gt;=4,$E253*$I253/12*3,0))))))</f>
        <v>0</v>
      </c>
      <c r="CZ253" s="442">
        <f t="shared" ref="CZ253:CZ255" si="3847">IF($H253&lt;&gt;DC$5,0,IF(DC253&gt;0,IF(OR($J253=1,$J253=2,$J253=3,$J253=4),$E253*$I253/12*3,IF($J253=5,$E253*$I253/12*2,IF($J253=6,$E253*$I253/12*1,0)))))+IF(CX$5&lt;&gt;$H253,0,IF(CX253&gt;0,IF($J253=4,$E253*$I253/12*0,IF($J253=5,$E253*$I253/12*1,IF($J253=6,$E253*$I253/12*2,IF($J253&gt;=7,$E253*$I253/12*3,0))))))</f>
        <v>0</v>
      </c>
      <c r="DA253" s="442">
        <f t="shared" ref="DA253:DA255" si="3848">IF($H253&lt;&gt;DC$5,0,IF(DC253&gt;0,IF(OR($J253=1,$J253=2,$J253=3,$J253=4,$J253=5,$J253=6,$J253=7),$E253*$I253/12*3,IF($J253=8,$E253*$I253/12*2,IF($J253=9,$E253*$I253/12*1,0)))))+IF(CX$5&lt;&gt;$H253,0,IF(CX253&gt;0,IF($J253=7,$E253*$I253/12*0,IF($J253=8,$E253*$I253/12*1,IF($J253=9,$E253*$I253/12*2,IF($J253&gt;=10,$E253*$I253/12*3,0))))))</f>
        <v>10</v>
      </c>
      <c r="DB253" s="443">
        <f t="shared" ref="DB253:DB255" si="3849">IF($H253&lt;&gt;DC$5,0,IF(DC253&gt;0,IF(OR($J253=1,$J253=2,$J253=3,$J253=4,$J253=5,$J253=6,$J253=7,$J253=8,$J253=9,$J253=10),$E253*$I253/12*3,IF($J253=11,$E253*$I253/12*2,IF($J253=12,$E253*$I253/12*1,0)))))+IF(CX$5&lt;&gt;$H253,0,IF(CX253&gt;0,IF($J253=10,$E253*$I253/12*0,IF($J253=11,$E253*$I253/12*1,IF($J253=12,$E253*$I253/12*2,0)))))</f>
        <v>10</v>
      </c>
      <c r="DC253" s="440">
        <f t="shared" ref="DC253:DC255" si="3850">IF(AND(CX253&lt;&gt;0,CX$5=$H253),$I253*$E253-CX253,IF(DC$5=$H253,$I253*$E253*(12-$J253+1)/12,0))</f>
        <v>20</v>
      </c>
      <c r="DD253" s="441">
        <f t="shared" ref="DD253:DD255" si="3851">IF($H253&lt;&gt;DH$5,0,IF(DH253&gt;0,IF($J253=1,$E253*$I253/12*3,IF($J253=2,$E253*$I253/12*2,IF($J253=3,$E253*$I253/12*1,0)))))+IF(DC$5&lt;&gt;$H253,0,IF(DC253&gt;0,IF($J253=1,$E253*$I253/12*0,IF($J253=2,$E253*$I253/12*1,IF($J253=3,$E253*$I253/12*2,IF($J253&gt;=4,$E253*$I253/12*3,0))))))</f>
        <v>10</v>
      </c>
      <c r="DE253" s="442">
        <f t="shared" ref="DE253:DE255" si="3852">IF($H253&lt;&gt;DH$5,0,IF(DH253&gt;0,IF(OR($J253=1,$J253=2,$J253=3,$J253=4),$E253*$I253/12*3,IF($J253=5,$E253*$I253/12*2,IF($J253=6,$E253*$I253/12*1,0)))))+IF(DC$5&lt;&gt;$H253,0,IF(DC253&gt;0,IF($J253=4,$E253*$I253/12*0,IF($J253=5,$E253*$I253/12*1,IF($J253=6,$E253*$I253/12*2,IF($J253&gt;=7,$E253*$I253/12*3,0))))))</f>
        <v>10</v>
      </c>
      <c r="DF253" s="442">
        <f t="shared" ref="DF253:DF255" si="3853">IF($H253&lt;&gt;DH$5,0,IF(DH253&gt;0,IF(OR($J253=1,$J253=2,$J253=3,$J253=4,$J253=5,$J253=6,$J253=7),$E253*$I253/12*3,IF($J253=8,$E253*$I253/12*2,IF($J253=9,$E253*$I253/12*1,0)))))+IF(DC$5&lt;&gt;$H253,0,IF(DC253&gt;0,IF($J253=7,$E253*$I253/12*0,IF($J253=8,$E253*$I253/12*1,IF($J253=9,$E253*$I253/12*2,IF($J253&gt;=10,$E253*$I253/12*3,0))))))</f>
        <v>0</v>
      </c>
      <c r="DG253" s="443">
        <f t="shared" ref="DG253:DG255" si="3854">IF($H253&lt;&gt;DH$5,0,IF(DH253&gt;0,IF(OR($J253=1,$J253=2,$J253=3,$J253=4,$J253=5,$J253=6,$J253=7,$J253=8,$J253=9,$J253=10),$E253*$I253/12*3,IF($J253=11,$E253*$I253/12*2,IF($J253=12,$E253*$I253/12*1,0)))))+IF(DC$5&lt;&gt;$H253,0,IF(DC253&gt;0,IF($J253=10,$E253*$I253/12*0,IF($J253=11,$E253*$I253/12*1,IF($J253=12,$E253*$I253/12*2,0)))))</f>
        <v>0</v>
      </c>
      <c r="DH253" s="440">
        <f t="shared" ref="DH253:DH255" si="3855">IF(AND(DC253&lt;&gt;0,DC$5=$H253),$I253*$E253-DC253,IF(DH$5=$H253,$I253*$E253*(12-$J253+1)/12,0))</f>
        <v>20</v>
      </c>
      <c r="DI253" s="441">
        <f t="shared" ref="DI253:DI255" si="3856">IF($H253&lt;&gt;DM$5,0,IF(DM253&gt;0,IF($J253=1,$E253*$I253/12*3,IF($J253=2,$E253*$I253/12*2,IF($J253=3,$E253*$I253/12*1,0)))))+IF(DH$5&lt;&gt;$H253,0,IF(DH253&gt;0,IF($J253=1,$E253*$I253/12*0,IF($J253=2,$E253*$I253/12*1,IF($J253=3,$E253*$I253/12*2,IF($J253&gt;=4,$E253*$I253/12*3,0))))))</f>
        <v>0</v>
      </c>
      <c r="DJ253" s="442">
        <f t="shared" ref="DJ253:DJ255" si="3857">IF($H253&lt;&gt;DM$5,0,IF(DM253&gt;0,IF(OR($J253=1,$J253=2,$J253=3,$J253=4),$E253*$I253/12*3,IF($J253=5,$E253*$I253/12*2,IF($J253=6,$E253*$I253/12*1,0)))))+IF(DH$5&lt;&gt;$H253,0,IF(DH253&gt;0,IF($J253=4,$E253*$I253/12*0,IF($J253=5,$E253*$I253/12*1,IF($J253=6,$E253*$I253/12*2,IF($J253&gt;=7,$E253*$I253/12*3,0))))))</f>
        <v>0</v>
      </c>
      <c r="DK253" s="442">
        <f t="shared" ref="DK253:DK255" si="3858">IF($H253&lt;&gt;DM$5,0,IF(DM253&gt;0,IF(OR($J253=1,$J253=2,$J253=3,$J253=4,$J253=5,$J253=6,$J253=7),$E253*$I253/12*3,IF($J253=8,$E253*$I253/12*2,IF($J253=9,$E253*$I253/12*1,0)))))+IF(DH$5&lt;&gt;$H253,0,IF(DH253&gt;0,IF($J253=7,$E253*$I253/12*0,IF($J253=8,$E253*$I253/12*1,IF($J253=9,$E253*$I253/12*2,IF($J253&gt;=10,$E253*$I253/12*3,0))))))</f>
        <v>0</v>
      </c>
      <c r="DL253" s="443">
        <f t="shared" ref="DL253:DL255" si="3859">IF($H253&lt;&gt;DM$5,0,IF(DM253&gt;0,IF(OR($J253=1,$J253=2,$J253=3,$J253=4,$J253=5,$J253=6,$J253=7,$J253=8,$J253=9,$J253=10),$E253*$I253/12*3,IF($J253=11,$E253*$I253/12*2,IF($J253=12,$E253*$I253/12*1,0)))))+IF(DH$5&lt;&gt;$H253,0,IF(DH253&gt;0,IF($J253=10,$E253*$I253/12*0,IF($J253=11,$E253*$I253/12*1,IF($J253=12,$E253*$I253/12*2,0)))))</f>
        <v>0</v>
      </c>
      <c r="DM253" s="440">
        <f t="shared" ref="DM253:DM255" si="3860">IF(AND(DH253&lt;&gt;0,DH$5=$H253),$I253*$E253-DH253,IF(DM$5=$H253,$I253*$E253*(12-$J253+1)/12,0))</f>
        <v>0</v>
      </c>
      <c r="DN253" s="441">
        <f t="shared" ref="DN253:DN255" si="3861">IF($H253&lt;&gt;DR$5,0,IF(DR253&gt;0,IF($J253=1,$E253*$I253/12*3,IF($J253=2,$E253*$I253/12*2,IF($J253=3,$E253*$I253/12*1,0)))))+IF(DM$5&lt;&gt;$H253,0,IF(DM253&gt;0,IF($J253=1,$E253*$I253/12*0,IF($J253=2,$E253*$I253/12*1,IF($J253=3,$E253*$I253/12*2,IF($J253&gt;=4,$E253*$I253/12*3,0))))))</f>
        <v>0</v>
      </c>
      <c r="DO253" s="442">
        <f t="shared" ref="DO253:DO255" si="3862">IF($H253&lt;&gt;DR$5,0,IF(DR253&gt;0,IF(OR($J253=1,$J253=2,$J253=3,$J253=4),$E253*$I253/12*3,IF($J253=5,$E253*$I253/12*2,IF($J253=6,$E253*$I253/12*1,0)))))+IF(DM$5&lt;&gt;$H253,0,IF(DM253&gt;0,IF($J253=4,$E253*$I253/12*0,IF($J253=5,$E253*$I253/12*1,IF($J253=6,$E253*$I253/12*2,IF($J253&gt;=7,$E253*$I253/12*3,0))))))</f>
        <v>0</v>
      </c>
      <c r="DP253" s="442">
        <f t="shared" ref="DP253:DP255" si="3863">IF($H253&lt;&gt;DR$5,0,IF(DR253&gt;0,IF(OR($J253=1,$J253=2,$J253=3,$J253=4,$J253=5,$J253=6,$J253=7),$E253*$I253/12*3,IF($J253=8,$E253*$I253/12*2,IF($J253=9,$E253*$I253/12*1,0)))))+IF(DM$5&lt;&gt;$H253,0,IF(DM253&gt;0,IF($J253=7,$E253*$I253/12*0,IF($J253=8,$E253*$I253/12*1,IF($J253=9,$E253*$I253/12*2,IF($J253&gt;=10,$E253*$I253/12*3,0))))))</f>
        <v>0</v>
      </c>
      <c r="DQ253" s="443">
        <f t="shared" ref="DQ253:DQ255" si="3864">IF($H253&lt;&gt;DR$5,0,IF(DR253&gt;0,IF(OR($J253=1,$J253=2,$J253=3,$J253=4,$J253=5,$J253=6,$J253=7,$J253=8,$J253=9,$J253=10),$E253*$I253/12*3,IF($J253=11,$E253*$I253/12*2,IF($J253=12,$E253*$I253/12*1,0)))))+IF(DM$5&lt;&gt;$H253,0,IF(DM253&gt;0,IF($J253=10,$E253*$I253/12*0,IF($J253=11,$E253*$I253/12*1,IF($J253=12,$E253*$I253/12*2,0)))))</f>
        <v>0</v>
      </c>
      <c r="DR253" s="440">
        <f t="shared" ref="DR253:DR255" si="3865">IF(AND(DM253&lt;&gt;0,DM$5=$H253),$I253*$E253-DM253,IF(DR$5=$H253,$I253*$E253*(12-$J253+1)/12,0))</f>
        <v>0</v>
      </c>
    </row>
    <row r="254" spans="1:122" ht="12.75" customHeight="1">
      <c r="A254" s="92"/>
      <c r="B254" s="92"/>
      <c r="C254" s="27" t="s">
        <v>987</v>
      </c>
      <c r="D254" s="560"/>
      <c r="E254" s="781">
        <f>Distribution!$BG$132</f>
        <v>1400</v>
      </c>
      <c r="F254" s="558"/>
      <c r="G254" s="558"/>
      <c r="H254" s="1751">
        <v>2019</v>
      </c>
      <c r="I254" s="2036">
        <v>0.05</v>
      </c>
      <c r="J254" s="655">
        <v>6</v>
      </c>
      <c r="K254" s="528"/>
      <c r="L254" s="441">
        <f t="shared" si="3767"/>
        <v>0</v>
      </c>
      <c r="M254" s="442">
        <f t="shared" si="3768"/>
        <v>0</v>
      </c>
      <c r="N254" s="442">
        <f t="shared" si="3769"/>
        <v>0</v>
      </c>
      <c r="O254" s="443">
        <f t="shared" si="3770"/>
        <v>0</v>
      </c>
      <c r="P254" s="440">
        <f t="shared" si="3166"/>
        <v>0</v>
      </c>
      <c r="Q254" s="441">
        <f t="shared" si="3771"/>
        <v>0</v>
      </c>
      <c r="R254" s="442">
        <f t="shared" si="3772"/>
        <v>0</v>
      </c>
      <c r="S254" s="442">
        <f t="shared" si="3773"/>
        <v>0</v>
      </c>
      <c r="T254" s="443">
        <f t="shared" si="3774"/>
        <v>0</v>
      </c>
      <c r="U254" s="440">
        <f t="shared" si="3171"/>
        <v>0</v>
      </c>
      <c r="V254" s="441">
        <f t="shared" si="3775"/>
        <v>0</v>
      </c>
      <c r="W254" s="442">
        <f t="shared" si="3776"/>
        <v>0</v>
      </c>
      <c r="X254" s="442">
        <f t="shared" si="3777"/>
        <v>0</v>
      </c>
      <c r="Y254" s="443">
        <f t="shared" si="3778"/>
        <v>0</v>
      </c>
      <c r="Z254" s="440">
        <f t="shared" si="3176"/>
        <v>0</v>
      </c>
      <c r="AA254" s="441">
        <f t="shared" si="3779"/>
        <v>0</v>
      </c>
      <c r="AB254" s="442">
        <f t="shared" si="3780"/>
        <v>0</v>
      </c>
      <c r="AC254" s="442">
        <f t="shared" si="3781"/>
        <v>0</v>
      </c>
      <c r="AD254" s="443">
        <f t="shared" si="3782"/>
        <v>0</v>
      </c>
      <c r="AE254" s="440">
        <f t="shared" si="3181"/>
        <v>0</v>
      </c>
      <c r="AF254" s="441">
        <f t="shared" si="3783"/>
        <v>0</v>
      </c>
      <c r="AG254" s="442">
        <f t="shared" si="3784"/>
        <v>0</v>
      </c>
      <c r="AH254" s="442">
        <f t="shared" si="3785"/>
        <v>0</v>
      </c>
      <c r="AI254" s="443">
        <f t="shared" si="3786"/>
        <v>0</v>
      </c>
      <c r="AJ254" s="440">
        <f t="shared" si="3186"/>
        <v>0</v>
      </c>
      <c r="AK254" s="441">
        <f t="shared" si="3787"/>
        <v>0</v>
      </c>
      <c r="AL254" s="442">
        <f t="shared" si="3788"/>
        <v>0</v>
      </c>
      <c r="AM254" s="442">
        <f t="shared" si="3789"/>
        <v>0</v>
      </c>
      <c r="AN254" s="443">
        <f t="shared" si="3790"/>
        <v>0</v>
      </c>
      <c r="AO254" s="440">
        <f t="shared" si="3191"/>
        <v>0</v>
      </c>
      <c r="AP254" s="441">
        <f t="shared" si="3791"/>
        <v>0</v>
      </c>
      <c r="AQ254" s="442">
        <f t="shared" si="3792"/>
        <v>0</v>
      </c>
      <c r="AR254" s="442">
        <f t="shared" si="3793"/>
        <v>0</v>
      </c>
      <c r="AS254" s="443">
        <f t="shared" si="3794"/>
        <v>0</v>
      </c>
      <c r="AT254" s="440">
        <f t="shared" si="3196"/>
        <v>0</v>
      </c>
      <c r="AU254" s="441">
        <f t="shared" si="3795"/>
        <v>0</v>
      </c>
      <c r="AV254" s="442">
        <f t="shared" si="3796"/>
        <v>0</v>
      </c>
      <c r="AW254" s="442">
        <f t="shared" si="3797"/>
        <v>0</v>
      </c>
      <c r="AX254" s="443">
        <f t="shared" si="3798"/>
        <v>0</v>
      </c>
      <c r="AY254" s="440">
        <f t="shared" si="3201"/>
        <v>0</v>
      </c>
      <c r="AZ254" s="441">
        <f t="shared" si="3799"/>
        <v>0</v>
      </c>
      <c r="BA254" s="442">
        <f t="shared" si="3800"/>
        <v>1400</v>
      </c>
      <c r="BB254" s="442">
        <f t="shared" si="3801"/>
        <v>0</v>
      </c>
      <c r="BC254" s="443">
        <f t="shared" si="3802"/>
        <v>0</v>
      </c>
      <c r="BD254" s="440">
        <f t="shared" si="3206"/>
        <v>1400</v>
      </c>
      <c r="BE254" s="441">
        <f t="shared" si="3803"/>
        <v>0</v>
      </c>
      <c r="BF254" s="442">
        <f t="shared" si="3804"/>
        <v>0</v>
      </c>
      <c r="BG254" s="442">
        <f t="shared" si="3805"/>
        <v>0</v>
      </c>
      <c r="BH254" s="443">
        <f t="shared" si="3806"/>
        <v>0</v>
      </c>
      <c r="BI254" s="440">
        <f t="shared" si="3211"/>
        <v>0</v>
      </c>
      <c r="BJ254" s="441">
        <f t="shared" si="3807"/>
        <v>0</v>
      </c>
      <c r="BK254" s="442">
        <f t="shared" si="3808"/>
        <v>0</v>
      </c>
      <c r="BL254" s="442">
        <f t="shared" si="3809"/>
        <v>0</v>
      </c>
      <c r="BM254" s="443">
        <f t="shared" si="3810"/>
        <v>0</v>
      </c>
      <c r="BN254" s="440">
        <f t="shared" si="3216"/>
        <v>0</v>
      </c>
      <c r="BO254" s="463"/>
      <c r="BP254" s="441">
        <f t="shared" si="3811"/>
        <v>0</v>
      </c>
      <c r="BQ254" s="442">
        <f t="shared" si="3812"/>
        <v>0</v>
      </c>
      <c r="BR254" s="442">
        <f t="shared" si="3813"/>
        <v>0</v>
      </c>
      <c r="BS254" s="443">
        <f t="shared" si="3814"/>
        <v>0</v>
      </c>
      <c r="BT254" s="440">
        <f t="shared" si="3815"/>
        <v>0</v>
      </c>
      <c r="BU254" s="441">
        <f t="shared" si="3816"/>
        <v>0</v>
      </c>
      <c r="BV254" s="442">
        <f t="shared" si="3817"/>
        <v>0</v>
      </c>
      <c r="BW254" s="442">
        <f t="shared" si="3818"/>
        <v>0</v>
      </c>
      <c r="BX254" s="443">
        <f t="shared" si="3819"/>
        <v>0</v>
      </c>
      <c r="BY254" s="440">
        <f t="shared" si="3820"/>
        <v>0</v>
      </c>
      <c r="BZ254" s="441">
        <f t="shared" si="3821"/>
        <v>0</v>
      </c>
      <c r="CA254" s="442">
        <f t="shared" si="3822"/>
        <v>0</v>
      </c>
      <c r="CB254" s="442">
        <f t="shared" si="3823"/>
        <v>0</v>
      </c>
      <c r="CC254" s="443">
        <f t="shared" si="3824"/>
        <v>0</v>
      </c>
      <c r="CD254" s="440">
        <f t="shared" si="3825"/>
        <v>0</v>
      </c>
      <c r="CE254" s="441">
        <f t="shared" si="3826"/>
        <v>0</v>
      </c>
      <c r="CF254" s="442">
        <f t="shared" si="3827"/>
        <v>0</v>
      </c>
      <c r="CG254" s="442">
        <f t="shared" si="3828"/>
        <v>0</v>
      </c>
      <c r="CH254" s="443">
        <f t="shared" si="3829"/>
        <v>0</v>
      </c>
      <c r="CI254" s="440">
        <f t="shared" si="3830"/>
        <v>0</v>
      </c>
      <c r="CJ254" s="441">
        <f t="shared" si="3831"/>
        <v>0</v>
      </c>
      <c r="CK254" s="442">
        <f t="shared" si="3832"/>
        <v>0</v>
      </c>
      <c r="CL254" s="442">
        <f t="shared" si="3833"/>
        <v>0</v>
      </c>
      <c r="CM254" s="443">
        <f t="shared" si="3834"/>
        <v>0</v>
      </c>
      <c r="CN254" s="440">
        <f t="shared" si="3835"/>
        <v>0</v>
      </c>
      <c r="CO254" s="441">
        <f t="shared" si="3836"/>
        <v>0</v>
      </c>
      <c r="CP254" s="442">
        <f t="shared" si="3837"/>
        <v>0</v>
      </c>
      <c r="CQ254" s="442">
        <f t="shared" si="3838"/>
        <v>0</v>
      </c>
      <c r="CR254" s="443">
        <f t="shared" si="3839"/>
        <v>0</v>
      </c>
      <c r="CS254" s="440">
        <f t="shared" si="3840"/>
        <v>0</v>
      </c>
      <c r="CT254" s="441">
        <f t="shared" si="3841"/>
        <v>0</v>
      </c>
      <c r="CU254" s="442">
        <f t="shared" si="3842"/>
        <v>0</v>
      </c>
      <c r="CV254" s="442">
        <f t="shared" si="3843"/>
        <v>0</v>
      </c>
      <c r="CW254" s="443">
        <f t="shared" si="3844"/>
        <v>0</v>
      </c>
      <c r="CX254" s="440">
        <f t="shared" si="3845"/>
        <v>0</v>
      </c>
      <c r="CY254" s="441">
        <f t="shared" si="3846"/>
        <v>0</v>
      </c>
      <c r="CZ254" s="442">
        <f t="shared" si="3847"/>
        <v>0</v>
      </c>
      <c r="DA254" s="442">
        <f t="shared" si="3848"/>
        <v>0</v>
      </c>
      <c r="DB254" s="443">
        <f t="shared" si="3849"/>
        <v>0</v>
      </c>
      <c r="DC254" s="440">
        <f t="shared" si="3850"/>
        <v>0</v>
      </c>
      <c r="DD254" s="441">
        <f t="shared" si="3851"/>
        <v>0</v>
      </c>
      <c r="DE254" s="442">
        <f t="shared" si="3852"/>
        <v>5.833333333333333</v>
      </c>
      <c r="DF254" s="442">
        <f t="shared" si="3853"/>
        <v>17.5</v>
      </c>
      <c r="DG254" s="443">
        <f t="shared" si="3854"/>
        <v>17.5</v>
      </c>
      <c r="DH254" s="440">
        <f t="shared" si="3855"/>
        <v>40.833333333333336</v>
      </c>
      <c r="DI254" s="441">
        <f t="shared" si="3856"/>
        <v>17.5</v>
      </c>
      <c r="DJ254" s="442">
        <f t="shared" si="3857"/>
        <v>11.666666666666666</v>
      </c>
      <c r="DK254" s="442">
        <f t="shared" si="3858"/>
        <v>0</v>
      </c>
      <c r="DL254" s="443">
        <f t="shared" si="3859"/>
        <v>0</v>
      </c>
      <c r="DM254" s="440">
        <f t="shared" si="3860"/>
        <v>29.166666666666664</v>
      </c>
      <c r="DN254" s="441">
        <f t="shared" si="3861"/>
        <v>0</v>
      </c>
      <c r="DO254" s="442">
        <f t="shared" si="3862"/>
        <v>0</v>
      </c>
      <c r="DP254" s="442">
        <f t="shared" si="3863"/>
        <v>0</v>
      </c>
      <c r="DQ254" s="443">
        <f t="shared" si="3864"/>
        <v>0</v>
      </c>
      <c r="DR254" s="440">
        <f t="shared" si="3865"/>
        <v>0</v>
      </c>
    </row>
    <row r="255" spans="1:122" ht="12.75" customHeight="1">
      <c r="A255" s="92"/>
      <c r="B255" s="92"/>
      <c r="C255" s="27" t="s">
        <v>988</v>
      </c>
      <c r="D255" s="560"/>
      <c r="E255" s="781">
        <f>Distribution!$BL$132</f>
        <v>1300</v>
      </c>
      <c r="F255" s="558"/>
      <c r="G255" s="558"/>
      <c r="H255" s="1751">
        <v>2020</v>
      </c>
      <c r="I255" s="2036">
        <v>0.05</v>
      </c>
      <c r="J255" s="655">
        <v>6</v>
      </c>
      <c r="K255" s="528"/>
      <c r="L255" s="441">
        <f t="shared" si="3767"/>
        <v>0</v>
      </c>
      <c r="M255" s="442">
        <f t="shared" si="3768"/>
        <v>0</v>
      </c>
      <c r="N255" s="442">
        <f t="shared" si="3769"/>
        <v>0</v>
      </c>
      <c r="O255" s="443">
        <f t="shared" si="3770"/>
        <v>0</v>
      </c>
      <c r="P255" s="440">
        <f t="shared" si="3166"/>
        <v>0</v>
      </c>
      <c r="Q255" s="441">
        <f t="shared" si="3771"/>
        <v>0</v>
      </c>
      <c r="R255" s="442">
        <f t="shared" si="3772"/>
        <v>0</v>
      </c>
      <c r="S255" s="442">
        <f t="shared" si="3773"/>
        <v>0</v>
      </c>
      <c r="T255" s="443">
        <f t="shared" si="3774"/>
        <v>0</v>
      </c>
      <c r="U255" s="440">
        <f t="shared" si="3171"/>
        <v>0</v>
      </c>
      <c r="V255" s="441">
        <f t="shared" si="3775"/>
        <v>0</v>
      </c>
      <c r="W255" s="442">
        <f t="shared" si="3776"/>
        <v>0</v>
      </c>
      <c r="X255" s="442">
        <f t="shared" si="3777"/>
        <v>0</v>
      </c>
      <c r="Y255" s="443">
        <f t="shared" si="3778"/>
        <v>0</v>
      </c>
      <c r="Z255" s="440">
        <f t="shared" si="3176"/>
        <v>0</v>
      </c>
      <c r="AA255" s="441">
        <f t="shared" si="3779"/>
        <v>0</v>
      </c>
      <c r="AB255" s="442">
        <f t="shared" si="3780"/>
        <v>0</v>
      </c>
      <c r="AC255" s="442">
        <f t="shared" si="3781"/>
        <v>0</v>
      </c>
      <c r="AD255" s="443">
        <f t="shared" si="3782"/>
        <v>0</v>
      </c>
      <c r="AE255" s="440">
        <f t="shared" si="3181"/>
        <v>0</v>
      </c>
      <c r="AF255" s="441">
        <f t="shared" si="3783"/>
        <v>0</v>
      </c>
      <c r="AG255" s="442">
        <f t="shared" si="3784"/>
        <v>0</v>
      </c>
      <c r="AH255" s="442">
        <f t="shared" si="3785"/>
        <v>0</v>
      </c>
      <c r="AI255" s="443">
        <f t="shared" si="3786"/>
        <v>0</v>
      </c>
      <c r="AJ255" s="440">
        <f t="shared" si="3186"/>
        <v>0</v>
      </c>
      <c r="AK255" s="441">
        <f t="shared" si="3787"/>
        <v>0</v>
      </c>
      <c r="AL255" s="442">
        <f t="shared" si="3788"/>
        <v>0</v>
      </c>
      <c r="AM255" s="442">
        <f t="shared" si="3789"/>
        <v>0</v>
      </c>
      <c r="AN255" s="443">
        <f t="shared" si="3790"/>
        <v>0</v>
      </c>
      <c r="AO255" s="440">
        <f t="shared" si="3191"/>
        <v>0</v>
      </c>
      <c r="AP255" s="441">
        <f t="shared" si="3791"/>
        <v>0</v>
      </c>
      <c r="AQ255" s="442">
        <f t="shared" si="3792"/>
        <v>0</v>
      </c>
      <c r="AR255" s="442">
        <f t="shared" si="3793"/>
        <v>0</v>
      </c>
      <c r="AS255" s="443">
        <f t="shared" si="3794"/>
        <v>0</v>
      </c>
      <c r="AT255" s="440">
        <f t="shared" si="3196"/>
        <v>0</v>
      </c>
      <c r="AU255" s="441">
        <f t="shared" si="3795"/>
        <v>0</v>
      </c>
      <c r="AV255" s="442">
        <f t="shared" si="3796"/>
        <v>0</v>
      </c>
      <c r="AW255" s="442">
        <f t="shared" si="3797"/>
        <v>0</v>
      </c>
      <c r="AX255" s="443">
        <f t="shared" si="3798"/>
        <v>0</v>
      </c>
      <c r="AY255" s="440">
        <f t="shared" si="3201"/>
        <v>0</v>
      </c>
      <c r="AZ255" s="441">
        <f t="shared" si="3799"/>
        <v>0</v>
      </c>
      <c r="BA255" s="442">
        <f t="shared" si="3800"/>
        <v>0</v>
      </c>
      <c r="BB255" s="442">
        <f t="shared" si="3801"/>
        <v>0</v>
      </c>
      <c r="BC255" s="443">
        <f t="shared" si="3802"/>
        <v>0</v>
      </c>
      <c r="BD255" s="440">
        <f t="shared" si="3206"/>
        <v>0</v>
      </c>
      <c r="BE255" s="441">
        <f t="shared" si="3803"/>
        <v>0</v>
      </c>
      <c r="BF255" s="442">
        <f t="shared" si="3804"/>
        <v>1300</v>
      </c>
      <c r="BG255" s="442">
        <f t="shared" si="3805"/>
        <v>0</v>
      </c>
      <c r="BH255" s="443">
        <f t="shared" si="3806"/>
        <v>0</v>
      </c>
      <c r="BI255" s="440">
        <f t="shared" si="3211"/>
        <v>1300</v>
      </c>
      <c r="BJ255" s="441">
        <f t="shared" si="3807"/>
        <v>0</v>
      </c>
      <c r="BK255" s="442">
        <f t="shared" si="3808"/>
        <v>0</v>
      </c>
      <c r="BL255" s="442">
        <f t="shared" si="3809"/>
        <v>0</v>
      </c>
      <c r="BM255" s="443">
        <f t="shared" si="3810"/>
        <v>0</v>
      </c>
      <c r="BN255" s="440">
        <f t="shared" si="3216"/>
        <v>0</v>
      </c>
      <c r="BO255" s="463"/>
      <c r="BP255" s="441">
        <f t="shared" si="3811"/>
        <v>0</v>
      </c>
      <c r="BQ255" s="442">
        <f t="shared" si="3812"/>
        <v>0</v>
      </c>
      <c r="BR255" s="442">
        <f t="shared" si="3813"/>
        <v>0</v>
      </c>
      <c r="BS255" s="443">
        <f t="shared" si="3814"/>
        <v>0</v>
      </c>
      <c r="BT255" s="440">
        <f t="shared" si="3815"/>
        <v>0</v>
      </c>
      <c r="BU255" s="441">
        <f t="shared" si="3816"/>
        <v>0</v>
      </c>
      <c r="BV255" s="442">
        <f t="shared" si="3817"/>
        <v>0</v>
      </c>
      <c r="BW255" s="442">
        <f t="shared" si="3818"/>
        <v>0</v>
      </c>
      <c r="BX255" s="443">
        <f t="shared" si="3819"/>
        <v>0</v>
      </c>
      <c r="BY255" s="440">
        <f t="shared" si="3820"/>
        <v>0</v>
      </c>
      <c r="BZ255" s="441">
        <f t="shared" si="3821"/>
        <v>0</v>
      </c>
      <c r="CA255" s="442">
        <f t="shared" si="3822"/>
        <v>0</v>
      </c>
      <c r="CB255" s="442">
        <f t="shared" si="3823"/>
        <v>0</v>
      </c>
      <c r="CC255" s="443">
        <f t="shared" si="3824"/>
        <v>0</v>
      </c>
      <c r="CD255" s="440">
        <f t="shared" si="3825"/>
        <v>0</v>
      </c>
      <c r="CE255" s="441">
        <f t="shared" si="3826"/>
        <v>0</v>
      </c>
      <c r="CF255" s="442">
        <f t="shared" si="3827"/>
        <v>0</v>
      </c>
      <c r="CG255" s="442">
        <f t="shared" si="3828"/>
        <v>0</v>
      </c>
      <c r="CH255" s="443">
        <f t="shared" si="3829"/>
        <v>0</v>
      </c>
      <c r="CI255" s="440">
        <f t="shared" si="3830"/>
        <v>0</v>
      </c>
      <c r="CJ255" s="441">
        <f t="shared" si="3831"/>
        <v>0</v>
      </c>
      <c r="CK255" s="442">
        <f t="shared" si="3832"/>
        <v>0</v>
      </c>
      <c r="CL255" s="442">
        <f t="shared" si="3833"/>
        <v>0</v>
      </c>
      <c r="CM255" s="443">
        <f t="shared" si="3834"/>
        <v>0</v>
      </c>
      <c r="CN255" s="440">
        <f t="shared" si="3835"/>
        <v>0</v>
      </c>
      <c r="CO255" s="441">
        <f t="shared" si="3836"/>
        <v>0</v>
      </c>
      <c r="CP255" s="442">
        <f t="shared" si="3837"/>
        <v>0</v>
      </c>
      <c r="CQ255" s="442">
        <f t="shared" si="3838"/>
        <v>0</v>
      </c>
      <c r="CR255" s="443">
        <f t="shared" si="3839"/>
        <v>0</v>
      </c>
      <c r="CS255" s="440">
        <f t="shared" si="3840"/>
        <v>0</v>
      </c>
      <c r="CT255" s="441">
        <f t="shared" si="3841"/>
        <v>0</v>
      </c>
      <c r="CU255" s="442">
        <f t="shared" si="3842"/>
        <v>0</v>
      </c>
      <c r="CV255" s="442">
        <f t="shared" si="3843"/>
        <v>0</v>
      </c>
      <c r="CW255" s="443">
        <f t="shared" si="3844"/>
        <v>0</v>
      </c>
      <c r="CX255" s="440">
        <f t="shared" si="3845"/>
        <v>0</v>
      </c>
      <c r="CY255" s="441">
        <f t="shared" si="3846"/>
        <v>0</v>
      </c>
      <c r="CZ255" s="442">
        <f t="shared" si="3847"/>
        <v>0</v>
      </c>
      <c r="DA255" s="442">
        <f t="shared" si="3848"/>
        <v>0</v>
      </c>
      <c r="DB255" s="443">
        <f t="shared" si="3849"/>
        <v>0</v>
      </c>
      <c r="DC255" s="440">
        <f t="shared" si="3850"/>
        <v>0</v>
      </c>
      <c r="DD255" s="441">
        <f t="shared" si="3851"/>
        <v>0</v>
      </c>
      <c r="DE255" s="442">
        <f t="shared" si="3852"/>
        <v>0</v>
      </c>
      <c r="DF255" s="442">
        <f t="shared" si="3853"/>
        <v>0</v>
      </c>
      <c r="DG255" s="443">
        <f t="shared" si="3854"/>
        <v>0</v>
      </c>
      <c r="DH255" s="440">
        <f t="shared" si="3855"/>
        <v>0</v>
      </c>
      <c r="DI255" s="441">
        <f t="shared" si="3856"/>
        <v>0</v>
      </c>
      <c r="DJ255" s="442">
        <f t="shared" si="3857"/>
        <v>5.416666666666667</v>
      </c>
      <c r="DK255" s="442">
        <f t="shared" si="3858"/>
        <v>16.25</v>
      </c>
      <c r="DL255" s="443">
        <f t="shared" si="3859"/>
        <v>16.25</v>
      </c>
      <c r="DM255" s="440">
        <f t="shared" si="3860"/>
        <v>37.916666666666664</v>
      </c>
      <c r="DN255" s="441">
        <f t="shared" si="3861"/>
        <v>16.25</v>
      </c>
      <c r="DO255" s="442">
        <f t="shared" si="3862"/>
        <v>10.833333333333334</v>
      </c>
      <c r="DP255" s="442">
        <f t="shared" si="3863"/>
        <v>0</v>
      </c>
      <c r="DQ255" s="443">
        <f t="shared" si="3864"/>
        <v>0</v>
      </c>
      <c r="DR255" s="440">
        <f t="shared" si="3865"/>
        <v>27.083333333333336</v>
      </c>
    </row>
    <row r="256" spans="1:122" ht="12.75" customHeight="1">
      <c r="A256" s="92"/>
      <c r="B256" s="92"/>
      <c r="C256" s="27" t="s">
        <v>1145</v>
      </c>
      <c r="D256" s="560"/>
      <c r="E256" s="781">
        <f>Distribution!$BQ$132</f>
        <v>700</v>
      </c>
      <c r="F256" s="558"/>
      <c r="G256" s="558"/>
      <c r="H256" s="1751">
        <v>2021</v>
      </c>
      <c r="I256" s="2036">
        <v>0.05</v>
      </c>
      <c r="J256" s="655">
        <v>6</v>
      </c>
      <c r="K256" s="528"/>
      <c r="L256" s="441">
        <f t="shared" ref="L256" si="3866">IF(P256=0,0,IF(P256&gt;0,IF($J256=3,P256,IF($J256=2,P256,IF($J256=1,P256,0)))))</f>
        <v>0</v>
      </c>
      <c r="M256" s="442">
        <f t="shared" ref="M256" si="3867">IF(P256=0,0,IF(P256&gt;0,IF($J256=6,P256,IF($J256=5,P256,IF($J256=4,P256,0)))))</f>
        <v>0</v>
      </c>
      <c r="N256" s="442">
        <f t="shared" ref="N256" si="3868">IF(P256=0,0,IF(P256&gt;0,IF($J256=9,P256,IF($J256=8,P256,IF($J256=7,P256,0)))))</f>
        <v>0</v>
      </c>
      <c r="O256" s="443">
        <f t="shared" ref="O256" si="3869">IF(P256=0,0,IF(P256&gt;0,IF($J256=12,P256,IF($J256=11,P256,IF($J256=10,P256,0)))))</f>
        <v>0</v>
      </c>
      <c r="P256" s="440">
        <f t="shared" si="3166"/>
        <v>0</v>
      </c>
      <c r="Q256" s="441">
        <f t="shared" ref="Q256" si="3870">IF(U256=0,0,IF(U256&gt;0,IF($J256=3,U256,IF($J256=2,U256,IF($J256=1,U256,0)))))</f>
        <v>0</v>
      </c>
      <c r="R256" s="442">
        <f t="shared" ref="R256" si="3871">IF(U256=0,0,IF(U256&gt;0,IF($J256=6,U256,IF($J256=5,U256,IF($J256=4,U256,0)))))</f>
        <v>0</v>
      </c>
      <c r="S256" s="442">
        <f t="shared" ref="S256" si="3872">IF(U256=0,0,IF(U256&gt;0,IF($J256=9,U256,IF($J256=8,U256,IF($J256=7,U256,0)))))</f>
        <v>0</v>
      </c>
      <c r="T256" s="443">
        <f t="shared" ref="T256" si="3873">IF(U256=0,0,IF(U256&gt;0,IF($J256=12,U256,IF($J256=11,U256,IF($J256=10,U256,0)))))</f>
        <v>0</v>
      </c>
      <c r="U256" s="440">
        <f t="shared" si="3171"/>
        <v>0</v>
      </c>
      <c r="V256" s="441">
        <f t="shared" ref="V256" si="3874">IF(Z256=0,0,IF(Z256&gt;0,IF($J256=3,Z256,IF($J256=2,Z256,IF($J256=1,Z256,0)))))</f>
        <v>0</v>
      </c>
      <c r="W256" s="442">
        <f t="shared" ref="W256" si="3875">IF(Z256=0,0,IF(Z256&gt;0,IF($J256=6,Z256,IF($J256=5,Z256,IF($J256=4,Z256,0)))))</f>
        <v>0</v>
      </c>
      <c r="X256" s="442">
        <f t="shared" ref="X256" si="3876">IF(Z256=0,0,IF(Z256&gt;0,IF($J256=9,Z256,IF($J256=8,Z256,IF($J256=7,Z256,0)))))</f>
        <v>0</v>
      </c>
      <c r="Y256" s="443">
        <f t="shared" ref="Y256" si="3877">IF(Z256=0,0,IF(Z256&gt;0,IF($J256=12,Z256,IF($J256=11,Z256,IF($J256=10,Z256,0)))))</f>
        <v>0</v>
      </c>
      <c r="Z256" s="440">
        <f t="shared" si="3176"/>
        <v>0</v>
      </c>
      <c r="AA256" s="441">
        <f t="shared" ref="AA256" si="3878">IF(AE256=0,0,IF(AE256&gt;0,IF($J256=3,AE256,IF($J256=2,AE256,IF($J256=1,AE256,0)))))</f>
        <v>0</v>
      </c>
      <c r="AB256" s="442">
        <f t="shared" ref="AB256" si="3879">IF(AE256=0,0,IF(AE256&gt;0,IF($J256=6,AE256,IF($J256=5,AE256,IF($J256=4,AE256,0)))))</f>
        <v>0</v>
      </c>
      <c r="AC256" s="442">
        <f t="shared" ref="AC256" si="3880">IF(AE256=0,0,IF(AE256&gt;0,IF($J256=9,AE256,IF($J256=8,AE256,IF($J256=7,AE256,0)))))</f>
        <v>0</v>
      </c>
      <c r="AD256" s="443">
        <f t="shared" ref="AD256" si="3881">IF(AE256=0,0,IF(AE256&gt;0,IF($J256=12,AE256,IF($J256=11,AE256,IF($J256=10,AE256,0)))))</f>
        <v>0</v>
      </c>
      <c r="AE256" s="440">
        <f t="shared" si="3181"/>
        <v>0</v>
      </c>
      <c r="AF256" s="441">
        <f t="shared" ref="AF256" si="3882">IF(AJ256=0,0,IF(AJ256&gt;0,IF($J256=3,AJ256,IF($J256=2,AJ256,IF($J256=1,AJ256,0)))))</f>
        <v>0</v>
      </c>
      <c r="AG256" s="442">
        <f t="shared" ref="AG256" si="3883">IF(AJ256=0,0,IF(AJ256&gt;0,IF($J256=6,AJ256,IF($J256=5,AJ256,IF($J256=4,AJ256,0)))))</f>
        <v>0</v>
      </c>
      <c r="AH256" s="442">
        <f t="shared" ref="AH256" si="3884">IF(AJ256=0,0,IF(AJ256&gt;0,IF($J256=9,AJ256,IF($J256=8,AJ256,IF($J256=7,AJ256,0)))))</f>
        <v>0</v>
      </c>
      <c r="AI256" s="443">
        <f t="shared" ref="AI256" si="3885">IF(AJ256=0,0,IF(AJ256&gt;0,IF($J256=12,AJ256,IF($J256=11,AJ256,IF($J256=10,AJ256,0)))))</f>
        <v>0</v>
      </c>
      <c r="AJ256" s="440">
        <f t="shared" si="3186"/>
        <v>0</v>
      </c>
      <c r="AK256" s="441">
        <f t="shared" ref="AK256" si="3886">IF(AO256=0,0,IF(AO256&gt;0,IF($J256=3,AO256,IF($J256=2,AO256,IF($J256=1,AO256,0)))))</f>
        <v>0</v>
      </c>
      <c r="AL256" s="442">
        <f t="shared" ref="AL256" si="3887">IF(AO256=0,0,IF(AO256&gt;0,IF($J256=6,AO256,IF($J256=5,AO256,IF($J256=4,AO256,0)))))</f>
        <v>0</v>
      </c>
      <c r="AM256" s="442">
        <f t="shared" ref="AM256" si="3888">IF(AO256=0,0,IF(AO256&gt;0,IF($J256=9,AO256,IF($J256=8,AO256,IF($J256=7,AO256,0)))))</f>
        <v>0</v>
      </c>
      <c r="AN256" s="443">
        <f t="shared" ref="AN256" si="3889">IF(AO256=0,0,IF(AO256&gt;0,IF($J256=12,AO256,IF($J256=11,AO256,IF($J256=10,AO256,0)))))</f>
        <v>0</v>
      </c>
      <c r="AO256" s="440">
        <f t="shared" si="3191"/>
        <v>0</v>
      </c>
      <c r="AP256" s="441">
        <f t="shared" ref="AP256" si="3890">IF(AT256=0,0,IF(AT256&gt;0,IF($J256=3,AT256,IF($J256=2,AT256,IF($J256=1,AT256,0)))))</f>
        <v>0</v>
      </c>
      <c r="AQ256" s="442">
        <f t="shared" ref="AQ256" si="3891">IF(AT256=0,0,IF(AT256&gt;0,IF($J256=6,AT256,IF($J256=5,AT256,IF($J256=4,AT256,0)))))</f>
        <v>0</v>
      </c>
      <c r="AR256" s="442">
        <f t="shared" ref="AR256" si="3892">IF(AT256=0,0,IF(AT256&gt;0,IF($J256=9,AT256,IF($J256=8,AT256,IF($J256=7,AT256,0)))))</f>
        <v>0</v>
      </c>
      <c r="AS256" s="443">
        <f t="shared" ref="AS256" si="3893">IF(AT256=0,0,IF(AT256&gt;0,IF($J256=12,AT256,IF($J256=11,AT256,IF($J256=10,AT256,0)))))</f>
        <v>0</v>
      </c>
      <c r="AT256" s="440">
        <f t="shared" si="3196"/>
        <v>0</v>
      </c>
      <c r="AU256" s="441">
        <f t="shared" ref="AU256" si="3894">IF(AY256=0,0,IF(AY256&gt;0,IF($J256=3,AY256,IF($J256=2,AY256,IF($J256=1,AY256,0)))))</f>
        <v>0</v>
      </c>
      <c r="AV256" s="442">
        <f t="shared" ref="AV256" si="3895">IF(AY256=0,0,IF(AY256&gt;0,IF($J256=6,AY256,IF($J256=5,AY256,IF($J256=4,AY256,0)))))</f>
        <v>0</v>
      </c>
      <c r="AW256" s="442">
        <f t="shared" ref="AW256" si="3896">IF(AY256=0,0,IF(AY256&gt;0,IF($J256=9,AY256,IF($J256=8,AY256,IF($J256=7,AY256,0)))))</f>
        <v>0</v>
      </c>
      <c r="AX256" s="443">
        <f t="shared" ref="AX256" si="3897">IF(AY256=0,0,IF(AY256&gt;0,IF($J256=12,AY256,IF($J256=11,AY256,IF($J256=10,AY256,0)))))</f>
        <v>0</v>
      </c>
      <c r="AY256" s="440">
        <f t="shared" si="3201"/>
        <v>0</v>
      </c>
      <c r="AZ256" s="441">
        <f t="shared" ref="AZ256" si="3898">IF(BD256=0,0,IF(BD256&gt;0,IF($J256=3,BD256,IF($J256=2,BD256,IF($J256=1,BD256,0)))))</f>
        <v>0</v>
      </c>
      <c r="BA256" s="442">
        <f t="shared" ref="BA256" si="3899">IF(BD256=0,0,IF(BD256&gt;0,IF($J256=6,BD256,IF($J256=5,BD256,IF($J256=4,BD256,0)))))</f>
        <v>0</v>
      </c>
      <c r="BB256" s="442">
        <f t="shared" ref="BB256" si="3900">IF(BD256=0,0,IF(BD256&gt;0,IF($J256=9,BD256,IF($J256=8,BD256,IF($J256=7,BD256,0)))))</f>
        <v>0</v>
      </c>
      <c r="BC256" s="443">
        <f t="shared" ref="BC256" si="3901">IF(BD256=0,0,IF(BD256&gt;0,IF($J256=12,BD256,IF($J256=11,BD256,IF($J256=10,BD256,0)))))</f>
        <v>0</v>
      </c>
      <c r="BD256" s="440">
        <f t="shared" si="3206"/>
        <v>0</v>
      </c>
      <c r="BE256" s="441">
        <f t="shared" ref="BE256" si="3902">IF(BI256=0,0,IF(BI256&gt;0,IF($J256=3,BI256,IF($J256=2,BI256,IF($J256=1,BI256,0)))))</f>
        <v>0</v>
      </c>
      <c r="BF256" s="442">
        <f t="shared" ref="BF256" si="3903">IF(BI256=0,0,IF(BI256&gt;0,IF($J256=6,BI256,IF($J256=5,BI256,IF($J256=4,BI256,0)))))</f>
        <v>0</v>
      </c>
      <c r="BG256" s="442">
        <f t="shared" ref="BG256" si="3904">IF(BI256=0,0,IF(BI256&gt;0,IF($J256=9,BI256,IF($J256=8,BI256,IF($J256=7,BI256,0)))))</f>
        <v>0</v>
      </c>
      <c r="BH256" s="443">
        <f t="shared" ref="BH256" si="3905">IF(BI256=0,0,IF(BI256&gt;0,IF($J256=12,BI256,IF($J256=11,BI256,IF($J256=10,BI256,0)))))</f>
        <v>0</v>
      </c>
      <c r="BI256" s="440">
        <f t="shared" si="3211"/>
        <v>0</v>
      </c>
      <c r="BJ256" s="441">
        <f t="shared" ref="BJ256" si="3906">IF(BN256=0,0,IF(BN256&gt;0,IF($J256=3,BN256,IF($J256=2,BN256,IF($J256=1,BN256,0)))))</f>
        <v>0</v>
      </c>
      <c r="BK256" s="442">
        <f t="shared" ref="BK256" si="3907">IF(BN256=0,0,IF(BN256&gt;0,IF($J256=6,BN256,IF($J256=5,BN256,IF($J256=4,BN256,0)))))</f>
        <v>700</v>
      </c>
      <c r="BL256" s="442">
        <f t="shared" ref="BL256" si="3908">IF(BN256=0,0,IF(BN256&gt;0,IF($J256=9,BN256,IF($J256=8,BN256,IF($J256=7,BN256,0)))))</f>
        <v>0</v>
      </c>
      <c r="BM256" s="443">
        <f t="shared" ref="BM256" si="3909">IF(BN256=0,0,IF(BN256&gt;0,IF($J256=12,BN256,IF($J256=11,BN256,IF($J256=10,BN256,0)))))</f>
        <v>0</v>
      </c>
      <c r="BN256" s="440">
        <f t="shared" si="3216"/>
        <v>700</v>
      </c>
      <c r="BO256" s="463"/>
      <c r="BP256" s="441">
        <f t="shared" ref="BP256" si="3910">IF($H256&lt;&gt;BT$5,0,IF(BT256&gt;0,IF($J256=1,$E256*$I256/12*3,IF($J256=2,$E256*$I256/12*2,IF($J256=3,$E256*$I256/12*1,0)))))+IF(BO$5&lt;&gt;$H256,0,IF(BO256&gt;0,IF($J256=1,$E256*$I256/12*0,IF($J256=2,$E256*$I256/12*1,IF($J256=3,$E256*$I256/12*2,IF($J256&gt;=4,$E256*$I256/12*3,0))))))</f>
        <v>0</v>
      </c>
      <c r="BQ256" s="442">
        <f t="shared" ref="BQ256" si="3911">IF($H256&lt;&gt;BT$5,0,IF(BT256&gt;0,IF(OR($J256=1,$J256=2,$J256=3,$J256=4),$E256*$I256/12*3,IF($J256=5,$E256*$I256/12*2,IF($J256=6,$E256*$I256/12*1,0)))))+IF(BO$5&lt;&gt;$H256,0,IF(BO256&gt;0,IF($J256=4,$E256*$I256/12*0,IF($J256=5,$E256*$I256/12*1,IF($J256=6,$E256*$I256/12*2,IF($J256&gt;=7,$E256*$I256/12*3,0))))))</f>
        <v>0</v>
      </c>
      <c r="BR256" s="442">
        <f t="shared" ref="BR256" si="3912">IF($H256&lt;&gt;BT$5,0,IF(BT256&gt;0,IF(OR($J256=1,$J256=2,$J256=3,$J256=4,$J256=5,$J256=6,$J256=7),$E256*$I256/12*3,IF($J256=8,$E256*$I256/12*2,IF($J256=9,$E256*$I256/12*1,0)))))+IF(BO$5&lt;&gt;$H256,0,IF(BO256&gt;0,IF($J256=7,$E256*$I256/12*0,IF($J256=8,$E256*$I256/12*1,IF($J256=9,$E256*$I256/12*2,IF($J256&gt;=10,$E256*$I256/12*3,0))))))</f>
        <v>0</v>
      </c>
      <c r="BS256" s="443">
        <f t="shared" ref="BS256" si="3913">IF($H256&lt;&gt;BT$5,0,IF(BT256&gt;0,IF(OR($J256=1,$J256=2,$J256=3,$J256=4,$J256=5,$J256=6,$J256=7,$J256=8,$J256=9,$J256=10),$E256*$I256/12*3,IF($J256=11,$E256*$I256/12*2,IF($J256=12,$E256*$I256/12*1,0)))))+IF(BO$5&lt;&gt;$H256,0,IF(BO256&gt;0,IF($J256=10,$E256*$I256/12*0,IF($J256=11,$E256*$I256/12*1,IF($J256=12,$E256*$I256/12*2,0)))))</f>
        <v>0</v>
      </c>
      <c r="BT256" s="440">
        <f t="shared" ref="BT256" si="3914">IF(AND(BO256&lt;&gt;0,BO$5=$H256),$I256*$E256-BO256,IF(BT$5=$H256,$I256*$E256*(12-$J256+1)/12,0))</f>
        <v>0</v>
      </c>
      <c r="BU256" s="441">
        <f t="shared" ref="BU256" si="3915">IF($H256&lt;&gt;BY$5,0,IF(BY256&gt;0,IF($J256=1,$E256*$I256/12*3,IF($J256=2,$E256*$I256/12*2,IF($J256=3,$E256*$I256/12*1,0)))))+IF(BT$5&lt;&gt;$H256,0,IF(BT256&gt;0,IF($J256=1,$E256*$I256/12*0,IF($J256=2,$E256*$I256/12*1,IF($J256=3,$E256*$I256/12*2,IF($J256&gt;=4,$E256*$I256/12*3,0))))))</f>
        <v>0</v>
      </c>
      <c r="BV256" s="442">
        <f t="shared" ref="BV256" si="3916">IF($H256&lt;&gt;BY$5,0,IF(BY256&gt;0,IF(OR($J256=1,$J256=2,$J256=3,$J256=4),$E256*$I256/12*3,IF($J256=5,$E256*$I256/12*2,IF($J256=6,$E256*$I256/12*1,0)))))+IF(BT$5&lt;&gt;$H256,0,IF(BT256&gt;0,IF($J256=4,$E256*$I256/12*0,IF($J256=5,$E256*$I256/12*1,IF($J256=6,$E256*$I256/12*2,IF($J256&gt;=7,$E256*$I256/12*3,0))))))</f>
        <v>0</v>
      </c>
      <c r="BW256" s="442">
        <f t="shared" ref="BW256" si="3917">IF($H256&lt;&gt;BY$5,0,IF(BY256&gt;0,IF(OR($J256=1,$J256=2,$J256=3,$J256=4,$J256=5,$J256=6,$J256=7),$E256*$I256/12*3,IF($J256=8,$E256*$I256/12*2,IF($J256=9,$E256*$I256/12*1,0)))))+IF(BT$5&lt;&gt;$H256,0,IF(BT256&gt;0,IF($J256=7,$E256*$I256/12*0,IF($J256=8,$E256*$I256/12*1,IF($J256=9,$E256*$I256/12*2,IF($J256&gt;=10,$E256*$I256/12*3,0))))))</f>
        <v>0</v>
      </c>
      <c r="BX256" s="443">
        <f t="shared" ref="BX256" si="3918">IF($H256&lt;&gt;BY$5,0,IF(BY256&gt;0,IF(OR($J256=1,$J256=2,$J256=3,$J256=4,$J256=5,$J256=6,$J256=7,$J256=8,$J256=9,$J256=10),$E256*$I256/12*3,IF($J256=11,$E256*$I256/12*2,IF($J256=12,$E256*$I256/12*1,0)))))+IF(BT$5&lt;&gt;$H256,0,IF(BT256&gt;0,IF($J256=10,$E256*$I256/12*0,IF($J256=11,$E256*$I256/12*1,IF($J256=12,$E256*$I256/12*2,0)))))</f>
        <v>0</v>
      </c>
      <c r="BY256" s="440">
        <f t="shared" ref="BY256" si="3919">IF(AND(BT256&lt;&gt;0,BT$5=$H256),$I256*$E256-BT256,IF(BY$5=$H256,$I256*$E256*(12-$J256+1)/12,0))</f>
        <v>0</v>
      </c>
      <c r="BZ256" s="441">
        <f t="shared" ref="BZ256" si="3920">IF($H256&lt;&gt;CD$5,0,IF(CD256&gt;0,IF($J256=1,$E256*$I256/12*3,IF($J256=2,$E256*$I256/12*2,IF($J256=3,$E256*$I256/12*1,0)))))+IF(BY$5&lt;&gt;$H256,0,IF(BY256&gt;0,IF($J256=1,$E256*$I256/12*0,IF($J256=2,$E256*$I256/12*1,IF($J256=3,$E256*$I256/12*2,IF($J256&gt;=4,$E256*$I256/12*3,0))))))</f>
        <v>0</v>
      </c>
      <c r="CA256" s="442">
        <f t="shared" ref="CA256" si="3921">IF($H256&lt;&gt;CD$5,0,IF(CD256&gt;0,IF(OR($J256=1,$J256=2,$J256=3,$J256=4),$E256*$I256/12*3,IF($J256=5,$E256*$I256/12*2,IF($J256=6,$E256*$I256/12*1,0)))))+IF(BY$5&lt;&gt;$H256,0,IF(BY256&gt;0,IF($J256=4,$E256*$I256/12*0,IF($J256=5,$E256*$I256/12*1,IF($J256=6,$E256*$I256/12*2,IF($J256&gt;=7,$E256*$I256/12*3,0))))))</f>
        <v>0</v>
      </c>
      <c r="CB256" s="442">
        <f t="shared" ref="CB256" si="3922">IF($H256&lt;&gt;CD$5,0,IF(CD256&gt;0,IF(OR($J256=1,$J256=2,$J256=3,$J256=4,$J256=5,$J256=6,$J256=7),$E256*$I256/12*3,IF($J256=8,$E256*$I256/12*2,IF($J256=9,$E256*$I256/12*1,0)))))+IF(BY$5&lt;&gt;$H256,0,IF(BY256&gt;0,IF($J256=7,$E256*$I256/12*0,IF($J256=8,$E256*$I256/12*1,IF($J256=9,$E256*$I256/12*2,IF($J256&gt;=10,$E256*$I256/12*3,0))))))</f>
        <v>0</v>
      </c>
      <c r="CC256" s="443">
        <f t="shared" ref="CC256" si="3923">IF($H256&lt;&gt;CD$5,0,IF(CD256&gt;0,IF(OR($J256=1,$J256=2,$J256=3,$J256=4,$J256=5,$J256=6,$J256=7,$J256=8,$J256=9,$J256=10),$E256*$I256/12*3,IF($J256=11,$E256*$I256/12*2,IF($J256=12,$E256*$I256/12*1,0)))))+IF(BY$5&lt;&gt;$H256,0,IF(BY256&gt;0,IF($J256=10,$E256*$I256/12*0,IF($J256=11,$E256*$I256/12*1,IF($J256=12,$E256*$I256/12*2,0)))))</f>
        <v>0</v>
      </c>
      <c r="CD256" s="440">
        <f t="shared" ref="CD256" si="3924">IF(AND(BY256&lt;&gt;0,BY$5=$H256),$I256*$E256-BY256,IF(CD$5=$H256,$I256*$E256*(12-$J256+1)/12,0))</f>
        <v>0</v>
      </c>
      <c r="CE256" s="441">
        <f t="shared" ref="CE256" si="3925">IF($H256&lt;&gt;CI$5,0,IF(CI256&gt;0,IF($J256=1,$E256*$I256/12*3,IF($J256=2,$E256*$I256/12*2,IF($J256=3,$E256*$I256/12*1,0)))))+IF(CD$5&lt;&gt;$H256,0,IF(CD256&gt;0,IF($J256=1,$E256*$I256/12*0,IF($J256=2,$E256*$I256/12*1,IF($J256=3,$E256*$I256/12*2,IF($J256&gt;=4,$E256*$I256/12*3,0))))))</f>
        <v>0</v>
      </c>
      <c r="CF256" s="442">
        <f t="shared" ref="CF256" si="3926">IF($H256&lt;&gt;CI$5,0,IF(CI256&gt;0,IF(OR($J256=1,$J256=2,$J256=3,$J256=4),$E256*$I256/12*3,IF($J256=5,$E256*$I256/12*2,IF($J256=6,$E256*$I256/12*1,0)))))+IF(CD$5&lt;&gt;$H256,0,IF(CD256&gt;0,IF($J256=4,$E256*$I256/12*0,IF($J256=5,$E256*$I256/12*1,IF($J256=6,$E256*$I256/12*2,IF($J256&gt;=7,$E256*$I256/12*3,0))))))</f>
        <v>0</v>
      </c>
      <c r="CG256" s="442">
        <f t="shared" ref="CG256" si="3927">IF($H256&lt;&gt;CI$5,0,IF(CI256&gt;0,IF(OR($J256=1,$J256=2,$J256=3,$J256=4,$J256=5,$J256=6,$J256=7),$E256*$I256/12*3,IF($J256=8,$E256*$I256/12*2,IF($J256=9,$E256*$I256/12*1,0)))))+IF(CD$5&lt;&gt;$H256,0,IF(CD256&gt;0,IF($J256=7,$E256*$I256/12*0,IF($J256=8,$E256*$I256/12*1,IF($J256=9,$E256*$I256/12*2,IF($J256&gt;=10,$E256*$I256/12*3,0))))))</f>
        <v>0</v>
      </c>
      <c r="CH256" s="443">
        <f t="shared" ref="CH256" si="3928">IF($H256&lt;&gt;CI$5,0,IF(CI256&gt;0,IF(OR($J256=1,$J256=2,$J256=3,$J256=4,$J256=5,$J256=6,$J256=7,$J256=8,$J256=9,$J256=10),$E256*$I256/12*3,IF($J256=11,$E256*$I256/12*2,IF($J256=12,$E256*$I256/12*1,0)))))+IF(CD$5&lt;&gt;$H256,0,IF(CD256&gt;0,IF($J256=10,$E256*$I256/12*0,IF($J256=11,$E256*$I256/12*1,IF($J256=12,$E256*$I256/12*2,0)))))</f>
        <v>0</v>
      </c>
      <c r="CI256" s="440">
        <f t="shared" ref="CI256" si="3929">IF(AND(CD256&lt;&gt;0,CD$5=$H256),$I256*$E256-CD256,IF(CI$5=$H256,$I256*$E256*(12-$J256+1)/12,0))</f>
        <v>0</v>
      </c>
      <c r="CJ256" s="441">
        <f t="shared" ref="CJ256" si="3930">IF($H256&lt;&gt;CN$5,0,IF(CN256&gt;0,IF($J256=1,$E256*$I256/12*3,IF($J256=2,$E256*$I256/12*2,IF($J256=3,$E256*$I256/12*1,0)))))+IF(CI$5&lt;&gt;$H256,0,IF(CI256&gt;0,IF($J256=1,$E256*$I256/12*0,IF($J256=2,$E256*$I256/12*1,IF($J256=3,$E256*$I256/12*2,IF($J256&gt;=4,$E256*$I256/12*3,0))))))</f>
        <v>0</v>
      </c>
      <c r="CK256" s="442">
        <f t="shared" ref="CK256" si="3931">IF($H256&lt;&gt;CN$5,0,IF(CN256&gt;0,IF(OR($J256=1,$J256=2,$J256=3,$J256=4),$E256*$I256/12*3,IF($J256=5,$E256*$I256/12*2,IF($J256=6,$E256*$I256/12*1,0)))))+IF(CI$5&lt;&gt;$H256,0,IF(CI256&gt;0,IF($J256=4,$E256*$I256/12*0,IF($J256=5,$E256*$I256/12*1,IF($J256=6,$E256*$I256/12*2,IF($J256&gt;=7,$E256*$I256/12*3,0))))))</f>
        <v>0</v>
      </c>
      <c r="CL256" s="442">
        <f t="shared" ref="CL256" si="3932">IF($H256&lt;&gt;CN$5,0,IF(CN256&gt;0,IF(OR($J256=1,$J256=2,$J256=3,$J256=4,$J256=5,$J256=6,$J256=7),$E256*$I256/12*3,IF($J256=8,$E256*$I256/12*2,IF($J256=9,$E256*$I256/12*1,0)))))+IF(CI$5&lt;&gt;$H256,0,IF(CI256&gt;0,IF($J256=7,$E256*$I256/12*0,IF($J256=8,$E256*$I256/12*1,IF($J256=9,$E256*$I256/12*2,IF($J256&gt;=10,$E256*$I256/12*3,0))))))</f>
        <v>0</v>
      </c>
      <c r="CM256" s="443">
        <f t="shared" ref="CM256" si="3933">IF($H256&lt;&gt;CN$5,0,IF(CN256&gt;0,IF(OR($J256=1,$J256=2,$J256=3,$J256=4,$J256=5,$J256=6,$J256=7,$J256=8,$J256=9,$J256=10),$E256*$I256/12*3,IF($J256=11,$E256*$I256/12*2,IF($J256=12,$E256*$I256/12*1,0)))))+IF(CI$5&lt;&gt;$H256,0,IF(CI256&gt;0,IF($J256=10,$E256*$I256/12*0,IF($J256=11,$E256*$I256/12*1,IF($J256=12,$E256*$I256/12*2,0)))))</f>
        <v>0</v>
      </c>
      <c r="CN256" s="440">
        <f t="shared" ref="CN256" si="3934">IF(AND(CI256&lt;&gt;0,CI$5=$H256),$I256*$E256-CI256,IF(CN$5=$H256,$I256*$E256*(12-$J256+1)/12,0))</f>
        <v>0</v>
      </c>
      <c r="CO256" s="441">
        <f t="shared" ref="CO256" si="3935">IF($H256&lt;&gt;CS$5,0,IF(CS256&gt;0,IF($J256=1,$E256*$I256/12*3,IF($J256=2,$E256*$I256/12*2,IF($J256=3,$E256*$I256/12*1,0)))))+IF(CN$5&lt;&gt;$H256,0,IF(CN256&gt;0,IF($J256=1,$E256*$I256/12*0,IF($J256=2,$E256*$I256/12*1,IF($J256=3,$E256*$I256/12*2,IF($J256&gt;=4,$E256*$I256/12*3,0))))))</f>
        <v>0</v>
      </c>
      <c r="CP256" s="442">
        <f t="shared" ref="CP256" si="3936">IF($H256&lt;&gt;CS$5,0,IF(CS256&gt;0,IF(OR($J256=1,$J256=2,$J256=3,$J256=4),$E256*$I256/12*3,IF($J256=5,$E256*$I256/12*2,IF($J256=6,$E256*$I256/12*1,0)))))+IF(CN$5&lt;&gt;$H256,0,IF(CN256&gt;0,IF($J256=4,$E256*$I256/12*0,IF($J256=5,$E256*$I256/12*1,IF($J256=6,$E256*$I256/12*2,IF($J256&gt;=7,$E256*$I256/12*3,0))))))</f>
        <v>0</v>
      </c>
      <c r="CQ256" s="442">
        <f t="shared" ref="CQ256" si="3937">IF($H256&lt;&gt;CS$5,0,IF(CS256&gt;0,IF(OR($J256=1,$J256=2,$J256=3,$J256=4,$J256=5,$J256=6,$J256=7),$E256*$I256/12*3,IF($J256=8,$E256*$I256/12*2,IF($J256=9,$E256*$I256/12*1,0)))))+IF(CN$5&lt;&gt;$H256,0,IF(CN256&gt;0,IF($J256=7,$E256*$I256/12*0,IF($J256=8,$E256*$I256/12*1,IF($J256=9,$E256*$I256/12*2,IF($J256&gt;=10,$E256*$I256/12*3,0))))))</f>
        <v>0</v>
      </c>
      <c r="CR256" s="443">
        <f t="shared" ref="CR256" si="3938">IF($H256&lt;&gt;CS$5,0,IF(CS256&gt;0,IF(OR($J256=1,$J256=2,$J256=3,$J256=4,$J256=5,$J256=6,$J256=7,$J256=8,$J256=9,$J256=10),$E256*$I256/12*3,IF($J256=11,$E256*$I256/12*2,IF($J256=12,$E256*$I256/12*1,0)))))+IF(CN$5&lt;&gt;$H256,0,IF(CN256&gt;0,IF($J256=10,$E256*$I256/12*0,IF($J256=11,$E256*$I256/12*1,IF($J256=12,$E256*$I256/12*2,0)))))</f>
        <v>0</v>
      </c>
      <c r="CS256" s="440">
        <f t="shared" ref="CS256" si="3939">IF(AND(CN256&lt;&gt;0,CN$5=$H256),$I256*$E256-CN256,IF(CS$5=$H256,$I256*$E256*(12-$J256+1)/12,0))</f>
        <v>0</v>
      </c>
      <c r="CT256" s="441">
        <f t="shared" ref="CT256" si="3940">IF($H256&lt;&gt;CX$5,0,IF(CX256&gt;0,IF($J256=1,$E256*$I256/12*3,IF($J256=2,$E256*$I256/12*2,IF($J256=3,$E256*$I256/12*1,0)))))+IF(CS$5&lt;&gt;$H256,0,IF(CS256&gt;0,IF($J256=1,$E256*$I256/12*0,IF($J256=2,$E256*$I256/12*1,IF($J256=3,$E256*$I256/12*2,IF($J256&gt;=4,$E256*$I256/12*3,0))))))</f>
        <v>0</v>
      </c>
      <c r="CU256" s="442">
        <f t="shared" ref="CU256" si="3941">IF($H256&lt;&gt;CX$5,0,IF(CX256&gt;0,IF(OR($J256=1,$J256=2,$J256=3,$J256=4),$E256*$I256/12*3,IF($J256=5,$E256*$I256/12*2,IF($J256=6,$E256*$I256/12*1,0)))))+IF(CS$5&lt;&gt;$H256,0,IF(CS256&gt;0,IF($J256=4,$E256*$I256/12*0,IF($J256=5,$E256*$I256/12*1,IF($J256=6,$E256*$I256/12*2,IF($J256&gt;=7,$E256*$I256/12*3,0))))))</f>
        <v>0</v>
      </c>
      <c r="CV256" s="442">
        <f t="shared" ref="CV256" si="3942">IF($H256&lt;&gt;CX$5,0,IF(CX256&gt;0,IF(OR($J256=1,$J256=2,$J256=3,$J256=4,$J256=5,$J256=6,$J256=7),$E256*$I256/12*3,IF($J256=8,$E256*$I256/12*2,IF($J256=9,$E256*$I256/12*1,0)))))+IF(CS$5&lt;&gt;$H256,0,IF(CS256&gt;0,IF($J256=7,$E256*$I256/12*0,IF($J256=8,$E256*$I256/12*1,IF($J256=9,$E256*$I256/12*2,IF($J256&gt;=10,$E256*$I256/12*3,0))))))</f>
        <v>0</v>
      </c>
      <c r="CW256" s="443">
        <f t="shared" ref="CW256" si="3943">IF($H256&lt;&gt;CX$5,0,IF(CX256&gt;0,IF(OR($J256=1,$J256=2,$J256=3,$J256=4,$J256=5,$J256=6,$J256=7,$J256=8,$J256=9,$J256=10),$E256*$I256/12*3,IF($J256=11,$E256*$I256/12*2,IF($J256=12,$E256*$I256/12*1,0)))))+IF(CS$5&lt;&gt;$H256,0,IF(CS256&gt;0,IF($J256=10,$E256*$I256/12*0,IF($J256=11,$E256*$I256/12*1,IF($J256=12,$E256*$I256/12*2,0)))))</f>
        <v>0</v>
      </c>
      <c r="CX256" s="440">
        <f t="shared" ref="CX256" si="3944">IF(AND(CS256&lt;&gt;0,CS$5=$H256),$I256*$E256-CS256,IF(CX$5=$H256,$I256*$E256*(12-$J256+1)/12,0))</f>
        <v>0</v>
      </c>
      <c r="CY256" s="441">
        <f t="shared" ref="CY256" si="3945">IF($H256&lt;&gt;DC$5,0,IF(DC256&gt;0,IF($J256=1,$E256*$I256/12*3,IF($J256=2,$E256*$I256/12*2,IF($J256=3,$E256*$I256/12*1,0)))))+IF(CX$5&lt;&gt;$H256,0,IF(CX256&gt;0,IF($J256=1,$E256*$I256/12*0,IF($J256=2,$E256*$I256/12*1,IF($J256=3,$E256*$I256/12*2,IF($J256&gt;=4,$E256*$I256/12*3,0))))))</f>
        <v>0</v>
      </c>
      <c r="CZ256" s="442">
        <f t="shared" ref="CZ256" si="3946">IF($H256&lt;&gt;DC$5,0,IF(DC256&gt;0,IF(OR($J256=1,$J256=2,$J256=3,$J256=4),$E256*$I256/12*3,IF($J256=5,$E256*$I256/12*2,IF($J256=6,$E256*$I256/12*1,0)))))+IF(CX$5&lt;&gt;$H256,0,IF(CX256&gt;0,IF($J256=4,$E256*$I256/12*0,IF($J256=5,$E256*$I256/12*1,IF($J256=6,$E256*$I256/12*2,IF($J256&gt;=7,$E256*$I256/12*3,0))))))</f>
        <v>0</v>
      </c>
      <c r="DA256" s="442">
        <f t="shared" ref="DA256" si="3947">IF($H256&lt;&gt;DC$5,0,IF(DC256&gt;0,IF(OR($J256=1,$J256=2,$J256=3,$J256=4,$J256=5,$J256=6,$J256=7),$E256*$I256/12*3,IF($J256=8,$E256*$I256/12*2,IF($J256=9,$E256*$I256/12*1,0)))))+IF(CX$5&lt;&gt;$H256,0,IF(CX256&gt;0,IF($J256=7,$E256*$I256/12*0,IF($J256=8,$E256*$I256/12*1,IF($J256=9,$E256*$I256/12*2,IF($J256&gt;=10,$E256*$I256/12*3,0))))))</f>
        <v>0</v>
      </c>
      <c r="DB256" s="443">
        <f t="shared" ref="DB256" si="3948">IF($H256&lt;&gt;DC$5,0,IF(DC256&gt;0,IF(OR($J256=1,$J256=2,$J256=3,$J256=4,$J256=5,$J256=6,$J256=7,$J256=8,$J256=9,$J256=10),$E256*$I256/12*3,IF($J256=11,$E256*$I256/12*2,IF($J256=12,$E256*$I256/12*1,0)))))+IF(CX$5&lt;&gt;$H256,0,IF(CX256&gt;0,IF($J256=10,$E256*$I256/12*0,IF($J256=11,$E256*$I256/12*1,IF($J256=12,$E256*$I256/12*2,0)))))</f>
        <v>0</v>
      </c>
      <c r="DC256" s="440">
        <f t="shared" ref="DC256" si="3949">IF(AND(CX256&lt;&gt;0,CX$5=$H256),$I256*$E256-CX256,IF(DC$5=$H256,$I256*$E256*(12-$J256+1)/12,0))</f>
        <v>0</v>
      </c>
      <c r="DD256" s="441">
        <f t="shared" ref="DD256" si="3950">IF($H256&lt;&gt;DH$5,0,IF(DH256&gt;0,IF($J256=1,$E256*$I256/12*3,IF($J256=2,$E256*$I256/12*2,IF($J256=3,$E256*$I256/12*1,0)))))+IF(DC$5&lt;&gt;$H256,0,IF(DC256&gt;0,IF($J256=1,$E256*$I256/12*0,IF($J256=2,$E256*$I256/12*1,IF($J256=3,$E256*$I256/12*2,IF($J256&gt;=4,$E256*$I256/12*3,0))))))</f>
        <v>0</v>
      </c>
      <c r="DE256" s="442">
        <f t="shared" ref="DE256" si="3951">IF($H256&lt;&gt;DH$5,0,IF(DH256&gt;0,IF(OR($J256=1,$J256=2,$J256=3,$J256=4),$E256*$I256/12*3,IF($J256=5,$E256*$I256/12*2,IF($J256=6,$E256*$I256/12*1,0)))))+IF(DC$5&lt;&gt;$H256,0,IF(DC256&gt;0,IF($J256=4,$E256*$I256/12*0,IF($J256=5,$E256*$I256/12*1,IF($J256=6,$E256*$I256/12*2,IF($J256&gt;=7,$E256*$I256/12*3,0))))))</f>
        <v>0</v>
      </c>
      <c r="DF256" s="442">
        <f t="shared" ref="DF256" si="3952">IF($H256&lt;&gt;DH$5,0,IF(DH256&gt;0,IF(OR($J256=1,$J256=2,$J256=3,$J256=4,$J256=5,$J256=6,$J256=7),$E256*$I256/12*3,IF($J256=8,$E256*$I256/12*2,IF($J256=9,$E256*$I256/12*1,0)))))+IF(DC$5&lt;&gt;$H256,0,IF(DC256&gt;0,IF($J256=7,$E256*$I256/12*0,IF($J256=8,$E256*$I256/12*1,IF($J256=9,$E256*$I256/12*2,IF($J256&gt;=10,$E256*$I256/12*3,0))))))</f>
        <v>0</v>
      </c>
      <c r="DG256" s="443">
        <f t="shared" ref="DG256" si="3953">IF($H256&lt;&gt;DH$5,0,IF(DH256&gt;0,IF(OR($J256=1,$J256=2,$J256=3,$J256=4,$J256=5,$J256=6,$J256=7,$J256=8,$J256=9,$J256=10),$E256*$I256/12*3,IF($J256=11,$E256*$I256/12*2,IF($J256=12,$E256*$I256/12*1,0)))))+IF(DC$5&lt;&gt;$H256,0,IF(DC256&gt;0,IF($J256=10,$E256*$I256/12*0,IF($J256=11,$E256*$I256/12*1,IF($J256=12,$E256*$I256/12*2,0)))))</f>
        <v>0</v>
      </c>
      <c r="DH256" s="440">
        <f t="shared" ref="DH256" si="3954">IF(AND(DC256&lt;&gt;0,DC$5=$H256),$I256*$E256-DC256,IF(DH$5=$H256,$I256*$E256*(12-$J256+1)/12,0))</f>
        <v>0</v>
      </c>
      <c r="DI256" s="441">
        <f t="shared" ref="DI256" si="3955">IF($H256&lt;&gt;DM$5,0,IF(DM256&gt;0,IF($J256=1,$E256*$I256/12*3,IF($J256=2,$E256*$I256/12*2,IF($J256=3,$E256*$I256/12*1,0)))))+IF(DH$5&lt;&gt;$H256,0,IF(DH256&gt;0,IF($J256=1,$E256*$I256/12*0,IF($J256=2,$E256*$I256/12*1,IF($J256=3,$E256*$I256/12*2,IF($J256&gt;=4,$E256*$I256/12*3,0))))))</f>
        <v>0</v>
      </c>
      <c r="DJ256" s="442">
        <f t="shared" ref="DJ256" si="3956">IF($H256&lt;&gt;DM$5,0,IF(DM256&gt;0,IF(OR($J256=1,$J256=2,$J256=3,$J256=4),$E256*$I256/12*3,IF($J256=5,$E256*$I256/12*2,IF($J256=6,$E256*$I256/12*1,0)))))+IF(DH$5&lt;&gt;$H256,0,IF(DH256&gt;0,IF($J256=4,$E256*$I256/12*0,IF($J256=5,$E256*$I256/12*1,IF($J256=6,$E256*$I256/12*2,IF($J256&gt;=7,$E256*$I256/12*3,0))))))</f>
        <v>0</v>
      </c>
      <c r="DK256" s="442">
        <f t="shared" ref="DK256" si="3957">IF($H256&lt;&gt;DM$5,0,IF(DM256&gt;0,IF(OR($J256=1,$J256=2,$J256=3,$J256=4,$J256=5,$J256=6,$J256=7),$E256*$I256/12*3,IF($J256=8,$E256*$I256/12*2,IF($J256=9,$E256*$I256/12*1,0)))))+IF(DH$5&lt;&gt;$H256,0,IF(DH256&gt;0,IF($J256=7,$E256*$I256/12*0,IF($J256=8,$E256*$I256/12*1,IF($J256=9,$E256*$I256/12*2,IF($J256&gt;=10,$E256*$I256/12*3,0))))))</f>
        <v>0</v>
      </c>
      <c r="DL256" s="443">
        <f t="shared" ref="DL256" si="3958">IF($H256&lt;&gt;DM$5,0,IF(DM256&gt;0,IF(OR($J256=1,$J256=2,$J256=3,$J256=4,$J256=5,$J256=6,$J256=7,$J256=8,$J256=9,$J256=10),$E256*$I256/12*3,IF($J256=11,$E256*$I256/12*2,IF($J256=12,$E256*$I256/12*1,0)))))+IF(DH$5&lt;&gt;$H256,0,IF(DH256&gt;0,IF($J256=10,$E256*$I256/12*0,IF($J256=11,$E256*$I256/12*1,IF($J256=12,$E256*$I256/12*2,0)))))</f>
        <v>0</v>
      </c>
      <c r="DM256" s="440">
        <f t="shared" ref="DM256" si="3959">IF(AND(DH256&lt;&gt;0,DH$5=$H256),$I256*$E256-DH256,IF(DM$5=$H256,$I256*$E256*(12-$J256+1)/12,0))</f>
        <v>0</v>
      </c>
      <c r="DN256" s="441">
        <f t="shared" ref="DN256" si="3960">IF($H256&lt;&gt;DR$5,0,IF(DR256&gt;0,IF($J256=1,$E256*$I256/12*3,IF($J256=2,$E256*$I256/12*2,IF($J256=3,$E256*$I256/12*1,0)))))+IF(DM$5&lt;&gt;$H256,0,IF(DM256&gt;0,IF($J256=1,$E256*$I256/12*0,IF($J256=2,$E256*$I256/12*1,IF($J256=3,$E256*$I256/12*2,IF($J256&gt;=4,$E256*$I256/12*3,0))))))</f>
        <v>0</v>
      </c>
      <c r="DO256" s="442">
        <f t="shared" ref="DO256" si="3961">IF($H256&lt;&gt;DR$5,0,IF(DR256&gt;0,IF(OR($J256=1,$J256=2,$J256=3,$J256=4),$E256*$I256/12*3,IF($J256=5,$E256*$I256/12*2,IF($J256=6,$E256*$I256/12*1,0)))))+IF(DM$5&lt;&gt;$H256,0,IF(DM256&gt;0,IF($J256=4,$E256*$I256/12*0,IF($J256=5,$E256*$I256/12*1,IF($J256=6,$E256*$I256/12*2,IF($J256&gt;=7,$E256*$I256/12*3,0))))))</f>
        <v>2.9166666666666665</v>
      </c>
      <c r="DP256" s="442">
        <f t="shared" ref="DP256" si="3962">IF($H256&lt;&gt;DR$5,0,IF(DR256&gt;0,IF(OR($J256=1,$J256=2,$J256=3,$J256=4,$J256=5,$J256=6,$J256=7),$E256*$I256/12*3,IF($J256=8,$E256*$I256/12*2,IF($J256=9,$E256*$I256/12*1,0)))))+IF(DM$5&lt;&gt;$H256,0,IF(DM256&gt;0,IF($J256=7,$E256*$I256/12*0,IF($J256=8,$E256*$I256/12*1,IF($J256=9,$E256*$I256/12*2,IF($J256&gt;=10,$E256*$I256/12*3,0))))))</f>
        <v>8.75</v>
      </c>
      <c r="DQ256" s="443">
        <f t="shared" ref="DQ256" si="3963">IF($H256&lt;&gt;DR$5,0,IF(DR256&gt;0,IF(OR($J256=1,$J256=2,$J256=3,$J256=4,$J256=5,$J256=6,$J256=7,$J256=8,$J256=9,$J256=10),$E256*$I256/12*3,IF($J256=11,$E256*$I256/12*2,IF($J256=12,$E256*$I256/12*1,0)))))+IF(DM$5&lt;&gt;$H256,0,IF(DM256&gt;0,IF($J256=10,$E256*$I256/12*0,IF($J256=11,$E256*$I256/12*1,IF($J256=12,$E256*$I256/12*2,0)))))</f>
        <v>8.75</v>
      </c>
      <c r="DR256" s="440">
        <f t="shared" ref="DR256" si="3964">IF(AND(DM256&lt;&gt;0,DM$5=$H256),$I256*$E256-DM256,IF(DR$5=$H256,$I256*$E256*(12-$J256+1)/12,0))</f>
        <v>20.416666666666668</v>
      </c>
    </row>
    <row r="257" spans="1:122" ht="12.75" customHeight="1">
      <c r="A257" s="92"/>
      <c r="B257" s="92"/>
      <c r="C257" s="561"/>
      <c r="D257" s="561"/>
      <c r="E257" s="575"/>
      <c r="F257" s="575"/>
      <c r="G257" s="575"/>
      <c r="H257" s="1752"/>
      <c r="I257" s="613"/>
      <c r="J257" s="626"/>
      <c r="K257" s="536"/>
      <c r="L257" s="435">
        <f t="shared" si="3767"/>
        <v>0</v>
      </c>
      <c r="M257" s="436">
        <f t="shared" si="3768"/>
        <v>0</v>
      </c>
      <c r="N257" s="436">
        <f t="shared" si="3769"/>
        <v>0</v>
      </c>
      <c r="O257" s="437">
        <f t="shared" si="3770"/>
        <v>0</v>
      </c>
      <c r="P257" s="444">
        <f t="shared" si="3166"/>
        <v>0</v>
      </c>
      <c r="Q257" s="435">
        <f t="shared" si="3771"/>
        <v>0</v>
      </c>
      <c r="R257" s="436">
        <f t="shared" si="3772"/>
        <v>0</v>
      </c>
      <c r="S257" s="436">
        <f t="shared" si="3773"/>
        <v>0</v>
      </c>
      <c r="T257" s="437">
        <f t="shared" si="3774"/>
        <v>0</v>
      </c>
      <c r="U257" s="444">
        <f t="shared" si="3171"/>
        <v>0</v>
      </c>
      <c r="V257" s="435">
        <f t="shared" si="3775"/>
        <v>0</v>
      </c>
      <c r="W257" s="436">
        <f t="shared" si="3776"/>
        <v>0</v>
      </c>
      <c r="X257" s="436">
        <f t="shared" si="3777"/>
        <v>0</v>
      </c>
      <c r="Y257" s="437">
        <f t="shared" si="3778"/>
        <v>0</v>
      </c>
      <c r="Z257" s="444">
        <f t="shared" si="3176"/>
        <v>0</v>
      </c>
      <c r="AA257" s="435">
        <f t="shared" si="3779"/>
        <v>0</v>
      </c>
      <c r="AB257" s="436">
        <f t="shared" si="3780"/>
        <v>0</v>
      </c>
      <c r="AC257" s="436">
        <f t="shared" si="3781"/>
        <v>0</v>
      </c>
      <c r="AD257" s="437">
        <f t="shared" si="3782"/>
        <v>0</v>
      </c>
      <c r="AE257" s="444">
        <f t="shared" si="3181"/>
        <v>0</v>
      </c>
      <c r="AF257" s="435">
        <f t="shared" si="3783"/>
        <v>0</v>
      </c>
      <c r="AG257" s="436">
        <f t="shared" si="3784"/>
        <v>0</v>
      </c>
      <c r="AH257" s="436">
        <f t="shared" si="3785"/>
        <v>0</v>
      </c>
      <c r="AI257" s="437">
        <f t="shared" si="3786"/>
        <v>0</v>
      </c>
      <c r="AJ257" s="444">
        <f t="shared" si="3186"/>
        <v>0</v>
      </c>
      <c r="AK257" s="435">
        <f t="shared" si="3787"/>
        <v>0</v>
      </c>
      <c r="AL257" s="436">
        <f t="shared" si="3788"/>
        <v>0</v>
      </c>
      <c r="AM257" s="436">
        <f t="shared" si="3789"/>
        <v>0</v>
      </c>
      <c r="AN257" s="437">
        <f t="shared" si="3790"/>
        <v>0</v>
      </c>
      <c r="AO257" s="444">
        <f t="shared" si="3191"/>
        <v>0</v>
      </c>
      <c r="AP257" s="435">
        <f t="shared" si="3791"/>
        <v>0</v>
      </c>
      <c r="AQ257" s="436">
        <f t="shared" si="3792"/>
        <v>0</v>
      </c>
      <c r="AR257" s="436">
        <f t="shared" si="3793"/>
        <v>0</v>
      </c>
      <c r="AS257" s="437">
        <f t="shared" si="3794"/>
        <v>0</v>
      </c>
      <c r="AT257" s="444">
        <f t="shared" si="3196"/>
        <v>0</v>
      </c>
      <c r="AU257" s="435">
        <f t="shared" si="3795"/>
        <v>0</v>
      </c>
      <c r="AV257" s="436">
        <f t="shared" si="3796"/>
        <v>0</v>
      </c>
      <c r="AW257" s="436">
        <f t="shared" si="3797"/>
        <v>0</v>
      </c>
      <c r="AX257" s="437">
        <f t="shared" si="3798"/>
        <v>0</v>
      </c>
      <c r="AY257" s="444">
        <f t="shared" si="3201"/>
        <v>0</v>
      </c>
      <c r="AZ257" s="435">
        <f t="shared" si="3799"/>
        <v>0</v>
      </c>
      <c r="BA257" s="436">
        <f t="shared" si="3800"/>
        <v>0</v>
      </c>
      <c r="BB257" s="436">
        <f t="shared" si="3801"/>
        <v>0</v>
      </c>
      <c r="BC257" s="437">
        <f t="shared" si="3802"/>
        <v>0</v>
      </c>
      <c r="BD257" s="444">
        <f t="shared" si="3206"/>
        <v>0</v>
      </c>
      <c r="BE257" s="435">
        <f t="shared" si="3803"/>
        <v>0</v>
      </c>
      <c r="BF257" s="436">
        <f t="shared" si="3804"/>
        <v>0</v>
      </c>
      <c r="BG257" s="436">
        <f t="shared" si="3805"/>
        <v>0</v>
      </c>
      <c r="BH257" s="437">
        <f t="shared" si="3806"/>
        <v>0</v>
      </c>
      <c r="BI257" s="444">
        <f t="shared" si="3211"/>
        <v>0</v>
      </c>
      <c r="BJ257" s="435">
        <f t="shared" si="3807"/>
        <v>0</v>
      </c>
      <c r="BK257" s="436">
        <f t="shared" si="3808"/>
        <v>0</v>
      </c>
      <c r="BL257" s="436">
        <f t="shared" si="3809"/>
        <v>0</v>
      </c>
      <c r="BM257" s="437">
        <f t="shared" si="3810"/>
        <v>0</v>
      </c>
      <c r="BN257" s="444">
        <f t="shared" si="3216"/>
        <v>0</v>
      </c>
      <c r="BO257" s="467"/>
      <c r="BP257" s="435"/>
      <c r="BQ257" s="436"/>
      <c r="BR257" s="436"/>
      <c r="BS257" s="437"/>
      <c r="BT257" s="444"/>
      <c r="BU257" s="435"/>
      <c r="BV257" s="436"/>
      <c r="BW257" s="436"/>
      <c r="BX257" s="437"/>
      <c r="BY257" s="444"/>
      <c r="BZ257" s="435"/>
      <c r="CA257" s="436"/>
      <c r="CB257" s="436"/>
      <c r="CC257" s="437"/>
      <c r="CD257" s="444"/>
      <c r="CE257" s="435"/>
      <c r="CF257" s="436"/>
      <c r="CG257" s="436"/>
      <c r="CH257" s="437"/>
      <c r="CI257" s="444"/>
      <c r="CJ257" s="435"/>
      <c r="CK257" s="436"/>
      <c r="CL257" s="436"/>
      <c r="CM257" s="437"/>
      <c r="CN257" s="444"/>
      <c r="CO257" s="435"/>
      <c r="CP257" s="436"/>
      <c r="CQ257" s="436"/>
      <c r="CR257" s="437"/>
      <c r="CS257" s="444"/>
      <c r="CT257" s="435"/>
      <c r="CU257" s="436"/>
      <c r="CV257" s="436"/>
      <c r="CW257" s="437"/>
      <c r="CX257" s="444"/>
      <c r="CY257" s="435"/>
      <c r="CZ257" s="436"/>
      <c r="DA257" s="436"/>
      <c r="DB257" s="437"/>
      <c r="DC257" s="444"/>
      <c r="DD257" s="435"/>
      <c r="DE257" s="436"/>
      <c r="DF257" s="436"/>
      <c r="DG257" s="437"/>
      <c r="DH257" s="444"/>
      <c r="DI257" s="435"/>
      <c r="DJ257" s="436"/>
      <c r="DK257" s="436"/>
      <c r="DL257" s="437"/>
      <c r="DM257" s="444"/>
      <c r="DN257" s="435"/>
      <c r="DO257" s="436"/>
      <c r="DP257" s="436"/>
      <c r="DQ257" s="437"/>
      <c r="DR257" s="444"/>
    </row>
    <row r="258" spans="1:122" ht="12.75" customHeight="1">
      <c r="A258" s="136"/>
      <c r="B258" s="136"/>
      <c r="C258" s="409" t="s">
        <v>215</v>
      </c>
      <c r="D258" s="412"/>
      <c r="E258" s="1759">
        <f>SUM(E247:E257)</f>
        <v>5625</v>
      </c>
      <c r="F258" s="571"/>
      <c r="G258" s="571"/>
      <c r="H258" s="580"/>
      <c r="I258" s="602"/>
      <c r="J258" s="617"/>
      <c r="K258" s="537"/>
      <c r="L258" s="431"/>
      <c r="M258" s="432"/>
      <c r="N258" s="432"/>
      <c r="O258" s="433"/>
      <c r="P258" s="430">
        <f t="shared" ref="P258:AU258" si="3965">SUM(P247:P257)</f>
        <v>0</v>
      </c>
      <c r="Q258" s="431">
        <f t="shared" si="3965"/>
        <v>0</v>
      </c>
      <c r="R258" s="432">
        <f t="shared" si="3965"/>
        <v>0</v>
      </c>
      <c r="S258" s="432">
        <f t="shared" si="3965"/>
        <v>0</v>
      </c>
      <c r="T258" s="433">
        <f t="shared" si="3965"/>
        <v>0</v>
      </c>
      <c r="U258" s="430">
        <f t="shared" si="3965"/>
        <v>0</v>
      </c>
      <c r="V258" s="431">
        <f t="shared" si="3965"/>
        <v>0</v>
      </c>
      <c r="W258" s="432">
        <f t="shared" si="3965"/>
        <v>0</v>
      </c>
      <c r="X258" s="432">
        <f t="shared" si="3965"/>
        <v>0</v>
      </c>
      <c r="Y258" s="433">
        <f t="shared" si="3965"/>
        <v>0</v>
      </c>
      <c r="Z258" s="430">
        <f t="shared" si="3965"/>
        <v>0</v>
      </c>
      <c r="AA258" s="431">
        <f t="shared" si="3965"/>
        <v>0</v>
      </c>
      <c r="AB258" s="432">
        <f t="shared" si="3965"/>
        <v>0</v>
      </c>
      <c r="AC258" s="432">
        <f t="shared" si="3965"/>
        <v>0</v>
      </c>
      <c r="AD258" s="433">
        <f t="shared" si="3965"/>
        <v>0</v>
      </c>
      <c r="AE258" s="430">
        <f t="shared" si="3965"/>
        <v>0</v>
      </c>
      <c r="AF258" s="431">
        <f t="shared" si="3965"/>
        <v>0</v>
      </c>
      <c r="AG258" s="432">
        <f t="shared" si="3965"/>
        <v>0</v>
      </c>
      <c r="AH258" s="432">
        <f t="shared" si="3965"/>
        <v>0</v>
      </c>
      <c r="AI258" s="433">
        <f t="shared" si="3965"/>
        <v>0</v>
      </c>
      <c r="AJ258" s="430">
        <f t="shared" si="3965"/>
        <v>0</v>
      </c>
      <c r="AK258" s="431">
        <f t="shared" si="3965"/>
        <v>0</v>
      </c>
      <c r="AL258" s="432">
        <f t="shared" si="3965"/>
        <v>0</v>
      </c>
      <c r="AM258" s="432">
        <f t="shared" si="3965"/>
        <v>0</v>
      </c>
      <c r="AN258" s="433">
        <f t="shared" si="3965"/>
        <v>0</v>
      </c>
      <c r="AO258" s="430">
        <f t="shared" si="3965"/>
        <v>0</v>
      </c>
      <c r="AP258" s="431">
        <f t="shared" si="3965"/>
        <v>0</v>
      </c>
      <c r="AQ258" s="432">
        <f t="shared" si="3965"/>
        <v>250</v>
      </c>
      <c r="AR258" s="432">
        <f t="shared" si="3965"/>
        <v>550</v>
      </c>
      <c r="AS258" s="433">
        <f t="shared" si="3965"/>
        <v>625</v>
      </c>
      <c r="AT258" s="430">
        <f t="shared" si="3965"/>
        <v>1425</v>
      </c>
      <c r="AU258" s="431">
        <f t="shared" si="3965"/>
        <v>0</v>
      </c>
      <c r="AV258" s="432">
        <f t="shared" ref="AV258:BN258" si="3966">SUM(AV247:AV257)</f>
        <v>0</v>
      </c>
      <c r="AW258" s="432">
        <f t="shared" si="3966"/>
        <v>800</v>
      </c>
      <c r="AX258" s="433">
        <f t="shared" si="3966"/>
        <v>0</v>
      </c>
      <c r="AY258" s="430">
        <f t="shared" si="3966"/>
        <v>800</v>
      </c>
      <c r="AZ258" s="431">
        <f t="shared" si="3966"/>
        <v>0</v>
      </c>
      <c r="BA258" s="432">
        <f t="shared" si="3966"/>
        <v>1400</v>
      </c>
      <c r="BB258" s="432">
        <f t="shared" si="3966"/>
        <v>0</v>
      </c>
      <c r="BC258" s="433">
        <f t="shared" si="3966"/>
        <v>0</v>
      </c>
      <c r="BD258" s="430">
        <f t="shared" si="3966"/>
        <v>1400</v>
      </c>
      <c r="BE258" s="431">
        <f t="shared" si="3966"/>
        <v>0</v>
      </c>
      <c r="BF258" s="432">
        <f t="shared" si="3966"/>
        <v>1300</v>
      </c>
      <c r="BG258" s="432">
        <f t="shared" si="3966"/>
        <v>0</v>
      </c>
      <c r="BH258" s="433">
        <f t="shared" si="3966"/>
        <v>0</v>
      </c>
      <c r="BI258" s="430">
        <f t="shared" si="3966"/>
        <v>1300</v>
      </c>
      <c r="BJ258" s="431">
        <f t="shared" si="3966"/>
        <v>0</v>
      </c>
      <c r="BK258" s="432">
        <f t="shared" si="3966"/>
        <v>700</v>
      </c>
      <c r="BL258" s="432">
        <f t="shared" si="3966"/>
        <v>0</v>
      </c>
      <c r="BM258" s="433">
        <f t="shared" si="3966"/>
        <v>0</v>
      </c>
      <c r="BN258" s="430">
        <f t="shared" si="3966"/>
        <v>700</v>
      </c>
      <c r="BO258" s="469"/>
      <c r="BP258" s="431">
        <f>SUM(BP253:BP253)</f>
        <v>0</v>
      </c>
      <c r="BQ258" s="432">
        <f>SUM(BQ253:BQ253)</f>
        <v>0</v>
      </c>
      <c r="BR258" s="432">
        <f>SUM(BR253:BR253)</f>
        <v>0</v>
      </c>
      <c r="BS258" s="433">
        <f>SUM(BS253:BS253)</f>
        <v>0</v>
      </c>
      <c r="BT258" s="430">
        <f t="shared" ref="BT258:CY258" si="3967">SUM(BT247:BT257)</f>
        <v>0</v>
      </c>
      <c r="BU258" s="431">
        <f t="shared" si="3967"/>
        <v>0</v>
      </c>
      <c r="BV258" s="432">
        <f t="shared" si="3967"/>
        <v>0</v>
      </c>
      <c r="BW258" s="432">
        <f t="shared" si="3967"/>
        <v>0</v>
      </c>
      <c r="BX258" s="433">
        <f t="shared" si="3967"/>
        <v>0</v>
      </c>
      <c r="BY258" s="430">
        <f t="shared" si="3967"/>
        <v>0</v>
      </c>
      <c r="BZ258" s="431">
        <f t="shared" si="3967"/>
        <v>0</v>
      </c>
      <c r="CA258" s="432">
        <f t="shared" si="3967"/>
        <v>0</v>
      </c>
      <c r="CB258" s="432">
        <f t="shared" si="3967"/>
        <v>0</v>
      </c>
      <c r="CC258" s="433">
        <f t="shared" si="3967"/>
        <v>0</v>
      </c>
      <c r="CD258" s="430">
        <f t="shared" si="3967"/>
        <v>0</v>
      </c>
      <c r="CE258" s="431">
        <f t="shared" si="3967"/>
        <v>0</v>
      </c>
      <c r="CF258" s="432">
        <f t="shared" si="3967"/>
        <v>0</v>
      </c>
      <c r="CG258" s="432">
        <f t="shared" si="3967"/>
        <v>0</v>
      </c>
      <c r="CH258" s="433">
        <f t="shared" si="3967"/>
        <v>0</v>
      </c>
      <c r="CI258" s="430">
        <f t="shared" si="3967"/>
        <v>0</v>
      </c>
      <c r="CJ258" s="431">
        <f t="shared" si="3967"/>
        <v>0</v>
      </c>
      <c r="CK258" s="432">
        <f t="shared" si="3967"/>
        <v>0</v>
      </c>
      <c r="CL258" s="432">
        <f t="shared" si="3967"/>
        <v>0</v>
      </c>
      <c r="CM258" s="433">
        <f t="shared" si="3967"/>
        <v>0</v>
      </c>
      <c r="CN258" s="430">
        <f t="shared" si="3967"/>
        <v>0</v>
      </c>
      <c r="CO258" s="431">
        <f t="shared" si="3967"/>
        <v>0</v>
      </c>
      <c r="CP258" s="432">
        <f t="shared" si="3967"/>
        <v>0</v>
      </c>
      <c r="CQ258" s="432">
        <f t="shared" si="3967"/>
        <v>0</v>
      </c>
      <c r="CR258" s="433">
        <f t="shared" si="3967"/>
        <v>0</v>
      </c>
      <c r="CS258" s="430">
        <f t="shared" si="3967"/>
        <v>0</v>
      </c>
      <c r="CT258" s="431">
        <f t="shared" si="3967"/>
        <v>0</v>
      </c>
      <c r="CU258" s="432">
        <f t="shared" si="3967"/>
        <v>1.4791666666666667</v>
      </c>
      <c r="CV258" s="432">
        <f t="shared" si="3967"/>
        <v>4.2870833333333334</v>
      </c>
      <c r="CW258" s="433">
        <f t="shared" si="3967"/>
        <v>11.0625</v>
      </c>
      <c r="CX258" s="430">
        <f t="shared" si="3967"/>
        <v>16.828750000000003</v>
      </c>
      <c r="CY258" s="431">
        <f t="shared" si="3967"/>
        <v>12.96</v>
      </c>
      <c r="CZ258" s="432">
        <f t="shared" ref="CZ258:DR258" si="3968">SUM(CZ247:CZ257)</f>
        <v>11.480833333333333</v>
      </c>
      <c r="DA258" s="432">
        <f t="shared" si="3968"/>
        <v>18.672916666666666</v>
      </c>
      <c r="DB258" s="433">
        <f t="shared" si="3968"/>
        <v>11.897500000000001</v>
      </c>
      <c r="DC258" s="430">
        <f t="shared" si="3968"/>
        <v>55.011249999999997</v>
      </c>
      <c r="DD258" s="431">
        <f t="shared" si="3968"/>
        <v>10</v>
      </c>
      <c r="DE258" s="432">
        <f t="shared" si="3968"/>
        <v>15.833333333333332</v>
      </c>
      <c r="DF258" s="432">
        <f t="shared" si="3968"/>
        <v>17.5</v>
      </c>
      <c r="DG258" s="433">
        <f t="shared" si="3968"/>
        <v>17.5</v>
      </c>
      <c r="DH258" s="430">
        <f t="shared" si="3968"/>
        <v>60.833333333333336</v>
      </c>
      <c r="DI258" s="431">
        <f t="shared" si="3968"/>
        <v>17.5</v>
      </c>
      <c r="DJ258" s="432">
        <f t="shared" si="3968"/>
        <v>17.083333333333332</v>
      </c>
      <c r="DK258" s="432">
        <f t="shared" si="3968"/>
        <v>16.25</v>
      </c>
      <c r="DL258" s="433">
        <f t="shared" si="3968"/>
        <v>16.25</v>
      </c>
      <c r="DM258" s="430">
        <f t="shared" si="3968"/>
        <v>67.083333333333329</v>
      </c>
      <c r="DN258" s="431">
        <f t="shared" si="3968"/>
        <v>16.25</v>
      </c>
      <c r="DO258" s="432">
        <f t="shared" si="3968"/>
        <v>13.75</v>
      </c>
      <c r="DP258" s="432">
        <f t="shared" si="3968"/>
        <v>8.75</v>
      </c>
      <c r="DQ258" s="433">
        <f t="shared" si="3968"/>
        <v>8.75</v>
      </c>
      <c r="DR258" s="430">
        <f t="shared" si="3968"/>
        <v>47.5</v>
      </c>
    </row>
    <row r="259" spans="1:122" ht="12.75" customHeight="1">
      <c r="A259" s="92"/>
      <c r="B259" s="92"/>
      <c r="C259" s="412"/>
      <c r="D259" s="412"/>
      <c r="E259" s="538"/>
      <c r="F259" s="535"/>
      <c r="G259" s="535"/>
      <c r="H259" s="578"/>
      <c r="I259" s="600"/>
      <c r="J259" s="459"/>
      <c r="K259" s="528"/>
      <c r="L259" s="441"/>
      <c r="M259" s="442"/>
      <c r="N259" s="442"/>
      <c r="O259" s="443"/>
      <c r="P259" s="440"/>
      <c r="Q259" s="441"/>
      <c r="R259" s="442"/>
      <c r="S259" s="442"/>
      <c r="T259" s="443"/>
      <c r="U259" s="440"/>
      <c r="V259" s="441"/>
      <c r="W259" s="442"/>
      <c r="X259" s="442"/>
      <c r="Y259" s="443"/>
      <c r="Z259" s="440"/>
      <c r="AA259" s="441"/>
      <c r="AB259" s="442"/>
      <c r="AC259" s="442"/>
      <c r="AD259" s="443"/>
      <c r="AE259" s="440">
        <v>0</v>
      </c>
      <c r="AF259" s="441">
        <v>0</v>
      </c>
      <c r="AG259" s="442">
        <v>0</v>
      </c>
      <c r="AH259" s="442">
        <v>0</v>
      </c>
      <c r="AI259" s="443">
        <v>0</v>
      </c>
      <c r="AJ259" s="440">
        <v>0</v>
      </c>
      <c r="AK259" s="441">
        <v>0</v>
      </c>
      <c r="AL259" s="442">
        <v>0</v>
      </c>
      <c r="AM259" s="442">
        <v>0</v>
      </c>
      <c r="AN259" s="443">
        <v>0</v>
      </c>
      <c r="AO259" s="440">
        <v>0</v>
      </c>
      <c r="AP259" s="441">
        <v>0</v>
      </c>
      <c r="AQ259" s="442">
        <v>0</v>
      </c>
      <c r="AR259" s="442">
        <v>0</v>
      </c>
      <c r="AS259" s="443">
        <v>0</v>
      </c>
      <c r="AT259" s="440">
        <v>0</v>
      </c>
      <c r="AU259" s="441">
        <v>0</v>
      </c>
      <c r="AV259" s="442">
        <v>0</v>
      </c>
      <c r="AW259" s="442">
        <v>0</v>
      </c>
      <c r="AX259" s="443">
        <v>0</v>
      </c>
      <c r="AY259" s="440"/>
      <c r="AZ259" s="441"/>
      <c r="BA259" s="442"/>
      <c r="BB259" s="442"/>
      <c r="BC259" s="443"/>
      <c r="BD259" s="440"/>
      <c r="BE259" s="441"/>
      <c r="BF259" s="442"/>
      <c r="BG259" s="442"/>
      <c r="BH259" s="443"/>
      <c r="BI259" s="440"/>
      <c r="BJ259" s="441"/>
      <c r="BK259" s="442"/>
      <c r="BL259" s="442"/>
      <c r="BM259" s="443"/>
      <c r="BN259" s="440"/>
      <c r="BO259" s="470"/>
      <c r="BP259" s="441"/>
      <c r="BQ259" s="442"/>
      <c r="BR259" s="442"/>
      <c r="BS259" s="443"/>
      <c r="BT259" s="440"/>
      <c r="BU259" s="441"/>
      <c r="BV259" s="442"/>
      <c r="BW259" s="442"/>
      <c r="BX259" s="443"/>
      <c r="BY259" s="440"/>
      <c r="BZ259" s="441"/>
      <c r="CA259" s="442"/>
      <c r="CB259" s="442"/>
      <c r="CC259" s="443"/>
      <c r="CD259" s="440"/>
      <c r="CE259" s="441"/>
      <c r="CF259" s="442"/>
      <c r="CG259" s="442"/>
      <c r="CH259" s="443"/>
      <c r="CI259" s="440"/>
      <c r="CJ259" s="441"/>
      <c r="CK259" s="442"/>
      <c r="CL259" s="442"/>
      <c r="CM259" s="443"/>
      <c r="CN259" s="440"/>
      <c r="CO259" s="441"/>
      <c r="CP259" s="442"/>
      <c r="CQ259" s="442"/>
      <c r="CR259" s="443"/>
      <c r="CS259" s="440"/>
      <c r="CT259" s="441"/>
      <c r="CU259" s="442"/>
      <c r="CV259" s="442"/>
      <c r="CW259" s="443"/>
      <c r="CX259" s="440"/>
      <c r="CY259" s="441"/>
      <c r="CZ259" s="442"/>
      <c r="DA259" s="442"/>
      <c r="DB259" s="443"/>
      <c r="DC259" s="440"/>
      <c r="DD259" s="441"/>
      <c r="DE259" s="442"/>
      <c r="DF259" s="442"/>
      <c r="DG259" s="443"/>
      <c r="DH259" s="440"/>
      <c r="DI259" s="441"/>
      <c r="DJ259" s="442"/>
      <c r="DK259" s="442"/>
      <c r="DL259" s="443"/>
      <c r="DM259" s="440"/>
      <c r="DN259" s="441"/>
      <c r="DO259" s="442"/>
      <c r="DP259" s="442"/>
      <c r="DQ259" s="443"/>
      <c r="DR259" s="440"/>
    </row>
    <row r="260" spans="1:122" ht="12.75" customHeight="1">
      <c r="A260" s="136"/>
      <c r="B260" s="136"/>
      <c r="C260" s="400" t="s">
        <v>310</v>
      </c>
      <c r="D260" s="400"/>
      <c r="E260" s="538"/>
      <c r="F260" s="535"/>
      <c r="G260" s="535"/>
      <c r="H260" s="592"/>
      <c r="I260" s="614"/>
      <c r="J260" s="627"/>
      <c r="K260" s="537"/>
      <c r="L260" s="431"/>
      <c r="M260" s="432"/>
      <c r="N260" s="432"/>
      <c r="O260" s="433"/>
      <c r="P260" s="430"/>
      <c r="Q260" s="431"/>
      <c r="R260" s="432"/>
      <c r="S260" s="432">
        <v>1.97</v>
      </c>
      <c r="T260" s="433">
        <v>1.97</v>
      </c>
      <c r="U260" s="430">
        <f t="shared" ref="U260:AD260" si="3969">+U258+U244</f>
        <v>0</v>
      </c>
      <c r="V260" s="431">
        <f t="shared" si="3969"/>
        <v>0</v>
      </c>
      <c r="W260" s="432">
        <f t="shared" si="3969"/>
        <v>0</v>
      </c>
      <c r="X260" s="432">
        <f t="shared" si="3969"/>
        <v>0</v>
      </c>
      <c r="Y260" s="433">
        <f t="shared" si="3969"/>
        <v>0</v>
      </c>
      <c r="Z260" s="430">
        <f t="shared" si="3969"/>
        <v>0</v>
      </c>
      <c r="AA260" s="431">
        <f t="shared" si="3969"/>
        <v>0</v>
      </c>
      <c r="AB260" s="432">
        <f t="shared" si="3969"/>
        <v>0</v>
      </c>
      <c r="AC260" s="432">
        <f t="shared" si="3969"/>
        <v>0</v>
      </c>
      <c r="AD260" s="433">
        <f t="shared" si="3969"/>
        <v>0</v>
      </c>
      <c r="AE260" s="430">
        <v>8</v>
      </c>
      <c r="AF260" s="431">
        <v>8</v>
      </c>
      <c r="AG260" s="432">
        <v>8</v>
      </c>
      <c r="AH260" s="432">
        <v>8</v>
      </c>
      <c r="AI260" s="433">
        <v>10</v>
      </c>
      <c r="AJ260" s="430">
        <v>10</v>
      </c>
      <c r="AK260" s="431">
        <v>10</v>
      </c>
      <c r="AL260" s="432">
        <v>10</v>
      </c>
      <c r="AM260" s="432">
        <v>10</v>
      </c>
      <c r="AN260" s="433">
        <v>10</v>
      </c>
      <c r="AO260" s="430">
        <v>10</v>
      </c>
      <c r="AP260" s="431">
        <v>10</v>
      </c>
      <c r="AQ260" s="432">
        <v>10</v>
      </c>
      <c r="AR260" s="432">
        <v>10</v>
      </c>
      <c r="AS260" s="433">
        <v>10</v>
      </c>
      <c r="AT260" s="430">
        <v>10</v>
      </c>
      <c r="AU260" s="431">
        <v>10</v>
      </c>
      <c r="AV260" s="432">
        <v>10</v>
      </c>
      <c r="AW260" s="432">
        <v>10</v>
      </c>
      <c r="AX260" s="433">
        <v>10</v>
      </c>
      <c r="AY260" s="430">
        <f t="shared" ref="AY260:BN260" si="3970">+AY258+AY244</f>
        <v>320.39770800000002</v>
      </c>
      <c r="AZ260" s="431">
        <f t="shared" si="3970"/>
        <v>-600</v>
      </c>
      <c r="BA260" s="432">
        <f t="shared" si="3970"/>
        <v>1275</v>
      </c>
      <c r="BB260" s="432">
        <f t="shared" si="3970"/>
        <v>-40.962215999999998</v>
      </c>
      <c r="BC260" s="433">
        <f t="shared" si="3970"/>
        <v>-1.9610000000000001</v>
      </c>
      <c r="BD260" s="430">
        <f t="shared" si="3970"/>
        <v>632.07678399999998</v>
      </c>
      <c r="BE260" s="431">
        <f t="shared" si="3970"/>
        <v>-102.95805300000001</v>
      </c>
      <c r="BF260" s="432">
        <f t="shared" si="3970"/>
        <v>1050</v>
      </c>
      <c r="BG260" s="432">
        <f t="shared" si="3970"/>
        <v>0</v>
      </c>
      <c r="BH260" s="433">
        <f t="shared" si="3970"/>
        <v>0</v>
      </c>
      <c r="BI260" s="430">
        <f t="shared" si="3970"/>
        <v>947.04194699999994</v>
      </c>
      <c r="BJ260" s="431">
        <f t="shared" si="3970"/>
        <v>0</v>
      </c>
      <c r="BK260" s="432">
        <f t="shared" si="3970"/>
        <v>648.86099999999999</v>
      </c>
      <c r="BL260" s="432">
        <f t="shared" si="3970"/>
        <v>0</v>
      </c>
      <c r="BM260" s="433">
        <f t="shared" si="3970"/>
        <v>0</v>
      </c>
      <c r="BN260" s="430">
        <f t="shared" si="3970"/>
        <v>648.86099999999999</v>
      </c>
      <c r="BO260" s="469"/>
      <c r="BP260" s="431">
        <f t="shared" ref="BP260:CU260" si="3971">+BP258+BP244</f>
        <v>0</v>
      </c>
      <c r="BQ260" s="432">
        <f t="shared" si="3971"/>
        <v>0</v>
      </c>
      <c r="BR260" s="432">
        <f t="shared" si="3971"/>
        <v>0</v>
      </c>
      <c r="BS260" s="433">
        <f t="shared" si="3971"/>
        <v>0</v>
      </c>
      <c r="BT260" s="430">
        <f t="shared" si="3971"/>
        <v>0</v>
      </c>
      <c r="BU260" s="431">
        <f t="shared" si="3971"/>
        <v>0</v>
      </c>
      <c r="BV260" s="432">
        <f t="shared" si="3971"/>
        <v>0</v>
      </c>
      <c r="BW260" s="432">
        <f t="shared" si="3971"/>
        <v>0</v>
      </c>
      <c r="BX260" s="433">
        <f t="shared" si="3971"/>
        <v>0</v>
      </c>
      <c r="BY260" s="430">
        <f t="shared" si="3971"/>
        <v>0</v>
      </c>
      <c r="BZ260" s="431">
        <f t="shared" si="3971"/>
        <v>0</v>
      </c>
      <c r="CA260" s="432">
        <f t="shared" si="3971"/>
        <v>0</v>
      </c>
      <c r="CB260" s="432">
        <f t="shared" si="3971"/>
        <v>0</v>
      </c>
      <c r="CC260" s="433">
        <f t="shared" si="3971"/>
        <v>0</v>
      </c>
      <c r="CD260" s="430">
        <f t="shared" si="3971"/>
        <v>0</v>
      </c>
      <c r="CE260" s="431">
        <f t="shared" si="3971"/>
        <v>0</v>
      </c>
      <c r="CF260" s="432">
        <f t="shared" si="3971"/>
        <v>0</v>
      </c>
      <c r="CG260" s="432">
        <f t="shared" si="3971"/>
        <v>0</v>
      </c>
      <c r="CH260" s="433">
        <f t="shared" si="3971"/>
        <v>0</v>
      </c>
      <c r="CI260" s="430">
        <f t="shared" si="3971"/>
        <v>0</v>
      </c>
      <c r="CJ260" s="431">
        <f t="shared" si="3971"/>
        <v>0</v>
      </c>
      <c r="CK260" s="432">
        <f t="shared" si="3971"/>
        <v>0</v>
      </c>
      <c r="CL260" s="432">
        <f t="shared" si="3971"/>
        <v>0</v>
      </c>
      <c r="CM260" s="433">
        <f t="shared" si="3971"/>
        <v>0</v>
      </c>
      <c r="CN260" s="430">
        <f t="shared" si="3971"/>
        <v>0</v>
      </c>
      <c r="CO260" s="431">
        <f t="shared" si="3971"/>
        <v>0</v>
      </c>
      <c r="CP260" s="432">
        <f t="shared" si="3971"/>
        <v>0</v>
      </c>
      <c r="CQ260" s="432">
        <f t="shared" si="3971"/>
        <v>0</v>
      </c>
      <c r="CR260" s="433">
        <f t="shared" si="3971"/>
        <v>0</v>
      </c>
      <c r="CS260" s="430">
        <f t="shared" si="3971"/>
        <v>0</v>
      </c>
      <c r="CT260" s="431">
        <f t="shared" si="3971"/>
        <v>-0.72250563705750004</v>
      </c>
      <c r="CU260" s="432">
        <f t="shared" si="3971"/>
        <v>-0.74370185285750012</v>
      </c>
      <c r="CV260" s="432">
        <f t="shared" ref="CV260:DR260" si="3972">+CV258+CV244</f>
        <v>-1.3935942844575004</v>
      </c>
      <c r="CW260" s="433">
        <f t="shared" si="3972"/>
        <v>-6.5358859511241683</v>
      </c>
      <c r="CX260" s="430">
        <f t="shared" si="3972"/>
        <v>-9.3956877254966642</v>
      </c>
      <c r="CY260" s="431">
        <f t="shared" si="3972"/>
        <v>-8.6129636474000009</v>
      </c>
      <c r="CZ260" s="432">
        <f t="shared" si="3972"/>
        <v>-9.2129379747999991</v>
      </c>
      <c r="DA260" s="432">
        <f t="shared" si="3972"/>
        <v>0.19461337039999904</v>
      </c>
      <c r="DB260" s="433">
        <f t="shared" si="3972"/>
        <v>0.38378003706666775</v>
      </c>
      <c r="DC260" s="430">
        <f t="shared" si="3972"/>
        <v>-17.247508214733337</v>
      </c>
      <c r="DD260" s="431">
        <f t="shared" si="3972"/>
        <v>-8.4853866296000007</v>
      </c>
      <c r="DE260" s="432">
        <f t="shared" si="3972"/>
        <v>-5.9386952530666655</v>
      </c>
      <c r="DF260" s="432">
        <f t="shared" si="3972"/>
        <v>-3.5655244880500021</v>
      </c>
      <c r="DG260" s="433">
        <f t="shared" si="3972"/>
        <v>1.3557669452833352</v>
      </c>
      <c r="DH260" s="430">
        <f t="shared" si="3972"/>
        <v>-16.633839425433329</v>
      </c>
      <c r="DI260" s="431">
        <f t="shared" si="3972"/>
        <v>12.478002829921667</v>
      </c>
      <c r="DJ260" s="432">
        <f t="shared" si="3972"/>
        <v>12.114981996588332</v>
      </c>
      <c r="DK260" s="432">
        <f t="shared" si="3972"/>
        <v>11.817485651304999</v>
      </c>
      <c r="DL260" s="433">
        <f t="shared" si="3972"/>
        <v>11.849319217971665</v>
      </c>
      <c r="DM260" s="430">
        <f t="shared" si="3972"/>
        <v>48.259789695786658</v>
      </c>
      <c r="DN260" s="431">
        <f t="shared" si="3972"/>
        <v>12.395833333333332</v>
      </c>
      <c r="DO260" s="432">
        <f t="shared" si="3972"/>
        <v>13.510925175000001</v>
      </c>
      <c r="DP260" s="432">
        <f t="shared" si="3972"/>
        <v>8.0327755249999999</v>
      </c>
      <c r="DQ260" s="433">
        <f t="shared" si="3972"/>
        <v>8.0327755249999999</v>
      </c>
      <c r="DR260" s="430">
        <f t="shared" si="3972"/>
        <v>41.972309558333336</v>
      </c>
    </row>
    <row r="261" spans="1:122" ht="12.75" customHeight="1">
      <c r="A261" s="92"/>
      <c r="B261" s="92"/>
      <c r="C261" s="410"/>
      <c r="D261" s="410"/>
      <c r="E261" s="544"/>
      <c r="F261" s="544"/>
      <c r="G261" s="544"/>
      <c r="H261" s="593"/>
      <c r="I261" s="615"/>
      <c r="J261" s="464"/>
      <c r="K261" s="552"/>
      <c r="L261" s="460"/>
      <c r="M261" s="461"/>
      <c r="N261" s="461"/>
      <c r="O261" s="462"/>
      <c r="P261" s="464"/>
      <c r="Q261" s="460"/>
      <c r="R261" s="461"/>
      <c r="S261" s="461"/>
      <c r="T261" s="462"/>
      <c r="U261" s="464"/>
      <c r="V261" s="441"/>
      <c r="W261" s="442"/>
      <c r="X261" s="442"/>
      <c r="Y261" s="443"/>
      <c r="Z261" s="464"/>
      <c r="AA261" s="460"/>
      <c r="AB261" s="461"/>
      <c r="AC261" s="461"/>
      <c r="AD261" s="462"/>
      <c r="AE261" s="464">
        <v>0</v>
      </c>
      <c r="AF261" s="460">
        <v>0</v>
      </c>
      <c r="AG261" s="461">
        <v>0</v>
      </c>
      <c r="AH261" s="461">
        <v>0</v>
      </c>
      <c r="AI261" s="462">
        <v>0</v>
      </c>
      <c r="AJ261" s="464">
        <v>0</v>
      </c>
      <c r="AK261" s="460">
        <v>0</v>
      </c>
      <c r="AL261" s="461">
        <v>0</v>
      </c>
      <c r="AM261" s="461">
        <v>0</v>
      </c>
      <c r="AN261" s="462">
        <v>0</v>
      </c>
      <c r="AO261" s="464">
        <v>0</v>
      </c>
      <c r="AP261" s="460">
        <v>0</v>
      </c>
      <c r="AQ261" s="461">
        <v>0</v>
      </c>
      <c r="AR261" s="461">
        <v>0</v>
      </c>
      <c r="AS261" s="462">
        <v>0</v>
      </c>
      <c r="AT261" s="464">
        <v>0</v>
      </c>
      <c r="AU261" s="460">
        <v>0</v>
      </c>
      <c r="AV261" s="461">
        <v>0</v>
      </c>
      <c r="AW261" s="461">
        <v>0</v>
      </c>
      <c r="AX261" s="462">
        <v>0</v>
      </c>
      <c r="AY261" s="464"/>
      <c r="AZ261" s="460"/>
      <c r="BA261" s="461"/>
      <c r="BB261" s="461"/>
      <c r="BC261" s="462"/>
      <c r="BD261" s="464"/>
      <c r="BE261" s="460"/>
      <c r="BF261" s="461"/>
      <c r="BG261" s="461"/>
      <c r="BH261" s="462"/>
      <c r="BI261" s="464"/>
      <c r="BJ261" s="460"/>
      <c r="BK261" s="461"/>
      <c r="BL261" s="461"/>
      <c r="BM261" s="462"/>
      <c r="BN261" s="464"/>
      <c r="BO261" s="465"/>
      <c r="BP261" s="460"/>
      <c r="BQ261" s="461"/>
      <c r="BR261" s="461"/>
      <c r="BS261" s="462"/>
      <c r="BT261" s="464"/>
      <c r="BU261" s="460"/>
      <c r="BV261" s="461"/>
      <c r="BW261" s="461"/>
      <c r="BX261" s="462"/>
      <c r="BY261" s="464"/>
      <c r="BZ261" s="460"/>
      <c r="CA261" s="461"/>
      <c r="CB261" s="461"/>
      <c r="CC261" s="462"/>
      <c r="CD261" s="464"/>
      <c r="CE261" s="460"/>
      <c r="CF261" s="461"/>
      <c r="CG261" s="461"/>
      <c r="CH261" s="462"/>
      <c r="CI261" s="464"/>
      <c r="CJ261" s="460"/>
      <c r="CK261" s="461"/>
      <c r="CL261" s="461"/>
      <c r="CM261" s="462"/>
      <c r="CN261" s="464"/>
      <c r="CO261" s="460"/>
      <c r="CP261" s="461"/>
      <c r="CQ261" s="461"/>
      <c r="CR261" s="462"/>
      <c r="CS261" s="464"/>
      <c r="CT261" s="460"/>
      <c r="CU261" s="461"/>
      <c r="CV261" s="461"/>
      <c r="CW261" s="462"/>
      <c r="CX261" s="464"/>
      <c r="CY261" s="460"/>
      <c r="CZ261" s="461"/>
      <c r="DA261" s="461"/>
      <c r="DB261" s="462"/>
      <c r="DC261" s="464"/>
      <c r="DD261" s="460"/>
      <c r="DE261" s="461"/>
      <c r="DF261" s="461"/>
      <c r="DG261" s="462"/>
      <c r="DH261" s="464"/>
      <c r="DI261" s="460"/>
      <c r="DJ261" s="461"/>
      <c r="DK261" s="461"/>
      <c r="DL261" s="462"/>
      <c r="DM261" s="464"/>
      <c r="DN261" s="460"/>
      <c r="DO261" s="461"/>
      <c r="DP261" s="461"/>
      <c r="DQ261" s="462"/>
      <c r="DR261" s="464"/>
    </row>
  </sheetData>
  <phoneticPr fontId="39" type="noConversion"/>
  <pageMargins left="0.75" right="0.75" top="1" bottom="1" header="0.5" footer="0.5"/>
  <pageSetup scale="26" fitToHeight="2" orientation="landscape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EQ204"/>
  <sheetViews>
    <sheetView zoomScale="85" zoomScaleNormal="85" workbookViewId="0">
      <pane ySplit="4" topLeftCell="A5" activePane="bottomLeft" state="frozen"/>
      <selection activeCell="X6" sqref="X6"/>
      <selection pane="bottomLeft" activeCell="AC47" sqref="AC47"/>
    </sheetView>
  </sheetViews>
  <sheetFormatPr defaultRowHeight="12.75" outlineLevelCol="1"/>
  <cols>
    <col min="1" max="2" width="2.7109375" customWidth="1"/>
    <col min="3" max="3" width="39.5703125" customWidth="1"/>
    <col min="4" max="4" width="2.7109375" customWidth="1"/>
    <col min="5" max="23" width="1.7109375" hidden="1" customWidth="1" outlineLevel="1"/>
    <col min="24" max="24" width="9.28515625" customWidth="1" collapsed="1"/>
    <col min="25" max="28" width="1.7109375" hidden="1" customWidth="1" outlineLevel="1"/>
    <col min="29" max="29" width="9.28515625" customWidth="1" collapsed="1"/>
    <col min="30" max="33" width="1.7109375" hidden="1" customWidth="1" outlineLevel="1"/>
    <col min="34" max="34" width="9.28515625" customWidth="1" collapsed="1"/>
    <col min="35" max="37" width="1.7109375" hidden="1" customWidth="1" outlineLevel="1"/>
    <col min="38" max="38" width="2.140625" hidden="1" customWidth="1" outlineLevel="1"/>
    <col min="39" max="39" width="9" customWidth="1" collapsed="1"/>
    <col min="40" max="42" width="1.7109375" hidden="1" customWidth="1" outlineLevel="1"/>
    <col min="43" max="43" width="2.140625" hidden="1" customWidth="1" outlineLevel="1"/>
    <col min="44" max="44" width="9" customWidth="1" collapsed="1"/>
    <col min="45" max="47" width="1.7109375" hidden="1" customWidth="1" outlineLevel="1"/>
    <col min="48" max="48" width="2.140625" hidden="1" customWidth="1" outlineLevel="1"/>
    <col min="49" max="49" width="9" customWidth="1" collapsed="1"/>
    <col min="50" max="52" width="1.7109375" hidden="1" customWidth="1" outlineLevel="1"/>
    <col min="53" max="53" width="2.140625" hidden="1" customWidth="1" outlineLevel="1"/>
    <col min="54" max="54" width="9" customWidth="1" collapsed="1"/>
    <col min="55" max="57" width="1.7109375" hidden="1" customWidth="1" outlineLevel="1"/>
    <col min="58" max="58" width="2.140625" hidden="1" customWidth="1" outlineLevel="1"/>
    <col min="59" max="59" width="9" customWidth="1" collapsed="1"/>
    <col min="60" max="62" width="1.7109375" hidden="1" customWidth="1" outlineLevel="1"/>
    <col min="63" max="63" width="2.140625" hidden="1" customWidth="1" outlineLevel="1"/>
    <col min="64" max="64" width="9" customWidth="1" collapsed="1"/>
    <col min="65" max="69" width="9" customWidth="1"/>
    <col min="70" max="71" width="2.7109375" customWidth="1"/>
    <col min="72" max="72" width="39.7109375" customWidth="1"/>
    <col min="73" max="73" width="2.7109375" customWidth="1"/>
    <col min="74" max="76" width="9.28515625" customWidth="1"/>
    <col min="77" max="80" width="9.28515625" hidden="1" customWidth="1" outlineLevel="1"/>
    <col min="81" max="81" width="9.85546875" customWidth="1" collapsed="1"/>
    <col min="82" max="85" width="9.85546875" hidden="1" customWidth="1" outlineLevel="1"/>
    <col min="86" max="86" width="9.28515625" customWidth="1" collapsed="1"/>
    <col min="87" max="89" width="1.7109375" hidden="1" customWidth="1" outlineLevel="1"/>
    <col min="90" max="90" width="2.140625" hidden="1" customWidth="1" outlineLevel="1"/>
    <col min="91" max="91" width="9.28515625" customWidth="1" collapsed="1"/>
    <col min="92" max="94" width="1.7109375" hidden="1" customWidth="1" outlineLevel="1"/>
    <col min="95" max="95" width="2.140625" hidden="1" customWidth="1" outlineLevel="1"/>
    <col min="96" max="96" width="9.140625" collapsed="1"/>
    <col min="97" max="99" width="1.7109375" hidden="1" customWidth="1" outlineLevel="1"/>
    <col min="100" max="100" width="2.140625" hidden="1" customWidth="1" outlineLevel="1"/>
    <col min="101" max="101" width="9.140625" collapsed="1"/>
    <col min="102" max="104" width="1.7109375" hidden="1" customWidth="1" outlineLevel="1"/>
    <col min="105" max="105" width="2.140625" hidden="1" customWidth="1" outlineLevel="1"/>
    <col min="106" max="106" width="9.140625" collapsed="1"/>
    <col min="107" max="109" width="1.7109375" hidden="1" customWidth="1" outlineLevel="1"/>
    <col min="110" max="110" width="2.140625" hidden="1" customWidth="1" outlineLevel="1"/>
    <col min="111" max="111" width="9.140625" collapsed="1"/>
    <col min="113" max="113" width="9.5703125" customWidth="1"/>
    <col min="114" max="115" width="9.7109375" customWidth="1"/>
    <col min="116" max="116" width="13" customWidth="1"/>
    <col min="117" max="117" width="15.28515625" customWidth="1"/>
    <col min="118" max="118" width="10.7109375" customWidth="1"/>
    <col min="119" max="119" width="9" customWidth="1"/>
    <col min="128" max="128" width="9.5703125" bestFit="1" customWidth="1"/>
  </cols>
  <sheetData>
    <row r="1" spans="1:147" ht="15" customHeight="1">
      <c r="A1" s="892"/>
      <c r="B1" s="892"/>
      <c r="C1" s="892"/>
      <c r="D1" s="893"/>
      <c r="E1" s="894"/>
      <c r="F1" s="894"/>
      <c r="G1" s="894"/>
      <c r="H1" s="894"/>
      <c r="I1" s="894"/>
      <c r="J1" s="894"/>
      <c r="K1" s="894"/>
      <c r="L1" s="894"/>
      <c r="M1" s="894"/>
      <c r="N1" s="894"/>
      <c r="O1" s="894"/>
      <c r="P1" s="894"/>
      <c r="Q1" s="894"/>
      <c r="R1" s="894"/>
      <c r="S1" s="894"/>
      <c r="T1" s="894"/>
      <c r="U1" s="894"/>
      <c r="V1" s="894"/>
      <c r="W1" s="894"/>
      <c r="X1" s="894"/>
      <c r="Y1" s="894"/>
      <c r="Z1" s="894"/>
      <c r="AA1" s="894"/>
      <c r="AB1" s="894"/>
      <c r="AC1" s="894"/>
      <c r="AD1" s="894"/>
      <c r="AE1" s="894"/>
      <c r="AF1" s="894"/>
      <c r="AG1" s="894"/>
      <c r="AH1" s="894"/>
      <c r="AI1" s="894"/>
      <c r="AJ1" s="894"/>
      <c r="AK1" s="894"/>
      <c r="AL1" s="894"/>
      <c r="AM1" s="894"/>
      <c r="AN1" s="894"/>
      <c r="AO1" s="894"/>
      <c r="AP1" s="894"/>
      <c r="AQ1" s="894"/>
      <c r="AR1" s="894"/>
      <c r="AS1" s="894"/>
      <c r="AT1" s="894"/>
      <c r="AU1" s="894"/>
      <c r="AV1" s="894"/>
      <c r="AW1" s="894"/>
      <c r="AX1" s="894"/>
      <c r="AY1" s="894"/>
      <c r="AZ1" s="894"/>
      <c r="BA1" s="894"/>
      <c r="BB1" s="894"/>
      <c r="BC1" s="894"/>
      <c r="BD1" s="894"/>
      <c r="BE1" s="894"/>
      <c r="BF1" s="894"/>
      <c r="BG1" s="894"/>
      <c r="BH1" s="894"/>
      <c r="BI1" s="894"/>
      <c r="BJ1" s="894"/>
      <c r="BK1" s="894"/>
      <c r="BL1" s="894"/>
      <c r="BM1" s="894"/>
      <c r="BN1" s="894"/>
      <c r="BO1" s="894"/>
      <c r="BP1" s="894"/>
      <c r="BQ1" s="894"/>
      <c r="BR1" s="894"/>
      <c r="BS1" s="894"/>
      <c r="BT1" s="894"/>
      <c r="BU1" s="894"/>
      <c r="BV1" s="894"/>
      <c r="BW1" s="894"/>
      <c r="BX1" s="894"/>
      <c r="BY1" s="894"/>
      <c r="BZ1" s="894"/>
      <c r="CA1" s="894"/>
      <c r="CB1" s="894"/>
      <c r="CC1" s="894"/>
      <c r="CD1" s="894"/>
      <c r="CE1" s="894"/>
      <c r="CF1" s="894"/>
      <c r="CG1" s="894"/>
      <c r="CH1" s="894"/>
      <c r="CI1" s="894"/>
      <c r="CJ1" s="894"/>
      <c r="CK1" s="894"/>
      <c r="CL1" s="894"/>
      <c r="CM1" s="894"/>
      <c r="CN1" s="894"/>
      <c r="CO1" s="894"/>
      <c r="CP1" s="894"/>
      <c r="CQ1" s="894"/>
      <c r="CR1" s="894"/>
      <c r="CS1" s="894"/>
      <c r="CT1" s="894"/>
      <c r="CU1" s="894"/>
      <c r="CV1" s="894"/>
      <c r="CW1" s="894"/>
      <c r="CX1" s="894"/>
      <c r="CY1" s="894"/>
      <c r="CZ1" s="894"/>
      <c r="DA1" s="894"/>
      <c r="DB1" s="894"/>
      <c r="DC1" s="894"/>
      <c r="DD1" s="894"/>
      <c r="DE1" s="894"/>
      <c r="DF1" s="894"/>
      <c r="DG1" s="894"/>
      <c r="DH1" s="894"/>
      <c r="DI1" s="894"/>
      <c r="DJ1" s="894"/>
      <c r="DK1" s="894"/>
    </row>
    <row r="2" spans="1:147" ht="15" customHeight="1">
      <c r="A2" s="892"/>
      <c r="B2" s="892" t="s">
        <v>1104</v>
      </c>
      <c r="C2" s="892"/>
      <c r="D2" s="893"/>
      <c r="E2" s="894"/>
      <c r="F2" s="894"/>
      <c r="G2" s="894"/>
      <c r="H2" s="894"/>
      <c r="I2" s="894"/>
      <c r="J2" s="894"/>
      <c r="K2" s="894"/>
      <c r="L2" s="894"/>
      <c r="M2" s="894"/>
      <c r="N2" s="896" t="s">
        <v>1103</v>
      </c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894"/>
      <c r="CD2" s="894"/>
      <c r="CE2" s="894"/>
      <c r="CF2" s="894"/>
      <c r="CG2" s="894"/>
      <c r="CH2" s="894"/>
      <c r="CI2" s="894"/>
      <c r="CJ2" s="894"/>
      <c r="CK2" s="894"/>
      <c r="CL2" s="894"/>
      <c r="CM2" s="894"/>
      <c r="CN2" s="894"/>
      <c r="CO2" s="894"/>
      <c r="CP2" s="894"/>
      <c r="CQ2" s="894"/>
      <c r="CR2" s="894"/>
      <c r="CS2" s="894"/>
      <c r="CT2" s="894"/>
      <c r="CU2" s="894"/>
      <c r="CV2" s="894"/>
      <c r="CW2" s="894"/>
      <c r="CX2" s="894"/>
      <c r="CY2" s="894"/>
      <c r="CZ2" s="894"/>
      <c r="DA2" s="894"/>
      <c r="DB2" s="894"/>
      <c r="DC2" s="894"/>
      <c r="DD2" s="894"/>
      <c r="DE2" s="894"/>
      <c r="DF2" s="894"/>
      <c r="DG2" s="894"/>
      <c r="DH2" s="894"/>
      <c r="DI2" s="894"/>
      <c r="DJ2" s="894"/>
      <c r="DK2" s="894"/>
    </row>
    <row r="3" spans="1:147" ht="15" customHeight="1">
      <c r="A3" s="897"/>
      <c r="B3" s="898" t="s">
        <v>2</v>
      </c>
      <c r="C3" s="898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4"/>
      <c r="BY3" s="894"/>
      <c r="BZ3" s="894"/>
      <c r="CA3" s="894"/>
      <c r="CB3" s="894"/>
      <c r="CC3" s="894"/>
      <c r="CD3" s="894"/>
      <c r="CE3" s="894"/>
      <c r="CF3" s="894"/>
      <c r="CG3" s="894"/>
      <c r="CH3" s="894"/>
      <c r="CI3" s="894"/>
      <c r="CJ3" s="894"/>
      <c r="CK3" s="894"/>
      <c r="CL3" s="894"/>
      <c r="CM3" s="894"/>
      <c r="CN3" s="894"/>
      <c r="CO3" s="894"/>
      <c r="CP3" s="894"/>
      <c r="CQ3" s="894"/>
      <c r="CR3" s="894"/>
      <c r="CS3" s="894"/>
      <c r="CT3" s="894"/>
      <c r="CU3" s="894"/>
      <c r="CV3" s="894"/>
      <c r="CW3" s="894"/>
      <c r="CX3" s="894"/>
      <c r="CY3" s="894"/>
      <c r="CZ3" s="894"/>
      <c r="DA3" s="894"/>
      <c r="DB3" s="894"/>
      <c r="DC3" s="894"/>
      <c r="DD3" s="894"/>
      <c r="DE3" s="894"/>
      <c r="DF3" s="894"/>
      <c r="DG3" s="894"/>
      <c r="DH3" s="894"/>
      <c r="DI3" s="894"/>
      <c r="DJ3" s="894"/>
      <c r="DK3" s="894"/>
    </row>
    <row r="4" spans="1:147">
      <c r="A4" s="899"/>
      <c r="B4" s="900" t="s">
        <v>3</v>
      </c>
      <c r="C4" s="900"/>
      <c r="D4" s="899"/>
      <c r="E4" s="901"/>
      <c r="F4" s="901"/>
      <c r="G4" s="901"/>
      <c r="H4" s="901"/>
      <c r="I4" s="901"/>
      <c r="J4" s="901"/>
      <c r="K4" s="901"/>
      <c r="L4" s="901"/>
      <c r="M4" s="901"/>
      <c r="N4" s="901"/>
      <c r="O4" s="901"/>
      <c r="P4" s="901"/>
      <c r="Q4" s="901"/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901"/>
      <c r="AI4" s="901"/>
      <c r="AJ4" s="901"/>
      <c r="AK4" s="901"/>
      <c r="AL4" s="901"/>
      <c r="AM4" s="901"/>
      <c r="AN4" s="901"/>
      <c r="AO4" s="901"/>
      <c r="AP4" s="901"/>
      <c r="AQ4" s="901"/>
      <c r="AR4" s="901"/>
      <c r="AS4" s="901"/>
      <c r="AT4" s="901"/>
      <c r="AU4" s="901"/>
      <c r="AV4" s="901"/>
      <c r="AW4" s="901"/>
      <c r="AX4" s="901"/>
      <c r="AY4" s="901"/>
      <c r="AZ4" s="901"/>
      <c r="BA4" s="901"/>
      <c r="BB4" s="901"/>
      <c r="BC4" s="901"/>
      <c r="BD4" s="901"/>
      <c r="BE4" s="901"/>
      <c r="BF4" s="901"/>
      <c r="BG4" s="901"/>
      <c r="BH4" s="901"/>
      <c r="BI4" s="901"/>
      <c r="BJ4" s="901"/>
      <c r="BK4" s="901"/>
      <c r="BL4" s="901"/>
      <c r="BM4" s="901"/>
      <c r="BN4" s="901"/>
      <c r="BO4" s="901"/>
      <c r="BP4" s="901"/>
      <c r="BQ4" s="901"/>
      <c r="BR4" s="901"/>
      <c r="BS4" s="901"/>
      <c r="BT4" s="901"/>
      <c r="BU4" s="901"/>
      <c r="BV4" s="901"/>
      <c r="BW4" s="901"/>
      <c r="BX4" s="901"/>
      <c r="BY4" s="901"/>
      <c r="BZ4" s="901"/>
      <c r="CA4" s="901"/>
      <c r="CB4" s="901"/>
      <c r="CC4" s="901"/>
      <c r="CD4" s="901"/>
      <c r="CE4" s="901"/>
      <c r="CF4" s="901"/>
      <c r="CG4" s="901"/>
      <c r="CH4" s="901"/>
      <c r="CI4" s="901"/>
      <c r="CJ4" s="901"/>
      <c r="CK4" s="901"/>
      <c r="CL4" s="901"/>
      <c r="CM4" s="901"/>
      <c r="CN4" s="901"/>
      <c r="CO4" s="901"/>
      <c r="CP4" s="901"/>
      <c r="CQ4" s="901"/>
      <c r="CR4" s="901"/>
      <c r="CS4" s="901"/>
      <c r="CT4" s="901"/>
      <c r="CU4" s="901"/>
      <c r="CV4" s="901"/>
      <c r="CW4" s="901"/>
      <c r="CX4" s="901"/>
      <c r="CY4" s="901"/>
      <c r="CZ4" s="901"/>
      <c r="DA4" s="901"/>
      <c r="DB4" s="901"/>
      <c r="DC4" s="901"/>
      <c r="DD4" s="901"/>
      <c r="DE4" s="901"/>
      <c r="DF4" s="901"/>
      <c r="DG4" s="901"/>
      <c r="DH4" s="901"/>
      <c r="DI4" s="901"/>
      <c r="DJ4" s="901"/>
      <c r="DK4" s="901"/>
    </row>
    <row r="5" spans="1:147">
      <c r="A5" s="2159"/>
      <c r="B5" s="2159"/>
      <c r="C5" s="2158"/>
      <c r="D5" s="2157"/>
      <c r="E5" s="2148"/>
      <c r="F5" s="2148"/>
      <c r="G5" s="2148"/>
      <c r="H5" s="2148"/>
      <c r="I5" s="2148"/>
      <c r="J5" s="2148"/>
      <c r="K5" s="2148"/>
      <c r="L5" s="2148"/>
      <c r="M5" s="2148"/>
      <c r="N5" s="2148"/>
      <c r="O5" s="2148"/>
      <c r="P5" s="2148"/>
      <c r="Q5" s="2148"/>
      <c r="R5" s="2148"/>
      <c r="S5" s="2148"/>
      <c r="T5" s="2148"/>
      <c r="U5" s="2148"/>
      <c r="V5" s="2148"/>
      <c r="W5" s="2148"/>
      <c r="BH5" s="2148"/>
      <c r="BI5" s="2148"/>
      <c r="BJ5" s="2148"/>
      <c r="BK5" s="2148"/>
      <c r="BL5" s="2148"/>
      <c r="BM5" s="2148"/>
      <c r="BN5" s="2148"/>
      <c r="BO5" s="2148"/>
      <c r="BP5" s="2148"/>
      <c r="BQ5" s="2148"/>
      <c r="BR5" s="2148"/>
      <c r="CD5" s="2147"/>
      <c r="CE5" s="2147"/>
      <c r="CF5" s="2147"/>
      <c r="CG5" s="2147"/>
      <c r="DL5" s="2156" t="s">
        <v>488</v>
      </c>
      <c r="DM5" s="2155"/>
      <c r="DN5" s="2154"/>
      <c r="DO5" s="2154"/>
      <c r="DP5" s="2154"/>
      <c r="DQ5" s="2153"/>
      <c r="DR5" s="2152"/>
      <c r="DS5" s="2152"/>
      <c r="DT5" s="2152"/>
      <c r="DU5" s="2151"/>
      <c r="DV5" s="2151"/>
      <c r="DW5" s="2151"/>
      <c r="DX5" s="2149"/>
      <c r="DY5" s="2149"/>
      <c r="DZ5" s="2150"/>
      <c r="EA5" s="2094"/>
      <c r="EB5" s="2094"/>
      <c r="EC5" s="2094"/>
      <c r="ED5" s="2094"/>
      <c r="EE5" s="2094"/>
      <c r="EF5" s="2094"/>
      <c r="EG5" s="2094"/>
      <c r="EH5" s="2094"/>
      <c r="EI5" s="2094"/>
      <c r="EJ5" s="2094"/>
      <c r="EK5" s="2094"/>
      <c r="EL5" s="2149"/>
      <c r="EM5" s="2149"/>
      <c r="EN5" s="2094"/>
      <c r="EO5" s="2094"/>
      <c r="EP5" s="2094"/>
      <c r="EQ5" s="2094"/>
    </row>
    <row r="6" spans="1:147">
      <c r="C6" s="2139">
        <f ca="1">TODAY()</f>
        <v>43215</v>
      </c>
      <c r="X6" s="2136">
        <v>42004</v>
      </c>
      <c r="Y6" s="2148"/>
      <c r="Z6" s="2148"/>
      <c r="AA6" s="2148"/>
      <c r="AB6" s="2148"/>
      <c r="AC6" s="2136">
        <v>42369</v>
      </c>
      <c r="AD6" s="2148"/>
      <c r="AE6" s="2148"/>
      <c r="AF6" s="2148"/>
      <c r="AG6" s="2148"/>
      <c r="AH6" s="2136">
        <v>42735</v>
      </c>
      <c r="AI6" s="2148"/>
      <c r="AJ6" s="2148"/>
      <c r="AK6" s="2148"/>
      <c r="AL6" s="2148"/>
      <c r="AM6" s="2136">
        <v>43100</v>
      </c>
      <c r="AR6" s="2136">
        <v>43465</v>
      </c>
      <c r="AW6" s="2136">
        <v>43830</v>
      </c>
      <c r="BB6" s="2136">
        <v>44196</v>
      </c>
      <c r="BG6" s="2136"/>
      <c r="CD6" s="2147"/>
      <c r="CE6" s="2147"/>
      <c r="CF6" s="2147"/>
      <c r="CG6" s="2147"/>
      <c r="DH6" s="2110"/>
      <c r="DL6" s="2089"/>
      <c r="DM6" s="2089"/>
      <c r="DN6" s="2089"/>
      <c r="DO6" s="2089"/>
      <c r="DP6" s="2089"/>
      <c r="DQ6" s="2089"/>
      <c r="DR6" s="2089"/>
      <c r="DS6" s="2089"/>
      <c r="DT6" s="2089"/>
      <c r="DU6" s="2089"/>
      <c r="DV6" s="2140"/>
      <c r="DW6" s="2094"/>
      <c r="DX6" s="2089"/>
      <c r="DY6" s="2089"/>
      <c r="EA6" s="2094"/>
      <c r="EB6" s="2094"/>
      <c r="EC6" s="2094"/>
      <c r="ED6" s="2094"/>
      <c r="EE6" s="2094"/>
      <c r="EF6" s="2094"/>
      <c r="EG6" s="2094"/>
      <c r="EH6" s="2094"/>
      <c r="EI6" s="2094"/>
      <c r="EJ6" s="2094"/>
      <c r="EK6" s="2094"/>
      <c r="EL6" s="2089"/>
      <c r="EM6" s="2093"/>
      <c r="EN6" s="2094"/>
      <c r="EO6" s="2094"/>
      <c r="EP6" s="2094"/>
      <c r="EQ6" s="2094"/>
    </row>
    <row r="7" spans="1:147">
      <c r="B7" s="2074" t="s">
        <v>1102</v>
      </c>
      <c r="C7" s="2074"/>
      <c r="X7" s="2144" t="s">
        <v>964</v>
      </c>
      <c r="Y7" s="2146"/>
      <c r="Z7" s="2146"/>
      <c r="AA7" s="2146"/>
      <c r="AB7" s="2146"/>
      <c r="AC7" s="2144" t="s">
        <v>1011</v>
      </c>
      <c r="AD7" s="2146"/>
      <c r="AE7" s="2146"/>
      <c r="AF7" s="2146"/>
      <c r="AG7" s="2146"/>
      <c r="AH7" s="2144" t="s">
        <v>1158</v>
      </c>
      <c r="AI7" s="2146"/>
      <c r="AJ7" s="2146"/>
      <c r="AK7" s="2146"/>
      <c r="AL7" s="2146"/>
      <c r="AM7" s="2144" t="s">
        <v>1220</v>
      </c>
      <c r="AN7" s="2145"/>
      <c r="AO7" s="2145"/>
      <c r="AP7" s="2145"/>
      <c r="AQ7" s="2145"/>
      <c r="AR7" s="2144" t="s">
        <v>138</v>
      </c>
      <c r="AS7" s="2145"/>
      <c r="AT7" s="2145"/>
      <c r="AU7" s="2145"/>
      <c r="AV7" s="2145"/>
      <c r="AW7" s="2144" t="s">
        <v>969</v>
      </c>
      <c r="AX7" s="2145"/>
      <c r="AY7" s="2145"/>
      <c r="AZ7" s="2145"/>
      <c r="BA7" s="2145"/>
      <c r="BB7" s="2144" t="s">
        <v>970</v>
      </c>
      <c r="BC7" s="2145"/>
      <c r="BD7" s="2145"/>
      <c r="BE7" s="2145"/>
      <c r="BF7" s="2145"/>
      <c r="BG7" s="2144"/>
      <c r="BW7" s="2143"/>
      <c r="BX7" s="2142"/>
      <c r="BY7" s="2142"/>
      <c r="BZ7" s="2142"/>
      <c r="CA7" s="2142"/>
      <c r="CB7" s="2142"/>
      <c r="CI7" s="2110"/>
      <c r="CJ7" s="2110"/>
      <c r="CK7" s="2110"/>
      <c r="CL7" s="2110"/>
      <c r="CN7" s="2110"/>
      <c r="CO7" s="2110"/>
      <c r="CP7" s="2110"/>
      <c r="CQ7" s="2110"/>
      <c r="CR7" s="2110"/>
      <c r="CS7" s="2110"/>
      <c r="CT7" s="2110"/>
      <c r="CU7" s="2110"/>
      <c r="CV7" s="2110"/>
      <c r="CW7" s="2110"/>
      <c r="CX7" s="2110"/>
      <c r="CY7" s="2110"/>
      <c r="CZ7" s="2110"/>
      <c r="DA7" s="2110"/>
      <c r="DB7" s="2110"/>
      <c r="DC7" s="2110"/>
      <c r="DD7" s="2110"/>
      <c r="DE7" s="2110"/>
      <c r="DF7" s="2110"/>
      <c r="DG7" s="2110"/>
      <c r="DH7" s="2136"/>
      <c r="DI7" s="2136"/>
      <c r="DJ7" s="2136"/>
      <c r="DL7" s="2106" t="s">
        <v>489</v>
      </c>
      <c r="DP7" s="2141"/>
      <c r="DQ7" s="2140" t="s">
        <v>858</v>
      </c>
      <c r="DR7" s="2089"/>
      <c r="DS7" s="2089"/>
      <c r="DT7" s="2089"/>
      <c r="DU7" s="2089"/>
      <c r="DV7" s="2089"/>
      <c r="DW7" s="2094"/>
      <c r="DX7" s="2089"/>
      <c r="DY7" s="2089"/>
      <c r="EA7" s="2094"/>
      <c r="EB7" s="2094"/>
      <c r="EC7" s="2094"/>
      <c r="ED7" s="2094"/>
      <c r="EE7" s="2094"/>
      <c r="EF7" s="2094"/>
      <c r="EG7" s="2094"/>
      <c r="EH7" s="2094"/>
      <c r="EI7" s="2094"/>
      <c r="EJ7" s="2094"/>
      <c r="EK7" s="2094"/>
      <c r="EL7" s="2089"/>
      <c r="EM7" s="2093"/>
      <c r="EN7" s="2094"/>
      <c r="EO7" s="2094"/>
      <c r="EP7" s="2094"/>
      <c r="EQ7" s="2094"/>
    </row>
    <row r="8" spans="1:147">
      <c r="C8" t="s">
        <v>199</v>
      </c>
      <c r="X8" s="1589">
        <f>BX10+BX41</f>
        <v>1555</v>
      </c>
      <c r="AC8" s="1589">
        <f>CC10+CC41</f>
        <v>2465</v>
      </c>
      <c r="AH8" s="1589">
        <f>CH10+CH41</f>
        <v>-8614.2617206034338</v>
      </c>
      <c r="AM8" s="1589">
        <f>CM10+CM41</f>
        <v>-1101.7026610591402</v>
      </c>
      <c r="AR8" s="1589">
        <f>CR10+CR41</f>
        <v>1351.5640275538408</v>
      </c>
      <c r="AW8" s="1589">
        <f>CW10+CW41</f>
        <v>1294.1533327928132</v>
      </c>
      <c r="BB8" s="1589">
        <f>DB10+DB41</f>
        <v>1475.5124728069827</v>
      </c>
      <c r="BG8" s="1589"/>
      <c r="BT8" s="2139">
        <f ca="1">TODAY()</f>
        <v>43215</v>
      </c>
      <c r="BU8" s="2138"/>
      <c r="BV8" s="2136"/>
      <c r="BW8" s="2137"/>
      <c r="BX8" s="2136">
        <v>42004</v>
      </c>
      <c r="BY8" s="2136"/>
      <c r="BZ8" s="2136"/>
      <c r="CA8" s="2136"/>
      <c r="CB8" s="2136"/>
      <c r="CC8" s="2136">
        <v>42369</v>
      </c>
      <c r="CD8" s="2136"/>
      <c r="CE8" s="2136"/>
      <c r="CF8" s="2136"/>
      <c r="CG8" s="2136"/>
      <c r="CH8" s="2136">
        <v>42735</v>
      </c>
      <c r="CM8" s="2136">
        <v>43100</v>
      </c>
      <c r="CR8" s="2136">
        <v>43465</v>
      </c>
      <c r="CW8" s="2136">
        <v>43830</v>
      </c>
      <c r="DB8" s="2136">
        <v>44196</v>
      </c>
      <c r="DG8" s="2136"/>
      <c r="DH8" s="2110"/>
      <c r="DI8" s="2110"/>
      <c r="DJ8" s="2110"/>
      <c r="DL8" s="2094" t="s">
        <v>499</v>
      </c>
      <c r="DM8" s="2089"/>
      <c r="DN8" s="2089"/>
      <c r="DO8" s="2133">
        <v>4</v>
      </c>
      <c r="DP8" s="2132"/>
      <c r="DQ8" s="2089" t="s">
        <v>859</v>
      </c>
      <c r="DR8" s="2089"/>
      <c r="DS8" s="2089"/>
      <c r="DT8" s="2089"/>
      <c r="DU8" s="2089"/>
      <c r="DV8" s="2118">
        <f>DO17</f>
        <v>6.9314285714285717E-2</v>
      </c>
      <c r="DW8" s="2094"/>
      <c r="DX8" s="2089"/>
      <c r="DY8" s="2089"/>
      <c r="EA8" s="2094"/>
      <c r="EB8" s="2094"/>
      <c r="EC8" s="2094"/>
      <c r="ED8" s="2094"/>
      <c r="EE8" s="2094"/>
      <c r="EF8" s="2094"/>
      <c r="EG8" s="2094"/>
      <c r="EH8" s="2094"/>
      <c r="EI8" s="2094"/>
      <c r="EJ8" s="2094"/>
      <c r="EK8" s="2094"/>
      <c r="EL8" s="2089"/>
      <c r="EM8" s="2093"/>
      <c r="EN8" s="2089"/>
      <c r="EO8" s="2089"/>
      <c r="EP8" s="2089"/>
      <c r="EQ8" s="2089"/>
    </row>
    <row r="9" spans="1:147">
      <c r="C9" t="s">
        <v>221</v>
      </c>
      <c r="X9" s="1589">
        <f>BX11+BX42</f>
        <v>679</v>
      </c>
      <c r="AC9" s="1589">
        <f>CC11+CC42</f>
        <v>685</v>
      </c>
      <c r="AH9" s="1589">
        <f>CH11+CH42</f>
        <v>712.08088174017121</v>
      </c>
      <c r="AM9" s="1589">
        <f>CM11+CM42</f>
        <v>484.73205395542067</v>
      </c>
      <c r="AR9" s="1589">
        <f>CR11+CR42</f>
        <v>497.05454922392357</v>
      </c>
      <c r="AW9" s="1589">
        <f>CW11+CW42</f>
        <v>539.06000130228563</v>
      </c>
      <c r="BB9" s="1589">
        <f>DB11+DB42</f>
        <v>560.67716641647883</v>
      </c>
      <c r="BG9" s="1589"/>
      <c r="BS9" s="2135" t="s">
        <v>1101</v>
      </c>
      <c r="BT9" s="2135"/>
      <c r="BU9" s="2134"/>
      <c r="BV9" s="2110"/>
      <c r="BW9" s="2110"/>
      <c r="BX9" s="2110" t="s">
        <v>964</v>
      </c>
      <c r="BY9" s="2110"/>
      <c r="BZ9" s="2110"/>
      <c r="CA9" s="2110"/>
      <c r="CB9" s="2110"/>
      <c r="CC9" s="2110" t="s">
        <v>1011</v>
      </c>
      <c r="CD9" s="2110"/>
      <c r="CE9" s="2110"/>
      <c r="CF9" s="2110"/>
      <c r="CG9" s="2110"/>
      <c r="CH9" s="2110" t="s">
        <v>1158</v>
      </c>
      <c r="CI9" s="2083"/>
      <c r="CJ9" s="2083"/>
      <c r="CK9" s="2083"/>
      <c r="CL9" s="2083"/>
      <c r="CM9" s="2110" t="s">
        <v>1220</v>
      </c>
      <c r="CN9" s="2083"/>
      <c r="CO9" s="2083"/>
      <c r="CP9" s="2083"/>
      <c r="CQ9" s="2083"/>
      <c r="CR9" s="2110" t="s">
        <v>138</v>
      </c>
      <c r="CS9" s="2083"/>
      <c r="CT9" s="2083"/>
      <c r="CU9" s="2083"/>
      <c r="CV9" s="2083"/>
      <c r="CW9" s="2110" t="s">
        <v>969</v>
      </c>
      <c r="CX9" s="2083"/>
      <c r="CY9" s="2083"/>
      <c r="CZ9" s="2083"/>
      <c r="DA9" s="2083"/>
      <c r="DB9" s="2110" t="s">
        <v>970</v>
      </c>
      <c r="DC9" s="2083"/>
      <c r="DD9" s="2083"/>
      <c r="DE9" s="2083"/>
      <c r="DF9" s="2083"/>
      <c r="DG9" s="2110"/>
      <c r="DH9" s="2083"/>
      <c r="DI9" s="2083"/>
      <c r="DJ9" s="2083"/>
      <c r="DL9" s="2094" t="s">
        <v>847</v>
      </c>
      <c r="DM9" s="2089"/>
      <c r="DN9" s="2089"/>
      <c r="DO9" s="2133">
        <v>7</v>
      </c>
      <c r="DP9" s="2132"/>
      <c r="DQ9" s="2089" t="s">
        <v>860</v>
      </c>
      <c r="DR9" s="2089"/>
      <c r="DS9" s="2089"/>
      <c r="DT9" s="2089"/>
      <c r="DU9" s="2089"/>
      <c r="DV9" s="2131">
        <v>2</v>
      </c>
      <c r="DW9" s="2094"/>
      <c r="DX9" s="2089"/>
      <c r="DY9" s="2089"/>
      <c r="EA9" s="2094"/>
      <c r="EB9" s="2130"/>
      <c r="EC9" s="2094"/>
      <c r="ED9" s="2094"/>
      <c r="EE9" s="2094"/>
      <c r="EF9" s="2094"/>
      <c r="EG9" s="2094"/>
      <c r="EH9" s="2094"/>
      <c r="EI9" s="2094"/>
      <c r="EJ9" s="2094"/>
      <c r="EK9" s="2094"/>
      <c r="EL9" s="2089"/>
      <c r="EM9" s="2093"/>
      <c r="EN9" s="2089"/>
      <c r="EO9" s="2089"/>
      <c r="EP9" s="2089"/>
      <c r="EQ9" s="2089"/>
    </row>
    <row r="10" spans="1:147">
      <c r="C10" t="s">
        <v>200</v>
      </c>
      <c r="X10" s="1589">
        <f>BX12-BX43</f>
        <v>-311</v>
      </c>
      <c r="AC10" s="1589">
        <f>CC12-CC43</f>
        <v>-313</v>
      </c>
      <c r="AH10" s="1589">
        <f>CH12-CH43</f>
        <v>-317.58077787197567</v>
      </c>
      <c r="AM10" s="1589">
        <f>CM12-CM43</f>
        <v>-339.11169536689636</v>
      </c>
      <c r="AR10" s="1589">
        <f>CR12-CR43</f>
        <v>-406.86144984329053</v>
      </c>
      <c r="AW10" s="1589">
        <f>CW12-CW43</f>
        <v>-443.96521116662962</v>
      </c>
      <c r="BB10" s="1589">
        <f>DB12-DB43</f>
        <v>-437.19342266300475</v>
      </c>
      <c r="BG10" s="1589"/>
      <c r="BT10" t="s">
        <v>199</v>
      </c>
      <c r="BV10" s="2083"/>
      <c r="BW10" s="2083"/>
      <c r="BX10" s="2083">
        <v>1665</v>
      </c>
      <c r="BY10" s="2083"/>
      <c r="BZ10" s="2083"/>
      <c r="CA10" s="2083"/>
      <c r="CB10" s="2083"/>
      <c r="CC10" s="2083">
        <v>1779</v>
      </c>
      <c r="CD10" s="2083"/>
      <c r="CE10" s="2083"/>
      <c r="CF10" s="2083"/>
      <c r="CG10" s="2083"/>
      <c r="CH10" s="2083">
        <v>1258.7382793965653</v>
      </c>
      <c r="CI10" s="2083"/>
      <c r="CJ10" s="2083"/>
      <c r="CK10" s="2083"/>
      <c r="CL10" s="2083"/>
      <c r="CM10" s="2083">
        <v>1114.2973389408598</v>
      </c>
      <c r="CN10" s="2083"/>
      <c r="CO10" s="2083"/>
      <c r="CP10" s="2083"/>
      <c r="CQ10" s="2083"/>
      <c r="CR10" s="2083">
        <v>1126.2760626836177</v>
      </c>
      <c r="CS10" s="2083"/>
      <c r="CT10" s="2083"/>
      <c r="CU10" s="2083"/>
      <c r="CV10" s="2083"/>
      <c r="CW10" s="2083">
        <v>1207.9199398242051</v>
      </c>
      <c r="CX10" s="2083"/>
      <c r="CY10" s="2083"/>
      <c r="CZ10" s="2083"/>
      <c r="DA10" s="2083"/>
      <c r="DB10" s="2083">
        <v>1387.5048813465851</v>
      </c>
      <c r="DC10" s="2083"/>
      <c r="DD10" s="2083"/>
      <c r="DE10" s="2083"/>
      <c r="DF10" s="2083"/>
      <c r="DG10" s="2083"/>
      <c r="DH10" s="2129"/>
      <c r="DI10" s="2083"/>
      <c r="DJ10" s="2083"/>
      <c r="DL10" s="2094" t="s">
        <v>492</v>
      </c>
      <c r="DM10" s="2089"/>
      <c r="DN10" s="2089"/>
      <c r="DO10" s="2128">
        <f>DO8/DO9</f>
        <v>0.5714285714285714</v>
      </c>
      <c r="DP10" s="2089"/>
      <c r="DQ10" s="2089" t="s">
        <v>861</v>
      </c>
      <c r="DR10" s="2089"/>
      <c r="DS10" s="2089"/>
      <c r="DT10" s="2089"/>
      <c r="DU10" s="2089"/>
      <c r="DV10" s="2116">
        <v>0.02</v>
      </c>
      <c r="DW10" s="2106">
        <v>1</v>
      </c>
      <c r="DX10" s="2089"/>
      <c r="DY10" s="2089"/>
      <c r="EA10" s="2094"/>
      <c r="EB10" s="2094"/>
      <c r="EC10" s="2094"/>
      <c r="ED10" s="2094"/>
      <c r="EE10" s="2094"/>
      <c r="EF10" s="2094"/>
      <c r="EG10" s="2094"/>
      <c r="EH10" s="2094"/>
      <c r="EI10" s="2094"/>
      <c r="EJ10" s="2094"/>
      <c r="EK10" s="2094"/>
      <c r="EL10" s="2089"/>
      <c r="EM10" s="2093"/>
      <c r="EN10" s="2089"/>
      <c r="EO10" s="2089"/>
      <c r="EP10" s="2089"/>
      <c r="EQ10" s="2089"/>
    </row>
    <row r="11" spans="1:147">
      <c r="C11" s="2052" t="s">
        <v>1100</v>
      </c>
      <c r="X11" s="2071">
        <f>-(X8-X9+X10)*$DO$16</f>
        <v>-214.7</v>
      </c>
      <c r="AC11" s="2071">
        <f>-(AC8-AC9+AC10)*$DO$16</f>
        <v>-557.46</v>
      </c>
      <c r="AH11" s="2071">
        <f>-(AH8-AH9+AH10)*$DO$16</f>
        <v>3664.6908844819204</v>
      </c>
      <c r="AM11" s="2071">
        <f>-(AM8-AM9+AM10)*$DO$16</f>
        <v>731.70763594495372</v>
      </c>
      <c r="AR11" s="2071">
        <f>-(AR8-AR9+AR10)*$DO$16</f>
        <v>-170.10625082491813</v>
      </c>
      <c r="AW11" s="2071">
        <f>-(AW8-AW9+AW10)*$DO$16</f>
        <v>-118.22868572308123</v>
      </c>
      <c r="BB11" s="2071">
        <f>-(BB8-BB9+BB10)*$DO$16</f>
        <v>-181.50391581644968</v>
      </c>
      <c r="BG11" s="2071"/>
      <c r="BT11" t="s">
        <v>221</v>
      </c>
      <c r="BV11" s="2083"/>
      <c r="BW11" s="2083"/>
      <c r="BX11" s="2083">
        <v>292</v>
      </c>
      <c r="BY11" s="2083"/>
      <c r="BZ11" s="2083"/>
      <c r="CA11" s="2083"/>
      <c r="CB11" s="2083"/>
      <c r="CC11" s="2083">
        <v>291</v>
      </c>
      <c r="CD11" s="2083"/>
      <c r="CE11" s="2083"/>
      <c r="CF11" s="2083"/>
      <c r="CG11" s="2083"/>
      <c r="CH11" s="2083">
        <v>325.08088174017121</v>
      </c>
      <c r="CI11" s="2083"/>
      <c r="CJ11" s="2083"/>
      <c r="CK11" s="2083"/>
      <c r="CL11" s="2083"/>
      <c r="CM11" s="2083">
        <v>366.73205395542067</v>
      </c>
      <c r="CN11" s="2083"/>
      <c r="CO11" s="2083"/>
      <c r="CP11" s="2083"/>
      <c r="CQ11" s="2083"/>
      <c r="CR11" s="2083">
        <v>398.53616489551933</v>
      </c>
      <c r="CS11" s="2083"/>
      <c r="CT11" s="2083"/>
      <c r="CU11" s="2083"/>
      <c r="CV11" s="2083"/>
      <c r="CW11" s="2083">
        <v>422.45484485744333</v>
      </c>
      <c r="CX11" s="2083"/>
      <c r="CY11" s="2083"/>
      <c r="CZ11" s="2083"/>
      <c r="DA11" s="2083"/>
      <c r="DB11" s="2083">
        <v>427.6936594414932</v>
      </c>
      <c r="DC11" s="2083"/>
      <c r="DD11" s="2083"/>
      <c r="DE11" s="2083"/>
      <c r="DF11" s="2083"/>
      <c r="DG11" s="2083"/>
      <c r="DH11" s="2083"/>
      <c r="DI11" s="2083"/>
      <c r="DJ11" s="2083"/>
      <c r="DL11" s="2094" t="s">
        <v>493</v>
      </c>
      <c r="DM11" s="2089"/>
      <c r="DN11" s="2089"/>
      <c r="DO11" s="2127">
        <f>(DO9-DO8)/DO9</f>
        <v>0.42857142857142855</v>
      </c>
      <c r="DP11" s="2089"/>
      <c r="DQ11" s="2089" t="s">
        <v>862</v>
      </c>
      <c r="DR11" s="2089"/>
      <c r="DS11" s="2089"/>
      <c r="DT11" s="2089"/>
      <c r="DU11" s="2089"/>
      <c r="DV11" s="2126">
        <f>DO25</f>
        <v>8.2464635125169092</v>
      </c>
      <c r="DW11" s="2106">
        <v>2</v>
      </c>
      <c r="DX11" s="2089"/>
      <c r="DY11" s="2089"/>
      <c r="EA11" s="2094"/>
      <c r="EB11" s="2094"/>
      <c r="EC11" s="2094"/>
      <c r="ED11" s="2094"/>
      <c r="EE11" s="2094"/>
      <c r="EF11" s="2094"/>
      <c r="EG11" s="2094"/>
      <c r="EH11" s="2094"/>
      <c r="EI11" s="2094"/>
      <c r="EJ11" s="2094"/>
      <c r="EK11" s="2094"/>
      <c r="EL11" s="2089"/>
      <c r="EM11" s="2093"/>
      <c r="EN11" s="2089"/>
      <c r="EO11" s="2089"/>
      <c r="EP11" s="2089"/>
      <c r="EQ11" s="2089"/>
    </row>
    <row r="12" spans="1:147">
      <c r="C12" s="2043" t="s">
        <v>224</v>
      </c>
      <c r="X12" s="2067">
        <f>+X8+X10+X11</f>
        <v>1029.3</v>
      </c>
      <c r="Y12" s="2067"/>
      <c r="Z12" s="2067"/>
      <c r="AA12" s="2067"/>
      <c r="AB12" s="2067"/>
      <c r="AC12" s="2067">
        <f>+AC8+AC10+AC11</f>
        <v>1594.54</v>
      </c>
      <c r="AD12" s="2067"/>
      <c r="AE12" s="2067"/>
      <c r="AF12" s="2067"/>
      <c r="AG12" s="2067"/>
      <c r="AH12" s="2067">
        <f>+AH8+AH10+AH11</f>
        <v>-5267.1516139934884</v>
      </c>
      <c r="AM12" s="2067">
        <f>+AM8+AM10+AM11</f>
        <v>-709.10672048108279</v>
      </c>
      <c r="AR12" s="2067">
        <f>+AR8+AR10+AR11</f>
        <v>774.59632688563215</v>
      </c>
      <c r="AW12" s="2067">
        <f>+AW8+AW10+AW11</f>
        <v>731.95943590310242</v>
      </c>
      <c r="BB12" s="2067">
        <f>+BB8+BB10+BB11</f>
        <v>856.81513432752843</v>
      </c>
      <c r="BG12" s="2067"/>
      <c r="BT12" t="s">
        <v>200</v>
      </c>
      <c r="BV12" s="2083"/>
      <c r="BW12" s="2083"/>
      <c r="BX12" s="2083">
        <v>-122</v>
      </c>
      <c r="BY12" s="2083"/>
      <c r="BZ12" s="2083"/>
      <c r="CA12" s="2083"/>
      <c r="CB12" s="2083"/>
      <c r="CC12" s="2083">
        <v>-121</v>
      </c>
      <c r="CD12" s="2083"/>
      <c r="CE12" s="2083"/>
      <c r="CF12" s="2083"/>
      <c r="CG12" s="2083"/>
      <c r="CH12" s="2083">
        <v>-123.58077787197567</v>
      </c>
      <c r="CI12" s="2083"/>
      <c r="CJ12" s="2083"/>
      <c r="CK12" s="2083"/>
      <c r="CL12" s="2083"/>
      <c r="CM12" s="2083">
        <v>-160.11169536689633</v>
      </c>
      <c r="CN12" s="2083"/>
      <c r="CO12" s="2083"/>
      <c r="CP12" s="2083"/>
      <c r="CQ12" s="2083"/>
      <c r="CR12" s="2083">
        <v>-235.60044066438877</v>
      </c>
      <c r="CS12" s="2083"/>
      <c r="CT12" s="2083"/>
      <c r="CU12" s="2083"/>
      <c r="CV12" s="2083"/>
      <c r="CW12" s="2083">
        <v>-275.97806300193275</v>
      </c>
      <c r="CX12" s="2083"/>
      <c r="CY12" s="2083"/>
      <c r="CZ12" s="2083"/>
      <c r="DA12" s="2083"/>
      <c r="DB12" s="2083">
        <v>-268.14523438034371</v>
      </c>
      <c r="DC12" s="2083"/>
      <c r="DD12" s="2083"/>
      <c r="DE12" s="2083"/>
      <c r="DF12" s="2083"/>
      <c r="DG12" s="2083"/>
      <c r="DH12" s="2071"/>
      <c r="DI12" s="2071"/>
      <c r="DJ12" s="2071"/>
      <c r="DL12" s="2094" t="s">
        <v>848</v>
      </c>
      <c r="DM12" s="2089"/>
      <c r="DN12" s="2089"/>
      <c r="DO12" s="2122">
        <v>6.5000000000000002E-2</v>
      </c>
      <c r="DP12" s="2089"/>
      <c r="DQ12" s="2089"/>
      <c r="DR12" s="2089"/>
      <c r="DS12" s="2089"/>
      <c r="DT12" s="2089"/>
      <c r="DU12" s="2089"/>
      <c r="DV12" s="2118"/>
      <c r="DW12" s="2094"/>
      <c r="DX12" s="2089"/>
      <c r="DY12" s="2089"/>
      <c r="EA12" s="2094"/>
      <c r="EB12" s="2094"/>
      <c r="EC12" s="2094"/>
      <c r="ED12" s="2094"/>
      <c r="EE12" s="2094"/>
      <c r="EF12" s="2094"/>
      <c r="EG12" s="2094"/>
      <c r="EH12" s="2094"/>
      <c r="EI12" s="2094"/>
      <c r="EJ12" s="2094"/>
      <c r="EK12" s="2094"/>
      <c r="EL12" s="2089"/>
      <c r="EM12" s="2093"/>
      <c r="EN12" s="2089"/>
      <c r="EO12" s="2089"/>
      <c r="EP12" s="2089"/>
      <c r="EQ12" s="2089"/>
    </row>
    <row r="13" spans="1:147">
      <c r="BT13" s="2052" t="s">
        <v>1100</v>
      </c>
      <c r="BU13" s="2125"/>
      <c r="BV13" s="2071"/>
      <c r="BW13" s="2071"/>
      <c r="BX13" s="2071">
        <f>-(BX10-BX11+BX12)*$DO$16</f>
        <v>-475.38</v>
      </c>
      <c r="BY13" s="2071"/>
      <c r="BZ13" s="2071"/>
      <c r="CA13" s="2071"/>
      <c r="CB13" s="2071"/>
      <c r="CC13" s="2071">
        <f>-(CC10-CC11+CC12)*$DO$16</f>
        <v>-519.46</v>
      </c>
      <c r="CD13" s="2071"/>
      <c r="CE13" s="2071"/>
      <c r="CF13" s="2071"/>
      <c r="CG13" s="2071"/>
      <c r="CH13" s="2071">
        <f>-(CH10-CH11+CH12)*$DO$16</f>
        <v>-307.82911551807899</v>
      </c>
      <c r="CM13" s="2071">
        <f>-(CM10-CM11+CM12)*$DO$16</f>
        <v>-223.23236405504625</v>
      </c>
      <c r="CR13" s="2071">
        <f>-(CR10-CR11+CR12)*$DO$16</f>
        <v>-187.01299370700968</v>
      </c>
      <c r="CW13" s="2071">
        <f>-(CW10-CW11+CW12)*$DO$16</f>
        <v>-193.60507214663505</v>
      </c>
      <c r="DB13" s="2071">
        <f>-(DB10-DB11+DB12)*$DO$16</f>
        <v>-262.83307525940432</v>
      </c>
      <c r="DG13" s="2071"/>
      <c r="DH13" s="2067"/>
      <c r="DI13" s="2067"/>
      <c r="DJ13" s="2067"/>
      <c r="DL13" s="2094" t="s">
        <v>849</v>
      </c>
      <c r="DM13" s="2089"/>
      <c r="DN13" s="2089"/>
      <c r="DO13" s="2122">
        <v>0.03</v>
      </c>
      <c r="DP13" s="2089"/>
      <c r="DR13" s="2124"/>
      <c r="DS13" s="2123"/>
      <c r="DT13" s="2123"/>
      <c r="DU13" s="2123"/>
      <c r="DV13" s="2089"/>
      <c r="DW13" s="2094"/>
      <c r="DX13" s="2089"/>
      <c r="DY13" s="2089"/>
      <c r="EA13" s="2094"/>
      <c r="EB13" s="2094"/>
      <c r="EC13" s="2094"/>
      <c r="ED13" s="2094"/>
      <c r="EE13" s="2094"/>
      <c r="EF13" s="2094"/>
      <c r="EG13" s="2094"/>
      <c r="EH13" s="2094"/>
      <c r="EI13" s="2094"/>
      <c r="EJ13" s="2094"/>
      <c r="EK13" s="2094"/>
      <c r="EL13" s="2089"/>
      <c r="EM13" s="2093"/>
      <c r="EN13" s="2089"/>
      <c r="EO13" s="2089"/>
      <c r="EP13" s="2089"/>
      <c r="EQ13" s="2089"/>
    </row>
    <row r="14" spans="1:147">
      <c r="C14" t="s">
        <v>753</v>
      </c>
      <c r="X14" s="1589">
        <f>BX16+BX48</f>
        <v>0</v>
      </c>
      <c r="AC14" s="1589">
        <f>CC16+CC48</f>
        <v>0</v>
      </c>
      <c r="AH14" s="1589">
        <f>CH16+CH48</f>
        <v>270</v>
      </c>
      <c r="AM14" s="1589">
        <f>CM16+CM48</f>
        <v>205</v>
      </c>
      <c r="AR14" s="1589">
        <f>CR16+CR48</f>
        <v>525</v>
      </c>
      <c r="AW14" s="1589">
        <f>CW16+CW48</f>
        <v>490</v>
      </c>
      <c r="BB14" s="1589">
        <f>DB16+DB48</f>
        <v>465</v>
      </c>
      <c r="BG14" s="1589"/>
      <c r="BT14" s="2043" t="s">
        <v>224</v>
      </c>
      <c r="BV14" s="2067"/>
      <c r="BW14" s="2067"/>
      <c r="BX14" s="2067">
        <f>+BX10+BX12+BX13</f>
        <v>1067.6199999999999</v>
      </c>
      <c r="BY14" s="2067"/>
      <c r="BZ14" s="2067"/>
      <c r="CA14" s="2067"/>
      <c r="CB14" s="2067"/>
      <c r="CC14" s="2067">
        <f>+CC10+CC12+CC13</f>
        <v>1138.54</v>
      </c>
      <c r="CD14" s="2067"/>
      <c r="CE14" s="2067"/>
      <c r="CF14" s="2067"/>
      <c r="CG14" s="2067"/>
      <c r="CH14" s="2067">
        <f>+CH10+CH12+CH13</f>
        <v>827.32838600651064</v>
      </c>
      <c r="CM14" s="2067">
        <f>+CM10+CM12+CM13</f>
        <v>730.95327951891727</v>
      </c>
      <c r="CR14" s="2067">
        <f>+CR10+CR12+CR13</f>
        <v>703.66262831221934</v>
      </c>
      <c r="CW14" s="2067">
        <f>+CW10+CW12+CW13</f>
        <v>738.33680467563738</v>
      </c>
      <c r="DB14" s="2067">
        <f>+DB10+DB12+DB13</f>
        <v>856.5265717068371</v>
      </c>
      <c r="DG14" s="2067"/>
      <c r="DL14" s="2089" t="s">
        <v>851</v>
      </c>
      <c r="DM14" s="2089"/>
      <c r="DN14" s="2089"/>
      <c r="DO14" s="2122">
        <v>0.06</v>
      </c>
      <c r="DP14" s="2089"/>
      <c r="DW14" s="2094"/>
      <c r="DX14" s="2089"/>
      <c r="DY14" s="2089"/>
      <c r="EA14" s="2094"/>
      <c r="EB14" s="2094"/>
      <c r="EC14" s="2094"/>
      <c r="ED14" s="2094"/>
      <c r="EE14" s="2094"/>
      <c r="EF14" s="2094"/>
      <c r="EG14" s="2094"/>
      <c r="EH14" s="2094"/>
      <c r="EI14" s="2094"/>
      <c r="EJ14" s="2094"/>
      <c r="EK14" s="2094"/>
      <c r="EL14" s="2089"/>
      <c r="EM14" s="2093"/>
      <c r="EN14" s="2089"/>
      <c r="EO14" s="2089"/>
      <c r="EP14" s="2089"/>
      <c r="EQ14" s="2089"/>
    </row>
    <row r="15" spans="1:147">
      <c r="C15" t="s">
        <v>1099</v>
      </c>
      <c r="X15" s="1589">
        <f>BX17+BX47</f>
        <v>0</v>
      </c>
      <c r="AC15" s="1589">
        <f>CC17+CC47</f>
        <v>0</v>
      </c>
      <c r="AH15" s="1589">
        <f>CH17+CH47</f>
        <v>40</v>
      </c>
      <c r="AM15" s="1589">
        <f>CM17+CM47</f>
        <v>45</v>
      </c>
      <c r="AR15" s="1589">
        <f>CR17+CR47</f>
        <v>85</v>
      </c>
      <c r="AW15" s="1589">
        <f>CW17+CW47</f>
        <v>65</v>
      </c>
      <c r="BB15" s="1589">
        <f>DB17+DB47</f>
        <v>55</v>
      </c>
      <c r="BG15" s="1589"/>
      <c r="DH15" s="2083"/>
      <c r="DI15" s="2083"/>
      <c r="DJ15" s="2083"/>
      <c r="DL15" s="2089" t="s">
        <v>495</v>
      </c>
      <c r="DM15" s="2089"/>
      <c r="DN15" s="2089"/>
      <c r="DO15" s="2121">
        <v>1.3</v>
      </c>
      <c r="DP15" s="2089"/>
      <c r="DW15" s="2094"/>
      <c r="DX15" s="2089"/>
      <c r="DY15" s="2089"/>
      <c r="EA15" s="2094"/>
      <c r="EB15" s="2094"/>
      <c r="EC15" s="2094"/>
      <c r="ED15" s="2094"/>
      <c r="EE15" s="2094"/>
      <c r="EF15" s="2094"/>
      <c r="EG15" s="2094"/>
      <c r="EH15" s="2094"/>
      <c r="EI15" s="2094"/>
      <c r="EJ15" s="2094"/>
      <c r="EK15" s="2094"/>
      <c r="EL15" s="2089"/>
      <c r="EM15" s="2093"/>
      <c r="EN15" s="2089"/>
      <c r="EO15" s="2089"/>
      <c r="EP15" s="2089"/>
      <c r="EQ15" s="2089"/>
    </row>
    <row r="16" spans="1:147">
      <c r="C16" t="s">
        <v>1097</v>
      </c>
      <c r="X16" s="1589">
        <f>BX18+BX49</f>
        <v>0</v>
      </c>
      <c r="AC16" s="1589">
        <f>CC18+CC49</f>
        <v>155</v>
      </c>
      <c r="AH16" s="1589">
        <f>CH18+CH49</f>
        <v>992</v>
      </c>
      <c r="AM16" s="1589">
        <f>CM18+CM49</f>
        <v>1609</v>
      </c>
      <c r="AR16" s="1589">
        <f>CR18+CR49</f>
        <v>524</v>
      </c>
      <c r="AW16" s="1589">
        <f>CW18+CW49</f>
        <v>160</v>
      </c>
      <c r="BB16" s="1589">
        <f>DB18+DB49</f>
        <v>30</v>
      </c>
      <c r="BG16" s="1589"/>
      <c r="BT16" t="s">
        <v>753</v>
      </c>
      <c r="BV16" s="2083"/>
      <c r="BW16" s="2083"/>
      <c r="BX16" s="2083">
        <v>0</v>
      </c>
      <c r="BY16" s="2083"/>
      <c r="BZ16" s="2083"/>
      <c r="CA16" s="2083"/>
      <c r="CB16" s="2083"/>
      <c r="CC16" s="2083">
        <v>0</v>
      </c>
      <c r="CD16" s="2083"/>
      <c r="CE16" s="2083"/>
      <c r="CF16" s="2083"/>
      <c r="CG16" s="2083"/>
      <c r="CH16" s="2083">
        <v>270</v>
      </c>
      <c r="CM16" s="2083">
        <v>205</v>
      </c>
      <c r="CR16" s="2083">
        <v>260</v>
      </c>
      <c r="CW16" s="2083">
        <v>225</v>
      </c>
      <c r="DB16" s="2083">
        <v>200</v>
      </c>
      <c r="DG16" s="2083"/>
      <c r="DH16" s="2083"/>
      <c r="DI16" s="2083"/>
      <c r="DJ16" s="2083"/>
      <c r="DL16" s="2089" t="s">
        <v>294</v>
      </c>
      <c r="DM16" s="2089"/>
      <c r="DN16" s="2089"/>
      <c r="DO16" s="2120">
        <v>0.38</v>
      </c>
      <c r="DP16" s="2089"/>
      <c r="DW16" s="2094"/>
      <c r="DX16" s="2089"/>
      <c r="DY16" s="2089"/>
      <c r="EA16" s="2094"/>
      <c r="EB16" s="2094"/>
      <c r="EC16" s="2094"/>
      <c r="ED16" s="2094"/>
      <c r="EE16" s="2094"/>
      <c r="EF16" s="2094"/>
      <c r="EG16" s="2094"/>
      <c r="EH16" s="2094"/>
      <c r="EI16" s="2094"/>
      <c r="EJ16" s="2094"/>
      <c r="EK16" s="2094"/>
      <c r="EL16" s="2089"/>
      <c r="EM16" s="2093"/>
      <c r="EN16" s="2089"/>
      <c r="EO16" s="2089"/>
      <c r="EP16" s="2089"/>
      <c r="EQ16" s="2089"/>
    </row>
    <row r="17" spans="3:147">
      <c r="C17" s="2043" t="s">
        <v>841</v>
      </c>
      <c r="X17" s="988">
        <f>SUM(X14:X16)</f>
        <v>0</v>
      </c>
      <c r="AC17" s="988">
        <f>SUM(AC14:AC16)</f>
        <v>155</v>
      </c>
      <c r="AH17" s="988">
        <f>SUM(AH14:AH16)</f>
        <v>1302</v>
      </c>
      <c r="AM17" s="988">
        <f>SUM(AM14:AM16)</f>
        <v>1859</v>
      </c>
      <c r="AR17" s="988">
        <f>SUM(AR14:AR16)</f>
        <v>1134</v>
      </c>
      <c r="AW17" s="988">
        <f>SUM(AW14:AW16)</f>
        <v>715</v>
      </c>
      <c r="BB17" s="988">
        <f>SUM(BB14:BB16)</f>
        <v>550</v>
      </c>
      <c r="BG17" s="988"/>
      <c r="BT17" t="s">
        <v>1099</v>
      </c>
      <c r="BV17" s="2083"/>
      <c r="BW17" s="2083"/>
      <c r="BX17" s="2083">
        <v>0</v>
      </c>
      <c r="BY17" s="2083"/>
      <c r="BZ17" s="2083"/>
      <c r="CA17" s="2083"/>
      <c r="CB17" s="2083"/>
      <c r="CC17" s="2083">
        <v>0</v>
      </c>
      <c r="CD17" s="2083"/>
      <c r="CE17" s="2083"/>
      <c r="CF17" s="2083"/>
      <c r="CG17" s="2083"/>
      <c r="CH17" s="2083">
        <v>40</v>
      </c>
      <c r="CI17" s="2115"/>
      <c r="CJ17" s="2115"/>
      <c r="CK17" s="2115"/>
      <c r="CL17" s="2115"/>
      <c r="CM17" s="2083">
        <v>45</v>
      </c>
      <c r="CN17" s="2115"/>
      <c r="CO17" s="2115"/>
      <c r="CP17" s="2115"/>
      <c r="CQ17" s="2115"/>
      <c r="CR17" s="2083">
        <v>60</v>
      </c>
      <c r="CS17" s="2115"/>
      <c r="CT17" s="2115"/>
      <c r="CU17" s="2115"/>
      <c r="CV17" s="2115"/>
      <c r="CW17" s="2083">
        <v>40</v>
      </c>
      <c r="CX17" s="2115"/>
      <c r="CY17" s="2115"/>
      <c r="CZ17" s="2115"/>
      <c r="DA17" s="2115"/>
      <c r="DB17" s="2083">
        <v>30</v>
      </c>
      <c r="DC17" s="2115"/>
      <c r="DD17" s="2115"/>
      <c r="DE17" s="2115"/>
      <c r="DF17" s="2115"/>
      <c r="DG17" s="2083"/>
      <c r="DH17" s="2083"/>
      <c r="DI17" s="2083"/>
      <c r="DJ17" s="2083"/>
      <c r="DL17" s="2113" t="s">
        <v>1098</v>
      </c>
      <c r="DM17" s="2112"/>
      <c r="DN17" s="2112"/>
      <c r="DO17" s="2119">
        <f>(DO10*(DO12*(1-DO16)))+(DO11*(DO13+(DO14*DO15)))</f>
        <v>6.9314285714285717E-2</v>
      </c>
      <c r="DP17" s="2089"/>
      <c r="DW17" s="2094"/>
      <c r="DX17" s="2089"/>
      <c r="DY17" s="2089"/>
      <c r="EA17" s="2094"/>
      <c r="EB17" s="2094"/>
      <c r="EC17" s="2094"/>
      <c r="ED17" s="2094"/>
      <c r="EE17" s="2094"/>
      <c r="EF17" s="2094"/>
      <c r="EG17" s="2094"/>
      <c r="EH17" s="2094"/>
      <c r="EI17" s="2094"/>
      <c r="EJ17" s="2094"/>
      <c r="EK17" s="2094"/>
      <c r="EL17" s="2089"/>
      <c r="EM17" s="2093"/>
      <c r="EN17" s="2089"/>
      <c r="EO17" s="2089"/>
      <c r="EP17" s="2089"/>
      <c r="EQ17" s="2089"/>
    </row>
    <row r="18" spans="3:147">
      <c r="BT18" t="s">
        <v>1097</v>
      </c>
      <c r="BV18" s="2083"/>
      <c r="BW18" s="2083"/>
      <c r="BX18" s="2083">
        <v>0</v>
      </c>
      <c r="BY18" s="2083"/>
      <c r="BZ18" s="2083"/>
      <c r="CA18" s="2083"/>
      <c r="CB18" s="2083"/>
      <c r="CC18" s="2083">
        <v>155</v>
      </c>
      <c r="CD18" s="2083"/>
      <c r="CE18" s="2083"/>
      <c r="CF18" s="2083"/>
      <c r="CG18" s="2083"/>
      <c r="CH18" s="2083">
        <v>992</v>
      </c>
      <c r="CI18" s="2115"/>
      <c r="CJ18" s="2115"/>
      <c r="CK18" s="2115"/>
      <c r="CL18" s="2115"/>
      <c r="CM18" s="2083">
        <v>794</v>
      </c>
      <c r="CN18" s="2115"/>
      <c r="CO18" s="2115"/>
      <c r="CP18" s="2115"/>
      <c r="CQ18" s="2115"/>
      <c r="CR18" s="2083">
        <v>524</v>
      </c>
      <c r="CS18" s="2115"/>
      <c r="CT18" s="2115"/>
      <c r="CU18" s="2115"/>
      <c r="CV18" s="2115"/>
      <c r="CW18" s="2083">
        <v>160</v>
      </c>
      <c r="CX18" s="2115"/>
      <c r="CY18" s="2115"/>
      <c r="CZ18" s="2115"/>
      <c r="DA18" s="2115"/>
      <c r="DB18" s="2083">
        <v>30</v>
      </c>
      <c r="DC18" s="2115"/>
      <c r="DD18" s="2115"/>
      <c r="DE18" s="2115"/>
      <c r="DF18" s="2115"/>
      <c r="DG18" s="2083"/>
      <c r="DH18" s="2097"/>
      <c r="DI18" s="2097"/>
      <c r="DJ18" s="2097"/>
      <c r="DP18" s="2089"/>
      <c r="DW18" s="2094"/>
      <c r="DX18" s="2089"/>
      <c r="DY18" s="2089"/>
      <c r="EA18" s="2094"/>
      <c r="EB18" s="2094"/>
      <c r="EC18" s="2094"/>
      <c r="ED18" s="2094"/>
      <c r="EE18" s="2094"/>
      <c r="EF18" s="2094"/>
      <c r="EG18" s="2094"/>
      <c r="EH18" s="2094"/>
      <c r="EI18" s="2094"/>
      <c r="EJ18" s="2094"/>
      <c r="EK18" s="2094"/>
      <c r="EL18" s="2089"/>
      <c r="EM18" s="2093"/>
      <c r="EN18" s="2089"/>
      <c r="EO18" s="2089"/>
      <c r="EP18" s="2089"/>
      <c r="EQ18" s="2089"/>
    </row>
    <row r="19" spans="3:147">
      <c r="C19" s="2052" t="s">
        <v>498</v>
      </c>
      <c r="X19" s="1950">
        <f>X12-X17</f>
        <v>1029.3</v>
      </c>
      <c r="Y19" s="1950"/>
      <c r="Z19" s="1950"/>
      <c r="AA19" s="1950"/>
      <c r="AB19" s="1950"/>
      <c r="AC19" s="1950">
        <f>AC12-AC17</f>
        <v>1439.54</v>
      </c>
      <c r="AD19" s="1950"/>
      <c r="AE19" s="1950"/>
      <c r="AF19" s="1950"/>
      <c r="AG19" s="1950"/>
      <c r="AH19" s="1950">
        <f>AH12-AH17</f>
        <v>-6569.1516139934884</v>
      </c>
      <c r="AI19" s="2115"/>
      <c r="AJ19" s="2115"/>
      <c r="AK19" s="2115"/>
      <c r="AL19" s="2115"/>
      <c r="AM19" s="1950">
        <f>AM12-AM17</f>
        <v>-2568.1067204810829</v>
      </c>
      <c r="AN19" s="2115"/>
      <c r="AO19" s="2115"/>
      <c r="AP19" s="2115"/>
      <c r="AQ19" s="2115"/>
      <c r="AR19" s="1950">
        <f>AR12-AR17</f>
        <v>-359.40367311436785</v>
      </c>
      <c r="AS19" s="2115"/>
      <c r="AT19" s="2115"/>
      <c r="AU19" s="2115"/>
      <c r="AV19" s="2115"/>
      <c r="AW19" s="1950">
        <f>AW12-AW17</f>
        <v>16.959435903102417</v>
      </c>
      <c r="AX19" s="2115"/>
      <c r="AY19" s="2115"/>
      <c r="AZ19" s="2115"/>
      <c r="BA19" s="2115"/>
      <c r="BB19" s="1950">
        <f>BB12-BB17</f>
        <v>306.81513432752843</v>
      </c>
      <c r="BC19" s="2115"/>
      <c r="BD19" s="2115"/>
      <c r="BE19" s="2115"/>
      <c r="BF19" s="2115"/>
      <c r="BG19" s="1950"/>
      <c r="BT19" s="2043" t="s">
        <v>841</v>
      </c>
      <c r="BV19" s="2097"/>
      <c r="BW19" s="2097"/>
      <c r="BX19" s="2097">
        <f>SUM(BX16:BX18)</f>
        <v>0</v>
      </c>
      <c r="BY19" s="2097"/>
      <c r="BZ19" s="2097"/>
      <c r="CA19" s="2097"/>
      <c r="CB19" s="2097"/>
      <c r="CC19" s="2097">
        <f>SUM(CC16:CC18)</f>
        <v>155</v>
      </c>
      <c r="CD19" s="2097"/>
      <c r="CE19" s="2097"/>
      <c r="CF19" s="2097"/>
      <c r="CG19" s="2097"/>
      <c r="CH19" s="2097">
        <f>SUM(CH16:CH18)</f>
        <v>1302</v>
      </c>
      <c r="CM19" s="2097">
        <f>SUM(CM16:CM18)</f>
        <v>1044</v>
      </c>
      <c r="CR19" s="2097">
        <f>SUM(CR16:CR18)</f>
        <v>844</v>
      </c>
      <c r="CW19" s="2097">
        <f>SUM(CW16:CW18)</f>
        <v>425</v>
      </c>
      <c r="DB19" s="2097">
        <f>SUM(DB16:DB18)</f>
        <v>260</v>
      </c>
      <c r="DG19" s="2097"/>
      <c r="DL19" s="2106" t="s">
        <v>852</v>
      </c>
      <c r="DM19" s="2089"/>
      <c r="DN19" s="2089"/>
      <c r="DW19" s="2094"/>
      <c r="DX19" s="2089"/>
      <c r="DY19" s="2089"/>
      <c r="EA19" s="2094"/>
      <c r="EB19" s="2094"/>
      <c r="EC19" s="2094"/>
      <c r="ED19" s="2094"/>
      <c r="EE19" s="2094"/>
      <c r="EF19" s="2094"/>
      <c r="EG19" s="2094"/>
      <c r="EH19" s="2094"/>
      <c r="EI19" s="2094"/>
      <c r="EJ19" s="2094"/>
      <c r="EK19" s="2094"/>
      <c r="EL19" s="2089"/>
      <c r="EM19" s="2093"/>
      <c r="EN19" s="2089"/>
      <c r="EO19" s="2089"/>
      <c r="EP19" s="2089"/>
      <c r="EQ19" s="2089"/>
    </row>
    <row r="20" spans="3:147">
      <c r="C20" s="2043" t="s">
        <v>1096</v>
      </c>
      <c r="X20" s="2097">
        <f>+X19+-(X10*(1-$DO$16))</f>
        <v>1222.1199999999999</v>
      </c>
      <c r="Y20" s="2097"/>
      <c r="Z20" s="2097"/>
      <c r="AA20" s="2097"/>
      <c r="AB20" s="2097"/>
      <c r="AC20" s="2097">
        <f>+AC19+-(AC10*(1-$DO$16))</f>
        <v>1633.6</v>
      </c>
      <c r="AD20" s="2097"/>
      <c r="AE20" s="2097"/>
      <c r="AF20" s="2097"/>
      <c r="AG20" s="2097"/>
      <c r="AH20" s="2097">
        <f>+AH19+-(AH10*(1-$DO$16))</f>
        <v>-6372.2515317128637</v>
      </c>
      <c r="AM20" s="2097">
        <f>+AM19+-(AM10*(1-$DO$16))</f>
        <v>-2357.857469353607</v>
      </c>
      <c r="AR20" s="2097">
        <f>+AR19+-(AR10*(1-$DO$16))</f>
        <v>-107.14957421152772</v>
      </c>
      <c r="AW20" s="2097">
        <f>+AW19+-(AW10*(1-$DO$16))</f>
        <v>292.21786682641277</v>
      </c>
      <c r="BB20" s="2097">
        <f>+BB19+-(BB10*(1-$DO$16))</f>
        <v>577.87505637859135</v>
      </c>
      <c r="BG20" s="2097"/>
      <c r="CI20" s="2115"/>
      <c r="CJ20" s="2115"/>
      <c r="CK20" s="2115"/>
      <c r="CL20" s="2115"/>
      <c r="CN20" s="2115"/>
      <c r="CO20" s="2115"/>
      <c r="CP20" s="2115"/>
      <c r="CQ20" s="2115"/>
      <c r="CS20" s="2115"/>
      <c r="CT20" s="2115"/>
      <c r="CU20" s="2115"/>
      <c r="CV20" s="2115"/>
      <c r="CX20" s="2115"/>
      <c r="CY20" s="2115"/>
      <c r="CZ20" s="2115"/>
      <c r="DA20" s="2115"/>
      <c r="DC20" s="2115"/>
      <c r="DD20" s="2115"/>
      <c r="DE20" s="2115"/>
      <c r="DF20" s="2115"/>
      <c r="DH20" s="1950"/>
      <c r="DI20" s="1950"/>
      <c r="DJ20" s="1950"/>
      <c r="DL20" s="2094" t="s">
        <v>853</v>
      </c>
      <c r="DM20" s="2089"/>
      <c r="DN20" s="2089"/>
      <c r="DO20" s="2118">
        <f>DO17</f>
        <v>6.9314285714285717E-2</v>
      </c>
      <c r="DP20" s="2089"/>
      <c r="DW20" s="2094"/>
      <c r="DX20" s="2089"/>
      <c r="DY20" s="2089"/>
      <c r="EA20" s="2094"/>
      <c r="EB20" s="2094"/>
      <c r="EC20" s="2094"/>
      <c r="ED20" s="2094"/>
      <c r="EE20" s="2094"/>
      <c r="EF20" s="2094"/>
      <c r="EG20" s="2094"/>
      <c r="EH20" s="2094"/>
      <c r="EI20" s="2094"/>
      <c r="EJ20" s="2094"/>
      <c r="EK20" s="2094"/>
      <c r="EL20" s="2089"/>
      <c r="EM20" s="2093"/>
      <c r="EN20" s="2089"/>
      <c r="EO20" s="2089"/>
      <c r="EP20" s="2089"/>
      <c r="EQ20" s="2089"/>
    </row>
    <row r="21" spans="3:147">
      <c r="C21" s="2043" t="s">
        <v>842</v>
      </c>
      <c r="AI21" s="2115"/>
      <c r="AJ21" s="2115"/>
      <c r="AK21" s="2115"/>
      <c r="AL21" s="2115"/>
      <c r="AM21" s="2078"/>
      <c r="AN21" s="2115"/>
      <c r="AO21" s="2115"/>
      <c r="AP21" s="2115"/>
      <c r="AQ21" s="2115"/>
      <c r="AR21" s="2078"/>
      <c r="AS21" s="2115"/>
      <c r="AT21" s="2115"/>
      <c r="AU21" s="2115"/>
      <c r="AV21" s="2115"/>
      <c r="AW21" s="2078"/>
      <c r="AX21" s="2115"/>
      <c r="AY21" s="2115"/>
      <c r="AZ21" s="2115"/>
      <c r="BA21" s="2115"/>
      <c r="BB21" s="2067">
        <f>DB23+DB54</f>
        <v>13394.953584285942</v>
      </c>
      <c r="BC21" s="2115"/>
      <c r="BD21" s="2115"/>
      <c r="BE21" s="2115"/>
      <c r="BF21" s="2115"/>
      <c r="BG21" s="2078"/>
      <c r="BT21" s="2052" t="s">
        <v>498</v>
      </c>
      <c r="BU21" s="2052"/>
      <c r="BV21" s="1950"/>
      <c r="BW21" s="1950"/>
      <c r="BX21" s="1950">
        <f>BX14-BX19</f>
        <v>1067.6199999999999</v>
      </c>
      <c r="BY21" s="1950"/>
      <c r="BZ21" s="1950"/>
      <c r="CA21" s="1950"/>
      <c r="CB21" s="1950"/>
      <c r="CC21" s="1950">
        <f>CC14-CC19</f>
        <v>983.54</v>
      </c>
      <c r="CD21" s="1950"/>
      <c r="CE21" s="1950"/>
      <c r="CF21" s="1950"/>
      <c r="CG21" s="1950"/>
      <c r="CH21" s="1950">
        <f>CH14-CH19</f>
        <v>-474.67161399348936</v>
      </c>
      <c r="CI21" s="2115"/>
      <c r="CJ21" s="2115"/>
      <c r="CK21" s="2115"/>
      <c r="CL21" s="2115"/>
      <c r="CM21" s="1950">
        <f>CM14-CM19</f>
        <v>-313.04672048108273</v>
      </c>
      <c r="CN21" s="2115"/>
      <c r="CO21" s="2115"/>
      <c r="CP21" s="2115"/>
      <c r="CQ21" s="2115"/>
      <c r="CR21" s="1950">
        <f>CR14-CR19</f>
        <v>-140.33737168778066</v>
      </c>
      <c r="CS21" s="2115"/>
      <c r="CT21" s="2115"/>
      <c r="CU21" s="2115"/>
      <c r="CV21" s="2115"/>
      <c r="CW21" s="1950">
        <f>CW14-CW19</f>
        <v>313.33680467563738</v>
      </c>
      <c r="CX21" s="2115"/>
      <c r="CY21" s="2115"/>
      <c r="CZ21" s="2115"/>
      <c r="DA21" s="2115"/>
      <c r="DB21" s="1950">
        <f>DB14-DB19</f>
        <v>596.5265717068371</v>
      </c>
      <c r="DC21" s="2115"/>
      <c r="DD21" s="2115"/>
      <c r="DE21" s="2115"/>
      <c r="DF21" s="2115"/>
      <c r="DG21" s="1950"/>
      <c r="DH21" s="2097"/>
      <c r="DI21" s="2097"/>
      <c r="DJ21" s="2097"/>
      <c r="DL21" s="2094" t="s">
        <v>854</v>
      </c>
      <c r="DM21" s="2089"/>
      <c r="DN21" s="2089"/>
      <c r="DO21" s="2114">
        <f>EH31/(DB10+DG41)</f>
        <v>7.3194272109750314</v>
      </c>
      <c r="DP21" s="2089"/>
      <c r="DW21" s="2094"/>
      <c r="DX21" s="2089"/>
      <c r="DY21" s="2089"/>
      <c r="EA21" s="2094"/>
      <c r="EB21" s="2094"/>
      <c r="EC21" s="2094"/>
      <c r="ED21" s="2094"/>
      <c r="EE21" s="2094"/>
      <c r="EF21" s="2094"/>
      <c r="EG21" s="2094"/>
      <c r="EH21" s="2094"/>
      <c r="EI21" s="2094"/>
      <c r="EJ21" s="2094"/>
      <c r="EK21" s="2094"/>
      <c r="EL21" s="2089"/>
      <c r="EM21" s="2093"/>
      <c r="EN21" s="2089"/>
      <c r="EO21" s="2089"/>
      <c r="EP21" s="2089"/>
      <c r="EQ21" s="2089"/>
    </row>
    <row r="22" spans="3:147">
      <c r="BT22" s="2043" t="s">
        <v>1096</v>
      </c>
      <c r="BU22" s="2043"/>
      <c r="BV22" s="2097"/>
      <c r="BW22" s="2097"/>
      <c r="BX22" s="2097">
        <f>+BX21+-(BX12*(1-$DO$16))</f>
        <v>1143.26</v>
      </c>
      <c r="BY22" s="2097"/>
      <c r="BZ22" s="2097"/>
      <c r="CA22" s="2097"/>
      <c r="CB22" s="2097"/>
      <c r="CC22" s="2097">
        <f>+CC21+-(CC12*(1-$DO$16))</f>
        <v>1058.56</v>
      </c>
      <c r="CD22" s="2097"/>
      <c r="CE22" s="2097"/>
      <c r="CF22" s="2097"/>
      <c r="CG22" s="2097"/>
      <c r="CH22" s="2097">
        <f>+CH21+-(CH12*(1-$DO$16))</f>
        <v>-398.05153171286446</v>
      </c>
      <c r="CM22" s="2097">
        <f>+CM21+-(CM12*(1-$DO$16))</f>
        <v>-213.77746935360699</v>
      </c>
      <c r="CR22" s="2097">
        <f>+CR21+-(CR12*(1-$DO$16))</f>
        <v>5.7349015241403833</v>
      </c>
      <c r="CW22" s="2097">
        <f>+CW21+-(CW12*(1-$DO$16))</f>
        <v>484.4432037368357</v>
      </c>
      <c r="DB22" s="2097">
        <f>+DB21+-(DB12*(1-$DO$16))</f>
        <v>762.77661702265027</v>
      </c>
      <c r="DG22" s="2097"/>
      <c r="DH22" s="2078"/>
      <c r="DI22" s="2078"/>
      <c r="DJ22" s="2078"/>
      <c r="DL22" s="2094" t="s">
        <v>855</v>
      </c>
      <c r="DM22" s="2089"/>
      <c r="DN22" s="2089"/>
      <c r="DO22" s="2117">
        <f>(DG48+DB16)/(DB10+DG41)</f>
        <v>0.28191955975562077</v>
      </c>
      <c r="DP22" s="2089"/>
      <c r="DW22" s="2094"/>
      <c r="DX22" s="2089"/>
      <c r="DY22" s="2089"/>
      <c r="EA22" s="2094"/>
      <c r="EB22" s="2094"/>
      <c r="EC22" s="2094"/>
      <c r="ED22" s="2094"/>
      <c r="EE22" s="2094"/>
      <c r="EF22" s="2094"/>
      <c r="EG22" s="2094"/>
      <c r="EH22" s="2094"/>
      <c r="EI22" s="2094"/>
      <c r="EJ22" s="2094"/>
      <c r="EK22" s="2094"/>
      <c r="EL22" s="2089"/>
      <c r="EM22" s="2093"/>
      <c r="EN22" s="2089"/>
      <c r="EO22" s="2089"/>
      <c r="EP22" s="2089"/>
      <c r="EQ22" s="2089"/>
    </row>
    <row r="23" spans="3:147">
      <c r="C23" t="s">
        <v>20</v>
      </c>
      <c r="X23" s="2076"/>
      <c r="AC23" s="2076"/>
      <c r="AH23" s="2076"/>
      <c r="AM23" s="2076"/>
      <c r="AR23" s="2076">
        <f ca="1">(1/(1+$DO$17))^((AR6-$C$6)/365)</f>
        <v>0.95513512351174323</v>
      </c>
      <c r="AW23" s="2076">
        <f ca="1">(1/(1+$DO$17))^((AW6-$C$6)/365)</f>
        <v>0.89322207350267235</v>
      </c>
      <c r="BB23" s="2076">
        <f ca="1">(1/(1+$DO$17))^((BB6-$C$6)/365)</f>
        <v>0.83516894530875152</v>
      </c>
      <c r="BG23" s="2076"/>
      <c r="BT23" s="2043" t="s">
        <v>842</v>
      </c>
      <c r="CI23" s="2115"/>
      <c r="CJ23" s="2115"/>
      <c r="CK23" s="2115"/>
      <c r="CL23" s="2115"/>
      <c r="CM23" s="2078"/>
      <c r="CN23" s="2115"/>
      <c r="CO23" s="2115"/>
      <c r="CP23" s="2115"/>
      <c r="CQ23" s="2115"/>
      <c r="CR23" s="2078"/>
      <c r="CS23" s="2115"/>
      <c r="CT23" s="2115"/>
      <c r="CU23" s="2115"/>
      <c r="CV23" s="2115"/>
      <c r="CW23" s="2078"/>
      <c r="CX23" s="2115"/>
      <c r="CY23" s="2115"/>
      <c r="CZ23" s="2115"/>
      <c r="DA23" s="2115"/>
      <c r="DB23" s="2078">
        <f>IF(DV9=2,DB10*$DO$25,(DB22+DB18+DB17)/($DO$17-$DV$10))</f>
        <v>11442.008377463717</v>
      </c>
      <c r="DC23" s="2115"/>
      <c r="DD23" s="2115"/>
      <c r="DE23" s="2115"/>
      <c r="DF23" s="2115"/>
      <c r="DG23" s="2078"/>
      <c r="DL23" s="2094" t="s">
        <v>856</v>
      </c>
      <c r="DM23" s="2089"/>
      <c r="DN23" s="2089"/>
      <c r="DO23" s="2116">
        <f>0.015</f>
        <v>1.4999999999999999E-2</v>
      </c>
      <c r="DP23" s="2089"/>
      <c r="DW23" s="2094"/>
      <c r="DX23" s="2089"/>
      <c r="DY23" s="2089"/>
      <c r="EA23" s="2094"/>
      <c r="EB23" s="2094"/>
      <c r="EC23" s="2094"/>
      <c r="ED23" s="2094"/>
      <c r="EE23" s="2094"/>
      <c r="EF23" s="2094"/>
      <c r="EG23" s="2094"/>
      <c r="EH23" s="2094"/>
      <c r="EI23" s="2094"/>
      <c r="EJ23" s="2094"/>
      <c r="EK23" s="2094"/>
      <c r="EL23" s="2089"/>
      <c r="EM23" s="2093"/>
      <c r="EN23" s="2089"/>
      <c r="EO23" s="2089"/>
      <c r="EP23" s="2089"/>
      <c r="EQ23" s="2089"/>
    </row>
    <row r="24" spans="3:147">
      <c r="C24" t="s">
        <v>845</v>
      </c>
      <c r="X24" s="2083"/>
      <c r="AC24" s="2083"/>
      <c r="AH24" s="2083"/>
      <c r="AM24" s="2083"/>
      <c r="AR24" s="2083">
        <f ca="1">+AR23*AR20</f>
        <v>-102.34232179875822</v>
      </c>
      <c r="AS24" s="1589"/>
      <c r="AT24" s="1589"/>
      <c r="AU24" s="1589"/>
      <c r="AV24" s="1589"/>
      <c r="AW24" s="2083">
        <f ca="1">+AW23*AW20</f>
        <v>261.0154489212162</v>
      </c>
      <c r="AX24" s="1589"/>
      <c r="AY24" s="1589"/>
      <c r="AZ24" s="1589"/>
      <c r="BA24" s="1589"/>
      <c r="BB24" s="2083">
        <f ca="1">+BB23*SUM(BB20:BB21)</f>
        <v>11669.672558803713</v>
      </c>
      <c r="BC24" s="1589"/>
      <c r="BD24" s="1589"/>
      <c r="BE24" s="1589"/>
      <c r="BF24" s="1589"/>
      <c r="BG24" s="2083"/>
      <c r="CI24" s="2115"/>
      <c r="CJ24" s="2115"/>
      <c r="CK24" s="2115"/>
      <c r="CL24" s="2115"/>
      <c r="CN24" s="2115"/>
      <c r="CO24" s="2115"/>
      <c r="CP24" s="2115"/>
      <c r="CQ24" s="2115"/>
      <c r="CS24" s="2115"/>
      <c r="CT24" s="2115"/>
      <c r="CU24" s="2115"/>
      <c r="CV24" s="2115"/>
      <c r="CX24" s="2115"/>
      <c r="CY24" s="2115"/>
      <c r="CZ24" s="2115"/>
      <c r="DA24" s="2115"/>
      <c r="DC24" s="2115"/>
      <c r="DD24" s="2115"/>
      <c r="DE24" s="2115"/>
      <c r="DF24" s="2115"/>
      <c r="DH24" s="2076"/>
      <c r="DI24" s="2076"/>
      <c r="DJ24" s="2076"/>
      <c r="DL24" s="2094" t="s">
        <v>499</v>
      </c>
      <c r="DM24" s="2089"/>
      <c r="DN24" s="2089"/>
      <c r="DO24" s="2114">
        <f>DO8</f>
        <v>4</v>
      </c>
      <c r="DP24" s="2089"/>
      <c r="DW24" s="2094"/>
      <c r="DX24" s="2089"/>
      <c r="DY24" s="2089"/>
      <c r="EA24" s="2094"/>
      <c r="EB24" s="2094"/>
      <c r="EC24" s="2094"/>
      <c r="ED24" s="2094"/>
      <c r="EE24" s="2094"/>
      <c r="EF24" s="2094"/>
      <c r="EG24" s="2094"/>
      <c r="EH24" s="2094"/>
      <c r="EI24" s="2094"/>
      <c r="EJ24" s="2094"/>
      <c r="EK24" s="2094"/>
      <c r="EL24" s="2089"/>
      <c r="EM24" s="2093"/>
      <c r="EN24" s="2089"/>
      <c r="EO24" s="2089"/>
      <c r="EP24" s="2089"/>
      <c r="EQ24" s="2089"/>
    </row>
    <row r="25" spans="3:147">
      <c r="BT25" t="s">
        <v>20</v>
      </c>
      <c r="BV25" s="2076"/>
      <c r="BW25" s="2076"/>
      <c r="BX25" s="2076">
        <f ca="1">(1/(1+$DO$17))^((BX8-$BT$8)/365)</f>
        <v>1.2490103355564031</v>
      </c>
      <c r="BY25" s="2076"/>
      <c r="BZ25" s="2076"/>
      <c r="CA25" s="2076"/>
      <c r="CB25" s="2076"/>
      <c r="CC25" s="2076">
        <f ca="1">(1/(1+$DO$17))^((CC8-$BT$8)/365)</f>
        <v>1.1680479277634295</v>
      </c>
      <c r="CD25" s="2076"/>
      <c r="CE25" s="2076"/>
      <c r="CF25" s="2076"/>
      <c r="CG25" s="2076"/>
      <c r="CH25" s="2076">
        <f ca="1">(1/(1+$DO$17))^((CH8-$BT$8)/365)</f>
        <v>1.0921330594472123</v>
      </c>
      <c r="CM25" s="2076">
        <f ca="1">(1/(1+$DO$17))^((CM8-$BT$8)/365)</f>
        <v>1.0213396323585857</v>
      </c>
      <c r="CR25" s="2076">
        <f ca="1">(1/(1+$DO$17))^((CR8-$BT$8)/365)</f>
        <v>0.95513512351174323</v>
      </c>
      <c r="CW25" s="2076">
        <f ca="1">(1/(1+$DO$17))^((CW8-$BT$8)/365)</f>
        <v>0.89322207350267235</v>
      </c>
      <c r="DB25" s="2076">
        <f ca="1">(1/(1+$DO$17))^((DB8-$BT$8)/365)</f>
        <v>0.83516894530875152</v>
      </c>
      <c r="DG25" s="2076"/>
      <c r="DH25" s="2083"/>
      <c r="DI25" s="2083"/>
      <c r="DJ25" s="2083"/>
      <c r="DL25" s="2113" t="s">
        <v>1095</v>
      </c>
      <c r="DM25" s="2112"/>
      <c r="DN25" s="2112"/>
      <c r="DO25" s="2111">
        <f>DR65</f>
        <v>8.2464635125169092</v>
      </c>
      <c r="DP25" s="2089"/>
      <c r="DV25" s="2089"/>
      <c r="DW25" s="2094"/>
      <c r="DX25" s="2089"/>
      <c r="DY25" s="2089"/>
      <c r="EA25" s="2094"/>
      <c r="EB25" s="2094"/>
      <c r="EC25" s="2094"/>
      <c r="ED25" s="2094"/>
      <c r="EE25" s="2094"/>
      <c r="EF25" s="2094"/>
      <c r="EG25" s="2094"/>
      <c r="EH25" s="2094"/>
      <c r="EI25" s="2094"/>
      <c r="EJ25" s="2094"/>
      <c r="EK25" s="2094"/>
      <c r="EL25" s="2089"/>
      <c r="EM25" s="2093"/>
      <c r="EN25" s="2089"/>
      <c r="EO25" s="2089"/>
      <c r="EP25" s="2089"/>
      <c r="EQ25" s="2089"/>
    </row>
    <row r="26" spans="3:147">
      <c r="C26" s="2109" t="s">
        <v>500</v>
      </c>
      <c r="AH26" s="2075">
        <f ca="1">($X$29)/AH8</f>
        <v>-1.3731119473228159</v>
      </c>
      <c r="AI26" s="2108"/>
      <c r="AJ26" s="2108"/>
      <c r="AK26" s="2108"/>
      <c r="AL26" s="2108"/>
      <c r="AM26" s="2075">
        <f ca="1">($X$29)/AM8</f>
        <v>-10.736422906117696</v>
      </c>
      <c r="AN26" s="2108"/>
      <c r="AO26" s="2108"/>
      <c r="AP26" s="2108"/>
      <c r="AQ26" s="2108"/>
      <c r="AR26" s="2075">
        <f ca="1">($X$29)/AR8</f>
        <v>8.7515984776052189</v>
      </c>
      <c r="AS26" s="2108"/>
      <c r="AT26" s="2108"/>
      <c r="AU26" s="2108"/>
      <c r="AV26" s="2108"/>
      <c r="AW26" s="2075">
        <f ca="1">($X$29)/AW8</f>
        <v>9.1398332687521062</v>
      </c>
      <c r="AX26" s="2108"/>
      <c r="AY26" s="2108"/>
      <c r="AZ26" s="2108"/>
      <c r="BA26" s="2108"/>
      <c r="BB26" s="2075">
        <f ca="1">($X$29)/BB8</f>
        <v>8.016432191470523</v>
      </c>
      <c r="BC26" s="2108"/>
      <c r="BD26" s="2108"/>
      <c r="BE26" s="2108"/>
      <c r="BF26" s="2108"/>
      <c r="BG26" s="2075"/>
      <c r="BT26" t="s">
        <v>845</v>
      </c>
      <c r="BV26" s="2083"/>
      <c r="BW26" s="2083"/>
      <c r="BX26" s="2083">
        <f ca="1">+BX25*BX22</f>
        <v>1427.9435562282133</v>
      </c>
      <c r="BY26" s="2083"/>
      <c r="BZ26" s="2083"/>
      <c r="CA26" s="2083"/>
      <c r="CB26" s="2083"/>
      <c r="CC26" s="2083">
        <f ca="1">+CC25*CC22</f>
        <v>1236.4488144132558</v>
      </c>
      <c r="CD26" s="2083"/>
      <c r="CE26" s="2083"/>
      <c r="CF26" s="2083"/>
      <c r="CG26" s="2083"/>
      <c r="CH26" s="2083">
        <f ca="1">CH25*(SUM(CH22:CH23))</f>
        <v>-434.72523714721973</v>
      </c>
      <c r="CM26" s="2083">
        <f ca="1">CM25*(SUM(CM22:CM23))</f>
        <v>-218.33940195616179</v>
      </c>
      <c r="CR26" s="2083">
        <f ca="1">CR25*(SUM(CR22:CR23))</f>
        <v>5.4776058755875097</v>
      </c>
      <c r="CW26" s="2083">
        <f ca="1">CW25*(SUM(CW22:CW23))</f>
        <v>432.71536293609392</v>
      </c>
      <c r="DB26" s="2083">
        <f ca="1">DB25*(SUM(DB22:DB23))</f>
        <v>10193.057411565256</v>
      </c>
      <c r="DG26" s="2083"/>
      <c r="DP26" s="2089"/>
      <c r="DW26" s="2094"/>
      <c r="DX26" s="2089"/>
      <c r="DY26" s="2089"/>
      <c r="EA26" s="2094"/>
      <c r="EB26" s="2094"/>
      <c r="EC26" s="2094"/>
      <c r="ED26" s="2094"/>
      <c r="EE26" s="2094"/>
      <c r="EF26" s="2094"/>
      <c r="EG26" s="2094"/>
      <c r="EH26" s="2094"/>
      <c r="EI26" s="2094"/>
      <c r="EJ26" s="2094"/>
      <c r="EK26" s="2094"/>
      <c r="EL26" s="2089"/>
      <c r="EM26" s="2093"/>
      <c r="EN26" s="2089"/>
      <c r="EO26" s="2089"/>
      <c r="EP26" s="2089"/>
      <c r="EQ26" s="2089"/>
    </row>
    <row r="27" spans="3:147">
      <c r="C27" s="2109" t="s">
        <v>691</v>
      </c>
      <c r="AH27" s="2107"/>
      <c r="AI27" s="2108"/>
      <c r="AJ27" s="2108"/>
      <c r="AK27" s="2108"/>
      <c r="AL27" s="2108"/>
      <c r="AM27" s="2107"/>
      <c r="AN27" s="2108"/>
      <c r="AO27" s="2108"/>
      <c r="AP27" s="2108"/>
      <c r="AQ27" s="2108"/>
      <c r="AR27" s="2107"/>
      <c r="AS27" s="2108"/>
      <c r="AT27" s="2108"/>
      <c r="AU27" s="2108"/>
      <c r="AV27" s="2108"/>
      <c r="AW27" s="2107">
        <f ca="1">IF(AW$19&lt;=0,0,AW$19/$X$33)</f>
        <v>5.9124156242919392E-3</v>
      </c>
      <c r="AX27" s="2108"/>
      <c r="AY27" s="2108"/>
      <c r="AZ27" s="2108"/>
      <c r="BA27" s="2108"/>
      <c r="BB27" s="2107">
        <f ca="1">IF(BB$19&lt;=0,0,BB$19/$X$33)</f>
        <v>0.10696220112105663</v>
      </c>
      <c r="BC27" s="2108"/>
      <c r="BD27" s="2108"/>
      <c r="BE27" s="2108"/>
      <c r="BF27" s="2108"/>
      <c r="BG27" s="2107"/>
      <c r="CI27" s="2110"/>
      <c r="CJ27" s="2110"/>
      <c r="CK27" s="2110"/>
      <c r="CL27" s="2110"/>
      <c r="CN27" s="2110"/>
      <c r="CO27" s="2110"/>
      <c r="CP27" s="2110"/>
      <c r="CQ27" s="2110"/>
      <c r="CS27" s="2110"/>
      <c r="CT27" s="2110"/>
      <c r="CU27" s="2110"/>
      <c r="CV27" s="2110"/>
      <c r="CX27" s="2110"/>
      <c r="CY27" s="2110"/>
      <c r="CZ27" s="2110"/>
      <c r="DA27" s="2110"/>
      <c r="DC27" s="2110"/>
      <c r="DD27" s="2110"/>
      <c r="DE27" s="2110"/>
      <c r="DF27" s="2110"/>
      <c r="DH27" s="2075"/>
      <c r="DI27" s="2075"/>
      <c r="DJ27" s="2075"/>
      <c r="DP27" s="2089"/>
      <c r="DW27" s="2094"/>
      <c r="DX27" s="2089"/>
      <c r="DY27" s="2089"/>
      <c r="EA27" s="2094"/>
      <c r="EB27" s="2094"/>
      <c r="EC27" s="2094"/>
      <c r="ED27" s="2094"/>
      <c r="EE27" s="2094"/>
      <c r="EF27" s="2094"/>
      <c r="EG27" s="2094"/>
      <c r="EH27" s="2094"/>
      <c r="EI27" s="2094"/>
      <c r="EJ27" s="2094"/>
      <c r="EK27" s="2094"/>
      <c r="EL27" s="2089"/>
      <c r="EM27" s="2093"/>
      <c r="EN27" s="2089"/>
      <c r="EO27" s="2089"/>
      <c r="EP27" s="2089"/>
      <c r="EQ27" s="2089"/>
    </row>
    <row r="28" spans="3:147">
      <c r="BT28" s="2109" t="s">
        <v>500</v>
      </c>
      <c r="BU28" s="2109"/>
      <c r="BV28" s="2075"/>
      <c r="BW28" s="2075"/>
      <c r="BX28" s="2075"/>
      <c r="BY28" s="2075"/>
      <c r="BZ28" s="2075"/>
      <c r="CA28" s="2075"/>
      <c r="CB28" s="2075"/>
      <c r="CC28" s="2075"/>
      <c r="CD28" s="2075"/>
      <c r="CE28" s="2075"/>
      <c r="CF28" s="2075"/>
      <c r="CG28" s="2075"/>
      <c r="CH28" s="2075">
        <f ca="1">($BV$33)/CH10</f>
        <v>8.2724988576757106</v>
      </c>
      <c r="CI28" s="2108"/>
      <c r="CJ28" s="2108"/>
      <c r="CK28" s="2108"/>
      <c r="CL28" s="2108"/>
      <c r="CM28" s="2075">
        <f ca="1">($BV$33)/CM10</f>
        <v>9.344822620072172</v>
      </c>
      <c r="CN28" s="2108"/>
      <c r="CO28" s="2108"/>
      <c r="CP28" s="2108"/>
      <c r="CQ28" s="2108"/>
      <c r="CR28" s="2075">
        <f ca="1">($BV$33)/CR10</f>
        <v>9.2454339778913219</v>
      </c>
      <c r="CS28" s="2108"/>
      <c r="CT28" s="2108"/>
      <c r="CU28" s="2108"/>
      <c r="CV28" s="2108"/>
      <c r="CW28" s="2075">
        <f ca="1">($BV$33)/CW10</f>
        <v>8.6205307447248707</v>
      </c>
      <c r="CX28" s="2108"/>
      <c r="CY28" s="2108"/>
      <c r="CZ28" s="2108"/>
      <c r="DA28" s="2108"/>
      <c r="DB28" s="2075">
        <f ca="1">($BV$33)/DB10</f>
        <v>7.5047743027144946</v>
      </c>
      <c r="DC28" s="2108"/>
      <c r="DD28" s="2108"/>
      <c r="DE28" s="2108"/>
      <c r="DF28" s="2108"/>
      <c r="DG28" s="2075"/>
      <c r="DH28" s="2107"/>
      <c r="DI28" s="2107"/>
      <c r="DJ28" s="2107"/>
      <c r="DP28" s="2089"/>
      <c r="DU28" s="2089"/>
      <c r="DW28" s="2094"/>
      <c r="DX28" s="2089"/>
      <c r="DY28" s="2089"/>
      <c r="EA28" s="2094"/>
      <c r="EB28" s="2094"/>
      <c r="EC28" s="2094"/>
      <c r="ED28" s="2094"/>
      <c r="EE28" s="2094"/>
      <c r="EF28" s="2094"/>
      <c r="EG28" s="2094"/>
      <c r="EH28" s="2094"/>
      <c r="EI28" s="2094"/>
      <c r="EJ28" s="2094"/>
      <c r="EK28" s="2094"/>
      <c r="EL28" s="2089"/>
      <c r="EM28" s="2093"/>
      <c r="EN28" s="2089"/>
      <c r="EO28" s="2089"/>
      <c r="EP28" s="2089"/>
      <c r="EQ28" s="2089"/>
    </row>
    <row r="29" spans="3:147">
      <c r="C29" s="2043" t="s">
        <v>1094</v>
      </c>
      <c r="X29" s="2097">
        <f ca="1">SUM(AO24:BG24)</f>
        <v>11828.345685926171</v>
      </c>
      <c r="BT29" s="2109" t="s">
        <v>691</v>
      </c>
      <c r="BU29" s="2109"/>
      <c r="BV29" s="2107"/>
      <c r="BW29" s="2107"/>
      <c r="BX29" s="2107"/>
      <c r="BY29" s="2107"/>
      <c r="BZ29" s="2107"/>
      <c r="CA29" s="2107"/>
      <c r="CB29" s="2107"/>
      <c r="CC29" s="2107"/>
      <c r="CD29" s="2107"/>
      <c r="CE29" s="2107"/>
      <c r="CF29" s="2107"/>
      <c r="CG29" s="2107"/>
      <c r="CH29" s="2107">
        <f>IF(CH$21&lt;=0,0,CH$21/$BV$35)</f>
        <v>0</v>
      </c>
      <c r="CI29" s="2108"/>
      <c r="CJ29" s="2108"/>
      <c r="CK29" s="2108"/>
      <c r="CL29" s="2108"/>
      <c r="CM29" s="2107">
        <f>IF(CM$21&lt;=0,0,CM$21/$BV$35)</f>
        <v>0</v>
      </c>
      <c r="CN29" s="2108"/>
      <c r="CO29" s="2108"/>
      <c r="CP29" s="2108"/>
      <c r="CQ29" s="2108"/>
      <c r="CR29" s="2107">
        <f>IF(CR$21&lt;=0,0,CR$21/$BV$35)</f>
        <v>0</v>
      </c>
      <c r="CS29" s="2108"/>
      <c r="CT29" s="2108"/>
      <c r="CU29" s="2108"/>
      <c r="CV29" s="2108"/>
      <c r="CW29" s="2107">
        <f ca="1">IF(CW$21&lt;=0,0,CW$21/$BV$35)</f>
        <v>6.2932799167062514E-2</v>
      </c>
      <c r="CX29" s="2108"/>
      <c r="CY29" s="2108"/>
      <c r="CZ29" s="2108"/>
      <c r="DA29" s="2108"/>
      <c r="DB29" s="2107">
        <f ca="1">IF(DB$21&lt;=0,0,DB$21/$BV$35)</f>
        <v>0.11981065222741641</v>
      </c>
      <c r="DC29" s="2108"/>
      <c r="DD29" s="2108"/>
      <c r="DE29" s="2108"/>
      <c r="DF29" s="2108"/>
      <c r="DG29" s="2107"/>
      <c r="DP29" s="2089"/>
      <c r="DU29" s="2089"/>
      <c r="DW29" s="2094"/>
      <c r="DX29" s="2089"/>
      <c r="DY29" s="2089"/>
      <c r="EA29" s="2094"/>
      <c r="EB29" s="2094"/>
      <c r="EC29" s="2094"/>
      <c r="ED29" s="2094"/>
      <c r="EE29" s="2094"/>
      <c r="EF29" s="2094"/>
      <c r="EG29" s="2094"/>
      <c r="EH29" s="2094"/>
      <c r="EI29" s="2094"/>
      <c r="EJ29" s="2094"/>
      <c r="EK29" s="2094"/>
      <c r="EL29" s="2089"/>
      <c r="EM29" s="2093"/>
      <c r="EN29" s="2089"/>
      <c r="EO29" s="2089"/>
      <c r="EP29" s="2089"/>
      <c r="EQ29" s="2089"/>
    </row>
    <row r="30" spans="3:147">
      <c r="CI30" s="2104"/>
      <c r="CJ30" s="2104"/>
      <c r="CK30" s="2104"/>
      <c r="CL30" s="2104"/>
      <c r="CM30" s="2069"/>
      <c r="CN30" s="2104"/>
      <c r="CO30" s="2104"/>
      <c r="CP30" s="2104"/>
      <c r="CQ30" s="2104"/>
      <c r="CS30" s="2104"/>
      <c r="CT30" s="2104"/>
      <c r="CU30" s="2104"/>
      <c r="CV30" s="2104"/>
      <c r="CX30" s="2104"/>
      <c r="CY30" s="2104"/>
      <c r="CZ30" s="2104"/>
      <c r="DA30" s="2104"/>
      <c r="DC30" s="2104"/>
      <c r="DD30" s="2104"/>
      <c r="DE30" s="2104"/>
      <c r="DF30" s="2104"/>
      <c r="DP30" s="2089"/>
      <c r="DU30" s="2089"/>
      <c r="DW30" s="2094"/>
      <c r="DX30" s="2089"/>
      <c r="DY30" s="2043">
        <v>2011</v>
      </c>
      <c r="DZ30" s="2043">
        <v>2012</v>
      </c>
      <c r="EA30" s="2106">
        <f t="shared" ref="EA30:EH30" si="0">+DZ30+1</f>
        <v>2013</v>
      </c>
      <c r="EB30" s="2106">
        <f t="shared" si="0"/>
        <v>2014</v>
      </c>
      <c r="EC30" s="2106">
        <f t="shared" si="0"/>
        <v>2015</v>
      </c>
      <c r="ED30" s="2106">
        <f t="shared" si="0"/>
        <v>2016</v>
      </c>
      <c r="EE30" s="2106">
        <f t="shared" si="0"/>
        <v>2017</v>
      </c>
      <c r="EF30" s="2106">
        <f t="shared" si="0"/>
        <v>2018</v>
      </c>
      <c r="EG30" s="2106">
        <f t="shared" si="0"/>
        <v>2019</v>
      </c>
      <c r="EH30" s="2106">
        <f t="shared" si="0"/>
        <v>2020</v>
      </c>
      <c r="EI30" s="2094"/>
      <c r="EJ30" s="2094"/>
      <c r="EK30" s="2094"/>
      <c r="EL30" s="2089"/>
      <c r="EM30" s="2093"/>
      <c r="EN30" s="2089"/>
      <c r="EO30" s="2089"/>
      <c r="EP30" s="2089"/>
      <c r="EQ30" s="2089"/>
    </row>
    <row r="31" spans="3:147">
      <c r="C31" s="2043" t="s">
        <v>162</v>
      </c>
      <c r="X31" s="2097">
        <f ca="1">X29</f>
        <v>11828.345685926171</v>
      </c>
      <c r="AR31" s="2098"/>
      <c r="BT31" s="2043" t="s">
        <v>1094</v>
      </c>
      <c r="BU31" s="2043"/>
      <c r="BV31" s="2097">
        <f ca="1">SUM(CM26:DG26)</f>
        <v>10412.910978420776</v>
      </c>
      <c r="CI31" s="2104"/>
      <c r="CJ31" s="2104"/>
      <c r="CK31" s="2104"/>
      <c r="CL31" s="2104"/>
      <c r="CM31" s="2105"/>
      <c r="CN31" s="2104"/>
      <c r="CO31" s="2104"/>
      <c r="CP31" s="2104"/>
      <c r="CQ31" s="2104"/>
      <c r="CS31" s="2104"/>
      <c r="CT31" s="2104"/>
      <c r="CU31" s="2104"/>
      <c r="CV31" s="2104"/>
      <c r="CX31" s="2104"/>
      <c r="CY31" s="2104"/>
      <c r="CZ31" s="2104"/>
      <c r="DA31" s="2104"/>
      <c r="DC31" s="2104"/>
      <c r="DD31" s="2104"/>
      <c r="DE31" s="2104"/>
      <c r="DF31" s="2104"/>
      <c r="DP31" s="2089"/>
      <c r="DW31" s="2094"/>
      <c r="DX31" s="2089"/>
      <c r="DY31" s="2103">
        <v>2649.5</v>
      </c>
      <c r="DZ31" s="2096">
        <v>3058.5</v>
      </c>
      <c r="EA31" s="2096">
        <v>3408.0056749438268</v>
      </c>
      <c r="EB31" s="2096">
        <v>3742.0056749438268</v>
      </c>
      <c r="EC31" s="2096">
        <v>4568.0056749438263</v>
      </c>
      <c r="ED31" s="2102">
        <v>11059.081663830722</v>
      </c>
      <c r="EE31" s="2096">
        <v>11750.824785604356</v>
      </c>
      <c r="EF31" s="2096">
        <v>12210.430686653728</v>
      </c>
      <c r="EG31" s="2096">
        <v>12226.840895373025</v>
      </c>
      <c r="EH31" s="2096">
        <v>12072.712003571904</v>
      </c>
      <c r="EI31" s="2094"/>
      <c r="EJ31" s="2094"/>
      <c r="EK31" s="2094"/>
      <c r="EL31" s="2089"/>
      <c r="EM31" s="2093"/>
      <c r="EN31" s="2089"/>
      <c r="EO31" s="2089"/>
      <c r="EP31" s="2089"/>
      <c r="EQ31" s="2089"/>
    </row>
    <row r="32" spans="3:147">
      <c r="C32" s="1865" t="s">
        <v>1080</v>
      </c>
      <c r="X32" s="2101">
        <f>BV34+BV64</f>
        <v>8959.9012157129582</v>
      </c>
      <c r="AR32" s="2098"/>
      <c r="BV32" s="2100"/>
      <c r="BW32" s="2096"/>
      <c r="BX32" s="2096"/>
      <c r="BY32" s="2096"/>
      <c r="BZ32" s="2096"/>
      <c r="CA32" s="2096"/>
      <c r="CB32" s="2096"/>
      <c r="CC32" s="2096"/>
      <c r="CD32" s="2096"/>
      <c r="CE32" s="2096"/>
      <c r="CF32" s="2096"/>
      <c r="CG32" s="2096"/>
      <c r="CI32" s="2099"/>
      <c r="CJ32" s="2099"/>
      <c r="CK32" s="2099"/>
      <c r="CL32" s="2099"/>
      <c r="CN32" s="2099"/>
      <c r="CO32" s="2099"/>
      <c r="CP32" s="2099"/>
      <c r="CQ32" s="2099"/>
      <c r="CS32" s="2099"/>
      <c r="CT32" s="2099"/>
      <c r="CU32" s="2099"/>
      <c r="CV32" s="2099"/>
      <c r="CX32" s="2099"/>
      <c r="CY32" s="2099"/>
      <c r="CZ32" s="2099"/>
      <c r="DA32" s="2099"/>
      <c r="DC32" s="2099"/>
      <c r="DD32" s="2099"/>
      <c r="DE32" s="2099"/>
      <c r="DF32" s="2099"/>
      <c r="DP32" s="2089"/>
      <c r="DQ32" s="2089"/>
      <c r="DR32" s="2089"/>
      <c r="DS32" s="2089"/>
      <c r="DT32" s="2089"/>
      <c r="DU32" s="2089"/>
      <c r="DV32" s="2089"/>
      <c r="DW32" s="2094"/>
      <c r="DX32" s="2089"/>
      <c r="DY32" s="2089"/>
      <c r="EA32" s="2094"/>
      <c r="EB32" s="2094"/>
      <c r="EC32" s="2094"/>
      <c r="ED32" s="2094"/>
      <c r="EE32" s="2094"/>
      <c r="EF32" s="2094"/>
      <c r="EG32" s="2094"/>
      <c r="EH32" s="2094"/>
      <c r="EI32" s="2094"/>
      <c r="EJ32" s="2094"/>
      <c r="EK32" s="2094"/>
      <c r="EL32" s="2089"/>
      <c r="EM32" s="2093"/>
      <c r="EN32" s="2089"/>
      <c r="EO32" s="2089"/>
      <c r="EP32" s="2089"/>
      <c r="EQ32" s="2089"/>
    </row>
    <row r="33" spans="2:147">
      <c r="C33" s="2043" t="s">
        <v>501</v>
      </c>
      <c r="X33" s="2067">
        <f ca="1">MAX(0,X29+X30-X32)</f>
        <v>2868.4444702132132</v>
      </c>
      <c r="AR33" s="2098"/>
      <c r="BT33" s="2043" t="s">
        <v>162</v>
      </c>
      <c r="BV33" s="2097">
        <f ca="1">+BV31+BV32</f>
        <v>10412.910978420776</v>
      </c>
      <c r="BW33" s="2096"/>
      <c r="CC33" s="2091" t="s">
        <v>1093</v>
      </c>
      <c r="CD33" s="2091"/>
      <c r="CE33" s="2091"/>
      <c r="CF33" s="2091"/>
      <c r="CG33" s="2091"/>
      <c r="CH33">
        <v>2000</v>
      </c>
      <c r="CI33" s="2090"/>
      <c r="CJ33" s="2090"/>
      <c r="CK33" s="2090"/>
      <c r="CL33" s="2090"/>
      <c r="CN33" s="2090"/>
      <c r="CO33" s="2090"/>
      <c r="CP33" s="2090"/>
      <c r="CQ33" s="2090"/>
      <c r="CS33" s="2090"/>
      <c r="CT33" s="2090"/>
      <c r="CU33" s="2090"/>
      <c r="CV33" s="2090"/>
      <c r="CX33" s="2090"/>
      <c r="CY33" s="2090"/>
      <c r="CZ33" s="2090"/>
      <c r="DA33" s="2090"/>
      <c r="DC33" s="2090"/>
      <c r="DD33" s="2090"/>
      <c r="DE33" s="2090"/>
      <c r="DF33" s="2090"/>
      <c r="DP33" s="2095"/>
      <c r="DQ33" s="2089"/>
      <c r="DR33" s="2089"/>
      <c r="DS33" s="2089"/>
      <c r="DT33" s="2089"/>
      <c r="DU33" s="2089"/>
      <c r="DV33" s="2089"/>
      <c r="DW33" s="2094"/>
      <c r="DX33" s="2089"/>
      <c r="DY33" s="2089"/>
      <c r="EA33" s="2094"/>
      <c r="EB33" s="2094"/>
      <c r="EC33" s="2094"/>
      <c r="ED33" s="2094"/>
      <c r="EE33" s="2094"/>
      <c r="EF33" s="2094"/>
      <c r="EG33" s="2094"/>
      <c r="EH33" s="2094"/>
      <c r="EI33" s="2094"/>
      <c r="EJ33" s="2094"/>
      <c r="EK33" s="2094"/>
      <c r="EL33" s="2089"/>
      <c r="EM33" s="2093"/>
      <c r="EN33" s="2089"/>
      <c r="EO33" s="2089"/>
      <c r="EP33" s="2089"/>
      <c r="EQ33" s="2089"/>
    </row>
    <row r="34" spans="2:147">
      <c r="X34" s="1589"/>
      <c r="BT34" s="1865" t="s">
        <v>1080</v>
      </c>
      <c r="BV34" s="2083">
        <v>5434</v>
      </c>
      <c r="CC34" s="2091" t="s">
        <v>1092</v>
      </c>
      <c r="CD34" s="2091"/>
      <c r="CE34" s="2091"/>
      <c r="CF34" s="2091"/>
      <c r="CG34" s="2091"/>
      <c r="CH34" s="2058">
        <v>200</v>
      </c>
      <c r="CI34" s="2088"/>
      <c r="CJ34" s="2088"/>
      <c r="CK34" s="2088"/>
      <c r="CL34" s="2088"/>
      <c r="CN34" s="2088"/>
      <c r="CO34" s="2088"/>
      <c r="CP34" s="2088"/>
      <c r="CQ34" s="2088"/>
      <c r="CS34" s="2088"/>
      <c r="CT34" s="2088"/>
      <c r="CU34" s="2088"/>
      <c r="CV34" s="2088"/>
      <c r="CX34" s="2088"/>
      <c r="CY34" s="2088"/>
      <c r="CZ34" s="2088"/>
      <c r="DA34" s="2088"/>
      <c r="DC34" s="2088"/>
      <c r="DD34" s="2088"/>
      <c r="DE34" s="2088"/>
      <c r="DF34" s="2088"/>
      <c r="DL34" s="2043" t="s">
        <v>762</v>
      </c>
      <c r="DM34" s="2043"/>
      <c r="DN34" s="2063" t="s">
        <v>199</v>
      </c>
      <c r="DO34" s="2043" t="s">
        <v>840</v>
      </c>
      <c r="DP34" s="2043" t="s">
        <v>863</v>
      </c>
      <c r="DQ34" s="2063" t="s">
        <v>864</v>
      </c>
      <c r="DR34" s="2043" t="s">
        <v>865</v>
      </c>
      <c r="DS34" s="2043"/>
      <c r="DT34" s="2043" t="s">
        <v>866</v>
      </c>
      <c r="DU34" s="2043" t="s">
        <v>221</v>
      </c>
      <c r="DV34" s="2043" t="s">
        <v>867</v>
      </c>
      <c r="EN34" s="2089"/>
      <c r="EO34" s="2089"/>
      <c r="EP34" s="2089"/>
      <c r="EQ34" s="2089"/>
    </row>
    <row r="35" spans="2:147" ht="25.5">
      <c r="C35" s="2043"/>
      <c r="AC35" s="2092" t="s">
        <v>1091</v>
      </c>
      <c r="AD35" s="2092"/>
      <c r="AE35" s="2092"/>
      <c r="AF35" s="2092"/>
      <c r="AG35" s="2092"/>
      <c r="AH35" s="2092" t="s">
        <v>1090</v>
      </c>
      <c r="AI35" s="2092"/>
      <c r="AJ35" s="2092"/>
      <c r="AK35" s="2092"/>
      <c r="AL35" s="2092"/>
      <c r="AM35" s="2092" t="s">
        <v>1089</v>
      </c>
      <c r="BT35" s="2043" t="s">
        <v>501</v>
      </c>
      <c r="BV35" s="2067">
        <f ca="1">MAX(0,BV31+BV32-BV34)</f>
        <v>4978.9109784207758</v>
      </c>
      <c r="CC35" s="2091" t="s">
        <v>125</v>
      </c>
      <c r="CD35" s="2091"/>
      <c r="CE35" s="2091"/>
      <c r="CF35" s="2091"/>
      <c r="CG35" s="2091"/>
      <c r="CH35">
        <f>CH33-CH34</f>
        <v>1800</v>
      </c>
      <c r="CI35" s="2090"/>
      <c r="CJ35" s="2090"/>
      <c r="CK35" s="2090"/>
      <c r="CL35" s="2090"/>
      <c r="CN35" s="2090"/>
      <c r="CO35" s="2090"/>
      <c r="CP35" s="2090"/>
      <c r="CQ35" s="2090"/>
      <c r="CS35" s="2090"/>
      <c r="CT35" s="2090"/>
      <c r="CU35" s="2090"/>
      <c r="CV35" s="2090"/>
      <c r="CX35" s="2090"/>
      <c r="CY35" s="2090"/>
      <c r="CZ35" s="2090"/>
      <c r="DA35" s="2090"/>
      <c r="DC35" s="2090"/>
      <c r="DD35" s="2090"/>
      <c r="DE35" s="2090"/>
      <c r="DF35" s="2090"/>
      <c r="DL35">
        <v>1</v>
      </c>
      <c r="DN35" s="2070">
        <f>1</f>
        <v>1</v>
      </c>
      <c r="DO35" s="2069">
        <f t="shared" ref="DO35:DO64" si="1">-$DO$16*(DN35-($DO$8*$DO$12)-EQ36)</f>
        <v>-6.8660981389445028E-2</v>
      </c>
      <c r="DP35" s="2069">
        <f>DO22*DN35*-1</f>
        <v>-0.28191955975562077</v>
      </c>
      <c r="DQ35" s="2069">
        <f t="shared" ref="DQ35:DQ64" si="2">DN35+DO35+DP35</f>
        <v>0.64941945885493424</v>
      </c>
      <c r="DR35" s="2069">
        <f t="shared" ref="DR35:DR64" si="3">DQ35/(1+$DO$20)^DL35</f>
        <v>0.60732327953622345</v>
      </c>
      <c r="DT35" s="2077">
        <v>3.7499999999999999E-2</v>
      </c>
      <c r="DU35" s="2069">
        <f t="shared" ref="DU35:DU55" si="4">$DO$21*$DN$35*DT35</f>
        <v>0.27447852041156368</v>
      </c>
      <c r="DV35" s="2069">
        <f t="shared" ref="DV35:DV55" si="5">$DO$22*$DN$35*DT35</f>
        <v>1.0571983490835778E-2</v>
      </c>
      <c r="EN35" s="2089"/>
      <c r="EO35" s="2089"/>
      <c r="EP35" s="2089"/>
      <c r="EQ35" s="2070">
        <f t="shared" ref="EQ35:EQ55" si="6">SUM(DU35:EP35)</f>
        <v>0.28505050390239944</v>
      </c>
    </row>
    <row r="36" spans="2:147">
      <c r="C36" s="2055" t="s">
        <v>1088</v>
      </c>
      <c r="X36" s="2087">
        <f>1-X37</f>
        <v>1.8</v>
      </c>
      <c r="AC36" s="2050">
        <f ca="1">$X$33*X36</f>
        <v>5163.200046383784</v>
      </c>
      <c r="AD36" s="2050"/>
      <c r="AE36" s="2050"/>
      <c r="AF36" s="2050"/>
      <c r="AG36" s="2050"/>
      <c r="AH36" s="2050">
        <f>CH33</f>
        <v>2000</v>
      </c>
      <c r="AI36" s="2050"/>
      <c r="AJ36" s="2050"/>
      <c r="AK36" s="2050"/>
      <c r="AL36" s="2050"/>
      <c r="AM36" s="2050">
        <f ca="1">AC36+AH36</f>
        <v>7163.200046383784</v>
      </c>
      <c r="CH36" s="2069"/>
      <c r="CI36" s="2088"/>
      <c r="CJ36" s="2088"/>
      <c r="CK36" s="2088"/>
      <c r="CL36" s="2088"/>
      <c r="CN36" s="2088"/>
      <c r="CO36" s="2088"/>
      <c r="CP36" s="2088"/>
      <c r="CQ36" s="2088"/>
      <c r="CS36" s="2088"/>
      <c r="CT36" s="2088"/>
      <c r="CU36" s="2088"/>
      <c r="CV36" s="2088"/>
      <c r="CX36" s="2088"/>
      <c r="CY36" s="2088"/>
      <c r="CZ36" s="2088"/>
      <c r="DA36" s="2088"/>
      <c r="DC36" s="2088"/>
      <c r="DD36" s="2088"/>
      <c r="DE36" s="2088"/>
      <c r="DF36" s="2088"/>
      <c r="DL36">
        <f t="shared" ref="DL36:DL64" si="7">DL35+1</f>
        <v>2</v>
      </c>
      <c r="DN36" s="2070">
        <f t="shared" ref="DN36:DN64" si="8">DN35*(1+$DO$23)</f>
        <v>1.0149999999999999</v>
      </c>
      <c r="DO36" s="2069">
        <f t="shared" si="1"/>
        <v>-8.228304145131371E-2</v>
      </c>
      <c r="DP36" s="2069">
        <f t="shared" ref="DP36:DP64" si="9">DP35</f>
        <v>-0.28191955975562077</v>
      </c>
      <c r="DQ36" s="2069">
        <f t="shared" si="2"/>
        <v>0.65079739879306542</v>
      </c>
      <c r="DR36" s="2069">
        <f t="shared" si="3"/>
        <v>0.56916091725303231</v>
      </c>
      <c r="DT36" s="2077">
        <v>7.2190000000000004E-2</v>
      </c>
      <c r="DU36" s="2069">
        <f t="shared" si="4"/>
        <v>0.5283894503602875</v>
      </c>
      <c r="DV36" s="2069">
        <f t="shared" si="5"/>
        <v>2.0351773018758266E-2</v>
      </c>
      <c r="DW36" s="2069">
        <f t="shared" ref="DW36:DW55" si="10">DV35</f>
        <v>1.0571983490835778E-2</v>
      </c>
      <c r="EQ36" s="2070">
        <f t="shared" si="6"/>
        <v>0.55931320686988151</v>
      </c>
    </row>
    <row r="37" spans="2:147">
      <c r="C37" s="2043" t="s">
        <v>1087</v>
      </c>
      <c r="X37" s="2087">
        <v>-0.8</v>
      </c>
      <c r="AC37" s="2050">
        <f ca="1">$X$33*X37</f>
        <v>-2294.7555761705707</v>
      </c>
      <c r="AD37" s="2050"/>
      <c r="AE37" s="2050"/>
      <c r="AF37" s="2050"/>
      <c r="AG37" s="2050"/>
      <c r="AH37" s="2050">
        <v>0</v>
      </c>
      <c r="AI37" s="2050"/>
      <c r="AJ37" s="2050"/>
      <c r="AK37" s="2050"/>
      <c r="AL37" s="2050"/>
      <c r="AM37" s="2050">
        <f ca="1">AC37+AH37</f>
        <v>-2294.7555761705707</v>
      </c>
      <c r="BT37" s="2063" t="s">
        <v>1077</v>
      </c>
      <c r="BV37" s="2079">
        <v>4878.0525377101148</v>
      </c>
      <c r="CI37" s="2086"/>
      <c r="CJ37" s="2086"/>
      <c r="CK37" s="2086"/>
      <c r="CL37" s="2086"/>
      <c r="CN37" s="2086"/>
      <c r="CO37" s="2086"/>
      <c r="CP37" s="2086"/>
      <c r="CQ37" s="2086"/>
      <c r="CS37" s="2086"/>
      <c r="CT37" s="2086"/>
      <c r="CU37" s="2086"/>
      <c r="CV37" s="2086"/>
      <c r="CX37" s="2086"/>
      <c r="CY37" s="2086"/>
      <c r="CZ37" s="2086"/>
      <c r="DA37" s="2086"/>
      <c r="DC37" s="2086"/>
      <c r="DD37" s="2086"/>
      <c r="DE37" s="2086"/>
      <c r="DF37" s="2086"/>
      <c r="DL37">
        <f t="shared" si="7"/>
        <v>3</v>
      </c>
      <c r="DN37" s="2070">
        <f t="shared" si="8"/>
        <v>1.0302249999999997</v>
      </c>
      <c r="DO37" s="2069">
        <f t="shared" si="1"/>
        <v>-9.5358068093846421E-2</v>
      </c>
      <c r="DP37" s="2069">
        <f t="shared" si="9"/>
        <v>-0.28191955975562077</v>
      </c>
      <c r="DQ37" s="2069">
        <f t="shared" si="2"/>
        <v>0.65294737215053256</v>
      </c>
      <c r="DR37" s="2069">
        <f t="shared" si="3"/>
        <v>0.53402559385540671</v>
      </c>
      <c r="DT37" s="2077">
        <v>6.6769999999999996E-2</v>
      </c>
      <c r="DU37" s="2069">
        <f t="shared" si="4"/>
        <v>0.48871815487680281</v>
      </c>
      <c r="DV37" s="2069">
        <f t="shared" si="5"/>
        <v>1.88237690048828E-2</v>
      </c>
      <c r="DW37" s="2069">
        <f t="shared" si="10"/>
        <v>2.0351773018758266E-2</v>
      </c>
      <c r="DX37" s="2069">
        <f t="shared" ref="DX37:DX55" si="11">DW36</f>
        <v>1.0571983490835778E-2</v>
      </c>
      <c r="EQ37" s="2070">
        <f t="shared" si="6"/>
        <v>0.53846568039127962</v>
      </c>
    </row>
    <row r="38" spans="2:147">
      <c r="CI38" s="2085"/>
      <c r="CJ38" s="2085"/>
      <c r="CK38" s="2085"/>
      <c r="CL38" s="2085"/>
      <c r="CN38" s="2085"/>
      <c r="CO38" s="2085"/>
      <c r="CP38" s="2085"/>
      <c r="CQ38" s="2085"/>
      <c r="CS38" s="2085"/>
      <c r="CT38" s="2085"/>
      <c r="CU38" s="2085"/>
      <c r="CV38" s="2085"/>
      <c r="CX38" s="2085"/>
      <c r="CY38" s="2085"/>
      <c r="CZ38" s="2085"/>
      <c r="DA38" s="2085"/>
      <c r="DC38" s="2085"/>
      <c r="DD38" s="2085"/>
      <c r="DE38" s="2085"/>
      <c r="DF38" s="2085"/>
      <c r="DL38">
        <f t="shared" si="7"/>
        <v>4</v>
      </c>
      <c r="DN38" s="2070">
        <f t="shared" si="8"/>
        <v>1.0456783749999996</v>
      </c>
      <c r="DO38" s="2069">
        <f t="shared" si="1"/>
        <v>-0.10801566016167881</v>
      </c>
      <c r="DP38" s="2069">
        <f t="shared" si="9"/>
        <v>-0.28191955975562077</v>
      </c>
      <c r="DQ38" s="2069">
        <f t="shared" si="2"/>
        <v>0.65574315508269998</v>
      </c>
      <c r="DR38" s="2069">
        <f t="shared" si="3"/>
        <v>0.50154775446291566</v>
      </c>
      <c r="DT38" s="2077">
        <v>6.1769999999999999E-2</v>
      </c>
      <c r="DU38" s="2069">
        <f t="shared" si="4"/>
        <v>0.45212101882192768</v>
      </c>
      <c r="DV38" s="2069">
        <f t="shared" si="5"/>
        <v>1.7414171206104695E-2</v>
      </c>
      <c r="DW38" s="2069">
        <f t="shared" si="10"/>
        <v>1.88237690048828E-2</v>
      </c>
      <c r="DX38" s="2069">
        <f t="shared" si="11"/>
        <v>2.0351773018758266E-2</v>
      </c>
      <c r="DY38" s="2069">
        <f t="shared" ref="DY38:DY55" si="12">DX37</f>
        <v>1.0571983490835778E-2</v>
      </c>
      <c r="EQ38" s="2070">
        <f t="shared" si="6"/>
        <v>0.51928271554250915</v>
      </c>
    </row>
    <row r="39" spans="2:147">
      <c r="BS39" s="895"/>
      <c r="BT39" s="971">
        <f ca="1">TODAY()</f>
        <v>43215</v>
      </c>
      <c r="BU39" s="2084"/>
      <c r="BX39" s="973">
        <v>42004</v>
      </c>
      <c r="BY39" s="973"/>
      <c r="BZ39" s="973"/>
      <c r="CA39" s="973"/>
      <c r="CB39" s="973"/>
      <c r="CC39" s="973">
        <v>42369</v>
      </c>
      <c r="CD39" s="973"/>
      <c r="CE39" s="973"/>
      <c r="CF39" s="973"/>
      <c r="CG39" s="973"/>
      <c r="CH39" s="973">
        <v>42735</v>
      </c>
      <c r="CM39" s="973">
        <v>43100</v>
      </c>
      <c r="CN39" s="973"/>
      <c r="CO39" s="973"/>
      <c r="CP39" s="973"/>
      <c r="CQ39" s="973"/>
      <c r="CR39" s="973">
        <v>43465</v>
      </c>
      <c r="CS39" s="895"/>
      <c r="CT39" s="895"/>
      <c r="CU39" s="895"/>
      <c r="CV39" s="895"/>
      <c r="CW39" s="973">
        <v>43830</v>
      </c>
      <c r="CX39" s="895"/>
      <c r="CY39" s="895"/>
      <c r="CZ39" s="895"/>
      <c r="DA39" s="895"/>
      <c r="DB39" s="973">
        <v>44196</v>
      </c>
      <c r="DC39" s="895"/>
      <c r="DD39" s="895"/>
      <c r="DE39" s="895"/>
      <c r="DF39" s="895"/>
      <c r="DG39" s="973">
        <v>44561</v>
      </c>
      <c r="DI39" s="2083"/>
      <c r="DL39">
        <f t="shared" si="7"/>
        <v>5</v>
      </c>
      <c r="DN39" s="2070">
        <f t="shared" si="8"/>
        <v>1.0613635506249994</v>
      </c>
      <c r="DO39" s="2069">
        <f t="shared" si="1"/>
        <v>-0.12021855279653641</v>
      </c>
      <c r="DP39" s="2069">
        <f t="shared" si="9"/>
        <v>-0.28191955975562077</v>
      </c>
      <c r="DQ39" s="2069">
        <f t="shared" si="2"/>
        <v>0.65922543807284228</v>
      </c>
      <c r="DR39" s="2069">
        <f t="shared" si="3"/>
        <v>0.47152759405104255</v>
      </c>
      <c r="DT39" s="2077">
        <v>5.713E-2</v>
      </c>
      <c r="DU39" s="2069">
        <f t="shared" si="4"/>
        <v>0.41815887656300355</v>
      </c>
      <c r="DV39" s="2069">
        <f t="shared" si="5"/>
        <v>1.6106064448838615E-2</v>
      </c>
      <c r="DW39" s="2069">
        <f t="shared" si="10"/>
        <v>1.7414171206104695E-2</v>
      </c>
      <c r="DX39" s="2069">
        <f t="shared" si="11"/>
        <v>1.88237690048828E-2</v>
      </c>
      <c r="DY39" s="2069">
        <f t="shared" si="12"/>
        <v>2.0351773018758266E-2</v>
      </c>
      <c r="DZ39" s="2069">
        <f t="shared" ref="DZ39:DZ55" si="13">DY38</f>
        <v>1.0571983490835778E-2</v>
      </c>
      <c r="EQ39" s="2070">
        <f t="shared" si="6"/>
        <v>0.5014266377324238</v>
      </c>
    </row>
    <row r="40" spans="2:147">
      <c r="BS40" s="908" t="s">
        <v>1085</v>
      </c>
      <c r="BT40" s="908"/>
      <c r="BU40" s="909"/>
      <c r="BX40" s="910" t="s">
        <v>964</v>
      </c>
      <c r="BY40" s="910"/>
      <c r="BZ40" s="910"/>
      <c r="CA40" s="910"/>
      <c r="CB40" s="910"/>
      <c r="CC40" s="910" t="s">
        <v>1011</v>
      </c>
      <c r="CD40" s="910"/>
      <c r="CE40" s="910"/>
      <c r="CF40" s="910"/>
      <c r="CG40" s="910"/>
      <c r="CH40" s="910" t="s">
        <v>1158</v>
      </c>
      <c r="CI40" s="2082"/>
      <c r="CJ40" s="2082"/>
      <c r="CK40" s="2082"/>
      <c r="CL40" s="2082"/>
      <c r="CM40" s="910" t="s">
        <v>1220</v>
      </c>
      <c r="CN40" s="910"/>
      <c r="CO40" s="910"/>
      <c r="CP40" s="910"/>
      <c r="CQ40" s="910"/>
      <c r="CR40" s="910" t="s">
        <v>138</v>
      </c>
      <c r="CS40" s="895"/>
      <c r="CT40" s="895"/>
      <c r="CU40" s="895"/>
      <c r="CV40" s="895"/>
      <c r="CW40" s="910" t="s">
        <v>969</v>
      </c>
      <c r="CX40" s="895"/>
      <c r="CY40" s="895"/>
      <c r="CZ40" s="895"/>
      <c r="DA40" s="895"/>
      <c r="DB40" s="910" t="s">
        <v>970</v>
      </c>
      <c r="DC40" s="895"/>
      <c r="DD40" s="895"/>
      <c r="DE40" s="895"/>
      <c r="DF40" s="895"/>
      <c r="DG40" s="910" t="s">
        <v>1135</v>
      </c>
      <c r="DL40">
        <f t="shared" si="7"/>
        <v>6</v>
      </c>
      <c r="DN40" s="2070">
        <f t="shared" si="8"/>
        <v>1.0772840038843743</v>
      </c>
      <c r="DO40" s="2069">
        <f t="shared" si="1"/>
        <v>-0.1323050071966812</v>
      </c>
      <c r="DP40" s="2069">
        <f t="shared" si="9"/>
        <v>-0.28191955975562077</v>
      </c>
      <c r="DQ40" s="2069">
        <f t="shared" si="2"/>
        <v>0.66305943693207237</v>
      </c>
      <c r="DR40" s="2069">
        <f t="shared" si="3"/>
        <v>0.44352718804219343</v>
      </c>
      <c r="DT40" s="2077">
        <v>5.2850000000000001E-2</v>
      </c>
      <c r="DU40" s="2069">
        <f t="shared" si="4"/>
        <v>0.38683172810003041</v>
      </c>
      <c r="DV40" s="2069">
        <f t="shared" si="5"/>
        <v>1.4899448733084558E-2</v>
      </c>
      <c r="DW40" s="2069">
        <f t="shared" si="10"/>
        <v>1.6106064448838615E-2</v>
      </c>
      <c r="DX40" s="2069">
        <f t="shared" si="11"/>
        <v>1.7414171206104695E-2</v>
      </c>
      <c r="DY40" s="2069">
        <f t="shared" si="12"/>
        <v>1.88237690048828E-2</v>
      </c>
      <c r="DZ40" s="2069">
        <f t="shared" si="13"/>
        <v>2.0351773018758266E-2</v>
      </c>
      <c r="EA40" s="2069">
        <f t="shared" ref="EA40:EA55" si="14">DZ39</f>
        <v>1.0571983490835778E-2</v>
      </c>
      <c r="EQ40" s="2070">
        <f t="shared" si="6"/>
        <v>0.48499893800253518</v>
      </c>
    </row>
    <row r="41" spans="2:147">
      <c r="B41" s="2074" t="s">
        <v>1081</v>
      </c>
      <c r="C41" s="2074"/>
      <c r="BS41" s="895"/>
      <c r="BT41" s="895" t="s">
        <v>199</v>
      </c>
      <c r="BU41" s="895"/>
      <c r="BX41" s="2071">
        <f>Competitive!AH22</f>
        <v>-110</v>
      </c>
      <c r="BY41" s="2071"/>
      <c r="BZ41" s="2071"/>
      <c r="CA41" s="2071"/>
      <c r="CB41" s="2071"/>
      <c r="CC41" s="2071">
        <f>Competitive!AM22</f>
        <v>686</v>
      </c>
      <c r="CD41" s="2071"/>
      <c r="CE41" s="2071"/>
      <c r="CF41" s="2071"/>
      <c r="CG41" s="2071"/>
      <c r="CH41" s="2071">
        <f>Competitive!AR22</f>
        <v>-9873</v>
      </c>
      <c r="CM41" s="2071">
        <f>Competitive!AW22</f>
        <v>-2216</v>
      </c>
      <c r="CN41" s="2071"/>
      <c r="CO41" s="2071"/>
      <c r="CP41" s="2071"/>
      <c r="CQ41" s="2071"/>
      <c r="CR41" s="2068">
        <f>Competitive!BB22+100</f>
        <v>225.28796487022311</v>
      </c>
      <c r="CS41" s="895"/>
      <c r="CT41" s="895"/>
      <c r="CU41" s="895"/>
      <c r="CV41" s="895"/>
      <c r="CW41" s="2068">
        <f>Competitive!BG22+150</f>
        <v>86.233392968608072</v>
      </c>
      <c r="CX41" s="895"/>
      <c r="CY41" s="895"/>
      <c r="CZ41" s="895"/>
      <c r="DA41" s="895"/>
      <c r="DB41" s="2068">
        <f>Competitive!BL22+200</f>
        <v>88.007591460397634</v>
      </c>
      <c r="DC41" s="895"/>
      <c r="DD41" s="895"/>
      <c r="DE41" s="895"/>
      <c r="DF41" s="895"/>
      <c r="DG41" s="2068">
        <f>Competitive!BQ22+200</f>
        <v>261.90178062139148</v>
      </c>
      <c r="DL41">
        <f t="shared" si="7"/>
        <v>7</v>
      </c>
      <c r="DN41" s="2070">
        <f t="shared" si="8"/>
        <v>1.0934432639426397</v>
      </c>
      <c r="DO41" s="2069">
        <f t="shared" si="1"/>
        <v>-0.14355848184961581</v>
      </c>
      <c r="DP41" s="2069">
        <f t="shared" si="9"/>
        <v>-0.28191955975562077</v>
      </c>
      <c r="DQ41" s="2069">
        <f t="shared" si="2"/>
        <v>0.66796522233740308</v>
      </c>
      <c r="DR41" s="2069">
        <f t="shared" si="3"/>
        <v>0.41784601932976534</v>
      </c>
      <c r="DT41" s="2077">
        <v>4.8800000000000003E-2</v>
      </c>
      <c r="DU41" s="2069">
        <f t="shared" si="4"/>
        <v>0.35718804789558156</v>
      </c>
      <c r="DV41" s="2069">
        <f t="shared" si="5"/>
        <v>1.3757674516074295E-2</v>
      </c>
      <c r="DW41" s="2069">
        <f t="shared" si="10"/>
        <v>1.4899448733084558E-2</v>
      </c>
      <c r="DX41" s="2069">
        <f t="shared" si="11"/>
        <v>1.6106064448838615E-2</v>
      </c>
      <c r="DY41" s="2069">
        <f t="shared" si="12"/>
        <v>1.7414171206104695E-2</v>
      </c>
      <c r="DZ41" s="2069">
        <f t="shared" si="13"/>
        <v>1.88237690048828E-2</v>
      </c>
      <c r="EA41" s="2069">
        <f t="shared" si="14"/>
        <v>2.0351773018758266E-2</v>
      </c>
      <c r="EB41" s="2069">
        <f t="shared" ref="EB41:EB55" si="15">EA40</f>
        <v>1.0571983490835778E-2</v>
      </c>
      <c r="EQ41" s="2070">
        <f t="shared" si="6"/>
        <v>0.46911293231416057</v>
      </c>
    </row>
    <row r="42" spans="2:147">
      <c r="C42" t="s">
        <v>11</v>
      </c>
      <c r="X42" s="2072">
        <v>29.95</v>
      </c>
      <c r="BS42" s="895"/>
      <c r="BT42" s="895" t="s">
        <v>221</v>
      </c>
      <c r="BU42" s="895"/>
      <c r="BX42" s="2071">
        <f>Competitive!AH13</f>
        <v>387</v>
      </c>
      <c r="BY42" s="2071"/>
      <c r="BZ42" s="2071"/>
      <c r="CA42" s="2071"/>
      <c r="CB42" s="2071"/>
      <c r="CC42" s="2071">
        <f>Competitive!AM13</f>
        <v>394</v>
      </c>
      <c r="CD42" s="2071"/>
      <c r="CE42" s="2071"/>
      <c r="CF42" s="2071"/>
      <c r="CG42" s="2071"/>
      <c r="CH42" s="2071">
        <f>Competitive!AR13</f>
        <v>387</v>
      </c>
      <c r="CM42" s="2071">
        <f>Competitive!AW13</f>
        <v>118</v>
      </c>
      <c r="CN42" s="2071"/>
      <c r="CO42" s="2071"/>
      <c r="CP42" s="2071"/>
      <c r="CQ42" s="2071"/>
      <c r="CR42" s="2071">
        <f>Competitive!BB13</f>
        <v>98.518384328404238</v>
      </c>
      <c r="CS42" s="895"/>
      <c r="CT42" s="895"/>
      <c r="CU42" s="895"/>
      <c r="CV42" s="895"/>
      <c r="CW42" s="2071">
        <f>Competitive!BG13</f>
        <v>116.60515644484234</v>
      </c>
      <c r="CX42" s="895"/>
      <c r="CY42" s="895"/>
      <c r="CZ42" s="895"/>
      <c r="DA42" s="895"/>
      <c r="DB42" s="2071">
        <f>Competitive!BL13</f>
        <v>132.98350697498563</v>
      </c>
      <c r="DC42" s="895"/>
      <c r="DD42" s="895"/>
      <c r="DE42" s="895"/>
      <c r="DF42" s="895"/>
      <c r="DG42" s="2071">
        <f>Competitive!BQ13</f>
        <v>147.81480823544916</v>
      </c>
      <c r="DL42">
        <f t="shared" si="7"/>
        <v>8</v>
      </c>
      <c r="DN42" s="2070">
        <f t="shared" si="8"/>
        <v>1.1098449129017791</v>
      </c>
      <c r="DO42" s="2069">
        <f t="shared" si="1"/>
        <v>-0.1466798225707987</v>
      </c>
      <c r="DP42" s="2069">
        <f t="shared" si="9"/>
        <v>-0.28191955975562077</v>
      </c>
      <c r="DQ42" s="2069">
        <f t="shared" si="2"/>
        <v>0.68124553057535964</v>
      </c>
      <c r="DR42" s="2069">
        <f t="shared" si="3"/>
        <v>0.39852972066953873</v>
      </c>
      <c r="DT42" s="2077">
        <v>4.5220000000000003E-2</v>
      </c>
      <c r="DU42" s="2069">
        <f t="shared" si="4"/>
        <v>0.33098449848029093</v>
      </c>
      <c r="DV42" s="2069">
        <f t="shared" si="5"/>
        <v>1.2748402492149173E-2</v>
      </c>
      <c r="DW42" s="2069">
        <f t="shared" si="10"/>
        <v>1.3757674516074295E-2</v>
      </c>
      <c r="DX42" s="2069">
        <f t="shared" si="11"/>
        <v>1.4899448733084558E-2</v>
      </c>
      <c r="DY42" s="2069">
        <f t="shared" si="12"/>
        <v>1.6106064448838615E-2</v>
      </c>
      <c r="DZ42" s="2069">
        <f t="shared" si="13"/>
        <v>1.7414171206104695E-2</v>
      </c>
      <c r="EA42" s="2069">
        <f t="shared" si="14"/>
        <v>1.88237690048828E-2</v>
      </c>
      <c r="EB42" s="2069">
        <f t="shared" si="15"/>
        <v>2.0351773018758266E-2</v>
      </c>
      <c r="EC42" s="2069">
        <f t="shared" ref="EC42:EC55" si="16">EB41</f>
        <v>1.0571983490835778E-2</v>
      </c>
      <c r="EQ42" s="2070">
        <f t="shared" si="6"/>
        <v>0.45565778539101914</v>
      </c>
    </row>
    <row r="43" spans="2:147">
      <c r="C43" t="s">
        <v>1079</v>
      </c>
      <c r="X43" s="2068">
        <v>12718</v>
      </c>
      <c r="BS43" s="895"/>
      <c r="BT43" s="895" t="s">
        <v>200</v>
      </c>
      <c r="BU43" s="895"/>
      <c r="BX43" s="2071">
        <f>Competitive!AH24</f>
        <v>189</v>
      </c>
      <c r="BY43" s="2071"/>
      <c r="BZ43" s="2071"/>
      <c r="CA43" s="2071"/>
      <c r="CB43" s="2071"/>
      <c r="CC43" s="2071">
        <f>Competitive!AM24</f>
        <v>192</v>
      </c>
      <c r="CD43" s="2071"/>
      <c r="CE43" s="2071"/>
      <c r="CF43" s="2071"/>
      <c r="CG43" s="2071"/>
      <c r="CH43" s="2071">
        <f>Competitive!AR24</f>
        <v>194</v>
      </c>
      <c r="CM43" s="2071">
        <f>Competitive!AW24</f>
        <v>179</v>
      </c>
      <c r="CN43" s="2071"/>
      <c r="CO43" s="2071"/>
      <c r="CP43" s="2071"/>
      <c r="CQ43" s="2071"/>
      <c r="CR43" s="2071">
        <f>Competitive!BB24</f>
        <v>171.26100917890173</v>
      </c>
      <c r="CS43" s="895"/>
      <c r="CT43" s="895"/>
      <c r="CU43" s="895"/>
      <c r="CV43" s="895"/>
      <c r="CW43" s="2071">
        <f>Competitive!BG24</f>
        <v>167.98714816469686</v>
      </c>
      <c r="CX43" s="895"/>
      <c r="CY43" s="895"/>
      <c r="CZ43" s="895"/>
      <c r="DA43" s="895"/>
      <c r="DB43" s="2071">
        <f>Competitive!BL24</f>
        <v>169.04818828266107</v>
      </c>
      <c r="DC43" s="895"/>
      <c r="DD43" s="895"/>
      <c r="DE43" s="895"/>
      <c r="DF43" s="895"/>
      <c r="DG43" s="2071">
        <f>Competitive!BQ24</f>
        <v>171.55959866970289</v>
      </c>
      <c r="DL43">
        <f t="shared" si="7"/>
        <v>9</v>
      </c>
      <c r="DN43" s="2070">
        <f t="shared" si="8"/>
        <v>1.1264925865953057</v>
      </c>
      <c r="DO43" s="2069">
        <f t="shared" si="1"/>
        <v>-0.1482547084046752</v>
      </c>
      <c r="DP43" s="2069">
        <f t="shared" si="9"/>
        <v>-0.28191955975562077</v>
      </c>
      <c r="DQ43" s="2069">
        <f t="shared" si="2"/>
        <v>0.69631831843500969</v>
      </c>
      <c r="DR43" s="2069">
        <f t="shared" si="3"/>
        <v>0.38094256386707182</v>
      </c>
      <c r="DT43" s="2077">
        <v>4.462E-2</v>
      </c>
      <c r="DU43" s="2069">
        <f t="shared" si="4"/>
        <v>0.32659284215370588</v>
      </c>
      <c r="DV43" s="2069">
        <f t="shared" si="5"/>
        <v>1.2579250756295799E-2</v>
      </c>
      <c r="DW43" s="2069">
        <f t="shared" si="10"/>
        <v>1.2748402492149173E-2</v>
      </c>
      <c r="DX43" s="2069">
        <f t="shared" si="11"/>
        <v>1.3757674516074295E-2</v>
      </c>
      <c r="DY43" s="2069">
        <f t="shared" si="12"/>
        <v>1.4899448733084558E-2</v>
      </c>
      <c r="DZ43" s="2069">
        <f t="shared" si="13"/>
        <v>1.6106064448838615E-2</v>
      </c>
      <c r="EA43" s="2069">
        <f t="shared" si="14"/>
        <v>1.7414171206104695E-2</v>
      </c>
      <c r="EB43" s="2069">
        <f t="shared" si="15"/>
        <v>1.88237690048828E-2</v>
      </c>
      <c r="EC43" s="2069">
        <f t="shared" si="16"/>
        <v>2.0351773018758266E-2</v>
      </c>
      <c r="ED43" s="2069">
        <f t="shared" ref="ED43:ED55" si="17">EC42</f>
        <v>1.0571983490835778E-2</v>
      </c>
      <c r="EQ43" s="2070">
        <f t="shared" si="6"/>
        <v>0.46384537982072988</v>
      </c>
    </row>
    <row r="44" spans="2:147">
      <c r="BS44" s="895"/>
      <c r="BT44" s="927" t="s">
        <v>887</v>
      </c>
      <c r="BU44" s="2081"/>
      <c r="BX44" s="2071">
        <f>(BX41-BX42-BX43)*$DO$16</f>
        <v>-260.68</v>
      </c>
      <c r="BY44" s="2071"/>
      <c r="BZ44" s="2071"/>
      <c r="CA44" s="2071"/>
      <c r="CB44" s="2071"/>
      <c r="CC44" s="2071">
        <f>(CC41-CC42-CC43)*$DO$16</f>
        <v>38</v>
      </c>
      <c r="CD44" s="2071"/>
      <c r="CE44" s="2071"/>
      <c r="CF44" s="2071"/>
      <c r="CG44" s="2071"/>
      <c r="CH44" s="2071">
        <f>(CH41-CH42-CH43)*$DO$16</f>
        <v>-3972.52</v>
      </c>
      <c r="CM44" s="2071">
        <f>(CM41-CM42-CM43)*$DO$16</f>
        <v>-954.94</v>
      </c>
      <c r="CN44" s="2071"/>
      <c r="CO44" s="2071"/>
      <c r="CP44" s="2071"/>
      <c r="CQ44" s="2071"/>
      <c r="CR44" s="2071">
        <f>(CR41-CR42-CR43)*$DO$16</f>
        <v>-16.906742882091489</v>
      </c>
      <c r="CS44" s="895"/>
      <c r="CT44" s="895"/>
      <c r="CU44" s="895"/>
      <c r="CV44" s="895"/>
      <c r="CW44" s="2071">
        <f>(CW41-CW42-CW43)*$DO$16</f>
        <v>-75.376386423553825</v>
      </c>
      <c r="CX44" s="895"/>
      <c r="CY44" s="895"/>
      <c r="CZ44" s="895"/>
      <c r="DA44" s="895"/>
      <c r="DB44" s="2071">
        <f>(DB41-DB42-DB43)*$DO$16</f>
        <v>-81.329159442954648</v>
      </c>
      <c r="DC44" s="895"/>
      <c r="DD44" s="895"/>
      <c r="DE44" s="895"/>
      <c r="DF44" s="895"/>
      <c r="DG44" s="2071">
        <f>(DG41-DG42-DG43)*$DO$16</f>
        <v>-21.83959798782902</v>
      </c>
      <c r="DL44">
        <f t="shared" si="7"/>
        <v>10</v>
      </c>
      <c r="DN44" s="2070">
        <f t="shared" si="8"/>
        <v>1.1433899753942351</v>
      </c>
      <c r="DO44" s="2069">
        <f t="shared" si="1"/>
        <v>-0.14986778703747425</v>
      </c>
      <c r="DP44" s="2069">
        <f t="shared" si="9"/>
        <v>-0.28191955975562077</v>
      </c>
      <c r="DQ44" s="2069">
        <f t="shared" si="2"/>
        <v>0.7116026286011401</v>
      </c>
      <c r="DR44" s="2069">
        <f t="shared" si="3"/>
        <v>0.36406912885926412</v>
      </c>
      <c r="DT44" s="2077">
        <v>4.4609999999999997E-2</v>
      </c>
      <c r="DU44" s="2069">
        <f t="shared" si="4"/>
        <v>0.32651964788159615</v>
      </c>
      <c r="DV44" s="2069">
        <f t="shared" si="5"/>
        <v>1.2576431560698242E-2</v>
      </c>
      <c r="DW44" s="2069">
        <f t="shared" si="10"/>
        <v>1.2579250756295799E-2</v>
      </c>
      <c r="DX44" s="2069">
        <f t="shared" si="11"/>
        <v>1.2748402492149173E-2</v>
      </c>
      <c r="DY44" s="2069">
        <f t="shared" si="12"/>
        <v>1.3757674516074295E-2</v>
      </c>
      <c r="DZ44" s="2069">
        <f t="shared" si="13"/>
        <v>1.4899448733084558E-2</v>
      </c>
      <c r="EA44" s="2069">
        <f t="shared" si="14"/>
        <v>1.6106064448838615E-2</v>
      </c>
      <c r="EB44" s="2069">
        <f t="shared" si="15"/>
        <v>1.7414171206104695E-2</v>
      </c>
      <c r="EC44" s="2069">
        <f t="shared" si="16"/>
        <v>1.88237690048828E-2</v>
      </c>
      <c r="ED44" s="2069">
        <f t="shared" si="17"/>
        <v>2.0351773018758266E-2</v>
      </c>
      <c r="EE44" s="2069">
        <f t="shared" ref="EE44:EE55" si="18">ED43</f>
        <v>1.0571983490835778E-2</v>
      </c>
      <c r="EQ44" s="2070">
        <f t="shared" si="6"/>
        <v>0.47634861710931836</v>
      </c>
    </row>
    <row r="45" spans="2:147">
      <c r="X45" s="2065"/>
      <c r="AC45" s="2064" t="s">
        <v>138</v>
      </c>
      <c r="AM45" s="2075"/>
      <c r="AN45" s="2075">
        <v>17.722572190730244</v>
      </c>
      <c r="AO45" s="2075"/>
      <c r="AP45" s="2075"/>
      <c r="AQ45" s="2075"/>
      <c r="AR45" s="2075"/>
      <c r="BS45" s="895"/>
      <c r="BT45" s="921" t="s">
        <v>224</v>
      </c>
      <c r="BU45" s="895"/>
      <c r="BX45" s="2067">
        <f>BX41-BX43-BX44</f>
        <v>-38.319999999999993</v>
      </c>
      <c r="BY45" s="2067"/>
      <c r="BZ45" s="2067"/>
      <c r="CA45" s="2067"/>
      <c r="CB45" s="2067"/>
      <c r="CC45" s="2067">
        <f>CC41-CC43-CC44</f>
        <v>456</v>
      </c>
      <c r="CD45" s="2067"/>
      <c r="CE45" s="2067"/>
      <c r="CF45" s="2067"/>
      <c r="CG45" s="2067"/>
      <c r="CH45" s="2067">
        <f>CH41-CH43-CH44</f>
        <v>-6094.48</v>
      </c>
      <c r="CM45" s="2067">
        <f>CM41-CM43-CM44</f>
        <v>-1440.06</v>
      </c>
      <c r="CN45" s="2067"/>
      <c r="CO45" s="2067"/>
      <c r="CP45" s="2067"/>
      <c r="CQ45" s="2067"/>
      <c r="CR45" s="2067">
        <f>CR41-CR43-CR44</f>
        <v>70.933698573412869</v>
      </c>
      <c r="CS45" s="895"/>
      <c r="CT45" s="895"/>
      <c r="CU45" s="895"/>
      <c r="CV45" s="895"/>
      <c r="CW45" s="2067">
        <f>CW41-CW43-CW44</f>
        <v>-6.3773687725349646</v>
      </c>
      <c r="CX45" s="895"/>
      <c r="CY45" s="895"/>
      <c r="CZ45" s="895"/>
      <c r="DA45" s="895"/>
      <c r="DB45" s="2067">
        <f>DB41-DB43-DB44</f>
        <v>0.2885626206912093</v>
      </c>
      <c r="DC45" s="895"/>
      <c r="DD45" s="895"/>
      <c r="DE45" s="895"/>
      <c r="DF45" s="895"/>
      <c r="DG45" s="2067">
        <f>DG41-DG43-DG44</f>
        <v>112.18177993951761</v>
      </c>
      <c r="DL45">
        <f t="shared" si="7"/>
        <v>11</v>
      </c>
      <c r="DN45" s="2070">
        <f t="shared" si="8"/>
        <v>1.1605408250251485</v>
      </c>
      <c r="DO45" s="2069">
        <f t="shared" si="1"/>
        <v>-0.15163387972755771</v>
      </c>
      <c r="DP45" s="2069">
        <f t="shared" si="9"/>
        <v>-0.28191955975562077</v>
      </c>
      <c r="DQ45" s="2069">
        <f t="shared" si="2"/>
        <v>0.72698738554197018</v>
      </c>
      <c r="DR45" s="2069">
        <f t="shared" si="3"/>
        <v>0.34783062508545987</v>
      </c>
      <c r="DT45" s="2077">
        <v>4.462E-2</v>
      </c>
      <c r="DU45" s="2069">
        <f t="shared" si="4"/>
        <v>0.32659284215370588</v>
      </c>
      <c r="DV45" s="2069">
        <f t="shared" si="5"/>
        <v>1.2579250756295799E-2</v>
      </c>
      <c r="DW45" s="2069">
        <f t="shared" si="10"/>
        <v>1.2576431560698242E-2</v>
      </c>
      <c r="DX45" s="2069">
        <f t="shared" si="11"/>
        <v>1.2579250756295799E-2</v>
      </c>
      <c r="DY45" s="2069">
        <f t="shared" si="12"/>
        <v>1.2748402492149173E-2</v>
      </c>
      <c r="DZ45" s="2069">
        <f t="shared" si="13"/>
        <v>1.3757674516074295E-2</v>
      </c>
      <c r="EA45" s="2069">
        <f t="shared" si="14"/>
        <v>1.4899448733084558E-2</v>
      </c>
      <c r="EB45" s="2069">
        <f t="shared" si="15"/>
        <v>1.6106064448838615E-2</v>
      </c>
      <c r="EC45" s="2069">
        <f t="shared" si="16"/>
        <v>1.7414171206104695E-2</v>
      </c>
      <c r="ED45" s="2069">
        <f t="shared" si="17"/>
        <v>1.88237690048828E-2</v>
      </c>
      <c r="EE45" s="2069">
        <f t="shared" si="18"/>
        <v>2.0351773018758266E-2</v>
      </c>
      <c r="EF45" s="2069">
        <f t="shared" ref="EF45:EF55" si="19">EE44</f>
        <v>1.0571983490835778E-2</v>
      </c>
      <c r="EQ45" s="2070">
        <f t="shared" si="6"/>
        <v>0.48900106213772393</v>
      </c>
    </row>
    <row r="46" spans="2:147">
      <c r="C46" t="s">
        <v>1076</v>
      </c>
      <c r="X46" s="2062"/>
      <c r="AC46" s="2060">
        <f>[0]!UtilityEPS-AC47</f>
        <v>2.3223439409307827</v>
      </c>
      <c r="BS46" s="895"/>
      <c r="BT46" s="921"/>
      <c r="BU46" s="895"/>
      <c r="BX46" s="2067"/>
      <c r="BY46" s="2067"/>
      <c r="BZ46" s="2067"/>
      <c r="CA46" s="2067"/>
      <c r="CB46" s="2067"/>
      <c r="CC46" s="2067"/>
      <c r="CD46" s="2067"/>
      <c r="CE46" s="2067"/>
      <c r="CF46" s="2067"/>
      <c r="CG46" s="2067"/>
      <c r="CH46" s="2067"/>
      <c r="CM46" s="2067"/>
      <c r="CN46" s="2067"/>
      <c r="CO46" s="2067"/>
      <c r="CP46" s="2067"/>
      <c r="CQ46" s="2067"/>
      <c r="CR46" s="2067"/>
      <c r="CS46" s="895"/>
      <c r="CT46" s="895"/>
      <c r="CU46" s="895"/>
      <c r="CV46" s="895"/>
      <c r="CW46" s="2067"/>
      <c r="CX46" s="895"/>
      <c r="CY46" s="895"/>
      <c r="CZ46" s="895"/>
      <c r="DA46" s="895"/>
      <c r="DB46" s="2067"/>
      <c r="DC46" s="895"/>
      <c r="DD46" s="895"/>
      <c r="DE46" s="895"/>
      <c r="DF46" s="895"/>
      <c r="DG46" s="2067"/>
      <c r="DL46">
        <f t="shared" si="7"/>
        <v>12</v>
      </c>
      <c r="DN46" s="2070">
        <f t="shared" si="8"/>
        <v>1.1779489374005256</v>
      </c>
      <c r="DO46" s="2069">
        <f t="shared" si="1"/>
        <v>-0.15346991843713567</v>
      </c>
      <c r="DP46" s="2069">
        <f t="shared" si="9"/>
        <v>-0.28191955975562077</v>
      </c>
      <c r="DQ46" s="2069">
        <f t="shared" si="2"/>
        <v>0.74255945920776911</v>
      </c>
      <c r="DR46" s="2069">
        <f t="shared" si="3"/>
        <v>0.33225139107525081</v>
      </c>
      <c r="DT46" s="2077">
        <v>4.4609999999999997E-2</v>
      </c>
      <c r="DU46" s="2069">
        <f t="shared" si="4"/>
        <v>0.32651964788159615</v>
      </c>
      <c r="DV46" s="2069">
        <f t="shared" si="5"/>
        <v>1.2576431560698242E-2</v>
      </c>
      <c r="DW46" s="2069">
        <f t="shared" si="10"/>
        <v>1.2579250756295799E-2</v>
      </c>
      <c r="DX46" s="2069">
        <f t="shared" si="11"/>
        <v>1.2576431560698242E-2</v>
      </c>
      <c r="DY46" s="2069">
        <f t="shared" si="12"/>
        <v>1.2579250756295799E-2</v>
      </c>
      <c r="DZ46" s="2069">
        <f t="shared" si="13"/>
        <v>1.2748402492149173E-2</v>
      </c>
      <c r="EA46" s="2069">
        <f t="shared" si="14"/>
        <v>1.3757674516074295E-2</v>
      </c>
      <c r="EB46" s="2069">
        <f t="shared" si="15"/>
        <v>1.4899448733084558E-2</v>
      </c>
      <c r="EC46" s="2069">
        <f t="shared" si="16"/>
        <v>1.6106064448838615E-2</v>
      </c>
      <c r="ED46" s="2069">
        <f t="shared" si="17"/>
        <v>1.7414171206104695E-2</v>
      </c>
      <c r="EE46" s="2069">
        <f t="shared" si="18"/>
        <v>1.88237690048828E-2</v>
      </c>
      <c r="EF46" s="2069">
        <f t="shared" si="19"/>
        <v>2.0351773018758266E-2</v>
      </c>
      <c r="EG46" s="2069">
        <f t="shared" ref="EG46:EG55" si="20">EF45</f>
        <v>1.0571983490835778E-2</v>
      </c>
      <c r="EQ46" s="2070">
        <f t="shared" si="6"/>
        <v>0.50150429942631247</v>
      </c>
    </row>
    <row r="47" spans="2:147">
      <c r="C47" t="s">
        <v>1075</v>
      </c>
      <c r="X47" s="2061"/>
      <c r="AC47" s="2061">
        <f>-20*0.6/474</f>
        <v>-2.5316455696202531E-2</v>
      </c>
      <c r="BS47" s="895"/>
      <c r="BT47" s="927" t="s">
        <v>890</v>
      </c>
      <c r="BU47" s="895"/>
      <c r="BX47" s="2071">
        <f>Competitive!AH568+Competitive!AH567</f>
        <v>0</v>
      </c>
      <c r="BY47" s="2071"/>
      <c r="BZ47" s="2071"/>
      <c r="CA47" s="2071"/>
      <c r="CB47" s="2071"/>
      <c r="CC47" s="2071">
        <f>Competitive!AM568+Competitive!AM567</f>
        <v>0</v>
      </c>
      <c r="CD47" s="2071"/>
      <c r="CE47" s="2071"/>
      <c r="CF47" s="2071"/>
      <c r="CG47" s="2071"/>
      <c r="CH47" s="2071">
        <f>Competitive!AR568+Competitive!AR567</f>
        <v>0</v>
      </c>
      <c r="CM47" s="2071">
        <f>Competitive!AW568+Competitive!AW567</f>
        <v>0</v>
      </c>
      <c r="CN47" s="2071"/>
      <c r="CO47" s="2071"/>
      <c r="CP47" s="2071"/>
      <c r="CQ47" s="2071"/>
      <c r="CR47" s="2071">
        <f>Competitive!BB568+Competitive!BB567</f>
        <v>25</v>
      </c>
      <c r="CS47" s="895"/>
      <c r="CT47" s="895"/>
      <c r="CU47" s="895"/>
      <c r="CV47" s="895"/>
      <c r="CW47" s="2071">
        <f>Competitive!BG568+Competitive!BG567</f>
        <v>25</v>
      </c>
      <c r="CX47" s="895"/>
      <c r="CY47" s="895"/>
      <c r="CZ47" s="895"/>
      <c r="DA47" s="895"/>
      <c r="DB47" s="2068">
        <f>(Competitive!BL568+Competitive!BL567)</f>
        <v>25</v>
      </c>
      <c r="DC47" s="895"/>
      <c r="DD47" s="895"/>
      <c r="DE47" s="895"/>
      <c r="DF47" s="895"/>
      <c r="DG47" s="2068">
        <f>(Competitive!BQ568+Competitive!BQ567)</f>
        <v>25</v>
      </c>
      <c r="DI47" s="2052"/>
      <c r="DJ47" s="2052"/>
      <c r="DK47" s="2052"/>
      <c r="DL47">
        <f t="shared" si="7"/>
        <v>13</v>
      </c>
      <c r="DN47" s="2070">
        <f t="shared" si="8"/>
        <v>1.1956181714615335</v>
      </c>
      <c r="DO47" s="2069">
        <f t="shared" si="1"/>
        <v>-0.15540518338725334</v>
      </c>
      <c r="DP47" s="2069">
        <f t="shared" si="9"/>
        <v>-0.28191955975562077</v>
      </c>
      <c r="DQ47" s="2069">
        <f t="shared" si="2"/>
        <v>0.75829342831865931</v>
      </c>
      <c r="DR47" s="2069">
        <f t="shared" si="3"/>
        <v>0.31729811822158427</v>
      </c>
      <c r="DT47" s="2077">
        <v>4.4609999999999997E-2</v>
      </c>
      <c r="DU47" s="2069">
        <f t="shared" si="4"/>
        <v>0.32651964788159615</v>
      </c>
      <c r="DV47" s="2069">
        <f t="shared" si="5"/>
        <v>1.2576431560698242E-2</v>
      </c>
      <c r="DW47" s="2069">
        <f t="shared" si="10"/>
        <v>1.2576431560698242E-2</v>
      </c>
      <c r="DX47" s="2069">
        <f t="shared" si="11"/>
        <v>1.2579250756295799E-2</v>
      </c>
      <c r="DY47" s="2069">
        <f t="shared" si="12"/>
        <v>1.2576431560698242E-2</v>
      </c>
      <c r="DZ47" s="2069">
        <f t="shared" si="13"/>
        <v>1.2579250756295799E-2</v>
      </c>
      <c r="EA47" s="2069">
        <f t="shared" si="14"/>
        <v>1.2748402492149173E-2</v>
      </c>
      <c r="EB47" s="2069">
        <f t="shared" si="15"/>
        <v>1.3757674516074295E-2</v>
      </c>
      <c r="EC47" s="2069">
        <f t="shared" si="16"/>
        <v>1.4899448733084558E-2</v>
      </c>
      <c r="ED47" s="2069">
        <f t="shared" si="17"/>
        <v>1.6106064448838615E-2</v>
      </c>
      <c r="EE47" s="2069">
        <f t="shared" si="18"/>
        <v>1.7414171206104695E-2</v>
      </c>
      <c r="EF47" s="2069">
        <f t="shared" si="19"/>
        <v>1.88237690048828E-2</v>
      </c>
      <c r="EG47" s="2069">
        <f t="shared" si="20"/>
        <v>2.0351773018758266E-2</v>
      </c>
      <c r="EH47" s="2069">
        <f t="shared" ref="EH47:EH55" si="21">EG46</f>
        <v>1.0571983490835778E-2</v>
      </c>
      <c r="EQ47" s="2070">
        <f t="shared" si="6"/>
        <v>0.51408073098701068</v>
      </c>
    </row>
    <row r="48" spans="2:147">
      <c r="C48" t="s">
        <v>1074</v>
      </c>
      <c r="X48" s="2061"/>
      <c r="AC48" s="2061">
        <f>AC46+AC47</f>
        <v>2.29702748523458</v>
      </c>
      <c r="BS48" s="895"/>
      <c r="BT48" s="927" t="s">
        <v>889</v>
      </c>
      <c r="BU48" s="895"/>
      <c r="BX48" s="2071">
        <f>Competitive!AH566</f>
        <v>0</v>
      </c>
      <c r="BY48" s="2071"/>
      <c r="BZ48" s="2071"/>
      <c r="CA48" s="2071"/>
      <c r="CB48" s="2071"/>
      <c r="CC48" s="2071">
        <f>Competitive!AM566</f>
        <v>0</v>
      </c>
      <c r="CD48" s="2071"/>
      <c r="CE48" s="2071"/>
      <c r="CF48" s="2071"/>
      <c r="CG48" s="2071"/>
      <c r="CH48" s="2071">
        <f>Competitive!AR566</f>
        <v>0</v>
      </c>
      <c r="CM48" s="2071">
        <f>Competitive!AW566</f>
        <v>0</v>
      </c>
      <c r="CN48" s="2071"/>
      <c r="CO48" s="2071"/>
      <c r="CP48" s="2071"/>
      <c r="CQ48" s="2071"/>
      <c r="CR48" s="2071">
        <f>Competitive!BB566</f>
        <v>265</v>
      </c>
      <c r="CS48" s="895"/>
      <c r="CT48" s="895"/>
      <c r="CU48" s="895"/>
      <c r="CV48" s="895"/>
      <c r="CW48" s="2071">
        <f>Competitive!BG566</f>
        <v>265</v>
      </c>
      <c r="CX48" s="895"/>
      <c r="CY48" s="895"/>
      <c r="CZ48" s="895"/>
      <c r="DA48" s="895"/>
      <c r="DB48" s="2068">
        <f>Competitive!BL566</f>
        <v>265</v>
      </c>
      <c r="DC48" s="895"/>
      <c r="DD48" s="895"/>
      <c r="DE48" s="895"/>
      <c r="DF48" s="895"/>
      <c r="DG48" s="2068">
        <f>Competitive!BQ566</f>
        <v>265</v>
      </c>
      <c r="DH48" s="2069"/>
      <c r="DI48" s="2052"/>
      <c r="DJ48" s="2052"/>
      <c r="DK48" s="2052"/>
      <c r="DL48">
        <f t="shared" si="7"/>
        <v>14</v>
      </c>
      <c r="DN48" s="2070">
        <f t="shared" si="8"/>
        <v>1.2135524440334564</v>
      </c>
      <c r="DO48" s="2069">
        <f t="shared" si="1"/>
        <v>-0.15744116297151869</v>
      </c>
      <c r="DP48" s="2069">
        <f t="shared" si="9"/>
        <v>-0.28191955975562077</v>
      </c>
      <c r="DQ48" s="2069">
        <f t="shared" si="2"/>
        <v>0.77419172130631697</v>
      </c>
      <c r="DR48" s="2069">
        <f t="shared" si="3"/>
        <v>0.30295167518036492</v>
      </c>
      <c r="DT48" s="2077">
        <v>4.4609999999999997E-2</v>
      </c>
      <c r="DU48" s="2069">
        <f t="shared" si="4"/>
        <v>0.32651964788159615</v>
      </c>
      <c r="DV48" s="2069">
        <f t="shared" si="5"/>
        <v>1.2576431560698242E-2</v>
      </c>
      <c r="DW48" s="2069">
        <f t="shared" si="10"/>
        <v>1.2576431560698242E-2</v>
      </c>
      <c r="DX48" s="2069">
        <f t="shared" si="11"/>
        <v>1.2576431560698242E-2</v>
      </c>
      <c r="DY48" s="2069">
        <f t="shared" si="12"/>
        <v>1.2579250756295799E-2</v>
      </c>
      <c r="DZ48" s="2069">
        <f t="shared" si="13"/>
        <v>1.2576431560698242E-2</v>
      </c>
      <c r="EA48" s="2069">
        <f t="shared" si="14"/>
        <v>1.2579250756295799E-2</v>
      </c>
      <c r="EB48" s="2069">
        <f t="shared" si="15"/>
        <v>1.2748402492149173E-2</v>
      </c>
      <c r="EC48" s="2069">
        <f t="shared" si="16"/>
        <v>1.3757674516074295E-2</v>
      </c>
      <c r="ED48" s="2069">
        <f t="shared" si="17"/>
        <v>1.4899448733084558E-2</v>
      </c>
      <c r="EE48" s="2069">
        <f t="shared" si="18"/>
        <v>1.6106064448838615E-2</v>
      </c>
      <c r="EF48" s="2069">
        <f t="shared" si="19"/>
        <v>1.7414171206104695E-2</v>
      </c>
      <c r="EG48" s="2069">
        <f t="shared" si="20"/>
        <v>1.88237690048828E-2</v>
      </c>
      <c r="EH48" s="2069">
        <f t="shared" si="21"/>
        <v>2.0351773018758266E-2</v>
      </c>
      <c r="EI48" s="2069">
        <f t="shared" ref="EI48:EI55" si="22">EH47</f>
        <v>1.0571983490835778E-2</v>
      </c>
      <c r="EQ48" s="2070">
        <f t="shared" si="6"/>
        <v>0.52665716254770889</v>
      </c>
    </row>
    <row r="49" spans="2:147">
      <c r="AC49" s="2060"/>
      <c r="BS49" s="895"/>
      <c r="BT49" s="927" t="s">
        <v>705</v>
      </c>
      <c r="BU49" s="895"/>
      <c r="BX49" s="2071">
        <f>Competitive!AH569</f>
        <v>0</v>
      </c>
      <c r="BY49" s="2071"/>
      <c r="BZ49" s="2071"/>
      <c r="CA49" s="2071"/>
      <c r="CB49" s="2071"/>
      <c r="CC49" s="2071">
        <f>Competitive!AM569</f>
        <v>0</v>
      </c>
      <c r="CD49" s="2071"/>
      <c r="CE49" s="2071"/>
      <c r="CF49" s="2071"/>
      <c r="CG49" s="2071"/>
      <c r="CH49" s="2071">
        <f>Competitive!AR569</f>
        <v>0</v>
      </c>
      <c r="CM49" s="2071">
        <f>Competitive!AW569+815</f>
        <v>815</v>
      </c>
      <c r="CN49" s="2071"/>
      <c r="CO49" s="2071"/>
      <c r="CP49" s="2071"/>
      <c r="CQ49" s="2071"/>
      <c r="CR49" s="2071">
        <f>Competitive!BB569</f>
        <v>0</v>
      </c>
      <c r="CS49" s="895"/>
      <c r="CT49" s="895"/>
      <c r="CU49" s="895"/>
      <c r="CV49" s="895"/>
      <c r="CW49" s="2071">
        <f>Competitive!BG569</f>
        <v>0</v>
      </c>
      <c r="CX49" s="895"/>
      <c r="CY49" s="895"/>
      <c r="CZ49" s="895"/>
      <c r="DA49" s="895"/>
      <c r="DB49" s="2071">
        <f>Competitive!BL569</f>
        <v>0</v>
      </c>
      <c r="DC49" s="895"/>
      <c r="DD49" s="895"/>
      <c r="DE49" s="895"/>
      <c r="DF49" s="895"/>
      <c r="DG49" s="2071">
        <f>Competitive!BQ569</f>
        <v>0</v>
      </c>
      <c r="DH49" s="2052"/>
      <c r="DL49">
        <f t="shared" si="7"/>
        <v>15</v>
      </c>
      <c r="DN49" s="2070">
        <f t="shared" si="8"/>
        <v>1.2317557306939582</v>
      </c>
      <c r="DO49" s="2069">
        <f t="shared" si="1"/>
        <v>-0.15957936790944405</v>
      </c>
      <c r="DP49" s="2069">
        <f t="shared" si="9"/>
        <v>-0.28191955975562077</v>
      </c>
      <c r="DQ49" s="2069">
        <f t="shared" si="2"/>
        <v>0.79025680302889345</v>
      </c>
      <c r="DR49" s="2069">
        <f t="shared" si="3"/>
        <v>0.28919295545895696</v>
      </c>
      <c r="DT49" s="2077">
        <v>4.4609999999999997E-2</v>
      </c>
      <c r="DU49" s="2069">
        <f t="shared" si="4"/>
        <v>0.32651964788159615</v>
      </c>
      <c r="DV49" s="2069">
        <f t="shared" si="5"/>
        <v>1.2576431560698242E-2</v>
      </c>
      <c r="DW49" s="2069">
        <f t="shared" si="10"/>
        <v>1.2576431560698242E-2</v>
      </c>
      <c r="DX49" s="2069">
        <f t="shared" si="11"/>
        <v>1.2576431560698242E-2</v>
      </c>
      <c r="DY49" s="2069">
        <f t="shared" si="12"/>
        <v>1.2576431560698242E-2</v>
      </c>
      <c r="DZ49" s="2069">
        <f t="shared" si="13"/>
        <v>1.2579250756295799E-2</v>
      </c>
      <c r="EA49" s="2069">
        <f t="shared" si="14"/>
        <v>1.2576431560698242E-2</v>
      </c>
      <c r="EB49" s="2069">
        <f t="shared" si="15"/>
        <v>1.2579250756295799E-2</v>
      </c>
      <c r="EC49" s="2069">
        <f t="shared" si="16"/>
        <v>1.2748402492149173E-2</v>
      </c>
      <c r="ED49" s="2069">
        <f t="shared" si="17"/>
        <v>1.3757674516074295E-2</v>
      </c>
      <c r="EE49" s="2069">
        <f t="shared" si="18"/>
        <v>1.4899448733084558E-2</v>
      </c>
      <c r="EF49" s="2069">
        <f t="shared" si="19"/>
        <v>1.6106064448838615E-2</v>
      </c>
      <c r="EG49" s="2069">
        <f t="shared" si="20"/>
        <v>1.7414171206104695E-2</v>
      </c>
      <c r="EH49" s="2069">
        <f t="shared" si="21"/>
        <v>1.88237690048828E-2</v>
      </c>
      <c r="EI49" s="2069">
        <f t="shared" si="22"/>
        <v>2.0351773018758266E-2</v>
      </c>
      <c r="EJ49" s="2069">
        <f t="shared" ref="EJ49:EJ55" si="23">EI48</f>
        <v>1.0571983490835778E-2</v>
      </c>
      <c r="EQ49" s="2070">
        <f t="shared" si="6"/>
        <v>0.53923359410840721</v>
      </c>
    </row>
    <row r="50" spans="2:147">
      <c r="C50" t="s">
        <v>10</v>
      </c>
      <c r="X50" s="2059"/>
      <c r="AC50" s="2059">
        <f>Valuation!CG10</f>
        <v>17.399999999999999</v>
      </c>
      <c r="BS50" s="895"/>
      <c r="BT50" s="921" t="s">
        <v>497</v>
      </c>
      <c r="BU50" s="895"/>
      <c r="BX50" s="988">
        <f>SUM(BX47:BX49)</f>
        <v>0</v>
      </c>
      <c r="BY50" s="988"/>
      <c r="BZ50" s="988"/>
      <c r="CA50" s="988"/>
      <c r="CB50" s="988"/>
      <c r="CC50" s="988">
        <f>SUM(CC47:CC49)</f>
        <v>0</v>
      </c>
      <c r="CD50" s="988"/>
      <c r="CE50" s="988"/>
      <c r="CF50" s="988"/>
      <c r="CG50" s="988"/>
      <c r="CH50" s="988">
        <f>SUM(CH47:CH49)</f>
        <v>0</v>
      </c>
      <c r="CM50" s="988">
        <f>SUM(CM47:CM49)</f>
        <v>815</v>
      </c>
      <c r="CN50" s="988"/>
      <c r="CO50" s="988"/>
      <c r="CP50" s="988"/>
      <c r="CQ50" s="988"/>
      <c r="CR50" s="988">
        <f>SUM(CR47:CR49)</f>
        <v>290</v>
      </c>
      <c r="CS50" s="895"/>
      <c r="CT50" s="895"/>
      <c r="CU50" s="895"/>
      <c r="CV50" s="895"/>
      <c r="CW50" s="988">
        <f>SUM(CW47:CW49)</f>
        <v>290</v>
      </c>
      <c r="CX50" s="895"/>
      <c r="CY50" s="895"/>
      <c r="CZ50" s="895"/>
      <c r="DA50" s="895"/>
      <c r="DB50" s="988">
        <f>SUM(DB47:DB49)</f>
        <v>290</v>
      </c>
      <c r="DC50" s="895"/>
      <c r="DD50" s="895"/>
      <c r="DE50" s="895"/>
      <c r="DF50" s="895"/>
      <c r="DG50" s="988">
        <f>SUM(DG47:DG49)</f>
        <v>290</v>
      </c>
      <c r="DH50" s="2052"/>
      <c r="DI50" s="2043"/>
      <c r="DJ50" s="2043"/>
      <c r="DK50" s="2043"/>
      <c r="DL50">
        <f t="shared" si="7"/>
        <v>16</v>
      </c>
      <c r="DN50" s="2070">
        <f t="shared" si="8"/>
        <v>1.2502320666543674</v>
      </c>
      <c r="DO50" s="2069">
        <f t="shared" si="1"/>
        <v>-0.16182133158133419</v>
      </c>
      <c r="DP50" s="2069">
        <f t="shared" si="9"/>
        <v>-0.28191955975562077</v>
      </c>
      <c r="DQ50" s="2069">
        <f t="shared" si="2"/>
        <v>0.80649117531741243</v>
      </c>
      <c r="DR50" s="2069">
        <f t="shared" si="3"/>
        <v>0.27600294570284178</v>
      </c>
      <c r="DT50" s="2077">
        <v>4.4609999999999997E-2</v>
      </c>
      <c r="DU50" s="2069">
        <f t="shared" si="4"/>
        <v>0.32651964788159615</v>
      </c>
      <c r="DV50" s="2069">
        <f t="shared" si="5"/>
        <v>1.2576431560698242E-2</v>
      </c>
      <c r="DW50" s="2069">
        <f t="shared" si="10"/>
        <v>1.2576431560698242E-2</v>
      </c>
      <c r="DX50" s="2069">
        <f t="shared" si="11"/>
        <v>1.2576431560698242E-2</v>
      </c>
      <c r="DY50" s="2069">
        <f t="shared" si="12"/>
        <v>1.2576431560698242E-2</v>
      </c>
      <c r="DZ50" s="2069">
        <f t="shared" si="13"/>
        <v>1.2576431560698242E-2</v>
      </c>
      <c r="EA50" s="2069">
        <f t="shared" si="14"/>
        <v>1.2579250756295799E-2</v>
      </c>
      <c r="EB50" s="2069">
        <f t="shared" si="15"/>
        <v>1.2576431560698242E-2</v>
      </c>
      <c r="EC50" s="2069">
        <f t="shared" si="16"/>
        <v>1.2579250756295799E-2</v>
      </c>
      <c r="ED50" s="2069">
        <f t="shared" si="17"/>
        <v>1.2748402492149173E-2</v>
      </c>
      <c r="EE50" s="2069">
        <f t="shared" si="18"/>
        <v>1.3757674516074295E-2</v>
      </c>
      <c r="EF50" s="2069">
        <f t="shared" si="19"/>
        <v>1.4899448733084558E-2</v>
      </c>
      <c r="EG50" s="2069">
        <f t="shared" si="20"/>
        <v>1.6106064448838615E-2</v>
      </c>
      <c r="EH50" s="2069">
        <f t="shared" si="21"/>
        <v>1.7414171206104695E-2</v>
      </c>
      <c r="EI50" s="2069">
        <f t="shared" si="22"/>
        <v>1.88237690048828E-2</v>
      </c>
      <c r="EJ50" s="2069">
        <f t="shared" si="23"/>
        <v>2.0351773018758266E-2</v>
      </c>
      <c r="EK50" s="2069">
        <f t="shared" ref="EK50:EK55" si="24">EJ49</f>
        <v>1.0571983490835778E-2</v>
      </c>
      <c r="EQ50" s="2070">
        <f t="shared" si="6"/>
        <v>0.55181002566910542</v>
      </c>
    </row>
    <row r="51" spans="2:147">
      <c r="C51" t="s">
        <v>478</v>
      </c>
      <c r="X51" s="2057"/>
      <c r="Y51" s="2058"/>
      <c r="Z51" s="2058"/>
      <c r="AA51" s="2058"/>
      <c r="AB51" s="2058"/>
      <c r="AC51" s="2057">
        <v>-0.05</v>
      </c>
      <c r="BS51" s="895"/>
      <c r="BT51" s="895"/>
      <c r="BU51" s="895"/>
      <c r="BX51" s="895"/>
      <c r="BY51" s="895"/>
      <c r="BZ51" s="895"/>
      <c r="CA51" s="895"/>
      <c r="CB51" s="895"/>
      <c r="CC51" s="895"/>
      <c r="CD51" s="895"/>
      <c r="CE51" s="895"/>
      <c r="CF51" s="895"/>
      <c r="CG51" s="895"/>
      <c r="CH51" s="895"/>
      <c r="CM51" s="895"/>
      <c r="CN51" s="895"/>
      <c r="CO51" s="895"/>
      <c r="CP51" s="895"/>
      <c r="CQ51" s="895"/>
      <c r="CR51" s="895"/>
      <c r="CS51" s="895"/>
      <c r="CT51" s="895"/>
      <c r="CU51" s="895"/>
      <c r="CV51" s="895"/>
      <c r="CW51" s="895"/>
      <c r="CX51" s="895"/>
      <c r="CY51" s="895"/>
      <c r="CZ51" s="895"/>
      <c r="DA51" s="895"/>
      <c r="DB51" s="895"/>
      <c r="DC51" s="895"/>
      <c r="DD51" s="895"/>
      <c r="DE51" s="895"/>
      <c r="DF51" s="895"/>
      <c r="DG51" s="895"/>
      <c r="DL51">
        <f t="shared" si="7"/>
        <v>17</v>
      </c>
      <c r="DN51" s="2070">
        <f t="shared" si="8"/>
        <v>1.2689855476541827</v>
      </c>
      <c r="DO51" s="2069">
        <f t="shared" si="1"/>
        <v>-0.16416861036819869</v>
      </c>
      <c r="DP51" s="2069">
        <f t="shared" si="9"/>
        <v>-0.28191955975562077</v>
      </c>
      <c r="DQ51" s="2069">
        <f t="shared" si="2"/>
        <v>0.82289737753036318</v>
      </c>
      <c r="DR51" s="2069">
        <f t="shared" si="3"/>
        <v>0.2633627854759234</v>
      </c>
      <c r="DT51" s="2077">
        <v>4.4609999999999997E-2</v>
      </c>
      <c r="DU51" s="2069">
        <f t="shared" si="4"/>
        <v>0.32651964788159615</v>
      </c>
      <c r="DV51" s="2069">
        <f t="shared" si="5"/>
        <v>1.2576431560698242E-2</v>
      </c>
      <c r="DW51" s="2069">
        <f t="shared" si="10"/>
        <v>1.2576431560698242E-2</v>
      </c>
      <c r="DX51" s="2069">
        <f t="shared" si="11"/>
        <v>1.2576431560698242E-2</v>
      </c>
      <c r="DY51" s="2069">
        <f t="shared" si="12"/>
        <v>1.2576431560698242E-2</v>
      </c>
      <c r="DZ51" s="2069">
        <f t="shared" si="13"/>
        <v>1.2576431560698242E-2</v>
      </c>
      <c r="EA51" s="2069">
        <f t="shared" si="14"/>
        <v>1.2576431560698242E-2</v>
      </c>
      <c r="EB51" s="2069">
        <f t="shared" si="15"/>
        <v>1.2579250756295799E-2</v>
      </c>
      <c r="EC51" s="2069">
        <f t="shared" si="16"/>
        <v>1.2576431560698242E-2</v>
      </c>
      <c r="ED51" s="2069">
        <f t="shared" si="17"/>
        <v>1.2579250756295799E-2</v>
      </c>
      <c r="EE51" s="2069">
        <f t="shared" si="18"/>
        <v>1.2748402492149173E-2</v>
      </c>
      <c r="EF51" s="2069">
        <f t="shared" si="19"/>
        <v>1.3757674516074295E-2</v>
      </c>
      <c r="EG51" s="2069">
        <f t="shared" si="20"/>
        <v>1.4899448733084558E-2</v>
      </c>
      <c r="EH51" s="2069">
        <f t="shared" si="21"/>
        <v>1.6106064448838615E-2</v>
      </c>
      <c r="EI51" s="2069">
        <f t="shared" si="22"/>
        <v>1.7414171206104695E-2</v>
      </c>
      <c r="EJ51" s="2069">
        <f t="shared" si="23"/>
        <v>1.88237690048828E-2</v>
      </c>
      <c r="EK51" s="2069">
        <f t="shared" si="24"/>
        <v>2.0351773018758266E-2</v>
      </c>
      <c r="EL51" s="2069">
        <f>EK50</f>
        <v>1.0571983490835778E-2</v>
      </c>
      <c r="EQ51" s="2070">
        <f t="shared" si="6"/>
        <v>0.56438645722980374</v>
      </c>
    </row>
    <row r="52" spans="2:147">
      <c r="C52" t="s">
        <v>479</v>
      </c>
      <c r="X52" s="2056"/>
      <c r="AC52" s="2056">
        <f>+AC50*(1+AC51)</f>
        <v>16.529999999999998</v>
      </c>
      <c r="BS52" s="895"/>
      <c r="BT52" s="927" t="s">
        <v>498</v>
      </c>
      <c r="BU52" s="927"/>
      <c r="BX52" s="2080">
        <f>BX45-BX50</f>
        <v>-38.319999999999993</v>
      </c>
      <c r="BY52" s="2080"/>
      <c r="BZ52" s="2080"/>
      <c r="CA52" s="2080"/>
      <c r="CB52" s="2080"/>
      <c r="CC52" s="2080">
        <f>CC45-CC50</f>
        <v>456</v>
      </c>
      <c r="CD52" s="2080"/>
      <c r="CE52" s="2080"/>
      <c r="CF52" s="2080"/>
      <c r="CG52" s="2080"/>
      <c r="CH52" s="2080">
        <f>CH45-CH50</f>
        <v>-6094.48</v>
      </c>
      <c r="CM52" s="2080">
        <f>CM45-CM50</f>
        <v>-2255.06</v>
      </c>
      <c r="CN52" s="2080"/>
      <c r="CO52" s="2080"/>
      <c r="CP52" s="2080"/>
      <c r="CQ52" s="2080"/>
      <c r="CR52" s="2080">
        <f>CR45-CR50</f>
        <v>-219.06630142658713</v>
      </c>
      <c r="CS52" s="895"/>
      <c r="CT52" s="895"/>
      <c r="CU52" s="895"/>
      <c r="CV52" s="895"/>
      <c r="CW52" s="2080">
        <f>CW45-CW50</f>
        <v>-296.37736877253496</v>
      </c>
      <c r="CX52" s="895"/>
      <c r="CY52" s="895"/>
      <c r="CZ52" s="895"/>
      <c r="DA52" s="895"/>
      <c r="DB52" s="2080">
        <f>DB45-DB50</f>
        <v>-289.71143737930879</v>
      </c>
      <c r="DC52" s="895"/>
      <c r="DD52" s="895"/>
      <c r="DE52" s="895"/>
      <c r="DF52" s="895"/>
      <c r="DG52" s="2080">
        <f>DG45-DG50</f>
        <v>-177.81822006048239</v>
      </c>
      <c r="DH52" s="2043"/>
      <c r="DL52">
        <f t="shared" si="7"/>
        <v>18</v>
      </c>
      <c r="DN52" s="2070">
        <f t="shared" si="8"/>
        <v>1.2880203308689953</v>
      </c>
      <c r="DO52" s="2069">
        <f t="shared" si="1"/>
        <v>-0.16662278399676209</v>
      </c>
      <c r="DP52" s="2069">
        <f t="shared" si="9"/>
        <v>-0.28191955975562077</v>
      </c>
      <c r="DQ52" s="2069">
        <f t="shared" si="2"/>
        <v>0.83947798711661248</v>
      </c>
      <c r="DR52" s="2069">
        <f t="shared" si="3"/>
        <v>0.25125381932743401</v>
      </c>
      <c r="DT52" s="2077">
        <v>4.4609999999999997E-2</v>
      </c>
      <c r="DU52" s="2069">
        <f t="shared" si="4"/>
        <v>0.32651964788159615</v>
      </c>
      <c r="DV52" s="2069">
        <f t="shared" si="5"/>
        <v>1.2576431560698242E-2</v>
      </c>
      <c r="DW52" s="2069">
        <f t="shared" si="10"/>
        <v>1.2576431560698242E-2</v>
      </c>
      <c r="DX52" s="2069">
        <f t="shared" si="11"/>
        <v>1.2576431560698242E-2</v>
      </c>
      <c r="DY52" s="2069">
        <f t="shared" si="12"/>
        <v>1.2576431560698242E-2</v>
      </c>
      <c r="DZ52" s="2069">
        <f t="shared" si="13"/>
        <v>1.2576431560698242E-2</v>
      </c>
      <c r="EA52" s="2069">
        <f t="shared" si="14"/>
        <v>1.2576431560698242E-2</v>
      </c>
      <c r="EB52" s="2069">
        <f t="shared" si="15"/>
        <v>1.2576431560698242E-2</v>
      </c>
      <c r="EC52" s="2069">
        <f t="shared" si="16"/>
        <v>1.2579250756295799E-2</v>
      </c>
      <c r="ED52" s="2069">
        <f t="shared" si="17"/>
        <v>1.2576431560698242E-2</v>
      </c>
      <c r="EE52" s="2069">
        <f t="shared" si="18"/>
        <v>1.2579250756295799E-2</v>
      </c>
      <c r="EF52" s="2069">
        <f t="shared" si="19"/>
        <v>1.2748402492149173E-2</v>
      </c>
      <c r="EG52" s="2069">
        <f t="shared" si="20"/>
        <v>1.3757674516074295E-2</v>
      </c>
      <c r="EH52" s="2069">
        <f t="shared" si="21"/>
        <v>1.4899448733084558E-2</v>
      </c>
      <c r="EI52" s="2069">
        <f t="shared" si="22"/>
        <v>1.6106064448838615E-2</v>
      </c>
      <c r="EJ52" s="2069">
        <f t="shared" si="23"/>
        <v>1.7414171206104695E-2</v>
      </c>
      <c r="EK52" s="2069">
        <f t="shared" si="24"/>
        <v>1.88237690048828E-2</v>
      </c>
      <c r="EL52" s="2069">
        <f>EK51</f>
        <v>2.0351773018758266E-2</v>
      </c>
      <c r="EM52" s="2069">
        <f>EL51</f>
        <v>1.0571983490835778E-2</v>
      </c>
      <c r="EQ52" s="2070">
        <f t="shared" si="6"/>
        <v>0.57696288879050195</v>
      </c>
    </row>
    <row r="53" spans="2:147">
      <c r="C53" s="2055" t="s">
        <v>1073</v>
      </c>
      <c r="D53" s="2055"/>
      <c r="E53" s="2055"/>
      <c r="F53" s="2055"/>
      <c r="G53" s="2055"/>
      <c r="H53" s="2055"/>
      <c r="I53" s="2055"/>
      <c r="J53" s="2055"/>
      <c r="K53" s="2055"/>
      <c r="L53" s="2055"/>
      <c r="M53" s="2055"/>
      <c r="N53" s="2055"/>
      <c r="O53" s="2055"/>
      <c r="P53" s="2055"/>
      <c r="Q53" s="2055"/>
      <c r="R53" s="2055"/>
      <c r="S53" s="2055"/>
      <c r="T53" s="2055"/>
      <c r="U53" s="2055"/>
      <c r="V53" s="2055"/>
      <c r="W53" s="2055"/>
      <c r="X53" s="2054"/>
      <c r="AC53" s="2053">
        <f>AC48*AC52</f>
        <v>37.969864330927599</v>
      </c>
      <c r="BS53" s="895"/>
      <c r="BT53" s="921" t="s">
        <v>401</v>
      </c>
      <c r="BU53" s="921"/>
      <c r="BX53" s="988">
        <f>BX52+(1-$DO$16)*BX43</f>
        <v>78.86</v>
      </c>
      <c r="BY53" s="988"/>
      <c r="BZ53" s="988"/>
      <c r="CA53" s="988"/>
      <c r="CB53" s="988"/>
      <c r="CC53" s="988">
        <f>CC52+(1-$DO$16)*CC43</f>
        <v>575.04</v>
      </c>
      <c r="CD53" s="988"/>
      <c r="CE53" s="988"/>
      <c r="CF53" s="988"/>
      <c r="CG53" s="988"/>
      <c r="CH53" s="988">
        <f>CH52+(1-$DO$16)*CH43</f>
        <v>-5974.2</v>
      </c>
      <c r="CM53" s="988">
        <f>CM52+(1-$DO$16)*CM43</f>
        <v>-2144.08</v>
      </c>
      <c r="CN53" s="988"/>
      <c r="CO53" s="988"/>
      <c r="CP53" s="988"/>
      <c r="CQ53" s="988"/>
      <c r="CR53" s="988">
        <f>CR52+(1-$DO$16)*CR43</f>
        <v>-112.88447573566806</v>
      </c>
      <c r="CS53" s="895"/>
      <c r="CT53" s="895"/>
      <c r="CU53" s="895"/>
      <c r="CV53" s="895"/>
      <c r="CW53" s="988">
        <f>CW52+(1-$DO$16)*CW43</f>
        <v>-192.22533691042293</v>
      </c>
      <c r="CX53" s="895"/>
      <c r="CY53" s="895"/>
      <c r="CZ53" s="895"/>
      <c r="DA53" s="895"/>
      <c r="DB53" s="988">
        <f>DB52+(1-$DO$16)*DB43</f>
        <v>-184.90156064405892</v>
      </c>
      <c r="DC53" s="895"/>
      <c r="DD53" s="895"/>
      <c r="DE53" s="895"/>
      <c r="DF53" s="895"/>
      <c r="DG53" s="988">
        <f>DG52+(1-$DO$16)*DG43</f>
        <v>-71.4512688852666</v>
      </c>
      <c r="DL53">
        <f t="shared" si="7"/>
        <v>19</v>
      </c>
      <c r="DN53" s="2070">
        <f t="shared" si="8"/>
        <v>1.3073406358320301</v>
      </c>
      <c r="DO53" s="2069">
        <f t="shared" si="1"/>
        <v>-0.16918545588964998</v>
      </c>
      <c r="DP53" s="2069">
        <f t="shared" si="9"/>
        <v>-0.28191955975562077</v>
      </c>
      <c r="DQ53" s="2069">
        <f t="shared" si="2"/>
        <v>0.85623562018675936</v>
      </c>
      <c r="DR53" s="2069">
        <f t="shared" si="3"/>
        <v>0.23965764187250072</v>
      </c>
      <c r="DT53" s="2077">
        <v>4.4609999999999997E-2</v>
      </c>
      <c r="DU53" s="2069">
        <f t="shared" si="4"/>
        <v>0.32651964788159615</v>
      </c>
      <c r="DV53" s="2069">
        <f t="shared" si="5"/>
        <v>1.2576431560698242E-2</v>
      </c>
      <c r="DW53" s="2069">
        <f t="shared" si="10"/>
        <v>1.2576431560698242E-2</v>
      </c>
      <c r="DX53" s="2069">
        <f t="shared" si="11"/>
        <v>1.2576431560698242E-2</v>
      </c>
      <c r="DY53" s="2069">
        <f t="shared" si="12"/>
        <v>1.2576431560698242E-2</v>
      </c>
      <c r="DZ53" s="2069">
        <f t="shared" si="13"/>
        <v>1.2576431560698242E-2</v>
      </c>
      <c r="EA53" s="2069">
        <f t="shared" si="14"/>
        <v>1.2576431560698242E-2</v>
      </c>
      <c r="EB53" s="2069">
        <f t="shared" si="15"/>
        <v>1.2576431560698242E-2</v>
      </c>
      <c r="EC53" s="2069">
        <f t="shared" si="16"/>
        <v>1.2576431560698242E-2</v>
      </c>
      <c r="ED53" s="2069">
        <f t="shared" si="17"/>
        <v>1.2579250756295799E-2</v>
      </c>
      <c r="EE53" s="2069">
        <f t="shared" si="18"/>
        <v>1.2576431560698242E-2</v>
      </c>
      <c r="EF53" s="2069">
        <f t="shared" si="19"/>
        <v>1.2579250756295799E-2</v>
      </c>
      <c r="EG53" s="2069">
        <f t="shared" si="20"/>
        <v>1.2748402492149173E-2</v>
      </c>
      <c r="EH53" s="2069">
        <f t="shared" si="21"/>
        <v>1.3757674516074295E-2</v>
      </c>
      <c r="EI53" s="2069">
        <f t="shared" si="22"/>
        <v>1.4899448733084558E-2</v>
      </c>
      <c r="EJ53" s="2069">
        <f t="shared" si="23"/>
        <v>1.6106064448838615E-2</v>
      </c>
      <c r="EK53" s="2069">
        <f t="shared" si="24"/>
        <v>1.7414171206104695E-2</v>
      </c>
      <c r="EL53" s="2069">
        <f>EK52</f>
        <v>1.88237690048828E-2</v>
      </c>
      <c r="EM53" s="2069">
        <f>EL52</f>
        <v>2.0351773018758266E-2</v>
      </c>
      <c r="EN53" s="2069">
        <f>EM52</f>
        <v>1.0571983490835778E-2</v>
      </c>
      <c r="EQ53" s="2070">
        <f t="shared" si="6"/>
        <v>0.58953932035120027</v>
      </c>
    </row>
    <row r="54" spans="2:147">
      <c r="BS54" s="895"/>
      <c r="BT54" s="921" t="s">
        <v>842</v>
      </c>
      <c r="BU54" s="895"/>
      <c r="BX54" s="895"/>
      <c r="BY54" s="895"/>
      <c r="BZ54" s="895"/>
      <c r="CA54" s="895"/>
      <c r="CB54" s="895"/>
      <c r="CC54" s="895"/>
      <c r="CD54" s="895"/>
      <c r="CE54" s="895"/>
      <c r="CF54" s="895"/>
      <c r="CG54" s="895"/>
      <c r="CH54" s="895"/>
      <c r="CM54" s="2079"/>
      <c r="CN54" s="895"/>
      <c r="CO54" s="895"/>
      <c r="CP54" s="895"/>
      <c r="CQ54" s="895"/>
      <c r="CR54" s="2079"/>
      <c r="CS54" s="895"/>
      <c r="CT54" s="895"/>
      <c r="CU54" s="895"/>
      <c r="CV54" s="895"/>
      <c r="CW54" s="2079"/>
      <c r="CX54" s="895"/>
      <c r="CY54" s="895"/>
      <c r="CZ54" s="895"/>
      <c r="DA54" s="895"/>
      <c r="DB54" s="2078">
        <f>SUM(DG53:DG54)/(1+DO17)</f>
        <v>1952.9452068222261</v>
      </c>
      <c r="DC54" s="895"/>
      <c r="DD54" s="895"/>
      <c r="DE54" s="895"/>
      <c r="DF54" s="895"/>
      <c r="DG54" s="2078">
        <f>IF(DV9=2,DG41*$DO$25,(DG53+DG49+DG48)/($DO$17-$DV$10))</f>
        <v>2159.7634777575131</v>
      </c>
      <c r="DL54">
        <f t="shared" si="7"/>
        <v>20</v>
      </c>
      <c r="DN54" s="2070">
        <f t="shared" si="8"/>
        <v>1.3269507453695104</v>
      </c>
      <c r="DO54" s="2069">
        <f t="shared" si="1"/>
        <v>-0.23627206605599879</v>
      </c>
      <c r="DP54" s="2069">
        <f t="shared" si="9"/>
        <v>-0.28191955975562077</v>
      </c>
      <c r="DQ54" s="2069">
        <f t="shared" si="2"/>
        <v>0.80875911955789093</v>
      </c>
      <c r="DR54" s="2069">
        <f t="shared" si="3"/>
        <v>0.21169559084340092</v>
      </c>
      <c r="DT54" s="2077">
        <v>4.4609999999999997E-2</v>
      </c>
      <c r="DU54" s="2069">
        <f t="shared" si="4"/>
        <v>0.32651964788159615</v>
      </c>
      <c r="DV54" s="2069">
        <f t="shared" si="5"/>
        <v>1.2576431560698242E-2</v>
      </c>
      <c r="DW54" s="2069">
        <f t="shared" si="10"/>
        <v>1.2576431560698242E-2</v>
      </c>
      <c r="DX54" s="2069">
        <f t="shared" si="11"/>
        <v>1.2576431560698242E-2</v>
      </c>
      <c r="DY54" s="2069">
        <f t="shared" si="12"/>
        <v>1.2576431560698242E-2</v>
      </c>
      <c r="DZ54" s="2069">
        <f t="shared" si="13"/>
        <v>1.2576431560698242E-2</v>
      </c>
      <c r="EA54" s="2069">
        <f t="shared" si="14"/>
        <v>1.2576431560698242E-2</v>
      </c>
      <c r="EB54" s="2069">
        <f t="shared" si="15"/>
        <v>1.2576431560698242E-2</v>
      </c>
      <c r="EC54" s="2069">
        <f t="shared" si="16"/>
        <v>1.2576431560698242E-2</v>
      </c>
      <c r="ED54" s="2069">
        <f t="shared" si="17"/>
        <v>1.2576431560698242E-2</v>
      </c>
      <c r="EE54" s="2069">
        <f t="shared" si="18"/>
        <v>1.2579250756295799E-2</v>
      </c>
      <c r="EF54" s="2069">
        <f t="shared" si="19"/>
        <v>1.2576431560698242E-2</v>
      </c>
      <c r="EG54" s="2069">
        <f t="shared" si="20"/>
        <v>1.2579250756295799E-2</v>
      </c>
      <c r="EH54" s="2069">
        <f t="shared" si="21"/>
        <v>1.2748402492149173E-2</v>
      </c>
      <c r="EI54" s="2069">
        <f t="shared" si="22"/>
        <v>1.3757674516074295E-2</v>
      </c>
      <c r="EJ54" s="2069">
        <f t="shared" si="23"/>
        <v>1.4899448733084558E-2</v>
      </c>
      <c r="EK54" s="2069">
        <f t="shared" si="24"/>
        <v>1.6106064448838615E-2</v>
      </c>
      <c r="EL54" s="2069">
        <f>EK53</f>
        <v>1.7414171206104695E-2</v>
      </c>
      <c r="EM54" s="2069">
        <f>EL53</f>
        <v>1.88237690048828E-2</v>
      </c>
      <c r="EN54" s="2069">
        <f>EM53</f>
        <v>2.0351773018758266E-2</v>
      </c>
      <c r="EO54" s="2069">
        <f>EN53</f>
        <v>1.0571983490835778E-2</v>
      </c>
      <c r="EQ54" s="2070">
        <f t="shared" si="6"/>
        <v>0.60211575191189859</v>
      </c>
    </row>
    <row r="55" spans="2:147">
      <c r="C55" t="s">
        <v>1072</v>
      </c>
      <c r="X55" s="2050"/>
      <c r="Y55" s="2050"/>
      <c r="Z55" s="2050"/>
      <c r="AA55" s="2050"/>
      <c r="AB55" s="2050"/>
      <c r="AC55" s="2050">
        <f>($X$42-AC53)/$X$42*X43</f>
        <v>-3405.5637582883878</v>
      </c>
      <c r="AH55" s="1640"/>
      <c r="BS55" s="895"/>
      <c r="BT55" s="895"/>
      <c r="BU55" s="895"/>
      <c r="BX55" s="895"/>
      <c r="BY55" s="895"/>
      <c r="BZ55" s="895"/>
      <c r="CA55" s="895"/>
      <c r="CB55" s="895"/>
      <c r="CC55" s="895"/>
      <c r="CD55" s="895"/>
      <c r="CE55" s="895"/>
      <c r="CF55" s="895"/>
      <c r="CG55" s="895"/>
      <c r="CH55" s="895"/>
      <c r="CM55" s="895"/>
      <c r="CN55" s="895"/>
      <c r="CO55" s="895"/>
      <c r="CP55" s="895"/>
      <c r="CQ55" s="895"/>
      <c r="CR55" s="895"/>
      <c r="CS55" s="895"/>
      <c r="CT55" s="895"/>
      <c r="CU55" s="895"/>
      <c r="CV55" s="895"/>
      <c r="CW55" s="895"/>
      <c r="CX55" s="895"/>
      <c r="CY55" s="895"/>
      <c r="CZ55" s="895"/>
      <c r="DA55" s="895"/>
      <c r="DB55" s="895"/>
      <c r="DC55" s="895"/>
      <c r="DD55" s="895"/>
      <c r="DE55" s="895"/>
      <c r="DF55" s="895"/>
      <c r="DG55" s="895"/>
      <c r="DL55">
        <f t="shared" si="7"/>
        <v>21</v>
      </c>
      <c r="DN55" s="2070">
        <f t="shared" si="8"/>
        <v>1.3468550065500529</v>
      </c>
      <c r="DO55" s="2069">
        <f t="shared" si="1"/>
        <v>-0.41300490248902011</v>
      </c>
      <c r="DP55" s="2069">
        <f t="shared" si="9"/>
        <v>-0.28191955975562077</v>
      </c>
      <c r="DQ55" s="2069">
        <f t="shared" si="2"/>
        <v>0.65193054430541197</v>
      </c>
      <c r="DR55" s="2069">
        <f t="shared" si="3"/>
        <v>0.15958371911002375</v>
      </c>
      <c r="DT55" s="2077">
        <v>2.231E-2</v>
      </c>
      <c r="DU55" s="2069">
        <f t="shared" si="4"/>
        <v>0.16329642107685294</v>
      </c>
      <c r="DV55" s="2069">
        <f t="shared" si="5"/>
        <v>6.2896253781478994E-3</v>
      </c>
      <c r="DW55" s="2069">
        <f t="shared" si="10"/>
        <v>1.2576431560698242E-2</v>
      </c>
      <c r="DX55" s="2069">
        <f t="shared" si="11"/>
        <v>1.2576431560698242E-2</v>
      </c>
      <c r="DY55" s="2069">
        <f t="shared" si="12"/>
        <v>1.2576431560698242E-2</v>
      </c>
      <c r="DZ55" s="2069">
        <f t="shared" si="13"/>
        <v>1.2576431560698242E-2</v>
      </c>
      <c r="EA55" s="2069">
        <f t="shared" si="14"/>
        <v>1.2576431560698242E-2</v>
      </c>
      <c r="EB55" s="2069">
        <f t="shared" si="15"/>
        <v>1.2576431560698242E-2</v>
      </c>
      <c r="EC55" s="2069">
        <f t="shared" si="16"/>
        <v>1.2576431560698242E-2</v>
      </c>
      <c r="ED55" s="2069">
        <f t="shared" si="17"/>
        <v>1.2576431560698242E-2</v>
      </c>
      <c r="EE55" s="2069">
        <f t="shared" si="18"/>
        <v>1.2576431560698242E-2</v>
      </c>
      <c r="EF55" s="2069">
        <f t="shared" si="19"/>
        <v>1.2579250756295799E-2</v>
      </c>
      <c r="EG55" s="2069">
        <f t="shared" si="20"/>
        <v>1.2576431560698242E-2</v>
      </c>
      <c r="EH55" s="2069">
        <f t="shared" si="21"/>
        <v>1.2579250756295799E-2</v>
      </c>
      <c r="EI55" s="2069">
        <f t="shared" si="22"/>
        <v>1.2748402492149173E-2</v>
      </c>
      <c r="EJ55" s="2069">
        <f t="shared" si="23"/>
        <v>1.3757674516074295E-2</v>
      </c>
      <c r="EK55" s="2069">
        <f t="shared" si="24"/>
        <v>1.4899448733084558E-2</v>
      </c>
      <c r="EL55" s="2069">
        <f>EK54</f>
        <v>1.6106064448838615E-2</v>
      </c>
      <c r="EM55" s="2069">
        <f>EL54</f>
        <v>1.7414171206104695E-2</v>
      </c>
      <c r="EN55" s="2069">
        <f>EM54</f>
        <v>1.88237690048828E-2</v>
      </c>
      <c r="EO55" s="2069">
        <f>EN54</f>
        <v>2.0351773018758266E-2</v>
      </c>
      <c r="EP55" s="2069">
        <f>EO54</f>
        <v>1.0571983490835778E-2</v>
      </c>
      <c r="EQ55" s="2070">
        <f t="shared" si="6"/>
        <v>0.44518215048530302</v>
      </c>
    </row>
    <row r="56" spans="2:147">
      <c r="BS56" s="895"/>
      <c r="BT56" s="895" t="s">
        <v>20</v>
      </c>
      <c r="BU56" s="895"/>
      <c r="BX56" s="2076">
        <f ca="1">(1/(1+$DO$17))^((BX39-$BT$8)/365)</f>
        <v>1.2490103355564031</v>
      </c>
      <c r="BY56" s="2076"/>
      <c r="BZ56" s="2076"/>
      <c r="CA56" s="2076"/>
      <c r="CB56" s="2076"/>
      <c r="CC56" s="2076">
        <f ca="1">(1/(1+$DO$17))^((CC39-$BT$8)/365)</f>
        <v>1.1680479277634295</v>
      </c>
      <c r="CD56" s="2076"/>
      <c r="CE56" s="2076"/>
      <c r="CF56" s="2076"/>
      <c r="CG56" s="2076"/>
      <c r="CH56" s="2076">
        <f ca="1">(1/(1+$DO$17))^((CH39-$BT$8)/365)</f>
        <v>1.0921330594472123</v>
      </c>
      <c r="CM56" s="2076">
        <f ca="1">(1/(1+$DO$17))^((CM39-$BT$8)/365)</f>
        <v>1.0213396323585857</v>
      </c>
      <c r="CR56" s="2076">
        <f ca="1">(1/(1+$DO$17))^((CR39-$BT$8)/365)</f>
        <v>0.95513512351174323</v>
      </c>
      <c r="CW56" s="2076">
        <f ca="1">(1/(1+$DO$17))^((CW39-$BT$8)/365)</f>
        <v>0.89322207350267235</v>
      </c>
      <c r="DB56" s="2076">
        <f ca="1">(1/(1+$DO$17))^((DB39-$BT$8)/365)</f>
        <v>0.83516894530875152</v>
      </c>
      <c r="DG56" s="2076">
        <f ca="1">(1/(1+$DO$17))^((DG39-$BT$8)/365)</f>
        <v>0.78103225259996545</v>
      </c>
      <c r="DL56">
        <f t="shared" si="7"/>
        <v>22</v>
      </c>
      <c r="DN56" s="2070">
        <f t="shared" si="8"/>
        <v>1.3670578316483035</v>
      </c>
      <c r="DO56" s="2069">
        <f t="shared" si="1"/>
        <v>-0.42068197602635532</v>
      </c>
      <c r="DP56" s="2069">
        <f t="shared" si="9"/>
        <v>-0.28191955975562077</v>
      </c>
      <c r="DQ56" s="2069">
        <f t="shared" si="2"/>
        <v>0.66445629586632737</v>
      </c>
      <c r="DR56" s="2069">
        <f t="shared" si="3"/>
        <v>0.15210668620685486</v>
      </c>
      <c r="EN56" s="2069"/>
      <c r="EO56" s="2069"/>
      <c r="EQ56" s="2070"/>
    </row>
    <row r="57" spans="2:147">
      <c r="C57" t="s">
        <v>1071</v>
      </c>
      <c r="X57" s="2050"/>
      <c r="AC57" s="2050">
        <f>$AH$37</f>
        <v>0</v>
      </c>
      <c r="BS57" s="895"/>
      <c r="BT57" s="895" t="s">
        <v>845</v>
      </c>
      <c r="BU57" s="895"/>
      <c r="BX57" s="2071">
        <f ca="1">+BX56*BX53</f>
        <v>98.496955061977943</v>
      </c>
      <c r="BY57" s="2071"/>
      <c r="BZ57" s="2071"/>
      <c r="CA57" s="2071"/>
      <c r="CB57" s="2071"/>
      <c r="CC57" s="2071">
        <f ca="1">+CC56*CC53</f>
        <v>671.67428038108244</v>
      </c>
      <c r="CD57" s="2071"/>
      <c r="CE57" s="2071"/>
      <c r="CF57" s="2071"/>
      <c r="CG57" s="2071"/>
      <c r="CH57" s="2071">
        <f ca="1">+CH56*CH53</f>
        <v>-6524.6213237495358</v>
      </c>
      <c r="CM57" s="2071">
        <f ca="1">CM56*(SUM(CM53:CM54))</f>
        <v>-2189.8338789473964</v>
      </c>
      <c r="CN57" s="2071"/>
      <c r="CO57" s="2071"/>
      <c r="CP57" s="2071"/>
      <c r="CQ57" s="2071"/>
      <c r="CR57" s="2071">
        <f ca="1">CR56*(SUM(CR53:CR54))</f>
        <v>-107.81992767434569</v>
      </c>
      <c r="CS57" s="895"/>
      <c r="CT57" s="895"/>
      <c r="CU57" s="895"/>
      <c r="CV57" s="895"/>
      <c r="CW57" s="2071">
        <f ca="1">CW56*(SUM(CW53:CW54))</f>
        <v>-171.69991401487775</v>
      </c>
      <c r="CX57" s="895"/>
      <c r="CY57" s="895"/>
      <c r="CZ57" s="895"/>
      <c r="DA57" s="895"/>
      <c r="DB57" s="2071">
        <f ca="1">DB56*(SUM(DB53:DB54))</f>
        <v>1476.6151472384593</v>
      </c>
      <c r="DC57" s="895"/>
      <c r="DD57" s="895"/>
      <c r="DE57" s="895"/>
      <c r="DF57" s="895"/>
      <c r="DG57" s="2071">
        <f ca="1">DG56*(SUM(DG53:DG54))</f>
        <v>1631.0391886275004</v>
      </c>
      <c r="DL57">
        <f t="shared" si="7"/>
        <v>23</v>
      </c>
      <c r="DN57" s="2070">
        <f t="shared" si="8"/>
        <v>1.387563699123028</v>
      </c>
      <c r="DO57" s="2069">
        <f t="shared" si="1"/>
        <v>-0.42847420566675065</v>
      </c>
      <c r="DP57" s="2069">
        <f t="shared" si="9"/>
        <v>-0.28191955975562077</v>
      </c>
      <c r="DQ57" s="2069">
        <f t="shared" si="2"/>
        <v>0.67716993370065659</v>
      </c>
      <c r="DR57" s="2069">
        <f t="shared" si="3"/>
        <v>0.14496867930425303</v>
      </c>
      <c r="EN57" s="2069"/>
      <c r="EO57" s="2069"/>
      <c r="EP57" s="2069"/>
      <c r="EQ57" s="2070"/>
    </row>
    <row r="58" spans="2:147">
      <c r="C58" t="s">
        <v>1070</v>
      </c>
      <c r="X58" s="2050"/>
      <c r="Y58" s="2050"/>
      <c r="Z58" s="2050"/>
      <c r="AA58" s="2050"/>
      <c r="AB58" s="2050"/>
      <c r="AC58" s="2050">
        <f ca="1">$AC$37</f>
        <v>-2294.7555761705707</v>
      </c>
      <c r="BS58" s="895"/>
      <c r="BT58" s="895"/>
      <c r="BU58" s="895"/>
      <c r="BX58" s="895"/>
      <c r="BY58" s="895"/>
      <c r="BZ58" s="895"/>
      <c r="CA58" s="895"/>
      <c r="CB58" s="895"/>
      <c r="CC58" s="895"/>
      <c r="CD58" s="895"/>
      <c r="CE58" s="895"/>
      <c r="CF58" s="895"/>
      <c r="CG58" s="895"/>
      <c r="CH58" s="895"/>
      <c r="CM58" s="895"/>
      <c r="CN58" s="895"/>
      <c r="CO58" s="895"/>
      <c r="CP58" s="895"/>
      <c r="CQ58" s="895"/>
      <c r="CR58" s="895"/>
      <c r="CS58" s="895"/>
      <c r="CT58" s="895"/>
      <c r="CU58" s="895"/>
      <c r="CV58" s="895"/>
      <c r="CW58" s="895"/>
      <c r="CX58" s="895"/>
      <c r="CY58" s="895"/>
      <c r="CZ58" s="895"/>
      <c r="DA58" s="895"/>
      <c r="DB58" s="895"/>
      <c r="DC58" s="895"/>
      <c r="DD58" s="895"/>
      <c r="DE58" s="895"/>
      <c r="DF58" s="895"/>
      <c r="DG58" s="895"/>
      <c r="DL58">
        <f t="shared" si="7"/>
        <v>24</v>
      </c>
      <c r="DN58" s="2070">
        <f t="shared" si="8"/>
        <v>1.4083771546098733</v>
      </c>
      <c r="DO58" s="2069">
        <f t="shared" si="1"/>
        <v>-0.43638331875175185</v>
      </c>
      <c r="DP58" s="2069">
        <f t="shared" si="9"/>
        <v>-0.28191955975562077</v>
      </c>
      <c r="DQ58" s="2069">
        <f t="shared" si="2"/>
        <v>0.69007427610250072</v>
      </c>
      <c r="DR58" s="2069">
        <f t="shared" si="3"/>
        <v>0.13815512012250564</v>
      </c>
    </row>
    <row r="59" spans="2:147">
      <c r="C59" t="s">
        <v>1117</v>
      </c>
      <c r="AC59" s="2050">
        <f>-1000</f>
        <v>-1000</v>
      </c>
      <c r="AM59" s="1966"/>
      <c r="AN59" s="1966"/>
      <c r="AO59" s="1966"/>
      <c r="AP59" s="1966"/>
      <c r="AQ59" s="1966"/>
      <c r="AR59" s="1966"/>
      <c r="BS59" s="895"/>
      <c r="BT59" s="994" t="s">
        <v>500</v>
      </c>
      <c r="BU59" s="994"/>
      <c r="BX59" s="2075">
        <f>$BX$62/BX41</f>
        <v>0</v>
      </c>
      <c r="BY59" s="2075"/>
      <c r="BZ59" s="2075"/>
      <c r="CA59" s="2075"/>
      <c r="CB59" s="2075"/>
      <c r="CC59" s="2075">
        <f>$BX$62/CC41</f>
        <v>0</v>
      </c>
      <c r="CD59" s="2075"/>
      <c r="CE59" s="2075"/>
      <c r="CF59" s="2075"/>
      <c r="CG59" s="2075"/>
      <c r="CH59" s="2075">
        <f>'Genco Spin Math'!$BX$62/CH41</f>
        <v>0</v>
      </c>
      <c r="CM59" s="2075">
        <f>'Genco Spin Math'!$BX$62/CM41</f>
        <v>0</v>
      </c>
      <c r="CN59" s="2075"/>
      <c r="CO59" s="2075"/>
      <c r="CP59" s="2075"/>
      <c r="CQ59" s="2075"/>
      <c r="CR59" s="2075">
        <f>'Genco Spin Math'!$BX$62/CR41</f>
        <v>0</v>
      </c>
      <c r="CS59" s="895"/>
      <c r="CT59" s="895"/>
      <c r="CU59" s="895"/>
      <c r="CV59" s="895"/>
      <c r="CW59" s="2075">
        <f>'Genco Spin Math'!$BX$62/CW41</f>
        <v>0</v>
      </c>
      <c r="CX59" s="895"/>
      <c r="CY59" s="895"/>
      <c r="CZ59" s="895"/>
      <c r="DA59" s="895"/>
      <c r="DB59" s="2075">
        <f>'Genco Spin Math'!$BX$62/DB41</f>
        <v>0</v>
      </c>
      <c r="DC59" s="895"/>
      <c r="DD59" s="895"/>
      <c r="DE59" s="895"/>
      <c r="DF59" s="895"/>
      <c r="DG59" s="2075"/>
      <c r="DL59">
        <f t="shared" si="7"/>
        <v>25</v>
      </c>
      <c r="DN59" s="2070">
        <f t="shared" si="8"/>
        <v>1.4295028119290214</v>
      </c>
      <c r="DO59" s="2069">
        <f t="shared" si="1"/>
        <v>-0.44441106853302814</v>
      </c>
      <c r="DP59" s="2069">
        <f t="shared" si="9"/>
        <v>-0.28191955975562077</v>
      </c>
      <c r="DQ59" s="2069">
        <f t="shared" si="2"/>
        <v>0.70317218364037248</v>
      </c>
      <c r="DR59" s="2069">
        <f t="shared" si="3"/>
        <v>0.1316519996031002</v>
      </c>
    </row>
    <row r="60" spans="2:147">
      <c r="B60" s="2043"/>
      <c r="C60" t="s">
        <v>1105</v>
      </c>
      <c r="AC60" s="2160">
        <f>Valuation!DR17</f>
        <v>1554.9474308603992</v>
      </c>
      <c r="AM60" s="1966"/>
      <c r="AN60" s="1966"/>
      <c r="AO60" s="1966"/>
      <c r="AP60" s="1966"/>
      <c r="AQ60" s="1966"/>
      <c r="AR60" s="1966"/>
      <c r="BS60" s="895"/>
      <c r="BT60" s="994" t="s">
        <v>691</v>
      </c>
      <c r="BU60" s="994"/>
      <c r="BX60" s="2075">
        <f>$BX$65/(BX52+BX47)</f>
        <v>0</v>
      </c>
      <c r="BY60" s="2075"/>
      <c r="BZ60" s="2075"/>
      <c r="CA60" s="2075"/>
      <c r="CB60" s="2075"/>
      <c r="CC60" s="2075">
        <f>$BX$65/(CC52+CC47)</f>
        <v>0</v>
      </c>
      <c r="CD60" s="2075"/>
      <c r="CE60" s="2075"/>
      <c r="CF60" s="2075"/>
      <c r="CG60" s="2075"/>
      <c r="CH60" s="2075">
        <f>'Genco Spin Math'!$BX$65/(CH52+CH47)</f>
        <v>0</v>
      </c>
      <c r="CM60" s="2075">
        <f>'Genco Spin Math'!$BX$65/(CM52+CM47)</f>
        <v>0</v>
      </c>
      <c r="CN60" s="2075"/>
      <c r="CO60" s="2075"/>
      <c r="CP60" s="2075"/>
      <c r="CQ60" s="2075"/>
      <c r="CR60" s="2075">
        <f>'Genco Spin Math'!$BX$65/(CR52+CR47)</f>
        <v>0</v>
      </c>
      <c r="CS60" s="895"/>
      <c r="CT60" s="895"/>
      <c r="CU60" s="895"/>
      <c r="CV60" s="895"/>
      <c r="CW60" s="2075">
        <f>'Genco Spin Math'!$BX$65/(CW52+CW47)</f>
        <v>0</v>
      </c>
      <c r="CX60" s="895"/>
      <c r="CY60" s="895"/>
      <c r="CZ60" s="895"/>
      <c r="DA60" s="895"/>
      <c r="DB60" s="2075">
        <f>'Genco Spin Math'!$BX$65/(DB52+DB47)</f>
        <v>0</v>
      </c>
      <c r="DC60" s="895"/>
      <c r="DD60" s="895"/>
      <c r="DE60" s="895"/>
      <c r="DF60" s="895"/>
      <c r="DG60" s="2075"/>
      <c r="DL60">
        <f t="shared" si="7"/>
        <v>26</v>
      </c>
      <c r="DN60" s="2070">
        <f t="shared" si="8"/>
        <v>1.4509453541079567</v>
      </c>
      <c r="DO60" s="2069">
        <f t="shared" si="1"/>
        <v>-0.45255923456102354</v>
      </c>
      <c r="DP60" s="2069">
        <f t="shared" si="9"/>
        <v>-0.28191955975562077</v>
      </c>
      <c r="DQ60" s="2069">
        <f t="shared" si="2"/>
        <v>0.71646655979131235</v>
      </c>
      <c r="DR60" s="2069">
        <f t="shared" si="3"/>
        <v>0.1254458600973406</v>
      </c>
    </row>
    <row r="61" spans="2:147">
      <c r="C61" t="s">
        <v>1069</v>
      </c>
      <c r="X61" s="2050"/>
      <c r="AC61" s="2050">
        <f ca="1">AC58+AC57-AC55</f>
        <v>1110.8081821178171</v>
      </c>
      <c r="AM61" s="1966"/>
      <c r="AN61" s="1966"/>
      <c r="AO61" s="1966"/>
      <c r="AP61" s="1966"/>
      <c r="AQ61" s="1966"/>
      <c r="AR61" s="1966"/>
      <c r="BS61" s="895"/>
      <c r="BT61" s="895"/>
      <c r="BU61" s="895"/>
      <c r="BV61" s="895"/>
      <c r="BX61" s="895"/>
      <c r="BY61" s="895"/>
      <c r="BZ61" s="895"/>
      <c r="CA61" s="895"/>
      <c r="CB61" s="895"/>
      <c r="CC61" s="895"/>
      <c r="CD61" s="895"/>
      <c r="CE61" s="895"/>
      <c r="CF61" s="895"/>
      <c r="CG61" s="895"/>
      <c r="CH61" s="895"/>
      <c r="CM61" s="895"/>
      <c r="CN61" s="895"/>
      <c r="CO61" s="895"/>
      <c r="CP61" s="895"/>
      <c r="CQ61" s="895"/>
      <c r="CR61" s="895"/>
      <c r="CS61" s="895"/>
      <c r="CT61" s="895"/>
      <c r="CU61" s="895"/>
      <c r="CV61" s="895"/>
      <c r="CW61" s="895"/>
      <c r="CX61" s="895"/>
      <c r="CY61" s="895"/>
      <c r="CZ61" s="895"/>
      <c r="DA61" s="895"/>
      <c r="DB61" s="895"/>
      <c r="DC61" s="895"/>
      <c r="DD61" s="895"/>
      <c r="DE61" s="895"/>
      <c r="DF61" s="895"/>
      <c r="DG61" s="895"/>
      <c r="DL61">
        <f t="shared" si="7"/>
        <v>27</v>
      </c>
      <c r="DN61" s="2070">
        <f t="shared" si="8"/>
        <v>1.472709534419576</v>
      </c>
      <c r="DO61" s="2069">
        <f t="shared" si="1"/>
        <v>-0.46082962307943887</v>
      </c>
      <c r="DP61" s="2069">
        <f t="shared" si="9"/>
        <v>-0.28191955975562077</v>
      </c>
      <c r="DQ61" s="2069">
        <f t="shared" si="2"/>
        <v>0.72996035158451633</v>
      </c>
      <c r="DR61" s="2069">
        <f t="shared" si="3"/>
        <v>0.11952377774006208</v>
      </c>
    </row>
    <row r="62" spans="2:147">
      <c r="C62" s="2049" t="s">
        <v>1068</v>
      </c>
      <c r="D62" s="2048"/>
      <c r="E62" s="2048"/>
      <c r="F62" s="2048"/>
      <c r="G62" s="2048"/>
      <c r="H62" s="2048"/>
      <c r="I62" s="2048"/>
      <c r="J62" s="2048"/>
      <c r="K62" s="2048"/>
      <c r="L62" s="2048"/>
      <c r="M62" s="2048"/>
      <c r="N62" s="2048"/>
      <c r="O62" s="2048"/>
      <c r="P62" s="2048"/>
      <c r="Q62" s="2048"/>
      <c r="R62" s="2048"/>
      <c r="S62" s="2048"/>
      <c r="T62" s="2048"/>
      <c r="U62" s="2048"/>
      <c r="V62" s="2048"/>
      <c r="W62" s="2048"/>
      <c r="X62" s="2046"/>
      <c r="Y62" s="2048"/>
      <c r="Z62" s="2048"/>
      <c r="AA62" s="2048"/>
      <c r="AB62" s="2048"/>
      <c r="AC62" s="2045">
        <f ca="1">AC61/FirstEnergy!BB48</f>
        <v>2.3495419240866058</v>
      </c>
      <c r="BS62" s="895"/>
      <c r="BT62" s="2043" t="s">
        <v>162</v>
      </c>
      <c r="BU62" s="921"/>
      <c r="BV62" s="988">
        <f ca="1">SUM(CM57:DB57)</f>
        <v>-992.73857339816072</v>
      </c>
      <c r="BX62" s="988"/>
      <c r="BY62" s="988"/>
      <c r="BZ62" s="988"/>
      <c r="CA62" s="988"/>
      <c r="CB62" s="988"/>
      <c r="CC62" s="1698" t="s">
        <v>1082</v>
      </c>
      <c r="CD62" s="1698"/>
      <c r="CE62" s="1698"/>
      <c r="CF62" s="1698"/>
      <c r="CG62" s="1698"/>
      <c r="CH62" s="2073">
        <f>Competitive!AM555</f>
        <v>10844</v>
      </c>
      <c r="CM62" s="2073">
        <f>Competitive!AF583</f>
        <v>0</v>
      </c>
      <c r="CN62" s="895"/>
      <c r="CO62" s="895"/>
      <c r="CP62" s="895"/>
      <c r="CQ62" s="895"/>
      <c r="CR62" s="895"/>
      <c r="CS62" s="895"/>
      <c r="CT62" s="895"/>
      <c r="CU62" s="895"/>
      <c r="CV62" s="895"/>
      <c r="CW62" s="895"/>
      <c r="CX62" s="895"/>
      <c r="CY62" s="895"/>
      <c r="CZ62" s="895"/>
      <c r="DA62" s="895"/>
      <c r="DB62" s="895"/>
      <c r="DC62" s="895"/>
      <c r="DD62" s="895"/>
      <c r="DE62" s="895"/>
      <c r="DF62" s="895"/>
      <c r="DG62" s="895"/>
      <c r="DL62">
        <f t="shared" si="7"/>
        <v>28</v>
      </c>
      <c r="DN62" s="2070">
        <f t="shared" si="8"/>
        <v>1.4948001774358695</v>
      </c>
      <c r="DO62" s="2069">
        <f t="shared" si="1"/>
        <v>-0.46922406742563039</v>
      </c>
      <c r="DP62" s="2069">
        <f t="shared" si="9"/>
        <v>-0.28191955975562077</v>
      </c>
      <c r="DQ62" s="2069">
        <f t="shared" si="2"/>
        <v>0.74365655025461841</v>
      </c>
      <c r="DR62" s="2069">
        <f t="shared" si="3"/>
        <v>0.11387334504568666</v>
      </c>
    </row>
    <row r="63" spans="2:147">
      <c r="X63" s="1640"/>
      <c r="AC63" s="1640"/>
      <c r="BS63" s="895"/>
      <c r="BT63" s="2043" t="s">
        <v>1119</v>
      </c>
      <c r="BU63" s="921"/>
      <c r="BV63" s="1941">
        <f>Valuation!BW63</f>
        <v>-403.39027826204699</v>
      </c>
      <c r="BX63" s="1941"/>
      <c r="BY63" s="1941"/>
      <c r="BZ63" s="1941"/>
      <c r="CA63" s="1941"/>
      <c r="CB63" s="1941"/>
      <c r="CC63" s="895"/>
      <c r="CD63" s="895"/>
      <c r="CE63" s="895"/>
      <c r="CF63" s="895"/>
      <c r="CG63" s="895"/>
      <c r="CH63" s="2073">
        <f>CH62-'Genco Spin Math'!BX62</f>
        <v>10844</v>
      </c>
      <c r="CM63" s="2073">
        <f>CM62-BK90</f>
        <v>0</v>
      </c>
      <c r="CN63" s="895"/>
      <c r="CO63" s="895"/>
      <c r="CP63" s="895"/>
      <c r="CQ63" s="895"/>
      <c r="CR63" s="895"/>
      <c r="CS63" s="895"/>
      <c r="CT63" s="895"/>
      <c r="CU63" s="895"/>
      <c r="CV63" s="895"/>
      <c r="CW63" s="895"/>
      <c r="CX63" s="895"/>
      <c r="CY63" s="895"/>
      <c r="CZ63" s="895"/>
      <c r="DA63" s="895"/>
      <c r="DB63" s="895"/>
      <c r="DC63" s="895"/>
      <c r="DD63" s="895"/>
      <c r="DE63" s="895"/>
      <c r="DF63" s="895"/>
      <c r="DG63" s="895"/>
      <c r="DL63">
        <f t="shared" si="7"/>
        <v>29</v>
      </c>
      <c r="DN63" s="2070">
        <f t="shared" si="8"/>
        <v>1.5172221800974073</v>
      </c>
      <c r="DO63" s="2069">
        <f t="shared" si="1"/>
        <v>-0.47774442843701476</v>
      </c>
      <c r="DP63" s="2069">
        <f t="shared" si="9"/>
        <v>-0.28191955975562077</v>
      </c>
      <c r="DQ63" s="2069">
        <f t="shared" si="2"/>
        <v>0.7575581919047718</v>
      </c>
      <c r="DR63" s="2069">
        <f t="shared" si="3"/>
        <v>0.10848265375894987</v>
      </c>
    </row>
    <row r="64" spans="2:147">
      <c r="C64" s="2047" t="s">
        <v>1067</v>
      </c>
      <c r="D64" s="2046"/>
      <c r="E64" s="2046"/>
      <c r="F64" s="2046"/>
      <c r="G64" s="2046"/>
      <c r="H64" s="2046"/>
      <c r="I64" s="2046"/>
      <c r="J64" s="2046"/>
      <c r="K64" s="2046"/>
      <c r="L64" s="2046"/>
      <c r="M64" s="2046"/>
      <c r="N64" s="2046"/>
      <c r="O64" s="2046"/>
      <c r="P64" s="2046"/>
      <c r="Q64" s="2046"/>
      <c r="R64" s="2046"/>
      <c r="S64" s="2046"/>
      <c r="T64" s="2046"/>
      <c r="U64" s="2046"/>
      <c r="V64" s="2046"/>
      <c r="W64" s="2046"/>
      <c r="X64" s="2046"/>
      <c r="Y64" s="2046"/>
      <c r="Z64" s="2046"/>
      <c r="AA64" s="2046"/>
      <c r="AB64" s="2046"/>
      <c r="AC64" s="2045">
        <f ca="1">AC53+(AC57+AC58+AC60+AC59)/FirstEnergy!BB48</f>
        <v>34.289884075938765</v>
      </c>
      <c r="BS64" s="895"/>
      <c r="BT64" s="1865" t="s">
        <v>1080</v>
      </c>
      <c r="BU64" s="895"/>
      <c r="BV64" s="2071">
        <f>Competitive!$BB$619-Competitive!$BB$615</f>
        <v>3525.9012157129573</v>
      </c>
      <c r="BX64" s="2071"/>
      <c r="BY64" s="2071"/>
      <c r="BZ64" s="2071"/>
      <c r="CA64" s="2071"/>
      <c r="CB64" s="2071"/>
      <c r="CC64" s="895"/>
      <c r="CD64" s="895"/>
      <c r="CE64" s="895"/>
      <c r="CF64" s="895"/>
      <c r="CG64" s="895"/>
      <c r="CH64" s="895"/>
      <c r="CM64" s="895"/>
      <c r="CN64" s="895"/>
      <c r="CO64" s="895"/>
      <c r="CP64" s="895"/>
      <c r="CQ64" s="895"/>
      <c r="CR64" s="895"/>
      <c r="CS64" s="895"/>
      <c r="CT64" s="895"/>
      <c r="CU64" s="895"/>
      <c r="CV64" s="895"/>
      <c r="CW64" s="895"/>
      <c r="CX64" s="895"/>
      <c r="CY64" s="895"/>
      <c r="CZ64" s="895"/>
      <c r="DA64" s="895"/>
      <c r="DB64" s="895"/>
      <c r="DC64" s="895"/>
      <c r="DD64" s="895"/>
      <c r="DE64" s="895"/>
      <c r="DF64" s="895"/>
      <c r="DG64" s="895"/>
      <c r="DL64">
        <f t="shared" si="7"/>
        <v>30</v>
      </c>
      <c r="DN64" s="2070">
        <f t="shared" si="8"/>
        <v>1.5399805127988682</v>
      </c>
      <c r="DO64" s="2069">
        <f t="shared" si="1"/>
        <v>-0.48639259486356989</v>
      </c>
      <c r="DP64" s="2069">
        <f t="shared" si="9"/>
        <v>-0.28191955975562077</v>
      </c>
      <c r="DQ64" s="2069">
        <f t="shared" si="2"/>
        <v>0.77166835817967749</v>
      </c>
      <c r="DR64" s="2069">
        <f t="shared" si="3"/>
        <v>0.10334027798815584</v>
      </c>
    </row>
    <row r="65" spans="1:122">
      <c r="C65" s="2043"/>
      <c r="D65" s="2043"/>
      <c r="E65" s="2043"/>
      <c r="F65" s="2043"/>
      <c r="G65" s="2043"/>
      <c r="H65" s="2043"/>
      <c r="I65" s="2043"/>
      <c r="J65" s="2043"/>
      <c r="K65" s="2043"/>
      <c r="L65" s="2043"/>
      <c r="M65" s="2043"/>
      <c r="N65" s="2043"/>
      <c r="O65" s="2043"/>
      <c r="P65" s="2043"/>
      <c r="Q65" s="2043"/>
      <c r="R65" s="2043"/>
      <c r="S65" s="2043"/>
      <c r="T65" s="2043"/>
      <c r="U65" s="2043"/>
      <c r="V65" s="2043"/>
      <c r="W65" s="2043"/>
      <c r="X65" s="2044"/>
      <c r="Y65" s="2043"/>
      <c r="Z65" s="2043"/>
      <c r="AA65" s="2043"/>
      <c r="AB65" s="2043"/>
      <c r="AC65" s="2043"/>
      <c r="BS65" s="895"/>
      <c r="BT65" s="921" t="s">
        <v>501</v>
      </c>
      <c r="BU65" s="895"/>
      <c r="BV65" s="2067">
        <f ca="1">+BV62-BV64+BV63</f>
        <v>-4922.0300673731654</v>
      </c>
      <c r="BX65" s="2067"/>
      <c r="BY65" s="2067"/>
      <c r="BZ65" s="2067"/>
      <c r="CA65" s="2067"/>
      <c r="CB65" s="2067"/>
      <c r="CC65" s="1698" t="s">
        <v>1078</v>
      </c>
      <c r="CD65" s="1698"/>
      <c r="CE65" s="1698"/>
      <c r="CF65" s="1698"/>
      <c r="CG65" s="1698"/>
      <c r="CH65" s="895">
        <v>0</v>
      </c>
      <c r="CM65" s="895">
        <v>0</v>
      </c>
      <c r="CN65" s="895"/>
      <c r="CO65" s="895"/>
      <c r="CP65" s="895"/>
      <c r="CQ65" s="895"/>
      <c r="CR65" s="895"/>
      <c r="CS65" s="895"/>
      <c r="CT65" s="895"/>
      <c r="CU65" s="895"/>
      <c r="CV65" s="895"/>
      <c r="CW65" s="895"/>
      <c r="CX65" s="895"/>
      <c r="CY65" s="895"/>
      <c r="CZ65" s="895"/>
      <c r="DA65" s="895"/>
      <c r="DB65" s="895"/>
      <c r="DC65" s="895"/>
      <c r="DD65" s="895"/>
      <c r="DE65" s="895"/>
      <c r="DF65" s="895"/>
      <c r="DG65" s="895"/>
      <c r="DR65" s="2066">
        <f>SUM(DR35:DR59)</f>
        <v>8.2464635125169092</v>
      </c>
    </row>
    <row r="66" spans="1:122">
      <c r="BS66" s="895"/>
      <c r="BT66" s="895"/>
      <c r="BU66" s="895"/>
      <c r="BV66" s="895"/>
      <c r="CC66" s="895"/>
      <c r="CD66" s="895"/>
      <c r="CE66" s="895"/>
      <c r="CF66" s="895"/>
      <c r="CG66" s="895"/>
      <c r="CH66" s="895"/>
      <c r="CM66" s="895"/>
      <c r="CN66" s="895"/>
      <c r="CO66" s="895"/>
      <c r="CP66" s="895"/>
      <c r="CQ66" s="895"/>
      <c r="CR66" s="895"/>
      <c r="CS66" s="895"/>
      <c r="CT66" s="895"/>
      <c r="CU66" s="895"/>
      <c r="CV66" s="895"/>
      <c r="CW66" s="895"/>
      <c r="CX66" s="895"/>
      <c r="CY66" s="895"/>
      <c r="CZ66" s="895"/>
      <c r="DA66" s="895"/>
      <c r="DB66" s="895"/>
      <c r="DC66" s="895"/>
      <c r="DD66" s="895"/>
      <c r="DE66" s="895"/>
      <c r="DF66" s="895"/>
      <c r="DG66" s="895"/>
    </row>
    <row r="67" spans="1:122">
      <c r="BS67" s="895"/>
      <c r="BT67" s="2063" t="s">
        <v>1077</v>
      </c>
      <c r="BV67" s="2079">
        <f ca="1">Valuation!$BW$65</f>
        <v>-6087.3891487353458</v>
      </c>
      <c r="CC67" s="895"/>
      <c r="CD67" s="895"/>
      <c r="CE67" s="895"/>
      <c r="CF67" s="895"/>
      <c r="CG67" s="895"/>
      <c r="CH67" s="895"/>
      <c r="CM67" s="895"/>
      <c r="CN67" s="895"/>
      <c r="CO67" s="895"/>
      <c r="CP67" s="895"/>
      <c r="CQ67" s="895"/>
      <c r="CR67" s="895"/>
      <c r="CS67" s="895"/>
      <c r="CT67" s="895"/>
      <c r="CU67" s="895"/>
      <c r="CV67" s="895"/>
      <c r="CW67" s="895"/>
      <c r="CX67" s="895"/>
      <c r="CY67" s="895"/>
      <c r="CZ67" s="895"/>
      <c r="DA67" s="895"/>
      <c r="DB67" s="895"/>
      <c r="DC67" s="895"/>
      <c r="DD67" s="895"/>
      <c r="DE67" s="895"/>
      <c r="DF67" s="895"/>
      <c r="DG67" s="895"/>
    </row>
    <row r="68" spans="1:122">
      <c r="B68" s="2074" t="s">
        <v>1086</v>
      </c>
      <c r="C68" s="2074"/>
    </row>
    <row r="69" spans="1:122">
      <c r="C69" t="s">
        <v>11</v>
      </c>
      <c r="X69" s="2072">
        <v>44.14</v>
      </c>
      <c r="BV69" s="1589"/>
    </row>
    <row r="70" spans="1:122">
      <c r="C70" t="s">
        <v>1079</v>
      </c>
      <c r="X70" s="2068">
        <v>22600</v>
      </c>
    </row>
    <row r="72" spans="1:122">
      <c r="X72" s="2065"/>
      <c r="AC72" s="2064" t="s">
        <v>138</v>
      </c>
    </row>
    <row r="73" spans="1:122">
      <c r="C73" t="s">
        <v>1076</v>
      </c>
      <c r="X73" s="2061"/>
      <c r="AC73" s="2161">
        <v>2.08</v>
      </c>
    </row>
    <row r="74" spans="1:122">
      <c r="A74" s="2052"/>
      <c r="C74" t="s">
        <v>1075</v>
      </c>
      <c r="X74" s="2061"/>
      <c r="AC74" s="2061">
        <f>-20*0.6/509</f>
        <v>-2.3575638506876228E-2</v>
      </c>
    </row>
    <row r="75" spans="1:122">
      <c r="A75" s="2052"/>
      <c r="C75" t="s">
        <v>1074</v>
      </c>
      <c r="X75" s="2061"/>
      <c r="AC75" s="2061">
        <f>AC73+AC74</f>
        <v>2.0564243614931237</v>
      </c>
      <c r="BR75" s="2052"/>
    </row>
    <row r="76" spans="1:122">
      <c r="AC76" s="2060"/>
      <c r="BR76" s="2052"/>
    </row>
    <row r="77" spans="1:122">
      <c r="A77" s="2043"/>
      <c r="C77" t="s">
        <v>10</v>
      </c>
      <c r="X77" s="2059"/>
      <c r="AC77" s="2059">
        <f>AC50</f>
        <v>17.399999999999999</v>
      </c>
      <c r="AN77" s="2052"/>
      <c r="AO77" s="2052"/>
      <c r="AP77" s="2052"/>
      <c r="AQ77" s="2052"/>
      <c r="AR77" s="2052"/>
      <c r="AS77" s="2052"/>
      <c r="AT77" s="2052"/>
      <c r="AU77" s="2052"/>
      <c r="AV77" s="2052"/>
      <c r="AW77" s="2052"/>
      <c r="AX77" s="2052"/>
      <c r="AY77" s="2052"/>
      <c r="AZ77" s="2052"/>
      <c r="BA77" s="2052"/>
      <c r="BB77" s="2051"/>
      <c r="BC77" s="2052"/>
      <c r="BD77" s="2052"/>
      <c r="BE77" s="2052"/>
      <c r="BF77" s="2052"/>
      <c r="BG77" s="2051"/>
      <c r="BH77" s="2052"/>
      <c r="BI77" s="2052"/>
      <c r="BJ77" s="2052"/>
      <c r="BK77" s="2052"/>
      <c r="BL77" s="2052"/>
      <c r="BM77" s="2052"/>
      <c r="BN77" s="2052"/>
      <c r="BO77" s="2052"/>
      <c r="BP77" s="2052"/>
      <c r="BQ77" s="2052"/>
    </row>
    <row r="78" spans="1:122">
      <c r="C78" t="s">
        <v>478</v>
      </c>
      <c r="X78" s="2057"/>
      <c r="Y78" s="2058"/>
      <c r="Z78" s="2058"/>
      <c r="AA78" s="2058"/>
      <c r="AB78" s="2058"/>
      <c r="AC78" s="2057">
        <v>0.05</v>
      </c>
      <c r="AD78" s="2052"/>
      <c r="AE78" s="2052"/>
      <c r="AF78" s="2052"/>
      <c r="AG78" s="2052"/>
      <c r="AH78" s="2052"/>
      <c r="AI78" s="2052"/>
      <c r="AJ78" s="2052"/>
      <c r="AK78" s="2052"/>
      <c r="AL78" s="2052"/>
      <c r="AM78" s="2052"/>
      <c r="BB78" s="2051"/>
      <c r="BG78" s="2051"/>
      <c r="BR78" s="2043"/>
    </row>
    <row r="79" spans="1:122">
      <c r="C79" t="s">
        <v>479</v>
      </c>
      <c r="X79" s="2056"/>
      <c r="AC79" s="2056">
        <f>+AC77*(1+AC78)</f>
        <v>18.27</v>
      </c>
      <c r="AN79" s="2043"/>
      <c r="AO79" s="2043"/>
      <c r="AP79" s="2043"/>
      <c r="AQ79" s="2043"/>
      <c r="AR79" s="2043"/>
      <c r="AS79" s="2043"/>
      <c r="AT79" s="2043"/>
      <c r="AU79" s="2043"/>
      <c r="AV79" s="2043"/>
      <c r="AW79" s="2043"/>
      <c r="AX79" s="2043"/>
      <c r="AY79" s="2043"/>
      <c r="AZ79" s="2043"/>
      <c r="BA79" s="2043"/>
      <c r="BB79" s="2043"/>
      <c r="BC79" s="2043"/>
      <c r="BD79" s="2043"/>
      <c r="BE79" s="2043"/>
      <c r="BF79" s="2043"/>
      <c r="BG79" s="2043"/>
      <c r="BH79" s="2043"/>
      <c r="BI79" s="2043"/>
      <c r="BJ79" s="2043"/>
      <c r="BK79" s="2043"/>
      <c r="BL79" s="2043"/>
      <c r="BM79" s="2043"/>
      <c r="BN79" s="2043"/>
      <c r="BO79" s="2043"/>
      <c r="BP79" s="2043"/>
      <c r="BQ79" s="2043"/>
    </row>
    <row r="80" spans="1:122">
      <c r="C80" s="2055" t="s">
        <v>1073</v>
      </c>
      <c r="D80" s="2055"/>
      <c r="E80" s="2055"/>
      <c r="F80" s="2055"/>
      <c r="G80" s="2055"/>
      <c r="H80" s="2055"/>
      <c r="I80" s="2055"/>
      <c r="J80" s="2055"/>
      <c r="K80" s="2055"/>
      <c r="L80" s="2055"/>
      <c r="M80" s="2055"/>
      <c r="N80" s="2055"/>
      <c r="O80" s="2055"/>
      <c r="P80" s="2055"/>
      <c r="Q80" s="2055"/>
      <c r="R80" s="2055"/>
      <c r="S80" s="2055"/>
      <c r="T80" s="2055"/>
      <c r="U80" s="2055"/>
      <c r="V80" s="2055"/>
      <c r="W80" s="2055"/>
      <c r="X80" s="2054"/>
      <c r="AC80" s="2053">
        <f>AC75*AC79</f>
        <v>37.570873084479366</v>
      </c>
      <c r="AD80" s="2043"/>
      <c r="AE80" s="2043"/>
      <c r="AF80" s="2043"/>
      <c r="AG80" s="2043"/>
      <c r="AH80" s="2043"/>
      <c r="AI80" s="2043"/>
      <c r="AJ80" s="2043"/>
      <c r="AK80" s="2043"/>
      <c r="AL80" s="2043"/>
      <c r="AM80" s="2043"/>
    </row>
    <row r="82" spans="3:44">
      <c r="C82" t="s">
        <v>1072</v>
      </c>
      <c r="X82" s="2050"/>
      <c r="Y82" s="2050"/>
      <c r="Z82" s="2050"/>
      <c r="AA82" s="2050"/>
      <c r="AB82" s="2050"/>
      <c r="AC82" s="2050">
        <f>($X$69-AC80)/$X$69*X70</f>
        <v>3363.4406046843301</v>
      </c>
    </row>
    <row r="84" spans="3:44">
      <c r="C84" t="s">
        <v>1084</v>
      </c>
      <c r="X84" s="2050"/>
      <c r="AC84" s="2050">
        <f>AH36</f>
        <v>2000</v>
      </c>
      <c r="AM84" s="1966"/>
      <c r="AN84" s="1966"/>
      <c r="AO84" s="1966"/>
      <c r="AP84" s="1966"/>
      <c r="AQ84" s="1966"/>
      <c r="AR84" s="1966"/>
    </row>
    <row r="85" spans="3:44">
      <c r="C85" t="s">
        <v>1083</v>
      </c>
      <c r="X85" s="2050"/>
      <c r="Y85" s="2050"/>
      <c r="Z85" s="2050"/>
      <c r="AA85" s="2050"/>
      <c r="AB85" s="2050"/>
      <c r="AC85" s="2050">
        <f ca="1">$AC$36</f>
        <v>5163.200046383784</v>
      </c>
      <c r="AM85" s="1966"/>
      <c r="AN85" s="1966"/>
      <c r="AO85" s="1966"/>
      <c r="AP85" s="1966"/>
      <c r="AQ85" s="1966"/>
      <c r="AR85" s="1966"/>
    </row>
    <row r="86" spans="3:44">
      <c r="C86" t="s">
        <v>1069</v>
      </c>
      <c r="X86" s="2050"/>
      <c r="AC86" s="2050">
        <f ca="1">AC85+AC84-AC82</f>
        <v>3799.7594416994539</v>
      </c>
      <c r="AM86" s="1966"/>
      <c r="AN86" s="1966"/>
      <c r="AO86" s="1966"/>
      <c r="AP86" s="1966"/>
      <c r="AQ86" s="1966"/>
      <c r="AR86" s="1966"/>
    </row>
    <row r="87" spans="3:44">
      <c r="C87" s="2049" t="s">
        <v>1068</v>
      </c>
      <c r="D87" s="2048"/>
      <c r="E87" s="2048"/>
      <c r="F87" s="2048"/>
      <c r="G87" s="2048"/>
      <c r="H87" s="2048"/>
      <c r="I87" s="2048"/>
      <c r="J87" s="2048"/>
      <c r="K87" s="2048"/>
      <c r="L87" s="2048"/>
      <c r="M87" s="2048"/>
      <c r="N87" s="2048"/>
      <c r="O87" s="2048"/>
      <c r="P87" s="2048"/>
      <c r="Q87" s="2048"/>
      <c r="R87" s="2048"/>
      <c r="S87" s="2048"/>
      <c r="T87" s="2048"/>
      <c r="U87" s="2048"/>
      <c r="V87" s="2048"/>
      <c r="W87" s="2048"/>
      <c r="X87" s="2046"/>
      <c r="Y87" s="2048"/>
      <c r="Z87" s="2048"/>
      <c r="AA87" s="2048"/>
      <c r="AB87" s="2048"/>
      <c r="AC87" s="2045">
        <f ca="1">AC86/509</f>
        <v>7.4651462508830138</v>
      </c>
    </row>
    <row r="88" spans="3:44">
      <c r="X88" s="1640"/>
      <c r="AC88" s="1640"/>
    </row>
    <row r="89" spans="3:44">
      <c r="C89" s="2047" t="s">
        <v>1067</v>
      </c>
      <c r="D89" s="2046"/>
      <c r="E89" s="2046"/>
      <c r="F89" s="2046"/>
      <c r="G89" s="2046"/>
      <c r="H89" s="2046"/>
      <c r="I89" s="2046"/>
      <c r="J89" s="2046"/>
      <c r="K89" s="2046"/>
      <c r="L89" s="2046"/>
      <c r="M89" s="2046"/>
      <c r="N89" s="2046"/>
      <c r="O89" s="2046"/>
      <c r="P89" s="2046"/>
      <c r="Q89" s="2046"/>
      <c r="R89" s="2046"/>
      <c r="S89" s="2046"/>
      <c r="T89" s="2046"/>
      <c r="U89" s="2046"/>
      <c r="V89" s="2046"/>
      <c r="W89" s="2046"/>
      <c r="X89" s="2046"/>
      <c r="Y89" s="2046"/>
      <c r="Z89" s="2046"/>
      <c r="AA89" s="2046"/>
      <c r="AB89" s="2046"/>
      <c r="AC89" s="2045">
        <f ca="1">AC80+(AC84+AC85)/509</f>
        <v>51.64395765497796</v>
      </c>
    </row>
    <row r="202" spans="2:29">
      <c r="B202" s="2042"/>
    </row>
    <row r="204" spans="2:29">
      <c r="C204" s="2042"/>
      <c r="D204" s="2042"/>
      <c r="E204" s="2042"/>
      <c r="F204" s="2042"/>
      <c r="G204" s="2042"/>
      <c r="H204" s="2042"/>
      <c r="I204" s="2042"/>
      <c r="J204" s="2042"/>
      <c r="K204" s="2042"/>
      <c r="L204" s="2042"/>
      <c r="M204" s="2042"/>
      <c r="N204" s="2042"/>
      <c r="O204" s="2042"/>
      <c r="P204" s="2042"/>
      <c r="Q204" s="2042"/>
      <c r="R204" s="2042"/>
      <c r="S204" s="2042"/>
      <c r="T204" s="2042"/>
      <c r="U204" s="2042"/>
      <c r="V204" s="2042"/>
      <c r="W204" s="2042"/>
      <c r="X204" s="2042"/>
      <c r="Y204" s="2042"/>
      <c r="Z204" s="2042"/>
      <c r="AA204" s="2042"/>
      <c r="AB204" s="2042"/>
      <c r="AC204" s="2042"/>
    </row>
  </sheetData>
  <pageMargins left="0" right="0" top="0" bottom="0" header="0" footer="0"/>
  <pageSetup paperSize="5" scale="64" orientation="landscape" r:id="rId1"/>
  <headerFooter alignWithMargins="0"/>
  <colBreaks count="1" manualBreakCount="1">
    <brk id="90" max="1048575" man="1"/>
  </col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autoPageBreaks="0"/>
  </sheetPr>
  <dimension ref="B1:CH128"/>
  <sheetViews>
    <sheetView zoomScale="85" workbookViewId="0">
      <pane xSplit="4" ySplit="5" topLeftCell="I6" activePane="bottomRight" state="frozen"/>
      <selection pane="topRight" activeCell="D1" sqref="D1"/>
      <selection pane="bottomLeft" activeCell="A6" sqref="A6"/>
      <selection pane="bottomRight" activeCell="AM83" sqref="AM83"/>
    </sheetView>
  </sheetViews>
  <sheetFormatPr defaultRowHeight="12.75" outlineLevelCol="1"/>
  <cols>
    <col min="1" max="1" width="2.7109375" customWidth="1"/>
    <col min="2" max="2" width="2.7109375" style="1204" customWidth="1"/>
    <col min="3" max="3" width="56" customWidth="1"/>
    <col min="4" max="4" width="2.7109375" style="1204" customWidth="1"/>
    <col min="5" max="8" width="9.140625" hidden="1" customWidth="1" outlineLevel="1"/>
    <col min="9" max="9" width="9.140625" collapsed="1"/>
    <col min="10" max="13" width="9.140625" hidden="1" customWidth="1" outlineLevel="1"/>
    <col min="14" max="14" width="9.140625" collapsed="1"/>
    <col min="15" max="17" width="9.140625" hidden="1" customWidth="1" outlineLevel="1"/>
    <col min="18" max="18" width="9.140625" style="94" hidden="1" customWidth="1" outlineLevel="1"/>
    <col min="19" max="19" width="9" customWidth="1" collapsed="1"/>
    <col min="20" max="22" width="9.140625" hidden="1" customWidth="1" outlineLevel="1"/>
    <col min="23" max="23" width="9.140625" style="94" hidden="1" customWidth="1" outlineLevel="1"/>
    <col min="24" max="24" width="9" customWidth="1" collapsed="1"/>
    <col min="25" max="27" width="9.140625" hidden="1" customWidth="1" outlineLevel="1"/>
    <col min="28" max="28" width="9.140625" style="94" hidden="1" customWidth="1" outlineLevel="1"/>
    <col min="29" max="29" width="9.140625" collapsed="1"/>
    <col min="30" max="32" width="9.140625" hidden="1" customWidth="1" outlineLevel="1"/>
    <col min="33" max="33" width="9.140625" style="94" hidden="1" customWidth="1" outlineLevel="1"/>
    <col min="34" max="34" width="9.140625" collapsed="1"/>
    <col min="35" max="37" width="9.140625" hidden="1" customWidth="1" outlineLevel="1"/>
    <col min="38" max="38" width="9.140625" style="94" hidden="1" customWidth="1" outlineLevel="1"/>
    <col min="39" max="39" width="9.140625" collapsed="1"/>
    <col min="40" max="42" width="9.140625" hidden="1" customWidth="1" outlineLevel="1"/>
    <col min="43" max="43" width="9.140625" style="94" hidden="1" customWidth="1" outlineLevel="1"/>
    <col min="44" max="44" width="9.140625" collapsed="1"/>
  </cols>
  <sheetData>
    <row r="1" spans="2:86" ht="15" customHeight="1">
      <c r="B1" s="204"/>
      <c r="C1" s="204"/>
      <c r="D1" s="204"/>
      <c r="E1" s="396"/>
      <c r="F1" s="207"/>
      <c r="G1" s="225"/>
      <c r="H1" s="225"/>
      <c r="I1" s="225"/>
      <c r="J1" s="382"/>
      <c r="K1" s="382"/>
      <c r="L1" s="653"/>
      <c r="M1" s="281"/>
      <c r="N1" s="382"/>
      <c r="O1" s="382"/>
      <c r="P1" s="382"/>
      <c r="Q1" s="382"/>
      <c r="R1" s="382"/>
      <c r="S1" s="382"/>
      <c r="T1" s="382"/>
      <c r="U1" s="382"/>
      <c r="V1" s="382"/>
      <c r="W1" s="382"/>
      <c r="X1" s="382"/>
      <c r="Y1" s="382"/>
      <c r="Z1" s="382"/>
      <c r="AA1" s="382"/>
      <c r="AB1" s="382"/>
      <c r="AC1" s="382"/>
      <c r="AD1" s="382"/>
      <c r="AE1" s="382"/>
      <c r="AF1" s="382"/>
      <c r="AG1" s="382"/>
      <c r="AH1" s="382"/>
      <c r="AI1" s="382"/>
      <c r="AJ1" s="382"/>
      <c r="AK1" s="382"/>
      <c r="AL1" s="382"/>
      <c r="AM1" s="382"/>
      <c r="AN1" s="382"/>
      <c r="AO1" s="382"/>
      <c r="AP1" s="382"/>
      <c r="AQ1" s="382"/>
      <c r="AR1" s="382"/>
      <c r="AS1" s="382"/>
      <c r="AT1" s="382"/>
      <c r="AU1" s="382"/>
      <c r="AV1" s="382"/>
      <c r="AW1" s="382"/>
      <c r="AX1" s="382"/>
      <c r="AY1" s="382"/>
      <c r="AZ1" s="382"/>
      <c r="BA1" s="383"/>
      <c r="BB1" s="382"/>
      <c r="BC1" s="382"/>
      <c r="BD1" s="382"/>
      <c r="BE1" s="382"/>
      <c r="BF1" s="382"/>
      <c r="BG1" s="382"/>
      <c r="BH1" s="382"/>
      <c r="BI1" s="382"/>
      <c r="BJ1" s="382"/>
      <c r="BK1" s="382"/>
      <c r="BL1" s="382"/>
      <c r="BM1" s="382"/>
      <c r="BN1" s="382"/>
      <c r="BO1" s="382"/>
      <c r="BP1" s="382"/>
      <c r="BQ1" s="382"/>
      <c r="BR1" s="382"/>
      <c r="BS1" s="382"/>
      <c r="BT1" s="382"/>
      <c r="BU1" s="382"/>
      <c r="BV1" s="382"/>
      <c r="BW1" s="382"/>
      <c r="BX1" s="382"/>
      <c r="BY1" s="382"/>
      <c r="BZ1" s="382"/>
      <c r="CA1" s="382"/>
      <c r="CB1" s="382"/>
      <c r="CC1" s="382"/>
      <c r="CD1" s="382"/>
      <c r="CE1" s="382"/>
      <c r="CF1" s="382"/>
      <c r="CG1" s="382"/>
      <c r="CH1" s="275"/>
    </row>
    <row r="2" spans="2:86" ht="15" customHeight="1">
      <c r="B2" s="204"/>
      <c r="C2" s="204" t="s">
        <v>344</v>
      </c>
      <c r="D2" s="204"/>
      <c r="E2" s="396"/>
      <c r="F2" s="207"/>
      <c r="G2" s="225"/>
      <c r="H2" s="225"/>
      <c r="I2" s="225"/>
      <c r="J2" s="382"/>
      <c r="K2" s="382"/>
      <c r="L2" s="653"/>
      <c r="M2" s="281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3"/>
      <c r="BB2" s="382"/>
      <c r="BC2" s="382"/>
      <c r="BD2" s="382"/>
      <c r="BE2" s="382"/>
      <c r="BF2" s="382"/>
      <c r="BG2" s="382"/>
      <c r="BH2" s="382"/>
      <c r="BI2" s="382"/>
      <c r="BJ2" s="382"/>
      <c r="BK2" s="382"/>
      <c r="BL2" s="382"/>
      <c r="BM2" s="382"/>
      <c r="BN2" s="382"/>
      <c r="BO2" s="382"/>
      <c r="BP2" s="382"/>
      <c r="BQ2" s="382"/>
      <c r="BR2" s="382"/>
      <c r="BS2" s="382"/>
      <c r="BT2" s="382"/>
      <c r="BU2" s="382"/>
      <c r="BV2" s="382"/>
      <c r="BW2" s="382"/>
      <c r="BX2" s="382"/>
      <c r="BY2" s="382"/>
      <c r="BZ2" s="382"/>
      <c r="CA2" s="382"/>
      <c r="CB2" s="382"/>
      <c r="CC2" s="382"/>
      <c r="CD2" s="382"/>
      <c r="CE2" s="382"/>
      <c r="CF2" s="382"/>
      <c r="CG2" s="382"/>
      <c r="CH2" s="275"/>
    </row>
    <row r="3" spans="2:86" ht="15" customHeight="1">
      <c r="B3" s="205"/>
      <c r="C3" s="224" t="s">
        <v>662</v>
      </c>
      <c r="D3" s="205"/>
      <c r="E3" s="397"/>
      <c r="F3" s="225"/>
      <c r="G3" s="225"/>
      <c r="H3" s="225"/>
      <c r="I3" s="225"/>
      <c r="J3" s="382"/>
      <c r="K3" s="382"/>
      <c r="L3" s="653"/>
      <c r="M3" s="281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2"/>
      <c r="AG3" s="382"/>
      <c r="AH3" s="382"/>
      <c r="AI3" s="382"/>
      <c r="AJ3" s="382"/>
      <c r="AK3" s="382"/>
      <c r="AL3" s="382"/>
      <c r="AM3" s="382"/>
      <c r="AN3" s="382"/>
      <c r="AO3" s="382"/>
      <c r="AP3" s="382"/>
      <c r="AQ3" s="382"/>
      <c r="AR3" s="382"/>
      <c r="AS3" s="382"/>
      <c r="AT3" s="382"/>
      <c r="AU3" s="382"/>
      <c r="AV3" s="382"/>
      <c r="AW3" s="382"/>
      <c r="AX3" s="382"/>
      <c r="AY3" s="382"/>
      <c r="AZ3" s="382"/>
      <c r="BA3" s="383"/>
      <c r="BB3" s="382"/>
      <c r="BC3" s="382"/>
      <c r="BD3" s="382"/>
      <c r="BE3" s="382"/>
      <c r="BF3" s="382"/>
      <c r="BG3" s="382"/>
      <c r="BH3" s="382"/>
      <c r="BI3" s="382"/>
      <c r="BJ3" s="382"/>
      <c r="BK3" s="382"/>
      <c r="BL3" s="382"/>
      <c r="BM3" s="382"/>
      <c r="BN3" s="382"/>
      <c r="BO3" s="382"/>
      <c r="BP3" s="382"/>
      <c r="BQ3" s="382"/>
      <c r="BR3" s="382"/>
      <c r="BS3" s="382"/>
      <c r="BT3" s="382"/>
      <c r="BU3" s="382"/>
      <c r="BV3" s="382"/>
      <c r="BW3" s="382"/>
      <c r="BX3" s="382"/>
      <c r="BY3" s="382"/>
      <c r="BZ3" s="382"/>
      <c r="CA3" s="382"/>
      <c r="CB3" s="382"/>
      <c r="CC3" s="382"/>
      <c r="CD3" s="382"/>
      <c r="CE3" s="382"/>
      <c r="CF3" s="382"/>
      <c r="CG3" s="382"/>
      <c r="CH3" s="275"/>
    </row>
    <row r="4" spans="2:86">
      <c r="B4" s="207"/>
      <c r="C4" s="381" t="s">
        <v>3</v>
      </c>
      <c r="D4" s="207"/>
      <c r="E4" s="207"/>
      <c r="F4" s="207"/>
      <c r="G4" s="225"/>
      <c r="H4" s="225"/>
      <c r="I4" s="225"/>
      <c r="J4" s="382"/>
      <c r="K4" s="382"/>
      <c r="L4" s="653"/>
      <c r="M4" s="281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82"/>
      <c r="AC4" s="382"/>
      <c r="AD4" s="382"/>
      <c r="AE4" s="382"/>
      <c r="AF4" s="382"/>
      <c r="AG4" s="382"/>
      <c r="AH4" s="382"/>
      <c r="AI4" s="382"/>
      <c r="AJ4" s="382"/>
      <c r="AK4" s="382"/>
      <c r="AL4" s="382"/>
      <c r="AM4" s="382"/>
      <c r="AN4" s="382"/>
      <c r="AO4" s="382"/>
      <c r="AP4" s="382"/>
      <c r="AQ4" s="382"/>
      <c r="AR4" s="382"/>
      <c r="AS4" s="382"/>
      <c r="AT4" s="382"/>
      <c r="AU4" s="382"/>
      <c r="AV4" s="382"/>
      <c r="AW4" s="382"/>
      <c r="AX4" s="382"/>
      <c r="AY4" s="382"/>
      <c r="AZ4" s="382"/>
      <c r="BA4" s="383"/>
      <c r="BB4" s="382"/>
      <c r="BC4" s="382"/>
      <c r="BD4" s="382"/>
      <c r="BE4" s="382"/>
      <c r="BF4" s="382"/>
      <c r="BG4" s="382"/>
      <c r="BH4" s="382"/>
      <c r="BI4" s="382"/>
      <c r="BJ4" s="382"/>
      <c r="BK4" s="382"/>
      <c r="BL4" s="382"/>
      <c r="BM4" s="382"/>
      <c r="BN4" s="382"/>
      <c r="BO4" s="382"/>
      <c r="BP4" s="382"/>
      <c r="BQ4" s="382"/>
      <c r="BR4" s="382"/>
      <c r="BS4" s="382"/>
      <c r="BT4" s="382"/>
      <c r="BU4" s="382"/>
      <c r="BV4" s="382"/>
      <c r="BW4" s="382"/>
      <c r="BX4" s="382"/>
      <c r="BY4" s="382"/>
      <c r="BZ4" s="382"/>
      <c r="CA4" s="382"/>
      <c r="CB4" s="382"/>
      <c r="CC4" s="382"/>
      <c r="CD4" s="382"/>
      <c r="CE4" s="382"/>
      <c r="CF4" s="382"/>
      <c r="CG4" s="382"/>
      <c r="CH4" s="275"/>
    </row>
    <row r="6" spans="2:86">
      <c r="B6" s="1268"/>
      <c r="C6" s="1269" t="s">
        <v>22</v>
      </c>
      <c r="D6" s="1268"/>
      <c r="E6" s="868"/>
      <c r="F6" s="869"/>
      <c r="G6" s="869"/>
      <c r="H6" s="871"/>
      <c r="I6" s="1267" t="s">
        <v>4</v>
      </c>
      <c r="J6" s="868"/>
      <c r="K6" s="869"/>
      <c r="L6" s="869"/>
      <c r="M6" s="871"/>
      <c r="N6" s="870" t="s">
        <v>772</v>
      </c>
      <c r="O6" s="868"/>
      <c r="P6" s="869"/>
      <c r="Q6" s="869"/>
      <c r="R6" s="871"/>
      <c r="S6" s="870" t="s">
        <v>768</v>
      </c>
      <c r="T6" s="868"/>
      <c r="U6" s="869"/>
      <c r="V6" s="869"/>
      <c r="W6" s="871"/>
      <c r="X6" s="870" t="s">
        <v>669</v>
      </c>
      <c r="Y6" s="868"/>
      <c r="Z6" s="869"/>
      <c r="AA6" s="869"/>
      <c r="AB6" s="871"/>
      <c r="AC6" s="870" t="s">
        <v>964</v>
      </c>
      <c r="AD6" s="868"/>
      <c r="AE6" s="869"/>
      <c r="AF6" s="869"/>
      <c r="AG6" s="871"/>
      <c r="AH6" s="870" t="s">
        <v>1011</v>
      </c>
      <c r="AI6" s="868"/>
      <c r="AJ6" s="869"/>
      <c r="AK6" s="869"/>
      <c r="AL6" s="871"/>
      <c r="AM6" s="870" t="s">
        <v>1158</v>
      </c>
      <c r="AN6" s="868"/>
      <c r="AO6" s="869"/>
      <c r="AP6" s="869"/>
      <c r="AQ6" s="871"/>
      <c r="AR6" s="870" t="s">
        <v>1220</v>
      </c>
    </row>
    <row r="7" spans="2:86">
      <c r="C7" s="1204"/>
      <c r="E7" s="145"/>
      <c r="F7" s="146"/>
      <c r="G7" s="146"/>
      <c r="H7" s="147"/>
      <c r="J7" s="145"/>
      <c r="K7" s="146"/>
      <c r="L7" s="146"/>
      <c r="M7" s="147"/>
      <c r="O7" s="145"/>
      <c r="P7" s="146"/>
      <c r="Q7" s="146"/>
      <c r="R7" s="147"/>
      <c r="T7" s="145"/>
      <c r="U7" s="146"/>
      <c r="V7" s="146"/>
      <c r="W7" s="147"/>
      <c r="Y7" s="145"/>
      <c r="Z7" s="146"/>
      <c r="AA7" s="146"/>
      <c r="AB7" s="147"/>
      <c r="AD7" s="145"/>
      <c r="AE7" s="146"/>
      <c r="AF7" s="146"/>
      <c r="AG7" s="147"/>
      <c r="AI7" s="145"/>
      <c r="AJ7" s="146"/>
      <c r="AK7" s="146"/>
      <c r="AL7" s="147"/>
      <c r="AN7" s="145"/>
      <c r="AO7" s="146"/>
      <c r="AP7" s="146"/>
      <c r="AQ7" s="147"/>
    </row>
    <row r="8" spans="2:86" s="81" customFormat="1" ht="15.75">
      <c r="B8" s="1265" t="s">
        <v>661</v>
      </c>
      <c r="C8" s="666"/>
      <c r="E8" s="316"/>
      <c r="F8" s="312"/>
      <c r="G8" s="312"/>
      <c r="H8" s="317"/>
      <c r="J8" s="316"/>
      <c r="K8" s="312"/>
      <c r="L8" s="312"/>
      <c r="M8" s="317"/>
      <c r="O8" s="316"/>
      <c r="P8" s="312"/>
      <c r="Q8" s="312"/>
      <c r="R8" s="317"/>
      <c r="T8" s="316"/>
      <c r="U8" s="312"/>
      <c r="V8" s="312"/>
      <c r="W8" s="317"/>
      <c r="Y8" s="316"/>
      <c r="Z8" s="312"/>
      <c r="AA8" s="312"/>
      <c r="AB8" s="317"/>
      <c r="AD8" s="316"/>
      <c r="AE8" s="312"/>
      <c r="AF8" s="312"/>
      <c r="AG8" s="317"/>
      <c r="AI8" s="316"/>
      <c r="AJ8" s="312"/>
      <c r="AK8" s="312"/>
      <c r="AL8" s="317"/>
      <c r="AN8" s="316"/>
      <c r="AO8" s="312"/>
      <c r="AP8" s="312"/>
      <c r="AQ8" s="317"/>
    </row>
    <row r="9" spans="2:86">
      <c r="C9" s="1204"/>
      <c r="E9" s="145"/>
      <c r="F9" s="146"/>
      <c r="G9" s="146"/>
      <c r="H9" s="147"/>
      <c r="J9" s="145"/>
      <c r="K9" s="146"/>
      <c r="L9" s="146"/>
      <c r="M9" s="147"/>
      <c r="O9" s="145"/>
      <c r="P9" s="146"/>
      <c r="Q9" s="146"/>
      <c r="R9" s="147"/>
      <c r="T9" s="145"/>
      <c r="U9" s="146"/>
      <c r="V9" s="146"/>
      <c r="W9" s="147"/>
      <c r="Y9" s="145"/>
      <c r="Z9" s="146"/>
      <c r="AA9" s="146"/>
      <c r="AB9" s="147"/>
      <c r="AD9" s="145"/>
      <c r="AE9" s="146"/>
      <c r="AF9" s="146"/>
      <c r="AG9" s="147"/>
      <c r="AI9" s="145"/>
      <c r="AJ9" s="146"/>
      <c r="AK9" s="146"/>
      <c r="AL9" s="147"/>
      <c r="AN9" s="145"/>
      <c r="AO9" s="146"/>
      <c r="AP9" s="146"/>
      <c r="AQ9" s="147"/>
    </row>
    <row r="10" spans="2:86">
      <c r="C10" s="1266" t="s">
        <v>402</v>
      </c>
      <c r="E10" s="145"/>
      <c r="F10" s="146"/>
      <c r="G10" s="146"/>
      <c r="H10" s="147"/>
      <c r="J10" s="145"/>
      <c r="K10" s="146"/>
      <c r="L10" s="146"/>
      <c r="M10" s="147"/>
      <c r="O10" s="145"/>
      <c r="P10" s="146"/>
      <c r="Q10" s="146"/>
      <c r="R10" s="147"/>
      <c r="T10" s="145"/>
      <c r="U10" s="146"/>
      <c r="V10" s="146"/>
      <c r="W10" s="147"/>
      <c r="Y10" s="145"/>
      <c r="Z10" s="146"/>
      <c r="AA10" s="146"/>
      <c r="AB10" s="147"/>
      <c r="AD10" s="145"/>
      <c r="AE10" s="146"/>
      <c r="AF10" s="146"/>
      <c r="AG10" s="147"/>
      <c r="AI10" s="145"/>
      <c r="AJ10" s="146"/>
      <c r="AK10" s="146"/>
      <c r="AL10" s="147"/>
      <c r="AN10" s="145"/>
      <c r="AO10" s="146"/>
      <c r="AP10" s="146"/>
      <c r="AQ10" s="147"/>
    </row>
    <row r="11" spans="2:86">
      <c r="C11" s="1204" t="s">
        <v>324</v>
      </c>
      <c r="E11" s="145"/>
      <c r="F11" s="146"/>
      <c r="G11" s="146"/>
      <c r="H11" s="147"/>
      <c r="I11" s="313">
        <f>2004-I83</f>
        <v>1267</v>
      </c>
      <c r="J11" s="145"/>
      <c r="K11" s="146"/>
      <c r="L11" s="146"/>
      <c r="M11" s="147"/>
      <c r="N11" s="313">
        <f>2091-N83</f>
        <v>1304</v>
      </c>
      <c r="O11" s="145"/>
      <c r="P11" s="146"/>
      <c r="Q11" s="146"/>
      <c r="R11" s="147"/>
      <c r="S11" s="313">
        <f>2286-S83</f>
        <v>1519</v>
      </c>
      <c r="T11" s="145"/>
      <c r="U11" s="146"/>
      <c r="V11" s="146"/>
      <c r="W11" s="147"/>
      <c r="X11" s="313">
        <f>2357-X83</f>
        <v>1582</v>
      </c>
      <c r="Y11" s="145"/>
      <c r="Z11" s="146"/>
      <c r="AA11" s="146"/>
      <c r="AB11" s="147"/>
      <c r="AC11" s="889">
        <f>2470-AC83</f>
        <v>1720</v>
      </c>
      <c r="AD11" s="145"/>
      <c r="AE11" s="146"/>
      <c r="AF11" s="146"/>
      <c r="AG11" s="147"/>
      <c r="AH11" s="889">
        <f>2506-AH83</f>
        <v>1814</v>
      </c>
      <c r="AI11" s="145"/>
      <c r="AJ11" s="146"/>
      <c r="AK11" s="146"/>
      <c r="AL11" s="147"/>
      <c r="AM11" s="1355">
        <f>2606-AM83</f>
        <v>1864</v>
      </c>
      <c r="AN11" s="145"/>
      <c r="AO11" s="146"/>
      <c r="AP11" s="146"/>
      <c r="AQ11" s="147"/>
      <c r="AR11" s="1355">
        <f>2682-AR83</f>
        <v>2299</v>
      </c>
    </row>
    <row r="12" spans="2:86">
      <c r="C12" s="1204" t="s">
        <v>473</v>
      </c>
      <c r="E12" s="145"/>
      <c r="F12" s="146"/>
      <c r="G12" s="146"/>
      <c r="H12" s="147"/>
      <c r="I12" s="313">
        <f>1515.5-I84</f>
        <v>868.20799999999997</v>
      </c>
      <c r="J12" s="145"/>
      <c r="K12" s="146"/>
      <c r="L12" s="146"/>
      <c r="M12" s="147"/>
      <c r="N12" s="313">
        <f>1581.388-N84</f>
        <v>918.58299999999997</v>
      </c>
      <c r="O12" s="145"/>
      <c r="P12" s="146"/>
      <c r="Q12" s="146"/>
      <c r="R12" s="147"/>
      <c r="S12" s="313">
        <f>1720.674-S84</f>
        <v>1044.4189999999999</v>
      </c>
      <c r="T12" s="145"/>
      <c r="U12" s="146"/>
      <c r="V12" s="146"/>
      <c r="W12" s="147"/>
      <c r="X12" s="313">
        <f>1763.253-X84</f>
        <v>1082.8499999999999</v>
      </c>
      <c r="Y12" s="145"/>
      <c r="Z12" s="146"/>
      <c r="AA12" s="146"/>
      <c r="AB12" s="147"/>
      <c r="AC12" s="889">
        <f>1791-AC84</f>
        <v>1173</v>
      </c>
      <c r="AD12" s="145"/>
      <c r="AE12" s="146"/>
      <c r="AF12" s="146"/>
      <c r="AG12" s="147"/>
      <c r="AH12" s="889">
        <f>1818-AH84</f>
        <v>1263</v>
      </c>
      <c r="AI12" s="145"/>
      <c r="AJ12" s="146"/>
      <c r="AK12" s="146"/>
      <c r="AL12" s="147"/>
      <c r="AM12" s="1355">
        <f>1876-AM84</f>
        <v>1322</v>
      </c>
      <c r="AN12" s="145"/>
      <c r="AO12" s="146"/>
      <c r="AP12" s="146"/>
      <c r="AQ12" s="147"/>
      <c r="AR12" s="1355">
        <f>1919-AR84</f>
        <v>1640</v>
      </c>
    </row>
    <row r="13" spans="2:86">
      <c r="C13" s="1204" t="s">
        <v>330</v>
      </c>
      <c r="E13" s="145"/>
      <c r="F13" s="146"/>
      <c r="G13" s="146"/>
      <c r="H13" s="147"/>
      <c r="I13" s="313">
        <f>511.897-I85</f>
        <v>371.18200000000002</v>
      </c>
      <c r="J13" s="145"/>
      <c r="K13" s="146"/>
      <c r="L13" s="146"/>
      <c r="M13" s="147"/>
      <c r="N13" s="313">
        <f>534.942-N85</f>
        <v>364.55700000000002</v>
      </c>
      <c r="O13" s="145"/>
      <c r="P13" s="146"/>
      <c r="Q13" s="146"/>
      <c r="R13" s="147"/>
      <c r="S13" s="313">
        <f>589.509-S85</f>
        <v>402.89700000000005</v>
      </c>
      <c r="T13" s="145"/>
      <c r="U13" s="146"/>
      <c r="V13" s="146"/>
      <c r="W13" s="147"/>
      <c r="X13" s="313">
        <f>605.163-X85</f>
        <v>396.137</v>
      </c>
      <c r="Y13" s="145"/>
      <c r="Z13" s="146"/>
      <c r="AA13" s="146"/>
      <c r="AB13" s="147"/>
      <c r="AC13" s="889">
        <f>622.976-AC85</f>
        <v>404.80899999999997</v>
      </c>
      <c r="AD13" s="145"/>
      <c r="AE13" s="146"/>
      <c r="AF13" s="146"/>
      <c r="AG13" s="147"/>
      <c r="AH13" s="889">
        <f>607.789-AH85</f>
        <v>413.23399999999998</v>
      </c>
      <c r="AI13" s="145"/>
      <c r="AJ13" s="146"/>
      <c r="AK13" s="146"/>
      <c r="AL13" s="147"/>
      <c r="AM13" s="1355">
        <f>621.535-AM85</f>
        <v>424.62599999999998</v>
      </c>
      <c r="AN13" s="145"/>
      <c r="AO13" s="146"/>
      <c r="AP13" s="146"/>
      <c r="AQ13" s="147"/>
      <c r="AR13" s="1355">
        <f>620.428-AR85</f>
        <v>536.24400000000003</v>
      </c>
    </row>
    <row r="14" spans="2:86">
      <c r="C14" s="1204" t="s">
        <v>321</v>
      </c>
      <c r="E14" s="145"/>
      <c r="F14" s="146"/>
      <c r="G14" s="146"/>
      <c r="H14" s="147"/>
      <c r="I14" s="313">
        <f>3101-I86</f>
        <v>2308</v>
      </c>
      <c r="J14" s="145"/>
      <c r="K14" s="146"/>
      <c r="L14" s="146"/>
      <c r="M14" s="147"/>
      <c r="N14" s="313">
        <f>3129-N86</f>
        <v>2270</v>
      </c>
      <c r="O14" s="145"/>
      <c r="P14" s="146"/>
      <c r="Q14" s="146"/>
      <c r="R14" s="147"/>
      <c r="S14" s="313">
        <f>3659-S86</f>
        <v>2570</v>
      </c>
      <c r="T14" s="145"/>
      <c r="U14" s="146"/>
      <c r="V14" s="146"/>
      <c r="W14" s="147"/>
      <c r="X14" s="313">
        <f>3762-X86</f>
        <v>2568</v>
      </c>
      <c r="Y14" s="145"/>
      <c r="Z14" s="146"/>
      <c r="AA14" s="146"/>
      <c r="AB14" s="147"/>
      <c r="AC14" s="889">
        <f>3890-AC86</f>
        <v>2809</v>
      </c>
      <c r="AD14" s="145"/>
      <c r="AE14" s="146"/>
      <c r="AF14" s="146"/>
      <c r="AG14" s="147"/>
      <c r="AH14" s="889">
        <f>4047-AH86</f>
        <v>2970</v>
      </c>
      <c r="AI14" s="145"/>
      <c r="AJ14" s="146"/>
      <c r="AK14" s="146"/>
      <c r="AL14" s="147"/>
      <c r="AM14" s="1355">
        <f>4284-AM86</f>
        <v>3182</v>
      </c>
      <c r="AN14" s="145"/>
      <c r="AO14" s="146"/>
      <c r="AP14" s="146"/>
      <c r="AQ14" s="147"/>
      <c r="AR14" s="1355">
        <f>4512-AR86</f>
        <v>3940</v>
      </c>
    </row>
    <row r="15" spans="2:86">
      <c r="C15" s="1204" t="s">
        <v>322</v>
      </c>
      <c r="E15" s="145"/>
      <c r="F15" s="146"/>
      <c r="G15" s="146"/>
      <c r="H15" s="147"/>
      <c r="I15" s="313">
        <f>1530.984-I87</f>
        <v>1004.5169999999999</v>
      </c>
      <c r="J15" s="145"/>
      <c r="K15" s="146"/>
      <c r="L15" s="146"/>
      <c r="M15" s="147"/>
      <c r="N15" s="313">
        <f>1588.704-N87</f>
        <v>1049.193</v>
      </c>
      <c r="O15" s="145"/>
      <c r="P15" s="146"/>
      <c r="Q15" s="146"/>
      <c r="R15" s="147"/>
      <c r="S15" s="313">
        <f>1699.816-S87</f>
        <v>1053.3430000000001</v>
      </c>
      <c r="T15" s="145"/>
      <c r="U15" s="146"/>
      <c r="V15" s="146"/>
      <c r="W15" s="147"/>
      <c r="X15" s="313">
        <f>1758.434-X87</f>
        <v>1181.2199999999998</v>
      </c>
      <c r="Y15" s="145"/>
      <c r="Z15" s="146"/>
      <c r="AA15" s="146"/>
      <c r="AB15" s="147"/>
      <c r="AC15" s="889">
        <f>1820-AC87</f>
        <v>1306</v>
      </c>
      <c r="AD15" s="145"/>
      <c r="AE15" s="146"/>
      <c r="AF15" s="146"/>
      <c r="AG15" s="147"/>
      <c r="AH15" s="889">
        <f>1839-AH87</f>
        <v>1319</v>
      </c>
      <c r="AI15" s="145"/>
      <c r="AJ15" s="146"/>
      <c r="AK15" s="146"/>
      <c r="AL15" s="147"/>
      <c r="AM15" s="1355">
        <f>1925-AM87</f>
        <v>1379</v>
      </c>
      <c r="AN15" s="145"/>
      <c r="AO15" s="146"/>
      <c r="AP15" s="146"/>
      <c r="AQ15" s="147"/>
      <c r="AR15" s="1355">
        <f>1732-AR87</f>
        <v>1475</v>
      </c>
    </row>
    <row r="16" spans="2:86">
      <c r="C16" s="1204" t="s">
        <v>325</v>
      </c>
      <c r="E16" s="145"/>
      <c r="F16" s="146"/>
      <c r="G16" s="146"/>
      <c r="H16" s="147"/>
      <c r="I16" s="313">
        <f>1759.227-I88</f>
        <v>1321.6950000000002</v>
      </c>
      <c r="J16" s="145"/>
      <c r="K16" s="146"/>
      <c r="L16" s="146"/>
      <c r="M16" s="147"/>
      <c r="N16" s="313">
        <f>1832.109-N88</f>
        <v>1333.355</v>
      </c>
      <c r="O16" s="145"/>
      <c r="P16" s="146"/>
      <c r="Q16" s="146"/>
      <c r="R16" s="147"/>
      <c r="S16" s="313">
        <f>1949.188-S88</f>
        <v>1364.7850000000001</v>
      </c>
      <c r="T16" s="145"/>
      <c r="U16" s="146"/>
      <c r="V16" s="146"/>
      <c r="W16" s="147"/>
      <c r="X16" s="313">
        <f>2039.621-X88</f>
        <v>1472.5680000000002</v>
      </c>
      <c r="Y16" s="145"/>
      <c r="Z16" s="146"/>
      <c r="AA16" s="146"/>
      <c r="AB16" s="147"/>
      <c r="AC16" s="889">
        <f>2112-AC88</f>
        <v>1624</v>
      </c>
      <c r="AD16" s="145"/>
      <c r="AE16" s="146"/>
      <c r="AF16" s="146"/>
      <c r="AG16" s="147"/>
      <c r="AH16" s="889">
        <f>2164-AH88</f>
        <v>1701</v>
      </c>
      <c r="AI16" s="145"/>
      <c r="AJ16" s="146"/>
      <c r="AK16" s="146"/>
      <c r="AL16" s="147"/>
      <c r="AM16" s="1355">
        <f>2284-AM88</f>
        <v>1722</v>
      </c>
      <c r="AN16" s="145"/>
      <c r="AO16" s="146"/>
      <c r="AP16" s="146"/>
      <c r="AQ16" s="147"/>
      <c r="AR16" s="1355">
        <f>1968-AR88</f>
        <v>1739</v>
      </c>
    </row>
    <row r="17" spans="3:44">
      <c r="C17" s="1204" t="s">
        <v>323</v>
      </c>
      <c r="E17" s="145"/>
      <c r="F17" s="146"/>
      <c r="G17" s="146"/>
      <c r="H17" s="147"/>
      <c r="I17" s="889">
        <f>2063.897-I89</f>
        <v>2063.8969999999999</v>
      </c>
      <c r="J17" s="145"/>
      <c r="K17" s="146"/>
      <c r="L17" s="146"/>
      <c r="M17" s="147"/>
      <c r="N17" s="889">
        <f>2052.67-N89</f>
        <v>1719.8389999999999</v>
      </c>
      <c r="O17" s="145"/>
      <c r="P17" s="146"/>
      <c r="Q17" s="146"/>
      <c r="R17" s="147"/>
      <c r="S17" s="889">
        <f>2232.844-S89</f>
        <v>1821.3020000000001</v>
      </c>
      <c r="T17" s="145"/>
      <c r="U17" s="146"/>
      <c r="V17" s="146"/>
      <c r="W17" s="147"/>
      <c r="X17" s="889">
        <f>3069.766-X89</f>
        <v>2659.982</v>
      </c>
      <c r="Y17" s="145"/>
      <c r="Z17" s="146"/>
      <c r="AA17" s="146"/>
      <c r="AB17" s="147"/>
      <c r="AC17" s="889">
        <f>3255-AC89</f>
        <v>2743</v>
      </c>
      <c r="AD17" s="145"/>
      <c r="AE17" s="146"/>
      <c r="AF17" s="146"/>
      <c r="AG17" s="147"/>
      <c r="AH17" s="889">
        <f>3388-AH89</f>
        <v>2811</v>
      </c>
      <c r="AI17" s="145"/>
      <c r="AJ17" s="146"/>
      <c r="AK17" s="146"/>
      <c r="AL17" s="147"/>
      <c r="AM17" s="1355">
        <f>3527-AM89</f>
        <v>2834</v>
      </c>
      <c r="AN17" s="145"/>
      <c r="AO17" s="146"/>
      <c r="AP17" s="146"/>
      <c r="AQ17" s="147"/>
      <c r="AR17" s="1355">
        <f>3648-AR89</f>
        <v>3246</v>
      </c>
    </row>
    <row r="18" spans="3:44">
      <c r="C18" s="1204" t="s">
        <v>332</v>
      </c>
      <c r="E18" s="145"/>
      <c r="F18" s="146"/>
      <c r="G18" s="146"/>
      <c r="H18" s="147"/>
      <c r="I18" s="313">
        <f>1110.105-I90</f>
        <v>1110.105</v>
      </c>
      <c r="J18" s="145"/>
      <c r="K18" s="146"/>
      <c r="L18" s="146"/>
      <c r="M18" s="147"/>
      <c r="N18" s="313">
        <f>1146.19-N90</f>
        <v>927.45100000000002</v>
      </c>
      <c r="O18" s="145"/>
      <c r="P18" s="146"/>
      <c r="Q18" s="146"/>
      <c r="R18" s="147"/>
      <c r="S18" s="313">
        <f>1234.926-S90</f>
        <v>1032.777</v>
      </c>
      <c r="T18" s="145"/>
      <c r="U18" s="146"/>
      <c r="V18" s="146"/>
      <c r="W18" s="147"/>
      <c r="X18" s="313">
        <f>1270.979-X90</f>
        <v>981.62700000000007</v>
      </c>
      <c r="Y18" s="145"/>
      <c r="Z18" s="146"/>
      <c r="AA18" s="146"/>
      <c r="AB18" s="147"/>
      <c r="AC18" s="889">
        <f>1356-AC90</f>
        <v>1034</v>
      </c>
      <c r="AD18" s="145"/>
      <c r="AE18" s="146"/>
      <c r="AF18" s="146"/>
      <c r="AG18" s="147"/>
      <c r="AH18" s="889">
        <f>1387-AH90</f>
        <v>1038</v>
      </c>
      <c r="AI18" s="145"/>
      <c r="AJ18" s="146"/>
      <c r="AK18" s="146"/>
      <c r="AL18" s="147"/>
      <c r="AM18" s="1355">
        <f>1453-AM90</f>
        <v>1062</v>
      </c>
      <c r="AN18" s="145"/>
      <c r="AO18" s="146"/>
      <c r="AP18" s="146"/>
      <c r="AQ18" s="147"/>
      <c r="AR18" s="1355">
        <f>1505-AR90</f>
        <v>1308</v>
      </c>
    </row>
    <row r="19" spans="3:44">
      <c r="C19" s="1204" t="s">
        <v>329</v>
      </c>
      <c r="E19" s="145"/>
      <c r="F19" s="146"/>
      <c r="G19" s="146"/>
      <c r="H19" s="147"/>
      <c r="I19" s="313">
        <f>1205.005-I91</f>
        <v>1205.0050000000001</v>
      </c>
      <c r="J19" s="145"/>
      <c r="K19" s="146"/>
      <c r="L19" s="146"/>
      <c r="M19" s="147"/>
      <c r="N19" s="313">
        <f>1258.087-N91</f>
        <v>964.72399999999993</v>
      </c>
      <c r="O19" s="145"/>
      <c r="P19" s="146"/>
      <c r="Q19" s="146"/>
      <c r="R19" s="147"/>
      <c r="S19" s="313">
        <f>1362.647-S91</f>
        <v>1074.4289999999999</v>
      </c>
      <c r="T19" s="145"/>
      <c r="U19" s="146"/>
      <c r="V19" s="146"/>
      <c r="W19" s="147"/>
      <c r="X19" s="313">
        <f>1451.281-X91</f>
        <v>1058.346</v>
      </c>
      <c r="Y19" s="145"/>
      <c r="Z19" s="146"/>
      <c r="AA19" s="146"/>
      <c r="AB19" s="147"/>
      <c r="AC19" s="889">
        <f>1540-AC91</f>
        <v>1068</v>
      </c>
      <c r="AD19" s="145"/>
      <c r="AE19" s="146"/>
      <c r="AF19" s="146"/>
      <c r="AG19" s="147"/>
      <c r="AH19" s="889">
        <f>1572-AH91</f>
        <v>1045</v>
      </c>
      <c r="AI19" s="145"/>
      <c r="AJ19" s="146"/>
      <c r="AK19" s="146"/>
      <c r="AL19" s="147"/>
      <c r="AM19" s="1355">
        <f>1681-AM91</f>
        <v>1129</v>
      </c>
      <c r="AN19" s="145"/>
      <c r="AO19" s="146"/>
      <c r="AP19" s="146"/>
      <c r="AQ19" s="147"/>
      <c r="AR19" s="1355">
        <f>1794-AR91</f>
        <v>1462</v>
      </c>
    </row>
    <row r="20" spans="3:44">
      <c r="C20" s="1204" t="s">
        <v>712</v>
      </c>
      <c r="E20" s="145"/>
      <c r="F20" s="146"/>
      <c r="G20" s="146"/>
      <c r="H20" s="147"/>
      <c r="I20" s="313"/>
      <c r="J20" s="145"/>
      <c r="K20" s="146"/>
      <c r="L20" s="146"/>
      <c r="M20" s="147"/>
      <c r="N20" s="313"/>
      <c r="O20" s="145"/>
      <c r="P20" s="146"/>
      <c r="Q20" s="146"/>
      <c r="R20" s="147"/>
      <c r="S20" s="313">
        <f>2290.887-S92</f>
        <v>2290.8870000000002</v>
      </c>
      <c r="T20" s="145"/>
      <c r="U20" s="146"/>
      <c r="V20" s="146"/>
      <c r="W20" s="147"/>
      <c r="X20" s="313">
        <f>2154.866-X92</f>
        <v>2154.866</v>
      </c>
      <c r="Y20" s="145"/>
      <c r="Z20" s="146"/>
      <c r="AA20" s="146"/>
      <c r="AB20" s="147"/>
      <c r="AC20" s="889">
        <f>3368-AC92</f>
        <v>3368</v>
      </c>
      <c r="AD20" s="145"/>
      <c r="AE20" s="146"/>
      <c r="AF20" s="146"/>
      <c r="AG20" s="147"/>
      <c r="AH20" s="889">
        <f>4182-AH92</f>
        <v>3472</v>
      </c>
      <c r="AI20" s="145"/>
      <c r="AJ20" s="146"/>
      <c r="AK20" s="146"/>
      <c r="AL20" s="147"/>
      <c r="AM20" s="1355">
        <f>4904-AM92</f>
        <v>3984</v>
      </c>
      <c r="AN20" s="145"/>
      <c r="AO20" s="146"/>
      <c r="AP20" s="146"/>
      <c r="AQ20" s="147"/>
      <c r="AR20" s="1355">
        <f>6076-AR92</f>
        <v>5341</v>
      </c>
    </row>
    <row r="21" spans="3:44">
      <c r="C21" s="1204"/>
      <c r="E21" s="145"/>
      <c r="F21" s="146"/>
      <c r="G21" s="146"/>
      <c r="H21" s="147"/>
      <c r="I21" s="817"/>
      <c r="J21" s="145"/>
      <c r="K21" s="146"/>
      <c r="L21" s="146"/>
      <c r="M21" s="147"/>
      <c r="N21" s="817"/>
      <c r="O21" s="145"/>
      <c r="P21" s="146"/>
      <c r="Q21" s="146"/>
      <c r="R21" s="147"/>
      <c r="S21" s="817"/>
      <c r="T21" s="145"/>
      <c r="U21" s="146"/>
      <c r="V21" s="146"/>
      <c r="W21" s="147"/>
      <c r="X21" s="817"/>
      <c r="Y21" s="145"/>
      <c r="Z21" s="146"/>
      <c r="AA21" s="146"/>
      <c r="AB21" s="147"/>
      <c r="AC21" s="1918"/>
      <c r="AD21" s="145"/>
      <c r="AE21" s="146"/>
      <c r="AF21" s="146"/>
      <c r="AG21" s="147"/>
      <c r="AH21" s="1918"/>
      <c r="AI21" s="145"/>
      <c r="AJ21" s="146"/>
      <c r="AK21" s="146"/>
      <c r="AL21" s="147"/>
      <c r="AM21" s="2250"/>
      <c r="AN21" s="145"/>
      <c r="AO21" s="146"/>
      <c r="AP21" s="146"/>
      <c r="AQ21" s="147"/>
      <c r="AR21" s="2250"/>
    </row>
    <row r="22" spans="3:44">
      <c r="C22" s="1266" t="s">
        <v>124</v>
      </c>
      <c r="E22" s="145"/>
      <c r="F22" s="146"/>
      <c r="G22" s="146"/>
      <c r="H22" s="147"/>
      <c r="I22" s="817"/>
      <c r="J22" s="145"/>
      <c r="K22" s="146"/>
      <c r="L22" s="146"/>
      <c r="M22" s="147"/>
      <c r="N22" s="817"/>
      <c r="O22" s="145"/>
      <c r="P22" s="146"/>
      <c r="Q22" s="146"/>
      <c r="R22" s="147"/>
      <c r="S22" s="817"/>
      <c r="T22" s="145"/>
      <c r="U22" s="146"/>
      <c r="V22" s="146"/>
      <c r="W22" s="147"/>
      <c r="X22" s="817"/>
      <c r="Y22" s="145"/>
      <c r="Z22" s="146"/>
      <c r="AA22" s="146"/>
      <c r="AB22" s="147"/>
      <c r="AC22" s="1918"/>
      <c r="AD22" s="145"/>
      <c r="AE22" s="146"/>
      <c r="AF22" s="146"/>
      <c r="AG22" s="147"/>
      <c r="AH22" s="1918"/>
      <c r="AI22" s="145"/>
      <c r="AJ22" s="146"/>
      <c r="AK22" s="146"/>
      <c r="AL22" s="147"/>
      <c r="AM22" s="2250"/>
      <c r="AN22" s="145"/>
      <c r="AO22" s="146"/>
      <c r="AP22" s="146"/>
      <c r="AQ22" s="147"/>
      <c r="AR22" s="2250"/>
    </row>
    <row r="23" spans="3:44">
      <c r="C23" s="1204" t="s">
        <v>324</v>
      </c>
      <c r="E23" s="145"/>
      <c r="F23" s="146"/>
      <c r="G23" s="146"/>
      <c r="H23" s="147"/>
      <c r="I23" s="313">
        <f>883</f>
        <v>883</v>
      </c>
      <c r="J23" s="145"/>
      <c r="K23" s="146"/>
      <c r="L23" s="146"/>
      <c r="M23" s="147"/>
      <c r="N23" s="313">
        <f>717</f>
        <v>717</v>
      </c>
      <c r="O23" s="145"/>
      <c r="P23" s="146"/>
      <c r="Q23" s="146"/>
      <c r="R23" s="147"/>
      <c r="S23" s="313">
        <v>720</v>
      </c>
      <c r="T23" s="145"/>
      <c r="U23" s="146"/>
      <c r="V23" s="146"/>
      <c r="W23" s="147"/>
      <c r="X23" s="313">
        <v>751</v>
      </c>
      <c r="Y23" s="145"/>
      <c r="Z23" s="146"/>
      <c r="AA23" s="146"/>
      <c r="AB23" s="147"/>
      <c r="AC23" s="889">
        <v>1094</v>
      </c>
      <c r="AD23" s="145"/>
      <c r="AE23" s="146"/>
      <c r="AF23" s="146"/>
      <c r="AG23" s="147"/>
      <c r="AH23" s="889">
        <v>1120</v>
      </c>
      <c r="AI23" s="145"/>
      <c r="AJ23" s="146"/>
      <c r="AK23" s="146"/>
      <c r="AL23" s="147"/>
      <c r="AM23" s="1355">
        <v>1124</v>
      </c>
      <c r="AN23" s="145"/>
      <c r="AO23" s="146"/>
      <c r="AP23" s="146"/>
      <c r="AQ23" s="147"/>
      <c r="AR23" s="1355">
        <v>1188</v>
      </c>
    </row>
    <row r="24" spans="3:44">
      <c r="C24" s="1204" t="s">
        <v>473</v>
      </c>
      <c r="E24" s="145"/>
      <c r="F24" s="146"/>
      <c r="G24" s="146"/>
      <c r="H24" s="147"/>
      <c r="I24" s="313">
        <f>1279.159</f>
        <v>1279.1590000000001</v>
      </c>
      <c r="J24" s="145"/>
      <c r="K24" s="146"/>
      <c r="L24" s="146"/>
      <c r="M24" s="147"/>
      <c r="N24" s="313">
        <f>1281.08</f>
        <v>1281.08</v>
      </c>
      <c r="O24" s="145"/>
      <c r="P24" s="146"/>
      <c r="Q24" s="146"/>
      <c r="R24" s="147"/>
      <c r="S24" s="313">
        <v>1080.646</v>
      </c>
      <c r="T24" s="145"/>
      <c r="U24" s="146"/>
      <c r="V24" s="146"/>
      <c r="W24" s="147"/>
      <c r="X24" s="313">
        <v>1119.2919999999999</v>
      </c>
      <c r="Y24" s="145"/>
      <c r="Z24" s="146"/>
      <c r="AA24" s="146"/>
      <c r="AB24" s="147"/>
      <c r="AC24" s="889">
        <v>1086</v>
      </c>
      <c r="AD24" s="145"/>
      <c r="AE24" s="146"/>
      <c r="AF24" s="146"/>
      <c r="AG24" s="147"/>
      <c r="AH24" s="889">
        <v>1091</v>
      </c>
      <c r="AI24" s="145"/>
      <c r="AJ24" s="146"/>
      <c r="AK24" s="146"/>
      <c r="AL24" s="147"/>
      <c r="AM24" s="1355">
        <v>1376</v>
      </c>
      <c r="AN24" s="145"/>
      <c r="AO24" s="146"/>
      <c r="AP24" s="146"/>
      <c r="AQ24" s="147"/>
      <c r="AR24" s="1355">
        <v>1541</v>
      </c>
    </row>
    <row r="25" spans="3:44">
      <c r="C25" s="1204" t="s">
        <v>330</v>
      </c>
      <c r="E25" s="145"/>
      <c r="F25" s="146"/>
      <c r="G25" s="146"/>
      <c r="H25" s="147"/>
      <c r="I25" s="313">
        <f>367.617</f>
        <v>367.61700000000002</v>
      </c>
      <c r="J25" s="145"/>
      <c r="K25" s="146"/>
      <c r="L25" s="146"/>
      <c r="M25" s="147"/>
      <c r="N25" s="313">
        <f>368.321</f>
        <v>368.32100000000003</v>
      </c>
      <c r="O25" s="145"/>
      <c r="P25" s="146"/>
      <c r="Q25" s="146"/>
      <c r="R25" s="147"/>
      <c r="S25" s="313">
        <v>361.89100000000002</v>
      </c>
      <c r="T25" s="145"/>
      <c r="U25" s="146"/>
      <c r="V25" s="146"/>
      <c r="W25" s="147"/>
      <c r="X25" s="313">
        <v>376.45499999999998</v>
      </c>
      <c r="Y25" s="145"/>
      <c r="Z25" s="146"/>
      <c r="AA25" s="146"/>
      <c r="AB25" s="147"/>
      <c r="AC25" s="889">
        <v>359.976</v>
      </c>
      <c r="AD25" s="145"/>
      <c r="AE25" s="146"/>
      <c r="AF25" s="146"/>
      <c r="AG25" s="147"/>
      <c r="AH25" s="889">
        <v>533.40499999999997</v>
      </c>
      <c r="AI25" s="145"/>
      <c r="AJ25" s="146"/>
      <c r="AK25" s="146"/>
      <c r="AL25" s="147"/>
      <c r="AM25" s="1355">
        <v>569.947</v>
      </c>
      <c r="AN25" s="145"/>
      <c r="AO25" s="146"/>
      <c r="AP25" s="146"/>
      <c r="AQ25" s="147"/>
      <c r="AR25" s="1355">
        <v>525.23800000000006</v>
      </c>
    </row>
    <row r="26" spans="3:44">
      <c r="C26" s="1204" t="s">
        <v>321</v>
      </c>
      <c r="E26" s="145"/>
      <c r="F26" s="146"/>
      <c r="G26" s="146"/>
      <c r="H26" s="147"/>
      <c r="I26" s="313">
        <f>2673</f>
        <v>2673</v>
      </c>
      <c r="J26" s="145"/>
      <c r="K26" s="146"/>
      <c r="L26" s="146"/>
      <c r="M26" s="147"/>
      <c r="N26" s="313">
        <f>2307</f>
        <v>2307</v>
      </c>
      <c r="O26" s="145"/>
      <c r="P26" s="146"/>
      <c r="Q26" s="146"/>
      <c r="R26" s="147"/>
      <c r="S26" s="313">
        <v>2243</v>
      </c>
      <c r="T26" s="145"/>
      <c r="U26" s="146"/>
      <c r="V26" s="146"/>
      <c r="W26" s="147"/>
      <c r="X26" s="313">
        <v>2332</v>
      </c>
      <c r="Y26" s="145"/>
      <c r="Z26" s="146"/>
      <c r="AA26" s="146"/>
      <c r="AB26" s="147"/>
      <c r="AC26" s="889">
        <v>2413</v>
      </c>
      <c r="AD26" s="145"/>
      <c r="AE26" s="146"/>
      <c r="AF26" s="146"/>
      <c r="AG26" s="147"/>
      <c r="AH26" s="889">
        <v>2461</v>
      </c>
      <c r="AI26" s="145"/>
      <c r="AJ26" s="146"/>
      <c r="AK26" s="146"/>
      <c r="AL26" s="147"/>
      <c r="AM26" s="1355">
        <v>2822</v>
      </c>
      <c r="AN26" s="145"/>
      <c r="AO26" s="146"/>
      <c r="AP26" s="146"/>
      <c r="AQ26" s="147"/>
      <c r="AR26" s="1355">
        <v>3190</v>
      </c>
    </row>
    <row r="27" spans="3:44">
      <c r="C27" s="1204" t="s">
        <v>322</v>
      </c>
      <c r="E27" s="145"/>
      <c r="F27" s="146"/>
      <c r="G27" s="146"/>
      <c r="H27" s="147"/>
      <c r="I27" s="313">
        <f>1127.939</f>
        <v>1127.9390000000001</v>
      </c>
      <c r="J27" s="145"/>
      <c r="K27" s="146"/>
      <c r="L27" s="146"/>
      <c r="M27" s="147"/>
      <c r="N27" s="313">
        <f>806.6</f>
        <v>806.6</v>
      </c>
      <c r="O27" s="145"/>
      <c r="P27" s="146"/>
      <c r="Q27" s="146"/>
      <c r="R27" s="147"/>
      <c r="S27" s="313">
        <v>799.726</v>
      </c>
      <c r="T27" s="145"/>
      <c r="U27" s="146"/>
      <c r="V27" s="146"/>
      <c r="W27" s="147"/>
      <c r="X27" s="313">
        <v>798.02300000000002</v>
      </c>
      <c r="Y27" s="145"/>
      <c r="Z27" s="146"/>
      <c r="AA27" s="146"/>
      <c r="AB27" s="147"/>
      <c r="AC27" s="889">
        <v>795</v>
      </c>
      <c r="AD27" s="145"/>
      <c r="AE27" s="146"/>
      <c r="AF27" s="146"/>
      <c r="AG27" s="147"/>
      <c r="AH27" s="889">
        <v>797</v>
      </c>
      <c r="AI27" s="145"/>
      <c r="AJ27" s="146"/>
      <c r="AK27" s="146"/>
      <c r="AL27" s="147"/>
      <c r="AM27" s="1355">
        <v>859</v>
      </c>
      <c r="AN27" s="145"/>
      <c r="AO27" s="146"/>
      <c r="AP27" s="146"/>
      <c r="AQ27" s="147"/>
      <c r="AR27" s="1355">
        <v>932</v>
      </c>
    </row>
    <row r="28" spans="3:44">
      <c r="C28" s="1204" t="s">
        <v>325</v>
      </c>
      <c r="E28" s="145"/>
      <c r="F28" s="146"/>
      <c r="G28" s="146"/>
      <c r="H28" s="147"/>
      <c r="I28" s="313">
        <f>961.574</f>
        <v>961.57399999999996</v>
      </c>
      <c r="J28" s="145"/>
      <c r="K28" s="146"/>
      <c r="L28" s="146"/>
      <c r="M28" s="147"/>
      <c r="N28" s="313">
        <f>941.242</f>
        <v>941.24199999999996</v>
      </c>
      <c r="O28" s="145"/>
      <c r="P28" s="146"/>
      <c r="Q28" s="146"/>
      <c r="R28" s="147"/>
      <c r="S28" s="313">
        <v>902.64700000000005</v>
      </c>
      <c r="T28" s="145"/>
      <c r="U28" s="146"/>
      <c r="V28" s="146"/>
      <c r="W28" s="147"/>
      <c r="X28" s="313">
        <v>998.44399999999996</v>
      </c>
      <c r="Y28" s="145"/>
      <c r="Z28" s="146"/>
      <c r="AA28" s="146"/>
      <c r="AB28" s="147"/>
      <c r="AC28" s="889">
        <v>1022</v>
      </c>
      <c r="AD28" s="145"/>
      <c r="AE28" s="146"/>
      <c r="AF28" s="146"/>
      <c r="AG28" s="147"/>
      <c r="AH28" s="889">
        <v>1024</v>
      </c>
      <c r="AI28" s="145"/>
      <c r="AJ28" s="146"/>
      <c r="AK28" s="146"/>
      <c r="AL28" s="147"/>
      <c r="AM28" s="1355">
        <v>1209</v>
      </c>
      <c r="AN28" s="145"/>
      <c r="AO28" s="146"/>
      <c r="AP28" s="146"/>
      <c r="AQ28" s="147"/>
      <c r="AR28" s="1355">
        <v>1220</v>
      </c>
    </row>
    <row r="29" spans="3:44">
      <c r="C29" s="1204" t="s">
        <v>323</v>
      </c>
      <c r="E29" s="145"/>
      <c r="F29" s="146"/>
      <c r="G29" s="146"/>
      <c r="H29" s="147"/>
      <c r="I29" s="889">
        <f>591.075</f>
        <v>591.07500000000005</v>
      </c>
      <c r="J29" s="145"/>
      <c r="K29" s="146"/>
      <c r="L29" s="146"/>
      <c r="M29" s="147"/>
      <c r="N29" s="889">
        <f>550.413</f>
        <v>550.41300000000001</v>
      </c>
      <c r="O29" s="145"/>
      <c r="P29" s="146"/>
      <c r="Q29" s="146"/>
      <c r="R29" s="147"/>
      <c r="S29" s="889">
        <v>579.38699999999994</v>
      </c>
      <c r="T29" s="145"/>
      <c r="U29" s="146"/>
      <c r="V29" s="146"/>
      <c r="W29" s="147"/>
      <c r="X29" s="889">
        <v>1055.7650000000001</v>
      </c>
      <c r="Y29" s="145"/>
      <c r="Z29" s="146"/>
      <c r="AA29" s="146"/>
      <c r="AB29" s="147"/>
      <c r="AC29" s="889">
        <v>1156</v>
      </c>
      <c r="AD29" s="145"/>
      <c r="AE29" s="146"/>
      <c r="AF29" s="146"/>
      <c r="AG29" s="147"/>
      <c r="AH29" s="889">
        <v>1175</v>
      </c>
      <c r="AI29" s="145"/>
      <c r="AJ29" s="146"/>
      <c r="AK29" s="146"/>
      <c r="AL29" s="147"/>
      <c r="AM29" s="1355">
        <v>1182</v>
      </c>
      <c r="AN29" s="145"/>
      <c r="AO29" s="146"/>
      <c r="AP29" s="146"/>
      <c r="AQ29" s="147"/>
      <c r="AR29" s="1355">
        <v>1278</v>
      </c>
    </row>
    <row r="30" spans="3:44">
      <c r="C30" s="1204" t="s">
        <v>332</v>
      </c>
      <c r="E30" s="145"/>
      <c r="F30" s="146"/>
      <c r="G30" s="146"/>
      <c r="H30" s="147"/>
      <c r="I30" s="313">
        <f>347.422</f>
        <v>347.42200000000003</v>
      </c>
      <c r="J30" s="145"/>
      <c r="K30" s="146"/>
      <c r="L30" s="146"/>
      <c r="M30" s="147"/>
      <c r="N30" s="313">
        <f>353.954</f>
        <v>353.95400000000001</v>
      </c>
      <c r="O30" s="145"/>
      <c r="P30" s="146"/>
      <c r="Q30" s="146"/>
      <c r="R30" s="147"/>
      <c r="S30" s="313">
        <v>384.18200000000002</v>
      </c>
      <c r="T30" s="145"/>
      <c r="U30" s="146"/>
      <c r="V30" s="146"/>
      <c r="W30" s="147"/>
      <c r="X30" s="313">
        <v>418.10500000000002</v>
      </c>
      <c r="Y30" s="145"/>
      <c r="Z30" s="146"/>
      <c r="AA30" s="146"/>
      <c r="AB30" s="147"/>
      <c r="AC30" s="889">
        <v>470</v>
      </c>
      <c r="AD30" s="145"/>
      <c r="AE30" s="146"/>
      <c r="AF30" s="146"/>
      <c r="AG30" s="147"/>
      <c r="AH30" s="889">
        <v>476</v>
      </c>
      <c r="AI30" s="145"/>
      <c r="AJ30" s="146"/>
      <c r="AK30" s="146"/>
      <c r="AL30" s="147"/>
      <c r="AM30" s="1355">
        <v>502</v>
      </c>
      <c r="AN30" s="145"/>
      <c r="AO30" s="146"/>
      <c r="AP30" s="146"/>
      <c r="AQ30" s="147"/>
      <c r="AR30" s="1355">
        <v>533</v>
      </c>
    </row>
    <row r="31" spans="3:44">
      <c r="C31" s="1204" t="s">
        <v>329</v>
      </c>
      <c r="E31" s="145"/>
      <c r="F31" s="146"/>
      <c r="G31" s="146"/>
      <c r="H31" s="147"/>
      <c r="I31" s="313">
        <f>570.629</f>
        <v>570.62900000000002</v>
      </c>
      <c r="J31" s="145"/>
      <c r="K31" s="146"/>
      <c r="L31" s="146"/>
      <c r="M31" s="147"/>
      <c r="N31" s="313">
        <f>533.729</f>
        <v>533.72900000000004</v>
      </c>
      <c r="O31" s="145"/>
      <c r="P31" s="146"/>
      <c r="Q31" s="146"/>
      <c r="R31" s="147"/>
      <c r="S31" s="313">
        <v>581.40499999999997</v>
      </c>
      <c r="T31" s="145"/>
      <c r="U31" s="146"/>
      <c r="V31" s="146"/>
      <c r="W31" s="147"/>
      <c r="X31" s="313">
        <v>604.245</v>
      </c>
      <c r="Y31" s="145"/>
      <c r="Z31" s="146"/>
      <c r="AA31" s="146"/>
      <c r="AB31" s="147"/>
      <c r="AC31" s="889">
        <v>638</v>
      </c>
      <c r="AD31" s="145"/>
      <c r="AE31" s="146"/>
      <c r="AF31" s="146"/>
      <c r="AG31" s="147"/>
      <c r="AH31" s="889">
        <v>667</v>
      </c>
      <c r="AI31" s="145"/>
      <c r="AJ31" s="146"/>
      <c r="AK31" s="146"/>
      <c r="AL31" s="147"/>
      <c r="AM31" s="1355">
        <v>700</v>
      </c>
      <c r="AN31" s="145"/>
      <c r="AO31" s="146"/>
      <c r="AP31" s="146"/>
      <c r="AQ31" s="147"/>
      <c r="AR31" s="1355">
        <v>813</v>
      </c>
    </row>
    <row r="32" spans="3:44">
      <c r="C32" s="1204" t="s">
        <v>712</v>
      </c>
      <c r="E32" s="145"/>
      <c r="F32" s="146"/>
      <c r="G32" s="146"/>
      <c r="H32" s="147"/>
      <c r="I32" s="817"/>
      <c r="J32" s="145"/>
      <c r="K32" s="146"/>
      <c r="L32" s="146"/>
      <c r="M32" s="147"/>
      <c r="N32" s="817"/>
      <c r="O32" s="145"/>
      <c r="P32" s="146"/>
      <c r="Q32" s="146"/>
      <c r="R32" s="147"/>
      <c r="S32" s="888">
        <v>1027.7950000000001</v>
      </c>
      <c r="T32" s="145"/>
      <c r="U32" s="146"/>
      <c r="V32" s="146"/>
      <c r="W32" s="147"/>
      <c r="X32" s="888">
        <v>1046.615</v>
      </c>
      <c r="Y32" s="145"/>
      <c r="Z32" s="146"/>
      <c r="AA32" s="146"/>
      <c r="AB32" s="147"/>
      <c r="AC32" s="1919">
        <v>1195</v>
      </c>
      <c r="AD32" s="145"/>
      <c r="AE32" s="146"/>
      <c r="AF32" s="146"/>
      <c r="AG32" s="147"/>
      <c r="AH32" s="1919">
        <v>1419</v>
      </c>
      <c r="AI32" s="145"/>
      <c r="AJ32" s="146"/>
      <c r="AK32" s="146"/>
      <c r="AL32" s="147"/>
      <c r="AM32" s="2251">
        <v>1612</v>
      </c>
      <c r="AN32" s="145"/>
      <c r="AO32" s="146"/>
      <c r="AP32" s="146"/>
      <c r="AQ32" s="147"/>
      <c r="AR32" s="2251">
        <v>2006</v>
      </c>
    </row>
    <row r="33" spans="3:44">
      <c r="C33" s="1204"/>
      <c r="E33" s="145"/>
      <c r="F33" s="146"/>
      <c r="G33" s="146"/>
      <c r="H33" s="147"/>
      <c r="I33" s="817"/>
      <c r="J33" s="145"/>
      <c r="K33" s="146"/>
      <c r="L33" s="146"/>
      <c r="M33" s="147"/>
      <c r="N33" s="817"/>
      <c r="O33" s="145"/>
      <c r="P33" s="146"/>
      <c r="Q33" s="146"/>
      <c r="R33" s="147"/>
      <c r="S33" s="817"/>
      <c r="T33" s="145"/>
      <c r="U33" s="146"/>
      <c r="V33" s="146"/>
      <c r="W33" s="147"/>
      <c r="X33" s="817"/>
      <c r="Y33" s="145"/>
      <c r="Z33" s="146"/>
      <c r="AA33" s="146"/>
      <c r="AB33" s="147"/>
      <c r="AC33" s="1918"/>
      <c r="AD33" s="145"/>
      <c r="AE33" s="146"/>
      <c r="AF33" s="146"/>
      <c r="AG33" s="147"/>
      <c r="AH33" s="1918"/>
      <c r="AI33" s="145"/>
      <c r="AJ33" s="146"/>
      <c r="AK33" s="146"/>
      <c r="AL33" s="147"/>
      <c r="AM33" s="2250"/>
      <c r="AN33" s="145"/>
      <c r="AO33" s="146"/>
      <c r="AP33" s="146"/>
      <c r="AQ33" s="147"/>
      <c r="AR33" s="2250"/>
    </row>
    <row r="34" spans="3:44">
      <c r="C34" s="1266" t="s">
        <v>125</v>
      </c>
      <c r="E34" s="145"/>
      <c r="F34" s="146"/>
      <c r="G34" s="146"/>
      <c r="H34" s="147"/>
      <c r="I34" s="817"/>
      <c r="J34" s="145"/>
      <c r="K34" s="146"/>
      <c r="L34" s="146"/>
      <c r="M34" s="147"/>
      <c r="N34" s="817"/>
      <c r="O34" s="145"/>
      <c r="P34" s="146"/>
      <c r="Q34" s="146"/>
      <c r="R34" s="147"/>
      <c r="S34" s="817"/>
      <c r="T34" s="145"/>
      <c r="U34" s="146"/>
      <c r="V34" s="146"/>
      <c r="W34" s="147"/>
      <c r="X34" s="817"/>
      <c r="Y34" s="145"/>
      <c r="Z34" s="146"/>
      <c r="AA34" s="146"/>
      <c r="AB34" s="147"/>
      <c r="AC34" s="1918"/>
      <c r="AD34" s="145"/>
      <c r="AE34" s="146"/>
      <c r="AF34" s="146"/>
      <c r="AG34" s="147"/>
      <c r="AH34" s="1918"/>
      <c r="AI34" s="145"/>
      <c r="AJ34" s="146"/>
      <c r="AK34" s="146"/>
      <c r="AL34" s="147"/>
      <c r="AM34" s="2250"/>
      <c r="AN34" s="145"/>
      <c r="AO34" s="146"/>
      <c r="AP34" s="146"/>
      <c r="AQ34" s="147"/>
      <c r="AR34" s="2250"/>
    </row>
    <row r="35" spans="3:44">
      <c r="C35" s="1204" t="s">
        <v>324</v>
      </c>
      <c r="E35" s="145"/>
      <c r="F35" s="146"/>
      <c r="G35" s="146"/>
      <c r="H35" s="147"/>
      <c r="I35" s="313">
        <f>(1152+1+142)</f>
        <v>1295</v>
      </c>
      <c r="J35" s="145"/>
      <c r="K35" s="146"/>
      <c r="L35" s="146"/>
      <c r="M35" s="147"/>
      <c r="N35" s="313">
        <f>(1155+2)</f>
        <v>1157</v>
      </c>
      <c r="O35" s="145"/>
      <c r="P35" s="146"/>
      <c r="Q35" s="146"/>
      <c r="R35" s="147"/>
      <c r="S35" s="313">
        <f>4+1172</f>
        <v>1176</v>
      </c>
      <c r="T35" s="145"/>
      <c r="U35" s="146"/>
      <c r="V35" s="146"/>
      <c r="W35" s="147"/>
      <c r="X35" s="313">
        <f>33+917</f>
        <v>950</v>
      </c>
      <c r="Y35" s="145"/>
      <c r="Z35" s="146"/>
      <c r="AA35" s="146"/>
      <c r="AB35" s="147"/>
      <c r="AC35" s="889">
        <f>909+9+37</f>
        <v>955</v>
      </c>
      <c r="AD35" s="145"/>
      <c r="AE35" s="146"/>
      <c r="AF35" s="146"/>
      <c r="AG35" s="147"/>
      <c r="AH35" s="889">
        <f>900+9+43</f>
        <v>952</v>
      </c>
      <c r="AI35" s="145"/>
      <c r="AJ35" s="146"/>
      <c r="AK35" s="146"/>
      <c r="AL35" s="147"/>
      <c r="AM35" s="1355">
        <f>938+8</f>
        <v>946</v>
      </c>
      <c r="AN35" s="145"/>
      <c r="AO35" s="146"/>
      <c r="AP35" s="146"/>
      <c r="AQ35" s="147"/>
      <c r="AR35" s="1355">
        <f>906+33+9</f>
        <v>948</v>
      </c>
    </row>
    <row r="36" spans="3:44">
      <c r="C36" s="1204" t="s">
        <v>473</v>
      </c>
      <c r="E36" s="145"/>
      <c r="F36" s="146"/>
      <c r="G36" s="146"/>
      <c r="H36" s="147"/>
      <c r="I36" s="313">
        <f>(1852.523+0.161+105.996)</f>
        <v>1958.68</v>
      </c>
      <c r="J36" s="145"/>
      <c r="K36" s="146"/>
      <c r="L36" s="146"/>
      <c r="M36" s="147"/>
      <c r="N36" s="313">
        <f>(1834.89+0.743+23.303)</f>
        <v>1858.9360000000001</v>
      </c>
      <c r="O36" s="145"/>
      <c r="P36" s="146"/>
      <c r="Q36" s="146"/>
      <c r="R36" s="147"/>
      <c r="S36" s="313">
        <f>302.169+1521.342+26.262</f>
        <v>1849.7729999999999</v>
      </c>
      <c r="T36" s="145"/>
      <c r="U36" s="146"/>
      <c r="V36" s="146"/>
      <c r="W36" s="147"/>
      <c r="X36" s="313">
        <f>33.042+1550.056+18.939+75</f>
        <v>1677.037</v>
      </c>
      <c r="Y36" s="145"/>
      <c r="Z36" s="146"/>
      <c r="AA36" s="146"/>
      <c r="AB36" s="147"/>
      <c r="AC36" s="889">
        <f>22+124+1528</f>
        <v>1674</v>
      </c>
      <c r="AD36" s="145"/>
      <c r="AE36" s="146"/>
      <c r="AF36" s="146"/>
      <c r="AG36" s="147"/>
      <c r="AH36" s="889">
        <f>22+190+1507</f>
        <v>1719</v>
      </c>
      <c r="AI36" s="145"/>
      <c r="AJ36" s="146"/>
      <c r="AK36" s="146"/>
      <c r="AL36" s="147"/>
      <c r="AM36" s="1355">
        <f>452+2+1051</f>
        <v>1505</v>
      </c>
      <c r="AN36" s="145"/>
      <c r="AO36" s="146"/>
      <c r="AP36" s="146"/>
      <c r="AQ36" s="147"/>
      <c r="AR36" s="1355">
        <f>322+2+1082</f>
        <v>1406</v>
      </c>
    </row>
    <row r="37" spans="3:44">
      <c r="C37" s="1204" t="s">
        <v>330</v>
      </c>
      <c r="E37" s="145"/>
      <c r="F37" s="146"/>
      <c r="G37" s="146"/>
      <c r="H37" s="147"/>
      <c r="I37" s="313">
        <f>(600.493+0.199)</f>
        <v>600.69200000000001</v>
      </c>
      <c r="J37" s="145"/>
      <c r="K37" s="146"/>
      <c r="L37" s="146"/>
      <c r="M37" s="147"/>
      <c r="N37" s="313">
        <f>(598.869+0.193)</f>
        <v>599.06200000000001</v>
      </c>
      <c r="O37" s="145"/>
      <c r="P37" s="146"/>
      <c r="Q37" s="146"/>
      <c r="R37" s="147"/>
      <c r="S37" s="313">
        <f>1+606.755</f>
        <v>607.755</v>
      </c>
      <c r="T37" s="145"/>
      <c r="U37" s="146"/>
      <c r="V37" s="146"/>
      <c r="W37" s="147"/>
      <c r="X37" s="313">
        <f>2.436+403.023+29.159+50</f>
        <v>484.61799999999999</v>
      </c>
      <c r="Y37" s="145"/>
      <c r="Z37" s="146"/>
      <c r="AA37" s="146"/>
      <c r="AB37" s="147"/>
      <c r="AC37" s="889">
        <f>2.731+49.004+50+400.374</f>
        <v>502.10900000000004</v>
      </c>
      <c r="AD37" s="145"/>
      <c r="AE37" s="146"/>
      <c r="AF37" s="146"/>
      <c r="AG37" s="147"/>
      <c r="AH37" s="889">
        <f>2.788+397.64</f>
        <v>400.428</v>
      </c>
      <c r="AI37" s="145"/>
      <c r="AJ37" s="146"/>
      <c r="AK37" s="146"/>
      <c r="AL37" s="147"/>
      <c r="AM37" s="1355">
        <f>2.742+392.929</f>
        <v>395.67099999999999</v>
      </c>
      <c r="AN37" s="145"/>
      <c r="AO37" s="146"/>
      <c r="AP37" s="146"/>
      <c r="AQ37" s="147"/>
      <c r="AR37" s="1355">
        <f>2.756+390.33</f>
        <v>393.08599999999996</v>
      </c>
    </row>
    <row r="38" spans="3:44">
      <c r="C38" s="1204" t="s">
        <v>321</v>
      </c>
      <c r="E38" s="145"/>
      <c r="F38" s="146"/>
      <c r="G38" s="146"/>
      <c r="H38" s="147"/>
      <c r="I38" s="313">
        <f>(1770+32)</f>
        <v>1802</v>
      </c>
      <c r="J38" s="145"/>
      <c r="K38" s="146"/>
      <c r="L38" s="146"/>
      <c r="M38" s="147"/>
      <c r="N38" s="313">
        <f>(1736+34+259)</f>
        <v>2029</v>
      </c>
      <c r="O38" s="145"/>
      <c r="P38" s="146"/>
      <c r="Q38" s="146"/>
      <c r="R38" s="147"/>
      <c r="S38" s="313">
        <f>36+1701+365+140</f>
        <v>2242</v>
      </c>
      <c r="T38" s="145"/>
      <c r="U38" s="146"/>
      <c r="V38" s="146"/>
      <c r="W38" s="147"/>
      <c r="X38" s="313">
        <f>38+2160+81+200</f>
        <v>2479</v>
      </c>
      <c r="Y38" s="145"/>
      <c r="Z38" s="146"/>
      <c r="AA38" s="146"/>
      <c r="AB38" s="147"/>
      <c r="AC38" s="889">
        <f>41+233+2121</f>
        <v>2395</v>
      </c>
      <c r="AD38" s="145"/>
      <c r="AE38" s="146"/>
      <c r="AF38" s="146"/>
      <c r="AG38" s="147"/>
      <c r="AH38" s="889">
        <f>343+21+2028</f>
        <v>2392</v>
      </c>
      <c r="AI38" s="145"/>
      <c r="AJ38" s="146"/>
      <c r="AK38" s="146"/>
      <c r="AL38" s="147"/>
      <c r="AM38" s="1355">
        <f>279+98+1743</f>
        <v>2120</v>
      </c>
      <c r="AN38" s="145"/>
      <c r="AO38" s="146"/>
      <c r="AP38" s="146"/>
      <c r="AQ38" s="147"/>
      <c r="AR38" s="1355">
        <f>1587+165</f>
        <v>1752</v>
      </c>
    </row>
    <row r="39" spans="3:44">
      <c r="C39" s="1204" t="s">
        <v>322</v>
      </c>
      <c r="E39" s="145"/>
      <c r="F39" s="146"/>
      <c r="G39" s="146"/>
      <c r="H39" s="147"/>
      <c r="I39" s="313">
        <f>(718.86+28.76+124.079)</f>
        <v>871.69899999999996</v>
      </c>
      <c r="J39" s="145"/>
      <c r="K39" s="146"/>
      <c r="L39" s="146"/>
      <c r="M39" s="147"/>
      <c r="N39" s="313">
        <f>(703.525+29.02+257.563)</f>
        <v>990.10799999999995</v>
      </c>
      <c r="O39" s="145"/>
      <c r="P39" s="146"/>
      <c r="Q39" s="146"/>
      <c r="R39" s="147"/>
      <c r="S39" s="313">
        <f>180.887+567.82+219.023</f>
        <v>967.73000000000013</v>
      </c>
      <c r="T39" s="145"/>
      <c r="U39" s="146"/>
      <c r="V39" s="146"/>
      <c r="W39" s="147"/>
      <c r="X39" s="313">
        <f>181.47+619.546+23.281+50</f>
        <v>874.29700000000003</v>
      </c>
      <c r="Y39" s="145"/>
      <c r="Z39" s="146"/>
      <c r="AA39" s="146"/>
      <c r="AB39" s="147"/>
      <c r="AC39" s="889">
        <f>3+33+866</f>
        <v>902</v>
      </c>
      <c r="AD39" s="145"/>
      <c r="AE39" s="146"/>
      <c r="AF39" s="146"/>
      <c r="AG39" s="147"/>
      <c r="AH39" s="889">
        <f>3+54+863</f>
        <v>920</v>
      </c>
      <c r="AI39" s="145"/>
      <c r="AJ39" s="146"/>
      <c r="AK39" s="146"/>
      <c r="AL39" s="147"/>
      <c r="AM39" s="1355">
        <f>3+46+856</f>
        <v>905</v>
      </c>
      <c r="AN39" s="145"/>
      <c r="AO39" s="146"/>
      <c r="AP39" s="146"/>
      <c r="AQ39" s="147"/>
      <c r="AR39" s="1355">
        <f>855+2</f>
        <v>857</v>
      </c>
    </row>
    <row r="40" spans="3:44">
      <c r="C40" s="1204" t="s">
        <v>325</v>
      </c>
      <c r="E40" s="145"/>
      <c r="F40" s="146"/>
      <c r="G40" s="146"/>
      <c r="H40" s="147"/>
      <c r="I40" s="313">
        <f>(1072.262+45+101.338)</f>
        <v>1218.5999999999999</v>
      </c>
      <c r="J40" s="145"/>
      <c r="K40" s="146"/>
      <c r="L40" s="146"/>
      <c r="M40" s="147"/>
      <c r="N40" s="313">
        <f>(1075.781+45.522+57.9)</f>
        <v>1179.203</v>
      </c>
      <c r="O40" s="145"/>
      <c r="P40" s="146"/>
      <c r="Q40" s="146"/>
      <c r="R40" s="147"/>
      <c r="S40" s="313">
        <f>47.771+1093.673+17.475</f>
        <v>1158.9189999999999</v>
      </c>
      <c r="T40" s="145"/>
      <c r="U40" s="146"/>
      <c r="V40" s="146"/>
      <c r="W40" s="147"/>
      <c r="X40" s="313">
        <f>49.124+952.612+33.524+125</f>
        <v>1160.26</v>
      </c>
      <c r="Y40" s="145"/>
      <c r="Z40" s="146"/>
      <c r="AA40" s="146"/>
      <c r="AB40" s="147"/>
      <c r="AC40" s="889">
        <f>4+1149</f>
        <v>1153</v>
      </c>
      <c r="AD40" s="145"/>
      <c r="AE40" s="146"/>
      <c r="AF40" s="146"/>
      <c r="AG40" s="147"/>
      <c r="AH40" s="889">
        <f>4+1145</f>
        <v>1149</v>
      </c>
      <c r="AI40" s="145"/>
      <c r="AJ40" s="146"/>
      <c r="AK40" s="146"/>
      <c r="AL40" s="147"/>
      <c r="AM40" s="1355">
        <f>304+31+837</f>
        <v>1172</v>
      </c>
      <c r="AN40" s="145"/>
      <c r="AO40" s="146"/>
      <c r="AP40" s="146"/>
      <c r="AQ40" s="147"/>
      <c r="AR40" s="1355">
        <f>1131+4+23</f>
        <v>1158</v>
      </c>
    </row>
    <row r="41" spans="3:44">
      <c r="C41" s="1204" t="s">
        <v>323</v>
      </c>
      <c r="E41" s="145"/>
      <c r="F41" s="146"/>
      <c r="G41" s="146"/>
      <c r="H41" s="147"/>
      <c r="I41" s="889">
        <f>(1070+11.637)</f>
        <v>1081.6369999999999</v>
      </c>
      <c r="J41" s="145"/>
      <c r="K41" s="146"/>
      <c r="L41" s="146"/>
      <c r="M41" s="147"/>
      <c r="N41" s="889">
        <f>(1085.624+15.948)</f>
        <v>1101.5720000000001</v>
      </c>
      <c r="O41" s="145"/>
      <c r="P41" s="146"/>
      <c r="Q41" s="146"/>
      <c r="R41" s="147"/>
      <c r="S41" s="889">
        <f>743.458+316.377+78.805</f>
        <v>1138.6400000000001</v>
      </c>
      <c r="T41" s="145"/>
      <c r="U41" s="146"/>
      <c r="V41" s="146"/>
      <c r="W41" s="147"/>
      <c r="X41" s="889">
        <f>1647.613+19.213</f>
        <v>1666.826</v>
      </c>
      <c r="Y41" s="145"/>
      <c r="Z41" s="146"/>
      <c r="AA41" s="146"/>
      <c r="AB41" s="147"/>
      <c r="AC41" s="889">
        <f>89+11+1556</f>
        <v>1656</v>
      </c>
      <c r="AD41" s="145"/>
      <c r="AE41" s="146"/>
      <c r="AF41" s="146"/>
      <c r="AG41" s="147"/>
      <c r="AH41" s="889">
        <f>18+196+1535</f>
        <v>1749</v>
      </c>
      <c r="AI41" s="145"/>
      <c r="AJ41" s="146"/>
      <c r="AK41" s="146"/>
      <c r="AL41" s="147"/>
      <c r="AM41" s="1355">
        <f>169+195+1351</f>
        <v>1715</v>
      </c>
      <c r="AN41" s="145"/>
      <c r="AO41" s="146"/>
      <c r="AP41" s="146"/>
      <c r="AQ41" s="147"/>
      <c r="AR41" s="1355">
        <f>1580+19</f>
        <v>1599</v>
      </c>
    </row>
    <row r="42" spans="3:44">
      <c r="C42" s="1204" t="s">
        <v>332</v>
      </c>
      <c r="E42" s="145"/>
      <c r="F42" s="146"/>
      <c r="G42" s="146"/>
      <c r="H42" s="147"/>
      <c r="I42" s="313">
        <f>(559.554+3.883)</f>
        <v>563.43700000000001</v>
      </c>
      <c r="J42" s="145"/>
      <c r="K42" s="146"/>
      <c r="L42" s="146"/>
      <c r="M42" s="147"/>
      <c r="N42" s="313">
        <f>(583.662+6.923)</f>
        <v>590.58500000000004</v>
      </c>
      <c r="O42" s="145"/>
      <c r="P42" s="146"/>
      <c r="Q42" s="146"/>
      <c r="R42" s="147"/>
      <c r="S42" s="313">
        <f>7.122+569.548</f>
        <v>576.66999999999996</v>
      </c>
      <c r="T42" s="145"/>
      <c r="U42" s="146"/>
      <c r="V42" s="146"/>
      <c r="W42" s="147"/>
      <c r="X42" s="313">
        <f>186.669+33.63+373.701</f>
        <v>594</v>
      </c>
      <c r="Y42" s="145"/>
      <c r="Z42" s="146"/>
      <c r="AA42" s="146"/>
      <c r="AB42" s="147"/>
      <c r="AC42" s="889">
        <f>154+4+416</f>
        <v>574</v>
      </c>
      <c r="AD42" s="145"/>
      <c r="AE42" s="146"/>
      <c r="AF42" s="146"/>
      <c r="AG42" s="147"/>
      <c r="AH42" s="889">
        <f>109+80+451</f>
        <v>640</v>
      </c>
      <c r="AI42" s="145"/>
      <c r="AJ42" s="146"/>
      <c r="AK42" s="146"/>
      <c r="AL42" s="147"/>
      <c r="AM42" s="1355">
        <f>7+17+594</f>
        <v>618</v>
      </c>
      <c r="AN42" s="145"/>
      <c r="AO42" s="146"/>
      <c r="AP42" s="146"/>
      <c r="AQ42" s="147"/>
      <c r="AR42" s="1355">
        <f>587+7</f>
        <v>594</v>
      </c>
    </row>
    <row r="43" spans="3:44">
      <c r="C43" s="1204" t="s">
        <v>329</v>
      </c>
      <c r="E43" s="145"/>
      <c r="F43" s="146"/>
      <c r="G43" s="146"/>
      <c r="H43" s="147"/>
      <c r="I43" s="313">
        <f>(499.114)</f>
        <v>499.11399999999998</v>
      </c>
      <c r="J43" s="145"/>
      <c r="K43" s="146"/>
      <c r="L43" s="146"/>
      <c r="M43" s="147"/>
      <c r="N43" s="313">
        <f>(476.693+83.97+20.003)</f>
        <v>580.66600000000005</v>
      </c>
      <c r="O43" s="145"/>
      <c r="P43" s="146"/>
      <c r="Q43" s="146"/>
      <c r="R43" s="147"/>
      <c r="S43" s="313">
        <f>4.317+568.498</f>
        <v>572.81500000000005</v>
      </c>
      <c r="T43" s="145"/>
      <c r="U43" s="146"/>
      <c r="V43" s="146"/>
      <c r="W43" s="147"/>
      <c r="X43" s="313">
        <f>4.109+11.093+50+557.548</f>
        <v>622.75</v>
      </c>
      <c r="Y43" s="145"/>
      <c r="Z43" s="146"/>
      <c r="AA43" s="146"/>
      <c r="AB43" s="147"/>
      <c r="AC43" s="889">
        <f>4+89+547</f>
        <v>640</v>
      </c>
      <c r="AD43" s="145"/>
      <c r="AE43" s="146"/>
      <c r="AF43" s="146"/>
      <c r="AG43" s="147"/>
      <c r="AH43" s="889">
        <f>150+5+539</f>
        <v>694</v>
      </c>
      <c r="AI43" s="145"/>
      <c r="AJ43" s="146"/>
      <c r="AK43" s="146"/>
      <c r="AL43" s="147"/>
      <c r="AM43" s="1355">
        <f>282+103+352</f>
        <v>737</v>
      </c>
      <c r="AN43" s="145"/>
      <c r="AO43" s="146"/>
      <c r="AP43" s="146"/>
      <c r="AQ43" s="147"/>
      <c r="AR43" s="1355">
        <f>723+2</f>
        <v>725</v>
      </c>
    </row>
    <row r="44" spans="3:44">
      <c r="C44" s="1204" t="s">
        <v>712</v>
      </c>
      <c r="E44" s="145"/>
      <c r="F44" s="146"/>
      <c r="G44" s="146"/>
      <c r="H44" s="147"/>
      <c r="I44" s="313"/>
      <c r="J44" s="145"/>
      <c r="K44" s="146"/>
      <c r="L44" s="146"/>
      <c r="M44" s="147"/>
      <c r="N44" s="313"/>
      <c r="O44" s="145"/>
      <c r="P44" s="146"/>
      <c r="Q44" s="146"/>
      <c r="R44" s="147"/>
      <c r="S44" s="313">
        <f>69.734+1000+855.078</f>
        <v>1924.8119999999999</v>
      </c>
      <c r="T44" s="145"/>
      <c r="U44" s="146"/>
      <c r="V44" s="146"/>
      <c r="W44" s="147"/>
      <c r="X44" s="313">
        <f>193.124+1000+852.489</f>
        <v>2045.6130000000001</v>
      </c>
      <c r="Y44" s="145"/>
      <c r="Z44" s="146"/>
      <c r="AA44" s="146"/>
      <c r="AB44" s="147"/>
      <c r="AC44" s="889">
        <f>101+2344</f>
        <v>2445</v>
      </c>
      <c r="AD44" s="145"/>
      <c r="AE44" s="146"/>
      <c r="AF44" s="146"/>
      <c r="AG44" s="147"/>
      <c r="AH44" s="889">
        <v>2569</v>
      </c>
      <c r="AI44" s="145"/>
      <c r="AJ44" s="146"/>
      <c r="AK44" s="146"/>
      <c r="AL44" s="147"/>
      <c r="AM44" s="1355">
        <f>170+2551</f>
        <v>2721</v>
      </c>
      <c r="AN44" s="145"/>
      <c r="AO44" s="146"/>
      <c r="AP44" s="146"/>
      <c r="AQ44" s="147"/>
      <c r="AR44" s="1355">
        <f>2702+358</f>
        <v>3060</v>
      </c>
    </row>
    <row r="45" spans="3:44">
      <c r="C45" s="1204"/>
      <c r="E45" s="145"/>
      <c r="F45" s="146"/>
      <c r="G45" s="146"/>
      <c r="H45" s="147"/>
      <c r="I45" s="817"/>
      <c r="J45" s="145"/>
      <c r="K45" s="146"/>
      <c r="L45" s="146"/>
      <c r="M45" s="147"/>
      <c r="N45" s="817"/>
      <c r="O45" s="145"/>
      <c r="P45" s="146"/>
      <c r="Q45" s="146"/>
      <c r="R45" s="147"/>
      <c r="S45" s="817"/>
      <c r="T45" s="145"/>
      <c r="U45" s="146"/>
      <c r="V45" s="146"/>
      <c r="W45" s="147"/>
      <c r="X45" s="817"/>
      <c r="Y45" s="145"/>
      <c r="Z45" s="146"/>
      <c r="AA45" s="146"/>
      <c r="AB45" s="147"/>
      <c r="AC45" s="1918"/>
      <c r="AD45" s="145"/>
      <c r="AE45" s="146"/>
      <c r="AF45" s="146"/>
      <c r="AG45" s="147"/>
      <c r="AH45" s="1918"/>
      <c r="AI45" s="145"/>
      <c r="AJ45" s="146"/>
      <c r="AK45" s="146"/>
      <c r="AL45" s="147"/>
      <c r="AM45" s="2250"/>
      <c r="AN45" s="145"/>
      <c r="AO45" s="146"/>
      <c r="AP45" s="146"/>
      <c r="AQ45" s="147"/>
      <c r="AR45" s="2250"/>
    </row>
    <row r="46" spans="3:44">
      <c r="C46" s="1266" t="s">
        <v>293</v>
      </c>
      <c r="E46" s="145"/>
      <c r="F46" s="146"/>
      <c r="G46" s="146"/>
      <c r="H46" s="147"/>
      <c r="J46" s="145"/>
      <c r="K46" s="146"/>
      <c r="L46" s="146"/>
      <c r="M46" s="147"/>
      <c r="O46" s="145"/>
      <c r="P46" s="146"/>
      <c r="Q46" s="146"/>
      <c r="R46" s="147"/>
      <c r="T46" s="145"/>
      <c r="U46" s="146"/>
      <c r="V46" s="146"/>
      <c r="W46" s="147"/>
      <c r="Y46" s="145"/>
      <c r="Z46" s="146"/>
      <c r="AA46" s="146"/>
      <c r="AB46" s="147"/>
      <c r="AD46" s="145"/>
      <c r="AE46" s="146"/>
      <c r="AF46" s="146"/>
      <c r="AG46" s="147"/>
      <c r="AI46" s="145"/>
      <c r="AJ46" s="146"/>
      <c r="AK46" s="146"/>
      <c r="AL46" s="147"/>
      <c r="AM46" s="1957"/>
      <c r="AN46" s="145"/>
      <c r="AO46" s="146"/>
      <c r="AP46" s="146"/>
      <c r="AQ46" s="147"/>
      <c r="AR46" s="1957"/>
    </row>
    <row r="47" spans="3:44">
      <c r="C47" s="1204" t="s">
        <v>324</v>
      </c>
      <c r="E47" s="145"/>
      <c r="F47" s="146"/>
      <c r="G47" s="146"/>
      <c r="H47" s="147"/>
      <c r="I47" s="863">
        <f t="shared" ref="I47:I55" si="0">I23/(I23+I35)</f>
        <v>0.40541781450872361</v>
      </c>
      <c r="J47" s="145"/>
      <c r="K47" s="146"/>
      <c r="L47" s="146"/>
      <c r="M47" s="147"/>
      <c r="N47" s="863">
        <f t="shared" ref="N47:N55" si="1">N23/(N23+N35)</f>
        <v>0.38260405549626469</v>
      </c>
      <c r="O47" s="145"/>
      <c r="P47" s="146"/>
      <c r="Q47" s="146"/>
      <c r="R47" s="147"/>
      <c r="S47" s="863">
        <f t="shared" ref="S47:S56" si="2">S23/(S23+S35)</f>
        <v>0.379746835443038</v>
      </c>
      <c r="T47" s="145"/>
      <c r="U47" s="146"/>
      <c r="V47" s="146"/>
      <c r="W47" s="147"/>
      <c r="X47" s="863">
        <f t="shared" ref="X47:X56" si="3">X23/(X23+X35)</f>
        <v>0.44150499706055263</v>
      </c>
      <c r="Y47" s="145"/>
      <c r="Z47" s="146"/>
      <c r="AA47" s="146"/>
      <c r="AB47" s="147"/>
      <c r="AC47" s="863">
        <f t="shared" ref="AC47:AC56" si="4">AC23/(AC23+AC35)</f>
        <v>0.53391898487066858</v>
      </c>
      <c r="AD47" s="145"/>
      <c r="AE47" s="146"/>
      <c r="AF47" s="146"/>
      <c r="AG47" s="147"/>
      <c r="AH47" s="863">
        <f t="shared" ref="AH47:AH56" si="5">AH23/(AH23+AH35)</f>
        <v>0.54054054054054057</v>
      </c>
      <c r="AI47" s="145"/>
      <c r="AJ47" s="146"/>
      <c r="AK47" s="146"/>
      <c r="AL47" s="147"/>
      <c r="AM47" s="201">
        <f t="shared" ref="AM47:AM56" si="6">AM23/(AM23+AM35)</f>
        <v>0.54299516908212564</v>
      </c>
      <c r="AN47" s="145"/>
      <c r="AO47" s="146"/>
      <c r="AP47" s="146"/>
      <c r="AQ47" s="147"/>
      <c r="AR47" s="201">
        <f t="shared" ref="AR47:AR56" si="7">AR23/(AR23+AR35)</f>
        <v>0.5561797752808989</v>
      </c>
    </row>
    <row r="48" spans="3:44">
      <c r="C48" s="1204" t="s">
        <v>473</v>
      </c>
      <c r="E48" s="145"/>
      <c r="F48" s="146"/>
      <c r="G48" s="146"/>
      <c r="H48" s="147"/>
      <c r="I48" s="863">
        <f t="shared" si="0"/>
        <v>0.39506565953402878</v>
      </c>
      <c r="J48" s="145"/>
      <c r="K48" s="146"/>
      <c r="L48" s="146"/>
      <c r="M48" s="147"/>
      <c r="N48" s="863">
        <f t="shared" si="1"/>
        <v>0.40798518224110958</v>
      </c>
      <c r="O48" s="145"/>
      <c r="P48" s="146"/>
      <c r="Q48" s="146"/>
      <c r="R48" s="147"/>
      <c r="S48" s="863">
        <f t="shared" si="2"/>
        <v>0.36876842526614795</v>
      </c>
      <c r="T48" s="145"/>
      <c r="U48" s="146"/>
      <c r="V48" s="146"/>
      <c r="W48" s="147"/>
      <c r="X48" s="863">
        <f t="shared" si="3"/>
        <v>0.40027192794553146</v>
      </c>
      <c r="Y48" s="145"/>
      <c r="Z48" s="146"/>
      <c r="AA48" s="146"/>
      <c r="AB48" s="147"/>
      <c r="AC48" s="863">
        <f t="shared" si="4"/>
        <v>0.39347826086956522</v>
      </c>
      <c r="AD48" s="145"/>
      <c r="AE48" s="146"/>
      <c r="AF48" s="146"/>
      <c r="AG48" s="147"/>
      <c r="AH48" s="863">
        <f t="shared" si="5"/>
        <v>0.38825622775800711</v>
      </c>
      <c r="AI48" s="145"/>
      <c r="AJ48" s="146"/>
      <c r="AK48" s="146"/>
      <c r="AL48" s="147"/>
      <c r="AM48" s="201">
        <f t="shared" si="6"/>
        <v>0.47761194029850745</v>
      </c>
      <c r="AN48" s="145"/>
      <c r="AO48" s="146"/>
      <c r="AP48" s="146"/>
      <c r="AQ48" s="147"/>
      <c r="AR48" s="201">
        <f t="shared" si="7"/>
        <v>0.52290464879538512</v>
      </c>
    </row>
    <row r="49" spans="3:44">
      <c r="C49" s="1204" t="s">
        <v>330</v>
      </c>
      <c r="E49" s="145"/>
      <c r="F49" s="146"/>
      <c r="G49" s="146"/>
      <c r="H49" s="147"/>
      <c r="I49" s="863">
        <f t="shared" si="0"/>
        <v>0.37964843866988746</v>
      </c>
      <c r="J49" s="145"/>
      <c r="K49" s="146"/>
      <c r="L49" s="146"/>
      <c r="M49" s="147"/>
      <c r="N49" s="863">
        <f t="shared" si="1"/>
        <v>0.38073958297799321</v>
      </c>
      <c r="O49" s="145"/>
      <c r="P49" s="146"/>
      <c r="Q49" s="146"/>
      <c r="R49" s="147"/>
      <c r="S49" s="863">
        <f t="shared" si="2"/>
        <v>0.37321971111106533</v>
      </c>
      <c r="T49" s="145"/>
      <c r="U49" s="146"/>
      <c r="V49" s="146"/>
      <c r="W49" s="147"/>
      <c r="X49" s="863">
        <f t="shared" si="3"/>
        <v>0.43719289769856912</v>
      </c>
      <c r="Y49" s="145"/>
      <c r="Z49" s="146"/>
      <c r="AA49" s="146"/>
      <c r="AB49" s="147"/>
      <c r="AC49" s="863">
        <f t="shared" si="4"/>
        <v>0.41756439330228456</v>
      </c>
      <c r="AD49" s="145"/>
      <c r="AE49" s="146"/>
      <c r="AF49" s="146"/>
      <c r="AG49" s="147"/>
      <c r="AH49" s="863">
        <f t="shared" si="5"/>
        <v>0.57119956137767669</v>
      </c>
      <c r="AI49" s="145"/>
      <c r="AJ49" s="146"/>
      <c r="AK49" s="146"/>
      <c r="AL49" s="147"/>
      <c r="AM49" s="201">
        <f t="shared" si="6"/>
        <v>0.59024065417173255</v>
      </c>
      <c r="AN49" s="145"/>
      <c r="AO49" s="146"/>
      <c r="AP49" s="146"/>
      <c r="AQ49" s="147"/>
      <c r="AR49" s="201">
        <f t="shared" si="7"/>
        <v>0.57195281839525047</v>
      </c>
    </row>
    <row r="50" spans="3:44">
      <c r="C50" s="1204" t="s">
        <v>321</v>
      </c>
      <c r="E50" s="145"/>
      <c r="F50" s="146"/>
      <c r="G50" s="146"/>
      <c r="H50" s="147"/>
      <c r="I50" s="863">
        <f t="shared" si="0"/>
        <v>0.59731843575418997</v>
      </c>
      <c r="J50" s="145"/>
      <c r="K50" s="146"/>
      <c r="L50" s="146"/>
      <c r="M50" s="147"/>
      <c r="N50" s="863">
        <f t="shared" si="1"/>
        <v>0.53205719557195574</v>
      </c>
      <c r="O50" s="145"/>
      <c r="P50" s="146"/>
      <c r="Q50" s="146"/>
      <c r="R50" s="147"/>
      <c r="S50" s="863">
        <f t="shared" si="2"/>
        <v>0.50011148272017836</v>
      </c>
      <c r="T50" s="145"/>
      <c r="U50" s="146"/>
      <c r="V50" s="146"/>
      <c r="W50" s="147"/>
      <c r="X50" s="863">
        <f t="shared" si="3"/>
        <v>0.48472251091249219</v>
      </c>
      <c r="Y50" s="145"/>
      <c r="Z50" s="146"/>
      <c r="AA50" s="146"/>
      <c r="AB50" s="147"/>
      <c r="AC50" s="863">
        <f t="shared" si="4"/>
        <v>0.50187188019966722</v>
      </c>
      <c r="AD50" s="145"/>
      <c r="AE50" s="146"/>
      <c r="AF50" s="146"/>
      <c r="AG50" s="147"/>
      <c r="AH50" s="863">
        <f t="shared" si="5"/>
        <v>0.50710900473933651</v>
      </c>
      <c r="AI50" s="145"/>
      <c r="AJ50" s="146"/>
      <c r="AK50" s="146"/>
      <c r="AL50" s="147"/>
      <c r="AM50" s="201">
        <f t="shared" si="6"/>
        <v>0.57102387697288548</v>
      </c>
      <c r="AN50" s="145"/>
      <c r="AO50" s="146"/>
      <c r="AP50" s="146"/>
      <c r="AQ50" s="147"/>
      <c r="AR50" s="201">
        <f t="shared" si="7"/>
        <v>0.64548765681910159</v>
      </c>
    </row>
    <row r="51" spans="3:44">
      <c r="C51" s="1204" t="s">
        <v>322</v>
      </c>
      <c r="E51" s="145"/>
      <c r="F51" s="146"/>
      <c r="G51" s="146"/>
      <c r="H51" s="147"/>
      <c r="I51" s="863">
        <f t="shared" si="0"/>
        <v>0.56407159695904963</v>
      </c>
      <c r="J51" s="145"/>
      <c r="K51" s="146"/>
      <c r="L51" s="146"/>
      <c r="M51" s="147"/>
      <c r="N51" s="863">
        <f t="shared" si="1"/>
        <v>0.4489321581470111</v>
      </c>
      <c r="O51" s="145"/>
      <c r="P51" s="146"/>
      <c r="Q51" s="146"/>
      <c r="R51" s="147"/>
      <c r="S51" s="863">
        <f t="shared" si="2"/>
        <v>0.45247293284811613</v>
      </c>
      <c r="T51" s="145"/>
      <c r="U51" s="146"/>
      <c r="V51" s="146"/>
      <c r="W51" s="147"/>
      <c r="X51" s="863">
        <f t="shared" si="3"/>
        <v>0.47719515403750473</v>
      </c>
      <c r="Y51" s="145"/>
      <c r="Z51" s="146"/>
      <c r="AA51" s="146"/>
      <c r="AB51" s="147"/>
      <c r="AC51" s="863">
        <f t="shared" si="4"/>
        <v>0.4684737772539776</v>
      </c>
      <c r="AD51" s="145"/>
      <c r="AE51" s="146"/>
      <c r="AF51" s="146"/>
      <c r="AG51" s="147"/>
      <c r="AH51" s="863">
        <f t="shared" si="5"/>
        <v>0.46418171228887595</v>
      </c>
      <c r="AI51" s="145"/>
      <c r="AJ51" s="146"/>
      <c r="AK51" s="146"/>
      <c r="AL51" s="147"/>
      <c r="AM51" s="201">
        <f t="shared" si="6"/>
        <v>0.48696145124716556</v>
      </c>
      <c r="AN51" s="145"/>
      <c r="AO51" s="146"/>
      <c r="AP51" s="146"/>
      <c r="AQ51" s="147"/>
      <c r="AR51" s="201">
        <f t="shared" si="7"/>
        <v>0.52096143096702063</v>
      </c>
    </row>
    <row r="52" spans="3:44">
      <c r="C52" s="1204" t="s">
        <v>325</v>
      </c>
      <c r="E52" s="145"/>
      <c r="F52" s="146"/>
      <c r="G52" s="146"/>
      <c r="H52" s="147"/>
      <c r="I52" s="863">
        <f t="shared" si="0"/>
        <v>0.44105378744999252</v>
      </c>
      <c r="J52" s="145"/>
      <c r="K52" s="146"/>
      <c r="L52" s="146"/>
      <c r="M52" s="147"/>
      <c r="N52" s="863">
        <f t="shared" si="1"/>
        <v>0.44388890067886699</v>
      </c>
      <c r="O52" s="145"/>
      <c r="P52" s="146"/>
      <c r="Q52" s="146"/>
      <c r="R52" s="147"/>
      <c r="S52" s="863">
        <f t="shared" si="2"/>
        <v>0.43784530788730514</v>
      </c>
      <c r="T52" s="145"/>
      <c r="U52" s="146"/>
      <c r="V52" s="146"/>
      <c r="W52" s="147"/>
      <c r="X52" s="863">
        <f t="shared" si="3"/>
        <v>0.46252010465538584</v>
      </c>
      <c r="Y52" s="145"/>
      <c r="Z52" s="146"/>
      <c r="AA52" s="146"/>
      <c r="AB52" s="147"/>
      <c r="AC52" s="863">
        <f t="shared" si="4"/>
        <v>0.46988505747126436</v>
      </c>
      <c r="AD52" s="145"/>
      <c r="AE52" s="146"/>
      <c r="AF52" s="146"/>
      <c r="AG52" s="147"/>
      <c r="AH52" s="863">
        <f t="shared" si="5"/>
        <v>0.4712379199263691</v>
      </c>
      <c r="AI52" s="145"/>
      <c r="AJ52" s="146"/>
      <c r="AK52" s="146"/>
      <c r="AL52" s="147"/>
      <c r="AM52" s="201">
        <f t="shared" si="6"/>
        <v>0.50776984460310792</v>
      </c>
      <c r="AN52" s="145"/>
      <c r="AO52" s="146"/>
      <c r="AP52" s="146"/>
      <c r="AQ52" s="147"/>
      <c r="AR52" s="201">
        <f t="shared" si="7"/>
        <v>0.51303616484440706</v>
      </c>
    </row>
    <row r="53" spans="3:44">
      <c r="C53" s="1204" t="s">
        <v>323</v>
      </c>
      <c r="E53" s="145"/>
      <c r="F53" s="146"/>
      <c r="G53" s="146"/>
      <c r="H53" s="147"/>
      <c r="I53" s="863">
        <f t="shared" si="0"/>
        <v>0.35336328070821521</v>
      </c>
      <c r="J53" s="145"/>
      <c r="K53" s="146"/>
      <c r="L53" s="146"/>
      <c r="M53" s="147"/>
      <c r="N53" s="863">
        <f t="shared" si="1"/>
        <v>0.33318280734994565</v>
      </c>
      <c r="O53" s="145"/>
      <c r="P53" s="146"/>
      <c r="Q53" s="146"/>
      <c r="R53" s="147"/>
      <c r="S53" s="863">
        <f t="shared" si="2"/>
        <v>0.33723975234382225</v>
      </c>
      <c r="T53" s="145"/>
      <c r="U53" s="146"/>
      <c r="V53" s="146"/>
      <c r="W53" s="147"/>
      <c r="X53" s="863">
        <f t="shared" si="3"/>
        <v>0.3877795085637174</v>
      </c>
      <c r="Y53" s="145"/>
      <c r="Z53" s="146"/>
      <c r="AA53" s="146"/>
      <c r="AB53" s="147"/>
      <c r="AC53" s="863">
        <f t="shared" si="4"/>
        <v>0.41109530583214793</v>
      </c>
      <c r="AD53" s="145"/>
      <c r="AE53" s="146"/>
      <c r="AF53" s="146"/>
      <c r="AG53" s="147"/>
      <c r="AH53" s="863">
        <f t="shared" si="5"/>
        <v>0.40184678522571821</v>
      </c>
      <c r="AI53" s="145"/>
      <c r="AJ53" s="146"/>
      <c r="AK53" s="146"/>
      <c r="AL53" s="147"/>
      <c r="AM53" s="201">
        <f t="shared" si="6"/>
        <v>0.40800828443217119</v>
      </c>
      <c r="AN53" s="145"/>
      <c r="AO53" s="146"/>
      <c r="AP53" s="146"/>
      <c r="AQ53" s="147"/>
      <c r="AR53" s="201">
        <f t="shared" si="7"/>
        <v>0.44421272158498437</v>
      </c>
    </row>
    <row r="54" spans="3:44">
      <c r="C54" s="1204" t="s">
        <v>332</v>
      </c>
      <c r="E54" s="145"/>
      <c r="F54" s="146"/>
      <c r="G54" s="146"/>
      <c r="H54" s="147"/>
      <c r="I54" s="863">
        <f t="shared" si="0"/>
        <v>0.38142237162941794</v>
      </c>
      <c r="J54" s="145"/>
      <c r="K54" s="146"/>
      <c r="L54" s="146"/>
      <c r="M54" s="147"/>
      <c r="N54" s="863">
        <f t="shared" si="1"/>
        <v>0.37473730571209873</v>
      </c>
      <c r="O54" s="145"/>
      <c r="P54" s="146"/>
      <c r="Q54" s="146"/>
      <c r="R54" s="147"/>
      <c r="S54" s="863">
        <f t="shared" si="2"/>
        <v>0.39983473001044911</v>
      </c>
      <c r="T54" s="145"/>
      <c r="U54" s="146"/>
      <c r="V54" s="146"/>
      <c r="W54" s="147"/>
      <c r="X54" s="863">
        <f t="shared" si="3"/>
        <v>0.41310437158199992</v>
      </c>
      <c r="Y54" s="145"/>
      <c r="Z54" s="146"/>
      <c r="AA54" s="146"/>
      <c r="AB54" s="147"/>
      <c r="AC54" s="863">
        <f t="shared" si="4"/>
        <v>0.45019157088122608</v>
      </c>
      <c r="AD54" s="145"/>
      <c r="AE54" s="146"/>
      <c r="AF54" s="146"/>
      <c r="AG54" s="147"/>
      <c r="AH54" s="863">
        <f t="shared" si="5"/>
        <v>0.4265232974910394</v>
      </c>
      <c r="AI54" s="145"/>
      <c r="AJ54" s="146"/>
      <c r="AK54" s="146"/>
      <c r="AL54" s="147"/>
      <c r="AM54" s="201">
        <f t="shared" si="6"/>
        <v>0.44821428571428573</v>
      </c>
      <c r="AN54" s="145"/>
      <c r="AO54" s="146"/>
      <c r="AP54" s="146"/>
      <c r="AQ54" s="147"/>
      <c r="AR54" s="201">
        <f t="shared" si="7"/>
        <v>0.47293700088731144</v>
      </c>
    </row>
    <row r="55" spans="3:44">
      <c r="C55" s="1204" t="s">
        <v>329</v>
      </c>
      <c r="E55" s="145"/>
      <c r="F55" s="146"/>
      <c r="G55" s="146"/>
      <c r="H55" s="147"/>
      <c r="I55" s="863">
        <f t="shared" si="0"/>
        <v>0.53342625284764666</v>
      </c>
      <c r="J55" s="145"/>
      <c r="K55" s="146"/>
      <c r="L55" s="146"/>
      <c r="M55" s="147"/>
      <c r="N55" s="863">
        <f t="shared" si="1"/>
        <v>0.47894059108305409</v>
      </c>
      <c r="O55" s="145"/>
      <c r="P55" s="146"/>
      <c r="Q55" s="146"/>
      <c r="R55" s="147"/>
      <c r="S55" s="863">
        <f t="shared" si="2"/>
        <v>0.5037211276879624</v>
      </c>
      <c r="T55" s="145"/>
      <c r="U55" s="146"/>
      <c r="V55" s="146"/>
      <c r="W55" s="147"/>
      <c r="X55" s="863">
        <f t="shared" si="3"/>
        <v>0.49245921947522203</v>
      </c>
      <c r="Y55" s="145"/>
      <c r="Z55" s="146"/>
      <c r="AA55" s="146"/>
      <c r="AB55" s="147"/>
      <c r="AC55" s="863">
        <f t="shared" si="4"/>
        <v>0.49921752738654146</v>
      </c>
      <c r="AD55" s="145"/>
      <c r="AE55" s="146"/>
      <c r="AF55" s="146"/>
      <c r="AG55" s="147"/>
      <c r="AH55" s="863">
        <f t="shared" si="5"/>
        <v>0.49008082292432037</v>
      </c>
      <c r="AI55" s="145"/>
      <c r="AJ55" s="146"/>
      <c r="AK55" s="146"/>
      <c r="AL55" s="147"/>
      <c r="AM55" s="201">
        <f t="shared" si="6"/>
        <v>0.48712595685455812</v>
      </c>
      <c r="AN55" s="145"/>
      <c r="AO55" s="146"/>
      <c r="AP55" s="146"/>
      <c r="AQ55" s="147"/>
      <c r="AR55" s="201">
        <f t="shared" si="7"/>
        <v>0.52860858257477239</v>
      </c>
    </row>
    <row r="56" spans="3:44">
      <c r="C56" s="1204" t="s">
        <v>712</v>
      </c>
      <c r="E56" s="145"/>
      <c r="F56" s="146"/>
      <c r="G56" s="146"/>
      <c r="H56" s="147"/>
      <c r="I56" s="863"/>
      <c r="J56" s="145"/>
      <c r="K56" s="146"/>
      <c r="L56" s="146"/>
      <c r="M56" s="147"/>
      <c r="N56" s="863"/>
      <c r="O56" s="145"/>
      <c r="P56" s="146"/>
      <c r="Q56" s="146"/>
      <c r="R56" s="147"/>
      <c r="S56" s="863">
        <f t="shared" si="2"/>
        <v>0.3480974609895594</v>
      </c>
      <c r="T56" s="145"/>
      <c r="U56" s="146"/>
      <c r="V56" s="146"/>
      <c r="W56" s="147"/>
      <c r="X56" s="863">
        <f t="shared" si="3"/>
        <v>0.33846630972877806</v>
      </c>
      <c r="Y56" s="145"/>
      <c r="Z56" s="146"/>
      <c r="AA56" s="146"/>
      <c r="AB56" s="147"/>
      <c r="AC56" s="863">
        <f t="shared" si="4"/>
        <v>0.3282967032967033</v>
      </c>
      <c r="AD56" s="145"/>
      <c r="AE56" s="146"/>
      <c r="AF56" s="146"/>
      <c r="AG56" s="147"/>
      <c r="AH56" s="863">
        <f t="shared" si="5"/>
        <v>0.35581745235707124</v>
      </c>
      <c r="AI56" s="145"/>
      <c r="AJ56" s="146"/>
      <c r="AK56" s="146"/>
      <c r="AL56" s="147"/>
      <c r="AM56" s="201">
        <f t="shared" si="6"/>
        <v>0.37202861758596817</v>
      </c>
      <c r="AN56" s="145"/>
      <c r="AO56" s="146"/>
      <c r="AP56" s="146"/>
      <c r="AQ56" s="147"/>
      <c r="AR56" s="201">
        <f t="shared" si="7"/>
        <v>0.39597315436241609</v>
      </c>
    </row>
    <row r="57" spans="3:44">
      <c r="C57" s="1204"/>
      <c r="E57" s="145"/>
      <c r="F57" s="146"/>
      <c r="G57" s="146"/>
      <c r="H57" s="147"/>
      <c r="I57" s="817"/>
      <c r="J57" s="145"/>
      <c r="K57" s="146"/>
      <c r="L57" s="146"/>
      <c r="M57" s="147"/>
      <c r="N57" s="817"/>
      <c r="O57" s="145"/>
      <c r="P57" s="146"/>
      <c r="Q57" s="146"/>
      <c r="R57" s="147"/>
      <c r="S57" s="817"/>
      <c r="T57" s="145"/>
      <c r="U57" s="146"/>
      <c r="V57" s="146"/>
      <c r="W57" s="147"/>
      <c r="X57" s="817"/>
      <c r="Y57" s="145"/>
      <c r="Z57" s="146"/>
      <c r="AA57" s="146"/>
      <c r="AB57" s="147"/>
      <c r="AC57" s="1918"/>
      <c r="AD57" s="145"/>
      <c r="AE57" s="146"/>
      <c r="AF57" s="146"/>
      <c r="AG57" s="147"/>
      <c r="AH57" s="1918"/>
      <c r="AI57" s="145"/>
      <c r="AJ57" s="146"/>
      <c r="AK57" s="146"/>
      <c r="AL57" s="147"/>
      <c r="AM57" s="2250"/>
      <c r="AN57" s="145"/>
      <c r="AO57" s="146"/>
      <c r="AP57" s="146"/>
      <c r="AQ57" s="147"/>
      <c r="AR57" s="2250"/>
    </row>
    <row r="58" spans="3:44">
      <c r="C58" s="1266" t="s">
        <v>403</v>
      </c>
      <c r="E58" s="145"/>
      <c r="F58" s="146"/>
      <c r="G58" s="146"/>
      <c r="H58" s="147"/>
      <c r="J58" s="145"/>
      <c r="K58" s="146"/>
      <c r="L58" s="146"/>
      <c r="M58" s="147"/>
      <c r="O58" s="145"/>
      <c r="P58" s="146"/>
      <c r="Q58" s="146"/>
      <c r="R58" s="147"/>
      <c r="T58" s="145"/>
      <c r="U58" s="146"/>
      <c r="V58" s="146"/>
      <c r="W58" s="147"/>
      <c r="Y58" s="145"/>
      <c r="Z58" s="146"/>
      <c r="AA58" s="146"/>
      <c r="AB58" s="147"/>
      <c r="AD58" s="145"/>
      <c r="AE58" s="146"/>
      <c r="AF58" s="146"/>
      <c r="AG58" s="147"/>
      <c r="AI58" s="145"/>
      <c r="AJ58" s="146"/>
      <c r="AK58" s="146"/>
      <c r="AL58" s="147"/>
      <c r="AM58" s="1957"/>
      <c r="AN58" s="145"/>
      <c r="AO58" s="146"/>
      <c r="AP58" s="146"/>
      <c r="AQ58" s="147"/>
      <c r="AR58" s="1957"/>
    </row>
    <row r="59" spans="3:44">
      <c r="C59" s="1204" t="s">
        <v>324</v>
      </c>
      <c r="E59" s="145"/>
      <c r="F59" s="146"/>
      <c r="G59" s="146"/>
      <c r="H59" s="147"/>
      <c r="I59" s="888">
        <f>155+24-4</f>
        <v>175</v>
      </c>
      <c r="J59" s="145"/>
      <c r="K59" s="146"/>
      <c r="L59" s="146"/>
      <c r="M59" s="147"/>
      <c r="N59" s="888">
        <f>128+43-2</f>
        <v>169</v>
      </c>
      <c r="O59" s="145"/>
      <c r="P59" s="146"/>
      <c r="Q59" s="146"/>
      <c r="R59" s="147"/>
      <c r="S59" s="888">
        <f>101+84</f>
        <v>185</v>
      </c>
      <c r="T59" s="145"/>
      <c r="U59" s="146"/>
      <c r="V59" s="146"/>
      <c r="W59" s="147"/>
      <c r="X59" s="888">
        <f>173-33</f>
        <v>140</v>
      </c>
      <c r="Y59" s="145"/>
      <c r="Z59" s="146"/>
      <c r="AA59" s="146"/>
      <c r="AB59" s="147"/>
      <c r="AC59" s="1919">
        <f>104+100</f>
        <v>204</v>
      </c>
      <c r="AD59" s="145"/>
      <c r="AE59" s="146"/>
      <c r="AF59" s="146"/>
      <c r="AG59" s="147"/>
      <c r="AH59" s="1919">
        <f>142+45</f>
        <v>187</v>
      </c>
      <c r="AI59" s="145"/>
      <c r="AJ59" s="146"/>
      <c r="AK59" s="146"/>
      <c r="AL59" s="147"/>
      <c r="AM59" s="2251">
        <f>151+22-18</f>
        <v>155</v>
      </c>
      <c r="AN59" s="145"/>
      <c r="AO59" s="146"/>
      <c r="AP59" s="146"/>
      <c r="AQ59" s="147"/>
      <c r="AR59" s="2251">
        <f>263+7-12</f>
        <v>258</v>
      </c>
    </row>
    <row r="60" spans="3:44">
      <c r="C60" s="1204" t="s">
        <v>473</v>
      </c>
      <c r="E60" s="145"/>
      <c r="F60" s="146"/>
      <c r="G60" s="146"/>
      <c r="H60" s="147"/>
      <c r="I60" s="888">
        <f>76.038+11.945-2.362</f>
        <v>85.621000000000009</v>
      </c>
      <c r="J60" s="145"/>
      <c r="K60" s="146"/>
      <c r="L60" s="146"/>
      <c r="M60" s="147"/>
      <c r="N60" s="888">
        <f>70.57+20.069-3.959</f>
        <v>86.679999999999993</v>
      </c>
      <c r="O60" s="145"/>
      <c r="P60" s="146"/>
      <c r="Q60" s="146"/>
      <c r="R60" s="147"/>
      <c r="S60" s="888">
        <f>41.999+38.087-5.898</f>
        <v>74.188000000000017</v>
      </c>
      <c r="T60" s="145"/>
      <c r="U60" s="146"/>
      <c r="V60" s="146"/>
      <c r="W60" s="147"/>
      <c r="X60" s="888">
        <f>79.98-17.844-4.593</f>
        <v>57.543000000000006</v>
      </c>
      <c r="Y60" s="145"/>
      <c r="Z60" s="146"/>
      <c r="AA60" s="146"/>
      <c r="AB60" s="147"/>
      <c r="AC60" s="1919">
        <f>36+37-3</f>
        <v>70</v>
      </c>
      <c r="AD60" s="145"/>
      <c r="AE60" s="146"/>
      <c r="AF60" s="146"/>
      <c r="AG60" s="147"/>
      <c r="AH60" s="1919">
        <f>66+6-4</f>
        <v>68</v>
      </c>
      <c r="AI60" s="145"/>
      <c r="AJ60" s="146"/>
      <c r="AK60" s="146"/>
      <c r="AL60" s="147"/>
      <c r="AM60" s="2251">
        <f>37+21-3</f>
        <v>55</v>
      </c>
      <c r="AN60" s="145"/>
      <c r="AO60" s="146"/>
      <c r="AP60" s="146"/>
      <c r="AQ60" s="147"/>
      <c r="AR60" s="2251">
        <f>120-5+14</f>
        <v>129</v>
      </c>
    </row>
    <row r="61" spans="3:44">
      <c r="C61" s="1204" t="s">
        <v>330</v>
      </c>
      <c r="E61" s="145"/>
      <c r="F61" s="146"/>
      <c r="G61" s="146"/>
      <c r="H61" s="147"/>
      <c r="I61" s="888">
        <f>36.244+4.183+4.287</f>
        <v>44.713999999999999</v>
      </c>
      <c r="J61" s="145"/>
      <c r="K61" s="146"/>
      <c r="L61" s="146"/>
      <c r="M61" s="147"/>
      <c r="N61" s="888">
        <f>34.72+10.56+0.366</f>
        <v>45.646000000000001</v>
      </c>
      <c r="O61" s="145"/>
      <c r="P61" s="146"/>
      <c r="Q61" s="146"/>
      <c r="R61" s="147"/>
      <c r="S61" s="888">
        <f>15.685+22.397-1.968</f>
        <v>36.114000000000004</v>
      </c>
      <c r="T61" s="145"/>
      <c r="U61" s="146"/>
      <c r="V61" s="146"/>
      <c r="W61" s="147"/>
      <c r="X61" s="888">
        <f>35.264-8.98-3.179</f>
        <v>23.105000000000004</v>
      </c>
      <c r="Y61" s="145"/>
      <c r="Z61" s="146"/>
      <c r="AA61" s="146"/>
      <c r="AB61" s="147"/>
      <c r="AC61" s="1919">
        <f>19.85+29.98+0.007</f>
        <v>49.836999999999996</v>
      </c>
      <c r="AD61" s="145"/>
      <c r="AE61" s="146"/>
      <c r="AF61" s="146"/>
      <c r="AG61" s="147"/>
      <c r="AH61" s="1919">
        <f>25.455+5.299-0.831+8.045</f>
        <v>37.967999999999996</v>
      </c>
      <c r="AI61" s="145"/>
      <c r="AJ61" s="146"/>
      <c r="AK61" s="146"/>
      <c r="AL61" s="147"/>
      <c r="AM61" s="2251">
        <f>25.805+6.666-1.803+0.4</f>
        <v>31.068000000000001</v>
      </c>
      <c r="AN61" s="145"/>
      <c r="AO61" s="146"/>
      <c r="AP61" s="146"/>
      <c r="AQ61" s="147"/>
      <c r="AR61" s="2251">
        <f>73.726+1.505-4.381</f>
        <v>70.849999999999994</v>
      </c>
    </row>
    <row r="62" spans="3:44">
      <c r="C62" s="1204" t="s">
        <v>321</v>
      </c>
      <c r="E62" s="145"/>
      <c r="F62" s="146"/>
      <c r="G62" s="146"/>
      <c r="H62" s="147"/>
      <c r="I62" s="888">
        <f>183+26-6</f>
        <v>203</v>
      </c>
      <c r="J62" s="145"/>
      <c r="K62" s="146"/>
      <c r="L62" s="146"/>
      <c r="M62" s="147"/>
      <c r="N62" s="888">
        <f>144+60-11</f>
        <v>193</v>
      </c>
      <c r="O62" s="145"/>
      <c r="P62" s="146"/>
      <c r="Q62" s="146"/>
      <c r="R62" s="147"/>
      <c r="S62" s="888">
        <f>133+65</f>
        <v>198</v>
      </c>
      <c r="T62" s="145"/>
      <c r="U62" s="146"/>
      <c r="V62" s="146"/>
      <c r="W62" s="147"/>
      <c r="X62" s="888">
        <f>176-13</f>
        <v>163</v>
      </c>
      <c r="Y62" s="145"/>
      <c r="Z62" s="146"/>
      <c r="AA62" s="146"/>
      <c r="AB62" s="147"/>
      <c r="AC62" s="1919">
        <f>87+113</f>
        <v>200</v>
      </c>
      <c r="AD62" s="145"/>
      <c r="AE62" s="146"/>
      <c r="AF62" s="146"/>
      <c r="AG62" s="147"/>
      <c r="AH62" s="1919">
        <f>49+54-2</f>
        <v>101</v>
      </c>
      <c r="AI62" s="145"/>
      <c r="AJ62" s="146"/>
      <c r="AK62" s="146"/>
      <c r="AL62" s="147"/>
      <c r="AM62" s="2251">
        <f>81+25-5</f>
        <v>101</v>
      </c>
      <c r="AN62" s="145"/>
      <c r="AO62" s="146"/>
      <c r="AP62" s="146"/>
      <c r="AQ62" s="147"/>
      <c r="AR62" s="2251">
        <f>116+19-5+28</f>
        <v>158</v>
      </c>
    </row>
    <row r="63" spans="3:44">
      <c r="C63" s="1204" t="s">
        <v>322</v>
      </c>
      <c r="E63" s="145"/>
      <c r="F63" s="146"/>
      <c r="G63" s="146"/>
      <c r="H63" s="147"/>
      <c r="I63" s="888">
        <f>60.084+6.993-5.901</f>
        <v>61.176000000000002</v>
      </c>
      <c r="J63" s="145"/>
      <c r="K63" s="146"/>
      <c r="L63" s="146"/>
      <c r="M63" s="147"/>
      <c r="N63" s="888">
        <f>67.889+33.493-3.606</f>
        <v>97.77600000000001</v>
      </c>
      <c r="O63" s="145"/>
      <c r="P63" s="146"/>
      <c r="Q63" s="146"/>
      <c r="R63" s="147"/>
      <c r="S63" s="888">
        <f>41.951+42.981-3.295</f>
        <v>81.637</v>
      </c>
      <c r="T63" s="145"/>
      <c r="U63" s="146"/>
      <c r="V63" s="146"/>
      <c r="W63" s="147"/>
      <c r="X63" s="888">
        <f>-22.136-8.232-5.278</f>
        <v>-35.646000000000001</v>
      </c>
      <c r="Y63" s="145"/>
      <c r="Z63" s="146"/>
      <c r="AA63" s="146"/>
      <c r="AB63" s="147"/>
      <c r="AC63" s="1919">
        <f>46+57-4</f>
        <v>99</v>
      </c>
      <c r="AD63" s="145"/>
      <c r="AE63" s="146"/>
      <c r="AF63" s="146"/>
      <c r="AG63" s="147"/>
      <c r="AH63" s="1919">
        <f>67-4+25</f>
        <v>88</v>
      </c>
      <c r="AI63" s="145"/>
      <c r="AJ63" s="146"/>
      <c r="AK63" s="146"/>
      <c r="AL63" s="147"/>
      <c r="AM63" s="2251">
        <f>88-4+13</f>
        <v>97</v>
      </c>
      <c r="AN63" s="145"/>
      <c r="AO63" s="146"/>
      <c r="AP63" s="146"/>
      <c r="AQ63" s="147"/>
      <c r="AR63" s="2251">
        <f>97-12+5</f>
        <v>90</v>
      </c>
    </row>
    <row r="64" spans="3:44">
      <c r="C64" s="1204" t="s">
        <v>325</v>
      </c>
      <c r="E64" s="145"/>
      <c r="F64" s="146"/>
      <c r="G64" s="146"/>
      <c r="H64" s="147"/>
      <c r="I64" s="888">
        <f>63.19+8.279-5.957</f>
        <v>65.512</v>
      </c>
      <c r="J64" s="145"/>
      <c r="K64" s="146"/>
      <c r="L64" s="146"/>
      <c r="M64" s="147"/>
      <c r="N64" s="888">
        <f>63.073+41.127-2.754</f>
        <v>101.446</v>
      </c>
      <c r="O64" s="145"/>
      <c r="P64" s="146"/>
      <c r="Q64" s="146"/>
      <c r="R64" s="147"/>
      <c r="S64" s="888">
        <f>41.957+48.492-4.483</f>
        <v>85.965999999999994</v>
      </c>
      <c r="T64" s="145"/>
      <c r="U64" s="146"/>
      <c r="V64" s="146"/>
      <c r="W64" s="147"/>
      <c r="X64" s="888">
        <f>63.312-16.455-6.928</f>
        <v>39.929000000000002</v>
      </c>
      <c r="Y64" s="145"/>
      <c r="Z64" s="146"/>
      <c r="AA64" s="146"/>
      <c r="AB64" s="147"/>
      <c r="AC64" s="1919">
        <f>30+62-4</f>
        <v>88</v>
      </c>
      <c r="AD64" s="145"/>
      <c r="AE64" s="146"/>
      <c r="AF64" s="146"/>
      <c r="AG64" s="147"/>
      <c r="AH64" s="1919">
        <f>66+30-4</f>
        <v>92</v>
      </c>
      <c r="AI64" s="145"/>
      <c r="AJ64" s="146"/>
      <c r="AK64" s="146"/>
      <c r="AL64" s="147"/>
      <c r="AM64" s="2251">
        <f>88+9-2</f>
        <v>95</v>
      </c>
      <c r="AN64" s="145"/>
      <c r="AO64" s="146"/>
      <c r="AP64" s="146"/>
      <c r="AQ64" s="147"/>
      <c r="AR64" s="2251">
        <f>96-14+2</f>
        <v>84</v>
      </c>
    </row>
    <row r="65" spans="3:44">
      <c r="C65" s="1204" t="s">
        <v>323</v>
      </c>
      <c r="E65" s="145"/>
      <c r="F65" s="146"/>
      <c r="G65" s="146"/>
      <c r="H65" s="147"/>
      <c r="I65" s="888">
        <f>51.359-12.545</f>
        <v>38.814</v>
      </c>
      <c r="J65" s="145"/>
      <c r="K65" s="146"/>
      <c r="L65" s="146"/>
      <c r="M65" s="147"/>
      <c r="N65" s="888">
        <f>(-10.517+36.209+86.897)+(11.835-1.749)</f>
        <v>122.67500000000001</v>
      </c>
      <c r="O65" s="145"/>
      <c r="P65" s="146"/>
      <c r="Q65" s="146"/>
      <c r="R65" s="147"/>
      <c r="S65" s="888">
        <f>84.302+48.41</f>
        <v>132.71199999999999</v>
      </c>
      <c r="T65" s="145"/>
      <c r="U65" s="146"/>
      <c r="V65" s="146"/>
      <c r="W65" s="147"/>
      <c r="X65" s="888">
        <f>-63.714-24.689</f>
        <v>-88.402999999999992</v>
      </c>
      <c r="Y65" s="145"/>
      <c r="Z65" s="146"/>
      <c r="AA65" s="146"/>
      <c r="AB65" s="147"/>
      <c r="AC65" s="1919">
        <f>101+53-10</f>
        <v>144</v>
      </c>
      <c r="AD65" s="145"/>
      <c r="AE65" s="146"/>
      <c r="AF65" s="146"/>
      <c r="AG65" s="147"/>
      <c r="AH65" s="1919">
        <f>109+8-9</f>
        <v>108</v>
      </c>
      <c r="AI65" s="145"/>
      <c r="AJ65" s="146"/>
      <c r="AK65" s="146"/>
      <c r="AL65" s="147"/>
      <c r="AM65" s="2251">
        <f>64-5-9</f>
        <v>50</v>
      </c>
      <c r="AN65" s="145"/>
      <c r="AO65" s="146"/>
      <c r="AP65" s="146"/>
      <c r="AQ65" s="147"/>
      <c r="AR65" s="2251">
        <f>69-10+41</f>
        <v>100</v>
      </c>
    </row>
    <row r="66" spans="3:44">
      <c r="C66" s="1204" t="s">
        <v>332</v>
      </c>
      <c r="E66" s="145"/>
      <c r="F66" s="146"/>
      <c r="G66" s="146"/>
      <c r="H66" s="147"/>
      <c r="I66" s="888">
        <f>34.181-0.822</f>
        <v>33.358999999999995</v>
      </c>
      <c r="J66" s="145"/>
      <c r="K66" s="146"/>
      <c r="L66" s="146"/>
      <c r="M66" s="147"/>
      <c r="N66" s="888">
        <f>(28.732+13.919)+(12.129-0.165)</f>
        <v>54.614999999999995</v>
      </c>
      <c r="O66" s="145"/>
      <c r="P66" s="146"/>
      <c r="Q66" s="146"/>
      <c r="R66" s="147"/>
      <c r="S66" s="888">
        <f>53.953+15.319</f>
        <v>69.272000000000006</v>
      </c>
      <c r="T66" s="145"/>
      <c r="U66" s="146"/>
      <c r="V66" s="146"/>
      <c r="W66" s="147"/>
      <c r="X66" s="888">
        <f>70.342-9.898</f>
        <v>60.444000000000003</v>
      </c>
      <c r="Y66" s="145"/>
      <c r="Z66" s="146"/>
      <c r="AA66" s="146"/>
      <c r="AB66" s="147"/>
      <c r="AC66" s="1919">
        <f>47+16-1</f>
        <v>62</v>
      </c>
      <c r="AD66" s="145"/>
      <c r="AE66" s="146"/>
      <c r="AF66" s="146"/>
      <c r="AG66" s="147"/>
      <c r="AH66" s="1919">
        <f>62+1+3</f>
        <v>66</v>
      </c>
      <c r="AI66" s="145"/>
      <c r="AJ66" s="146"/>
      <c r="AK66" s="146"/>
      <c r="AL66" s="147"/>
      <c r="AM66" s="2251">
        <f>58-1+1</f>
        <v>58</v>
      </c>
      <c r="AN66" s="145"/>
      <c r="AO66" s="146"/>
      <c r="AP66" s="146"/>
      <c r="AQ66" s="147"/>
      <c r="AR66" s="2251">
        <f>45-2+6</f>
        <v>49</v>
      </c>
    </row>
    <row r="67" spans="3:44">
      <c r="C67" s="1204" t="s">
        <v>329</v>
      </c>
      <c r="E67" s="145"/>
      <c r="F67" s="146"/>
      <c r="G67" s="146"/>
      <c r="H67" s="147"/>
      <c r="I67" s="888">
        <f>67.595-2.753</f>
        <v>64.841999999999999</v>
      </c>
      <c r="J67" s="145"/>
      <c r="K67" s="146"/>
      <c r="L67" s="146"/>
      <c r="M67" s="147"/>
      <c r="N67" s="888">
        <f>(45.702+22.518)+(10.673-0.372)</f>
        <v>78.521000000000001</v>
      </c>
      <c r="O67" s="145"/>
      <c r="P67" s="146"/>
      <c r="Q67" s="146"/>
      <c r="R67" s="147"/>
      <c r="S67" s="888">
        <f>60.023+27.321-8.27</f>
        <v>79.074000000000012</v>
      </c>
      <c r="T67" s="145"/>
      <c r="U67" s="146"/>
      <c r="V67" s="146"/>
      <c r="W67" s="147"/>
      <c r="X67" s="888">
        <f>100.2-16.317-10.489</f>
        <v>73.394000000000005</v>
      </c>
      <c r="Y67" s="145"/>
      <c r="Z67" s="146"/>
      <c r="AA67" s="146"/>
      <c r="AB67" s="147"/>
      <c r="AC67" s="1919">
        <f>96+40-8</f>
        <v>128</v>
      </c>
      <c r="AD67" s="145"/>
      <c r="AE67" s="146"/>
      <c r="AF67" s="146"/>
      <c r="AG67" s="147"/>
      <c r="AH67" s="1919">
        <f>104-13+6</f>
        <v>97</v>
      </c>
      <c r="AI67" s="145"/>
      <c r="AJ67" s="146"/>
      <c r="AK67" s="146"/>
      <c r="AL67" s="147"/>
      <c r="AM67" s="2251">
        <f>117-34+6</f>
        <v>89</v>
      </c>
      <c r="AN67" s="145"/>
      <c r="AO67" s="146"/>
      <c r="AP67" s="146"/>
      <c r="AQ67" s="147"/>
      <c r="AR67" s="2251">
        <f>111-6+7</f>
        <v>112</v>
      </c>
    </row>
    <row r="68" spans="3:44">
      <c r="C68" s="1204" t="s">
        <v>712</v>
      </c>
      <c r="E68" s="145"/>
      <c r="F68" s="146"/>
      <c r="G68" s="146"/>
      <c r="H68" s="147"/>
      <c r="I68" s="888"/>
      <c r="J68" s="145"/>
      <c r="K68" s="146"/>
      <c r="L68" s="146"/>
      <c r="M68" s="147"/>
      <c r="N68" s="888"/>
      <c r="O68" s="145"/>
      <c r="P68" s="146"/>
      <c r="Q68" s="146"/>
      <c r="R68" s="147"/>
      <c r="S68" s="888"/>
      <c r="T68" s="145"/>
      <c r="U68" s="146"/>
      <c r="V68" s="146"/>
      <c r="W68" s="147"/>
      <c r="X68" s="888"/>
      <c r="Y68" s="145"/>
      <c r="Z68" s="146"/>
      <c r="AA68" s="146"/>
      <c r="AB68" s="147"/>
      <c r="AC68" s="1919">
        <f>148-3</f>
        <v>145</v>
      </c>
      <c r="AD68" s="145"/>
      <c r="AE68" s="146"/>
      <c r="AF68" s="146"/>
      <c r="AG68" s="147"/>
      <c r="AH68" s="1919">
        <v>224</v>
      </c>
      <c r="AI68" s="145"/>
      <c r="AJ68" s="146"/>
      <c r="AK68" s="146"/>
      <c r="AL68" s="147"/>
      <c r="AM68" s="2251">
        <f>191-1</f>
        <v>190</v>
      </c>
      <c r="AN68" s="145"/>
      <c r="AO68" s="146"/>
      <c r="AP68" s="146"/>
      <c r="AQ68" s="147"/>
      <c r="AR68" s="2251">
        <f>253-5</f>
        <v>248</v>
      </c>
    </row>
    <row r="69" spans="3:44">
      <c r="C69" s="1204"/>
      <c r="E69" s="145"/>
      <c r="F69" s="146"/>
      <c r="G69" s="146"/>
      <c r="H69" s="147"/>
      <c r="I69" s="888"/>
      <c r="J69" s="145"/>
      <c r="K69" s="146"/>
      <c r="L69" s="146"/>
      <c r="M69" s="147"/>
      <c r="N69" s="888"/>
      <c r="O69" s="145"/>
      <c r="P69" s="146"/>
      <c r="Q69" s="146"/>
      <c r="R69" s="147"/>
      <c r="S69" s="888"/>
      <c r="T69" s="145"/>
      <c r="U69" s="146"/>
      <c r="V69" s="146"/>
      <c r="W69" s="147"/>
      <c r="X69" s="888"/>
      <c r="Y69" s="145"/>
      <c r="Z69" s="146"/>
      <c r="AA69" s="146"/>
      <c r="AB69" s="147"/>
      <c r="AC69" s="1919"/>
      <c r="AD69" s="145"/>
      <c r="AE69" s="146"/>
      <c r="AF69" s="146"/>
      <c r="AG69" s="147"/>
      <c r="AH69" s="1919"/>
      <c r="AI69" s="145"/>
      <c r="AJ69" s="146"/>
      <c r="AK69" s="146"/>
      <c r="AL69" s="147"/>
      <c r="AM69" s="2251"/>
      <c r="AN69" s="145"/>
      <c r="AO69" s="146"/>
      <c r="AP69" s="146"/>
      <c r="AQ69" s="147"/>
      <c r="AR69" s="2251"/>
    </row>
    <row r="70" spans="3:44">
      <c r="C70" s="1266" t="s">
        <v>37</v>
      </c>
      <c r="E70" s="145"/>
      <c r="F70" s="146"/>
      <c r="G70" s="146"/>
      <c r="H70" s="147"/>
      <c r="J70" s="145"/>
      <c r="K70" s="146"/>
      <c r="L70" s="146"/>
      <c r="M70" s="147"/>
      <c r="O70" s="145"/>
      <c r="P70" s="146"/>
      <c r="Q70" s="146"/>
      <c r="R70" s="147"/>
      <c r="T70" s="145"/>
      <c r="U70" s="146"/>
      <c r="V70" s="146"/>
      <c r="W70" s="147"/>
      <c r="Y70" s="145"/>
      <c r="Z70" s="146"/>
      <c r="AA70" s="146"/>
      <c r="AB70" s="147"/>
      <c r="AD70" s="145"/>
      <c r="AE70" s="146"/>
      <c r="AF70" s="146"/>
      <c r="AG70" s="147"/>
      <c r="AI70" s="145"/>
      <c r="AJ70" s="146"/>
      <c r="AK70" s="146"/>
      <c r="AL70" s="147"/>
      <c r="AM70" s="1957"/>
      <c r="AN70" s="145"/>
      <c r="AO70" s="146"/>
      <c r="AP70" s="146"/>
      <c r="AQ70" s="147"/>
      <c r="AR70" s="1957"/>
    </row>
    <row r="71" spans="3:44">
      <c r="C71" s="1204" t="s">
        <v>324</v>
      </c>
      <c r="E71" s="145"/>
      <c r="F71" s="146"/>
      <c r="G71" s="146"/>
      <c r="H71" s="147"/>
      <c r="I71" s="17"/>
      <c r="J71" s="145"/>
      <c r="K71" s="146"/>
      <c r="L71" s="146"/>
      <c r="M71" s="147"/>
      <c r="N71" s="17">
        <f t="shared" ref="N71:N79" si="8">N59/(N47*AVERAGE(N11,I11))</f>
        <v>0.34360941452430199</v>
      </c>
      <c r="O71" s="145"/>
      <c r="P71" s="146"/>
      <c r="Q71" s="146"/>
      <c r="R71" s="147"/>
      <c r="S71" s="17">
        <f t="shared" ref="S71:S79" si="9">S59/(S47*AVERAGE(S11,N11))</f>
        <v>0.3451411028456724</v>
      </c>
      <c r="T71" s="145"/>
      <c r="U71" s="146"/>
      <c r="V71" s="146"/>
      <c r="W71" s="147"/>
      <c r="X71" s="17">
        <f t="shared" ref="X71:X79" si="10">X59/(X47*AVERAGE(X11,S11))</f>
        <v>0.20451286922177503</v>
      </c>
      <c r="Y71" s="145"/>
      <c r="Z71" s="146"/>
      <c r="AA71" s="146"/>
      <c r="AB71" s="147"/>
      <c r="AC71" s="17">
        <f t="shared" ref="AC71:AC80" si="11">AC59/(AC47*AVERAGE(AC11,X11))</f>
        <v>0.23142364552202035</v>
      </c>
      <c r="AD71" s="145"/>
      <c r="AE71" s="146"/>
      <c r="AF71" s="146"/>
      <c r="AG71" s="147"/>
      <c r="AH71" s="17">
        <f t="shared" ref="AH71:AH80" si="12">AH59/(AH47*AVERAGE(AH11,AC11))</f>
        <v>0.19578381437464629</v>
      </c>
      <c r="AI71" s="145"/>
      <c r="AJ71" s="146"/>
      <c r="AK71" s="146"/>
      <c r="AL71" s="147"/>
      <c r="AM71" s="2252">
        <f t="shared" ref="AM71:AM80" si="13">AM59/(AM47*AVERAGE(AM11,AH11))</f>
        <v>0.15522226027993705</v>
      </c>
      <c r="AN71" s="145"/>
      <c r="AO71" s="146"/>
      <c r="AP71" s="146"/>
      <c r="AQ71" s="147"/>
      <c r="AR71" s="2252">
        <f t="shared" ref="AR71:AR80" si="14">AR59/(AR47*AVERAGE(AR11,AM11))</f>
        <v>0.22285793316300159</v>
      </c>
    </row>
    <row r="72" spans="3:44">
      <c r="C72" s="1204" t="s">
        <v>473</v>
      </c>
      <c r="E72" s="145"/>
      <c r="F72" s="146"/>
      <c r="G72" s="146"/>
      <c r="H72" s="147"/>
      <c r="I72" s="17"/>
      <c r="J72" s="145"/>
      <c r="K72" s="146"/>
      <c r="L72" s="146"/>
      <c r="M72" s="147"/>
      <c r="N72" s="17">
        <f t="shared" si="8"/>
        <v>0.23781034992324154</v>
      </c>
      <c r="O72" s="145"/>
      <c r="P72" s="146"/>
      <c r="Q72" s="146"/>
      <c r="R72" s="147"/>
      <c r="S72" s="17">
        <f t="shared" si="9"/>
        <v>0.20496947470999291</v>
      </c>
      <c r="T72" s="145"/>
      <c r="U72" s="146"/>
      <c r="V72" s="146"/>
      <c r="W72" s="147"/>
      <c r="X72" s="17">
        <f t="shared" si="10"/>
        <v>0.13515899423461936</v>
      </c>
      <c r="Y72" s="145"/>
      <c r="Z72" s="146"/>
      <c r="AA72" s="146"/>
      <c r="AB72" s="147"/>
      <c r="AC72" s="17">
        <f t="shared" si="11"/>
        <v>0.157723742701144</v>
      </c>
      <c r="AD72" s="145"/>
      <c r="AE72" s="146"/>
      <c r="AF72" s="146"/>
      <c r="AG72" s="147"/>
      <c r="AH72" s="17">
        <f t="shared" si="12"/>
        <v>0.14379480418230065</v>
      </c>
      <c r="AI72" s="145"/>
      <c r="AJ72" s="146"/>
      <c r="AK72" s="146"/>
      <c r="AL72" s="147"/>
      <c r="AM72" s="2252">
        <f t="shared" si="13"/>
        <v>8.9095744680851061E-2</v>
      </c>
      <c r="AN72" s="145"/>
      <c r="AO72" s="146"/>
      <c r="AP72" s="146"/>
      <c r="AQ72" s="147"/>
      <c r="AR72" s="2252">
        <f t="shared" si="14"/>
        <v>0.16657589251873503</v>
      </c>
    </row>
    <row r="73" spans="3:44">
      <c r="C73" s="1204" t="s">
        <v>330</v>
      </c>
      <c r="E73" s="145"/>
      <c r="F73" s="146"/>
      <c r="G73" s="146"/>
      <c r="H73" s="147"/>
      <c r="I73" s="17"/>
      <c r="J73" s="145"/>
      <c r="K73" s="146"/>
      <c r="L73" s="146"/>
      <c r="M73" s="147"/>
      <c r="N73" s="17">
        <f t="shared" si="8"/>
        <v>0.32589741373547598</v>
      </c>
      <c r="O73" s="145"/>
      <c r="P73" s="146"/>
      <c r="Q73" s="146"/>
      <c r="R73" s="147"/>
      <c r="S73" s="17">
        <f t="shared" si="9"/>
        <v>0.2521672388045938</v>
      </c>
      <c r="T73" s="145"/>
      <c r="U73" s="146"/>
      <c r="V73" s="146"/>
      <c r="W73" s="147"/>
      <c r="X73" s="17">
        <f t="shared" si="10"/>
        <v>0.13228104309557542</v>
      </c>
      <c r="Y73" s="145"/>
      <c r="Z73" s="146"/>
      <c r="AA73" s="146"/>
      <c r="AB73" s="147"/>
      <c r="AC73" s="17">
        <f t="shared" si="11"/>
        <v>0.29802671247249418</v>
      </c>
      <c r="AD73" s="145"/>
      <c r="AE73" s="146"/>
      <c r="AF73" s="146"/>
      <c r="AG73" s="147"/>
      <c r="AH73" s="17">
        <f t="shared" si="12"/>
        <v>0.16251135766175384</v>
      </c>
      <c r="AI73" s="145"/>
      <c r="AJ73" s="146"/>
      <c r="AK73" s="146"/>
      <c r="AL73" s="147"/>
      <c r="AM73" s="2252">
        <f t="shared" si="13"/>
        <v>0.1256442781352505</v>
      </c>
      <c r="AN73" s="145"/>
      <c r="AO73" s="146"/>
      <c r="AP73" s="146"/>
      <c r="AQ73" s="147"/>
      <c r="AR73" s="2252">
        <f t="shared" si="14"/>
        <v>0.25783686479649653</v>
      </c>
    </row>
    <row r="74" spans="3:44">
      <c r="C74" s="1204" t="s">
        <v>321</v>
      </c>
      <c r="E74" s="145"/>
      <c r="F74" s="146"/>
      <c r="G74" s="146"/>
      <c r="H74" s="147"/>
      <c r="I74" s="17"/>
      <c r="J74" s="145"/>
      <c r="K74" s="146"/>
      <c r="L74" s="146"/>
      <c r="M74" s="147"/>
      <c r="N74" s="17">
        <f t="shared" si="8"/>
        <v>0.15847223950205305</v>
      </c>
      <c r="O74" s="145"/>
      <c r="P74" s="146"/>
      <c r="Q74" s="146"/>
      <c r="R74" s="147"/>
      <c r="S74" s="17">
        <f t="shared" si="9"/>
        <v>0.16359988651562438</v>
      </c>
      <c r="T74" s="145"/>
      <c r="U74" s="146"/>
      <c r="V74" s="146"/>
      <c r="W74" s="147"/>
      <c r="X74" s="17">
        <f t="shared" si="10"/>
        <v>0.130897186202826</v>
      </c>
      <c r="Y74" s="145"/>
      <c r="Z74" s="146"/>
      <c r="AA74" s="146"/>
      <c r="AB74" s="147"/>
      <c r="AC74" s="17">
        <f t="shared" si="11"/>
        <v>0.14822692253177935</v>
      </c>
      <c r="AD74" s="145"/>
      <c r="AE74" s="146"/>
      <c r="AF74" s="146"/>
      <c r="AG74" s="147"/>
      <c r="AH74" s="17">
        <f t="shared" si="12"/>
        <v>6.8928265893429805E-2</v>
      </c>
      <c r="AI74" s="145"/>
      <c r="AJ74" s="146"/>
      <c r="AK74" s="146"/>
      <c r="AL74" s="147"/>
      <c r="AM74" s="2252">
        <f t="shared" si="13"/>
        <v>5.7501711888477948E-2</v>
      </c>
      <c r="AN74" s="145"/>
      <c r="AO74" s="146"/>
      <c r="AP74" s="146"/>
      <c r="AQ74" s="147"/>
      <c r="AR74" s="2252">
        <f t="shared" si="14"/>
        <v>6.8738044242793978E-2</v>
      </c>
    </row>
    <row r="75" spans="3:44">
      <c r="C75" s="1204" t="s">
        <v>322</v>
      </c>
      <c r="E75" s="145"/>
      <c r="F75" s="146"/>
      <c r="G75" s="146"/>
      <c r="H75" s="147"/>
      <c r="I75" s="17"/>
      <c r="J75" s="145"/>
      <c r="K75" s="146"/>
      <c r="L75" s="146"/>
      <c r="M75" s="147"/>
      <c r="N75" s="17">
        <f t="shared" si="8"/>
        <v>0.21210085935169132</v>
      </c>
      <c r="O75" s="145"/>
      <c r="P75" s="146"/>
      <c r="Q75" s="146"/>
      <c r="R75" s="147"/>
      <c r="S75" s="17">
        <f t="shared" si="9"/>
        <v>0.17162517272268982</v>
      </c>
      <c r="T75" s="145"/>
      <c r="U75" s="146"/>
      <c r="V75" s="146"/>
      <c r="W75" s="147"/>
      <c r="X75" s="17">
        <f t="shared" si="10"/>
        <v>-6.6857813630269339E-2</v>
      </c>
      <c r="Y75" s="145"/>
      <c r="Z75" s="146"/>
      <c r="AA75" s="146"/>
      <c r="AB75" s="147"/>
      <c r="AC75" s="17">
        <f t="shared" si="11"/>
        <v>0.16992829609112728</v>
      </c>
      <c r="AD75" s="145"/>
      <c r="AE75" s="146"/>
      <c r="AF75" s="146"/>
      <c r="AG75" s="147"/>
      <c r="AH75" s="17">
        <f t="shared" si="12"/>
        <v>0.14444261217661469</v>
      </c>
      <c r="AI75" s="145"/>
      <c r="AJ75" s="146"/>
      <c r="AK75" s="146"/>
      <c r="AL75" s="147"/>
      <c r="AM75" s="2252">
        <f t="shared" si="13"/>
        <v>0.14766079474210619</v>
      </c>
      <c r="AN75" s="145"/>
      <c r="AO75" s="146"/>
      <c r="AP75" s="146"/>
      <c r="AQ75" s="147"/>
      <c r="AR75" s="2252">
        <f t="shared" si="14"/>
        <v>0.12106342728073845</v>
      </c>
    </row>
    <row r="76" spans="3:44">
      <c r="C76" s="1204" t="s">
        <v>325</v>
      </c>
      <c r="E76" s="145"/>
      <c r="F76" s="146"/>
      <c r="G76" s="146"/>
      <c r="H76" s="147"/>
      <c r="I76" s="17"/>
      <c r="J76" s="145"/>
      <c r="K76" s="146"/>
      <c r="L76" s="146"/>
      <c r="M76" s="147"/>
      <c r="N76" s="17">
        <f t="shared" si="8"/>
        <v>0.1721543231933938</v>
      </c>
      <c r="O76" s="145"/>
      <c r="P76" s="146"/>
      <c r="Q76" s="146"/>
      <c r="R76" s="147"/>
      <c r="S76" s="17">
        <f t="shared" si="9"/>
        <v>0.14553636874738721</v>
      </c>
      <c r="T76" s="145"/>
      <c r="U76" s="146"/>
      <c r="V76" s="146"/>
      <c r="W76" s="147"/>
      <c r="X76" s="17">
        <f t="shared" si="10"/>
        <v>6.0851942132515741E-2</v>
      </c>
      <c r="Y76" s="145"/>
      <c r="Z76" s="146"/>
      <c r="AA76" s="146"/>
      <c r="AB76" s="147"/>
      <c r="AC76" s="17">
        <f t="shared" si="11"/>
        <v>0.12095961945239181</v>
      </c>
      <c r="AD76" s="145"/>
      <c r="AE76" s="146"/>
      <c r="AF76" s="146"/>
      <c r="AG76" s="147"/>
      <c r="AH76" s="17">
        <f t="shared" si="12"/>
        <v>0.11743186090225563</v>
      </c>
      <c r="AI76" s="145"/>
      <c r="AJ76" s="146"/>
      <c r="AK76" s="146"/>
      <c r="AL76" s="147"/>
      <c r="AM76" s="2252">
        <f t="shared" si="13"/>
        <v>0.10931500937438005</v>
      </c>
      <c r="AN76" s="145"/>
      <c r="AO76" s="146"/>
      <c r="AP76" s="146"/>
      <c r="AQ76" s="147"/>
      <c r="AR76" s="2252">
        <f t="shared" si="14"/>
        <v>9.4614936458239596E-2</v>
      </c>
    </row>
    <row r="77" spans="3:44">
      <c r="C77" s="1204" t="s">
        <v>323</v>
      </c>
      <c r="E77" s="145"/>
      <c r="F77" s="146"/>
      <c r="G77" s="146"/>
      <c r="H77" s="147"/>
      <c r="I77" s="17"/>
      <c r="J77" s="145"/>
      <c r="K77" s="146"/>
      <c r="L77" s="146"/>
      <c r="M77" s="147"/>
      <c r="N77" s="17">
        <f t="shared" si="8"/>
        <v>0.19461784176150021</v>
      </c>
      <c r="O77" s="145"/>
      <c r="P77" s="146"/>
      <c r="Q77" s="146"/>
      <c r="R77" s="147"/>
      <c r="S77" s="17">
        <f t="shared" si="9"/>
        <v>0.22225841268810692</v>
      </c>
      <c r="T77" s="145"/>
      <c r="U77" s="146"/>
      <c r="V77" s="146"/>
      <c r="W77" s="147"/>
      <c r="X77" s="17">
        <f t="shared" si="10"/>
        <v>-0.10174420318658119</v>
      </c>
      <c r="Y77" s="145"/>
      <c r="Z77" s="146"/>
      <c r="AA77" s="146"/>
      <c r="AB77" s="147"/>
      <c r="AC77" s="17">
        <f t="shared" si="11"/>
        <v>0.12966311456311402</v>
      </c>
      <c r="AD77" s="145"/>
      <c r="AE77" s="146"/>
      <c r="AF77" s="146"/>
      <c r="AG77" s="147"/>
      <c r="AH77" s="17">
        <f t="shared" si="12"/>
        <v>9.6780392126816786E-2</v>
      </c>
      <c r="AI77" s="145"/>
      <c r="AJ77" s="146"/>
      <c r="AK77" s="146"/>
      <c r="AL77" s="147"/>
      <c r="AM77" s="2252">
        <f t="shared" si="13"/>
        <v>4.3417725882330019E-2</v>
      </c>
      <c r="AN77" s="145"/>
      <c r="AO77" s="146"/>
      <c r="AP77" s="146"/>
      <c r="AQ77" s="147"/>
      <c r="AR77" s="2252">
        <f t="shared" si="14"/>
        <v>7.4051766740795652E-2</v>
      </c>
    </row>
    <row r="78" spans="3:44">
      <c r="C78" s="1204" t="s">
        <v>332</v>
      </c>
      <c r="E78" s="145"/>
      <c r="F78" s="146"/>
      <c r="G78" s="146"/>
      <c r="H78" s="147"/>
      <c r="I78" s="17"/>
      <c r="J78" s="145"/>
      <c r="K78" s="146"/>
      <c r="L78" s="146"/>
      <c r="M78" s="147"/>
      <c r="N78" s="17">
        <f t="shared" si="8"/>
        <v>0.14305579328923304</v>
      </c>
      <c r="O78" s="145"/>
      <c r="P78" s="146"/>
      <c r="Q78" s="146"/>
      <c r="R78" s="147"/>
      <c r="S78" s="17">
        <f t="shared" si="9"/>
        <v>0.17676676714991363</v>
      </c>
      <c r="T78" s="145"/>
      <c r="U78" s="146"/>
      <c r="V78" s="146"/>
      <c r="W78" s="147"/>
      <c r="X78" s="17">
        <f t="shared" si="10"/>
        <v>0.14527029772698277</v>
      </c>
      <c r="Y78" s="145"/>
      <c r="Z78" s="146"/>
      <c r="AA78" s="146"/>
      <c r="AB78" s="147"/>
      <c r="AC78" s="17">
        <f t="shared" si="11"/>
        <v>0.13665142304222974</v>
      </c>
      <c r="AD78" s="145"/>
      <c r="AE78" s="146"/>
      <c r="AF78" s="146"/>
      <c r="AG78" s="147"/>
      <c r="AH78" s="17">
        <f t="shared" si="12"/>
        <v>0.14936244768177542</v>
      </c>
      <c r="AI78" s="145"/>
      <c r="AJ78" s="146"/>
      <c r="AK78" s="146"/>
      <c r="AL78" s="147"/>
      <c r="AM78" s="2252">
        <f t="shared" si="13"/>
        <v>0.12324037184594953</v>
      </c>
      <c r="AN78" s="145"/>
      <c r="AO78" s="146"/>
      <c r="AP78" s="146"/>
      <c r="AQ78" s="147"/>
      <c r="AR78" s="2252">
        <f t="shared" si="14"/>
        <v>8.7432810063251556E-2</v>
      </c>
    </row>
    <row r="79" spans="3:44">
      <c r="C79" s="1204" t="s">
        <v>329</v>
      </c>
      <c r="E79" s="145"/>
      <c r="F79" s="146"/>
      <c r="G79" s="146"/>
      <c r="H79" s="147"/>
      <c r="I79" s="17"/>
      <c r="J79" s="145"/>
      <c r="K79" s="146"/>
      <c r="L79" s="146"/>
      <c r="M79" s="147"/>
      <c r="N79" s="17">
        <f t="shared" si="8"/>
        <v>0.15112234291785903</v>
      </c>
      <c r="O79" s="145"/>
      <c r="P79" s="146"/>
      <c r="Q79" s="146"/>
      <c r="R79" s="147"/>
      <c r="S79" s="17">
        <f t="shared" si="9"/>
        <v>0.15396560911152837</v>
      </c>
      <c r="T79" s="145"/>
      <c r="U79" s="146"/>
      <c r="V79" s="146"/>
      <c r="W79" s="147"/>
      <c r="X79" s="17">
        <f t="shared" si="10"/>
        <v>0.1397575373590042</v>
      </c>
      <c r="Y79" s="145"/>
      <c r="Z79" s="146"/>
      <c r="AA79" s="146"/>
      <c r="AB79" s="147"/>
      <c r="AC79" s="17">
        <f t="shared" si="11"/>
        <v>0.2411660697915535</v>
      </c>
      <c r="AD79" s="145"/>
      <c r="AE79" s="146"/>
      <c r="AF79" s="146"/>
      <c r="AG79" s="147"/>
      <c r="AH79" s="17">
        <f t="shared" si="12"/>
        <v>0.18734172904082744</v>
      </c>
      <c r="AI79" s="145"/>
      <c r="AJ79" s="146"/>
      <c r="AK79" s="146"/>
      <c r="AL79" s="147"/>
      <c r="AM79" s="2252">
        <f t="shared" si="13"/>
        <v>0.16808121960835853</v>
      </c>
      <c r="AN79" s="145"/>
      <c r="AO79" s="146"/>
      <c r="AP79" s="146"/>
      <c r="AQ79" s="147"/>
      <c r="AR79" s="2252">
        <f t="shared" si="14"/>
        <v>0.16354843594750115</v>
      </c>
    </row>
    <row r="80" spans="3:44">
      <c r="C80" s="1204" t="s">
        <v>712</v>
      </c>
      <c r="E80" s="145"/>
      <c r="F80" s="146"/>
      <c r="G80" s="146"/>
      <c r="H80" s="147"/>
      <c r="I80" s="17"/>
      <c r="J80" s="145"/>
      <c r="K80" s="146"/>
      <c r="L80" s="146"/>
      <c r="M80" s="147"/>
      <c r="N80" s="17"/>
      <c r="O80" s="145"/>
      <c r="P80" s="146"/>
      <c r="Q80" s="146"/>
      <c r="R80" s="147"/>
      <c r="S80" s="17"/>
      <c r="T80" s="145"/>
      <c r="U80" s="146"/>
      <c r="V80" s="146"/>
      <c r="W80" s="147"/>
      <c r="X80" s="17"/>
      <c r="Y80" s="145"/>
      <c r="Z80" s="146"/>
      <c r="AA80" s="146"/>
      <c r="AB80" s="147"/>
      <c r="AC80" s="17">
        <f t="shared" si="11"/>
        <v>0.15994363801959491</v>
      </c>
      <c r="AD80" s="145"/>
      <c r="AE80" s="146"/>
      <c r="AF80" s="146"/>
      <c r="AG80" s="147"/>
      <c r="AH80" s="17">
        <f t="shared" si="12"/>
        <v>0.18407493952169593</v>
      </c>
      <c r="AI80" s="145"/>
      <c r="AJ80" s="146"/>
      <c r="AK80" s="146"/>
      <c r="AL80" s="147"/>
      <c r="AM80" s="2252">
        <f t="shared" si="13"/>
        <v>0.13699393763511858</v>
      </c>
      <c r="AN80" s="145"/>
      <c r="AO80" s="146"/>
      <c r="AP80" s="146"/>
      <c r="AQ80" s="147"/>
      <c r="AR80" s="2252">
        <f t="shared" si="14"/>
        <v>0.13432816831008315</v>
      </c>
    </row>
    <row r="81" spans="3:44">
      <c r="C81" s="1204"/>
      <c r="E81" s="145"/>
      <c r="F81" s="146"/>
      <c r="G81" s="146"/>
      <c r="H81" s="147"/>
      <c r="I81" s="17"/>
      <c r="J81" s="145"/>
      <c r="K81" s="146"/>
      <c r="L81" s="146"/>
      <c r="M81" s="147"/>
      <c r="N81" s="17"/>
      <c r="O81" s="145"/>
      <c r="P81" s="146"/>
      <c r="Q81" s="146"/>
      <c r="R81" s="147"/>
      <c r="S81" s="17"/>
      <c r="T81" s="145"/>
      <c r="U81" s="146"/>
      <c r="V81" s="146"/>
      <c r="W81" s="147"/>
      <c r="X81" s="17"/>
      <c r="Y81" s="145"/>
      <c r="Z81" s="146"/>
      <c r="AA81" s="146"/>
      <c r="AB81" s="147"/>
      <c r="AC81" s="17"/>
      <c r="AD81" s="145"/>
      <c r="AE81" s="146"/>
      <c r="AF81" s="146"/>
      <c r="AG81" s="147"/>
      <c r="AH81" s="17"/>
      <c r="AI81" s="145"/>
      <c r="AJ81" s="146"/>
      <c r="AK81" s="146"/>
      <c r="AL81" s="147"/>
      <c r="AM81" s="2252"/>
      <c r="AN81" s="145"/>
      <c r="AO81" s="146"/>
      <c r="AP81" s="146"/>
      <c r="AQ81" s="147"/>
      <c r="AR81" s="2252"/>
    </row>
    <row r="82" spans="3:44">
      <c r="C82" s="1266" t="s">
        <v>713</v>
      </c>
      <c r="E82" s="145"/>
      <c r="F82" s="146"/>
      <c r="G82" s="146"/>
      <c r="H82" s="147"/>
      <c r="J82" s="145"/>
      <c r="K82" s="146"/>
      <c r="L82" s="146"/>
      <c r="M82" s="147"/>
      <c r="O82" s="145"/>
      <c r="P82" s="146"/>
      <c r="Q82" s="146"/>
      <c r="R82" s="147"/>
      <c r="T82" s="145"/>
      <c r="U82" s="146"/>
      <c r="V82" s="146"/>
      <c r="W82" s="147"/>
      <c r="Y82" s="145"/>
      <c r="Z82" s="146"/>
      <c r="AA82" s="146"/>
      <c r="AB82" s="147"/>
      <c r="AD82" s="145"/>
      <c r="AE82" s="146"/>
      <c r="AF82" s="146"/>
      <c r="AG82" s="147"/>
      <c r="AI82" s="145"/>
      <c r="AJ82" s="146"/>
      <c r="AK82" s="146"/>
      <c r="AL82" s="147"/>
      <c r="AM82" s="1957"/>
      <c r="AN82" s="145"/>
      <c r="AO82" s="146"/>
      <c r="AP82" s="146"/>
      <c r="AQ82" s="147"/>
      <c r="AR82" s="1957"/>
    </row>
    <row r="83" spans="3:44" s="81" customFormat="1">
      <c r="C83" s="1204" t="s">
        <v>324</v>
      </c>
      <c r="E83" s="316"/>
      <c r="F83" s="312"/>
      <c r="G83" s="312"/>
      <c r="H83" s="299"/>
      <c r="I83" s="291">
        <v>737</v>
      </c>
      <c r="J83" s="316"/>
      <c r="K83" s="312"/>
      <c r="L83" s="312"/>
      <c r="M83" s="299"/>
      <c r="N83" s="291">
        <v>787</v>
      </c>
      <c r="O83" s="316"/>
      <c r="P83" s="312"/>
      <c r="Q83" s="312"/>
      <c r="R83" s="299"/>
      <c r="S83" s="313">
        <v>767</v>
      </c>
      <c r="T83" s="316"/>
      <c r="U83" s="312"/>
      <c r="V83" s="312"/>
      <c r="W83" s="299"/>
      <c r="X83" s="313">
        <v>775</v>
      </c>
      <c r="Y83" s="316"/>
      <c r="Z83" s="312"/>
      <c r="AA83" s="312"/>
      <c r="AB83" s="299"/>
      <c r="AC83" s="889">
        <v>750</v>
      </c>
      <c r="AD83" s="316"/>
      <c r="AE83" s="312"/>
      <c r="AF83" s="312"/>
      <c r="AG83" s="299"/>
      <c r="AH83" s="889">
        <v>692</v>
      </c>
      <c r="AI83" s="316"/>
      <c r="AJ83" s="312"/>
      <c r="AK83" s="312"/>
      <c r="AL83" s="299"/>
      <c r="AM83" s="1355">
        <v>742</v>
      </c>
      <c r="AN83" s="316"/>
      <c r="AO83" s="312"/>
      <c r="AP83" s="312"/>
      <c r="AQ83" s="299"/>
      <c r="AR83" s="1355">
        <v>383</v>
      </c>
    </row>
    <row r="84" spans="3:44" s="81" customFormat="1">
      <c r="C84" s="1204" t="s">
        <v>473</v>
      </c>
      <c r="E84" s="316"/>
      <c r="F84" s="312"/>
      <c r="G84" s="312"/>
      <c r="H84" s="299"/>
      <c r="I84" s="291">
        <v>647.29200000000003</v>
      </c>
      <c r="J84" s="316"/>
      <c r="K84" s="312"/>
      <c r="L84" s="312"/>
      <c r="M84" s="299"/>
      <c r="N84" s="291">
        <v>662.80499999999995</v>
      </c>
      <c r="O84" s="316"/>
      <c r="P84" s="312"/>
      <c r="Q84" s="312"/>
      <c r="R84" s="299"/>
      <c r="S84" s="313">
        <v>676.255</v>
      </c>
      <c r="T84" s="316"/>
      <c r="U84" s="312"/>
      <c r="V84" s="312"/>
      <c r="W84" s="299"/>
      <c r="X84" s="313">
        <v>680.40300000000002</v>
      </c>
      <c r="Y84" s="316"/>
      <c r="Z84" s="312"/>
      <c r="AA84" s="312"/>
      <c r="AB84" s="299"/>
      <c r="AC84" s="889">
        <v>618</v>
      </c>
      <c r="AD84" s="316"/>
      <c r="AE84" s="312"/>
      <c r="AF84" s="312"/>
      <c r="AG84" s="299"/>
      <c r="AH84" s="889">
        <v>555</v>
      </c>
      <c r="AI84" s="316"/>
      <c r="AJ84" s="312"/>
      <c r="AK84" s="312"/>
      <c r="AL84" s="299"/>
      <c r="AM84" s="1355">
        <v>554</v>
      </c>
      <c r="AN84" s="316"/>
      <c r="AO84" s="312"/>
      <c r="AP84" s="312"/>
      <c r="AQ84" s="299"/>
      <c r="AR84" s="1355">
        <v>279</v>
      </c>
    </row>
    <row r="85" spans="3:44" s="81" customFormat="1">
      <c r="C85" s="1204" t="s">
        <v>330</v>
      </c>
      <c r="E85" s="316"/>
      <c r="F85" s="312"/>
      <c r="G85" s="312"/>
      <c r="H85" s="299"/>
      <c r="I85" s="291">
        <v>140.715</v>
      </c>
      <c r="J85" s="316"/>
      <c r="K85" s="312"/>
      <c r="L85" s="312"/>
      <c r="M85" s="299"/>
      <c r="N85" s="291">
        <v>170.38499999999999</v>
      </c>
      <c r="O85" s="316"/>
      <c r="P85" s="312"/>
      <c r="Q85" s="312"/>
      <c r="R85" s="299"/>
      <c r="S85" s="313">
        <v>186.61199999999999</v>
      </c>
      <c r="T85" s="316"/>
      <c r="U85" s="312"/>
      <c r="V85" s="312"/>
      <c r="W85" s="299"/>
      <c r="X85" s="313">
        <v>209.02600000000001</v>
      </c>
      <c r="Y85" s="316"/>
      <c r="Z85" s="312"/>
      <c r="AA85" s="312"/>
      <c r="AB85" s="299"/>
      <c r="AC85" s="889">
        <v>218.167</v>
      </c>
      <c r="AD85" s="316"/>
      <c r="AE85" s="312"/>
      <c r="AF85" s="312"/>
      <c r="AG85" s="299"/>
      <c r="AH85" s="889">
        <v>194.55500000000001</v>
      </c>
      <c r="AI85" s="316"/>
      <c r="AJ85" s="312"/>
      <c r="AK85" s="312"/>
      <c r="AL85" s="299"/>
      <c r="AM85" s="1355">
        <v>196.90899999999999</v>
      </c>
      <c r="AN85" s="316"/>
      <c r="AO85" s="312"/>
      <c r="AP85" s="312"/>
      <c r="AQ85" s="299"/>
      <c r="AR85" s="1355">
        <v>84.183999999999997</v>
      </c>
    </row>
    <row r="86" spans="3:44" s="81" customFormat="1">
      <c r="C86" s="1204" t="s">
        <v>321</v>
      </c>
      <c r="E86" s="316"/>
      <c r="F86" s="312"/>
      <c r="G86" s="312"/>
      <c r="H86" s="299"/>
      <c r="I86" s="291">
        <v>793</v>
      </c>
      <c r="J86" s="316"/>
      <c r="K86" s="312"/>
      <c r="L86" s="312"/>
      <c r="M86" s="299"/>
      <c r="N86" s="291">
        <v>859</v>
      </c>
      <c r="O86" s="316"/>
      <c r="P86" s="312"/>
      <c r="Q86" s="312"/>
      <c r="R86" s="299"/>
      <c r="S86" s="313">
        <v>1089</v>
      </c>
      <c r="T86" s="316"/>
      <c r="U86" s="312"/>
      <c r="V86" s="312"/>
      <c r="W86" s="299"/>
      <c r="X86" s="313">
        <v>1194</v>
      </c>
      <c r="Y86" s="316"/>
      <c r="Z86" s="312"/>
      <c r="AA86" s="312"/>
      <c r="AB86" s="299"/>
      <c r="AC86" s="889">
        <v>1081</v>
      </c>
      <c r="AD86" s="316"/>
      <c r="AE86" s="312"/>
      <c r="AF86" s="312"/>
      <c r="AG86" s="299"/>
      <c r="AH86" s="889">
        <v>1077</v>
      </c>
      <c r="AI86" s="316"/>
      <c r="AJ86" s="312"/>
      <c r="AK86" s="312"/>
      <c r="AL86" s="299"/>
      <c r="AM86" s="1355">
        <v>1102</v>
      </c>
      <c r="AN86" s="316"/>
      <c r="AO86" s="312"/>
      <c r="AP86" s="312"/>
      <c r="AQ86" s="299"/>
      <c r="AR86" s="1355">
        <v>572</v>
      </c>
    </row>
    <row r="87" spans="3:44" s="81" customFormat="1">
      <c r="C87" s="1204" t="s">
        <v>322</v>
      </c>
      <c r="E87" s="316"/>
      <c r="F87" s="312"/>
      <c r="G87" s="312"/>
      <c r="H87" s="299"/>
      <c r="I87" s="291">
        <v>526.46699999999998</v>
      </c>
      <c r="J87" s="316"/>
      <c r="K87" s="312"/>
      <c r="L87" s="312"/>
      <c r="M87" s="299"/>
      <c r="N87" s="291">
        <v>539.51099999999997</v>
      </c>
      <c r="O87" s="316"/>
      <c r="P87" s="312"/>
      <c r="Q87" s="312"/>
      <c r="R87" s="299"/>
      <c r="S87" s="313">
        <v>646.47299999999996</v>
      </c>
      <c r="T87" s="316"/>
      <c r="U87" s="312"/>
      <c r="V87" s="312"/>
      <c r="W87" s="299"/>
      <c r="X87" s="313">
        <v>577.21400000000006</v>
      </c>
      <c r="Y87" s="316"/>
      <c r="Z87" s="312"/>
      <c r="AA87" s="312"/>
      <c r="AB87" s="299"/>
      <c r="AC87" s="889">
        <v>514</v>
      </c>
      <c r="AD87" s="316"/>
      <c r="AE87" s="312"/>
      <c r="AF87" s="312"/>
      <c r="AG87" s="299"/>
      <c r="AH87" s="889">
        <v>520</v>
      </c>
      <c r="AI87" s="316"/>
      <c r="AJ87" s="312"/>
      <c r="AK87" s="312"/>
      <c r="AL87" s="299"/>
      <c r="AM87" s="1355">
        <v>546</v>
      </c>
      <c r="AN87" s="316"/>
      <c r="AO87" s="312"/>
      <c r="AP87" s="312"/>
      <c r="AQ87" s="299"/>
      <c r="AR87" s="1355">
        <v>257</v>
      </c>
    </row>
    <row r="88" spans="3:44" s="81" customFormat="1">
      <c r="C88" s="1204" t="s">
        <v>325</v>
      </c>
      <c r="E88" s="316"/>
      <c r="F88" s="312"/>
      <c r="G88" s="312"/>
      <c r="H88" s="299"/>
      <c r="I88" s="291">
        <v>437.53199999999998</v>
      </c>
      <c r="J88" s="316"/>
      <c r="K88" s="312"/>
      <c r="L88" s="312"/>
      <c r="M88" s="299"/>
      <c r="N88" s="291">
        <v>498.75400000000002</v>
      </c>
      <c r="O88" s="316"/>
      <c r="P88" s="312"/>
      <c r="Q88" s="312"/>
      <c r="R88" s="299"/>
      <c r="S88" s="313">
        <v>584.40300000000002</v>
      </c>
      <c r="T88" s="316"/>
      <c r="U88" s="312"/>
      <c r="V88" s="312"/>
      <c r="W88" s="299"/>
      <c r="X88" s="313">
        <v>567.053</v>
      </c>
      <c r="Y88" s="316"/>
      <c r="Z88" s="312"/>
      <c r="AA88" s="312"/>
      <c r="AB88" s="299"/>
      <c r="AC88" s="889">
        <v>488</v>
      </c>
      <c r="AD88" s="316"/>
      <c r="AE88" s="312"/>
      <c r="AF88" s="312"/>
      <c r="AG88" s="299"/>
      <c r="AH88" s="889">
        <v>463</v>
      </c>
      <c r="AI88" s="316"/>
      <c r="AJ88" s="312"/>
      <c r="AK88" s="312"/>
      <c r="AL88" s="299"/>
      <c r="AM88" s="1355">
        <v>562</v>
      </c>
      <c r="AN88" s="316"/>
      <c r="AO88" s="312"/>
      <c r="AP88" s="312"/>
      <c r="AQ88" s="299"/>
      <c r="AR88" s="1355">
        <v>229</v>
      </c>
    </row>
    <row r="89" spans="3:44" s="81" customFormat="1">
      <c r="C89" s="1204" t="s">
        <v>323</v>
      </c>
      <c r="E89" s="316"/>
      <c r="F89" s="312"/>
      <c r="G89" s="312"/>
      <c r="H89" s="299"/>
      <c r="I89" s="291">
        <f>362.939-362.939</f>
        <v>0</v>
      </c>
      <c r="J89" s="316"/>
      <c r="K89" s="312"/>
      <c r="L89" s="312"/>
      <c r="M89" s="299"/>
      <c r="N89" s="291">
        <v>332.83100000000002</v>
      </c>
      <c r="O89" s="316"/>
      <c r="P89" s="312"/>
      <c r="Q89" s="312"/>
      <c r="R89" s="299"/>
      <c r="S89" s="889">
        <v>411.54199999999997</v>
      </c>
      <c r="T89" s="316"/>
      <c r="U89" s="312"/>
      <c r="V89" s="312"/>
      <c r="W89" s="299"/>
      <c r="X89" s="889">
        <v>409.78399999999999</v>
      </c>
      <c r="Y89" s="316"/>
      <c r="Z89" s="312"/>
      <c r="AA89" s="312"/>
      <c r="AB89" s="299"/>
      <c r="AC89" s="889">
        <v>512</v>
      </c>
      <c r="AD89" s="316"/>
      <c r="AE89" s="312"/>
      <c r="AF89" s="312"/>
      <c r="AG89" s="299"/>
      <c r="AH89" s="889">
        <v>577</v>
      </c>
      <c r="AI89" s="316"/>
      <c r="AJ89" s="312"/>
      <c r="AK89" s="312"/>
      <c r="AL89" s="299"/>
      <c r="AM89" s="1355">
        <v>693</v>
      </c>
      <c r="AN89" s="316"/>
      <c r="AO89" s="312"/>
      <c r="AP89" s="312"/>
      <c r="AQ89" s="299"/>
      <c r="AR89" s="1355">
        <v>402</v>
      </c>
    </row>
    <row r="90" spans="3:44" s="81" customFormat="1">
      <c r="C90" s="1204" t="s">
        <v>332</v>
      </c>
      <c r="E90" s="316"/>
      <c r="F90" s="312"/>
      <c r="G90" s="312"/>
      <c r="H90" s="299"/>
      <c r="I90" s="291">
        <f>188.166-188.166</f>
        <v>0</v>
      </c>
      <c r="J90" s="316"/>
      <c r="K90" s="312"/>
      <c r="L90" s="312"/>
      <c r="M90" s="299"/>
      <c r="N90" s="291">
        <v>218.739</v>
      </c>
      <c r="O90" s="316"/>
      <c r="P90" s="312"/>
      <c r="Q90" s="312"/>
      <c r="R90" s="299"/>
      <c r="S90" s="313">
        <v>202.149</v>
      </c>
      <c r="T90" s="316"/>
      <c r="U90" s="312"/>
      <c r="V90" s="312"/>
      <c r="W90" s="299"/>
      <c r="X90" s="313">
        <v>289.35199999999998</v>
      </c>
      <c r="Y90" s="316"/>
      <c r="Z90" s="312"/>
      <c r="AA90" s="312"/>
      <c r="AB90" s="299"/>
      <c r="AC90" s="889">
        <v>322</v>
      </c>
      <c r="AD90" s="316"/>
      <c r="AE90" s="312"/>
      <c r="AF90" s="312"/>
      <c r="AG90" s="299"/>
      <c r="AH90" s="889">
        <v>349</v>
      </c>
      <c r="AI90" s="316"/>
      <c r="AJ90" s="312"/>
      <c r="AK90" s="312"/>
      <c r="AL90" s="299"/>
      <c r="AM90" s="1355">
        <v>391</v>
      </c>
      <c r="AN90" s="316"/>
      <c r="AO90" s="312"/>
      <c r="AP90" s="312"/>
      <c r="AQ90" s="299"/>
      <c r="AR90" s="1355">
        <v>197</v>
      </c>
    </row>
    <row r="91" spans="3:44" s="81" customFormat="1">
      <c r="C91" s="1204" t="s">
        <v>329</v>
      </c>
      <c r="E91" s="316"/>
      <c r="F91" s="312"/>
      <c r="G91" s="312"/>
      <c r="H91" s="299"/>
      <c r="I91" s="291">
        <f>290.818-290.818</f>
        <v>0</v>
      </c>
      <c r="J91" s="316"/>
      <c r="K91" s="312"/>
      <c r="L91" s="312"/>
      <c r="M91" s="299"/>
      <c r="N91" s="291">
        <v>293.363</v>
      </c>
      <c r="O91" s="316"/>
      <c r="P91" s="312"/>
      <c r="Q91" s="312"/>
      <c r="R91" s="299"/>
      <c r="S91" s="313">
        <v>288.21800000000002</v>
      </c>
      <c r="T91" s="316"/>
      <c r="U91" s="312"/>
      <c r="V91" s="312"/>
      <c r="W91" s="299"/>
      <c r="X91" s="313">
        <v>392.935</v>
      </c>
      <c r="Y91" s="316"/>
      <c r="Z91" s="312"/>
      <c r="AA91" s="312"/>
      <c r="AB91" s="299"/>
      <c r="AC91" s="889">
        <v>472</v>
      </c>
      <c r="AD91" s="316"/>
      <c r="AE91" s="312"/>
      <c r="AF91" s="312"/>
      <c r="AG91" s="299"/>
      <c r="AH91" s="889">
        <v>527</v>
      </c>
      <c r="AI91" s="316"/>
      <c r="AJ91" s="312"/>
      <c r="AK91" s="312"/>
      <c r="AL91" s="299"/>
      <c r="AM91" s="1355">
        <v>552</v>
      </c>
      <c r="AN91" s="316"/>
      <c r="AO91" s="312"/>
      <c r="AP91" s="312"/>
      <c r="AQ91" s="299"/>
      <c r="AR91" s="1355">
        <v>332</v>
      </c>
    </row>
    <row r="92" spans="3:44" s="81" customFormat="1">
      <c r="C92" s="1204" t="s">
        <v>712</v>
      </c>
      <c r="E92" s="316"/>
      <c r="F92" s="312"/>
      <c r="G92" s="312"/>
      <c r="H92" s="299"/>
      <c r="I92" s="291">
        <f>820.509-820.509</f>
        <v>0</v>
      </c>
      <c r="J92" s="316"/>
      <c r="K92" s="312"/>
      <c r="L92" s="312"/>
      <c r="M92" s="299"/>
      <c r="N92" s="291">
        <v>0</v>
      </c>
      <c r="O92" s="316"/>
      <c r="P92" s="312"/>
      <c r="Q92" s="312"/>
      <c r="R92" s="299"/>
      <c r="S92" s="291">
        <v>0</v>
      </c>
      <c r="T92" s="316"/>
      <c r="U92" s="312"/>
      <c r="V92" s="312"/>
      <c r="W92" s="299"/>
      <c r="X92" s="291">
        <v>0</v>
      </c>
      <c r="Y92" s="316"/>
      <c r="Z92" s="312"/>
      <c r="AA92" s="312"/>
      <c r="AB92" s="299"/>
      <c r="AC92" s="300">
        <v>0</v>
      </c>
      <c r="AD92" s="316"/>
      <c r="AE92" s="312"/>
      <c r="AF92" s="312"/>
      <c r="AG92" s="299"/>
      <c r="AH92" s="300">
        <v>710</v>
      </c>
      <c r="AI92" s="316"/>
      <c r="AJ92" s="312"/>
      <c r="AK92" s="312"/>
      <c r="AL92" s="299"/>
      <c r="AM92" s="300">
        <v>920</v>
      </c>
      <c r="AN92" s="316"/>
      <c r="AO92" s="312"/>
      <c r="AP92" s="312"/>
      <c r="AQ92" s="299"/>
      <c r="AR92" s="300">
        <v>735</v>
      </c>
    </row>
    <row r="93" spans="3:44" s="81" customFormat="1">
      <c r="C93" s="1233"/>
      <c r="E93" s="316"/>
      <c r="F93" s="312"/>
      <c r="G93" s="312"/>
      <c r="H93" s="307"/>
      <c r="I93" s="308"/>
      <c r="J93" s="316"/>
      <c r="K93" s="312"/>
      <c r="L93" s="312"/>
      <c r="M93" s="307"/>
      <c r="N93" s="308"/>
      <c r="O93" s="316"/>
      <c r="P93" s="312"/>
      <c r="Q93" s="312"/>
      <c r="R93" s="307"/>
      <c r="S93" s="60"/>
      <c r="T93" s="316"/>
      <c r="U93" s="312"/>
      <c r="V93" s="312"/>
      <c r="W93" s="307"/>
      <c r="X93" s="60"/>
      <c r="Y93" s="316"/>
      <c r="Z93" s="312"/>
      <c r="AA93" s="312"/>
      <c r="AB93" s="307"/>
      <c r="AD93" s="316"/>
      <c r="AE93" s="312"/>
      <c r="AF93" s="312"/>
      <c r="AG93" s="307"/>
      <c r="AI93" s="316"/>
      <c r="AJ93" s="312"/>
      <c r="AK93" s="312"/>
      <c r="AL93" s="307"/>
      <c r="AN93" s="316"/>
      <c r="AO93" s="312"/>
      <c r="AP93" s="312"/>
      <c r="AQ93" s="307"/>
    </row>
    <row r="94" spans="3:44" s="81" customFormat="1">
      <c r="C94" s="1204"/>
      <c r="E94" s="316"/>
      <c r="F94" s="312"/>
      <c r="G94" s="312"/>
      <c r="H94" s="307"/>
      <c r="I94" s="308"/>
      <c r="J94" s="316"/>
      <c r="K94" s="312"/>
      <c r="L94" s="312"/>
      <c r="M94" s="307"/>
      <c r="N94" s="308"/>
      <c r="O94" s="316"/>
      <c r="P94" s="312"/>
      <c r="Q94" s="312"/>
      <c r="R94" s="307"/>
      <c r="S94" s="60"/>
      <c r="T94" s="316"/>
      <c r="U94" s="312"/>
      <c r="V94" s="312"/>
      <c r="W94" s="307"/>
      <c r="X94" s="60"/>
      <c r="Y94" s="316"/>
      <c r="Z94" s="312"/>
      <c r="AA94" s="312"/>
      <c r="AB94" s="307"/>
      <c r="AD94" s="316"/>
      <c r="AE94" s="312"/>
      <c r="AF94" s="312"/>
      <c r="AG94" s="307"/>
      <c r="AI94" s="316"/>
      <c r="AJ94" s="312"/>
      <c r="AK94" s="312"/>
      <c r="AL94" s="307"/>
      <c r="AN94" s="316"/>
      <c r="AO94" s="312"/>
      <c r="AP94" s="312"/>
      <c r="AQ94" s="307"/>
    </row>
    <row r="95" spans="3:44">
      <c r="C95" s="1204"/>
    </row>
    <row r="96" spans="3:44">
      <c r="C96" s="1204"/>
    </row>
    <row r="97" spans="3:3">
      <c r="C97" s="1204"/>
    </row>
    <row r="98" spans="3:3">
      <c r="C98" s="1204"/>
    </row>
    <row r="99" spans="3:3">
      <c r="C99" s="1204"/>
    </row>
    <row r="100" spans="3:3">
      <c r="C100" s="1204"/>
    </row>
    <row r="101" spans="3:3">
      <c r="C101" s="1204"/>
    </row>
    <row r="102" spans="3:3">
      <c r="C102" s="1204"/>
    </row>
    <row r="103" spans="3:3">
      <c r="C103" s="1204"/>
    </row>
    <row r="104" spans="3:3">
      <c r="C104" s="1204"/>
    </row>
    <row r="105" spans="3:3">
      <c r="C105" s="1204"/>
    </row>
    <row r="106" spans="3:3">
      <c r="C106" s="1204"/>
    </row>
    <row r="107" spans="3:3">
      <c r="C107" s="1204"/>
    </row>
    <row r="108" spans="3:3">
      <c r="C108" s="1204"/>
    </row>
    <row r="109" spans="3:3">
      <c r="C109" s="1204"/>
    </row>
    <row r="110" spans="3:3">
      <c r="C110" s="1204"/>
    </row>
    <row r="111" spans="3:3">
      <c r="C111" s="1204"/>
    </row>
    <row r="112" spans="3:3">
      <c r="C112" s="1204"/>
    </row>
    <row r="113" spans="3:3">
      <c r="C113" s="1204"/>
    </row>
    <row r="114" spans="3:3">
      <c r="C114" s="1204"/>
    </row>
    <row r="115" spans="3:3">
      <c r="C115" s="1204"/>
    </row>
    <row r="116" spans="3:3">
      <c r="C116" s="1204"/>
    </row>
    <row r="117" spans="3:3">
      <c r="C117" s="1204"/>
    </row>
    <row r="118" spans="3:3">
      <c r="C118" s="1204"/>
    </row>
    <row r="119" spans="3:3">
      <c r="C119" s="1204"/>
    </row>
    <row r="120" spans="3:3">
      <c r="C120" s="1204"/>
    </row>
    <row r="121" spans="3:3">
      <c r="C121" s="1204"/>
    </row>
    <row r="122" spans="3:3">
      <c r="C122" s="1204"/>
    </row>
    <row r="123" spans="3:3">
      <c r="C123" s="1204"/>
    </row>
    <row r="124" spans="3:3">
      <c r="C124" s="1204"/>
    </row>
    <row r="125" spans="3:3">
      <c r="C125" s="1204"/>
    </row>
    <row r="126" spans="3:3">
      <c r="C126" s="1204"/>
    </row>
    <row r="127" spans="3:3">
      <c r="C127" s="1204"/>
    </row>
    <row r="128" spans="3:3">
      <c r="C128" s="1204"/>
    </row>
  </sheetData>
  <phoneticPr fontId="39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29.5703125" style="1920" bestFit="1" customWidth="1"/>
    <col min="2" max="2" width="19.85546875" style="2357" customWidth="1"/>
    <col min="3" max="3" width="12" style="1920" bestFit="1" customWidth="1"/>
    <col min="4" max="256" width="9.140625" style="1920"/>
    <col min="257" max="257" width="29.5703125" style="1920" bestFit="1" customWidth="1"/>
    <col min="258" max="258" width="19.85546875" style="1920" customWidth="1"/>
    <col min="259" max="259" width="12" style="1920" bestFit="1" customWidth="1"/>
    <col min="260" max="512" width="9.140625" style="1920"/>
    <col min="513" max="513" width="29.5703125" style="1920" bestFit="1" customWidth="1"/>
    <col min="514" max="514" width="19.85546875" style="1920" customWidth="1"/>
    <col min="515" max="515" width="12" style="1920" bestFit="1" customWidth="1"/>
    <col min="516" max="768" width="9.140625" style="1920"/>
    <col min="769" max="769" width="29.5703125" style="1920" bestFit="1" customWidth="1"/>
    <col min="770" max="770" width="19.85546875" style="1920" customWidth="1"/>
    <col min="771" max="771" width="12" style="1920" bestFit="1" customWidth="1"/>
    <col min="772" max="1024" width="9.140625" style="1920"/>
    <col min="1025" max="1025" width="29.5703125" style="1920" bestFit="1" customWidth="1"/>
    <col min="1026" max="1026" width="19.85546875" style="1920" customWidth="1"/>
    <col min="1027" max="1027" width="12" style="1920" bestFit="1" customWidth="1"/>
    <col min="1028" max="1280" width="9.140625" style="1920"/>
    <col min="1281" max="1281" width="29.5703125" style="1920" bestFit="1" customWidth="1"/>
    <col min="1282" max="1282" width="19.85546875" style="1920" customWidth="1"/>
    <col min="1283" max="1283" width="12" style="1920" bestFit="1" customWidth="1"/>
    <col min="1284" max="1536" width="9.140625" style="1920"/>
    <col min="1537" max="1537" width="29.5703125" style="1920" bestFit="1" customWidth="1"/>
    <col min="1538" max="1538" width="19.85546875" style="1920" customWidth="1"/>
    <col min="1539" max="1539" width="12" style="1920" bestFit="1" customWidth="1"/>
    <col min="1540" max="1792" width="9.140625" style="1920"/>
    <col min="1793" max="1793" width="29.5703125" style="1920" bestFit="1" customWidth="1"/>
    <col min="1794" max="1794" width="19.85546875" style="1920" customWidth="1"/>
    <col min="1795" max="1795" width="12" style="1920" bestFit="1" customWidth="1"/>
    <col min="1796" max="2048" width="9.140625" style="1920"/>
    <col min="2049" max="2049" width="29.5703125" style="1920" bestFit="1" customWidth="1"/>
    <col min="2050" max="2050" width="19.85546875" style="1920" customWidth="1"/>
    <col min="2051" max="2051" width="12" style="1920" bestFit="1" customWidth="1"/>
    <col min="2052" max="2304" width="9.140625" style="1920"/>
    <col min="2305" max="2305" width="29.5703125" style="1920" bestFit="1" customWidth="1"/>
    <col min="2306" max="2306" width="19.85546875" style="1920" customWidth="1"/>
    <col min="2307" max="2307" width="12" style="1920" bestFit="1" customWidth="1"/>
    <col min="2308" max="2560" width="9.140625" style="1920"/>
    <col min="2561" max="2561" width="29.5703125" style="1920" bestFit="1" customWidth="1"/>
    <col min="2562" max="2562" width="19.85546875" style="1920" customWidth="1"/>
    <col min="2563" max="2563" width="12" style="1920" bestFit="1" customWidth="1"/>
    <col min="2564" max="2816" width="9.140625" style="1920"/>
    <col min="2817" max="2817" width="29.5703125" style="1920" bestFit="1" customWidth="1"/>
    <col min="2818" max="2818" width="19.85546875" style="1920" customWidth="1"/>
    <col min="2819" max="2819" width="12" style="1920" bestFit="1" customWidth="1"/>
    <col min="2820" max="3072" width="9.140625" style="1920"/>
    <col min="3073" max="3073" width="29.5703125" style="1920" bestFit="1" customWidth="1"/>
    <col min="3074" max="3074" width="19.85546875" style="1920" customWidth="1"/>
    <col min="3075" max="3075" width="12" style="1920" bestFit="1" customWidth="1"/>
    <col min="3076" max="3328" width="9.140625" style="1920"/>
    <col min="3329" max="3329" width="29.5703125" style="1920" bestFit="1" customWidth="1"/>
    <col min="3330" max="3330" width="19.85546875" style="1920" customWidth="1"/>
    <col min="3331" max="3331" width="12" style="1920" bestFit="1" customWidth="1"/>
    <col min="3332" max="3584" width="9.140625" style="1920"/>
    <col min="3585" max="3585" width="29.5703125" style="1920" bestFit="1" customWidth="1"/>
    <col min="3586" max="3586" width="19.85546875" style="1920" customWidth="1"/>
    <col min="3587" max="3587" width="12" style="1920" bestFit="1" customWidth="1"/>
    <col min="3588" max="3840" width="9.140625" style="1920"/>
    <col min="3841" max="3841" width="29.5703125" style="1920" bestFit="1" customWidth="1"/>
    <col min="3842" max="3842" width="19.85546875" style="1920" customWidth="1"/>
    <col min="3843" max="3843" width="12" style="1920" bestFit="1" customWidth="1"/>
    <col min="3844" max="4096" width="9.140625" style="1920"/>
    <col min="4097" max="4097" width="29.5703125" style="1920" bestFit="1" customWidth="1"/>
    <col min="4098" max="4098" width="19.85546875" style="1920" customWidth="1"/>
    <col min="4099" max="4099" width="12" style="1920" bestFit="1" customWidth="1"/>
    <col min="4100" max="4352" width="9.140625" style="1920"/>
    <col min="4353" max="4353" width="29.5703125" style="1920" bestFit="1" customWidth="1"/>
    <col min="4354" max="4354" width="19.85546875" style="1920" customWidth="1"/>
    <col min="4355" max="4355" width="12" style="1920" bestFit="1" customWidth="1"/>
    <col min="4356" max="4608" width="9.140625" style="1920"/>
    <col min="4609" max="4609" width="29.5703125" style="1920" bestFit="1" customWidth="1"/>
    <col min="4610" max="4610" width="19.85546875" style="1920" customWidth="1"/>
    <col min="4611" max="4611" width="12" style="1920" bestFit="1" customWidth="1"/>
    <col min="4612" max="4864" width="9.140625" style="1920"/>
    <col min="4865" max="4865" width="29.5703125" style="1920" bestFit="1" customWidth="1"/>
    <col min="4866" max="4866" width="19.85546875" style="1920" customWidth="1"/>
    <col min="4867" max="4867" width="12" style="1920" bestFit="1" customWidth="1"/>
    <col min="4868" max="5120" width="9.140625" style="1920"/>
    <col min="5121" max="5121" width="29.5703125" style="1920" bestFit="1" customWidth="1"/>
    <col min="5122" max="5122" width="19.85546875" style="1920" customWidth="1"/>
    <col min="5123" max="5123" width="12" style="1920" bestFit="1" customWidth="1"/>
    <col min="5124" max="5376" width="9.140625" style="1920"/>
    <col min="5377" max="5377" width="29.5703125" style="1920" bestFit="1" customWidth="1"/>
    <col min="5378" max="5378" width="19.85546875" style="1920" customWidth="1"/>
    <col min="5379" max="5379" width="12" style="1920" bestFit="1" customWidth="1"/>
    <col min="5380" max="5632" width="9.140625" style="1920"/>
    <col min="5633" max="5633" width="29.5703125" style="1920" bestFit="1" customWidth="1"/>
    <col min="5634" max="5634" width="19.85546875" style="1920" customWidth="1"/>
    <col min="5635" max="5635" width="12" style="1920" bestFit="1" customWidth="1"/>
    <col min="5636" max="5888" width="9.140625" style="1920"/>
    <col min="5889" max="5889" width="29.5703125" style="1920" bestFit="1" customWidth="1"/>
    <col min="5890" max="5890" width="19.85546875" style="1920" customWidth="1"/>
    <col min="5891" max="5891" width="12" style="1920" bestFit="1" customWidth="1"/>
    <col min="5892" max="6144" width="9.140625" style="1920"/>
    <col min="6145" max="6145" width="29.5703125" style="1920" bestFit="1" customWidth="1"/>
    <col min="6146" max="6146" width="19.85546875" style="1920" customWidth="1"/>
    <col min="6147" max="6147" width="12" style="1920" bestFit="1" customWidth="1"/>
    <col min="6148" max="6400" width="9.140625" style="1920"/>
    <col min="6401" max="6401" width="29.5703125" style="1920" bestFit="1" customWidth="1"/>
    <col min="6402" max="6402" width="19.85546875" style="1920" customWidth="1"/>
    <col min="6403" max="6403" width="12" style="1920" bestFit="1" customWidth="1"/>
    <col min="6404" max="6656" width="9.140625" style="1920"/>
    <col min="6657" max="6657" width="29.5703125" style="1920" bestFit="1" customWidth="1"/>
    <col min="6658" max="6658" width="19.85546875" style="1920" customWidth="1"/>
    <col min="6659" max="6659" width="12" style="1920" bestFit="1" customWidth="1"/>
    <col min="6660" max="6912" width="9.140625" style="1920"/>
    <col min="6913" max="6913" width="29.5703125" style="1920" bestFit="1" customWidth="1"/>
    <col min="6914" max="6914" width="19.85546875" style="1920" customWidth="1"/>
    <col min="6915" max="6915" width="12" style="1920" bestFit="1" customWidth="1"/>
    <col min="6916" max="7168" width="9.140625" style="1920"/>
    <col min="7169" max="7169" width="29.5703125" style="1920" bestFit="1" customWidth="1"/>
    <col min="7170" max="7170" width="19.85546875" style="1920" customWidth="1"/>
    <col min="7171" max="7171" width="12" style="1920" bestFit="1" customWidth="1"/>
    <col min="7172" max="7424" width="9.140625" style="1920"/>
    <col min="7425" max="7425" width="29.5703125" style="1920" bestFit="1" customWidth="1"/>
    <col min="7426" max="7426" width="19.85546875" style="1920" customWidth="1"/>
    <col min="7427" max="7427" width="12" style="1920" bestFit="1" customWidth="1"/>
    <col min="7428" max="7680" width="9.140625" style="1920"/>
    <col min="7681" max="7681" width="29.5703125" style="1920" bestFit="1" customWidth="1"/>
    <col min="7682" max="7682" width="19.85546875" style="1920" customWidth="1"/>
    <col min="7683" max="7683" width="12" style="1920" bestFit="1" customWidth="1"/>
    <col min="7684" max="7936" width="9.140625" style="1920"/>
    <col min="7937" max="7937" width="29.5703125" style="1920" bestFit="1" customWidth="1"/>
    <col min="7938" max="7938" width="19.85546875" style="1920" customWidth="1"/>
    <col min="7939" max="7939" width="12" style="1920" bestFit="1" customWidth="1"/>
    <col min="7940" max="8192" width="9.140625" style="1920"/>
    <col min="8193" max="8193" width="29.5703125" style="1920" bestFit="1" customWidth="1"/>
    <col min="8194" max="8194" width="19.85546875" style="1920" customWidth="1"/>
    <col min="8195" max="8195" width="12" style="1920" bestFit="1" customWidth="1"/>
    <col min="8196" max="8448" width="9.140625" style="1920"/>
    <col min="8449" max="8449" width="29.5703125" style="1920" bestFit="1" customWidth="1"/>
    <col min="8450" max="8450" width="19.85546875" style="1920" customWidth="1"/>
    <col min="8451" max="8451" width="12" style="1920" bestFit="1" customWidth="1"/>
    <col min="8452" max="8704" width="9.140625" style="1920"/>
    <col min="8705" max="8705" width="29.5703125" style="1920" bestFit="1" customWidth="1"/>
    <col min="8706" max="8706" width="19.85546875" style="1920" customWidth="1"/>
    <col min="8707" max="8707" width="12" style="1920" bestFit="1" customWidth="1"/>
    <col min="8708" max="8960" width="9.140625" style="1920"/>
    <col min="8961" max="8961" width="29.5703125" style="1920" bestFit="1" customWidth="1"/>
    <col min="8962" max="8962" width="19.85546875" style="1920" customWidth="1"/>
    <col min="8963" max="8963" width="12" style="1920" bestFit="1" customWidth="1"/>
    <col min="8964" max="9216" width="9.140625" style="1920"/>
    <col min="9217" max="9217" width="29.5703125" style="1920" bestFit="1" customWidth="1"/>
    <col min="9218" max="9218" width="19.85546875" style="1920" customWidth="1"/>
    <col min="9219" max="9219" width="12" style="1920" bestFit="1" customWidth="1"/>
    <col min="9220" max="9472" width="9.140625" style="1920"/>
    <col min="9473" max="9473" width="29.5703125" style="1920" bestFit="1" customWidth="1"/>
    <col min="9474" max="9474" width="19.85546875" style="1920" customWidth="1"/>
    <col min="9475" max="9475" width="12" style="1920" bestFit="1" customWidth="1"/>
    <col min="9476" max="9728" width="9.140625" style="1920"/>
    <col min="9729" max="9729" width="29.5703125" style="1920" bestFit="1" customWidth="1"/>
    <col min="9730" max="9730" width="19.85546875" style="1920" customWidth="1"/>
    <col min="9731" max="9731" width="12" style="1920" bestFit="1" customWidth="1"/>
    <col min="9732" max="9984" width="9.140625" style="1920"/>
    <col min="9985" max="9985" width="29.5703125" style="1920" bestFit="1" customWidth="1"/>
    <col min="9986" max="9986" width="19.85546875" style="1920" customWidth="1"/>
    <col min="9987" max="9987" width="12" style="1920" bestFit="1" customWidth="1"/>
    <col min="9988" max="10240" width="9.140625" style="1920"/>
    <col min="10241" max="10241" width="29.5703125" style="1920" bestFit="1" customWidth="1"/>
    <col min="10242" max="10242" width="19.85546875" style="1920" customWidth="1"/>
    <col min="10243" max="10243" width="12" style="1920" bestFit="1" customWidth="1"/>
    <col min="10244" max="10496" width="9.140625" style="1920"/>
    <col min="10497" max="10497" width="29.5703125" style="1920" bestFit="1" customWidth="1"/>
    <col min="10498" max="10498" width="19.85546875" style="1920" customWidth="1"/>
    <col min="10499" max="10499" width="12" style="1920" bestFit="1" customWidth="1"/>
    <col min="10500" max="10752" width="9.140625" style="1920"/>
    <col min="10753" max="10753" width="29.5703125" style="1920" bestFit="1" customWidth="1"/>
    <col min="10754" max="10754" width="19.85546875" style="1920" customWidth="1"/>
    <col min="10755" max="10755" width="12" style="1920" bestFit="1" customWidth="1"/>
    <col min="10756" max="11008" width="9.140625" style="1920"/>
    <col min="11009" max="11009" width="29.5703125" style="1920" bestFit="1" customWidth="1"/>
    <col min="11010" max="11010" width="19.85546875" style="1920" customWidth="1"/>
    <col min="11011" max="11011" width="12" style="1920" bestFit="1" customWidth="1"/>
    <col min="11012" max="11264" width="9.140625" style="1920"/>
    <col min="11265" max="11265" width="29.5703125" style="1920" bestFit="1" customWidth="1"/>
    <col min="11266" max="11266" width="19.85546875" style="1920" customWidth="1"/>
    <col min="11267" max="11267" width="12" style="1920" bestFit="1" customWidth="1"/>
    <col min="11268" max="11520" width="9.140625" style="1920"/>
    <col min="11521" max="11521" width="29.5703125" style="1920" bestFit="1" customWidth="1"/>
    <col min="11522" max="11522" width="19.85546875" style="1920" customWidth="1"/>
    <col min="11523" max="11523" width="12" style="1920" bestFit="1" customWidth="1"/>
    <col min="11524" max="11776" width="9.140625" style="1920"/>
    <col min="11777" max="11777" width="29.5703125" style="1920" bestFit="1" customWidth="1"/>
    <col min="11778" max="11778" width="19.85546875" style="1920" customWidth="1"/>
    <col min="11779" max="11779" width="12" style="1920" bestFit="1" customWidth="1"/>
    <col min="11780" max="12032" width="9.140625" style="1920"/>
    <col min="12033" max="12033" width="29.5703125" style="1920" bestFit="1" customWidth="1"/>
    <col min="12034" max="12034" width="19.85546875" style="1920" customWidth="1"/>
    <col min="12035" max="12035" width="12" style="1920" bestFit="1" customWidth="1"/>
    <col min="12036" max="12288" width="9.140625" style="1920"/>
    <col min="12289" max="12289" width="29.5703125" style="1920" bestFit="1" customWidth="1"/>
    <col min="12290" max="12290" width="19.85546875" style="1920" customWidth="1"/>
    <col min="12291" max="12291" width="12" style="1920" bestFit="1" customWidth="1"/>
    <col min="12292" max="12544" width="9.140625" style="1920"/>
    <col min="12545" max="12545" width="29.5703125" style="1920" bestFit="1" customWidth="1"/>
    <col min="12546" max="12546" width="19.85546875" style="1920" customWidth="1"/>
    <col min="12547" max="12547" width="12" style="1920" bestFit="1" customWidth="1"/>
    <col min="12548" max="12800" width="9.140625" style="1920"/>
    <col min="12801" max="12801" width="29.5703125" style="1920" bestFit="1" customWidth="1"/>
    <col min="12802" max="12802" width="19.85546875" style="1920" customWidth="1"/>
    <col min="12803" max="12803" width="12" style="1920" bestFit="1" customWidth="1"/>
    <col min="12804" max="13056" width="9.140625" style="1920"/>
    <col min="13057" max="13057" width="29.5703125" style="1920" bestFit="1" customWidth="1"/>
    <col min="13058" max="13058" width="19.85546875" style="1920" customWidth="1"/>
    <col min="13059" max="13059" width="12" style="1920" bestFit="1" customWidth="1"/>
    <col min="13060" max="13312" width="9.140625" style="1920"/>
    <col min="13313" max="13313" width="29.5703125" style="1920" bestFit="1" customWidth="1"/>
    <col min="13314" max="13314" width="19.85546875" style="1920" customWidth="1"/>
    <col min="13315" max="13315" width="12" style="1920" bestFit="1" customWidth="1"/>
    <col min="13316" max="13568" width="9.140625" style="1920"/>
    <col min="13569" max="13569" width="29.5703125" style="1920" bestFit="1" customWidth="1"/>
    <col min="13570" max="13570" width="19.85546875" style="1920" customWidth="1"/>
    <col min="13571" max="13571" width="12" style="1920" bestFit="1" customWidth="1"/>
    <col min="13572" max="13824" width="9.140625" style="1920"/>
    <col min="13825" max="13825" width="29.5703125" style="1920" bestFit="1" customWidth="1"/>
    <col min="13826" max="13826" width="19.85546875" style="1920" customWidth="1"/>
    <col min="13827" max="13827" width="12" style="1920" bestFit="1" customWidth="1"/>
    <col min="13828" max="14080" width="9.140625" style="1920"/>
    <col min="14081" max="14081" width="29.5703125" style="1920" bestFit="1" customWidth="1"/>
    <col min="14082" max="14082" width="19.85546875" style="1920" customWidth="1"/>
    <col min="14083" max="14083" width="12" style="1920" bestFit="1" customWidth="1"/>
    <col min="14084" max="14336" width="9.140625" style="1920"/>
    <col min="14337" max="14337" width="29.5703125" style="1920" bestFit="1" customWidth="1"/>
    <col min="14338" max="14338" width="19.85546875" style="1920" customWidth="1"/>
    <col min="14339" max="14339" width="12" style="1920" bestFit="1" customWidth="1"/>
    <col min="14340" max="14592" width="9.140625" style="1920"/>
    <col min="14593" max="14593" width="29.5703125" style="1920" bestFit="1" customWidth="1"/>
    <col min="14594" max="14594" width="19.85546875" style="1920" customWidth="1"/>
    <col min="14595" max="14595" width="12" style="1920" bestFit="1" customWidth="1"/>
    <col min="14596" max="14848" width="9.140625" style="1920"/>
    <col min="14849" max="14849" width="29.5703125" style="1920" bestFit="1" customWidth="1"/>
    <col min="14850" max="14850" width="19.85546875" style="1920" customWidth="1"/>
    <col min="14851" max="14851" width="12" style="1920" bestFit="1" customWidth="1"/>
    <col min="14852" max="15104" width="9.140625" style="1920"/>
    <col min="15105" max="15105" width="29.5703125" style="1920" bestFit="1" customWidth="1"/>
    <col min="15106" max="15106" width="19.85546875" style="1920" customWidth="1"/>
    <col min="15107" max="15107" width="12" style="1920" bestFit="1" customWidth="1"/>
    <col min="15108" max="15360" width="9.140625" style="1920"/>
    <col min="15361" max="15361" width="29.5703125" style="1920" bestFit="1" customWidth="1"/>
    <col min="15362" max="15362" width="19.85546875" style="1920" customWidth="1"/>
    <col min="15363" max="15363" width="12" style="1920" bestFit="1" customWidth="1"/>
    <col min="15364" max="15616" width="9.140625" style="1920"/>
    <col min="15617" max="15617" width="29.5703125" style="1920" bestFit="1" customWidth="1"/>
    <col min="15618" max="15618" width="19.85546875" style="1920" customWidth="1"/>
    <col min="15619" max="15619" width="12" style="1920" bestFit="1" customWidth="1"/>
    <col min="15620" max="15872" width="9.140625" style="1920"/>
    <col min="15873" max="15873" width="29.5703125" style="1920" bestFit="1" customWidth="1"/>
    <col min="15874" max="15874" width="19.85546875" style="1920" customWidth="1"/>
    <col min="15875" max="15875" width="12" style="1920" bestFit="1" customWidth="1"/>
    <col min="15876" max="16128" width="9.140625" style="1920"/>
    <col min="16129" max="16129" width="29.5703125" style="1920" bestFit="1" customWidth="1"/>
    <col min="16130" max="16130" width="19.85546875" style="1920" customWidth="1"/>
    <col min="16131" max="16131" width="12" style="1920" bestFit="1" customWidth="1"/>
    <col min="16132" max="16384" width="9.140625" style="1920"/>
  </cols>
  <sheetData>
    <row r="1" spans="1:2">
      <c r="A1" s="1920" t="s">
        <v>1537</v>
      </c>
      <c r="B1" s="2356">
        <v>6.1</v>
      </c>
    </row>
    <row r="2" spans="1:2">
      <c r="A2" s="1920" t="s">
        <v>1538</v>
      </c>
      <c r="B2" s="2360">
        <v>43215.41920138889</v>
      </c>
    </row>
    <row r="3" spans="1:2">
      <c r="A3" s="1920" t="s">
        <v>1539</v>
      </c>
      <c r="B3" s="2357" t="s">
        <v>1234</v>
      </c>
    </row>
    <row r="4" spans="1:2">
      <c r="A4" s="1920" t="s">
        <v>1540</v>
      </c>
      <c r="B4" s="2357" t="s">
        <v>380</v>
      </c>
    </row>
    <row r="5" spans="1:2">
      <c r="A5" s="1920" t="s">
        <v>1541</v>
      </c>
      <c r="B5" s="2357" t="s">
        <v>297</v>
      </c>
    </row>
    <row r="6" spans="1:2">
      <c r="A6" s="1920" t="s">
        <v>1542</v>
      </c>
    </row>
    <row r="7" spans="1:2">
      <c r="A7" s="1920" t="s">
        <v>1543</v>
      </c>
      <c r="B7" s="2357" t="s">
        <v>277</v>
      </c>
    </row>
    <row r="8" spans="1:2">
      <c r="A8" s="1920" t="s">
        <v>1544</v>
      </c>
      <c r="B8" s="2357" t="s">
        <v>1545</v>
      </c>
    </row>
    <row r="9" spans="1:2">
      <c r="A9" s="1920" t="s">
        <v>1546</v>
      </c>
      <c r="B9" s="2357" t="s">
        <v>1582</v>
      </c>
    </row>
    <row r="10" spans="1:2">
      <c r="A10" s="1920" t="s">
        <v>1547</v>
      </c>
    </row>
    <row r="11" spans="1:2">
      <c r="A11" s="1920" t="s">
        <v>1548</v>
      </c>
    </row>
    <row r="12" spans="1:2">
      <c r="A12" s="1920" t="s">
        <v>1549</v>
      </c>
    </row>
    <row r="13" spans="1:2">
      <c r="A13" s="1920" t="s">
        <v>1550</v>
      </c>
    </row>
    <row r="14" spans="1:2">
      <c r="A14" s="1920" t="s">
        <v>1551</v>
      </c>
    </row>
    <row r="15" spans="1:2">
      <c r="A15" s="1920" t="s">
        <v>1552</v>
      </c>
    </row>
    <row r="16" spans="1:2">
      <c r="A16" s="1920" t="s">
        <v>1553</v>
      </c>
    </row>
    <row r="17" spans="1:4">
      <c r="A17" s="1920" t="s">
        <v>1554</v>
      </c>
      <c r="B17" s="2357" t="s">
        <v>1583</v>
      </c>
    </row>
    <row r="18" spans="1:4">
      <c r="A18" s="1920" t="s">
        <v>1555</v>
      </c>
      <c r="B18" s="2357" t="s">
        <v>1235</v>
      </c>
    </row>
    <row r="19" spans="1:4">
      <c r="A19" s="1920" t="s">
        <v>1556</v>
      </c>
      <c r="B19" s="2357" t="s">
        <v>417</v>
      </c>
    </row>
    <row r="20" spans="1:4">
      <c r="A20" s="1920" t="s">
        <v>1557</v>
      </c>
      <c r="B20" s="2358">
        <v>337932107</v>
      </c>
    </row>
    <row r="21" spans="1:4">
      <c r="A21" s="1920" t="s">
        <v>1558</v>
      </c>
      <c r="B21" s="2357" t="s">
        <v>417</v>
      </c>
    </row>
    <row r="22" spans="1:4">
      <c r="A22" s="1920" t="s">
        <v>1559</v>
      </c>
      <c r="B22" s="2358">
        <v>2100920</v>
      </c>
    </row>
    <row r="23" spans="1:4">
      <c r="A23" s="1920" t="s">
        <v>11</v>
      </c>
      <c r="B23" s="2356">
        <v>34.04</v>
      </c>
    </row>
    <row r="24" spans="1:4">
      <c r="A24" s="1920" t="s">
        <v>373</v>
      </c>
      <c r="B24" s="2357" t="s">
        <v>341</v>
      </c>
      <c r="D24" s="1920" t="s">
        <v>421</v>
      </c>
    </row>
    <row r="25" spans="1:4">
      <c r="A25" s="1920" t="s">
        <v>1560</v>
      </c>
      <c r="B25" s="2357" t="s">
        <v>1586</v>
      </c>
    </row>
    <row r="26" spans="1:4">
      <c r="A26" s="1920" t="s">
        <v>103</v>
      </c>
      <c r="B26" s="2357">
        <v>0</v>
      </c>
    </row>
    <row r="27" spans="1:4">
      <c r="A27" s="1920" t="s">
        <v>1561</v>
      </c>
      <c r="B27" s="2357" t="s">
        <v>1562</v>
      </c>
    </row>
    <row r="28" spans="1:4">
      <c r="A28" s="1920" t="s">
        <v>1563</v>
      </c>
      <c r="B28" s="2357" t="s">
        <v>1564</v>
      </c>
    </row>
    <row r="29" spans="1:4">
      <c r="A29" s="1920" t="s">
        <v>1565</v>
      </c>
    </row>
    <row r="30" spans="1:4">
      <c r="A30" s="1920" t="s">
        <v>1566</v>
      </c>
    </row>
    <row r="31" spans="1:4">
      <c r="A31" s="1920" t="s">
        <v>1567</v>
      </c>
    </row>
    <row r="32" spans="1:4">
      <c r="A32" s="1920" t="s">
        <v>1568</v>
      </c>
      <c r="B32" s="2356"/>
    </row>
    <row r="33" spans="1:2">
      <c r="A33" s="1920" t="s">
        <v>1569</v>
      </c>
      <c r="B33" s="2356"/>
    </row>
    <row r="34" spans="1:2">
      <c r="A34" s="1920" t="s">
        <v>1570</v>
      </c>
      <c r="B34" s="2356"/>
    </row>
    <row r="35" spans="1:2">
      <c r="A35" s="1920" t="s">
        <v>1571</v>
      </c>
      <c r="B35" s="2357">
        <v>1000000</v>
      </c>
    </row>
    <row r="36" spans="1:2">
      <c r="A36" s="1920" t="s">
        <v>1572</v>
      </c>
      <c r="B36" s="2357" t="s">
        <v>1584</v>
      </c>
    </row>
    <row r="37" spans="1:2">
      <c r="A37" s="1920" t="s">
        <v>1573</v>
      </c>
      <c r="B37" s="2357" t="s">
        <v>1574</v>
      </c>
    </row>
    <row r="38" spans="1:2">
      <c r="A38" s="1920" t="s">
        <v>1575</v>
      </c>
      <c r="B38" s="2357" t="s">
        <v>1576</v>
      </c>
    </row>
    <row r="39" spans="1:2">
      <c r="A39" s="1920" t="s">
        <v>1577</v>
      </c>
      <c r="B39" s="2357" t="s">
        <v>1585</v>
      </c>
    </row>
    <row r="40" spans="1:2">
      <c r="A40" s="1920" t="s">
        <v>1578</v>
      </c>
      <c r="B40" s="2357">
        <v>1500005508</v>
      </c>
    </row>
    <row r="41" spans="1:2">
      <c r="A41" s="1920" t="s">
        <v>1579</v>
      </c>
      <c r="B41" s="2357">
        <v>1</v>
      </c>
    </row>
    <row r="42" spans="1:2">
      <c r="A42" s="2359" t="s">
        <v>1580</v>
      </c>
    </row>
    <row r="43" spans="1:2">
      <c r="A43" s="1920" t="s">
        <v>1581</v>
      </c>
    </row>
  </sheetData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1920" bestFit="1" customWidth="1"/>
    <col min="2" max="256" width="9.140625" style="1920"/>
    <col min="257" max="257" width="28.5703125" style="1920" bestFit="1" customWidth="1"/>
    <col min="258" max="512" width="9.140625" style="1920"/>
    <col min="513" max="513" width="28.5703125" style="1920" bestFit="1" customWidth="1"/>
    <col min="514" max="768" width="9.140625" style="1920"/>
    <col min="769" max="769" width="28.5703125" style="1920" bestFit="1" customWidth="1"/>
    <col min="770" max="1024" width="9.140625" style="1920"/>
    <col min="1025" max="1025" width="28.5703125" style="1920" bestFit="1" customWidth="1"/>
    <col min="1026" max="1280" width="9.140625" style="1920"/>
    <col min="1281" max="1281" width="28.5703125" style="1920" bestFit="1" customWidth="1"/>
    <col min="1282" max="1536" width="9.140625" style="1920"/>
    <col min="1537" max="1537" width="28.5703125" style="1920" bestFit="1" customWidth="1"/>
    <col min="1538" max="1792" width="9.140625" style="1920"/>
    <col min="1793" max="1793" width="28.5703125" style="1920" bestFit="1" customWidth="1"/>
    <col min="1794" max="2048" width="9.140625" style="1920"/>
    <col min="2049" max="2049" width="28.5703125" style="1920" bestFit="1" customWidth="1"/>
    <col min="2050" max="2304" width="9.140625" style="1920"/>
    <col min="2305" max="2305" width="28.5703125" style="1920" bestFit="1" customWidth="1"/>
    <col min="2306" max="2560" width="9.140625" style="1920"/>
    <col min="2561" max="2561" width="28.5703125" style="1920" bestFit="1" customWidth="1"/>
    <col min="2562" max="2816" width="9.140625" style="1920"/>
    <col min="2817" max="2817" width="28.5703125" style="1920" bestFit="1" customWidth="1"/>
    <col min="2818" max="3072" width="9.140625" style="1920"/>
    <col min="3073" max="3073" width="28.5703125" style="1920" bestFit="1" customWidth="1"/>
    <col min="3074" max="3328" width="9.140625" style="1920"/>
    <col min="3329" max="3329" width="28.5703125" style="1920" bestFit="1" customWidth="1"/>
    <col min="3330" max="3584" width="9.140625" style="1920"/>
    <col min="3585" max="3585" width="28.5703125" style="1920" bestFit="1" customWidth="1"/>
    <col min="3586" max="3840" width="9.140625" style="1920"/>
    <col min="3841" max="3841" width="28.5703125" style="1920" bestFit="1" customWidth="1"/>
    <col min="3842" max="4096" width="9.140625" style="1920"/>
    <col min="4097" max="4097" width="28.5703125" style="1920" bestFit="1" customWidth="1"/>
    <col min="4098" max="4352" width="9.140625" style="1920"/>
    <col min="4353" max="4353" width="28.5703125" style="1920" bestFit="1" customWidth="1"/>
    <col min="4354" max="4608" width="9.140625" style="1920"/>
    <col min="4609" max="4609" width="28.5703125" style="1920" bestFit="1" customWidth="1"/>
    <col min="4610" max="4864" width="9.140625" style="1920"/>
    <col min="4865" max="4865" width="28.5703125" style="1920" bestFit="1" customWidth="1"/>
    <col min="4866" max="5120" width="9.140625" style="1920"/>
    <col min="5121" max="5121" width="28.5703125" style="1920" bestFit="1" customWidth="1"/>
    <col min="5122" max="5376" width="9.140625" style="1920"/>
    <col min="5377" max="5377" width="28.5703125" style="1920" bestFit="1" customWidth="1"/>
    <col min="5378" max="5632" width="9.140625" style="1920"/>
    <col min="5633" max="5633" width="28.5703125" style="1920" bestFit="1" customWidth="1"/>
    <col min="5634" max="5888" width="9.140625" style="1920"/>
    <col min="5889" max="5889" width="28.5703125" style="1920" bestFit="1" customWidth="1"/>
    <col min="5890" max="6144" width="9.140625" style="1920"/>
    <col min="6145" max="6145" width="28.5703125" style="1920" bestFit="1" customWidth="1"/>
    <col min="6146" max="6400" width="9.140625" style="1920"/>
    <col min="6401" max="6401" width="28.5703125" style="1920" bestFit="1" customWidth="1"/>
    <col min="6402" max="6656" width="9.140625" style="1920"/>
    <col min="6657" max="6657" width="28.5703125" style="1920" bestFit="1" customWidth="1"/>
    <col min="6658" max="6912" width="9.140625" style="1920"/>
    <col min="6913" max="6913" width="28.5703125" style="1920" bestFit="1" customWidth="1"/>
    <col min="6914" max="7168" width="9.140625" style="1920"/>
    <col min="7169" max="7169" width="28.5703125" style="1920" bestFit="1" customWidth="1"/>
    <col min="7170" max="7424" width="9.140625" style="1920"/>
    <col min="7425" max="7425" width="28.5703125" style="1920" bestFit="1" customWidth="1"/>
    <col min="7426" max="7680" width="9.140625" style="1920"/>
    <col min="7681" max="7681" width="28.5703125" style="1920" bestFit="1" customWidth="1"/>
    <col min="7682" max="7936" width="9.140625" style="1920"/>
    <col min="7937" max="7937" width="28.5703125" style="1920" bestFit="1" customWidth="1"/>
    <col min="7938" max="8192" width="9.140625" style="1920"/>
    <col min="8193" max="8193" width="28.5703125" style="1920" bestFit="1" customWidth="1"/>
    <col min="8194" max="8448" width="9.140625" style="1920"/>
    <col min="8449" max="8449" width="28.5703125" style="1920" bestFit="1" customWidth="1"/>
    <col min="8450" max="8704" width="9.140625" style="1920"/>
    <col min="8705" max="8705" width="28.5703125" style="1920" bestFit="1" customWidth="1"/>
    <col min="8706" max="8960" width="9.140625" style="1920"/>
    <col min="8961" max="8961" width="28.5703125" style="1920" bestFit="1" customWidth="1"/>
    <col min="8962" max="9216" width="9.140625" style="1920"/>
    <col min="9217" max="9217" width="28.5703125" style="1920" bestFit="1" customWidth="1"/>
    <col min="9218" max="9472" width="9.140625" style="1920"/>
    <col min="9473" max="9473" width="28.5703125" style="1920" bestFit="1" customWidth="1"/>
    <col min="9474" max="9728" width="9.140625" style="1920"/>
    <col min="9729" max="9729" width="28.5703125" style="1920" bestFit="1" customWidth="1"/>
    <col min="9730" max="9984" width="9.140625" style="1920"/>
    <col min="9985" max="9985" width="28.5703125" style="1920" bestFit="1" customWidth="1"/>
    <col min="9986" max="10240" width="9.140625" style="1920"/>
    <col min="10241" max="10241" width="28.5703125" style="1920" bestFit="1" customWidth="1"/>
    <col min="10242" max="10496" width="9.140625" style="1920"/>
    <col min="10497" max="10497" width="28.5703125" style="1920" bestFit="1" customWidth="1"/>
    <col min="10498" max="10752" width="9.140625" style="1920"/>
    <col min="10753" max="10753" width="28.5703125" style="1920" bestFit="1" customWidth="1"/>
    <col min="10754" max="11008" width="9.140625" style="1920"/>
    <col min="11009" max="11009" width="28.5703125" style="1920" bestFit="1" customWidth="1"/>
    <col min="11010" max="11264" width="9.140625" style="1920"/>
    <col min="11265" max="11265" width="28.5703125" style="1920" bestFit="1" customWidth="1"/>
    <col min="11266" max="11520" width="9.140625" style="1920"/>
    <col min="11521" max="11521" width="28.5703125" style="1920" bestFit="1" customWidth="1"/>
    <col min="11522" max="11776" width="9.140625" style="1920"/>
    <col min="11777" max="11777" width="28.5703125" style="1920" bestFit="1" customWidth="1"/>
    <col min="11778" max="12032" width="9.140625" style="1920"/>
    <col min="12033" max="12033" width="28.5703125" style="1920" bestFit="1" customWidth="1"/>
    <col min="12034" max="12288" width="9.140625" style="1920"/>
    <col min="12289" max="12289" width="28.5703125" style="1920" bestFit="1" customWidth="1"/>
    <col min="12290" max="12544" width="9.140625" style="1920"/>
    <col min="12545" max="12545" width="28.5703125" style="1920" bestFit="1" customWidth="1"/>
    <col min="12546" max="12800" width="9.140625" style="1920"/>
    <col min="12801" max="12801" width="28.5703125" style="1920" bestFit="1" customWidth="1"/>
    <col min="12802" max="13056" width="9.140625" style="1920"/>
    <col min="13057" max="13057" width="28.5703125" style="1920" bestFit="1" customWidth="1"/>
    <col min="13058" max="13312" width="9.140625" style="1920"/>
    <col min="13313" max="13313" width="28.5703125" style="1920" bestFit="1" customWidth="1"/>
    <col min="13314" max="13568" width="9.140625" style="1920"/>
    <col min="13569" max="13569" width="28.5703125" style="1920" bestFit="1" customWidth="1"/>
    <col min="13570" max="13824" width="9.140625" style="1920"/>
    <col min="13825" max="13825" width="28.5703125" style="1920" bestFit="1" customWidth="1"/>
    <col min="13826" max="14080" width="9.140625" style="1920"/>
    <col min="14081" max="14081" width="28.5703125" style="1920" bestFit="1" customWidth="1"/>
    <col min="14082" max="14336" width="9.140625" style="1920"/>
    <col min="14337" max="14337" width="28.5703125" style="1920" bestFit="1" customWidth="1"/>
    <col min="14338" max="14592" width="9.140625" style="1920"/>
    <col min="14593" max="14593" width="28.5703125" style="1920" bestFit="1" customWidth="1"/>
    <col min="14594" max="14848" width="9.140625" style="1920"/>
    <col min="14849" max="14849" width="28.5703125" style="1920" bestFit="1" customWidth="1"/>
    <col min="14850" max="15104" width="9.140625" style="1920"/>
    <col min="15105" max="15105" width="28.5703125" style="1920" bestFit="1" customWidth="1"/>
    <col min="15106" max="15360" width="9.140625" style="1920"/>
    <col min="15361" max="15361" width="28.5703125" style="1920" bestFit="1" customWidth="1"/>
    <col min="15362" max="15616" width="9.140625" style="1920"/>
    <col min="15617" max="15617" width="28.5703125" style="1920" bestFit="1" customWidth="1"/>
    <col min="15618" max="15872" width="9.140625" style="1920"/>
    <col min="15873" max="15873" width="28.5703125" style="1920" bestFit="1" customWidth="1"/>
    <col min="15874" max="16128" width="9.140625" style="1920"/>
    <col min="16129" max="16129" width="28.5703125" style="1920" bestFit="1" customWidth="1"/>
    <col min="16130" max="16384" width="9.140625" style="1920"/>
  </cols>
  <sheetData>
    <row r="1" spans="1:1">
      <c r="A1" s="2361" t="s">
        <v>1587</v>
      </c>
    </row>
    <row r="2" spans="1:1">
      <c r="A2" s="2361" t="s">
        <v>1592</v>
      </c>
    </row>
    <row r="3" spans="1:1">
      <c r="A3" s="2361" t="s">
        <v>1593</v>
      </c>
    </row>
    <row r="4" spans="1:1">
      <c r="A4" s="2361" t="s">
        <v>1594</v>
      </c>
    </row>
    <row r="5" spans="1:1">
      <c r="A5" s="2361" t="s">
        <v>1595</v>
      </c>
    </row>
    <row r="6" spans="1:1">
      <c r="A6" s="2361" t="s">
        <v>1588</v>
      </c>
    </row>
    <row r="7" spans="1:1">
      <c r="A7" s="2361" t="s">
        <v>1596</v>
      </c>
    </row>
    <row r="8" spans="1:1">
      <c r="A8" s="2361" t="s">
        <v>1597</v>
      </c>
    </row>
    <row r="9" spans="1:1">
      <c r="A9" s="2361" t="s">
        <v>1598</v>
      </c>
    </row>
    <row r="10" spans="1:1">
      <c r="A10" s="2361" t="s">
        <v>1589</v>
      </c>
    </row>
    <row r="11" spans="1:1">
      <c r="A11" s="2361" t="s">
        <v>1599</v>
      </c>
    </row>
    <row r="12" spans="1:1">
      <c r="A12" s="2361" t="s">
        <v>1590</v>
      </c>
    </row>
    <row r="13" spans="1:1">
      <c r="A13" s="2361" t="s">
        <v>1591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B2370A0C-8BDC-4108-869B-0705677FDA29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9A1FD931-48A3-4991-9FF9-7C989974206D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118</vt:i4>
      </vt:variant>
    </vt:vector>
  </HeadingPairs>
  <TitlesOfParts>
    <vt:vector size="133" baseType="lpstr">
      <vt:lpstr>ImportantDisclosures</vt:lpstr>
      <vt:lpstr>Cover</vt:lpstr>
      <vt:lpstr>Valuation</vt:lpstr>
      <vt:lpstr>Financial</vt:lpstr>
      <vt:lpstr>FirstEnergy</vt:lpstr>
      <vt:lpstr>Distribution</vt:lpstr>
      <vt:lpstr>Transmission</vt:lpstr>
      <vt:lpstr>Competitive</vt:lpstr>
      <vt:lpstr>Parent</vt:lpstr>
      <vt:lpstr>Market Prices</vt:lpstr>
      <vt:lpstr>Debt</vt:lpstr>
      <vt:lpstr>Genco Spin Math</vt:lpstr>
      <vt:lpstr>Utility Detail</vt:lpstr>
      <vt:lpstr>IndexInformation</vt:lpstr>
      <vt:lpstr>ModPubIndex</vt:lpstr>
      <vt:lpstr>Financial!_bdm.48BD514DC04A4AB4891E926213491EC9.edm</vt:lpstr>
      <vt:lpstr>Financial!_bdm.530488839E8A407C8F1C1B550BFC2836.edm</vt:lpstr>
      <vt:lpstr>Financial!_bdm.7264DC3258CD40029D96B7569D540AD9.edm</vt:lpstr>
      <vt:lpstr>Financial!_bdm.E967D92EDBF846E2B7B774FBF88F28E1.edm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basept</vt:lpstr>
      <vt:lpstr>bearpt</vt:lpstr>
      <vt:lpstr>ModPubIndex!BRO</vt:lpstr>
      <vt:lpstr>bullpt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GenCo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Linking_2</vt:lpstr>
      <vt:lpstr>Linking_3</vt:lpstr>
      <vt:lpstr>Linking_4</vt:lpstr>
      <vt:lpstr>Linking_5</vt:lpstr>
      <vt:lpstr>Linking_6</vt:lpstr>
      <vt:lpstr>Linking_7</vt:lpstr>
      <vt:lpstr>Linking_Range_1</vt:lpstr>
      <vt:lpstr>Linking_Range_10</vt:lpstr>
      <vt:lpstr>Linking_Range_11</vt:lpstr>
      <vt:lpstr>Linking_Range_12</vt:lpstr>
      <vt:lpstr>Linking_Range_3</vt:lpstr>
      <vt:lpstr>Linking_Range_4</vt:lpstr>
      <vt:lpstr>Linking_Range_5</vt:lpstr>
      <vt:lpstr>Linking_Range_6</vt:lpstr>
      <vt:lpstr>'Genco Spin Math'!Linking_Range_7</vt:lpstr>
      <vt:lpstr>Linking_Range_7</vt:lpstr>
      <vt:lpstr>Linking_Range_8</vt:lpstr>
      <vt:lpstr>Linking_Range_9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Debt!Print_Area</vt:lpstr>
      <vt:lpstr>Distribution!Print_Area</vt:lpstr>
      <vt:lpstr>Financial!Print_Area</vt:lpstr>
      <vt:lpstr>FirstEnergy!Print_Area</vt:lpstr>
      <vt:lpstr>'Genco Spin Math'!Print_Area</vt:lpstr>
      <vt:lpstr>Parent!Print_Area</vt:lpstr>
      <vt:lpstr>Transmission!Print_Area</vt:lpstr>
      <vt:lpstr>Valuation!Print_Area</vt:lpstr>
      <vt:lpstr>Competitive!Print_Titles</vt:lpstr>
      <vt:lpstr>Debt!Print_Titles</vt:lpstr>
      <vt:lpstr>Distribution!Print_Titles</vt:lpstr>
      <vt:lpstr>Transmission!Print_Titles</vt:lpstr>
      <vt:lpstr>ModPubIndex!PRODUCT</vt:lpstr>
      <vt:lpstr>ModPubIndex!PSYM</vt:lpstr>
      <vt:lpstr>IndexInformation!PublishDate</vt:lpstr>
      <vt:lpstr>puredist</vt:lpstr>
      <vt:lpstr>puretrans</vt:lpstr>
      <vt:lpstr>IndexInformation!Rating</vt:lpstr>
      <vt:lpstr>ImportantDisclosures!RatingsDefined</vt:lpstr>
      <vt:lpstr>RegPct</vt:lpstr>
      <vt:lpstr>IndexInformation!ResearchTopic</vt:lpstr>
      <vt:lpstr>IndexInformation!RIC</vt:lpstr>
      <vt:lpstr>IndexInformation!SEDOL</vt:lpstr>
      <vt:lpstr>SO</vt:lpstr>
      <vt:lpstr>ImportantDisclosures!SourceDefined</vt:lpstr>
      <vt:lpstr>ImportantDisclosures!StockRating</vt:lpstr>
      <vt:lpstr>IndexInformation!SubjectCode</vt:lpstr>
      <vt:lpstr>SubmitterUserId</vt:lpstr>
      <vt:lpstr>Subs</vt:lpstr>
      <vt:lpstr>ModPubIndex!SUPPRESSED</vt:lpstr>
      <vt:lpstr>ImportantDisclosures!TargetPrice</vt:lpstr>
      <vt:lpstr>TemplateRegion</vt:lpstr>
      <vt:lpstr>'Genco Spin Math'!ticker</vt:lpstr>
      <vt:lpstr>ImportantDisclosures!Ticker</vt:lpstr>
      <vt:lpstr>Valuation!ticker</vt:lpstr>
      <vt:lpstr>ticker</vt:lpstr>
      <vt:lpstr>TickerRegion</vt:lpstr>
      <vt:lpstr>IndexInformation!Tickers</vt:lpstr>
      <vt:lpstr>IndexInformation!UpdateReason</vt:lpstr>
      <vt:lpstr>'Market Prices'!Uplift</vt:lpstr>
      <vt:lpstr>UtilityEPS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2011-10-03T17:42:38Z</dcterms:created>
  <dc:creator>McDermott, Devin</dc:creator>
  <cp:lastModifiedBy>Arcaro, David (Research)</cp:lastModifiedBy>
  <cp:lastPrinted>2018-01-23T02:15:27Z</cp:lastPrinted>
  <dcterms:modified xsi:type="dcterms:W3CDTF">2018-04-25T14:03:47Z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12</vt:lpwstr>
  </property>
  <property fmtid="{D5CDD505-2E9C-101B-9397-08002B2CF9AE}" name="{A44787D4-0540-4523-9961-78E4036D8C6D}" pid="3">
    <vt:lpwstr>{CAFF6C1B-D799-431E-9710-5A4C2CAFB39B}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764006</vt:lpwstr>
  </property>
  <property fmtid="{D5CDD505-2E9C-101B-9397-08002B2CF9AE}" name="ERModPubCompanyName" pid="7">
    <vt:lpwstr>FirstEnergy Corp</vt:lpwstr>
  </property>
  <property fmtid="{D5CDD505-2E9C-101B-9397-08002B2CF9AE}" name="MSDH34TAG" pid="8">
    <vt:lpwstr>.TEZUF76X5TAHATHESADREYAK-00-INB160+*94600-06=7e479cca/-4891/-11e8/-adef/-6a0a1ce82510,MD=20180425101848/-0400,ZZ=000Z-ed8b.</vt:lpwstr>
  </property>
</Properties>
</file>